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4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45810</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45810</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45810</v>
      </c>
      <c r="D4" t="inlineStr">
        <is>
          <t>VÄRMLANDS LÄN</t>
        </is>
      </c>
      <c r="E4" t="inlineStr">
        <is>
          <t>ÅRJÄNG</t>
        </is>
      </c>
      <c r="G4" t="n">
        <v>28.2</v>
      </c>
      <c r="H4" t="n">
        <v>4</v>
      </c>
      <c r="I4" t="n">
        <v>13</v>
      </c>
      <c r="J4" t="n">
        <v>12</v>
      </c>
      <c r="K4" t="n">
        <v>4</v>
      </c>
      <c r="L4" t="n">
        <v>1</v>
      </c>
      <c r="M4" t="n">
        <v>1</v>
      </c>
      <c r="N4" t="n">
        <v>0</v>
      </c>
      <c r="O4" t="n">
        <v>18</v>
      </c>
      <c r="P4" t="n">
        <v>6</v>
      </c>
      <c r="Q4" t="n">
        <v>31</v>
      </c>
      <c r="R4"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45810</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45810</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45810</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45810</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61021-2024</t>
        </is>
      </c>
      <c r="B9" s="1" t="n">
        <v>45645</v>
      </c>
      <c r="C9" s="1" t="n">
        <v>45810</v>
      </c>
      <c r="D9" t="inlineStr">
        <is>
          <t>VÄRMLANDS LÄN</t>
        </is>
      </c>
      <c r="E9" t="inlineStr">
        <is>
          <t>TORSBY</t>
        </is>
      </c>
      <c r="G9" t="n">
        <v>15.1</v>
      </c>
      <c r="H9" t="n">
        <v>5</v>
      </c>
      <c r="I9" t="n">
        <v>4</v>
      </c>
      <c r="J9" t="n">
        <v>12</v>
      </c>
      <c r="K9" t="n">
        <v>2</v>
      </c>
      <c r="L9" t="n">
        <v>0</v>
      </c>
      <c r="M9" t="n">
        <v>0</v>
      </c>
      <c r="N9" t="n">
        <v>0</v>
      </c>
      <c r="O9" t="n">
        <v>14</v>
      </c>
      <c r="P9" t="n">
        <v>2</v>
      </c>
      <c r="Q9" t="n">
        <v>20</v>
      </c>
      <c r="R9" s="2" t="inlineStr">
        <is>
          <t>Knärot
Rynkskinn
Dvärgbägarlav
Gammelgransskål
Garnlav
Gränsticka
Kolflarnlav
Lunglav
Mörk kolflarnlav
Talltita
Tretåig hackspett
Ullticka
Vedskivlav
Violettgrå tagellav
Dropptaggsvamp
Kattfotslav
Skarp dropptaggsvamp
Skuggblåslav
Fläcknycklar
Revlummer</t>
        </is>
      </c>
      <c r="S9">
        <f>HYPERLINK("https://klasma.github.io/Logging_1737/artfynd/A 61021-2024 artfynd.xlsx", "A 61021-2024")</f>
        <v/>
      </c>
      <c r="T9">
        <f>HYPERLINK("https://klasma.github.io/Logging_1737/kartor/A 61021-2024 karta.png", "A 61021-2024")</f>
        <v/>
      </c>
      <c r="U9">
        <f>HYPERLINK("https://klasma.github.io/Logging_1737/knärot/A 61021-2024 karta knärot.png", "A 61021-2024")</f>
        <v/>
      </c>
      <c r="V9">
        <f>HYPERLINK("https://klasma.github.io/Logging_1737/klagomål/A 61021-2024 FSC-klagomål.docx", "A 61021-2024")</f>
        <v/>
      </c>
      <c r="W9">
        <f>HYPERLINK("https://klasma.github.io/Logging_1737/klagomålsmail/A 61021-2024 FSC-klagomål mail.docx", "A 61021-2024")</f>
        <v/>
      </c>
      <c r="X9">
        <f>HYPERLINK("https://klasma.github.io/Logging_1737/tillsyn/A 61021-2024 tillsynsbegäran.docx", "A 61021-2024")</f>
        <v/>
      </c>
      <c r="Y9">
        <f>HYPERLINK("https://klasma.github.io/Logging_1737/tillsynsmail/A 61021-2024 tillsynsbegäran mail.docx", "A 61021-2024")</f>
        <v/>
      </c>
      <c r="Z9">
        <f>HYPERLINK("https://klasma.github.io/Logging_1737/fåglar/A 61021-2024 prioriterade fågelarter.docx", "A 61021-2024")</f>
        <v/>
      </c>
    </row>
    <row r="10" ht="15" customHeight="1">
      <c r="A10" t="inlineStr">
        <is>
          <t>A 28033-2024</t>
        </is>
      </c>
      <c r="B10" s="1" t="n">
        <v>45476</v>
      </c>
      <c r="C10" s="1" t="n">
        <v>45810</v>
      </c>
      <c r="D10" t="inlineStr">
        <is>
          <t>VÄRMLANDS LÄN</t>
        </is>
      </c>
      <c r="E10" t="inlineStr">
        <is>
          <t>TORSBY</t>
        </is>
      </c>
      <c r="G10" t="n">
        <v>17.7</v>
      </c>
      <c r="H10" t="n">
        <v>1</v>
      </c>
      <c r="I10" t="n">
        <v>5</v>
      </c>
      <c r="J10" t="n">
        <v>14</v>
      </c>
      <c r="K10" t="n">
        <v>0</v>
      </c>
      <c r="L10" t="n">
        <v>0</v>
      </c>
      <c r="M10" t="n">
        <v>0</v>
      </c>
      <c r="N10" t="n">
        <v>0</v>
      </c>
      <c r="O10" t="n">
        <v>14</v>
      </c>
      <c r="P10" t="n">
        <v>0</v>
      </c>
      <c r="Q10" t="n">
        <v>19</v>
      </c>
      <c r="R10" s="2" t="inlineStr">
        <is>
          <t>Brunpudrad nållav
Doftskinn
Gammelgransskål
Garnlav
Granticka
Kortskaftad ärgspik
Lunglav
Mörk kolflarnlav
Skrovellav
Tretåig hackspett
Ullticka
Vedskivlav
Vedtrappmossa
Violettgrå tagellav
Gulnål
Korallblylav
Skuggblåslav
Stuplav
Vedticka</t>
        </is>
      </c>
      <c r="S10">
        <f>HYPERLINK("https://klasma.github.io/Logging_1737/artfynd/A 28033-2024 artfynd.xlsx", "A 28033-2024")</f>
        <v/>
      </c>
      <c r="T10">
        <f>HYPERLINK("https://klasma.github.io/Logging_1737/kartor/A 28033-2024 karta.png", "A 28033-2024")</f>
        <v/>
      </c>
      <c r="V10">
        <f>HYPERLINK("https://klasma.github.io/Logging_1737/klagomål/A 28033-2024 FSC-klagomål.docx", "A 28033-2024")</f>
        <v/>
      </c>
      <c r="W10">
        <f>HYPERLINK("https://klasma.github.io/Logging_1737/klagomålsmail/A 28033-2024 FSC-klagomål mail.docx", "A 28033-2024")</f>
        <v/>
      </c>
      <c r="X10">
        <f>HYPERLINK("https://klasma.github.io/Logging_1737/tillsyn/A 28033-2024 tillsynsbegäran.docx", "A 28033-2024")</f>
        <v/>
      </c>
      <c r="Y10">
        <f>HYPERLINK("https://klasma.github.io/Logging_1737/tillsynsmail/A 28033-2024 tillsynsbegäran mail.docx", "A 28033-2024")</f>
        <v/>
      </c>
      <c r="Z10">
        <f>HYPERLINK("https://klasma.github.io/Logging_1737/fåglar/A 28033-2024 prioriterade fågelarter.docx", "A 28033-2024")</f>
        <v/>
      </c>
    </row>
    <row r="11" ht="15" customHeight="1">
      <c r="A11" t="inlineStr">
        <is>
          <t>A 41775-2023</t>
        </is>
      </c>
      <c r="B11" s="1" t="n">
        <v>45176</v>
      </c>
      <c r="C11" s="1" t="n">
        <v>45810</v>
      </c>
      <c r="D11" t="inlineStr">
        <is>
          <t>VÄRMLANDS LÄN</t>
        </is>
      </c>
      <c r="E11" t="inlineStr">
        <is>
          <t>TORSBY</t>
        </is>
      </c>
      <c r="G11" t="n">
        <v>10.5</v>
      </c>
      <c r="H11" t="n">
        <v>5</v>
      </c>
      <c r="I11" t="n">
        <v>4</v>
      </c>
      <c r="J11" t="n">
        <v>14</v>
      </c>
      <c r="K11" t="n">
        <v>0</v>
      </c>
      <c r="L11" t="n">
        <v>0</v>
      </c>
      <c r="M11" t="n">
        <v>0</v>
      </c>
      <c r="N11" t="n">
        <v>0</v>
      </c>
      <c r="O11" t="n">
        <v>14</v>
      </c>
      <c r="P11" t="n">
        <v>0</v>
      </c>
      <c r="Q11" t="n">
        <v>18</v>
      </c>
      <c r="R11" s="2" t="inlineStr">
        <is>
          <t>Björktrast
Blågrå svartspik
Garnlav
Motaggsvamp
Mörk kolflarnlav
Nordtagging
Rödvingetrast
Skrovlig taggsvamp
Spillkråka
Tallticka
Talltita
Tretåig hackspett
Vedskivlav
Vitplätt
Blodticka
Mindre märgborre
Nästlav
Skarp dropptaggsvamp</t>
        </is>
      </c>
      <c r="S11">
        <f>HYPERLINK("https://klasma.github.io/Logging_1737/artfynd/A 41775-2023 artfynd.xlsx", "A 41775-2023")</f>
        <v/>
      </c>
      <c r="T11">
        <f>HYPERLINK("https://klasma.github.io/Logging_1737/kartor/A 41775-2023 karta.png", "A 41775-2023")</f>
        <v/>
      </c>
      <c r="V11">
        <f>HYPERLINK("https://klasma.github.io/Logging_1737/klagomål/A 41775-2023 FSC-klagomål.docx", "A 41775-2023")</f>
        <v/>
      </c>
      <c r="W11">
        <f>HYPERLINK("https://klasma.github.io/Logging_1737/klagomålsmail/A 41775-2023 FSC-klagomål mail.docx", "A 41775-2023")</f>
        <v/>
      </c>
      <c r="X11">
        <f>HYPERLINK("https://klasma.github.io/Logging_1737/tillsyn/A 41775-2023 tillsynsbegäran.docx", "A 41775-2023")</f>
        <v/>
      </c>
      <c r="Y11">
        <f>HYPERLINK("https://klasma.github.io/Logging_1737/tillsynsmail/A 41775-2023 tillsynsbegäran mail.docx", "A 41775-2023")</f>
        <v/>
      </c>
      <c r="Z11">
        <f>HYPERLINK("https://klasma.github.io/Logging_1737/fåglar/A 41775-2023 prioriterade fågelarter.docx", "A 41775-2023")</f>
        <v/>
      </c>
    </row>
    <row r="12" ht="15" customHeight="1">
      <c r="A12" t="inlineStr">
        <is>
          <t>A 7260-2024</t>
        </is>
      </c>
      <c r="B12" s="1" t="n">
        <v>45344</v>
      </c>
      <c r="C12" s="1" t="n">
        <v>45810</v>
      </c>
      <c r="D12" t="inlineStr">
        <is>
          <t>VÄRMLANDS LÄN</t>
        </is>
      </c>
      <c r="E12" t="inlineStr">
        <is>
          <t>TORSBY</t>
        </is>
      </c>
      <c r="G12" t="n">
        <v>17.8</v>
      </c>
      <c r="H12" t="n">
        <v>0</v>
      </c>
      <c r="I12" t="n">
        <v>6</v>
      </c>
      <c r="J12" t="n">
        <v>11</v>
      </c>
      <c r="K12" t="n">
        <v>0</v>
      </c>
      <c r="L12" t="n">
        <v>0</v>
      </c>
      <c r="M12" t="n">
        <v>0</v>
      </c>
      <c r="N12" t="n">
        <v>0</v>
      </c>
      <c r="O12" t="n">
        <v>11</v>
      </c>
      <c r="P12" t="n">
        <v>0</v>
      </c>
      <c r="Q12" t="n">
        <v>17</v>
      </c>
      <c r="R12" s="2" t="inlineStr">
        <is>
          <t>Gammelgransskål
Garnlav
Granticka
Kolflarnlav
Kortskaftad ärgspik
Lunglav
Ullticka
Vedskivlav
Vedtrappmossa
Vitgrynig nållav
Vitskaftad svartspik
Kattfotslav
Korallblylav
Luddlav
Skuggblåslav
Vedticka
Vågbandad barkbock</t>
        </is>
      </c>
      <c r="S12">
        <f>HYPERLINK("https://klasma.github.io/Logging_1737/artfynd/A 7260-2024 artfynd.xlsx", "A 7260-2024")</f>
        <v/>
      </c>
      <c r="T12">
        <f>HYPERLINK("https://klasma.github.io/Logging_1737/kartor/A 7260-2024 karta.png", "A 7260-2024")</f>
        <v/>
      </c>
      <c r="V12">
        <f>HYPERLINK("https://klasma.github.io/Logging_1737/klagomål/A 7260-2024 FSC-klagomål.docx", "A 7260-2024")</f>
        <v/>
      </c>
      <c r="W12">
        <f>HYPERLINK("https://klasma.github.io/Logging_1737/klagomålsmail/A 7260-2024 FSC-klagomål mail.docx", "A 7260-2024")</f>
        <v/>
      </c>
      <c r="X12">
        <f>HYPERLINK("https://klasma.github.io/Logging_1737/tillsyn/A 7260-2024 tillsynsbegäran.docx", "A 7260-2024")</f>
        <v/>
      </c>
      <c r="Y12">
        <f>HYPERLINK("https://klasma.github.io/Logging_1737/tillsynsmail/A 7260-2024 tillsynsbegäran mail.docx", "A 7260-2024")</f>
        <v/>
      </c>
    </row>
    <row r="13" ht="15" customHeight="1">
      <c r="A13" t="inlineStr">
        <is>
          <t>A 40934-2020</t>
        </is>
      </c>
      <c r="B13" s="1" t="n">
        <v>44070</v>
      </c>
      <c r="C13" s="1" t="n">
        <v>45810</v>
      </c>
      <c r="D13" t="inlineStr">
        <is>
          <t>VÄRMLANDS LÄN</t>
        </is>
      </c>
      <c r="E13" t="inlineStr">
        <is>
          <t>KARLSTAD</t>
        </is>
      </c>
      <c r="F13" t="inlineStr">
        <is>
          <t>Kommuner</t>
        </is>
      </c>
      <c r="G13" t="n">
        <v>13.5</v>
      </c>
      <c r="H13" t="n">
        <v>5</v>
      </c>
      <c r="I13" t="n">
        <v>8</v>
      </c>
      <c r="J13" t="n">
        <v>7</v>
      </c>
      <c r="K13" t="n">
        <v>1</v>
      </c>
      <c r="L13" t="n">
        <v>0</v>
      </c>
      <c r="M13" t="n">
        <v>0</v>
      </c>
      <c r="N13" t="n">
        <v>0</v>
      </c>
      <c r="O13" t="n">
        <v>8</v>
      </c>
      <c r="P13" t="n">
        <v>1</v>
      </c>
      <c r="Q13" t="n">
        <v>16</v>
      </c>
      <c r="R13" s="2" t="inlineStr">
        <is>
          <t>Knärot
Entita
Gränsticka
Mindre hackspett
Motaggsvamp
Spillkråka
Svartvit flugsnappare
Ullticka
Blåmossa
Bollvitmossa
Bronshjon
Grönpyrola
Rödgul trumpetsvamp
Snövit fingersvamp
Strutbräken
Zontaggsvamp</t>
        </is>
      </c>
      <c r="S13">
        <f>HYPERLINK("https://klasma.github.io/Logging_1780/artfynd/A 40934-2020 artfynd.xlsx", "A 40934-2020")</f>
        <v/>
      </c>
      <c r="T13">
        <f>HYPERLINK("https://klasma.github.io/Logging_1780/kartor/A 40934-2020 karta.png", "A 40934-2020")</f>
        <v/>
      </c>
      <c r="U13">
        <f>HYPERLINK("https://klasma.github.io/Logging_1780/knärot/A 40934-2020 karta knärot.png", "A 40934-2020")</f>
        <v/>
      </c>
      <c r="V13">
        <f>HYPERLINK("https://klasma.github.io/Logging_1780/klagomål/A 40934-2020 FSC-klagomål.docx", "A 40934-2020")</f>
        <v/>
      </c>
      <c r="W13">
        <f>HYPERLINK("https://klasma.github.io/Logging_1780/klagomålsmail/A 40934-2020 FSC-klagomål mail.docx", "A 40934-2020")</f>
        <v/>
      </c>
      <c r="X13">
        <f>HYPERLINK("https://klasma.github.io/Logging_1780/tillsyn/A 40934-2020 tillsynsbegäran.docx", "A 40934-2020")</f>
        <v/>
      </c>
      <c r="Y13">
        <f>HYPERLINK("https://klasma.github.io/Logging_1780/tillsynsmail/A 40934-2020 tillsynsbegäran mail.docx", "A 40934-2020")</f>
        <v/>
      </c>
      <c r="Z13">
        <f>HYPERLINK("https://klasma.github.io/Logging_1780/fåglar/A 40934-2020 prioriterade fågelarter.docx", "A 40934-2020")</f>
        <v/>
      </c>
    </row>
    <row r="14" ht="15" customHeight="1">
      <c r="A14" t="inlineStr">
        <is>
          <t>A 6315-2025</t>
        </is>
      </c>
      <c r="B14" s="1" t="n">
        <v>45698</v>
      </c>
      <c r="C14" s="1" t="n">
        <v>45810</v>
      </c>
      <c r="D14" t="inlineStr">
        <is>
          <t>VÄRMLANDS LÄN</t>
        </is>
      </c>
      <c r="E14" t="inlineStr">
        <is>
          <t>TORSBY</t>
        </is>
      </c>
      <c r="G14" t="n">
        <v>8.1</v>
      </c>
      <c r="H14" t="n">
        <v>0</v>
      </c>
      <c r="I14" t="n">
        <v>4</v>
      </c>
      <c r="J14" t="n">
        <v>11</v>
      </c>
      <c r="K14" t="n">
        <v>1</v>
      </c>
      <c r="L14" t="n">
        <v>0</v>
      </c>
      <c r="M14" t="n">
        <v>0</v>
      </c>
      <c r="N14" t="n">
        <v>0</v>
      </c>
      <c r="O14" t="n">
        <v>12</v>
      </c>
      <c r="P14" t="n">
        <v>1</v>
      </c>
      <c r="Q14" t="n">
        <v>16</v>
      </c>
      <c r="R14" s="2" t="inlineStr">
        <is>
          <t>Norsk näverlav
Brunpudrad nållav
Doftskinn
Dvärgbägarlav
Gammelgransskål
Garnlav
Kolflarnlav
Kortskaftad ärgspik
Motaggsvamp
Mörk kolflarnlav
Vedskivlav
Vedtrappmossa
Dropptaggsvamp
Flagellkvastmossa
Gulnål
Skuggblåslav</t>
        </is>
      </c>
      <c r="S14">
        <f>HYPERLINK("https://klasma.github.io/Logging_1737/artfynd/A 6315-2025 artfynd.xlsx", "A 6315-2025")</f>
        <v/>
      </c>
      <c r="T14">
        <f>HYPERLINK("https://klasma.github.io/Logging_1737/kartor/A 6315-2025 karta.png", "A 6315-2025")</f>
        <v/>
      </c>
      <c r="V14">
        <f>HYPERLINK("https://klasma.github.io/Logging_1737/klagomål/A 6315-2025 FSC-klagomål.docx", "A 6315-2025")</f>
        <v/>
      </c>
      <c r="W14">
        <f>HYPERLINK("https://klasma.github.io/Logging_1737/klagomålsmail/A 6315-2025 FSC-klagomål mail.docx", "A 6315-2025")</f>
        <v/>
      </c>
      <c r="X14">
        <f>HYPERLINK("https://klasma.github.io/Logging_1737/tillsyn/A 6315-2025 tillsynsbegäran.docx", "A 6315-2025")</f>
        <v/>
      </c>
      <c r="Y14">
        <f>HYPERLINK("https://klasma.github.io/Logging_1737/tillsynsmail/A 6315-2025 tillsynsbegäran mail.docx", "A 6315-2025")</f>
        <v/>
      </c>
    </row>
    <row r="15" ht="15" customHeight="1">
      <c r="A15" t="inlineStr">
        <is>
          <t>A 27265-2020</t>
        </is>
      </c>
      <c r="B15" s="1" t="n">
        <v>43992</v>
      </c>
      <c r="C15" s="1" t="n">
        <v>45810</v>
      </c>
      <c r="D15" t="inlineStr">
        <is>
          <t>VÄRMLANDS LÄN</t>
        </is>
      </c>
      <c r="E15" t="inlineStr">
        <is>
          <t>TORSBY</t>
        </is>
      </c>
      <c r="G15" t="n">
        <v>47.8</v>
      </c>
      <c r="H15" t="n">
        <v>3</v>
      </c>
      <c r="I15" t="n">
        <v>5</v>
      </c>
      <c r="J15" t="n">
        <v>9</v>
      </c>
      <c r="K15" t="n">
        <v>1</v>
      </c>
      <c r="L15" t="n">
        <v>0</v>
      </c>
      <c r="M15" t="n">
        <v>0</v>
      </c>
      <c r="N15" t="n">
        <v>0</v>
      </c>
      <c r="O15" t="n">
        <v>10</v>
      </c>
      <c r="P15" t="n">
        <v>1</v>
      </c>
      <c r="Q15" t="n">
        <v>15</v>
      </c>
      <c r="R15" s="2" t="inlineStr">
        <is>
          <t>Norsk näverlav
Doftskinn
Dvärgbägarlav
Gammelgransskål
Garnlav
Kolflarnlav
Kortskaftad ärgspik
Mörk kolflarnlav
Vedskivlav
Violettgrå tagellav
Kattfotslav
Korallrot
Plattlummer
Spindelblomster
Vedticka</t>
        </is>
      </c>
      <c r="S15">
        <f>HYPERLINK("https://klasma.github.io/Logging_1737/artfynd/A 27265-2020 artfynd.xlsx", "A 27265-2020")</f>
        <v/>
      </c>
      <c r="T15">
        <f>HYPERLINK("https://klasma.github.io/Logging_1737/kartor/A 27265-2020 karta.png", "A 27265-2020")</f>
        <v/>
      </c>
      <c r="V15">
        <f>HYPERLINK("https://klasma.github.io/Logging_1737/klagomål/A 27265-2020 FSC-klagomål.docx", "A 27265-2020")</f>
        <v/>
      </c>
      <c r="W15">
        <f>HYPERLINK("https://klasma.github.io/Logging_1737/klagomålsmail/A 27265-2020 FSC-klagomål mail.docx", "A 27265-2020")</f>
        <v/>
      </c>
      <c r="X15">
        <f>HYPERLINK("https://klasma.github.io/Logging_1737/tillsyn/A 27265-2020 tillsynsbegäran.docx", "A 27265-2020")</f>
        <v/>
      </c>
      <c r="Y15">
        <f>HYPERLINK("https://klasma.github.io/Logging_1737/tillsynsmail/A 27265-2020 tillsynsbegäran mail.docx", "A 27265-2020")</f>
        <v/>
      </c>
    </row>
    <row r="16" ht="15" customHeight="1">
      <c r="A16" t="inlineStr">
        <is>
          <t>A 46201-2023</t>
        </is>
      </c>
      <c r="B16" s="1" t="n">
        <v>45196</v>
      </c>
      <c r="C16" s="1" t="n">
        <v>45810</v>
      </c>
      <c r="D16" t="inlineStr">
        <is>
          <t>VÄRMLANDS LÄN</t>
        </is>
      </c>
      <c r="E16" t="inlineStr">
        <is>
          <t>EDA</t>
        </is>
      </c>
      <c r="G16" t="n">
        <v>17.8</v>
      </c>
      <c r="H16" t="n">
        <v>2</v>
      </c>
      <c r="I16" t="n">
        <v>9</v>
      </c>
      <c r="J16" t="n">
        <v>5</v>
      </c>
      <c r="K16" t="n">
        <v>0</v>
      </c>
      <c r="L16" t="n">
        <v>0</v>
      </c>
      <c r="M16" t="n">
        <v>0</v>
      </c>
      <c r="N16" t="n">
        <v>0</v>
      </c>
      <c r="O16" t="n">
        <v>5</v>
      </c>
      <c r="P16" t="n">
        <v>0</v>
      </c>
      <c r="Q16" t="n">
        <v>15</v>
      </c>
      <c r="R16" s="2" t="inlineStr">
        <is>
          <t>Garnlav
Lunglav
Motaggsvamp
Tallticka
Vedtrappmossa
Bronshjon
Dropptaggsvamp
Grönpyrola
Korallblylav
Korallrot
Mindre märgborre
Skinnlav
Svart trolldruva
Vårärt
Tjäder</t>
        </is>
      </c>
      <c r="S16">
        <f>HYPERLINK("https://klasma.github.io/Logging_1730/artfynd/A 46201-2023 artfynd.xlsx", "A 46201-2023")</f>
        <v/>
      </c>
      <c r="T16">
        <f>HYPERLINK("https://klasma.github.io/Logging_1730/kartor/A 46201-2023 karta.png", "A 46201-2023")</f>
        <v/>
      </c>
      <c r="V16">
        <f>HYPERLINK("https://klasma.github.io/Logging_1730/klagomål/A 46201-2023 FSC-klagomål.docx", "A 46201-2023")</f>
        <v/>
      </c>
      <c r="W16">
        <f>HYPERLINK("https://klasma.github.io/Logging_1730/klagomålsmail/A 46201-2023 FSC-klagomål mail.docx", "A 46201-2023")</f>
        <v/>
      </c>
      <c r="X16">
        <f>HYPERLINK("https://klasma.github.io/Logging_1730/tillsyn/A 46201-2023 tillsynsbegäran.docx", "A 46201-2023")</f>
        <v/>
      </c>
      <c r="Y16">
        <f>HYPERLINK("https://klasma.github.io/Logging_1730/tillsynsmail/A 46201-2023 tillsynsbegäran mail.docx", "A 46201-2023")</f>
        <v/>
      </c>
      <c r="Z16">
        <f>HYPERLINK("https://klasma.github.io/Logging_1730/fåglar/A 46201-2023 prioriterade fågelarter.docx", "A 46201-2023")</f>
        <v/>
      </c>
    </row>
    <row r="17" ht="15" customHeight="1">
      <c r="A17" t="inlineStr">
        <is>
          <t>A 19458-2024</t>
        </is>
      </c>
      <c r="B17" s="1" t="n">
        <v>45429</v>
      </c>
      <c r="C17" s="1" t="n">
        <v>45810</v>
      </c>
      <c r="D17" t="inlineStr">
        <is>
          <t>VÄRMLANDS LÄN</t>
        </is>
      </c>
      <c r="E17" t="inlineStr">
        <is>
          <t>TORSBY</t>
        </is>
      </c>
      <c r="G17" t="n">
        <v>8.800000000000001</v>
      </c>
      <c r="H17" t="n">
        <v>4</v>
      </c>
      <c r="I17" t="n">
        <v>4</v>
      </c>
      <c r="J17" t="n">
        <v>8</v>
      </c>
      <c r="K17" t="n">
        <v>0</v>
      </c>
      <c r="L17" t="n">
        <v>0</v>
      </c>
      <c r="M17" t="n">
        <v>0</v>
      </c>
      <c r="N17" t="n">
        <v>0</v>
      </c>
      <c r="O17" t="n">
        <v>8</v>
      </c>
      <c r="P17" t="n">
        <v>0</v>
      </c>
      <c r="Q17" t="n">
        <v>14</v>
      </c>
      <c r="R17" s="2" t="inlineStr">
        <is>
          <t>Brunpudrad nållav
Gammelgransskål
Garnlav
Granticka
Lunglav
Ullticka
Vedtrappmossa
Violettgrå tagellav
Bårdlav
Korallrot
Spindelblomster
Vedticka
Grönsiska
Fläcknycklar</t>
        </is>
      </c>
      <c r="S17">
        <f>HYPERLINK("https://klasma.github.io/Logging_1737/artfynd/A 19458-2024 artfynd.xlsx", "A 19458-2024")</f>
        <v/>
      </c>
      <c r="T17">
        <f>HYPERLINK("https://klasma.github.io/Logging_1737/kartor/A 19458-2024 karta.png", "A 19458-2024")</f>
        <v/>
      </c>
      <c r="V17">
        <f>HYPERLINK("https://klasma.github.io/Logging_1737/klagomål/A 19458-2024 FSC-klagomål.docx", "A 19458-2024")</f>
        <v/>
      </c>
      <c r="W17">
        <f>HYPERLINK("https://klasma.github.io/Logging_1737/klagomålsmail/A 19458-2024 FSC-klagomål mail.docx", "A 19458-2024")</f>
        <v/>
      </c>
      <c r="X17">
        <f>HYPERLINK("https://klasma.github.io/Logging_1737/tillsyn/A 19458-2024 tillsynsbegäran.docx", "A 19458-2024")</f>
        <v/>
      </c>
      <c r="Y17">
        <f>HYPERLINK("https://klasma.github.io/Logging_1737/tillsynsmail/A 19458-2024 tillsynsbegäran mail.docx", "A 19458-2024")</f>
        <v/>
      </c>
      <c r="Z17">
        <f>HYPERLINK("https://klasma.github.io/Logging_1737/fåglar/A 19458-2024 prioriterade fågelarter.docx", "A 19458-2024")</f>
        <v/>
      </c>
    </row>
    <row r="18" ht="15" customHeight="1">
      <c r="A18" t="inlineStr">
        <is>
          <t>A 47667-2020</t>
        </is>
      </c>
      <c r="B18" s="1" t="n">
        <v>44096</v>
      </c>
      <c r="C18" s="1" t="n">
        <v>45810</v>
      </c>
      <c r="D18" t="inlineStr">
        <is>
          <t>VÄRMLANDS LÄN</t>
        </is>
      </c>
      <c r="E18" t="inlineStr">
        <is>
          <t>HAGFORS</t>
        </is>
      </c>
      <c r="F18" t="inlineStr">
        <is>
          <t>Kyrkan</t>
        </is>
      </c>
      <c r="G18" t="n">
        <v>24.5</v>
      </c>
      <c r="H18" t="n">
        <v>2</v>
      </c>
      <c r="I18" t="n">
        <v>4</v>
      </c>
      <c r="J18" t="n">
        <v>7</v>
      </c>
      <c r="K18" t="n">
        <v>2</v>
      </c>
      <c r="L18" t="n">
        <v>0</v>
      </c>
      <c r="M18" t="n">
        <v>0</v>
      </c>
      <c r="N18" t="n">
        <v>0</v>
      </c>
      <c r="O18" t="n">
        <v>9</v>
      </c>
      <c r="P18" t="n">
        <v>2</v>
      </c>
      <c r="Q18" t="n">
        <v>13</v>
      </c>
      <c r="R18" s="2" t="inlineStr">
        <is>
          <t>Tallbit
Vinterhämpling
Dvärgbägarlav
Garnlav
Kolflarnlav
Lunglav
Mörk kolflarnlav
Vedskivlav
Vedtrappmossa
Bronshjon
Dropptaggsvamp
Skuggblåslav
Thomsons trägnagare</t>
        </is>
      </c>
      <c r="S18">
        <f>HYPERLINK("https://klasma.github.io/Logging_1783/artfynd/A 47667-2020 artfynd.xlsx", "A 47667-2020")</f>
        <v/>
      </c>
      <c r="T18">
        <f>HYPERLINK("https://klasma.github.io/Logging_1783/kartor/A 47667-2020 karta.png", "A 47667-2020")</f>
        <v/>
      </c>
      <c r="V18">
        <f>HYPERLINK("https://klasma.github.io/Logging_1783/klagomål/A 47667-2020 FSC-klagomål.docx", "A 47667-2020")</f>
        <v/>
      </c>
      <c r="W18">
        <f>HYPERLINK("https://klasma.github.io/Logging_1783/klagomålsmail/A 47667-2020 FSC-klagomål mail.docx", "A 47667-2020")</f>
        <v/>
      </c>
      <c r="X18">
        <f>HYPERLINK("https://klasma.github.io/Logging_1783/tillsyn/A 47667-2020 tillsynsbegäran.docx", "A 47667-2020")</f>
        <v/>
      </c>
      <c r="Y18">
        <f>HYPERLINK("https://klasma.github.io/Logging_1783/tillsynsmail/A 47667-2020 tillsynsbegäran mail.docx", "A 47667-2020")</f>
        <v/>
      </c>
      <c r="Z18">
        <f>HYPERLINK("https://klasma.github.io/Logging_1783/fåglar/A 47667-2020 prioriterade fågelarter.docx", "A 47667-2020")</f>
        <v/>
      </c>
    </row>
    <row r="19" ht="15" customHeight="1">
      <c r="A19" t="inlineStr">
        <is>
          <t>A 20895-2021</t>
        </is>
      </c>
      <c r="B19" s="1" t="n">
        <v>44319</v>
      </c>
      <c r="C19" s="1" t="n">
        <v>45810</v>
      </c>
      <c r="D19" t="inlineStr">
        <is>
          <t>VÄRMLANDS LÄN</t>
        </is>
      </c>
      <c r="E19" t="inlineStr">
        <is>
          <t>TORSBY</t>
        </is>
      </c>
      <c r="G19" t="n">
        <v>16.6</v>
      </c>
      <c r="H19" t="n">
        <v>2</v>
      </c>
      <c r="I19" t="n">
        <v>1</v>
      </c>
      <c r="J19" t="n">
        <v>12</v>
      </c>
      <c r="K19" t="n">
        <v>0</v>
      </c>
      <c r="L19" t="n">
        <v>0</v>
      </c>
      <c r="M19" t="n">
        <v>0</v>
      </c>
      <c r="N19" t="n">
        <v>0</v>
      </c>
      <c r="O19" t="n">
        <v>12</v>
      </c>
      <c r="P19" t="n">
        <v>0</v>
      </c>
      <c r="Q19" t="n">
        <v>13</v>
      </c>
      <c r="R19" s="2" t="inlineStr">
        <is>
          <t>Blågrå svartspik
Brunpudrad nållav
Doftskinn
Drillsnäppa
Gammelgransskål
Garnlav
Kolflarnlav
Kortskaftad ärgspik
Mörk kolflarnlav
Talltita
Vedskivlav
Violettgrå tagellav
Vedticka</t>
        </is>
      </c>
      <c r="S19">
        <f>HYPERLINK("https://klasma.github.io/Logging_1737/artfynd/A 20895-2021 artfynd.xlsx", "A 20895-2021")</f>
        <v/>
      </c>
      <c r="T19">
        <f>HYPERLINK("https://klasma.github.io/Logging_1737/kartor/A 20895-2021 karta.png", "A 20895-2021")</f>
        <v/>
      </c>
      <c r="V19">
        <f>HYPERLINK("https://klasma.github.io/Logging_1737/klagomål/A 20895-2021 FSC-klagomål.docx", "A 20895-2021")</f>
        <v/>
      </c>
      <c r="W19">
        <f>HYPERLINK("https://klasma.github.io/Logging_1737/klagomålsmail/A 20895-2021 FSC-klagomål mail.docx", "A 20895-2021")</f>
        <v/>
      </c>
      <c r="X19">
        <f>HYPERLINK("https://klasma.github.io/Logging_1737/tillsyn/A 20895-2021 tillsynsbegäran.docx", "A 20895-2021")</f>
        <v/>
      </c>
      <c r="Y19">
        <f>HYPERLINK("https://klasma.github.io/Logging_1737/tillsynsmail/A 20895-2021 tillsynsbegäran mail.docx", "A 20895-2021")</f>
        <v/>
      </c>
      <c r="Z19">
        <f>HYPERLINK("https://klasma.github.io/Logging_1737/fåglar/A 20895-2021 prioriterade fågelarter.docx", "A 20895-2021")</f>
        <v/>
      </c>
    </row>
    <row r="20" ht="15" customHeight="1">
      <c r="A20" t="inlineStr">
        <is>
          <t>A 43019-2021</t>
        </is>
      </c>
      <c r="B20" s="1" t="n">
        <v>44431</v>
      </c>
      <c r="C20" s="1" t="n">
        <v>45810</v>
      </c>
      <c r="D20" t="inlineStr">
        <is>
          <t>VÄRMLANDS LÄN</t>
        </is>
      </c>
      <c r="E20" t="inlineStr">
        <is>
          <t>TORSBY</t>
        </is>
      </c>
      <c r="G20" t="n">
        <v>12.8</v>
      </c>
      <c r="H20" t="n">
        <v>1</v>
      </c>
      <c r="I20" t="n">
        <v>2</v>
      </c>
      <c r="J20" t="n">
        <v>11</v>
      </c>
      <c r="K20" t="n">
        <v>0</v>
      </c>
      <c r="L20" t="n">
        <v>0</v>
      </c>
      <c r="M20" t="n">
        <v>0</v>
      </c>
      <c r="N20" t="n">
        <v>0</v>
      </c>
      <c r="O20" t="n">
        <v>11</v>
      </c>
      <c r="P20" t="n">
        <v>0</v>
      </c>
      <c r="Q20" t="n">
        <v>13</v>
      </c>
      <c r="R20" s="2" t="inlineStr">
        <is>
          <t>Dvärgbägarlav
Garnlav
Kolflarnlav
Lunglav
Mörk kolflarnlav
Skrovellav
Tretåig hackspett
Ullticka
Vedskivlav
Vedtrappmossa
Violettgrå tagellav
Skuggblåslav
Stuplav</t>
        </is>
      </c>
      <c r="S20">
        <f>HYPERLINK("https://klasma.github.io/Logging_1737/artfynd/A 43019-2021 artfynd.xlsx", "A 43019-2021")</f>
        <v/>
      </c>
      <c r="T20">
        <f>HYPERLINK("https://klasma.github.io/Logging_1737/kartor/A 43019-2021 karta.png", "A 43019-2021")</f>
        <v/>
      </c>
      <c r="V20">
        <f>HYPERLINK("https://klasma.github.io/Logging_1737/klagomål/A 43019-2021 FSC-klagomål.docx", "A 43019-2021")</f>
        <v/>
      </c>
      <c r="W20">
        <f>HYPERLINK("https://klasma.github.io/Logging_1737/klagomålsmail/A 43019-2021 FSC-klagomål mail.docx", "A 43019-2021")</f>
        <v/>
      </c>
      <c r="X20">
        <f>HYPERLINK("https://klasma.github.io/Logging_1737/tillsyn/A 43019-2021 tillsynsbegäran.docx", "A 43019-2021")</f>
        <v/>
      </c>
      <c r="Y20">
        <f>HYPERLINK("https://klasma.github.io/Logging_1737/tillsynsmail/A 43019-2021 tillsynsbegäran mail.docx", "A 43019-2021")</f>
        <v/>
      </c>
      <c r="Z20">
        <f>HYPERLINK("https://klasma.github.io/Logging_1737/fåglar/A 43019-2021 prioriterade fågelarter.docx", "A 43019-2021")</f>
        <v/>
      </c>
    </row>
    <row r="21" ht="15" customHeight="1">
      <c r="A21" t="inlineStr">
        <is>
          <t>A 38897-2022</t>
        </is>
      </c>
      <c r="B21" s="1" t="n">
        <v>44816</v>
      </c>
      <c r="C21" s="1" t="n">
        <v>45810</v>
      </c>
      <c r="D21" t="inlineStr">
        <is>
          <t>VÄRMLANDS LÄN</t>
        </is>
      </c>
      <c r="E21" t="inlineStr">
        <is>
          <t>FILIPSTAD</t>
        </is>
      </c>
      <c r="F21" t="inlineStr">
        <is>
          <t>Bergvik skog väst AB</t>
        </is>
      </c>
      <c r="G21" t="n">
        <v>20.4</v>
      </c>
      <c r="H21" t="n">
        <v>2</v>
      </c>
      <c r="I21" t="n">
        <v>6</v>
      </c>
      <c r="J21" t="n">
        <v>6</v>
      </c>
      <c r="K21" t="n">
        <v>1</v>
      </c>
      <c r="L21" t="n">
        <v>0</v>
      </c>
      <c r="M21" t="n">
        <v>0</v>
      </c>
      <c r="N21" t="n">
        <v>0</v>
      </c>
      <c r="O21" t="n">
        <v>7</v>
      </c>
      <c r="P21" t="n">
        <v>1</v>
      </c>
      <c r="Q21" t="n">
        <v>13</v>
      </c>
      <c r="R21" s="2" t="inlineStr">
        <is>
          <t>Lappuggla
Dvärgbägarlav
Garnlav
Vedskivlav
Vedtrappmossa
Violettgrå tagellav
Vitgrynig nållav
Dropptaggsvamp
Kattfotslav
Nästlav
Plattlummer
Skuggblåslav
Vedticka</t>
        </is>
      </c>
      <c r="S21">
        <f>HYPERLINK("https://klasma.github.io/Logging_1782/artfynd/A 38897-2022 artfynd.xlsx", "A 38897-2022")</f>
        <v/>
      </c>
      <c r="T21">
        <f>HYPERLINK("https://klasma.github.io/Logging_1782/kartor/A 38897-2022 karta.png", "A 38897-2022")</f>
        <v/>
      </c>
      <c r="U21">
        <f>HYPERLINK("https://klasma.github.io/Logging_1782/knärot/A 38897-2022 karta knärot.png", "A 38897-2022")</f>
        <v/>
      </c>
      <c r="V21">
        <f>HYPERLINK("https://klasma.github.io/Logging_1782/klagomål/A 38897-2022 FSC-klagomål.docx", "A 38897-2022")</f>
        <v/>
      </c>
      <c r="W21">
        <f>HYPERLINK("https://klasma.github.io/Logging_1782/klagomålsmail/A 38897-2022 FSC-klagomål mail.docx", "A 38897-2022")</f>
        <v/>
      </c>
      <c r="X21">
        <f>HYPERLINK("https://klasma.github.io/Logging_1782/tillsyn/A 38897-2022 tillsynsbegäran.docx", "A 38897-2022")</f>
        <v/>
      </c>
      <c r="Y21">
        <f>HYPERLINK("https://klasma.github.io/Logging_1782/tillsynsmail/A 38897-2022 tillsynsbegäran mail.docx", "A 38897-2022")</f>
        <v/>
      </c>
      <c r="Z21">
        <f>HYPERLINK("https://klasma.github.io/Logging_1782/fåglar/A 38897-2022 prioriterade fågelarter.docx", "A 38897-2022")</f>
        <v/>
      </c>
    </row>
    <row r="22" ht="15" customHeight="1">
      <c r="A22" t="inlineStr">
        <is>
          <t>A 30301-2024</t>
        </is>
      </c>
      <c r="B22" s="1" t="n">
        <v>45490</v>
      </c>
      <c r="C22" s="1" t="n">
        <v>45810</v>
      </c>
      <c r="D22" t="inlineStr">
        <is>
          <t>VÄRMLANDS LÄN</t>
        </is>
      </c>
      <c r="E22" t="inlineStr">
        <is>
          <t>TORSBY</t>
        </is>
      </c>
      <c r="F22" t="inlineStr">
        <is>
          <t>Bergvik skog väst AB</t>
        </is>
      </c>
      <c r="G22" t="n">
        <v>16.3</v>
      </c>
      <c r="H22" t="n">
        <v>3</v>
      </c>
      <c r="I22" t="n">
        <v>8</v>
      </c>
      <c r="J22" t="n">
        <v>2</v>
      </c>
      <c r="K22" t="n">
        <v>0</v>
      </c>
      <c r="L22" t="n">
        <v>0</v>
      </c>
      <c r="M22" t="n">
        <v>0</v>
      </c>
      <c r="N22" t="n">
        <v>0</v>
      </c>
      <c r="O22" t="n">
        <v>2</v>
      </c>
      <c r="P22" t="n">
        <v>0</v>
      </c>
      <c r="Q22" t="n">
        <v>13</v>
      </c>
      <c r="R22" s="2" t="inlineStr">
        <is>
          <t>Dofttaggsvamp
Myskmåra
Bårdlav
Dvärghäxört
Fjällig taggsvamp s.str.
Kransrams
Skinnlav
Svart trolldruva
Underviol
Vårärt
Fläcknycklar
Nattviol
Blåsippa</t>
        </is>
      </c>
      <c r="S22">
        <f>HYPERLINK("https://klasma.github.io/Logging_1737/artfynd/A 30301-2024 artfynd.xlsx", "A 30301-2024")</f>
        <v/>
      </c>
      <c r="T22">
        <f>HYPERLINK("https://klasma.github.io/Logging_1737/kartor/A 30301-2024 karta.png", "A 30301-2024")</f>
        <v/>
      </c>
      <c r="V22">
        <f>HYPERLINK("https://klasma.github.io/Logging_1737/klagomål/A 30301-2024 FSC-klagomål.docx", "A 30301-2024")</f>
        <v/>
      </c>
      <c r="W22">
        <f>HYPERLINK("https://klasma.github.io/Logging_1737/klagomålsmail/A 30301-2024 FSC-klagomål mail.docx", "A 30301-2024")</f>
        <v/>
      </c>
      <c r="X22">
        <f>HYPERLINK("https://klasma.github.io/Logging_1737/tillsyn/A 30301-2024 tillsynsbegäran.docx", "A 30301-2024")</f>
        <v/>
      </c>
      <c r="Y22">
        <f>HYPERLINK("https://klasma.github.io/Logging_1737/tillsynsmail/A 30301-2024 tillsynsbegäran mail.docx", "A 30301-2024")</f>
        <v/>
      </c>
    </row>
    <row r="23" ht="15" customHeight="1">
      <c r="A23" t="inlineStr">
        <is>
          <t>A 33211-2024</t>
        </is>
      </c>
      <c r="B23" s="1" t="n">
        <v>45518</v>
      </c>
      <c r="C23" s="1" t="n">
        <v>45810</v>
      </c>
      <c r="D23" t="inlineStr">
        <is>
          <t>VÄRMLANDS LÄN</t>
        </is>
      </c>
      <c r="E23" t="inlineStr">
        <is>
          <t>TORSBY</t>
        </is>
      </c>
      <c r="G23" t="n">
        <v>6.1</v>
      </c>
      <c r="H23" t="n">
        <v>1</v>
      </c>
      <c r="I23" t="n">
        <v>5</v>
      </c>
      <c r="J23" t="n">
        <v>7</v>
      </c>
      <c r="K23" t="n">
        <v>1</v>
      </c>
      <c r="L23" t="n">
        <v>0</v>
      </c>
      <c r="M23" t="n">
        <v>0</v>
      </c>
      <c r="N23" t="n">
        <v>0</v>
      </c>
      <c r="O23" t="n">
        <v>8</v>
      </c>
      <c r="P23" t="n">
        <v>1</v>
      </c>
      <c r="Q23" t="n">
        <v>13</v>
      </c>
      <c r="R23" s="2" t="inlineStr">
        <is>
          <t>Hållav
Brunpudrad nållav
Garnlav
Lunglav
Orange taggsvamp
Skrovellav
Svart taggsvamp
Talltita
Flagellkvastmossa
Kattfotslav
Korallblylav
Skarp dropptaggsvamp
Stuplav</t>
        </is>
      </c>
      <c r="S23">
        <f>HYPERLINK("https://klasma.github.io/Logging_1737/artfynd/A 33211-2024 artfynd.xlsx", "A 33211-2024")</f>
        <v/>
      </c>
      <c r="T23">
        <f>HYPERLINK("https://klasma.github.io/Logging_1737/kartor/A 33211-2024 karta.png", "A 33211-2024")</f>
        <v/>
      </c>
      <c r="V23">
        <f>HYPERLINK("https://klasma.github.io/Logging_1737/klagomål/A 33211-2024 FSC-klagomål.docx", "A 33211-2024")</f>
        <v/>
      </c>
      <c r="W23">
        <f>HYPERLINK("https://klasma.github.io/Logging_1737/klagomålsmail/A 33211-2024 FSC-klagomål mail.docx", "A 33211-2024")</f>
        <v/>
      </c>
      <c r="X23">
        <f>HYPERLINK("https://klasma.github.io/Logging_1737/tillsyn/A 33211-2024 tillsynsbegäran.docx", "A 33211-2024")</f>
        <v/>
      </c>
      <c r="Y23">
        <f>HYPERLINK("https://klasma.github.io/Logging_1737/tillsynsmail/A 33211-2024 tillsynsbegäran mail.docx", "A 33211-2024")</f>
        <v/>
      </c>
      <c r="Z23">
        <f>HYPERLINK("https://klasma.github.io/Logging_1737/fåglar/A 33211-2024 prioriterade fågelarter.docx", "A 33211-2024")</f>
        <v/>
      </c>
    </row>
    <row r="24" ht="15" customHeight="1">
      <c r="A24" t="inlineStr">
        <is>
          <t>A 37737-2024</t>
        </is>
      </c>
      <c r="B24" s="1" t="n">
        <v>45541</v>
      </c>
      <c r="C24" s="1" t="n">
        <v>45810</v>
      </c>
      <c r="D24" t="inlineStr">
        <is>
          <t>VÄRMLANDS LÄN</t>
        </is>
      </c>
      <c r="E24" t="inlineStr">
        <is>
          <t>TORSBY</t>
        </is>
      </c>
      <c r="F24" t="inlineStr">
        <is>
          <t>Bergvik skog väst AB</t>
        </is>
      </c>
      <c r="G24" t="n">
        <v>15.4</v>
      </c>
      <c r="H24" t="n">
        <v>1</v>
      </c>
      <c r="I24" t="n">
        <v>10</v>
      </c>
      <c r="J24" t="n">
        <v>1</v>
      </c>
      <c r="K24" t="n">
        <v>0</v>
      </c>
      <c r="L24" t="n">
        <v>1</v>
      </c>
      <c r="M24" t="n">
        <v>0</v>
      </c>
      <c r="N24" t="n">
        <v>0</v>
      </c>
      <c r="O24" t="n">
        <v>2</v>
      </c>
      <c r="P24" t="n">
        <v>1</v>
      </c>
      <c r="Q24" t="n">
        <v>13</v>
      </c>
      <c r="R24" s="2" t="inlineStr">
        <is>
          <t>Ask
Veckticka
Barkticka
Bårdlav
Dvärghäxört
Kransrams
Skarp dropptaggsvamp
Skinnlav
Springkorn
Stubbspretmossa
Svart trolldruva
Vårärt
Blåsippa</t>
        </is>
      </c>
      <c r="S24">
        <f>HYPERLINK("https://klasma.github.io/Logging_1737/artfynd/A 37737-2024 artfynd.xlsx", "A 37737-2024")</f>
        <v/>
      </c>
      <c r="T24">
        <f>HYPERLINK("https://klasma.github.io/Logging_1737/kartor/A 37737-2024 karta.png", "A 37737-2024")</f>
        <v/>
      </c>
      <c r="V24">
        <f>HYPERLINK("https://klasma.github.io/Logging_1737/klagomål/A 37737-2024 FSC-klagomål.docx", "A 37737-2024")</f>
        <v/>
      </c>
      <c r="W24">
        <f>HYPERLINK("https://klasma.github.io/Logging_1737/klagomålsmail/A 37737-2024 FSC-klagomål mail.docx", "A 37737-2024")</f>
        <v/>
      </c>
      <c r="X24">
        <f>HYPERLINK("https://klasma.github.io/Logging_1737/tillsyn/A 37737-2024 tillsynsbegäran.docx", "A 37737-2024")</f>
        <v/>
      </c>
      <c r="Y24">
        <f>HYPERLINK("https://klasma.github.io/Logging_1737/tillsynsmail/A 37737-2024 tillsynsbegäran mail.docx", "A 37737-2024")</f>
        <v/>
      </c>
    </row>
    <row r="25" ht="15" customHeight="1">
      <c r="A25" t="inlineStr">
        <is>
          <t>A 41379-2022</t>
        </is>
      </c>
      <c r="B25" s="1" t="n">
        <v>44824</v>
      </c>
      <c r="C25" s="1" t="n">
        <v>45810</v>
      </c>
      <c r="D25" t="inlineStr">
        <is>
          <t>VÄRMLANDS LÄN</t>
        </is>
      </c>
      <c r="E25" t="inlineStr">
        <is>
          <t>ÅRJÄNG</t>
        </is>
      </c>
      <c r="G25" t="n">
        <v>3.3</v>
      </c>
      <c r="H25" t="n">
        <v>1</v>
      </c>
      <c r="I25" t="n">
        <v>5</v>
      </c>
      <c r="J25" t="n">
        <v>7</v>
      </c>
      <c r="K25" t="n">
        <v>0</v>
      </c>
      <c r="L25" t="n">
        <v>0</v>
      </c>
      <c r="M25" t="n">
        <v>0</v>
      </c>
      <c r="N25" t="n">
        <v>0</v>
      </c>
      <c r="O25" t="n">
        <v>7</v>
      </c>
      <c r="P25" t="n">
        <v>0</v>
      </c>
      <c r="Q25" t="n">
        <v>12</v>
      </c>
      <c r="R25" s="2" t="inlineStr">
        <is>
          <t>Garnlav
Kortskaftad ärgspik
Mörk kolflarnlav
Tretåig hackspett
Ullticka
Vedskivlav
Vedtrappmossa
Barkticka
Bårdlav
Kattfotslav
Vedticka
Vågbandad barkbock</t>
        </is>
      </c>
      <c r="S25">
        <f>HYPERLINK("https://klasma.github.io/Logging_1765/artfynd/A 41379-2022 artfynd.xlsx", "A 41379-2022")</f>
        <v/>
      </c>
      <c r="T25">
        <f>HYPERLINK("https://klasma.github.io/Logging_1765/kartor/A 41379-2022 karta.png", "A 41379-2022")</f>
        <v/>
      </c>
      <c r="V25">
        <f>HYPERLINK("https://klasma.github.io/Logging_1765/klagomål/A 41379-2022 FSC-klagomål.docx", "A 41379-2022")</f>
        <v/>
      </c>
      <c r="W25">
        <f>HYPERLINK("https://klasma.github.io/Logging_1765/klagomålsmail/A 41379-2022 FSC-klagomål mail.docx", "A 41379-2022")</f>
        <v/>
      </c>
      <c r="X25">
        <f>HYPERLINK("https://klasma.github.io/Logging_1765/tillsyn/A 41379-2022 tillsynsbegäran.docx", "A 41379-2022")</f>
        <v/>
      </c>
      <c r="Y25">
        <f>HYPERLINK("https://klasma.github.io/Logging_1765/tillsynsmail/A 41379-2022 tillsynsbegäran mail.docx", "A 41379-2022")</f>
        <v/>
      </c>
      <c r="Z25">
        <f>HYPERLINK("https://klasma.github.io/Logging_1765/fåglar/A 41379-2022 prioriterade fågelarter.docx", "A 41379-2022")</f>
        <v/>
      </c>
    </row>
    <row r="26" ht="15" customHeight="1">
      <c r="A26" t="inlineStr">
        <is>
          <t>A 9075-2023</t>
        </is>
      </c>
      <c r="B26" s="1" t="n">
        <v>44979</v>
      </c>
      <c r="C26" s="1" t="n">
        <v>45810</v>
      </c>
      <c r="D26" t="inlineStr">
        <is>
          <t>VÄRMLANDS LÄN</t>
        </is>
      </c>
      <c r="E26" t="inlineStr">
        <is>
          <t>TORSBY</t>
        </is>
      </c>
      <c r="G26" t="n">
        <v>11.9</v>
      </c>
      <c r="H26" t="n">
        <v>2</v>
      </c>
      <c r="I26" t="n">
        <v>2</v>
      </c>
      <c r="J26" t="n">
        <v>9</v>
      </c>
      <c r="K26" t="n">
        <v>0</v>
      </c>
      <c r="L26" t="n">
        <v>0</v>
      </c>
      <c r="M26" t="n">
        <v>0</v>
      </c>
      <c r="N26" t="n">
        <v>0</v>
      </c>
      <c r="O26" t="n">
        <v>9</v>
      </c>
      <c r="P26" t="n">
        <v>0</v>
      </c>
      <c r="Q26" t="n">
        <v>12</v>
      </c>
      <c r="R26" s="2" t="inlineStr">
        <is>
          <t>Garnlav
Kolflarnlav
Motaggsvamp
Mörk kolflarnlav
Skrovlig taggsvamp
Spillkråka
Svartvit taggsvamp
Vedskivlav
Violettgrå tagellav
Dropptaggsvamp
Nästlav
Grönsiska</t>
        </is>
      </c>
      <c r="S26">
        <f>HYPERLINK("https://klasma.github.io/Logging_1737/artfynd/A 9075-2023 artfynd.xlsx", "A 9075-2023")</f>
        <v/>
      </c>
      <c r="T26">
        <f>HYPERLINK("https://klasma.github.io/Logging_1737/kartor/A 9075-2023 karta.png", "A 9075-2023")</f>
        <v/>
      </c>
      <c r="V26">
        <f>HYPERLINK("https://klasma.github.io/Logging_1737/klagomål/A 9075-2023 FSC-klagomål.docx", "A 9075-2023")</f>
        <v/>
      </c>
      <c r="W26">
        <f>HYPERLINK("https://klasma.github.io/Logging_1737/klagomålsmail/A 9075-2023 FSC-klagomål mail.docx", "A 9075-2023")</f>
        <v/>
      </c>
      <c r="X26">
        <f>HYPERLINK("https://klasma.github.io/Logging_1737/tillsyn/A 9075-2023 tillsynsbegäran.docx", "A 9075-2023")</f>
        <v/>
      </c>
      <c r="Y26">
        <f>HYPERLINK("https://klasma.github.io/Logging_1737/tillsynsmail/A 9075-2023 tillsynsbegäran mail.docx", "A 9075-2023")</f>
        <v/>
      </c>
      <c r="Z26">
        <f>HYPERLINK("https://klasma.github.io/Logging_1737/fåglar/A 9075-2023 prioriterade fågelarter.docx", "A 9075-2023")</f>
        <v/>
      </c>
    </row>
    <row r="27" ht="15" customHeight="1">
      <c r="A27" t="inlineStr">
        <is>
          <t>A 44460-2023</t>
        </is>
      </c>
      <c r="B27" s="1" t="n">
        <v>45189</v>
      </c>
      <c r="C27" s="1" t="n">
        <v>45810</v>
      </c>
      <c r="D27" t="inlineStr">
        <is>
          <t>VÄRMLANDS LÄN</t>
        </is>
      </c>
      <c r="E27" t="inlineStr">
        <is>
          <t>TORSBY</t>
        </is>
      </c>
      <c r="G27" t="n">
        <v>9.199999999999999</v>
      </c>
      <c r="H27" t="n">
        <v>1</v>
      </c>
      <c r="I27" t="n">
        <v>4</v>
      </c>
      <c r="J27" t="n">
        <v>8</v>
      </c>
      <c r="K27" t="n">
        <v>0</v>
      </c>
      <c r="L27" t="n">
        <v>0</v>
      </c>
      <c r="M27" t="n">
        <v>0</v>
      </c>
      <c r="N27" t="n">
        <v>0</v>
      </c>
      <c r="O27" t="n">
        <v>8</v>
      </c>
      <c r="P27" t="n">
        <v>0</v>
      </c>
      <c r="Q27" t="n">
        <v>12</v>
      </c>
      <c r="R27" s="2" t="inlineStr">
        <is>
          <t>Blanksvart spiklav
Motaggsvamp
Mörk kolflarnlav
Skrovlig taggsvamp
Talltita
Vedflamlav
Vedskivlav
Vitplätt
Dropptaggsvamp
Mindre märgborre
Nästlav
Skarp dropptaggsvamp</t>
        </is>
      </c>
      <c r="S27">
        <f>HYPERLINK("https://klasma.github.io/Logging_1737/artfynd/A 44460-2023 artfynd.xlsx", "A 44460-2023")</f>
        <v/>
      </c>
      <c r="T27">
        <f>HYPERLINK("https://klasma.github.io/Logging_1737/kartor/A 44460-2023 karta.png", "A 44460-2023")</f>
        <v/>
      </c>
      <c r="V27">
        <f>HYPERLINK("https://klasma.github.io/Logging_1737/klagomål/A 44460-2023 FSC-klagomål.docx", "A 44460-2023")</f>
        <v/>
      </c>
      <c r="W27">
        <f>HYPERLINK("https://klasma.github.io/Logging_1737/klagomålsmail/A 44460-2023 FSC-klagomål mail.docx", "A 44460-2023")</f>
        <v/>
      </c>
      <c r="X27">
        <f>HYPERLINK("https://klasma.github.io/Logging_1737/tillsyn/A 44460-2023 tillsynsbegäran.docx", "A 44460-2023")</f>
        <v/>
      </c>
      <c r="Y27">
        <f>HYPERLINK("https://klasma.github.io/Logging_1737/tillsynsmail/A 44460-2023 tillsynsbegäran mail.docx", "A 44460-2023")</f>
        <v/>
      </c>
      <c r="Z27">
        <f>HYPERLINK("https://klasma.github.io/Logging_1737/fåglar/A 44460-2023 prioriterade fågelarter.docx", "A 44460-2023")</f>
        <v/>
      </c>
    </row>
    <row r="28" ht="15" customHeight="1">
      <c r="A28" t="inlineStr">
        <is>
          <t>A 57613-2023</t>
        </is>
      </c>
      <c r="B28" s="1" t="n">
        <v>45246</v>
      </c>
      <c r="C28" s="1" t="n">
        <v>45810</v>
      </c>
      <c r="D28" t="inlineStr">
        <is>
          <t>VÄRMLANDS LÄN</t>
        </is>
      </c>
      <c r="E28" t="inlineStr">
        <is>
          <t>HAGFORS</t>
        </is>
      </c>
      <c r="F28" t="inlineStr">
        <is>
          <t>Kyrkan</t>
        </is>
      </c>
      <c r="G28" t="n">
        <v>29.5</v>
      </c>
      <c r="H28" t="n">
        <v>0</v>
      </c>
      <c r="I28" t="n">
        <v>4</v>
      </c>
      <c r="J28" t="n">
        <v>8</v>
      </c>
      <c r="K28" t="n">
        <v>0</v>
      </c>
      <c r="L28" t="n">
        <v>0</v>
      </c>
      <c r="M28" t="n">
        <v>0</v>
      </c>
      <c r="N28" t="n">
        <v>0</v>
      </c>
      <c r="O28" t="n">
        <v>8</v>
      </c>
      <c r="P28" t="n">
        <v>0</v>
      </c>
      <c r="Q28" t="n">
        <v>12</v>
      </c>
      <c r="R28" s="2" t="inlineStr">
        <is>
          <t>Brunpudrad nållav
Garnlav
Kolflarnlav
Lunglav
Mörk kolflarnlav
Skrovellav
Vedskivlav
Vedtrappmossa
Bollvitmossa
Dropptaggsvamp
Skinnlav
Skuggblåslav</t>
        </is>
      </c>
      <c r="S28">
        <f>HYPERLINK("https://klasma.github.io/Logging_1783/artfynd/A 57613-2023 artfynd.xlsx", "A 57613-2023")</f>
        <v/>
      </c>
      <c r="T28">
        <f>HYPERLINK("https://klasma.github.io/Logging_1783/kartor/A 57613-2023 karta.png", "A 57613-2023")</f>
        <v/>
      </c>
      <c r="V28">
        <f>HYPERLINK("https://klasma.github.io/Logging_1783/klagomål/A 57613-2023 FSC-klagomål.docx", "A 57613-2023")</f>
        <v/>
      </c>
      <c r="W28">
        <f>HYPERLINK("https://klasma.github.io/Logging_1783/klagomålsmail/A 57613-2023 FSC-klagomål mail.docx", "A 57613-2023")</f>
        <v/>
      </c>
      <c r="X28">
        <f>HYPERLINK("https://klasma.github.io/Logging_1783/tillsyn/A 57613-2023 tillsynsbegäran.docx", "A 57613-2023")</f>
        <v/>
      </c>
      <c r="Y28">
        <f>HYPERLINK("https://klasma.github.io/Logging_1783/tillsynsmail/A 57613-2023 tillsynsbegäran mail.docx", "A 57613-2023")</f>
        <v/>
      </c>
    </row>
    <row r="29" ht="15" customHeight="1">
      <c r="A29" t="inlineStr">
        <is>
          <t>A 24064-2019</t>
        </is>
      </c>
      <c r="B29" s="1" t="n">
        <v>43598</v>
      </c>
      <c r="C29" s="1" t="n">
        <v>45810</v>
      </c>
      <c r="D29" t="inlineStr">
        <is>
          <t>VÄRMLANDS LÄN</t>
        </is>
      </c>
      <c r="E29" t="inlineStr">
        <is>
          <t>SÄFFLE</t>
        </is>
      </c>
      <c r="G29" t="n">
        <v>19.1</v>
      </c>
      <c r="H29" t="n">
        <v>0</v>
      </c>
      <c r="I29" t="n">
        <v>5</v>
      </c>
      <c r="J29" t="n">
        <v>5</v>
      </c>
      <c r="K29" t="n">
        <v>1</v>
      </c>
      <c r="L29" t="n">
        <v>0</v>
      </c>
      <c r="M29" t="n">
        <v>0</v>
      </c>
      <c r="N29" t="n">
        <v>0</v>
      </c>
      <c r="O29" t="n">
        <v>6</v>
      </c>
      <c r="P29" t="n">
        <v>1</v>
      </c>
      <c r="Q29" t="n">
        <v>11</v>
      </c>
      <c r="R29" s="2" t="inlineStr">
        <is>
          <t>Raggbock
Garnlav
Gränsticka
Kortskaftad ärgspik
Tallticka
Vedtrappmossa
Bronshjon
Dropptaggsvamp
Kornig nållav
Thomsons trägnagare
Vedticka</t>
        </is>
      </c>
      <c r="S29">
        <f>HYPERLINK("https://klasma.github.io/Logging_1785/artfynd/A 24064-2019 artfynd.xlsx", "A 24064-2019")</f>
        <v/>
      </c>
      <c r="T29">
        <f>HYPERLINK("https://klasma.github.io/Logging_1785/kartor/A 24064-2019 karta.png", "A 24064-2019")</f>
        <v/>
      </c>
      <c r="V29">
        <f>HYPERLINK("https://klasma.github.io/Logging_1785/klagomål/A 24064-2019 FSC-klagomål.docx", "A 24064-2019")</f>
        <v/>
      </c>
      <c r="W29">
        <f>HYPERLINK("https://klasma.github.io/Logging_1785/klagomålsmail/A 24064-2019 FSC-klagomål mail.docx", "A 24064-2019")</f>
        <v/>
      </c>
      <c r="X29">
        <f>HYPERLINK("https://klasma.github.io/Logging_1785/tillsyn/A 24064-2019 tillsynsbegäran.docx", "A 24064-2019")</f>
        <v/>
      </c>
      <c r="Y29">
        <f>HYPERLINK("https://klasma.github.io/Logging_1785/tillsynsmail/A 24064-2019 tillsynsbegäran mail.docx", "A 24064-2019")</f>
        <v/>
      </c>
    </row>
    <row r="30" ht="15" customHeight="1">
      <c r="A30" t="inlineStr">
        <is>
          <t>A 26495-2020</t>
        </is>
      </c>
      <c r="B30" s="1" t="n">
        <v>43987</v>
      </c>
      <c r="C30" s="1" t="n">
        <v>45810</v>
      </c>
      <c r="D30" t="inlineStr">
        <is>
          <t>VÄRMLANDS LÄN</t>
        </is>
      </c>
      <c r="E30" t="inlineStr">
        <is>
          <t>ARVIKA</t>
        </is>
      </c>
      <c r="G30" t="n">
        <v>0.9</v>
      </c>
      <c r="H30" t="n">
        <v>1</v>
      </c>
      <c r="I30" t="n">
        <v>8</v>
      </c>
      <c r="J30" t="n">
        <v>2</v>
      </c>
      <c r="K30" t="n">
        <v>1</v>
      </c>
      <c r="L30" t="n">
        <v>0</v>
      </c>
      <c r="M30" t="n">
        <v>0</v>
      </c>
      <c r="N30" t="n">
        <v>0</v>
      </c>
      <c r="O30" t="n">
        <v>3</v>
      </c>
      <c r="P30" t="n">
        <v>1</v>
      </c>
      <c r="Q30" t="n">
        <v>11</v>
      </c>
      <c r="R30" s="2" t="inlineStr">
        <is>
          <t>Knärot
Tallticka
Ullticka
Blåsfliksmossa
Bårdlav
Jättesvampmal
Platt fjädermossa
Rävticka
Stubbspretmossa
Vedticka
Vågbandad barkbock</t>
        </is>
      </c>
      <c r="S30">
        <f>HYPERLINK("https://klasma.github.io/Logging_1784/artfynd/A 26495-2020 artfynd.xlsx", "A 26495-2020")</f>
        <v/>
      </c>
      <c r="T30">
        <f>HYPERLINK("https://klasma.github.io/Logging_1784/kartor/A 26495-2020 karta.png", "A 26495-2020")</f>
        <v/>
      </c>
      <c r="U30">
        <f>HYPERLINK("https://klasma.github.io/Logging_1784/knärot/A 26495-2020 karta knärot.png", "A 26495-2020")</f>
        <v/>
      </c>
      <c r="V30">
        <f>HYPERLINK("https://klasma.github.io/Logging_1784/klagomål/A 26495-2020 FSC-klagomål.docx", "A 26495-2020")</f>
        <v/>
      </c>
      <c r="W30">
        <f>HYPERLINK("https://klasma.github.io/Logging_1784/klagomålsmail/A 26495-2020 FSC-klagomål mail.docx", "A 26495-2020")</f>
        <v/>
      </c>
      <c r="X30">
        <f>HYPERLINK("https://klasma.github.io/Logging_1784/tillsyn/A 26495-2020 tillsynsbegäran.docx", "A 26495-2020")</f>
        <v/>
      </c>
      <c r="Y30">
        <f>HYPERLINK("https://klasma.github.io/Logging_1784/tillsynsmail/A 26495-2020 tillsynsbegäran mail.docx", "A 26495-2020")</f>
        <v/>
      </c>
    </row>
    <row r="31" ht="15" customHeight="1">
      <c r="A31" t="inlineStr">
        <is>
          <t>A 12370-2022</t>
        </is>
      </c>
      <c r="B31" s="1" t="n">
        <v>44637</v>
      </c>
      <c r="C31" s="1" t="n">
        <v>45810</v>
      </c>
      <c r="D31" t="inlineStr">
        <is>
          <t>VÄRMLANDS LÄN</t>
        </is>
      </c>
      <c r="E31" t="inlineStr">
        <is>
          <t>TORSBY</t>
        </is>
      </c>
      <c r="G31" t="n">
        <v>4.7</v>
      </c>
      <c r="H31" t="n">
        <v>0</v>
      </c>
      <c r="I31" t="n">
        <v>3</v>
      </c>
      <c r="J31" t="n">
        <v>7</v>
      </c>
      <c r="K31" t="n">
        <v>1</v>
      </c>
      <c r="L31" t="n">
        <v>0</v>
      </c>
      <c r="M31" t="n">
        <v>0</v>
      </c>
      <c r="N31" t="n">
        <v>0</v>
      </c>
      <c r="O31" t="n">
        <v>8</v>
      </c>
      <c r="P31" t="n">
        <v>1</v>
      </c>
      <c r="Q31" t="n">
        <v>11</v>
      </c>
      <c r="R31" s="2" t="inlineStr">
        <is>
          <t>Norsk näverlav
Brunpudrad nållav
Doftskinn
Gammelgransskål
Garnlav
Orange taggsvamp
Violettgrå tagellav
Vitgrynig nållav
Bronshjon
Dropptaggsvamp
Vedticka</t>
        </is>
      </c>
      <c r="S31">
        <f>HYPERLINK("https://klasma.github.io/Logging_1737/artfynd/A 12370-2022 artfynd.xlsx", "A 12370-2022")</f>
        <v/>
      </c>
      <c r="T31">
        <f>HYPERLINK("https://klasma.github.io/Logging_1737/kartor/A 12370-2022 karta.png", "A 12370-2022")</f>
        <v/>
      </c>
      <c r="V31">
        <f>HYPERLINK("https://klasma.github.io/Logging_1737/klagomål/A 12370-2022 FSC-klagomål.docx", "A 12370-2022")</f>
        <v/>
      </c>
      <c r="W31">
        <f>HYPERLINK("https://klasma.github.io/Logging_1737/klagomålsmail/A 12370-2022 FSC-klagomål mail.docx", "A 12370-2022")</f>
        <v/>
      </c>
      <c r="X31">
        <f>HYPERLINK("https://klasma.github.io/Logging_1737/tillsyn/A 12370-2022 tillsynsbegäran.docx", "A 12370-2022")</f>
        <v/>
      </c>
      <c r="Y31">
        <f>HYPERLINK("https://klasma.github.io/Logging_1737/tillsynsmail/A 12370-2022 tillsynsbegäran mail.docx", "A 12370-2022")</f>
        <v/>
      </c>
    </row>
    <row r="32" ht="15" customHeight="1">
      <c r="A32" t="inlineStr">
        <is>
          <t>A 53132-2023</t>
        </is>
      </c>
      <c r="B32" s="1" t="n">
        <v>45229</v>
      </c>
      <c r="C32" s="1" t="n">
        <v>45810</v>
      </c>
      <c r="D32" t="inlineStr">
        <is>
          <t>VÄRMLANDS LÄN</t>
        </is>
      </c>
      <c r="E32" t="inlineStr">
        <is>
          <t>KRISTINEHAMN</t>
        </is>
      </c>
      <c r="G32" t="n">
        <v>4.9</v>
      </c>
      <c r="H32" t="n">
        <v>4</v>
      </c>
      <c r="I32" t="n">
        <v>6</v>
      </c>
      <c r="J32" t="n">
        <v>3</v>
      </c>
      <c r="K32" t="n">
        <v>1</v>
      </c>
      <c r="L32" t="n">
        <v>0</v>
      </c>
      <c r="M32" t="n">
        <v>0</v>
      </c>
      <c r="N32" t="n">
        <v>0</v>
      </c>
      <c r="O32" t="n">
        <v>4</v>
      </c>
      <c r="P32" t="n">
        <v>1</v>
      </c>
      <c r="Q32" t="n">
        <v>11</v>
      </c>
      <c r="R32" s="2" t="inlineStr">
        <is>
          <t>Bombmurkla
Talltita
Ullticka
Vedtrappmossa
Brandticka
Bronshjon
Grön sköldmossa
Grönpyrola
Kamjordstjärna
Vågbandad barkbock
Blåsippa</t>
        </is>
      </c>
      <c r="S32">
        <f>HYPERLINK("https://klasma.github.io/Logging_1781/artfynd/A 53132-2023 artfynd.xlsx", "A 53132-2023")</f>
        <v/>
      </c>
      <c r="T32">
        <f>HYPERLINK("https://klasma.github.io/Logging_1781/kartor/A 53132-2023 karta.png", "A 53132-2023")</f>
        <v/>
      </c>
      <c r="V32">
        <f>HYPERLINK("https://klasma.github.io/Logging_1781/klagomål/A 53132-2023 FSC-klagomål.docx", "A 53132-2023")</f>
        <v/>
      </c>
      <c r="W32">
        <f>HYPERLINK("https://klasma.github.io/Logging_1781/klagomålsmail/A 53132-2023 FSC-klagomål mail.docx", "A 53132-2023")</f>
        <v/>
      </c>
      <c r="X32">
        <f>HYPERLINK("https://klasma.github.io/Logging_1781/tillsyn/A 53132-2023 tillsynsbegäran.docx", "A 53132-2023")</f>
        <v/>
      </c>
      <c r="Y32">
        <f>HYPERLINK("https://klasma.github.io/Logging_1781/tillsynsmail/A 53132-2023 tillsynsbegäran mail.docx", "A 53132-2023")</f>
        <v/>
      </c>
      <c r="Z32">
        <f>HYPERLINK("https://klasma.github.io/Logging_1781/fåglar/A 53132-2023 prioriterade fågelarter.docx", "A 53132-2023")</f>
        <v/>
      </c>
    </row>
    <row r="33" ht="15" customHeight="1">
      <c r="A33" t="inlineStr">
        <is>
          <t>A 34188-2024</t>
        </is>
      </c>
      <c r="B33" s="1" t="n">
        <v>45524</v>
      </c>
      <c r="C33" s="1" t="n">
        <v>45810</v>
      </c>
      <c r="D33" t="inlineStr">
        <is>
          <t>VÄRMLANDS LÄN</t>
        </is>
      </c>
      <c r="E33" t="inlineStr">
        <is>
          <t>ARVIKA</t>
        </is>
      </c>
      <c r="G33" t="n">
        <v>7.5</v>
      </c>
      <c r="H33" t="n">
        <v>5</v>
      </c>
      <c r="I33" t="n">
        <v>5</v>
      </c>
      <c r="J33" t="n">
        <v>4</v>
      </c>
      <c r="K33" t="n">
        <v>1</v>
      </c>
      <c r="L33" t="n">
        <v>0</v>
      </c>
      <c r="M33" t="n">
        <v>0</v>
      </c>
      <c r="N33" t="n">
        <v>0</v>
      </c>
      <c r="O33" t="n">
        <v>5</v>
      </c>
      <c r="P33" t="n">
        <v>1</v>
      </c>
      <c r="Q33" t="n">
        <v>11</v>
      </c>
      <c r="R33" s="2" t="inlineStr">
        <is>
          <t>Rynkskinn
Spillkråka
Talltita
Tretåig hackspett
Violettgrå tagellav
Grön sköldmossa
Kattfotslav
Stenporella
Stor revmossa
Stubbspretmossa
Kungsfågel</t>
        </is>
      </c>
      <c r="S33">
        <f>HYPERLINK("https://klasma.github.io/Logging_1784/artfynd/A 34188-2024 artfynd.xlsx", "A 34188-2024")</f>
        <v/>
      </c>
      <c r="T33">
        <f>HYPERLINK("https://klasma.github.io/Logging_1784/kartor/A 34188-2024 karta.png", "A 34188-2024")</f>
        <v/>
      </c>
      <c r="V33">
        <f>HYPERLINK("https://klasma.github.io/Logging_1784/klagomål/A 34188-2024 FSC-klagomål.docx", "A 34188-2024")</f>
        <v/>
      </c>
      <c r="W33">
        <f>HYPERLINK("https://klasma.github.io/Logging_1784/klagomålsmail/A 34188-2024 FSC-klagomål mail.docx", "A 34188-2024")</f>
        <v/>
      </c>
      <c r="X33">
        <f>HYPERLINK("https://klasma.github.io/Logging_1784/tillsyn/A 34188-2024 tillsynsbegäran.docx", "A 34188-2024")</f>
        <v/>
      </c>
      <c r="Y33">
        <f>HYPERLINK("https://klasma.github.io/Logging_1784/tillsynsmail/A 34188-2024 tillsynsbegäran mail.docx", "A 34188-2024")</f>
        <v/>
      </c>
      <c r="Z33">
        <f>HYPERLINK("https://klasma.github.io/Logging_1784/fåglar/A 34188-2024 prioriterade fågelarter.docx", "A 34188-2024")</f>
        <v/>
      </c>
    </row>
    <row r="34" ht="15" customHeight="1">
      <c r="A34" t="inlineStr">
        <is>
          <t>A 10996-2020</t>
        </is>
      </c>
      <c r="B34" s="1" t="n">
        <v>43889</v>
      </c>
      <c r="C34" s="1" t="n">
        <v>45810</v>
      </c>
      <c r="D34" t="inlineStr">
        <is>
          <t>VÄRMLANDS LÄN</t>
        </is>
      </c>
      <c r="E34" t="inlineStr">
        <is>
          <t>FILIPSTAD</t>
        </is>
      </c>
      <c r="F34" t="inlineStr">
        <is>
          <t>Bergvik skog väst AB</t>
        </is>
      </c>
      <c r="G34" t="n">
        <v>28.1</v>
      </c>
      <c r="H34" t="n">
        <v>3</v>
      </c>
      <c r="I34" t="n">
        <v>4</v>
      </c>
      <c r="J34" t="n">
        <v>5</v>
      </c>
      <c r="K34" t="n">
        <v>1</v>
      </c>
      <c r="L34" t="n">
        <v>0</v>
      </c>
      <c r="M34" t="n">
        <v>0</v>
      </c>
      <c r="N34" t="n">
        <v>0</v>
      </c>
      <c r="O34" t="n">
        <v>6</v>
      </c>
      <c r="P34" t="n">
        <v>1</v>
      </c>
      <c r="Q34" t="n">
        <v>10</v>
      </c>
      <c r="R34" s="2" t="inlineStr">
        <is>
          <t>Knärot
Gränsticka
Spillkråka
Tallticka
Ullticka
Vedtrappmossa
Dropptaggsvamp
Grön sköldmossa
Rostfläck
Vedticka</t>
        </is>
      </c>
      <c r="S34">
        <f>HYPERLINK("https://klasma.github.io/Logging_1782/artfynd/A 10996-2020 artfynd.xlsx", "A 10996-2020")</f>
        <v/>
      </c>
      <c r="T34">
        <f>HYPERLINK("https://klasma.github.io/Logging_1782/kartor/A 10996-2020 karta.png", "A 10996-2020")</f>
        <v/>
      </c>
      <c r="U34">
        <f>HYPERLINK("https://klasma.github.io/Logging_1782/knärot/A 10996-2020 karta knärot.png", "A 10996-2020")</f>
        <v/>
      </c>
      <c r="V34">
        <f>HYPERLINK("https://klasma.github.io/Logging_1782/klagomål/A 10996-2020 FSC-klagomål.docx", "A 10996-2020")</f>
        <v/>
      </c>
      <c r="W34">
        <f>HYPERLINK("https://klasma.github.io/Logging_1782/klagomålsmail/A 10996-2020 FSC-klagomål mail.docx", "A 10996-2020")</f>
        <v/>
      </c>
      <c r="X34">
        <f>HYPERLINK("https://klasma.github.io/Logging_1782/tillsyn/A 10996-2020 tillsynsbegäran.docx", "A 10996-2020")</f>
        <v/>
      </c>
      <c r="Y34">
        <f>HYPERLINK("https://klasma.github.io/Logging_1782/tillsynsmail/A 10996-2020 tillsynsbegäran mail.docx", "A 10996-2020")</f>
        <v/>
      </c>
      <c r="Z34">
        <f>HYPERLINK("https://klasma.github.io/Logging_1782/fåglar/A 10996-2020 prioriterade fågelarter.docx", "A 10996-2020")</f>
        <v/>
      </c>
    </row>
    <row r="35" ht="15" customHeight="1">
      <c r="A35" t="inlineStr">
        <is>
          <t>A 13841-2022</t>
        </is>
      </c>
      <c r="B35" s="1" t="n">
        <v>44649</v>
      </c>
      <c r="C35" s="1" t="n">
        <v>45810</v>
      </c>
      <c r="D35" t="inlineStr">
        <is>
          <t>VÄRMLANDS LÄN</t>
        </is>
      </c>
      <c r="E35" t="inlineStr">
        <is>
          <t>ÅRJÄNG</t>
        </is>
      </c>
      <c r="G35" t="n">
        <v>18.2</v>
      </c>
      <c r="H35" t="n">
        <v>1</v>
      </c>
      <c r="I35" t="n">
        <v>6</v>
      </c>
      <c r="J35" t="n">
        <v>3</v>
      </c>
      <c r="K35" t="n">
        <v>0</v>
      </c>
      <c r="L35" t="n">
        <v>1</v>
      </c>
      <c r="M35" t="n">
        <v>0</v>
      </c>
      <c r="N35" t="n">
        <v>0</v>
      </c>
      <c r="O35" t="n">
        <v>4</v>
      </c>
      <c r="P35" t="n">
        <v>1</v>
      </c>
      <c r="Q35" t="n">
        <v>10</v>
      </c>
      <c r="R35" s="2" t="inlineStr">
        <is>
          <t>Grynlav
Brunpudrad nållav
Tretåig hackspett
Vedtrappmossa
Bronshjon
Bårdlav
Kattfotslav
Korallblylav
Terpentinmossa
Vedticka</t>
        </is>
      </c>
      <c r="S35">
        <f>HYPERLINK("https://klasma.github.io/Logging_1765/artfynd/A 13841-2022 artfynd.xlsx", "A 13841-2022")</f>
        <v/>
      </c>
      <c r="T35">
        <f>HYPERLINK("https://klasma.github.io/Logging_1765/kartor/A 13841-2022 karta.png", "A 13841-2022")</f>
        <v/>
      </c>
      <c r="V35">
        <f>HYPERLINK("https://klasma.github.io/Logging_1765/klagomål/A 13841-2022 FSC-klagomål.docx", "A 13841-2022")</f>
        <v/>
      </c>
      <c r="W35">
        <f>HYPERLINK("https://klasma.github.io/Logging_1765/klagomålsmail/A 13841-2022 FSC-klagomål mail.docx", "A 13841-2022")</f>
        <v/>
      </c>
      <c r="X35">
        <f>HYPERLINK("https://klasma.github.io/Logging_1765/tillsyn/A 13841-2022 tillsynsbegäran.docx", "A 13841-2022")</f>
        <v/>
      </c>
      <c r="Y35">
        <f>HYPERLINK("https://klasma.github.io/Logging_1765/tillsynsmail/A 13841-2022 tillsynsbegäran mail.docx", "A 13841-2022")</f>
        <v/>
      </c>
      <c r="Z35">
        <f>HYPERLINK("https://klasma.github.io/Logging_1765/fåglar/A 13841-2022 prioriterade fågelarter.docx", "A 13841-2022")</f>
        <v/>
      </c>
    </row>
    <row r="36" ht="15" customHeight="1">
      <c r="A36" t="inlineStr">
        <is>
          <t>A 31203-2022</t>
        </is>
      </c>
      <c r="B36" s="1" t="n">
        <v>44770</v>
      </c>
      <c r="C36" s="1" t="n">
        <v>45810</v>
      </c>
      <c r="D36" t="inlineStr">
        <is>
          <t>VÄRMLANDS LÄN</t>
        </is>
      </c>
      <c r="E36" t="inlineStr">
        <is>
          <t>TORSBY</t>
        </is>
      </c>
      <c r="G36" t="n">
        <v>33.5</v>
      </c>
      <c r="H36" t="n">
        <v>0</v>
      </c>
      <c r="I36" t="n">
        <v>3</v>
      </c>
      <c r="J36" t="n">
        <v>7</v>
      </c>
      <c r="K36" t="n">
        <v>0</v>
      </c>
      <c r="L36" t="n">
        <v>0</v>
      </c>
      <c r="M36" t="n">
        <v>0</v>
      </c>
      <c r="N36" t="n">
        <v>0</v>
      </c>
      <c r="O36" t="n">
        <v>7</v>
      </c>
      <c r="P36" t="n">
        <v>0</v>
      </c>
      <c r="Q36" t="n">
        <v>10</v>
      </c>
      <c r="R36" s="2" t="inlineStr">
        <is>
          <t>Garnlav
Kolflarnlav
Lunglav
Mörk kolflarnlav
Skrovellav
Tallticka
Vedskivlav
Bårdlav
Skinnlav
Skuggblåslav</t>
        </is>
      </c>
      <c r="S36">
        <f>HYPERLINK("https://klasma.github.io/Logging_1737/artfynd/A 31203-2022 artfynd.xlsx", "A 31203-2022")</f>
        <v/>
      </c>
      <c r="T36">
        <f>HYPERLINK("https://klasma.github.io/Logging_1737/kartor/A 31203-2022 karta.png", "A 31203-2022")</f>
        <v/>
      </c>
      <c r="V36">
        <f>HYPERLINK("https://klasma.github.io/Logging_1737/klagomål/A 31203-2022 FSC-klagomål.docx", "A 31203-2022")</f>
        <v/>
      </c>
      <c r="W36">
        <f>HYPERLINK("https://klasma.github.io/Logging_1737/klagomålsmail/A 31203-2022 FSC-klagomål mail.docx", "A 31203-2022")</f>
        <v/>
      </c>
      <c r="X36">
        <f>HYPERLINK("https://klasma.github.io/Logging_1737/tillsyn/A 31203-2022 tillsynsbegäran.docx", "A 31203-2022")</f>
        <v/>
      </c>
      <c r="Y36">
        <f>HYPERLINK("https://klasma.github.io/Logging_1737/tillsynsmail/A 31203-2022 tillsynsbegäran mail.docx", "A 31203-2022")</f>
        <v/>
      </c>
    </row>
    <row r="37" ht="15" customHeight="1">
      <c r="A37" t="inlineStr">
        <is>
          <t>A 38899-2022</t>
        </is>
      </c>
      <c r="B37" s="1" t="n">
        <v>44816</v>
      </c>
      <c r="C37" s="1" t="n">
        <v>45810</v>
      </c>
      <c r="D37" t="inlineStr">
        <is>
          <t>VÄRMLANDS LÄN</t>
        </is>
      </c>
      <c r="E37" t="inlineStr">
        <is>
          <t>FILIPSTAD</t>
        </is>
      </c>
      <c r="F37" t="inlineStr">
        <is>
          <t>Bergvik skog väst AB</t>
        </is>
      </c>
      <c r="G37" t="n">
        <v>16.7</v>
      </c>
      <c r="H37" t="n">
        <v>2</v>
      </c>
      <c r="I37" t="n">
        <v>4</v>
      </c>
      <c r="J37" t="n">
        <v>5</v>
      </c>
      <c r="K37" t="n">
        <v>1</v>
      </c>
      <c r="L37" t="n">
        <v>0</v>
      </c>
      <c r="M37" t="n">
        <v>0</v>
      </c>
      <c r="N37" t="n">
        <v>0</v>
      </c>
      <c r="O37" t="n">
        <v>6</v>
      </c>
      <c r="P37" t="n">
        <v>1</v>
      </c>
      <c r="Q37" t="n">
        <v>10</v>
      </c>
      <c r="R37" s="2" t="inlineStr">
        <is>
          <t>Knärot
Garnlav
Motaggsvamp
Tretåig hackspett
Vedskivlav
Vedtrappmossa
Dropptaggsvamp
Grönpyrola
Skuggblåslav
Vedticka</t>
        </is>
      </c>
      <c r="S37">
        <f>HYPERLINK("https://klasma.github.io/Logging_1782/artfynd/A 38899-2022 artfynd.xlsx", "A 38899-2022")</f>
        <v/>
      </c>
      <c r="T37">
        <f>HYPERLINK("https://klasma.github.io/Logging_1782/kartor/A 38899-2022 karta.png", "A 38899-2022")</f>
        <v/>
      </c>
      <c r="U37">
        <f>HYPERLINK("https://klasma.github.io/Logging_1782/knärot/A 38899-2022 karta knärot.png", "A 38899-2022")</f>
        <v/>
      </c>
      <c r="V37">
        <f>HYPERLINK("https://klasma.github.io/Logging_1782/klagomål/A 38899-2022 FSC-klagomål.docx", "A 38899-2022")</f>
        <v/>
      </c>
      <c r="W37">
        <f>HYPERLINK("https://klasma.github.io/Logging_1782/klagomålsmail/A 38899-2022 FSC-klagomål mail.docx", "A 38899-2022")</f>
        <v/>
      </c>
      <c r="X37">
        <f>HYPERLINK("https://klasma.github.io/Logging_1782/tillsyn/A 38899-2022 tillsynsbegäran.docx", "A 38899-2022")</f>
        <v/>
      </c>
      <c r="Y37">
        <f>HYPERLINK("https://klasma.github.io/Logging_1782/tillsynsmail/A 38899-2022 tillsynsbegäran mail.docx", "A 38899-2022")</f>
        <v/>
      </c>
      <c r="Z37">
        <f>HYPERLINK("https://klasma.github.io/Logging_1782/fåglar/A 38899-2022 prioriterade fågelarter.docx", "A 38899-2022")</f>
        <v/>
      </c>
    </row>
    <row r="38" ht="15" customHeight="1">
      <c r="A38" t="inlineStr">
        <is>
          <t>A 42488-2022</t>
        </is>
      </c>
      <c r="B38" s="1" t="n">
        <v>44831</v>
      </c>
      <c r="C38" s="1" t="n">
        <v>45810</v>
      </c>
      <c r="D38" t="inlineStr">
        <is>
          <t>VÄRMLANDS LÄN</t>
        </is>
      </c>
      <c r="E38" t="inlineStr">
        <is>
          <t>TORSBY</t>
        </is>
      </c>
      <c r="F38" t="inlineStr">
        <is>
          <t>Kommuner</t>
        </is>
      </c>
      <c r="G38" t="n">
        <v>2.7</v>
      </c>
      <c r="H38" t="n">
        <v>2</v>
      </c>
      <c r="I38" t="n">
        <v>5</v>
      </c>
      <c r="J38" t="n">
        <v>3</v>
      </c>
      <c r="K38" t="n">
        <v>2</v>
      </c>
      <c r="L38" t="n">
        <v>0</v>
      </c>
      <c r="M38" t="n">
        <v>0</v>
      </c>
      <c r="N38" t="n">
        <v>0</v>
      </c>
      <c r="O38" t="n">
        <v>5</v>
      </c>
      <c r="P38" t="n">
        <v>2</v>
      </c>
      <c r="Q38" t="n">
        <v>10</v>
      </c>
      <c r="R38" s="2" t="inlineStr">
        <is>
          <t>Knärot
Rynkskinn
Garnlav
Lunglav
Ullticka
Bronshjon
Bårdlav
Grön sköldmossa
Korallblylav
Vedticka</t>
        </is>
      </c>
      <c r="S38">
        <f>HYPERLINK("https://klasma.github.io/Logging_1737/artfynd/A 42488-2022 artfynd.xlsx", "A 42488-2022")</f>
        <v/>
      </c>
      <c r="T38">
        <f>HYPERLINK("https://klasma.github.io/Logging_1737/kartor/A 42488-2022 karta.png", "A 42488-2022")</f>
        <v/>
      </c>
      <c r="U38">
        <f>HYPERLINK("https://klasma.github.io/Logging_1737/knärot/A 42488-2022 karta knärot.png", "A 42488-2022")</f>
        <v/>
      </c>
      <c r="V38">
        <f>HYPERLINK("https://klasma.github.io/Logging_1737/klagomål/A 42488-2022 FSC-klagomål.docx", "A 42488-2022")</f>
        <v/>
      </c>
      <c r="W38">
        <f>HYPERLINK("https://klasma.github.io/Logging_1737/klagomålsmail/A 42488-2022 FSC-klagomål mail.docx", "A 42488-2022")</f>
        <v/>
      </c>
      <c r="X38">
        <f>HYPERLINK("https://klasma.github.io/Logging_1737/tillsyn/A 42488-2022 tillsynsbegäran.docx", "A 42488-2022")</f>
        <v/>
      </c>
      <c r="Y38">
        <f>HYPERLINK("https://klasma.github.io/Logging_1737/tillsynsmail/A 42488-2022 tillsynsbegäran mail.docx", "A 42488-2022")</f>
        <v/>
      </c>
    </row>
    <row r="39" ht="15" customHeight="1">
      <c r="A39" t="inlineStr">
        <is>
          <t>A 39627-2023</t>
        </is>
      </c>
      <c r="B39" s="1" t="n">
        <v>45167</v>
      </c>
      <c r="C39" s="1" t="n">
        <v>45810</v>
      </c>
      <c r="D39" t="inlineStr">
        <is>
          <t>VÄRMLANDS LÄN</t>
        </is>
      </c>
      <c r="E39" t="inlineStr">
        <is>
          <t>HAGFORS</t>
        </is>
      </c>
      <c r="G39" t="n">
        <v>20.2</v>
      </c>
      <c r="H39" t="n">
        <v>0</v>
      </c>
      <c r="I39" t="n">
        <v>4</v>
      </c>
      <c r="J39" t="n">
        <v>5</v>
      </c>
      <c r="K39" t="n">
        <v>1</v>
      </c>
      <c r="L39" t="n">
        <v>0</v>
      </c>
      <c r="M39" t="n">
        <v>0</v>
      </c>
      <c r="N39" t="n">
        <v>0</v>
      </c>
      <c r="O39" t="n">
        <v>6</v>
      </c>
      <c r="P39" t="n">
        <v>1</v>
      </c>
      <c r="Q39" t="n">
        <v>10</v>
      </c>
      <c r="R39" s="2" t="inlineStr">
        <is>
          <t>Smal trollknäppare
Dvärgbägarlav
Kolflarnlav
Kortskaftad ärgspik
Vedskivlav
Vedtrappmossa
Dropptaggsvamp
Korallblylav
Skuggblåslav
Vedticka</t>
        </is>
      </c>
      <c r="S39">
        <f>HYPERLINK("https://klasma.github.io/Logging_1783/artfynd/A 39627-2023 artfynd.xlsx", "A 39627-2023")</f>
        <v/>
      </c>
      <c r="T39">
        <f>HYPERLINK("https://klasma.github.io/Logging_1783/kartor/A 39627-2023 karta.png", "A 39627-2023")</f>
        <v/>
      </c>
      <c r="V39">
        <f>HYPERLINK("https://klasma.github.io/Logging_1783/klagomål/A 39627-2023 FSC-klagomål.docx", "A 39627-2023")</f>
        <v/>
      </c>
      <c r="W39">
        <f>HYPERLINK("https://klasma.github.io/Logging_1783/klagomålsmail/A 39627-2023 FSC-klagomål mail.docx", "A 39627-2023")</f>
        <v/>
      </c>
      <c r="X39">
        <f>HYPERLINK("https://klasma.github.io/Logging_1783/tillsyn/A 39627-2023 tillsynsbegäran.docx", "A 39627-2023")</f>
        <v/>
      </c>
      <c r="Y39">
        <f>HYPERLINK("https://klasma.github.io/Logging_1783/tillsynsmail/A 39627-2023 tillsynsbegäran mail.docx", "A 39627-2023")</f>
        <v/>
      </c>
    </row>
    <row r="40" ht="15" customHeight="1">
      <c r="A40" t="inlineStr">
        <is>
          <t>A 53130-2023</t>
        </is>
      </c>
      <c r="B40" s="1" t="n">
        <v>45229</v>
      </c>
      <c r="C40" s="1" t="n">
        <v>45810</v>
      </c>
      <c r="D40" t="inlineStr">
        <is>
          <t>VÄRMLANDS LÄN</t>
        </is>
      </c>
      <c r="E40" t="inlineStr">
        <is>
          <t>KRISTINEHAMN</t>
        </is>
      </c>
      <c r="G40" t="n">
        <v>6.5</v>
      </c>
      <c r="H40" t="n">
        <v>4</v>
      </c>
      <c r="I40" t="n">
        <v>3</v>
      </c>
      <c r="J40" t="n">
        <v>4</v>
      </c>
      <c r="K40" t="n">
        <v>1</v>
      </c>
      <c r="L40" t="n">
        <v>0</v>
      </c>
      <c r="M40" t="n">
        <v>0</v>
      </c>
      <c r="N40" t="n">
        <v>0</v>
      </c>
      <c r="O40" t="n">
        <v>5</v>
      </c>
      <c r="P40" t="n">
        <v>1</v>
      </c>
      <c r="Q40" t="n">
        <v>10</v>
      </c>
      <c r="R40" s="2" t="inlineStr">
        <is>
          <t>Bombmurkla
Brunpudrad nållav
Dofttaggsvamp
Fyrflikig jordstjärna
Talltita
Brandticka
Grönpyrola
Kamjordstjärna
Kungsfågel
Blåsippa</t>
        </is>
      </c>
      <c r="S40">
        <f>HYPERLINK("https://klasma.github.io/Logging_1781/artfynd/A 53130-2023 artfynd.xlsx", "A 53130-2023")</f>
        <v/>
      </c>
      <c r="T40">
        <f>HYPERLINK("https://klasma.github.io/Logging_1781/kartor/A 53130-2023 karta.png", "A 53130-2023")</f>
        <v/>
      </c>
      <c r="V40">
        <f>HYPERLINK("https://klasma.github.io/Logging_1781/klagomål/A 53130-2023 FSC-klagomål.docx", "A 53130-2023")</f>
        <v/>
      </c>
      <c r="W40">
        <f>HYPERLINK("https://klasma.github.io/Logging_1781/klagomålsmail/A 53130-2023 FSC-klagomål mail.docx", "A 53130-2023")</f>
        <v/>
      </c>
      <c r="X40">
        <f>HYPERLINK("https://klasma.github.io/Logging_1781/tillsyn/A 53130-2023 tillsynsbegäran.docx", "A 53130-2023")</f>
        <v/>
      </c>
      <c r="Y40">
        <f>HYPERLINK("https://klasma.github.io/Logging_1781/tillsynsmail/A 53130-2023 tillsynsbegäran mail.docx", "A 53130-2023")</f>
        <v/>
      </c>
      <c r="Z40">
        <f>HYPERLINK("https://klasma.github.io/Logging_1781/fåglar/A 53130-2023 prioriterade fågelarter.docx", "A 53130-2023")</f>
        <v/>
      </c>
    </row>
    <row r="41" ht="15" customHeight="1">
      <c r="A41" t="inlineStr">
        <is>
          <t>A 11148-2024</t>
        </is>
      </c>
      <c r="B41" s="1" t="n">
        <v>45371</v>
      </c>
      <c r="C41" s="1" t="n">
        <v>45810</v>
      </c>
      <c r="D41" t="inlineStr">
        <is>
          <t>VÄRMLANDS LÄN</t>
        </is>
      </c>
      <c r="E41" t="inlineStr">
        <is>
          <t>ÅRJÄNG</t>
        </is>
      </c>
      <c r="G41" t="n">
        <v>8.9</v>
      </c>
      <c r="H41" t="n">
        <v>3</v>
      </c>
      <c r="I41" t="n">
        <v>5</v>
      </c>
      <c r="J41" t="n">
        <v>2</v>
      </c>
      <c r="K41" t="n">
        <v>2</v>
      </c>
      <c r="L41" t="n">
        <v>0</v>
      </c>
      <c r="M41" t="n">
        <v>0</v>
      </c>
      <c r="N41" t="n">
        <v>0</v>
      </c>
      <c r="O41" t="n">
        <v>4</v>
      </c>
      <c r="P41" t="n">
        <v>2</v>
      </c>
      <c r="Q41" t="n">
        <v>10</v>
      </c>
      <c r="R41" s="2" t="inlineStr">
        <is>
          <t>Aspgelélav
Knärot
Skogshare
Spillkråka
Dropptaggsvamp
Kattfotslav
Korallblylav
Skinnlav
Vedticka
Tjäder</t>
        </is>
      </c>
      <c r="S41">
        <f>HYPERLINK("https://klasma.github.io/Logging_1765/artfynd/A 11148-2024 artfynd.xlsx", "A 11148-2024")</f>
        <v/>
      </c>
      <c r="T41">
        <f>HYPERLINK("https://klasma.github.io/Logging_1765/kartor/A 11148-2024 karta.png", "A 11148-2024")</f>
        <v/>
      </c>
      <c r="U41">
        <f>HYPERLINK("https://klasma.github.io/Logging_1765/knärot/A 11148-2024 karta knärot.png", "A 11148-2024")</f>
        <v/>
      </c>
      <c r="V41">
        <f>HYPERLINK("https://klasma.github.io/Logging_1765/klagomål/A 11148-2024 FSC-klagomål.docx", "A 11148-2024")</f>
        <v/>
      </c>
      <c r="W41">
        <f>HYPERLINK("https://klasma.github.io/Logging_1765/klagomålsmail/A 11148-2024 FSC-klagomål mail.docx", "A 11148-2024")</f>
        <v/>
      </c>
      <c r="X41">
        <f>HYPERLINK("https://klasma.github.io/Logging_1765/tillsyn/A 11148-2024 tillsynsbegäran.docx", "A 11148-2024")</f>
        <v/>
      </c>
      <c r="Y41">
        <f>HYPERLINK("https://klasma.github.io/Logging_1765/tillsynsmail/A 11148-2024 tillsynsbegäran mail.docx", "A 11148-2024")</f>
        <v/>
      </c>
      <c r="Z41">
        <f>HYPERLINK("https://klasma.github.io/Logging_1765/fåglar/A 11148-2024 prioriterade fågelarter.docx", "A 11148-2024")</f>
        <v/>
      </c>
    </row>
    <row r="42" ht="15" customHeight="1">
      <c r="A42" t="inlineStr">
        <is>
          <t>A 21243-2024</t>
        </is>
      </c>
      <c r="B42" s="1" t="n">
        <v>45440</v>
      </c>
      <c r="C42" s="1" t="n">
        <v>45810</v>
      </c>
      <c r="D42" t="inlineStr">
        <is>
          <t>VÄRMLANDS LÄN</t>
        </is>
      </c>
      <c r="E42" t="inlineStr">
        <is>
          <t>ARVIKA</t>
        </is>
      </c>
      <c r="F42" t="inlineStr">
        <is>
          <t>Bergvik skog väst AB</t>
        </is>
      </c>
      <c r="G42" t="n">
        <v>3.7</v>
      </c>
      <c r="H42" t="n">
        <v>2</v>
      </c>
      <c r="I42" t="n">
        <v>4</v>
      </c>
      <c r="J42" t="n">
        <v>5</v>
      </c>
      <c r="K42" t="n">
        <v>1</v>
      </c>
      <c r="L42" t="n">
        <v>0</v>
      </c>
      <c r="M42" t="n">
        <v>0</v>
      </c>
      <c r="N42" t="n">
        <v>0</v>
      </c>
      <c r="O42" t="n">
        <v>6</v>
      </c>
      <c r="P42" t="n">
        <v>1</v>
      </c>
      <c r="Q42" t="n">
        <v>10</v>
      </c>
      <c r="R42" s="2" t="inlineStr">
        <is>
          <t>Knärot
Garnlav
Grönhjon
Tallticka
Tretåig hackspett
Vedtrappmossa
Barkkornlav
Dropptaggsvamp
Flagellkvastmossa
Vedticka</t>
        </is>
      </c>
      <c r="S42">
        <f>HYPERLINK("https://klasma.github.io/Logging_1784/artfynd/A 21243-2024 artfynd.xlsx", "A 21243-2024")</f>
        <v/>
      </c>
      <c r="T42">
        <f>HYPERLINK("https://klasma.github.io/Logging_1784/kartor/A 21243-2024 karta.png", "A 21243-2024")</f>
        <v/>
      </c>
      <c r="U42">
        <f>HYPERLINK("https://klasma.github.io/Logging_1784/knärot/A 21243-2024 karta knärot.png", "A 21243-2024")</f>
        <v/>
      </c>
      <c r="V42">
        <f>HYPERLINK("https://klasma.github.io/Logging_1784/klagomål/A 21243-2024 FSC-klagomål.docx", "A 21243-2024")</f>
        <v/>
      </c>
      <c r="W42">
        <f>HYPERLINK("https://klasma.github.io/Logging_1784/klagomålsmail/A 21243-2024 FSC-klagomål mail.docx", "A 21243-2024")</f>
        <v/>
      </c>
      <c r="X42">
        <f>HYPERLINK("https://klasma.github.io/Logging_1784/tillsyn/A 21243-2024 tillsynsbegäran.docx", "A 21243-2024")</f>
        <v/>
      </c>
      <c r="Y42">
        <f>HYPERLINK("https://klasma.github.io/Logging_1784/tillsynsmail/A 21243-2024 tillsynsbegäran mail.docx", "A 21243-2024")</f>
        <v/>
      </c>
      <c r="Z42">
        <f>HYPERLINK("https://klasma.github.io/Logging_1784/fåglar/A 21243-2024 prioriterade fågelarter.docx", "A 21243-2024")</f>
        <v/>
      </c>
    </row>
    <row r="43" ht="15" customHeight="1">
      <c r="A43" t="inlineStr">
        <is>
          <t>A 39323-2024</t>
        </is>
      </c>
      <c r="B43" s="1" t="n">
        <v>45551</v>
      </c>
      <c r="C43" s="1" t="n">
        <v>45810</v>
      </c>
      <c r="D43" t="inlineStr">
        <is>
          <t>VÄRMLANDS LÄN</t>
        </is>
      </c>
      <c r="E43" t="inlineStr">
        <is>
          <t>FILIPSTAD</t>
        </is>
      </c>
      <c r="F43" t="inlineStr">
        <is>
          <t>Bergvik skog väst AB</t>
        </is>
      </c>
      <c r="G43" t="n">
        <v>22</v>
      </c>
      <c r="H43" t="n">
        <v>3</v>
      </c>
      <c r="I43" t="n">
        <v>4</v>
      </c>
      <c r="J43" t="n">
        <v>5</v>
      </c>
      <c r="K43" t="n">
        <v>1</v>
      </c>
      <c r="L43" t="n">
        <v>0</v>
      </c>
      <c r="M43" t="n">
        <v>0</v>
      </c>
      <c r="N43" t="n">
        <v>0</v>
      </c>
      <c r="O43" t="n">
        <v>6</v>
      </c>
      <c r="P43" t="n">
        <v>1</v>
      </c>
      <c r="Q43" t="n">
        <v>10</v>
      </c>
      <c r="R43" s="2" t="inlineStr">
        <is>
          <t>Knärot
Gränsticka
Spillkråka
Tallticka
Ullticka
Vedtrappmossa
Dropptaggsvamp
Grön sköldmossa
Rostfläck
Vedticka</t>
        </is>
      </c>
      <c r="S43">
        <f>HYPERLINK("https://klasma.github.io/Logging_1782/artfynd/A 39323-2024 artfynd.xlsx", "A 39323-2024")</f>
        <v/>
      </c>
      <c r="T43">
        <f>HYPERLINK("https://klasma.github.io/Logging_1782/kartor/A 39323-2024 karta.png", "A 39323-2024")</f>
        <v/>
      </c>
      <c r="U43">
        <f>HYPERLINK("https://klasma.github.io/Logging_1782/knärot/A 39323-2024 karta knärot.png", "A 39323-2024")</f>
        <v/>
      </c>
      <c r="V43">
        <f>HYPERLINK("https://klasma.github.io/Logging_1782/klagomål/A 39323-2024 FSC-klagomål.docx", "A 39323-2024")</f>
        <v/>
      </c>
      <c r="W43">
        <f>HYPERLINK("https://klasma.github.io/Logging_1782/klagomålsmail/A 39323-2024 FSC-klagomål mail.docx", "A 39323-2024")</f>
        <v/>
      </c>
      <c r="X43">
        <f>HYPERLINK("https://klasma.github.io/Logging_1782/tillsyn/A 39323-2024 tillsynsbegäran.docx", "A 39323-2024")</f>
        <v/>
      </c>
      <c r="Y43">
        <f>HYPERLINK("https://klasma.github.io/Logging_1782/tillsynsmail/A 39323-2024 tillsynsbegäran mail.docx", "A 39323-2024")</f>
        <v/>
      </c>
      <c r="Z43">
        <f>HYPERLINK("https://klasma.github.io/Logging_1782/fåglar/A 39323-2024 prioriterade fågelarter.docx", "A 39323-2024")</f>
        <v/>
      </c>
    </row>
    <row r="44" ht="15" customHeight="1">
      <c r="A44" t="inlineStr">
        <is>
          <t>A 1069-2025</t>
        </is>
      </c>
      <c r="B44" s="1" t="n">
        <v>45665</v>
      </c>
      <c r="C44" s="1" t="n">
        <v>45810</v>
      </c>
      <c r="D44" t="inlineStr">
        <is>
          <t>VÄRMLANDS LÄN</t>
        </is>
      </c>
      <c r="E44" t="inlineStr">
        <is>
          <t>SÄFFLE</t>
        </is>
      </c>
      <c r="G44" t="n">
        <v>29.3</v>
      </c>
      <c r="H44" t="n">
        <v>1</v>
      </c>
      <c r="I44" t="n">
        <v>2</v>
      </c>
      <c r="J44" t="n">
        <v>7</v>
      </c>
      <c r="K44" t="n">
        <v>1</v>
      </c>
      <c r="L44" t="n">
        <v>0</v>
      </c>
      <c r="M44" t="n">
        <v>0</v>
      </c>
      <c r="N44" t="n">
        <v>0</v>
      </c>
      <c r="O44" t="n">
        <v>8</v>
      </c>
      <c r="P44" t="n">
        <v>1</v>
      </c>
      <c r="Q44" t="n">
        <v>10</v>
      </c>
      <c r="R44" s="2" t="inlineStr">
        <is>
          <t>Liten blekspik
Doftskinn
Garnlav
Järpe
Kolflarnlav
Kortskaftad ärgspik
Vedskivlav
Vedtrappmossa
Gulnål
Vedticka</t>
        </is>
      </c>
      <c r="S44">
        <f>HYPERLINK("https://klasma.github.io/Logging_1785/artfynd/A 1069-2025 artfynd.xlsx", "A 1069-2025")</f>
        <v/>
      </c>
      <c r="T44">
        <f>HYPERLINK("https://klasma.github.io/Logging_1785/kartor/A 1069-2025 karta.png", "A 1069-2025")</f>
        <v/>
      </c>
      <c r="V44">
        <f>HYPERLINK("https://klasma.github.io/Logging_1785/klagomål/A 1069-2025 FSC-klagomål.docx", "A 1069-2025")</f>
        <v/>
      </c>
      <c r="W44">
        <f>HYPERLINK("https://klasma.github.io/Logging_1785/klagomålsmail/A 1069-2025 FSC-klagomål mail.docx", "A 1069-2025")</f>
        <v/>
      </c>
      <c r="X44">
        <f>HYPERLINK("https://klasma.github.io/Logging_1785/tillsyn/A 1069-2025 tillsynsbegäran.docx", "A 1069-2025")</f>
        <v/>
      </c>
      <c r="Y44">
        <f>HYPERLINK("https://klasma.github.io/Logging_1785/tillsynsmail/A 1069-2025 tillsynsbegäran mail.docx", "A 1069-2025")</f>
        <v/>
      </c>
      <c r="Z44">
        <f>HYPERLINK("https://klasma.github.io/Logging_1785/fåglar/A 1069-2025 prioriterade fågelarter.docx", "A 1069-2025")</f>
        <v/>
      </c>
    </row>
    <row r="45" ht="15" customHeight="1">
      <c r="A45" t="inlineStr">
        <is>
          <t>A 26793-2020</t>
        </is>
      </c>
      <c r="B45" s="1" t="n">
        <v>43990</v>
      </c>
      <c r="C45" s="1" t="n">
        <v>45810</v>
      </c>
      <c r="D45" t="inlineStr">
        <is>
          <t>VÄRMLANDS LÄN</t>
        </is>
      </c>
      <c r="E45" t="inlineStr">
        <is>
          <t>TORSBY</t>
        </is>
      </c>
      <c r="G45" t="n">
        <v>19</v>
      </c>
      <c r="H45" t="n">
        <v>2</v>
      </c>
      <c r="I45" t="n">
        <v>6</v>
      </c>
      <c r="J45" t="n">
        <v>1</v>
      </c>
      <c r="K45" t="n">
        <v>0</v>
      </c>
      <c r="L45" t="n">
        <v>0</v>
      </c>
      <c r="M45" t="n">
        <v>0</v>
      </c>
      <c r="N45" t="n">
        <v>0</v>
      </c>
      <c r="O45" t="n">
        <v>1</v>
      </c>
      <c r="P45" t="n">
        <v>0</v>
      </c>
      <c r="Q45" t="n">
        <v>9</v>
      </c>
      <c r="R45" s="2" t="inlineStr">
        <is>
          <t>Myskmåra
Dvärghäxört
Hässleklocka
Svart trolldruva
Tibast
Underviol
Vårärt
Fläcknycklar
Blåsippa</t>
        </is>
      </c>
      <c r="S45">
        <f>HYPERLINK("https://klasma.github.io/Logging_1737/artfynd/A 26793-2020 artfynd.xlsx", "A 26793-2020")</f>
        <v/>
      </c>
      <c r="T45">
        <f>HYPERLINK("https://klasma.github.io/Logging_1737/kartor/A 26793-2020 karta.png", "A 26793-2020")</f>
        <v/>
      </c>
      <c r="V45">
        <f>HYPERLINK("https://klasma.github.io/Logging_1737/klagomål/A 26793-2020 FSC-klagomål.docx", "A 26793-2020")</f>
        <v/>
      </c>
      <c r="W45">
        <f>HYPERLINK("https://klasma.github.io/Logging_1737/klagomålsmail/A 26793-2020 FSC-klagomål mail.docx", "A 26793-2020")</f>
        <v/>
      </c>
      <c r="X45">
        <f>HYPERLINK("https://klasma.github.io/Logging_1737/tillsyn/A 26793-2020 tillsynsbegäran.docx", "A 26793-2020")</f>
        <v/>
      </c>
      <c r="Y45">
        <f>HYPERLINK("https://klasma.github.io/Logging_1737/tillsynsmail/A 26793-2020 tillsynsbegäran mail.docx", "A 26793-2020")</f>
        <v/>
      </c>
    </row>
    <row r="46" ht="15" customHeight="1">
      <c r="A46" t="inlineStr">
        <is>
          <t>A 171-2021</t>
        </is>
      </c>
      <c r="B46" s="1" t="n">
        <v>44200</v>
      </c>
      <c r="C46" s="1" t="n">
        <v>45810</v>
      </c>
      <c r="D46" t="inlineStr">
        <is>
          <t>VÄRMLANDS LÄN</t>
        </is>
      </c>
      <c r="E46" t="inlineStr">
        <is>
          <t>TORSBY</t>
        </is>
      </c>
      <c r="G46" t="n">
        <v>6.4</v>
      </c>
      <c r="H46" t="n">
        <v>0</v>
      </c>
      <c r="I46" t="n">
        <v>3</v>
      </c>
      <c r="J46" t="n">
        <v>6</v>
      </c>
      <c r="K46" t="n">
        <v>0</v>
      </c>
      <c r="L46" t="n">
        <v>0</v>
      </c>
      <c r="M46" t="n">
        <v>0</v>
      </c>
      <c r="N46" t="n">
        <v>0</v>
      </c>
      <c r="O46" t="n">
        <v>6</v>
      </c>
      <c r="P46" t="n">
        <v>0</v>
      </c>
      <c r="Q46" t="n">
        <v>9</v>
      </c>
      <c r="R46" s="2" t="inlineStr">
        <is>
          <t>Brunpudrad nållav
Doftskinn
Gammelgransskål
Garnlav
Gränsticka
Violettgrå tagellav
Korallblylav
Mörk husmossa
Vedticka</t>
        </is>
      </c>
      <c r="S46">
        <f>HYPERLINK("https://klasma.github.io/Logging_1737/artfynd/A 171-2021 artfynd.xlsx", "A 171-2021")</f>
        <v/>
      </c>
      <c r="T46">
        <f>HYPERLINK("https://klasma.github.io/Logging_1737/kartor/A 171-2021 karta.png", "A 171-2021")</f>
        <v/>
      </c>
      <c r="V46">
        <f>HYPERLINK("https://klasma.github.io/Logging_1737/klagomål/A 171-2021 FSC-klagomål.docx", "A 171-2021")</f>
        <v/>
      </c>
      <c r="W46">
        <f>HYPERLINK("https://klasma.github.io/Logging_1737/klagomålsmail/A 171-2021 FSC-klagomål mail.docx", "A 171-2021")</f>
        <v/>
      </c>
      <c r="X46">
        <f>HYPERLINK("https://klasma.github.io/Logging_1737/tillsyn/A 171-2021 tillsynsbegäran.docx", "A 171-2021")</f>
        <v/>
      </c>
      <c r="Y46">
        <f>HYPERLINK("https://klasma.github.io/Logging_1737/tillsynsmail/A 171-2021 tillsynsbegäran mail.docx", "A 171-2021")</f>
        <v/>
      </c>
    </row>
    <row r="47" ht="15" customHeight="1">
      <c r="A47" t="inlineStr">
        <is>
          <t>A 39819-2021</t>
        </is>
      </c>
      <c r="B47" s="1" t="n">
        <v>44417</v>
      </c>
      <c r="C47" s="1" t="n">
        <v>45810</v>
      </c>
      <c r="D47" t="inlineStr">
        <is>
          <t>VÄRMLANDS LÄN</t>
        </is>
      </c>
      <c r="E47" t="inlineStr">
        <is>
          <t>GRUMS</t>
        </is>
      </c>
      <c r="G47" t="n">
        <v>34.6</v>
      </c>
      <c r="H47" t="n">
        <v>0</v>
      </c>
      <c r="I47" t="n">
        <v>6</v>
      </c>
      <c r="J47" t="n">
        <v>3</v>
      </c>
      <c r="K47" t="n">
        <v>0</v>
      </c>
      <c r="L47" t="n">
        <v>0</v>
      </c>
      <c r="M47" t="n">
        <v>0</v>
      </c>
      <c r="N47" t="n">
        <v>0</v>
      </c>
      <c r="O47" t="n">
        <v>3</v>
      </c>
      <c r="P47" t="n">
        <v>0</v>
      </c>
      <c r="Q47" t="n">
        <v>9</v>
      </c>
      <c r="R47" s="2" t="inlineStr">
        <is>
          <t>Garnlav
Motaggsvamp
Vedskivlav
Bronshjon
Dropptaggsvamp
Kornknutmossa
Mindre märgborre
Thomsons trägnagare
Vågbandad barkbock</t>
        </is>
      </c>
      <c r="S47">
        <f>HYPERLINK("https://klasma.github.io/Logging_1764/artfynd/A 39819-2021 artfynd.xlsx", "A 39819-2021")</f>
        <v/>
      </c>
      <c r="T47">
        <f>HYPERLINK("https://klasma.github.io/Logging_1764/kartor/A 39819-2021 karta.png", "A 39819-2021")</f>
        <v/>
      </c>
      <c r="V47">
        <f>HYPERLINK("https://klasma.github.io/Logging_1764/klagomål/A 39819-2021 FSC-klagomål.docx", "A 39819-2021")</f>
        <v/>
      </c>
      <c r="W47">
        <f>HYPERLINK("https://klasma.github.io/Logging_1764/klagomålsmail/A 39819-2021 FSC-klagomål mail.docx", "A 39819-2021")</f>
        <v/>
      </c>
      <c r="X47">
        <f>HYPERLINK("https://klasma.github.io/Logging_1764/tillsyn/A 39819-2021 tillsynsbegäran.docx", "A 39819-2021")</f>
        <v/>
      </c>
      <c r="Y47">
        <f>HYPERLINK("https://klasma.github.io/Logging_1764/tillsynsmail/A 39819-2021 tillsynsbegäran mail.docx", "A 39819-2021")</f>
        <v/>
      </c>
    </row>
    <row r="48" ht="15" customHeight="1">
      <c r="A48" t="inlineStr">
        <is>
          <t>A 60716-2021</t>
        </is>
      </c>
      <c r="B48" s="1" t="n">
        <v>44496</v>
      </c>
      <c r="C48" s="1" t="n">
        <v>45810</v>
      </c>
      <c r="D48" t="inlineStr">
        <is>
          <t>VÄRMLANDS LÄN</t>
        </is>
      </c>
      <c r="E48" t="inlineStr">
        <is>
          <t>TORSBY</t>
        </is>
      </c>
      <c r="G48" t="n">
        <v>7.2</v>
      </c>
      <c r="H48" t="n">
        <v>0</v>
      </c>
      <c r="I48" t="n">
        <v>4</v>
      </c>
      <c r="J48" t="n">
        <v>5</v>
      </c>
      <c r="K48" t="n">
        <v>0</v>
      </c>
      <c r="L48" t="n">
        <v>0</v>
      </c>
      <c r="M48" t="n">
        <v>0</v>
      </c>
      <c r="N48" t="n">
        <v>0</v>
      </c>
      <c r="O48" t="n">
        <v>5</v>
      </c>
      <c r="P48" t="n">
        <v>0</v>
      </c>
      <c r="Q48" t="n">
        <v>9</v>
      </c>
      <c r="R48" s="2" t="inlineStr">
        <is>
          <t>Dvärgbägarlav
Gammelgransskål
Garnlav
Lunglav
Skrovellav
Kattfotslav
Korallblylav
Skuggblåslav
Stuplav</t>
        </is>
      </c>
      <c r="S48">
        <f>HYPERLINK("https://klasma.github.io/Logging_1737/artfynd/A 60716-2021 artfynd.xlsx", "A 60716-2021")</f>
        <v/>
      </c>
      <c r="T48">
        <f>HYPERLINK("https://klasma.github.io/Logging_1737/kartor/A 60716-2021 karta.png", "A 60716-2021")</f>
        <v/>
      </c>
      <c r="V48">
        <f>HYPERLINK("https://klasma.github.io/Logging_1737/klagomål/A 60716-2021 FSC-klagomål.docx", "A 60716-2021")</f>
        <v/>
      </c>
      <c r="W48">
        <f>HYPERLINK("https://klasma.github.io/Logging_1737/klagomålsmail/A 60716-2021 FSC-klagomål mail.docx", "A 60716-2021")</f>
        <v/>
      </c>
      <c r="X48">
        <f>HYPERLINK("https://klasma.github.io/Logging_1737/tillsyn/A 60716-2021 tillsynsbegäran.docx", "A 60716-2021")</f>
        <v/>
      </c>
      <c r="Y48">
        <f>HYPERLINK("https://klasma.github.io/Logging_1737/tillsynsmail/A 60716-2021 tillsynsbegäran mail.docx", "A 60716-2021")</f>
        <v/>
      </c>
    </row>
    <row r="49" ht="15" customHeight="1">
      <c r="A49" t="inlineStr">
        <is>
          <t>A 11246-2022</t>
        </is>
      </c>
      <c r="B49" s="1" t="n">
        <v>44629</v>
      </c>
      <c r="C49" s="1" t="n">
        <v>45810</v>
      </c>
      <c r="D49" t="inlineStr">
        <is>
          <t>VÄRMLANDS LÄN</t>
        </is>
      </c>
      <c r="E49" t="inlineStr">
        <is>
          <t>FORSHAGA</t>
        </is>
      </c>
      <c r="F49" t="inlineStr">
        <is>
          <t>Bergvik skog väst AB</t>
        </is>
      </c>
      <c r="G49" t="n">
        <v>10.4</v>
      </c>
      <c r="H49" t="n">
        <v>1</v>
      </c>
      <c r="I49" t="n">
        <v>6</v>
      </c>
      <c r="J49" t="n">
        <v>2</v>
      </c>
      <c r="K49" t="n">
        <v>0</v>
      </c>
      <c r="L49" t="n">
        <v>0</v>
      </c>
      <c r="M49" t="n">
        <v>0</v>
      </c>
      <c r="N49" t="n">
        <v>0</v>
      </c>
      <c r="O49" t="n">
        <v>2</v>
      </c>
      <c r="P49" t="n">
        <v>0</v>
      </c>
      <c r="Q49" t="n">
        <v>9</v>
      </c>
      <c r="R49" s="2" t="inlineStr">
        <is>
          <t>Dofttaggsvamp
Vippärt
Fällmossa
Guldlockmossa
Platt fjädermossa
Svart trolldruva
Trubbfjädermossa
Underviol
Blåsippa</t>
        </is>
      </c>
      <c r="S49">
        <f>HYPERLINK("https://klasma.github.io/Logging_1763/artfynd/A 11246-2022 artfynd.xlsx", "A 11246-2022")</f>
        <v/>
      </c>
      <c r="T49">
        <f>HYPERLINK("https://klasma.github.io/Logging_1763/kartor/A 11246-2022 karta.png", "A 11246-2022")</f>
        <v/>
      </c>
      <c r="V49">
        <f>HYPERLINK("https://klasma.github.io/Logging_1763/klagomål/A 11246-2022 FSC-klagomål.docx", "A 11246-2022")</f>
        <v/>
      </c>
      <c r="W49">
        <f>HYPERLINK("https://klasma.github.io/Logging_1763/klagomålsmail/A 11246-2022 FSC-klagomål mail.docx", "A 11246-2022")</f>
        <v/>
      </c>
      <c r="X49">
        <f>HYPERLINK("https://klasma.github.io/Logging_1763/tillsyn/A 11246-2022 tillsynsbegäran.docx", "A 11246-2022")</f>
        <v/>
      </c>
      <c r="Y49">
        <f>HYPERLINK("https://klasma.github.io/Logging_1763/tillsynsmail/A 11246-2022 tillsynsbegäran mail.docx", "A 11246-2022")</f>
        <v/>
      </c>
    </row>
    <row r="50" ht="15" customHeight="1">
      <c r="A50" t="inlineStr">
        <is>
          <t>A 22230-2022</t>
        </is>
      </c>
      <c r="B50" s="1" t="n">
        <v>44712</v>
      </c>
      <c r="C50" s="1" t="n">
        <v>45810</v>
      </c>
      <c r="D50" t="inlineStr">
        <is>
          <t>VÄRMLANDS LÄN</t>
        </is>
      </c>
      <c r="E50" t="inlineStr">
        <is>
          <t>TORSBY</t>
        </is>
      </c>
      <c r="G50" t="n">
        <v>2.1</v>
      </c>
      <c r="H50" t="n">
        <v>1</v>
      </c>
      <c r="I50" t="n">
        <v>3</v>
      </c>
      <c r="J50" t="n">
        <v>5</v>
      </c>
      <c r="K50" t="n">
        <v>1</v>
      </c>
      <c r="L50" t="n">
        <v>0</v>
      </c>
      <c r="M50" t="n">
        <v>0</v>
      </c>
      <c r="N50" t="n">
        <v>0</v>
      </c>
      <c r="O50" t="n">
        <v>6</v>
      </c>
      <c r="P50" t="n">
        <v>1</v>
      </c>
      <c r="Q50" t="n">
        <v>9</v>
      </c>
      <c r="R50" s="2" t="inlineStr">
        <is>
          <t>Knärot
Dvärgbägarlav
Gammelgransskål
Garnlav
Lunglav
Tallticka
Korallblylav
Skuggblåslav
Stuplav</t>
        </is>
      </c>
      <c r="S50">
        <f>HYPERLINK("https://klasma.github.io/Logging_1737/artfynd/A 22230-2022 artfynd.xlsx", "A 22230-2022")</f>
        <v/>
      </c>
      <c r="T50">
        <f>HYPERLINK("https://klasma.github.io/Logging_1737/kartor/A 22230-2022 karta.png", "A 22230-2022")</f>
        <v/>
      </c>
      <c r="U50">
        <f>HYPERLINK("https://klasma.github.io/Logging_1737/knärot/A 22230-2022 karta knärot.png", "A 22230-2022")</f>
        <v/>
      </c>
      <c r="V50">
        <f>HYPERLINK("https://klasma.github.io/Logging_1737/klagomål/A 22230-2022 FSC-klagomål.docx", "A 22230-2022")</f>
        <v/>
      </c>
      <c r="W50">
        <f>HYPERLINK("https://klasma.github.io/Logging_1737/klagomålsmail/A 22230-2022 FSC-klagomål mail.docx", "A 22230-2022")</f>
        <v/>
      </c>
      <c r="X50">
        <f>HYPERLINK("https://klasma.github.io/Logging_1737/tillsyn/A 22230-2022 tillsynsbegäran.docx", "A 22230-2022")</f>
        <v/>
      </c>
      <c r="Y50">
        <f>HYPERLINK("https://klasma.github.io/Logging_1737/tillsynsmail/A 22230-2022 tillsynsbegäran mail.docx", "A 22230-2022")</f>
        <v/>
      </c>
    </row>
    <row r="51" ht="15" customHeight="1">
      <c r="A51" t="inlineStr">
        <is>
          <t>A 23087-2024</t>
        </is>
      </c>
      <c r="B51" s="1" t="n">
        <v>45450</v>
      </c>
      <c r="C51" s="1" t="n">
        <v>45810</v>
      </c>
      <c r="D51" t="inlineStr">
        <is>
          <t>VÄRMLANDS LÄN</t>
        </is>
      </c>
      <c r="E51" t="inlineStr">
        <is>
          <t>ARVIKA</t>
        </is>
      </c>
      <c r="F51" t="inlineStr">
        <is>
          <t>Bergvik skog väst AB</t>
        </is>
      </c>
      <c r="G51" t="n">
        <v>3.2</v>
      </c>
      <c r="H51" t="n">
        <v>3</v>
      </c>
      <c r="I51" t="n">
        <v>3</v>
      </c>
      <c r="J51" t="n">
        <v>4</v>
      </c>
      <c r="K51" t="n">
        <v>1</v>
      </c>
      <c r="L51" t="n">
        <v>0</v>
      </c>
      <c r="M51" t="n">
        <v>0</v>
      </c>
      <c r="N51" t="n">
        <v>0</v>
      </c>
      <c r="O51" t="n">
        <v>5</v>
      </c>
      <c r="P51" t="n">
        <v>1</v>
      </c>
      <c r="Q51" t="n">
        <v>9</v>
      </c>
      <c r="R51" s="2" t="inlineStr">
        <is>
          <t>Knärot
Talltita
Ullticka
Veckticka
Vedtrappmossa
Grönpyrola
Skinnlav
Vedticka
Fläcknycklar</t>
        </is>
      </c>
      <c r="S51">
        <f>HYPERLINK("https://klasma.github.io/Logging_1784/artfynd/A 23087-2024 artfynd.xlsx", "A 23087-2024")</f>
        <v/>
      </c>
      <c r="T51">
        <f>HYPERLINK("https://klasma.github.io/Logging_1784/kartor/A 23087-2024 karta.png", "A 23087-2024")</f>
        <v/>
      </c>
      <c r="U51">
        <f>HYPERLINK("https://klasma.github.io/Logging_1784/knärot/A 23087-2024 karta knärot.png", "A 23087-2024")</f>
        <v/>
      </c>
      <c r="V51">
        <f>HYPERLINK("https://klasma.github.io/Logging_1784/klagomål/A 23087-2024 FSC-klagomål.docx", "A 23087-2024")</f>
        <v/>
      </c>
      <c r="W51">
        <f>HYPERLINK("https://klasma.github.io/Logging_1784/klagomålsmail/A 23087-2024 FSC-klagomål mail.docx", "A 23087-2024")</f>
        <v/>
      </c>
      <c r="X51">
        <f>HYPERLINK("https://klasma.github.io/Logging_1784/tillsyn/A 23087-2024 tillsynsbegäran.docx", "A 23087-2024")</f>
        <v/>
      </c>
      <c r="Y51">
        <f>HYPERLINK("https://klasma.github.io/Logging_1784/tillsynsmail/A 23087-2024 tillsynsbegäran mail.docx", "A 23087-2024")</f>
        <v/>
      </c>
      <c r="Z51">
        <f>HYPERLINK("https://klasma.github.io/Logging_1784/fåglar/A 23087-2024 prioriterade fågelarter.docx", "A 23087-2024")</f>
        <v/>
      </c>
    </row>
    <row r="52" ht="15" customHeight="1">
      <c r="A52" t="inlineStr">
        <is>
          <t>A 46911-2024</t>
        </is>
      </c>
      <c r="B52" s="1" t="n">
        <v>45583</v>
      </c>
      <c r="C52" s="1" t="n">
        <v>45810</v>
      </c>
      <c r="D52" t="inlineStr">
        <is>
          <t>VÄRMLANDS LÄN</t>
        </is>
      </c>
      <c r="E52" t="inlineStr">
        <is>
          <t>TORSBY</t>
        </is>
      </c>
      <c r="G52" t="n">
        <v>3.3</v>
      </c>
      <c r="H52" t="n">
        <v>2</v>
      </c>
      <c r="I52" t="n">
        <v>2</v>
      </c>
      <c r="J52" t="n">
        <v>5</v>
      </c>
      <c r="K52" t="n">
        <v>1</v>
      </c>
      <c r="L52" t="n">
        <v>0</v>
      </c>
      <c r="M52" t="n">
        <v>0</v>
      </c>
      <c r="N52" t="n">
        <v>0</v>
      </c>
      <c r="O52" t="n">
        <v>6</v>
      </c>
      <c r="P52" t="n">
        <v>1</v>
      </c>
      <c r="Q52" t="n">
        <v>9</v>
      </c>
      <c r="R52" s="2" t="inlineStr">
        <is>
          <t>Knärot
Garnlav
Kolflarnlav
Mörk kolflarnlav
Vedskivlav
Violettgrå tagellav
Kattfotslav
Rostfläck
Tjäder</t>
        </is>
      </c>
      <c r="S52">
        <f>HYPERLINK("https://klasma.github.io/Logging_1737/artfynd/A 46911-2024 artfynd.xlsx", "A 46911-2024")</f>
        <v/>
      </c>
      <c r="T52">
        <f>HYPERLINK("https://klasma.github.io/Logging_1737/kartor/A 46911-2024 karta.png", "A 46911-2024")</f>
        <v/>
      </c>
      <c r="U52">
        <f>HYPERLINK("https://klasma.github.io/Logging_1737/knärot/A 46911-2024 karta knärot.png", "A 46911-2024")</f>
        <v/>
      </c>
      <c r="V52">
        <f>HYPERLINK("https://klasma.github.io/Logging_1737/klagomål/A 46911-2024 FSC-klagomål.docx", "A 46911-2024")</f>
        <v/>
      </c>
      <c r="W52">
        <f>HYPERLINK("https://klasma.github.io/Logging_1737/klagomålsmail/A 46911-2024 FSC-klagomål mail.docx", "A 46911-2024")</f>
        <v/>
      </c>
      <c r="X52">
        <f>HYPERLINK("https://klasma.github.io/Logging_1737/tillsyn/A 46911-2024 tillsynsbegäran.docx", "A 46911-2024")</f>
        <v/>
      </c>
      <c r="Y52">
        <f>HYPERLINK("https://klasma.github.io/Logging_1737/tillsynsmail/A 46911-2024 tillsynsbegäran mail.docx", "A 46911-2024")</f>
        <v/>
      </c>
      <c r="Z52">
        <f>HYPERLINK("https://klasma.github.io/Logging_1737/fåglar/A 46911-2024 prioriterade fågelarter.docx", "A 46911-2024")</f>
        <v/>
      </c>
    </row>
    <row r="53" ht="15" customHeight="1">
      <c r="A53" t="inlineStr">
        <is>
          <t>A 4553-2021</t>
        </is>
      </c>
      <c r="B53" s="1" t="n">
        <v>44224</v>
      </c>
      <c r="C53" s="1" t="n">
        <v>45810</v>
      </c>
      <c r="D53" t="inlineStr">
        <is>
          <t>VÄRMLANDS LÄN</t>
        </is>
      </c>
      <c r="E53" t="inlineStr">
        <is>
          <t>TORSBY</t>
        </is>
      </c>
      <c r="G53" t="n">
        <v>14.9</v>
      </c>
      <c r="H53" t="n">
        <v>0</v>
      </c>
      <c r="I53" t="n">
        <v>1</v>
      </c>
      <c r="J53" t="n">
        <v>7</v>
      </c>
      <c r="K53" t="n">
        <v>0</v>
      </c>
      <c r="L53" t="n">
        <v>0</v>
      </c>
      <c r="M53" t="n">
        <v>0</v>
      </c>
      <c r="N53" t="n">
        <v>0</v>
      </c>
      <c r="O53" t="n">
        <v>7</v>
      </c>
      <c r="P53" t="n">
        <v>0</v>
      </c>
      <c r="Q53" t="n">
        <v>8</v>
      </c>
      <c r="R53" s="2" t="inlineStr">
        <is>
          <t>Brunpudrad nållav
Doftskinn
Gammelgransskål
Garnlav
Lunglav
Skrovellav
Violettgrå tagellav
Vedticka</t>
        </is>
      </c>
      <c r="S53">
        <f>HYPERLINK("https://klasma.github.io/Logging_1737/artfynd/A 4553-2021 artfynd.xlsx", "A 4553-2021")</f>
        <v/>
      </c>
      <c r="T53">
        <f>HYPERLINK("https://klasma.github.io/Logging_1737/kartor/A 4553-2021 karta.png", "A 4553-2021")</f>
        <v/>
      </c>
      <c r="V53">
        <f>HYPERLINK("https://klasma.github.io/Logging_1737/klagomål/A 4553-2021 FSC-klagomål.docx", "A 4553-2021")</f>
        <v/>
      </c>
      <c r="W53">
        <f>HYPERLINK("https://klasma.github.io/Logging_1737/klagomålsmail/A 4553-2021 FSC-klagomål mail.docx", "A 4553-2021")</f>
        <v/>
      </c>
      <c r="X53">
        <f>HYPERLINK("https://klasma.github.io/Logging_1737/tillsyn/A 4553-2021 tillsynsbegäran.docx", "A 4553-2021")</f>
        <v/>
      </c>
      <c r="Y53">
        <f>HYPERLINK("https://klasma.github.io/Logging_1737/tillsynsmail/A 4553-2021 tillsynsbegäran mail.docx", "A 4553-2021")</f>
        <v/>
      </c>
    </row>
    <row r="54" ht="15" customHeight="1">
      <c r="A54" t="inlineStr">
        <is>
          <t>A 46698-2021</t>
        </is>
      </c>
      <c r="B54" s="1" t="n">
        <v>44445</v>
      </c>
      <c r="C54" s="1" t="n">
        <v>45810</v>
      </c>
      <c r="D54" t="inlineStr">
        <is>
          <t>VÄRMLANDS LÄN</t>
        </is>
      </c>
      <c r="E54" t="inlineStr">
        <is>
          <t>HAGFORS</t>
        </is>
      </c>
      <c r="F54" t="inlineStr">
        <is>
          <t>Kyrkan</t>
        </is>
      </c>
      <c r="G54" t="n">
        <v>8.300000000000001</v>
      </c>
      <c r="H54" t="n">
        <v>1</v>
      </c>
      <c r="I54" t="n">
        <v>3</v>
      </c>
      <c r="J54" t="n">
        <v>5</v>
      </c>
      <c r="K54" t="n">
        <v>0</v>
      </c>
      <c r="L54" t="n">
        <v>0</v>
      </c>
      <c r="M54" t="n">
        <v>0</v>
      </c>
      <c r="N54" t="n">
        <v>0</v>
      </c>
      <c r="O54" t="n">
        <v>5</v>
      </c>
      <c r="P54" t="n">
        <v>0</v>
      </c>
      <c r="Q54" t="n">
        <v>8</v>
      </c>
      <c r="R54" s="2" t="inlineStr">
        <is>
          <t>Garnlav
Kolflarnlav
Lunglav
Mörk kolflarnlav
Vedskivlav
Korallblylav
Spindelblomster
Stuplav</t>
        </is>
      </c>
      <c r="S54">
        <f>HYPERLINK("https://klasma.github.io/Logging_1783/artfynd/A 46698-2021 artfynd.xlsx", "A 46698-2021")</f>
        <v/>
      </c>
      <c r="T54">
        <f>HYPERLINK("https://klasma.github.io/Logging_1783/kartor/A 46698-2021 karta.png", "A 46698-2021")</f>
        <v/>
      </c>
      <c r="V54">
        <f>HYPERLINK("https://klasma.github.io/Logging_1783/klagomål/A 46698-2021 FSC-klagomål.docx", "A 46698-2021")</f>
        <v/>
      </c>
      <c r="W54">
        <f>HYPERLINK("https://klasma.github.io/Logging_1783/klagomålsmail/A 46698-2021 FSC-klagomål mail.docx", "A 46698-2021")</f>
        <v/>
      </c>
      <c r="X54">
        <f>HYPERLINK("https://klasma.github.io/Logging_1783/tillsyn/A 46698-2021 tillsynsbegäran.docx", "A 46698-2021")</f>
        <v/>
      </c>
      <c r="Y54">
        <f>HYPERLINK("https://klasma.github.io/Logging_1783/tillsynsmail/A 46698-2021 tillsynsbegäran mail.docx", "A 46698-2021")</f>
        <v/>
      </c>
    </row>
    <row r="55" ht="15" customHeight="1">
      <c r="A55" t="inlineStr">
        <is>
          <t>A 3513-2022</t>
        </is>
      </c>
      <c r="B55" s="1" t="n">
        <v>44585</v>
      </c>
      <c r="C55" s="1" t="n">
        <v>45810</v>
      </c>
      <c r="D55" t="inlineStr">
        <is>
          <t>VÄRMLANDS LÄN</t>
        </is>
      </c>
      <c r="E55" t="inlineStr">
        <is>
          <t>ÅRJÄNG</t>
        </is>
      </c>
      <c r="G55" t="n">
        <v>7.4</v>
      </c>
      <c r="H55" t="n">
        <v>2</v>
      </c>
      <c r="I55" t="n">
        <v>3</v>
      </c>
      <c r="J55" t="n">
        <v>3</v>
      </c>
      <c r="K55" t="n">
        <v>2</v>
      </c>
      <c r="L55" t="n">
        <v>0</v>
      </c>
      <c r="M55" t="n">
        <v>0</v>
      </c>
      <c r="N55" t="n">
        <v>0</v>
      </c>
      <c r="O55" t="n">
        <v>5</v>
      </c>
      <c r="P55" t="n">
        <v>2</v>
      </c>
      <c r="Q55" t="n">
        <v>8</v>
      </c>
      <c r="R55" s="2" t="inlineStr">
        <is>
          <t>Gräddticka
Knärot
Garnlav
Tallticka
Tretåig hackspett
Bronshjon
Kattfotslav
Vedticka</t>
        </is>
      </c>
      <c r="S55">
        <f>HYPERLINK("https://klasma.github.io/Logging_1765/artfynd/A 3513-2022 artfynd.xlsx", "A 3513-2022")</f>
        <v/>
      </c>
      <c r="T55">
        <f>HYPERLINK("https://klasma.github.io/Logging_1765/kartor/A 3513-2022 karta.png", "A 3513-2022")</f>
        <v/>
      </c>
      <c r="U55">
        <f>HYPERLINK("https://klasma.github.io/Logging_1765/knärot/A 3513-2022 karta knärot.png", "A 3513-2022")</f>
        <v/>
      </c>
      <c r="V55">
        <f>HYPERLINK("https://klasma.github.io/Logging_1765/klagomål/A 3513-2022 FSC-klagomål.docx", "A 3513-2022")</f>
        <v/>
      </c>
      <c r="W55">
        <f>HYPERLINK("https://klasma.github.io/Logging_1765/klagomålsmail/A 3513-2022 FSC-klagomål mail.docx", "A 3513-2022")</f>
        <v/>
      </c>
      <c r="X55">
        <f>HYPERLINK("https://klasma.github.io/Logging_1765/tillsyn/A 3513-2022 tillsynsbegäran.docx", "A 3513-2022")</f>
        <v/>
      </c>
      <c r="Y55">
        <f>HYPERLINK("https://klasma.github.io/Logging_1765/tillsynsmail/A 3513-2022 tillsynsbegäran mail.docx", "A 3513-2022")</f>
        <v/>
      </c>
      <c r="Z55">
        <f>HYPERLINK("https://klasma.github.io/Logging_1765/fåglar/A 3513-2022 prioriterade fågelarter.docx", "A 3513-2022")</f>
        <v/>
      </c>
    </row>
    <row r="56" ht="15" customHeight="1">
      <c r="A56" t="inlineStr">
        <is>
          <t>A 44469-2022</t>
        </is>
      </c>
      <c r="B56" s="1" t="n">
        <v>44838</v>
      </c>
      <c r="C56" s="1" t="n">
        <v>45810</v>
      </c>
      <c r="D56" t="inlineStr">
        <is>
          <t>VÄRMLANDS LÄN</t>
        </is>
      </c>
      <c r="E56" t="inlineStr">
        <is>
          <t>KARLSTAD</t>
        </is>
      </c>
      <c r="G56" t="n">
        <v>9.300000000000001</v>
      </c>
      <c r="H56" t="n">
        <v>1</v>
      </c>
      <c r="I56" t="n">
        <v>4</v>
      </c>
      <c r="J56" t="n">
        <v>1</v>
      </c>
      <c r="K56" t="n">
        <v>2</v>
      </c>
      <c r="L56" t="n">
        <v>0</v>
      </c>
      <c r="M56" t="n">
        <v>0</v>
      </c>
      <c r="N56" t="n">
        <v>0</v>
      </c>
      <c r="O56" t="n">
        <v>3</v>
      </c>
      <c r="P56" t="n">
        <v>2</v>
      </c>
      <c r="Q56" t="n">
        <v>8</v>
      </c>
      <c r="R56" s="2" t="inlineStr">
        <is>
          <t>Grangråticka
Taggfingersvamp
Dofttaggsvamp
Fjällig taggsvamp s.str.
Rödgul trumpetsvamp
Skarp dropptaggsvamp
Zontaggsvamp
Äkta lopplummer</t>
        </is>
      </c>
      <c r="S56">
        <f>HYPERLINK("https://klasma.github.io/Logging_1780/artfynd/A 44469-2022 artfynd.xlsx", "A 44469-2022")</f>
        <v/>
      </c>
      <c r="T56">
        <f>HYPERLINK("https://klasma.github.io/Logging_1780/kartor/A 44469-2022 karta.png", "A 44469-2022")</f>
        <v/>
      </c>
      <c r="V56">
        <f>HYPERLINK("https://klasma.github.io/Logging_1780/klagomål/A 44469-2022 FSC-klagomål.docx", "A 44469-2022")</f>
        <v/>
      </c>
      <c r="W56">
        <f>HYPERLINK("https://klasma.github.io/Logging_1780/klagomålsmail/A 44469-2022 FSC-klagomål mail.docx", "A 44469-2022")</f>
        <v/>
      </c>
      <c r="X56">
        <f>HYPERLINK("https://klasma.github.io/Logging_1780/tillsyn/A 44469-2022 tillsynsbegäran.docx", "A 44469-2022")</f>
        <v/>
      </c>
      <c r="Y56">
        <f>HYPERLINK("https://klasma.github.io/Logging_1780/tillsynsmail/A 44469-2022 tillsynsbegäran mail.docx", "A 44469-2022")</f>
        <v/>
      </c>
    </row>
    <row r="57" ht="15" customHeight="1">
      <c r="A57" t="inlineStr">
        <is>
          <t>A 7948-2023</t>
        </is>
      </c>
      <c r="B57" s="1" t="n">
        <v>44970</v>
      </c>
      <c r="C57" s="1" t="n">
        <v>45810</v>
      </c>
      <c r="D57" t="inlineStr">
        <is>
          <t>VÄRMLANDS LÄN</t>
        </is>
      </c>
      <c r="E57" t="inlineStr">
        <is>
          <t>ÅRJÄNG</t>
        </is>
      </c>
      <c r="G57" t="n">
        <v>4.9</v>
      </c>
      <c r="H57" t="n">
        <v>1</v>
      </c>
      <c r="I57" t="n">
        <v>4</v>
      </c>
      <c r="J57" t="n">
        <v>4</v>
      </c>
      <c r="K57" t="n">
        <v>0</v>
      </c>
      <c r="L57" t="n">
        <v>0</v>
      </c>
      <c r="M57" t="n">
        <v>0</v>
      </c>
      <c r="N57" t="n">
        <v>0</v>
      </c>
      <c r="O57" t="n">
        <v>4</v>
      </c>
      <c r="P57" t="n">
        <v>0</v>
      </c>
      <c r="Q57" t="n">
        <v>8</v>
      </c>
      <c r="R57" s="2" t="inlineStr">
        <is>
          <t>Garnlav
Tretåig hackspett
Veckticka
Vedtrappmossa
Kattfotslav
Rostfläck
Stor aspticka
Vedticka</t>
        </is>
      </c>
      <c r="S57">
        <f>HYPERLINK("https://klasma.github.io/Logging_1765/artfynd/A 7948-2023 artfynd.xlsx", "A 7948-2023")</f>
        <v/>
      </c>
      <c r="T57">
        <f>HYPERLINK("https://klasma.github.io/Logging_1765/kartor/A 7948-2023 karta.png", "A 7948-2023")</f>
        <v/>
      </c>
      <c r="V57">
        <f>HYPERLINK("https://klasma.github.io/Logging_1765/klagomål/A 7948-2023 FSC-klagomål.docx", "A 7948-2023")</f>
        <v/>
      </c>
      <c r="W57">
        <f>HYPERLINK("https://klasma.github.io/Logging_1765/klagomålsmail/A 7948-2023 FSC-klagomål mail.docx", "A 7948-2023")</f>
        <v/>
      </c>
      <c r="X57">
        <f>HYPERLINK("https://klasma.github.io/Logging_1765/tillsyn/A 7948-2023 tillsynsbegäran.docx", "A 7948-2023")</f>
        <v/>
      </c>
      <c r="Y57">
        <f>HYPERLINK("https://klasma.github.io/Logging_1765/tillsynsmail/A 7948-2023 tillsynsbegäran mail.docx", "A 7948-2023")</f>
        <v/>
      </c>
      <c r="Z57">
        <f>HYPERLINK("https://klasma.github.io/Logging_1765/fåglar/A 7948-2023 prioriterade fågelarter.docx", "A 7948-2023")</f>
        <v/>
      </c>
    </row>
    <row r="58" ht="15" customHeight="1">
      <c r="A58" t="inlineStr">
        <is>
          <t>A 24663-2023</t>
        </is>
      </c>
      <c r="B58" s="1" t="n">
        <v>45084</v>
      </c>
      <c r="C58" s="1" t="n">
        <v>45810</v>
      </c>
      <c r="D58" t="inlineStr">
        <is>
          <t>VÄRMLANDS LÄN</t>
        </is>
      </c>
      <c r="E58" t="inlineStr">
        <is>
          <t>ÅRJÄNG</t>
        </is>
      </c>
      <c r="G58" t="n">
        <v>7.9</v>
      </c>
      <c r="H58" t="n">
        <v>2</v>
      </c>
      <c r="I58" t="n">
        <v>6</v>
      </c>
      <c r="J58" t="n">
        <v>1</v>
      </c>
      <c r="K58" t="n">
        <v>1</v>
      </c>
      <c r="L58" t="n">
        <v>0</v>
      </c>
      <c r="M58" t="n">
        <v>0</v>
      </c>
      <c r="N58" t="n">
        <v>0</v>
      </c>
      <c r="O58" t="n">
        <v>2</v>
      </c>
      <c r="P58" t="n">
        <v>1</v>
      </c>
      <c r="Q58" t="n">
        <v>8</v>
      </c>
      <c r="R58" s="2" t="inlineStr">
        <is>
          <t>Knärot
Ullticka
Bronshjon
Grön sköldmossa
Grönpyrola
Kattfotslav
Rävticka
Vedticka</t>
        </is>
      </c>
      <c r="S58">
        <f>HYPERLINK("https://klasma.github.io/Logging_1765/artfynd/A 24663-2023 artfynd.xlsx", "A 24663-2023")</f>
        <v/>
      </c>
      <c r="T58">
        <f>HYPERLINK("https://klasma.github.io/Logging_1765/kartor/A 24663-2023 karta.png", "A 24663-2023")</f>
        <v/>
      </c>
      <c r="U58">
        <f>HYPERLINK("https://klasma.github.io/Logging_1765/knärot/A 24663-2023 karta knärot.png", "A 24663-2023")</f>
        <v/>
      </c>
      <c r="V58">
        <f>HYPERLINK("https://klasma.github.io/Logging_1765/klagomål/A 24663-2023 FSC-klagomål.docx", "A 24663-2023")</f>
        <v/>
      </c>
      <c r="W58">
        <f>HYPERLINK("https://klasma.github.io/Logging_1765/klagomålsmail/A 24663-2023 FSC-klagomål mail.docx", "A 24663-2023")</f>
        <v/>
      </c>
      <c r="X58">
        <f>HYPERLINK("https://klasma.github.io/Logging_1765/tillsyn/A 24663-2023 tillsynsbegäran.docx", "A 24663-2023")</f>
        <v/>
      </c>
      <c r="Y58">
        <f>HYPERLINK("https://klasma.github.io/Logging_1765/tillsynsmail/A 24663-2023 tillsynsbegäran mail.docx", "A 24663-2023")</f>
        <v/>
      </c>
    </row>
    <row r="59" ht="15" customHeight="1">
      <c r="A59" t="inlineStr">
        <is>
          <t>A 41-2024</t>
        </is>
      </c>
      <c r="B59" s="1" t="n">
        <v>45293</v>
      </c>
      <c r="C59" s="1" t="n">
        <v>45810</v>
      </c>
      <c r="D59" t="inlineStr">
        <is>
          <t>VÄRMLANDS LÄN</t>
        </is>
      </c>
      <c r="E59" t="inlineStr">
        <is>
          <t>HAGFORS</t>
        </is>
      </c>
      <c r="F59" t="inlineStr">
        <is>
          <t>Kyrkan</t>
        </is>
      </c>
      <c r="G59" t="n">
        <v>25.2</v>
      </c>
      <c r="H59" t="n">
        <v>0</v>
      </c>
      <c r="I59" t="n">
        <v>4</v>
      </c>
      <c r="J59" t="n">
        <v>4</v>
      </c>
      <c r="K59" t="n">
        <v>0</v>
      </c>
      <c r="L59" t="n">
        <v>0</v>
      </c>
      <c r="M59" t="n">
        <v>0</v>
      </c>
      <c r="N59" t="n">
        <v>0</v>
      </c>
      <c r="O59" t="n">
        <v>4</v>
      </c>
      <c r="P59" t="n">
        <v>0</v>
      </c>
      <c r="Q59" t="n">
        <v>8</v>
      </c>
      <c r="R59" s="2" t="inlineStr">
        <is>
          <t>Garnlav
Kolflarnlav
Mörk kolflarnlav
Vedskivlav
Dropptaggsvamp
Flagellkvastmossa
Korallblylav
Mindre märgborre</t>
        </is>
      </c>
      <c r="S59">
        <f>HYPERLINK("https://klasma.github.io/Logging_1783/artfynd/A 41-2024 artfynd.xlsx", "A 41-2024")</f>
        <v/>
      </c>
      <c r="T59">
        <f>HYPERLINK("https://klasma.github.io/Logging_1783/kartor/A 41-2024 karta.png", "A 41-2024")</f>
        <v/>
      </c>
      <c r="V59">
        <f>HYPERLINK("https://klasma.github.io/Logging_1783/klagomål/A 41-2024 FSC-klagomål.docx", "A 41-2024")</f>
        <v/>
      </c>
      <c r="W59">
        <f>HYPERLINK("https://klasma.github.io/Logging_1783/klagomålsmail/A 41-2024 FSC-klagomål mail.docx", "A 41-2024")</f>
        <v/>
      </c>
      <c r="X59">
        <f>HYPERLINK("https://klasma.github.io/Logging_1783/tillsyn/A 41-2024 tillsynsbegäran.docx", "A 41-2024")</f>
        <v/>
      </c>
      <c r="Y59">
        <f>HYPERLINK("https://klasma.github.io/Logging_1783/tillsynsmail/A 41-2024 tillsynsbegäran mail.docx", "A 41-2024")</f>
        <v/>
      </c>
    </row>
    <row r="60" ht="15" customHeight="1">
      <c r="A60" t="inlineStr">
        <is>
          <t>A 29984-2024</t>
        </is>
      </c>
      <c r="B60" s="1" t="n">
        <v>45488</v>
      </c>
      <c r="C60" s="1" t="n">
        <v>45810</v>
      </c>
      <c r="D60" t="inlineStr">
        <is>
          <t>VÄRMLANDS LÄN</t>
        </is>
      </c>
      <c r="E60" t="inlineStr">
        <is>
          <t>HAGFORS</t>
        </is>
      </c>
      <c r="G60" t="n">
        <v>11.8</v>
      </c>
      <c r="H60" t="n">
        <v>0</v>
      </c>
      <c r="I60" t="n">
        <v>5</v>
      </c>
      <c r="J60" t="n">
        <v>3</v>
      </c>
      <c r="K60" t="n">
        <v>0</v>
      </c>
      <c r="L60" t="n">
        <v>0</v>
      </c>
      <c r="M60" t="n">
        <v>0</v>
      </c>
      <c r="N60" t="n">
        <v>0</v>
      </c>
      <c r="O60" t="n">
        <v>3</v>
      </c>
      <c r="P60" t="n">
        <v>0</v>
      </c>
      <c r="Q60" t="n">
        <v>8</v>
      </c>
      <c r="R60" s="2" t="inlineStr">
        <is>
          <t>Garnlav
Lunglav
Vedtrappmossa
Bronshjon
Dropptaggsvamp
Kattfotslav
Korallblylav
Thomsons trägnagare</t>
        </is>
      </c>
      <c r="S60">
        <f>HYPERLINK("https://klasma.github.io/Logging_1783/artfynd/A 29984-2024 artfynd.xlsx", "A 29984-2024")</f>
        <v/>
      </c>
      <c r="T60">
        <f>HYPERLINK("https://klasma.github.io/Logging_1783/kartor/A 29984-2024 karta.png", "A 29984-2024")</f>
        <v/>
      </c>
      <c r="V60">
        <f>HYPERLINK("https://klasma.github.io/Logging_1783/klagomål/A 29984-2024 FSC-klagomål.docx", "A 29984-2024")</f>
        <v/>
      </c>
      <c r="W60">
        <f>HYPERLINK("https://klasma.github.io/Logging_1783/klagomålsmail/A 29984-2024 FSC-klagomål mail.docx", "A 29984-2024")</f>
        <v/>
      </c>
      <c r="X60">
        <f>HYPERLINK("https://klasma.github.io/Logging_1783/tillsyn/A 29984-2024 tillsynsbegäran.docx", "A 29984-2024")</f>
        <v/>
      </c>
      <c r="Y60">
        <f>HYPERLINK("https://klasma.github.io/Logging_1783/tillsynsmail/A 29984-2024 tillsynsbegäran mail.docx", "A 29984-2024")</f>
        <v/>
      </c>
    </row>
    <row r="61" ht="15" customHeight="1">
      <c r="A61" t="inlineStr">
        <is>
          <t>A 37041-2024</t>
        </is>
      </c>
      <c r="B61" s="1" t="n">
        <v>45539</v>
      </c>
      <c r="C61" s="1" t="n">
        <v>45810</v>
      </c>
      <c r="D61" t="inlineStr">
        <is>
          <t>VÄRMLANDS LÄN</t>
        </is>
      </c>
      <c r="E61" t="inlineStr">
        <is>
          <t>TORSBY</t>
        </is>
      </c>
      <c r="G61" t="n">
        <v>1.5</v>
      </c>
      <c r="H61" t="n">
        <v>1</v>
      </c>
      <c r="I61" t="n">
        <v>2</v>
      </c>
      <c r="J61" t="n">
        <v>4</v>
      </c>
      <c r="K61" t="n">
        <v>2</v>
      </c>
      <c r="L61" t="n">
        <v>0</v>
      </c>
      <c r="M61" t="n">
        <v>0</v>
      </c>
      <c r="N61" t="n">
        <v>0</v>
      </c>
      <c r="O61" t="n">
        <v>6</v>
      </c>
      <c r="P61" t="n">
        <v>2</v>
      </c>
      <c r="Q61" t="n">
        <v>8</v>
      </c>
      <c r="R61" s="2" t="inlineStr">
        <is>
          <t>Knärot
Rynkskinn
Garnlav
Ullticka
Vedskivlav
Vedtrappmossa
Skarp dropptaggsvamp
Vedticka</t>
        </is>
      </c>
      <c r="S61">
        <f>HYPERLINK("https://klasma.github.io/Logging_1737/artfynd/A 37041-2024 artfynd.xlsx", "A 37041-2024")</f>
        <v/>
      </c>
      <c r="T61">
        <f>HYPERLINK("https://klasma.github.io/Logging_1737/kartor/A 37041-2024 karta.png", "A 37041-2024")</f>
        <v/>
      </c>
      <c r="U61">
        <f>HYPERLINK("https://klasma.github.io/Logging_1737/knärot/A 37041-2024 karta knärot.png", "A 37041-2024")</f>
        <v/>
      </c>
      <c r="V61">
        <f>HYPERLINK("https://klasma.github.io/Logging_1737/klagomål/A 37041-2024 FSC-klagomål.docx", "A 37041-2024")</f>
        <v/>
      </c>
      <c r="W61">
        <f>HYPERLINK("https://klasma.github.io/Logging_1737/klagomålsmail/A 37041-2024 FSC-klagomål mail.docx", "A 37041-2024")</f>
        <v/>
      </c>
      <c r="X61">
        <f>HYPERLINK("https://klasma.github.io/Logging_1737/tillsyn/A 37041-2024 tillsynsbegäran.docx", "A 37041-2024")</f>
        <v/>
      </c>
      <c r="Y61">
        <f>HYPERLINK("https://klasma.github.io/Logging_1737/tillsynsmail/A 37041-2024 tillsynsbegäran mail.docx", "A 37041-2024")</f>
        <v/>
      </c>
    </row>
    <row r="62" ht="15" customHeight="1">
      <c r="A62" t="inlineStr">
        <is>
          <t>A 41346-2024</t>
        </is>
      </c>
      <c r="B62" s="1" t="n">
        <v>45559</v>
      </c>
      <c r="C62" s="1" t="n">
        <v>45810</v>
      </c>
      <c r="D62" t="inlineStr">
        <is>
          <t>VÄRMLANDS LÄN</t>
        </is>
      </c>
      <c r="E62" t="inlineStr">
        <is>
          <t>TORSBY</t>
        </is>
      </c>
      <c r="G62" t="n">
        <v>4.1</v>
      </c>
      <c r="H62" t="n">
        <v>0</v>
      </c>
      <c r="I62" t="n">
        <v>0</v>
      </c>
      <c r="J62" t="n">
        <v>8</v>
      </c>
      <c r="K62" t="n">
        <v>0</v>
      </c>
      <c r="L62" t="n">
        <v>0</v>
      </c>
      <c r="M62" t="n">
        <v>0</v>
      </c>
      <c r="N62" t="n">
        <v>0</v>
      </c>
      <c r="O62" t="n">
        <v>8</v>
      </c>
      <c r="P62" t="n">
        <v>0</v>
      </c>
      <c r="Q62" t="n">
        <v>8</v>
      </c>
      <c r="R62" s="2" t="inlineStr">
        <is>
          <t>Garnlav
Lunglav
Skrovellav
Tallticka
Ullticka
Vedskivlav
Vedtrappmossa
Violettgrå tagellav</t>
        </is>
      </c>
      <c r="S62">
        <f>HYPERLINK("https://klasma.github.io/Logging_1737/artfynd/A 41346-2024 artfynd.xlsx", "A 41346-2024")</f>
        <v/>
      </c>
      <c r="T62">
        <f>HYPERLINK("https://klasma.github.io/Logging_1737/kartor/A 41346-2024 karta.png", "A 41346-2024")</f>
        <v/>
      </c>
      <c r="V62">
        <f>HYPERLINK("https://klasma.github.io/Logging_1737/klagomål/A 41346-2024 FSC-klagomål.docx", "A 41346-2024")</f>
        <v/>
      </c>
      <c r="W62">
        <f>HYPERLINK("https://klasma.github.io/Logging_1737/klagomålsmail/A 41346-2024 FSC-klagomål mail.docx", "A 41346-2024")</f>
        <v/>
      </c>
      <c r="X62">
        <f>HYPERLINK("https://klasma.github.io/Logging_1737/tillsyn/A 41346-2024 tillsynsbegäran.docx", "A 41346-2024")</f>
        <v/>
      </c>
      <c r="Y62">
        <f>HYPERLINK("https://klasma.github.io/Logging_1737/tillsynsmail/A 41346-2024 tillsynsbegäran mail.docx", "A 41346-2024")</f>
        <v/>
      </c>
    </row>
    <row r="63" ht="15" customHeight="1">
      <c r="A63" t="inlineStr">
        <is>
          <t>A 46165-2024</t>
        </is>
      </c>
      <c r="B63" s="1" t="n">
        <v>45581</v>
      </c>
      <c r="C63" s="1" t="n">
        <v>45810</v>
      </c>
      <c r="D63" t="inlineStr">
        <is>
          <t>VÄRMLANDS LÄN</t>
        </is>
      </c>
      <c r="E63" t="inlineStr">
        <is>
          <t>SÄFFLE</t>
        </is>
      </c>
      <c r="G63" t="n">
        <v>15.2</v>
      </c>
      <c r="H63" t="n">
        <v>1</v>
      </c>
      <c r="I63" t="n">
        <v>5</v>
      </c>
      <c r="J63" t="n">
        <v>3</v>
      </c>
      <c r="K63" t="n">
        <v>0</v>
      </c>
      <c r="L63" t="n">
        <v>0</v>
      </c>
      <c r="M63" t="n">
        <v>0</v>
      </c>
      <c r="N63" t="n">
        <v>0</v>
      </c>
      <c r="O63" t="n">
        <v>3</v>
      </c>
      <c r="P63" t="n">
        <v>0</v>
      </c>
      <c r="Q63" t="n">
        <v>8</v>
      </c>
      <c r="R63" s="2" t="inlineStr">
        <is>
          <t>Garnlav
Svart taggsvamp
Ullticka
Bronshjon
Dropptaggsvamp
Grön sköldmossa
Gulnål
Kattfotslav</t>
        </is>
      </c>
      <c r="S63">
        <f>HYPERLINK("https://klasma.github.io/Logging_1785/artfynd/A 46165-2024 artfynd.xlsx", "A 46165-2024")</f>
        <v/>
      </c>
      <c r="T63">
        <f>HYPERLINK("https://klasma.github.io/Logging_1785/kartor/A 46165-2024 karta.png", "A 46165-2024")</f>
        <v/>
      </c>
      <c r="V63">
        <f>HYPERLINK("https://klasma.github.io/Logging_1785/klagomål/A 46165-2024 FSC-klagomål.docx", "A 46165-2024")</f>
        <v/>
      </c>
      <c r="W63">
        <f>HYPERLINK("https://klasma.github.io/Logging_1785/klagomålsmail/A 46165-2024 FSC-klagomål mail.docx", "A 46165-2024")</f>
        <v/>
      </c>
      <c r="X63">
        <f>HYPERLINK("https://klasma.github.io/Logging_1785/tillsyn/A 46165-2024 tillsynsbegäran.docx", "A 46165-2024")</f>
        <v/>
      </c>
      <c r="Y63">
        <f>HYPERLINK("https://klasma.github.io/Logging_1785/tillsynsmail/A 46165-2024 tillsynsbegäran mail.docx", "A 46165-2024")</f>
        <v/>
      </c>
    </row>
    <row r="64" ht="15" customHeight="1">
      <c r="A64" t="inlineStr">
        <is>
          <t>A 20818-2025</t>
        </is>
      </c>
      <c r="B64" s="1" t="n">
        <v>45776</v>
      </c>
      <c r="C64" s="1" t="n">
        <v>45810</v>
      </c>
      <c r="D64" t="inlineStr">
        <is>
          <t>VÄRMLANDS LÄN</t>
        </is>
      </c>
      <c r="E64" t="inlineStr">
        <is>
          <t>TORSBY</t>
        </is>
      </c>
      <c r="G64" t="n">
        <v>13.9</v>
      </c>
      <c r="H64" t="n">
        <v>0</v>
      </c>
      <c r="I64" t="n">
        <v>2</v>
      </c>
      <c r="J64" t="n">
        <v>6</v>
      </c>
      <c r="K64" t="n">
        <v>0</v>
      </c>
      <c r="L64" t="n">
        <v>0</v>
      </c>
      <c r="M64" t="n">
        <v>0</v>
      </c>
      <c r="N64" t="n">
        <v>0</v>
      </c>
      <c r="O64" t="n">
        <v>6</v>
      </c>
      <c r="P64" t="n">
        <v>0</v>
      </c>
      <c r="Q64" t="n">
        <v>8</v>
      </c>
      <c r="R64" s="2" t="inlineStr">
        <is>
          <t>Dvärgbägarlav
Garnlav
Kortskaftad ärgspik
Lunglav
Vedskivlav
Vedtrappmossa
Korallblylav
Stuplav</t>
        </is>
      </c>
      <c r="S64">
        <f>HYPERLINK("https://klasma.github.io/Logging_171737/artfynd/A 20818-2025 artfynd.xlsx", "A 20818-2025")</f>
        <v/>
      </c>
      <c r="T64">
        <f>HYPERLINK("https://klasma.github.io/Logging_171737/kartor/A 20818-2025 karta.png", "A 20818-2025")</f>
        <v/>
      </c>
      <c r="V64">
        <f>HYPERLINK("https://klasma.github.io/Logging_171737/klagomål/A 20818-2025 FSC-klagomål.docx", "A 20818-2025")</f>
        <v/>
      </c>
      <c r="W64">
        <f>HYPERLINK("https://klasma.github.io/Logging_171737/klagomålsmail/A 20818-2025 FSC-klagomål mail.docx", "A 20818-2025")</f>
        <v/>
      </c>
      <c r="X64">
        <f>HYPERLINK("https://klasma.github.io/Logging_171737/tillsyn/A 20818-2025 tillsynsbegäran.docx", "A 20818-2025")</f>
        <v/>
      </c>
      <c r="Y64">
        <f>HYPERLINK("https://klasma.github.io/Logging_171737/tillsynsmail/A 20818-2025 tillsynsbegäran mail.docx", "A 20818-2025")</f>
        <v/>
      </c>
    </row>
    <row r="65" ht="15" customHeight="1">
      <c r="A65" t="inlineStr">
        <is>
          <t>A 33920-2019</t>
        </is>
      </c>
      <c r="B65" s="1" t="n">
        <v>43654</v>
      </c>
      <c r="C65" s="1" t="n">
        <v>45810</v>
      </c>
      <c r="D65" t="inlineStr">
        <is>
          <t>VÄRMLANDS LÄN</t>
        </is>
      </c>
      <c r="E65" t="inlineStr">
        <is>
          <t>TORSBY</t>
        </is>
      </c>
      <c r="G65" t="n">
        <v>1.5</v>
      </c>
      <c r="H65" t="n">
        <v>0</v>
      </c>
      <c r="I65" t="n">
        <v>2</v>
      </c>
      <c r="J65" t="n">
        <v>5</v>
      </c>
      <c r="K65" t="n">
        <v>0</v>
      </c>
      <c r="L65" t="n">
        <v>0</v>
      </c>
      <c r="M65" t="n">
        <v>0</v>
      </c>
      <c r="N65" t="n">
        <v>0</v>
      </c>
      <c r="O65" t="n">
        <v>5</v>
      </c>
      <c r="P65" t="n">
        <v>0</v>
      </c>
      <c r="Q65" t="n">
        <v>7</v>
      </c>
      <c r="R65" s="2" t="inlineStr">
        <is>
          <t>Gammelgransskål
Garnlav
Lunglav
Ullticka
Vedtrappmossa
Gulnål
Vedticka</t>
        </is>
      </c>
      <c r="S65">
        <f>HYPERLINK("https://klasma.github.io/Logging_1737/artfynd/A 33920-2019 artfynd.xlsx", "A 33920-2019")</f>
        <v/>
      </c>
      <c r="T65">
        <f>HYPERLINK("https://klasma.github.io/Logging_1737/kartor/A 33920-2019 karta.png", "A 33920-2019")</f>
        <v/>
      </c>
      <c r="V65">
        <f>HYPERLINK("https://klasma.github.io/Logging_1737/klagomål/A 33920-2019 FSC-klagomål.docx", "A 33920-2019")</f>
        <v/>
      </c>
      <c r="W65">
        <f>HYPERLINK("https://klasma.github.io/Logging_1737/klagomålsmail/A 33920-2019 FSC-klagomål mail.docx", "A 33920-2019")</f>
        <v/>
      </c>
      <c r="X65">
        <f>HYPERLINK("https://klasma.github.io/Logging_1737/tillsyn/A 33920-2019 tillsynsbegäran.docx", "A 33920-2019")</f>
        <v/>
      </c>
      <c r="Y65">
        <f>HYPERLINK("https://klasma.github.io/Logging_1737/tillsynsmail/A 33920-2019 tillsynsbegäran mail.docx", "A 33920-2019")</f>
        <v/>
      </c>
    </row>
    <row r="66" ht="15" customHeight="1">
      <c r="A66" t="inlineStr">
        <is>
          <t>A 730-2020</t>
        </is>
      </c>
      <c r="B66" s="1" t="n">
        <v>43838</v>
      </c>
      <c r="C66" s="1" t="n">
        <v>45810</v>
      </c>
      <c r="D66" t="inlineStr">
        <is>
          <t>VÄRMLANDS LÄN</t>
        </is>
      </c>
      <c r="E66" t="inlineStr">
        <is>
          <t>TORSBY</t>
        </is>
      </c>
      <c r="G66" t="n">
        <v>2.1</v>
      </c>
      <c r="H66" t="n">
        <v>0</v>
      </c>
      <c r="I66" t="n">
        <v>4</v>
      </c>
      <c r="J66" t="n">
        <v>3</v>
      </c>
      <c r="K66" t="n">
        <v>0</v>
      </c>
      <c r="L66" t="n">
        <v>0</v>
      </c>
      <c r="M66" t="n">
        <v>0</v>
      </c>
      <c r="N66" t="n">
        <v>0</v>
      </c>
      <c r="O66" t="n">
        <v>3</v>
      </c>
      <c r="P66" t="n">
        <v>0</v>
      </c>
      <c r="Q66" t="n">
        <v>7</v>
      </c>
      <c r="R66" s="2" t="inlineStr">
        <is>
          <t>Desmeknopp
Flattoppad klubbsvamp
Lunglav
Dvärghäxört
Kransrams
Springkorn
Svart trolldruva</t>
        </is>
      </c>
      <c r="S66">
        <f>HYPERLINK("https://klasma.github.io/Logging_1737/artfynd/A 730-2020 artfynd.xlsx", "A 730-2020")</f>
        <v/>
      </c>
      <c r="T66">
        <f>HYPERLINK("https://klasma.github.io/Logging_1737/kartor/A 730-2020 karta.png", "A 730-2020")</f>
        <v/>
      </c>
      <c r="V66">
        <f>HYPERLINK("https://klasma.github.io/Logging_1737/klagomål/A 730-2020 FSC-klagomål.docx", "A 730-2020")</f>
        <v/>
      </c>
      <c r="W66">
        <f>HYPERLINK("https://klasma.github.io/Logging_1737/klagomålsmail/A 730-2020 FSC-klagomål mail.docx", "A 730-2020")</f>
        <v/>
      </c>
      <c r="X66">
        <f>HYPERLINK("https://klasma.github.io/Logging_1737/tillsyn/A 730-2020 tillsynsbegäran.docx", "A 730-2020")</f>
        <v/>
      </c>
      <c r="Y66">
        <f>HYPERLINK("https://klasma.github.io/Logging_1737/tillsynsmail/A 730-2020 tillsynsbegäran mail.docx", "A 730-2020")</f>
        <v/>
      </c>
    </row>
    <row r="67" ht="15" customHeight="1">
      <c r="A67" t="inlineStr">
        <is>
          <t>A 28168-2021</t>
        </is>
      </c>
      <c r="B67" s="1" t="n">
        <v>44355</v>
      </c>
      <c r="C67" s="1" t="n">
        <v>45810</v>
      </c>
      <c r="D67" t="inlineStr">
        <is>
          <t>VÄRMLANDS LÄN</t>
        </is>
      </c>
      <c r="E67" t="inlineStr">
        <is>
          <t>FILIPSTAD</t>
        </is>
      </c>
      <c r="F67" t="inlineStr">
        <is>
          <t>Bergvik skog väst AB</t>
        </is>
      </c>
      <c r="G67" t="n">
        <v>12.4</v>
      </c>
      <c r="H67" t="n">
        <v>1</v>
      </c>
      <c r="I67" t="n">
        <v>4</v>
      </c>
      <c r="J67" t="n">
        <v>3</v>
      </c>
      <c r="K67" t="n">
        <v>0</v>
      </c>
      <c r="L67" t="n">
        <v>0</v>
      </c>
      <c r="M67" t="n">
        <v>0</v>
      </c>
      <c r="N67" t="n">
        <v>0</v>
      </c>
      <c r="O67" t="n">
        <v>3</v>
      </c>
      <c r="P67" t="n">
        <v>0</v>
      </c>
      <c r="Q67" t="n">
        <v>7</v>
      </c>
      <c r="R67" s="2" t="inlineStr">
        <is>
          <t>Dvärgbägarlav
Garnlav
Kortskaftad ärgspik
Flagellkvastmossa
Mindre märgborre
Nästlav
Plattlummer</t>
        </is>
      </c>
      <c r="S67">
        <f>HYPERLINK("https://klasma.github.io/Logging_1782/artfynd/A 28168-2021 artfynd.xlsx", "A 28168-2021")</f>
        <v/>
      </c>
      <c r="T67">
        <f>HYPERLINK("https://klasma.github.io/Logging_1782/kartor/A 28168-2021 karta.png", "A 28168-2021")</f>
        <v/>
      </c>
      <c r="V67">
        <f>HYPERLINK("https://klasma.github.io/Logging_1782/klagomål/A 28168-2021 FSC-klagomål.docx", "A 28168-2021")</f>
        <v/>
      </c>
      <c r="W67">
        <f>HYPERLINK("https://klasma.github.io/Logging_1782/klagomålsmail/A 28168-2021 FSC-klagomål mail.docx", "A 28168-2021")</f>
        <v/>
      </c>
      <c r="X67">
        <f>HYPERLINK("https://klasma.github.io/Logging_1782/tillsyn/A 28168-2021 tillsynsbegäran.docx", "A 28168-2021")</f>
        <v/>
      </c>
      <c r="Y67">
        <f>HYPERLINK("https://klasma.github.io/Logging_1782/tillsynsmail/A 28168-2021 tillsynsbegäran mail.docx", "A 28168-2021")</f>
        <v/>
      </c>
    </row>
    <row r="68" ht="15" customHeight="1">
      <c r="A68" t="inlineStr">
        <is>
          <t>A 35199-2021</t>
        </is>
      </c>
      <c r="B68" s="1" t="n">
        <v>44384</v>
      </c>
      <c r="C68" s="1" t="n">
        <v>45810</v>
      </c>
      <c r="D68" t="inlineStr">
        <is>
          <t>VÄRMLANDS LÄN</t>
        </is>
      </c>
      <c r="E68" t="inlineStr">
        <is>
          <t>TORSBY</t>
        </is>
      </c>
      <c r="G68" t="n">
        <v>20.8</v>
      </c>
      <c r="H68" t="n">
        <v>0</v>
      </c>
      <c r="I68" t="n">
        <v>1</v>
      </c>
      <c r="J68" t="n">
        <v>6</v>
      </c>
      <c r="K68" t="n">
        <v>0</v>
      </c>
      <c r="L68" t="n">
        <v>0</v>
      </c>
      <c r="M68" t="n">
        <v>0</v>
      </c>
      <c r="N68" t="n">
        <v>0</v>
      </c>
      <c r="O68" t="n">
        <v>6</v>
      </c>
      <c r="P68" t="n">
        <v>0</v>
      </c>
      <c r="Q68" t="n">
        <v>7</v>
      </c>
      <c r="R68" s="2" t="inlineStr">
        <is>
          <t>Dvärgbägarlav
Garnlav
Kolflarnlav
Kortskaftad ärgspik
Mörk kolflarnlav
Vedskivlav
Nästlav</t>
        </is>
      </c>
      <c r="S68">
        <f>HYPERLINK("https://klasma.github.io/Logging_1737/artfynd/A 35199-2021 artfynd.xlsx", "A 35199-2021")</f>
        <v/>
      </c>
      <c r="T68">
        <f>HYPERLINK("https://klasma.github.io/Logging_1737/kartor/A 35199-2021 karta.png", "A 35199-2021")</f>
        <v/>
      </c>
      <c r="V68">
        <f>HYPERLINK("https://klasma.github.io/Logging_1737/klagomål/A 35199-2021 FSC-klagomål.docx", "A 35199-2021")</f>
        <v/>
      </c>
      <c r="W68">
        <f>HYPERLINK("https://klasma.github.io/Logging_1737/klagomålsmail/A 35199-2021 FSC-klagomål mail.docx", "A 35199-2021")</f>
        <v/>
      </c>
      <c r="X68">
        <f>HYPERLINK("https://klasma.github.io/Logging_1737/tillsyn/A 35199-2021 tillsynsbegäran.docx", "A 35199-2021")</f>
        <v/>
      </c>
      <c r="Y68">
        <f>HYPERLINK("https://klasma.github.io/Logging_1737/tillsynsmail/A 35199-2021 tillsynsbegäran mail.docx", "A 35199-2021")</f>
        <v/>
      </c>
    </row>
    <row r="69" ht="15" customHeight="1">
      <c r="A69" t="inlineStr">
        <is>
          <t>A 47888-2021</t>
        </is>
      </c>
      <c r="B69" s="1" t="n">
        <v>44448</v>
      </c>
      <c r="C69" s="1" t="n">
        <v>45810</v>
      </c>
      <c r="D69" t="inlineStr">
        <is>
          <t>VÄRMLANDS LÄN</t>
        </is>
      </c>
      <c r="E69" t="inlineStr">
        <is>
          <t>FILIPSTAD</t>
        </is>
      </c>
      <c r="F69" t="inlineStr">
        <is>
          <t>Bergvik skog väst AB</t>
        </is>
      </c>
      <c r="G69" t="n">
        <v>9</v>
      </c>
      <c r="H69" t="n">
        <v>3</v>
      </c>
      <c r="I69" t="n">
        <v>7</v>
      </c>
      <c r="J69" t="n">
        <v>0</v>
      </c>
      <c r="K69" t="n">
        <v>0</v>
      </c>
      <c r="L69" t="n">
        <v>0</v>
      </c>
      <c r="M69" t="n">
        <v>0</v>
      </c>
      <c r="N69" t="n">
        <v>0</v>
      </c>
      <c r="O69" t="n">
        <v>0</v>
      </c>
      <c r="P69" t="n">
        <v>0</v>
      </c>
      <c r="Q69" t="n">
        <v>7</v>
      </c>
      <c r="R69" s="2" t="inlineStr">
        <is>
          <t>Grönkulla
Skogsknipprot
Svart trolldruva
Tibast
Tvåblad
Underviol
Vårärt</t>
        </is>
      </c>
      <c r="S69">
        <f>HYPERLINK("https://klasma.github.io/Logging_1782/artfynd/A 47888-2021 artfynd.xlsx", "A 47888-2021")</f>
        <v/>
      </c>
      <c r="T69">
        <f>HYPERLINK("https://klasma.github.io/Logging_1782/kartor/A 47888-2021 karta.png", "A 47888-2021")</f>
        <v/>
      </c>
      <c r="V69">
        <f>HYPERLINK("https://klasma.github.io/Logging_1782/klagomål/A 47888-2021 FSC-klagomål.docx", "A 47888-2021")</f>
        <v/>
      </c>
      <c r="W69">
        <f>HYPERLINK("https://klasma.github.io/Logging_1782/klagomålsmail/A 47888-2021 FSC-klagomål mail.docx", "A 47888-2021")</f>
        <v/>
      </c>
      <c r="X69">
        <f>HYPERLINK("https://klasma.github.io/Logging_1782/tillsyn/A 47888-2021 tillsynsbegäran.docx", "A 47888-2021")</f>
        <v/>
      </c>
      <c r="Y69">
        <f>HYPERLINK("https://klasma.github.io/Logging_1782/tillsynsmail/A 47888-2021 tillsynsbegäran mail.docx", "A 47888-2021")</f>
        <v/>
      </c>
    </row>
    <row r="70" ht="15" customHeight="1">
      <c r="A70" t="inlineStr">
        <is>
          <t>A 59864-2021</t>
        </is>
      </c>
      <c r="B70" s="1" t="n">
        <v>44494</v>
      </c>
      <c r="C70" s="1" t="n">
        <v>45810</v>
      </c>
      <c r="D70" t="inlineStr">
        <is>
          <t>VÄRMLANDS LÄN</t>
        </is>
      </c>
      <c r="E70" t="inlineStr">
        <is>
          <t>EDA</t>
        </is>
      </c>
      <c r="G70" t="n">
        <v>4.5</v>
      </c>
      <c r="H70" t="n">
        <v>0</v>
      </c>
      <c r="I70" t="n">
        <v>5</v>
      </c>
      <c r="J70" t="n">
        <v>2</v>
      </c>
      <c r="K70" t="n">
        <v>0</v>
      </c>
      <c r="L70" t="n">
        <v>0</v>
      </c>
      <c r="M70" t="n">
        <v>0</v>
      </c>
      <c r="N70" t="n">
        <v>0</v>
      </c>
      <c r="O70" t="n">
        <v>2</v>
      </c>
      <c r="P70" t="n">
        <v>0</v>
      </c>
      <c r="Q70" t="n">
        <v>7</v>
      </c>
      <c r="R70" s="2" t="inlineStr">
        <is>
          <t>Kådvaxskinn
Rundfjädermossa
Blek stjärnmossa
Blåsfliksmossa
Grov fjädermossa
Platt fjädermossa
Vedticka</t>
        </is>
      </c>
      <c r="S70">
        <f>HYPERLINK("https://klasma.github.io/Logging_1730/artfynd/A 59864-2021 artfynd.xlsx", "A 59864-2021")</f>
        <v/>
      </c>
      <c r="T70">
        <f>HYPERLINK("https://klasma.github.io/Logging_1730/kartor/A 59864-2021 karta.png", "A 59864-2021")</f>
        <v/>
      </c>
      <c r="V70">
        <f>HYPERLINK("https://klasma.github.io/Logging_1730/klagomål/A 59864-2021 FSC-klagomål.docx", "A 59864-2021")</f>
        <v/>
      </c>
      <c r="W70">
        <f>HYPERLINK("https://klasma.github.io/Logging_1730/klagomålsmail/A 59864-2021 FSC-klagomål mail.docx", "A 59864-2021")</f>
        <v/>
      </c>
      <c r="X70">
        <f>HYPERLINK("https://klasma.github.io/Logging_1730/tillsyn/A 59864-2021 tillsynsbegäran.docx", "A 59864-2021")</f>
        <v/>
      </c>
      <c r="Y70">
        <f>HYPERLINK("https://klasma.github.io/Logging_1730/tillsynsmail/A 59864-2021 tillsynsbegäran mail.docx", "A 59864-2021")</f>
        <v/>
      </c>
    </row>
    <row r="71" ht="15" customHeight="1">
      <c r="A71" t="inlineStr">
        <is>
          <t>A 66836-2021</t>
        </is>
      </c>
      <c r="B71" s="1" t="n">
        <v>44522</v>
      </c>
      <c r="C71" s="1" t="n">
        <v>45810</v>
      </c>
      <c r="D71" t="inlineStr">
        <is>
          <t>VÄRMLANDS LÄN</t>
        </is>
      </c>
      <c r="E71" t="inlineStr">
        <is>
          <t>TORSBY</t>
        </is>
      </c>
      <c r="G71" t="n">
        <v>4.1</v>
      </c>
      <c r="H71" t="n">
        <v>1</v>
      </c>
      <c r="I71" t="n">
        <v>3</v>
      </c>
      <c r="J71" t="n">
        <v>4</v>
      </c>
      <c r="K71" t="n">
        <v>0</v>
      </c>
      <c r="L71" t="n">
        <v>0</v>
      </c>
      <c r="M71" t="n">
        <v>0</v>
      </c>
      <c r="N71" t="n">
        <v>0</v>
      </c>
      <c r="O71" t="n">
        <v>4</v>
      </c>
      <c r="P71" t="n">
        <v>0</v>
      </c>
      <c r="Q71" t="n">
        <v>7</v>
      </c>
      <c r="R71" s="2" t="inlineStr">
        <is>
          <t>Doftskinn
Garnlav
Lunglav
Violettgrå tagellav
Korallblylav
Spindelblomster
Vedticka</t>
        </is>
      </c>
      <c r="S71">
        <f>HYPERLINK("https://klasma.github.io/Logging_1737/artfynd/A 66836-2021 artfynd.xlsx", "A 66836-2021")</f>
        <v/>
      </c>
      <c r="T71">
        <f>HYPERLINK("https://klasma.github.io/Logging_1737/kartor/A 66836-2021 karta.png", "A 66836-2021")</f>
        <v/>
      </c>
      <c r="V71">
        <f>HYPERLINK("https://klasma.github.io/Logging_1737/klagomål/A 66836-2021 FSC-klagomål.docx", "A 66836-2021")</f>
        <v/>
      </c>
      <c r="W71">
        <f>HYPERLINK("https://klasma.github.io/Logging_1737/klagomålsmail/A 66836-2021 FSC-klagomål mail.docx", "A 66836-2021")</f>
        <v/>
      </c>
      <c r="X71">
        <f>HYPERLINK("https://klasma.github.io/Logging_1737/tillsyn/A 66836-2021 tillsynsbegäran.docx", "A 66836-2021")</f>
        <v/>
      </c>
      <c r="Y71">
        <f>HYPERLINK("https://klasma.github.io/Logging_1737/tillsynsmail/A 66836-2021 tillsynsbegäran mail.docx", "A 66836-2021")</f>
        <v/>
      </c>
    </row>
    <row r="72" ht="15" customHeight="1">
      <c r="A72" t="inlineStr">
        <is>
          <t>A 73921-2021</t>
        </is>
      </c>
      <c r="B72" s="1" t="n">
        <v>44553</v>
      </c>
      <c r="C72" s="1" t="n">
        <v>45810</v>
      </c>
      <c r="D72" t="inlineStr">
        <is>
          <t>VÄRMLANDS LÄN</t>
        </is>
      </c>
      <c r="E72" t="inlineStr">
        <is>
          <t>TORSBY</t>
        </is>
      </c>
      <c r="G72" t="n">
        <v>15.3</v>
      </c>
      <c r="H72" t="n">
        <v>0</v>
      </c>
      <c r="I72" t="n">
        <v>1</v>
      </c>
      <c r="J72" t="n">
        <v>6</v>
      </c>
      <c r="K72" t="n">
        <v>0</v>
      </c>
      <c r="L72" t="n">
        <v>0</v>
      </c>
      <c r="M72" t="n">
        <v>0</v>
      </c>
      <c r="N72" t="n">
        <v>0</v>
      </c>
      <c r="O72" t="n">
        <v>6</v>
      </c>
      <c r="P72" t="n">
        <v>0</v>
      </c>
      <c r="Q72" t="n">
        <v>7</v>
      </c>
      <c r="R72" s="2" t="inlineStr">
        <is>
          <t>Gammelgransskål
Garnlav
Kolflarnlav
Motaggsvamp
Mörk kolflarnlav
Vedskivlav
Dropptaggsvamp</t>
        </is>
      </c>
      <c r="S72">
        <f>HYPERLINK("https://klasma.github.io/Logging_1737/artfynd/A 73921-2021 artfynd.xlsx", "A 73921-2021")</f>
        <v/>
      </c>
      <c r="T72">
        <f>HYPERLINK("https://klasma.github.io/Logging_1737/kartor/A 73921-2021 karta.png", "A 73921-2021")</f>
        <v/>
      </c>
      <c r="V72">
        <f>HYPERLINK("https://klasma.github.io/Logging_1737/klagomål/A 73921-2021 FSC-klagomål.docx", "A 73921-2021")</f>
        <v/>
      </c>
      <c r="W72">
        <f>HYPERLINK("https://klasma.github.io/Logging_1737/klagomålsmail/A 73921-2021 FSC-klagomål mail.docx", "A 73921-2021")</f>
        <v/>
      </c>
      <c r="X72">
        <f>HYPERLINK("https://klasma.github.io/Logging_1737/tillsyn/A 73921-2021 tillsynsbegäran.docx", "A 73921-2021")</f>
        <v/>
      </c>
      <c r="Y72">
        <f>HYPERLINK("https://klasma.github.io/Logging_1737/tillsynsmail/A 73921-2021 tillsynsbegäran mail.docx", "A 73921-2021")</f>
        <v/>
      </c>
    </row>
    <row r="73" ht="15" customHeight="1">
      <c r="A73" t="inlineStr">
        <is>
          <t>A 42499-2022</t>
        </is>
      </c>
      <c r="B73" s="1" t="n">
        <v>44831</v>
      </c>
      <c r="C73" s="1" t="n">
        <v>45810</v>
      </c>
      <c r="D73" t="inlineStr">
        <is>
          <t>VÄRMLANDS LÄN</t>
        </is>
      </c>
      <c r="E73" t="inlineStr">
        <is>
          <t>TORSBY</t>
        </is>
      </c>
      <c r="F73" t="inlineStr">
        <is>
          <t>Kommuner</t>
        </is>
      </c>
      <c r="G73" t="n">
        <v>2.8</v>
      </c>
      <c r="H73" t="n">
        <v>0</v>
      </c>
      <c r="I73" t="n">
        <v>1</v>
      </c>
      <c r="J73" t="n">
        <v>6</v>
      </c>
      <c r="K73" t="n">
        <v>0</v>
      </c>
      <c r="L73" t="n">
        <v>0</v>
      </c>
      <c r="M73" t="n">
        <v>0</v>
      </c>
      <c r="N73" t="n">
        <v>0</v>
      </c>
      <c r="O73" t="n">
        <v>6</v>
      </c>
      <c r="P73" t="n">
        <v>0</v>
      </c>
      <c r="Q73" t="n">
        <v>7</v>
      </c>
      <c r="R73" s="2" t="inlineStr">
        <is>
          <t>Dvärgbägarlav
Garnlav
Kolflarnlav
Mörk kolflarnlav
Vedskivlav
Violettgrå tagellav
Dropptaggsvamp</t>
        </is>
      </c>
      <c r="S73">
        <f>HYPERLINK("https://klasma.github.io/Logging_1737/artfynd/A 42499-2022 artfynd.xlsx", "A 42499-2022")</f>
        <v/>
      </c>
      <c r="T73">
        <f>HYPERLINK("https://klasma.github.io/Logging_1737/kartor/A 42499-2022 karta.png", "A 42499-2022")</f>
        <v/>
      </c>
      <c r="V73">
        <f>HYPERLINK("https://klasma.github.io/Logging_1737/klagomål/A 42499-2022 FSC-klagomål.docx", "A 42499-2022")</f>
        <v/>
      </c>
      <c r="W73">
        <f>HYPERLINK("https://klasma.github.io/Logging_1737/klagomålsmail/A 42499-2022 FSC-klagomål mail.docx", "A 42499-2022")</f>
        <v/>
      </c>
      <c r="X73">
        <f>HYPERLINK("https://klasma.github.io/Logging_1737/tillsyn/A 42499-2022 tillsynsbegäran.docx", "A 42499-2022")</f>
        <v/>
      </c>
      <c r="Y73">
        <f>HYPERLINK("https://klasma.github.io/Logging_1737/tillsynsmail/A 42499-2022 tillsynsbegäran mail.docx", "A 42499-2022")</f>
        <v/>
      </c>
    </row>
    <row r="74" ht="15" customHeight="1">
      <c r="A74" t="inlineStr">
        <is>
          <t>A 5979-2023</t>
        </is>
      </c>
      <c r="B74" s="1" t="n">
        <v>44964</v>
      </c>
      <c r="C74" s="1" t="n">
        <v>45810</v>
      </c>
      <c r="D74" t="inlineStr">
        <is>
          <t>VÄRMLANDS LÄN</t>
        </is>
      </c>
      <c r="E74" t="inlineStr">
        <is>
          <t>ÅRJÄNG</t>
        </is>
      </c>
      <c r="G74" t="n">
        <v>4</v>
      </c>
      <c r="H74" t="n">
        <v>0</v>
      </c>
      <c r="I74" t="n">
        <v>3</v>
      </c>
      <c r="J74" t="n">
        <v>2</v>
      </c>
      <c r="K74" t="n">
        <v>2</v>
      </c>
      <c r="L74" t="n">
        <v>0</v>
      </c>
      <c r="M74" t="n">
        <v>0</v>
      </c>
      <c r="N74" t="n">
        <v>0</v>
      </c>
      <c r="O74" t="n">
        <v>4</v>
      </c>
      <c r="P74" t="n">
        <v>2</v>
      </c>
      <c r="Q74" t="n">
        <v>7</v>
      </c>
      <c r="R74" s="2" t="inlineStr">
        <is>
          <t>Brödtaggsvamp
Porslinsblå spindling
Grantaggsvamp
Svart taggsvamp
Fjällig taggsvamp s.str.
Rödgul trumpetsvamp
Skarp dropptaggsvamp</t>
        </is>
      </c>
      <c r="S74">
        <f>HYPERLINK("https://klasma.github.io/Logging_1765/artfynd/A 5979-2023 artfynd.xlsx", "A 5979-2023")</f>
        <v/>
      </c>
      <c r="T74">
        <f>HYPERLINK("https://klasma.github.io/Logging_1765/kartor/A 5979-2023 karta.png", "A 5979-2023")</f>
        <v/>
      </c>
      <c r="V74">
        <f>HYPERLINK("https://klasma.github.io/Logging_1765/klagomål/A 5979-2023 FSC-klagomål.docx", "A 5979-2023")</f>
        <v/>
      </c>
      <c r="W74">
        <f>HYPERLINK("https://klasma.github.io/Logging_1765/klagomålsmail/A 5979-2023 FSC-klagomål mail.docx", "A 5979-2023")</f>
        <v/>
      </c>
      <c r="X74">
        <f>HYPERLINK("https://klasma.github.io/Logging_1765/tillsyn/A 5979-2023 tillsynsbegäran.docx", "A 5979-2023")</f>
        <v/>
      </c>
      <c r="Y74">
        <f>HYPERLINK("https://klasma.github.io/Logging_1765/tillsynsmail/A 5979-2023 tillsynsbegäran mail.docx", "A 5979-2023")</f>
        <v/>
      </c>
    </row>
    <row r="75" ht="15" customHeight="1">
      <c r="A75" t="inlineStr">
        <is>
          <t>A 21083-2023</t>
        </is>
      </c>
      <c r="B75" s="1" t="n">
        <v>45061</v>
      </c>
      <c r="C75" s="1" t="n">
        <v>45810</v>
      </c>
      <c r="D75" t="inlineStr">
        <is>
          <t>VÄRMLANDS LÄN</t>
        </is>
      </c>
      <c r="E75" t="inlineStr">
        <is>
          <t>STORFORS</t>
        </is>
      </c>
      <c r="G75" t="n">
        <v>7.4</v>
      </c>
      <c r="H75" t="n">
        <v>2</v>
      </c>
      <c r="I75" t="n">
        <v>3</v>
      </c>
      <c r="J75" t="n">
        <v>3</v>
      </c>
      <c r="K75" t="n">
        <v>1</v>
      </c>
      <c r="L75" t="n">
        <v>0</v>
      </c>
      <c r="M75" t="n">
        <v>0</v>
      </c>
      <c r="N75" t="n">
        <v>0</v>
      </c>
      <c r="O75" t="n">
        <v>4</v>
      </c>
      <c r="P75" t="n">
        <v>1</v>
      </c>
      <c r="Q75" t="n">
        <v>7</v>
      </c>
      <c r="R75" s="2" t="inlineStr">
        <is>
          <t>Knärot
Tretåig hackspett
Ullticka
Vedtrappmossa
Thomsons trägnagare
Vedticka
Västlig hakmossa</t>
        </is>
      </c>
      <c r="S75">
        <f>HYPERLINK("https://klasma.github.io/Logging_1760/artfynd/A 21083-2023 artfynd.xlsx", "A 21083-2023")</f>
        <v/>
      </c>
      <c r="T75">
        <f>HYPERLINK("https://klasma.github.io/Logging_1760/kartor/A 21083-2023 karta.png", "A 21083-2023")</f>
        <v/>
      </c>
      <c r="U75">
        <f>HYPERLINK("https://klasma.github.io/Logging_1760/knärot/A 21083-2023 karta knärot.png", "A 21083-2023")</f>
        <v/>
      </c>
      <c r="V75">
        <f>HYPERLINK("https://klasma.github.io/Logging_1760/klagomål/A 21083-2023 FSC-klagomål.docx", "A 21083-2023")</f>
        <v/>
      </c>
      <c r="W75">
        <f>HYPERLINK("https://klasma.github.io/Logging_1760/klagomålsmail/A 21083-2023 FSC-klagomål mail.docx", "A 21083-2023")</f>
        <v/>
      </c>
      <c r="X75">
        <f>HYPERLINK("https://klasma.github.io/Logging_1760/tillsyn/A 21083-2023 tillsynsbegäran.docx", "A 21083-2023")</f>
        <v/>
      </c>
      <c r="Y75">
        <f>HYPERLINK("https://klasma.github.io/Logging_1760/tillsynsmail/A 21083-2023 tillsynsbegäran mail.docx", "A 21083-2023")</f>
        <v/>
      </c>
      <c r="Z75">
        <f>HYPERLINK("https://klasma.github.io/Logging_1760/fåglar/A 21083-2023 prioriterade fågelarter.docx", "A 21083-2023")</f>
        <v/>
      </c>
    </row>
    <row r="76" ht="15" customHeight="1">
      <c r="A76" t="inlineStr">
        <is>
          <t>A 43822-2023</t>
        </is>
      </c>
      <c r="B76" s="1" t="n">
        <v>45182</v>
      </c>
      <c r="C76" s="1" t="n">
        <v>45810</v>
      </c>
      <c r="D76" t="inlineStr">
        <is>
          <t>VÄRMLANDS LÄN</t>
        </is>
      </c>
      <c r="E76" t="inlineStr">
        <is>
          <t>TORSBY</t>
        </is>
      </c>
      <c r="G76" t="n">
        <v>17.9</v>
      </c>
      <c r="H76" t="n">
        <v>1</v>
      </c>
      <c r="I76" t="n">
        <v>0</v>
      </c>
      <c r="J76" t="n">
        <v>7</v>
      </c>
      <c r="K76" t="n">
        <v>0</v>
      </c>
      <c r="L76" t="n">
        <v>0</v>
      </c>
      <c r="M76" t="n">
        <v>0</v>
      </c>
      <c r="N76" t="n">
        <v>0</v>
      </c>
      <c r="O76" t="n">
        <v>7</v>
      </c>
      <c r="P76" t="n">
        <v>0</v>
      </c>
      <c r="Q76" t="n">
        <v>7</v>
      </c>
      <c r="R76" s="2" t="inlineStr">
        <is>
          <t>Gammelgransskål
Garnlav
Kolflarnlav
Motaggsvamp
Mörk kolflarnlav
Skrovellav
Tretåig hackspett</t>
        </is>
      </c>
      <c r="S76">
        <f>HYPERLINK("https://klasma.github.io/Logging_1737/artfynd/A 43822-2023 artfynd.xlsx", "A 43822-2023")</f>
        <v/>
      </c>
      <c r="T76">
        <f>HYPERLINK("https://klasma.github.io/Logging_1737/kartor/A 43822-2023 karta.png", "A 43822-2023")</f>
        <v/>
      </c>
      <c r="V76">
        <f>HYPERLINK("https://klasma.github.io/Logging_1737/klagomål/A 43822-2023 FSC-klagomål.docx", "A 43822-2023")</f>
        <v/>
      </c>
      <c r="W76">
        <f>HYPERLINK("https://klasma.github.io/Logging_1737/klagomålsmail/A 43822-2023 FSC-klagomål mail.docx", "A 43822-2023")</f>
        <v/>
      </c>
      <c r="X76">
        <f>HYPERLINK("https://klasma.github.io/Logging_1737/tillsyn/A 43822-2023 tillsynsbegäran.docx", "A 43822-2023")</f>
        <v/>
      </c>
      <c r="Y76">
        <f>HYPERLINK("https://klasma.github.io/Logging_1737/tillsynsmail/A 43822-2023 tillsynsbegäran mail.docx", "A 43822-2023")</f>
        <v/>
      </c>
      <c r="Z76">
        <f>HYPERLINK("https://klasma.github.io/Logging_1737/fåglar/A 43822-2023 prioriterade fågelarter.docx", "A 43822-2023")</f>
        <v/>
      </c>
    </row>
    <row r="77" ht="15" customHeight="1">
      <c r="A77" t="inlineStr">
        <is>
          <t>A 44658-2024</t>
        </is>
      </c>
      <c r="B77" s="1" t="n">
        <v>45574</v>
      </c>
      <c r="C77" s="1" t="n">
        <v>45810</v>
      </c>
      <c r="D77" t="inlineStr">
        <is>
          <t>VÄRMLANDS LÄN</t>
        </is>
      </c>
      <c r="E77" t="inlineStr">
        <is>
          <t>KARLSTAD</t>
        </is>
      </c>
      <c r="G77" t="n">
        <v>5.1</v>
      </c>
      <c r="H77" t="n">
        <v>7</v>
      </c>
      <c r="I77" t="n">
        <v>0</v>
      </c>
      <c r="J77" t="n">
        <v>3</v>
      </c>
      <c r="K77" t="n">
        <v>2</v>
      </c>
      <c r="L77" t="n">
        <v>1</v>
      </c>
      <c r="M77" t="n">
        <v>0</v>
      </c>
      <c r="N77" t="n">
        <v>0</v>
      </c>
      <c r="O77" t="n">
        <v>6</v>
      </c>
      <c r="P77" t="n">
        <v>3</v>
      </c>
      <c r="Q77" t="n">
        <v>7</v>
      </c>
      <c r="R77" s="2" t="inlineStr">
        <is>
          <t>Tornseglare
Hussvala
Stare
Buskskvätta
Grönsångare
Gulsparv
Göktyta</t>
        </is>
      </c>
      <c r="S77">
        <f>HYPERLINK("https://klasma.github.io/Logging_1780/artfynd/A 44658-2024 artfynd.xlsx", "A 44658-2024")</f>
        <v/>
      </c>
      <c r="T77">
        <f>HYPERLINK("https://klasma.github.io/Logging_1780/kartor/A 44658-2024 karta.png", "A 44658-2024")</f>
        <v/>
      </c>
      <c r="V77">
        <f>HYPERLINK("https://klasma.github.io/Logging_1780/klagomål/A 44658-2024 FSC-klagomål.docx", "A 44658-2024")</f>
        <v/>
      </c>
      <c r="W77">
        <f>HYPERLINK("https://klasma.github.io/Logging_1780/klagomålsmail/A 44658-2024 FSC-klagomål mail.docx", "A 44658-2024")</f>
        <v/>
      </c>
      <c r="X77">
        <f>HYPERLINK("https://klasma.github.io/Logging_1780/tillsyn/A 44658-2024 tillsynsbegäran.docx", "A 44658-2024")</f>
        <v/>
      </c>
      <c r="Y77">
        <f>HYPERLINK("https://klasma.github.io/Logging_1780/tillsynsmail/A 44658-2024 tillsynsbegäran mail.docx", "A 44658-2024")</f>
        <v/>
      </c>
      <c r="Z77">
        <f>HYPERLINK("https://klasma.github.io/Logging_1780/fåglar/A 44658-2024 prioriterade fågelarter.docx", "A 44658-2024")</f>
        <v/>
      </c>
    </row>
    <row r="78" ht="15" customHeight="1">
      <c r="A78" t="inlineStr">
        <is>
          <t>A 11656-2025</t>
        </is>
      </c>
      <c r="B78" s="1" t="n">
        <v>45727</v>
      </c>
      <c r="C78" s="1" t="n">
        <v>45810</v>
      </c>
      <c r="D78" t="inlineStr">
        <is>
          <t>VÄRMLANDS LÄN</t>
        </is>
      </c>
      <c r="E78" t="inlineStr">
        <is>
          <t>KRISTINEHAMN</t>
        </is>
      </c>
      <c r="G78" t="n">
        <v>13.1</v>
      </c>
      <c r="H78" t="n">
        <v>2</v>
      </c>
      <c r="I78" t="n">
        <v>4</v>
      </c>
      <c r="J78" t="n">
        <v>1</v>
      </c>
      <c r="K78" t="n">
        <v>0</v>
      </c>
      <c r="L78" t="n">
        <v>0</v>
      </c>
      <c r="M78" t="n">
        <v>0</v>
      </c>
      <c r="N78" t="n">
        <v>0</v>
      </c>
      <c r="O78" t="n">
        <v>1</v>
      </c>
      <c r="P78" t="n">
        <v>0</v>
      </c>
      <c r="Q78" t="n">
        <v>7</v>
      </c>
      <c r="R78" s="2" t="inlineStr">
        <is>
          <t>Stor sotdyna
Gulnål
Kornig nållav
Lönnlav
Rostfläck
Åkergroda
Blåsippa</t>
        </is>
      </c>
      <c r="S78">
        <f>HYPERLINK("https://klasma.github.io/Logging_171781/artfynd/A 11656-2025 artfynd.xlsx", "A 11656-2025")</f>
        <v/>
      </c>
      <c r="T78">
        <f>HYPERLINK("https://klasma.github.io/Logging_171781/kartor/A 11656-2025 karta.png", "A 11656-2025")</f>
        <v/>
      </c>
      <c r="V78">
        <f>HYPERLINK("https://klasma.github.io/Logging_171781/klagomål/A 11656-2025 FSC-klagomål.docx", "A 11656-2025")</f>
        <v/>
      </c>
      <c r="W78">
        <f>HYPERLINK("https://klasma.github.io/Logging_171781/klagomålsmail/A 11656-2025 FSC-klagomål mail.docx", "A 11656-2025")</f>
        <v/>
      </c>
      <c r="X78">
        <f>HYPERLINK("https://klasma.github.io/Logging_171781/tillsyn/A 11656-2025 tillsynsbegäran.docx", "A 11656-2025")</f>
        <v/>
      </c>
      <c r="Y78">
        <f>HYPERLINK("https://klasma.github.io/Logging_171781/tillsynsmail/A 11656-2025 tillsynsbegäran mail.docx", "A 11656-2025")</f>
        <v/>
      </c>
    </row>
    <row r="79" ht="15" customHeight="1">
      <c r="A79" t="inlineStr">
        <is>
          <t>A 42882-2020</t>
        </is>
      </c>
      <c r="B79" s="1" t="n">
        <v>44078</v>
      </c>
      <c r="C79" s="1" t="n">
        <v>45810</v>
      </c>
      <c r="D79" t="inlineStr">
        <is>
          <t>VÄRMLANDS LÄN</t>
        </is>
      </c>
      <c r="E79" t="inlineStr">
        <is>
          <t>FILIPSTAD</t>
        </is>
      </c>
      <c r="F79" t="inlineStr">
        <is>
          <t>Bergvik skog väst AB</t>
        </is>
      </c>
      <c r="G79" t="n">
        <v>2.2</v>
      </c>
      <c r="H79" t="n">
        <v>2</v>
      </c>
      <c r="I79" t="n">
        <v>1</v>
      </c>
      <c r="J79" t="n">
        <v>4</v>
      </c>
      <c r="K79" t="n">
        <v>0</v>
      </c>
      <c r="L79" t="n">
        <v>0</v>
      </c>
      <c r="M79" t="n">
        <v>0</v>
      </c>
      <c r="N79" t="n">
        <v>0</v>
      </c>
      <c r="O79" t="n">
        <v>4</v>
      </c>
      <c r="P79" t="n">
        <v>0</v>
      </c>
      <c r="Q79" t="n">
        <v>6</v>
      </c>
      <c r="R79" s="2" t="inlineStr">
        <is>
          <t>Garnlav
Lunglav
Spillkråka
Stjärntagging
Vedticka
Fläcknycklar</t>
        </is>
      </c>
      <c r="S79">
        <f>HYPERLINK("https://klasma.github.io/Logging_1782/artfynd/A 42882-2020 artfynd.xlsx", "A 42882-2020")</f>
        <v/>
      </c>
      <c r="T79">
        <f>HYPERLINK("https://klasma.github.io/Logging_1782/kartor/A 42882-2020 karta.png", "A 42882-2020")</f>
        <v/>
      </c>
      <c r="V79">
        <f>HYPERLINK("https://klasma.github.io/Logging_1782/klagomål/A 42882-2020 FSC-klagomål.docx", "A 42882-2020")</f>
        <v/>
      </c>
      <c r="W79">
        <f>HYPERLINK("https://klasma.github.io/Logging_1782/klagomålsmail/A 42882-2020 FSC-klagomål mail.docx", "A 42882-2020")</f>
        <v/>
      </c>
      <c r="X79">
        <f>HYPERLINK("https://klasma.github.io/Logging_1782/tillsyn/A 42882-2020 tillsynsbegäran.docx", "A 42882-2020")</f>
        <v/>
      </c>
      <c r="Y79">
        <f>HYPERLINK("https://klasma.github.io/Logging_1782/tillsynsmail/A 42882-2020 tillsynsbegäran mail.docx", "A 42882-2020")</f>
        <v/>
      </c>
      <c r="Z79">
        <f>HYPERLINK("https://klasma.github.io/Logging_1782/fåglar/A 42882-2020 prioriterade fågelarter.docx", "A 42882-2020")</f>
        <v/>
      </c>
    </row>
    <row r="80" ht="15" customHeight="1">
      <c r="A80" t="inlineStr">
        <is>
          <t>A 43773-2020</t>
        </is>
      </c>
      <c r="B80" s="1" t="n">
        <v>44081</v>
      </c>
      <c r="C80" s="1" t="n">
        <v>45810</v>
      </c>
      <c r="D80" t="inlineStr">
        <is>
          <t>VÄRMLANDS LÄN</t>
        </is>
      </c>
      <c r="E80" t="inlineStr">
        <is>
          <t>KARLSTAD</t>
        </is>
      </c>
      <c r="G80" t="n">
        <v>16.7</v>
      </c>
      <c r="H80" t="n">
        <v>1</v>
      </c>
      <c r="I80" t="n">
        <v>5</v>
      </c>
      <c r="J80" t="n">
        <v>0</v>
      </c>
      <c r="K80" t="n">
        <v>0</v>
      </c>
      <c r="L80" t="n">
        <v>0</v>
      </c>
      <c r="M80" t="n">
        <v>0</v>
      </c>
      <c r="N80" t="n">
        <v>0</v>
      </c>
      <c r="O80" t="n">
        <v>0</v>
      </c>
      <c r="P80" t="n">
        <v>0</v>
      </c>
      <c r="Q80" t="n">
        <v>6</v>
      </c>
      <c r="R80" s="2" t="inlineStr">
        <is>
          <t>Blek stjärnmossa
Springkorn
Svart trolldruva
Underviol
Vårärt
Blåsippa</t>
        </is>
      </c>
      <c r="S80">
        <f>HYPERLINK("https://klasma.github.io/Logging_1780/artfynd/A 43773-2020 artfynd.xlsx", "A 43773-2020")</f>
        <v/>
      </c>
      <c r="T80">
        <f>HYPERLINK("https://klasma.github.io/Logging_1780/kartor/A 43773-2020 karta.png", "A 43773-2020")</f>
        <v/>
      </c>
      <c r="V80">
        <f>HYPERLINK("https://klasma.github.io/Logging_1780/klagomål/A 43773-2020 FSC-klagomål.docx", "A 43773-2020")</f>
        <v/>
      </c>
      <c r="W80">
        <f>HYPERLINK("https://klasma.github.io/Logging_1780/klagomålsmail/A 43773-2020 FSC-klagomål mail.docx", "A 43773-2020")</f>
        <v/>
      </c>
      <c r="X80">
        <f>HYPERLINK("https://klasma.github.io/Logging_1780/tillsyn/A 43773-2020 tillsynsbegäran.docx", "A 43773-2020")</f>
        <v/>
      </c>
      <c r="Y80">
        <f>HYPERLINK("https://klasma.github.io/Logging_1780/tillsynsmail/A 43773-2020 tillsynsbegäran mail.docx", "A 43773-2020")</f>
        <v/>
      </c>
    </row>
    <row r="81" ht="15" customHeight="1">
      <c r="A81" t="inlineStr">
        <is>
          <t>A 57758-2020</t>
        </is>
      </c>
      <c r="B81" s="1" t="n">
        <v>44140</v>
      </c>
      <c r="C81" s="1" t="n">
        <v>45810</v>
      </c>
      <c r="D81" t="inlineStr">
        <is>
          <t>VÄRMLANDS LÄN</t>
        </is>
      </c>
      <c r="E81" t="inlineStr">
        <is>
          <t>ÅRJÄNG</t>
        </is>
      </c>
      <c r="G81" t="n">
        <v>3.2</v>
      </c>
      <c r="H81" t="n">
        <v>1</v>
      </c>
      <c r="I81" t="n">
        <v>2</v>
      </c>
      <c r="J81" t="n">
        <v>2</v>
      </c>
      <c r="K81" t="n">
        <v>2</v>
      </c>
      <c r="L81" t="n">
        <v>0</v>
      </c>
      <c r="M81" t="n">
        <v>0</v>
      </c>
      <c r="N81" t="n">
        <v>0</v>
      </c>
      <c r="O81" t="n">
        <v>4</v>
      </c>
      <c r="P81" t="n">
        <v>2</v>
      </c>
      <c r="Q81" t="n">
        <v>6</v>
      </c>
      <c r="R81" s="2" t="inlineStr">
        <is>
          <t>Aspgelélav
Västlig njurlav
Lunglav
Talltita
Dropptaggsvamp
Havstulpanlav</t>
        </is>
      </c>
      <c r="S81">
        <f>HYPERLINK("https://klasma.github.io/Logging_1765/artfynd/A 57758-2020 artfynd.xlsx", "A 57758-2020")</f>
        <v/>
      </c>
      <c r="T81">
        <f>HYPERLINK("https://klasma.github.io/Logging_1765/kartor/A 57758-2020 karta.png", "A 57758-2020")</f>
        <v/>
      </c>
      <c r="V81">
        <f>HYPERLINK("https://klasma.github.io/Logging_1765/klagomål/A 57758-2020 FSC-klagomål.docx", "A 57758-2020")</f>
        <v/>
      </c>
      <c r="W81">
        <f>HYPERLINK("https://klasma.github.io/Logging_1765/klagomålsmail/A 57758-2020 FSC-klagomål mail.docx", "A 57758-2020")</f>
        <v/>
      </c>
      <c r="X81">
        <f>HYPERLINK("https://klasma.github.io/Logging_1765/tillsyn/A 57758-2020 tillsynsbegäran.docx", "A 57758-2020")</f>
        <v/>
      </c>
      <c r="Y81">
        <f>HYPERLINK("https://klasma.github.io/Logging_1765/tillsynsmail/A 57758-2020 tillsynsbegäran mail.docx", "A 57758-2020")</f>
        <v/>
      </c>
      <c r="Z81">
        <f>HYPERLINK("https://klasma.github.io/Logging_1765/fåglar/A 57758-2020 prioriterade fågelarter.docx", "A 57758-2020")</f>
        <v/>
      </c>
    </row>
    <row r="82" ht="15" customHeight="1">
      <c r="A82" t="inlineStr">
        <is>
          <t>A 6858-2021</t>
        </is>
      </c>
      <c r="B82" s="1" t="n">
        <v>44237</v>
      </c>
      <c r="C82" s="1" t="n">
        <v>45810</v>
      </c>
      <c r="D82" t="inlineStr">
        <is>
          <t>VÄRMLANDS LÄN</t>
        </is>
      </c>
      <c r="E82" t="inlineStr">
        <is>
          <t>FORSHAGA</t>
        </is>
      </c>
      <c r="F82" t="inlineStr">
        <is>
          <t>Bergvik skog väst AB</t>
        </is>
      </c>
      <c r="G82" t="n">
        <v>7.9</v>
      </c>
      <c r="H82" t="n">
        <v>0</v>
      </c>
      <c r="I82" t="n">
        <v>4</v>
      </c>
      <c r="J82" t="n">
        <v>2</v>
      </c>
      <c r="K82" t="n">
        <v>0</v>
      </c>
      <c r="L82" t="n">
        <v>0</v>
      </c>
      <c r="M82" t="n">
        <v>0</v>
      </c>
      <c r="N82" t="n">
        <v>0</v>
      </c>
      <c r="O82" t="n">
        <v>2</v>
      </c>
      <c r="P82" t="n">
        <v>0</v>
      </c>
      <c r="Q82" t="n">
        <v>6</v>
      </c>
      <c r="R82" s="2" t="inlineStr">
        <is>
          <t>Cis submicans
Glansskenknäppare
Dorcatoma dresdensis
Robust tickgnagare
Thomsons trägnagare
Tvåtandad aspborre</t>
        </is>
      </c>
      <c r="S82">
        <f>HYPERLINK("https://klasma.github.io/Logging_1763/artfynd/A 6858-2021 artfynd.xlsx", "A 6858-2021")</f>
        <v/>
      </c>
      <c r="T82">
        <f>HYPERLINK("https://klasma.github.io/Logging_1763/kartor/A 6858-2021 karta.png", "A 6858-2021")</f>
        <v/>
      </c>
      <c r="V82">
        <f>HYPERLINK("https://klasma.github.io/Logging_1763/klagomål/A 6858-2021 FSC-klagomål.docx", "A 6858-2021")</f>
        <v/>
      </c>
      <c r="W82">
        <f>HYPERLINK("https://klasma.github.io/Logging_1763/klagomålsmail/A 6858-2021 FSC-klagomål mail.docx", "A 6858-2021")</f>
        <v/>
      </c>
      <c r="X82">
        <f>HYPERLINK("https://klasma.github.io/Logging_1763/tillsyn/A 6858-2021 tillsynsbegäran.docx", "A 6858-2021")</f>
        <v/>
      </c>
      <c r="Y82">
        <f>HYPERLINK("https://klasma.github.io/Logging_1763/tillsynsmail/A 6858-2021 tillsynsbegäran mail.docx", "A 6858-2021")</f>
        <v/>
      </c>
    </row>
    <row r="83" ht="15" customHeight="1">
      <c r="A83" t="inlineStr">
        <is>
          <t>A 7650-2021</t>
        </is>
      </c>
      <c r="B83" s="1" t="n">
        <v>44242</v>
      </c>
      <c r="C83" s="1" t="n">
        <v>45810</v>
      </c>
      <c r="D83" t="inlineStr">
        <is>
          <t>VÄRMLANDS LÄN</t>
        </is>
      </c>
      <c r="E83" t="inlineStr">
        <is>
          <t>TORSBY</t>
        </is>
      </c>
      <c r="G83" t="n">
        <v>6</v>
      </c>
      <c r="H83" t="n">
        <v>0</v>
      </c>
      <c r="I83" t="n">
        <v>0</v>
      </c>
      <c r="J83" t="n">
        <v>6</v>
      </c>
      <c r="K83" t="n">
        <v>0</v>
      </c>
      <c r="L83" t="n">
        <v>0</v>
      </c>
      <c r="M83" t="n">
        <v>0</v>
      </c>
      <c r="N83" t="n">
        <v>0</v>
      </c>
      <c r="O83" t="n">
        <v>6</v>
      </c>
      <c r="P83" t="n">
        <v>0</v>
      </c>
      <c r="Q83" t="n">
        <v>6</v>
      </c>
      <c r="R83" s="2" t="inlineStr">
        <is>
          <t>Dvärgbägarlav
Garnlav
Kolflarnlav
Mörk kolflarnlav
Tallticka
Vedskivlav</t>
        </is>
      </c>
      <c r="S83">
        <f>HYPERLINK("https://klasma.github.io/Logging_1737/artfynd/A 7650-2021 artfynd.xlsx", "A 7650-2021")</f>
        <v/>
      </c>
      <c r="T83">
        <f>HYPERLINK("https://klasma.github.io/Logging_1737/kartor/A 7650-2021 karta.png", "A 7650-2021")</f>
        <v/>
      </c>
      <c r="V83">
        <f>HYPERLINK("https://klasma.github.io/Logging_1737/klagomål/A 7650-2021 FSC-klagomål.docx", "A 7650-2021")</f>
        <v/>
      </c>
      <c r="W83">
        <f>HYPERLINK("https://klasma.github.io/Logging_1737/klagomålsmail/A 7650-2021 FSC-klagomål mail.docx", "A 7650-2021")</f>
        <v/>
      </c>
      <c r="X83">
        <f>HYPERLINK("https://klasma.github.io/Logging_1737/tillsyn/A 7650-2021 tillsynsbegäran.docx", "A 7650-2021")</f>
        <v/>
      </c>
      <c r="Y83">
        <f>HYPERLINK("https://klasma.github.io/Logging_1737/tillsynsmail/A 7650-2021 tillsynsbegäran mail.docx", "A 7650-2021")</f>
        <v/>
      </c>
    </row>
    <row r="84" ht="15" customHeight="1">
      <c r="A84" t="inlineStr">
        <is>
          <t>A 58718-2021</t>
        </is>
      </c>
      <c r="B84" s="1" t="n">
        <v>44489</v>
      </c>
      <c r="C84" s="1" t="n">
        <v>45810</v>
      </c>
      <c r="D84" t="inlineStr">
        <is>
          <t>VÄRMLANDS LÄN</t>
        </is>
      </c>
      <c r="E84" t="inlineStr">
        <is>
          <t>FILIPSTAD</t>
        </is>
      </c>
      <c r="F84" t="inlineStr">
        <is>
          <t>Bergvik skog väst AB</t>
        </is>
      </c>
      <c r="G84" t="n">
        <v>12.2</v>
      </c>
      <c r="H84" t="n">
        <v>0</v>
      </c>
      <c r="I84" t="n">
        <v>4</v>
      </c>
      <c r="J84" t="n">
        <v>2</v>
      </c>
      <c r="K84" t="n">
        <v>0</v>
      </c>
      <c r="L84" t="n">
        <v>0</v>
      </c>
      <c r="M84" t="n">
        <v>0</v>
      </c>
      <c r="N84" t="n">
        <v>0</v>
      </c>
      <c r="O84" t="n">
        <v>2</v>
      </c>
      <c r="P84" t="n">
        <v>0</v>
      </c>
      <c r="Q84" t="n">
        <v>6</v>
      </c>
      <c r="R84" s="2" t="inlineStr">
        <is>
          <t>Garnlav
Ullticka
Bollvitmossa
Bronshjon
Dropptaggsvamp
Skuggblåslav</t>
        </is>
      </c>
      <c r="S84">
        <f>HYPERLINK("https://klasma.github.io/Logging_1782/artfynd/A 58718-2021 artfynd.xlsx", "A 58718-2021")</f>
        <v/>
      </c>
      <c r="T84">
        <f>HYPERLINK("https://klasma.github.io/Logging_1782/kartor/A 58718-2021 karta.png", "A 58718-2021")</f>
        <v/>
      </c>
      <c r="V84">
        <f>HYPERLINK("https://klasma.github.io/Logging_1782/klagomål/A 58718-2021 FSC-klagomål.docx", "A 58718-2021")</f>
        <v/>
      </c>
      <c r="W84">
        <f>HYPERLINK("https://klasma.github.io/Logging_1782/klagomålsmail/A 58718-2021 FSC-klagomål mail.docx", "A 58718-2021")</f>
        <v/>
      </c>
      <c r="X84">
        <f>HYPERLINK("https://klasma.github.io/Logging_1782/tillsyn/A 58718-2021 tillsynsbegäran.docx", "A 58718-2021")</f>
        <v/>
      </c>
      <c r="Y84">
        <f>HYPERLINK("https://klasma.github.io/Logging_1782/tillsynsmail/A 58718-2021 tillsynsbegäran mail.docx", "A 58718-2021")</f>
        <v/>
      </c>
    </row>
    <row r="85" ht="15" customHeight="1">
      <c r="A85" t="inlineStr">
        <is>
          <t>A 68622-2021</t>
        </is>
      </c>
      <c r="B85" s="1" t="n">
        <v>44529</v>
      </c>
      <c r="C85" s="1" t="n">
        <v>45810</v>
      </c>
      <c r="D85" t="inlineStr">
        <is>
          <t>VÄRMLANDS LÄN</t>
        </is>
      </c>
      <c r="E85" t="inlineStr">
        <is>
          <t>HAMMARÖ</t>
        </is>
      </c>
      <c r="G85" t="n">
        <v>9.699999999999999</v>
      </c>
      <c r="H85" t="n">
        <v>4</v>
      </c>
      <c r="I85" t="n">
        <v>1</v>
      </c>
      <c r="J85" t="n">
        <v>1</v>
      </c>
      <c r="K85" t="n">
        <v>1</v>
      </c>
      <c r="L85" t="n">
        <v>0</v>
      </c>
      <c r="M85" t="n">
        <v>0</v>
      </c>
      <c r="N85" t="n">
        <v>0</v>
      </c>
      <c r="O85" t="n">
        <v>2</v>
      </c>
      <c r="P85" t="n">
        <v>1</v>
      </c>
      <c r="Q85" t="n">
        <v>6</v>
      </c>
      <c r="R85" s="2" t="inlineStr">
        <is>
          <t>Knärot
Tallticka
Jättesvampmal
Åkergroda
Vanlig groda
Vanlig padda</t>
        </is>
      </c>
      <c r="S85">
        <f>HYPERLINK("https://klasma.github.io/Logging_1761/artfynd/A 68622-2021 artfynd.xlsx", "A 68622-2021")</f>
        <v/>
      </c>
      <c r="T85">
        <f>HYPERLINK("https://klasma.github.io/Logging_1761/kartor/A 68622-2021 karta.png", "A 68622-2021")</f>
        <v/>
      </c>
      <c r="U85">
        <f>HYPERLINK("https://klasma.github.io/Logging_1761/knärot/A 68622-2021 karta knärot.png", "A 68622-2021")</f>
        <v/>
      </c>
      <c r="V85">
        <f>HYPERLINK("https://klasma.github.io/Logging_1761/klagomål/A 68622-2021 FSC-klagomål.docx", "A 68622-2021")</f>
        <v/>
      </c>
      <c r="W85">
        <f>HYPERLINK("https://klasma.github.io/Logging_1761/klagomålsmail/A 68622-2021 FSC-klagomål mail.docx", "A 68622-2021")</f>
        <v/>
      </c>
      <c r="X85">
        <f>HYPERLINK("https://klasma.github.io/Logging_1761/tillsyn/A 68622-2021 tillsynsbegäran.docx", "A 68622-2021")</f>
        <v/>
      </c>
      <c r="Y85">
        <f>HYPERLINK("https://klasma.github.io/Logging_1761/tillsynsmail/A 68622-2021 tillsynsbegäran mail.docx", "A 68622-2021")</f>
        <v/>
      </c>
    </row>
    <row r="86" ht="15" customHeight="1">
      <c r="A86" t="inlineStr">
        <is>
          <t>A 52132-2022</t>
        </is>
      </c>
      <c r="B86" s="1" t="n">
        <v>44873</v>
      </c>
      <c r="C86" s="1" t="n">
        <v>45810</v>
      </c>
      <c r="D86" t="inlineStr">
        <is>
          <t>VÄRMLANDS LÄN</t>
        </is>
      </c>
      <c r="E86" t="inlineStr">
        <is>
          <t>ÅRJÄNG</t>
        </is>
      </c>
      <c r="G86" t="n">
        <v>14</v>
      </c>
      <c r="H86" t="n">
        <v>1</v>
      </c>
      <c r="I86" t="n">
        <v>3</v>
      </c>
      <c r="J86" t="n">
        <v>2</v>
      </c>
      <c r="K86" t="n">
        <v>1</v>
      </c>
      <c r="L86" t="n">
        <v>0</v>
      </c>
      <c r="M86" t="n">
        <v>0</v>
      </c>
      <c r="N86" t="n">
        <v>0</v>
      </c>
      <c r="O86" t="n">
        <v>3</v>
      </c>
      <c r="P86" t="n">
        <v>1</v>
      </c>
      <c r="Q86" t="n">
        <v>6</v>
      </c>
      <c r="R86" s="2" t="inlineStr">
        <is>
          <t>Knärot
Garnlav
Vedtrappmossa
Dropptaggsvamp
Kattfotslav
Vedticka</t>
        </is>
      </c>
      <c r="S86">
        <f>HYPERLINK("https://klasma.github.io/Logging_1765/artfynd/A 52132-2022 artfynd.xlsx", "A 52132-2022")</f>
        <v/>
      </c>
      <c r="T86">
        <f>HYPERLINK("https://klasma.github.io/Logging_1765/kartor/A 52132-2022 karta.png", "A 52132-2022")</f>
        <v/>
      </c>
      <c r="U86">
        <f>HYPERLINK("https://klasma.github.io/Logging_1765/knärot/A 52132-2022 karta knärot.png", "A 52132-2022")</f>
        <v/>
      </c>
      <c r="V86">
        <f>HYPERLINK("https://klasma.github.io/Logging_1765/klagomål/A 52132-2022 FSC-klagomål.docx", "A 52132-2022")</f>
        <v/>
      </c>
      <c r="W86">
        <f>HYPERLINK("https://klasma.github.io/Logging_1765/klagomålsmail/A 52132-2022 FSC-klagomål mail.docx", "A 52132-2022")</f>
        <v/>
      </c>
      <c r="X86">
        <f>HYPERLINK("https://klasma.github.io/Logging_1765/tillsyn/A 52132-2022 tillsynsbegäran.docx", "A 52132-2022")</f>
        <v/>
      </c>
      <c r="Y86">
        <f>HYPERLINK("https://klasma.github.io/Logging_1765/tillsynsmail/A 52132-2022 tillsynsbegäran mail.docx", "A 52132-2022")</f>
        <v/>
      </c>
    </row>
    <row r="87" ht="15" customHeight="1">
      <c r="A87" t="inlineStr">
        <is>
          <t>A 29379-2023</t>
        </is>
      </c>
      <c r="B87" s="1" t="n">
        <v>45106</v>
      </c>
      <c r="C87" s="1" t="n">
        <v>45810</v>
      </c>
      <c r="D87" t="inlineStr">
        <is>
          <t>VÄRMLANDS LÄN</t>
        </is>
      </c>
      <c r="E87" t="inlineStr">
        <is>
          <t>ÅRJÄNG</t>
        </is>
      </c>
      <c r="G87" t="n">
        <v>1.4</v>
      </c>
      <c r="H87" t="n">
        <v>1</v>
      </c>
      <c r="I87" t="n">
        <v>3</v>
      </c>
      <c r="J87" t="n">
        <v>3</v>
      </c>
      <c r="K87" t="n">
        <v>0</v>
      </c>
      <c r="L87" t="n">
        <v>0</v>
      </c>
      <c r="M87" t="n">
        <v>0</v>
      </c>
      <c r="N87" t="n">
        <v>0</v>
      </c>
      <c r="O87" t="n">
        <v>3</v>
      </c>
      <c r="P87" t="n">
        <v>0</v>
      </c>
      <c r="Q87" t="n">
        <v>6</v>
      </c>
      <c r="R87" s="2" t="inlineStr">
        <is>
          <t>Brunpudrad nållav
Järpe
Vedtrappmossa
Gulnål
Rostfläck
Vedticka</t>
        </is>
      </c>
      <c r="S87">
        <f>HYPERLINK("https://klasma.github.io/Logging_1765/artfynd/A 29379-2023 artfynd.xlsx", "A 29379-2023")</f>
        <v/>
      </c>
      <c r="T87">
        <f>HYPERLINK("https://klasma.github.io/Logging_1765/kartor/A 29379-2023 karta.png", "A 29379-2023")</f>
        <v/>
      </c>
      <c r="V87">
        <f>HYPERLINK("https://klasma.github.io/Logging_1765/klagomål/A 29379-2023 FSC-klagomål.docx", "A 29379-2023")</f>
        <v/>
      </c>
      <c r="W87">
        <f>HYPERLINK("https://klasma.github.io/Logging_1765/klagomålsmail/A 29379-2023 FSC-klagomål mail.docx", "A 29379-2023")</f>
        <v/>
      </c>
      <c r="X87">
        <f>HYPERLINK("https://klasma.github.io/Logging_1765/tillsyn/A 29379-2023 tillsynsbegäran.docx", "A 29379-2023")</f>
        <v/>
      </c>
      <c r="Y87">
        <f>HYPERLINK("https://klasma.github.io/Logging_1765/tillsynsmail/A 29379-2023 tillsynsbegäran mail.docx", "A 29379-2023")</f>
        <v/>
      </c>
      <c r="Z87">
        <f>HYPERLINK("https://klasma.github.io/Logging_1765/fåglar/A 29379-2023 prioriterade fågelarter.docx", "A 29379-2023")</f>
        <v/>
      </c>
    </row>
    <row r="88" ht="15" customHeight="1">
      <c r="A88" t="inlineStr">
        <is>
          <t>A 32845-2023</t>
        </is>
      </c>
      <c r="B88" s="1" t="n">
        <v>45109</v>
      </c>
      <c r="C88" s="1" t="n">
        <v>45810</v>
      </c>
      <c r="D88" t="inlineStr">
        <is>
          <t>VÄRMLANDS LÄN</t>
        </is>
      </c>
      <c r="E88" t="inlineStr">
        <is>
          <t>ARVIKA</t>
        </is>
      </c>
      <c r="G88" t="n">
        <v>2.2</v>
      </c>
      <c r="H88" t="n">
        <v>1</v>
      </c>
      <c r="I88" t="n">
        <v>3</v>
      </c>
      <c r="J88" t="n">
        <v>2</v>
      </c>
      <c r="K88" t="n">
        <v>1</v>
      </c>
      <c r="L88" t="n">
        <v>0</v>
      </c>
      <c r="M88" t="n">
        <v>0</v>
      </c>
      <c r="N88" t="n">
        <v>0</v>
      </c>
      <c r="O88" t="n">
        <v>3</v>
      </c>
      <c r="P88" t="n">
        <v>1</v>
      </c>
      <c r="Q88" t="n">
        <v>6</v>
      </c>
      <c r="R88" s="2" t="inlineStr">
        <is>
          <t>Knärot
Oljetagging
Ullticka
Mandelriska
Rävticka
Vedticka</t>
        </is>
      </c>
      <c r="S88">
        <f>HYPERLINK("https://klasma.github.io/Logging_1784/artfynd/A 32845-2023 artfynd.xlsx", "A 32845-2023")</f>
        <v/>
      </c>
      <c r="T88">
        <f>HYPERLINK("https://klasma.github.io/Logging_1784/kartor/A 32845-2023 karta.png", "A 32845-2023")</f>
        <v/>
      </c>
      <c r="U88">
        <f>HYPERLINK("https://klasma.github.io/Logging_1784/knärot/A 32845-2023 karta knärot.png", "A 32845-2023")</f>
        <v/>
      </c>
      <c r="V88">
        <f>HYPERLINK("https://klasma.github.io/Logging_1784/klagomål/A 32845-2023 FSC-klagomål.docx", "A 32845-2023")</f>
        <v/>
      </c>
      <c r="W88">
        <f>HYPERLINK("https://klasma.github.io/Logging_1784/klagomålsmail/A 32845-2023 FSC-klagomål mail.docx", "A 32845-2023")</f>
        <v/>
      </c>
      <c r="X88">
        <f>HYPERLINK("https://klasma.github.io/Logging_1784/tillsyn/A 32845-2023 tillsynsbegäran.docx", "A 32845-2023")</f>
        <v/>
      </c>
      <c r="Y88">
        <f>HYPERLINK("https://klasma.github.io/Logging_1784/tillsynsmail/A 32845-2023 tillsynsbegäran mail.docx", "A 32845-2023")</f>
        <v/>
      </c>
    </row>
    <row r="89" ht="15" customHeight="1">
      <c r="A89" t="inlineStr">
        <is>
          <t>A 39705-2023</t>
        </is>
      </c>
      <c r="B89" s="1" t="n">
        <v>45167</v>
      </c>
      <c r="C89" s="1" t="n">
        <v>45810</v>
      </c>
      <c r="D89" t="inlineStr">
        <is>
          <t>VÄRMLANDS LÄN</t>
        </is>
      </c>
      <c r="E89" t="inlineStr">
        <is>
          <t>SUNNE</t>
        </is>
      </c>
      <c r="G89" t="n">
        <v>2.4</v>
      </c>
      <c r="H89" t="n">
        <v>1</v>
      </c>
      <c r="I89" t="n">
        <v>4</v>
      </c>
      <c r="J89" t="n">
        <v>1</v>
      </c>
      <c r="K89" t="n">
        <v>1</v>
      </c>
      <c r="L89" t="n">
        <v>0</v>
      </c>
      <c r="M89" t="n">
        <v>0</v>
      </c>
      <c r="N89" t="n">
        <v>0</v>
      </c>
      <c r="O89" t="n">
        <v>2</v>
      </c>
      <c r="P89" t="n">
        <v>1</v>
      </c>
      <c r="Q89" t="n">
        <v>6</v>
      </c>
      <c r="R89" s="2" t="inlineStr">
        <is>
          <t>Knärot
Vedtrappmossa
Bårdlav
Dropptaggsvamp
Fällmossa
Skarp dropptaggsvamp</t>
        </is>
      </c>
      <c r="S89">
        <f>HYPERLINK("https://klasma.github.io/Logging_1766/artfynd/A 39705-2023 artfynd.xlsx", "A 39705-2023")</f>
        <v/>
      </c>
      <c r="T89">
        <f>HYPERLINK("https://klasma.github.io/Logging_1766/kartor/A 39705-2023 karta.png", "A 39705-2023")</f>
        <v/>
      </c>
      <c r="U89">
        <f>HYPERLINK("https://klasma.github.io/Logging_1766/knärot/A 39705-2023 karta knärot.png", "A 39705-2023")</f>
        <v/>
      </c>
      <c r="V89">
        <f>HYPERLINK("https://klasma.github.io/Logging_1766/klagomål/A 39705-2023 FSC-klagomål.docx", "A 39705-2023")</f>
        <v/>
      </c>
      <c r="W89">
        <f>HYPERLINK("https://klasma.github.io/Logging_1766/klagomålsmail/A 39705-2023 FSC-klagomål mail.docx", "A 39705-2023")</f>
        <v/>
      </c>
      <c r="X89">
        <f>HYPERLINK("https://klasma.github.io/Logging_1766/tillsyn/A 39705-2023 tillsynsbegäran.docx", "A 39705-2023")</f>
        <v/>
      </c>
      <c r="Y89">
        <f>HYPERLINK("https://klasma.github.io/Logging_1766/tillsynsmail/A 39705-2023 tillsynsbegäran mail.docx", "A 39705-2023")</f>
        <v/>
      </c>
    </row>
    <row r="90" ht="15" customHeight="1">
      <c r="A90" t="inlineStr">
        <is>
          <t>A 40910-2023</t>
        </is>
      </c>
      <c r="B90" s="1" t="n">
        <v>45173</v>
      </c>
      <c r="C90" s="1" t="n">
        <v>45810</v>
      </c>
      <c r="D90" t="inlineStr">
        <is>
          <t>VÄRMLANDS LÄN</t>
        </is>
      </c>
      <c r="E90" t="inlineStr">
        <is>
          <t>HAGFORS</t>
        </is>
      </c>
      <c r="F90" t="inlineStr">
        <is>
          <t>Kyrkan</t>
        </is>
      </c>
      <c r="G90" t="n">
        <v>13.1</v>
      </c>
      <c r="H90" t="n">
        <v>0</v>
      </c>
      <c r="I90" t="n">
        <v>1</v>
      </c>
      <c r="J90" t="n">
        <v>5</v>
      </c>
      <c r="K90" t="n">
        <v>0</v>
      </c>
      <c r="L90" t="n">
        <v>0</v>
      </c>
      <c r="M90" t="n">
        <v>0</v>
      </c>
      <c r="N90" t="n">
        <v>0</v>
      </c>
      <c r="O90" t="n">
        <v>5</v>
      </c>
      <c r="P90" t="n">
        <v>0</v>
      </c>
      <c r="Q90" t="n">
        <v>6</v>
      </c>
      <c r="R90" s="2" t="inlineStr">
        <is>
          <t>Garnlav
Kolflarnlav
Lunglav
Mörk kolflarnlav
Vedskivlav
Dropptaggsvamp</t>
        </is>
      </c>
      <c r="S90">
        <f>HYPERLINK("https://klasma.github.io/Logging_1783/artfynd/A 40910-2023 artfynd.xlsx", "A 40910-2023")</f>
        <v/>
      </c>
      <c r="T90">
        <f>HYPERLINK("https://klasma.github.io/Logging_1783/kartor/A 40910-2023 karta.png", "A 40910-2023")</f>
        <v/>
      </c>
      <c r="V90">
        <f>HYPERLINK("https://klasma.github.io/Logging_1783/klagomål/A 40910-2023 FSC-klagomål.docx", "A 40910-2023")</f>
        <v/>
      </c>
      <c r="W90">
        <f>HYPERLINK("https://klasma.github.io/Logging_1783/klagomålsmail/A 40910-2023 FSC-klagomål mail.docx", "A 40910-2023")</f>
        <v/>
      </c>
      <c r="X90">
        <f>HYPERLINK("https://klasma.github.io/Logging_1783/tillsyn/A 40910-2023 tillsynsbegäran.docx", "A 40910-2023")</f>
        <v/>
      </c>
      <c r="Y90">
        <f>HYPERLINK("https://klasma.github.io/Logging_1783/tillsynsmail/A 40910-2023 tillsynsbegäran mail.docx", "A 40910-2023")</f>
        <v/>
      </c>
    </row>
    <row r="91" ht="15" customHeight="1">
      <c r="A91" t="inlineStr">
        <is>
          <t>A 44271-2023</t>
        </is>
      </c>
      <c r="B91" s="1" t="n">
        <v>45188</v>
      </c>
      <c r="C91" s="1" t="n">
        <v>45810</v>
      </c>
      <c r="D91" t="inlineStr">
        <is>
          <t>VÄRMLANDS LÄN</t>
        </is>
      </c>
      <c r="E91" t="inlineStr">
        <is>
          <t>ÅRJÄNG</t>
        </is>
      </c>
      <c r="G91" t="n">
        <v>20.3</v>
      </c>
      <c r="H91" t="n">
        <v>3</v>
      </c>
      <c r="I91" t="n">
        <v>1</v>
      </c>
      <c r="J91" t="n">
        <v>3</v>
      </c>
      <c r="K91" t="n">
        <v>1</v>
      </c>
      <c r="L91" t="n">
        <v>0</v>
      </c>
      <c r="M91" t="n">
        <v>0</v>
      </c>
      <c r="N91" t="n">
        <v>0</v>
      </c>
      <c r="O91" t="n">
        <v>4</v>
      </c>
      <c r="P91" t="n">
        <v>1</v>
      </c>
      <c r="Q91" t="n">
        <v>6</v>
      </c>
      <c r="R91" s="2" t="inlineStr">
        <is>
          <t>Knärot
Gul taggsvamp
Svart taggsvamp
Talltita
Dropptaggsvamp
Tjäder</t>
        </is>
      </c>
      <c r="S91">
        <f>HYPERLINK("https://klasma.github.io/Logging_1765/artfynd/A 44271-2023 artfynd.xlsx", "A 44271-2023")</f>
        <v/>
      </c>
      <c r="T91">
        <f>HYPERLINK("https://klasma.github.io/Logging_1765/kartor/A 44271-2023 karta.png", "A 44271-2023")</f>
        <v/>
      </c>
      <c r="U91">
        <f>HYPERLINK("https://klasma.github.io/Logging_1765/knärot/A 44271-2023 karta knärot.png", "A 44271-2023")</f>
        <v/>
      </c>
      <c r="V91">
        <f>HYPERLINK("https://klasma.github.io/Logging_1765/klagomål/A 44271-2023 FSC-klagomål.docx", "A 44271-2023")</f>
        <v/>
      </c>
      <c r="W91">
        <f>HYPERLINK("https://klasma.github.io/Logging_1765/klagomålsmail/A 44271-2023 FSC-klagomål mail.docx", "A 44271-2023")</f>
        <v/>
      </c>
      <c r="X91">
        <f>HYPERLINK("https://klasma.github.io/Logging_1765/tillsyn/A 44271-2023 tillsynsbegäran.docx", "A 44271-2023")</f>
        <v/>
      </c>
      <c r="Y91">
        <f>HYPERLINK("https://klasma.github.io/Logging_1765/tillsynsmail/A 44271-2023 tillsynsbegäran mail.docx", "A 44271-2023")</f>
        <v/>
      </c>
      <c r="Z91">
        <f>HYPERLINK("https://klasma.github.io/Logging_1765/fåglar/A 44271-2023 prioriterade fågelarter.docx", "A 44271-2023")</f>
        <v/>
      </c>
    </row>
    <row r="92" ht="15" customHeight="1">
      <c r="A92" t="inlineStr">
        <is>
          <t>A 13704-2024</t>
        </is>
      </c>
      <c r="B92" s="1" t="n">
        <v>45390</v>
      </c>
      <c r="C92" s="1" t="n">
        <v>45810</v>
      </c>
      <c r="D92" t="inlineStr">
        <is>
          <t>VÄRMLANDS LÄN</t>
        </is>
      </c>
      <c r="E92" t="inlineStr">
        <is>
          <t>GRUMS</t>
        </is>
      </c>
      <c r="F92" t="inlineStr">
        <is>
          <t>BillerudKorsnäs AB</t>
        </is>
      </c>
      <c r="G92" t="n">
        <v>1.9</v>
      </c>
      <c r="H92" t="n">
        <v>6</v>
      </c>
      <c r="I92" t="n">
        <v>0</v>
      </c>
      <c r="J92" t="n">
        <v>4</v>
      </c>
      <c r="K92" t="n">
        <v>0</v>
      </c>
      <c r="L92" t="n">
        <v>0</v>
      </c>
      <c r="M92" t="n">
        <v>0</v>
      </c>
      <c r="N92" t="n">
        <v>0</v>
      </c>
      <c r="O92" t="n">
        <v>4</v>
      </c>
      <c r="P92" t="n">
        <v>0</v>
      </c>
      <c r="Q92" t="n">
        <v>6</v>
      </c>
      <c r="R92" s="2" t="inlineStr">
        <is>
          <t>Rödvingetrast
Spillkråka
Svartvit flugsnappare
Ärtsångare
Grönsiska
Järnsparv</t>
        </is>
      </c>
      <c r="S92">
        <f>HYPERLINK("https://klasma.github.io/Logging_1764/artfynd/A 13704-2024 artfynd.xlsx", "A 13704-2024")</f>
        <v/>
      </c>
      <c r="T92">
        <f>HYPERLINK("https://klasma.github.io/Logging_1764/kartor/A 13704-2024 karta.png", "A 13704-2024")</f>
        <v/>
      </c>
      <c r="V92">
        <f>HYPERLINK("https://klasma.github.io/Logging_1764/klagomål/A 13704-2024 FSC-klagomål.docx", "A 13704-2024")</f>
        <v/>
      </c>
      <c r="W92">
        <f>HYPERLINK("https://klasma.github.io/Logging_1764/klagomålsmail/A 13704-2024 FSC-klagomål mail.docx", "A 13704-2024")</f>
        <v/>
      </c>
      <c r="X92">
        <f>HYPERLINK("https://klasma.github.io/Logging_1764/tillsyn/A 13704-2024 tillsynsbegäran.docx", "A 13704-2024")</f>
        <v/>
      </c>
      <c r="Y92">
        <f>HYPERLINK("https://klasma.github.io/Logging_1764/tillsynsmail/A 13704-2024 tillsynsbegäran mail.docx", "A 13704-2024")</f>
        <v/>
      </c>
      <c r="Z92">
        <f>HYPERLINK("https://klasma.github.io/Logging_1764/fåglar/A 13704-2024 prioriterade fågelarter.docx", "A 13704-2024")</f>
        <v/>
      </c>
    </row>
    <row r="93" ht="15" customHeight="1">
      <c r="A93" t="inlineStr">
        <is>
          <t>A 21224-2024</t>
        </is>
      </c>
      <c r="B93" s="1" t="n">
        <v>45440</v>
      </c>
      <c r="C93" s="1" t="n">
        <v>45810</v>
      </c>
      <c r="D93" t="inlineStr">
        <is>
          <t>VÄRMLANDS LÄN</t>
        </is>
      </c>
      <c r="E93" t="inlineStr">
        <is>
          <t>ARVIKA</t>
        </is>
      </c>
      <c r="F93" t="inlineStr">
        <is>
          <t>Bergvik skog väst AB</t>
        </is>
      </c>
      <c r="G93" t="n">
        <v>2.4</v>
      </c>
      <c r="H93" t="n">
        <v>3</v>
      </c>
      <c r="I93" t="n">
        <v>1</v>
      </c>
      <c r="J93" t="n">
        <v>4</v>
      </c>
      <c r="K93" t="n">
        <v>0</v>
      </c>
      <c r="L93" t="n">
        <v>0</v>
      </c>
      <c r="M93" t="n">
        <v>0</v>
      </c>
      <c r="N93" t="n">
        <v>0</v>
      </c>
      <c r="O93" t="n">
        <v>4</v>
      </c>
      <c r="P93" t="n">
        <v>0</v>
      </c>
      <c r="Q93" t="n">
        <v>6</v>
      </c>
      <c r="R93" s="2" t="inlineStr">
        <is>
          <t>Garnlav
Kortskaftad ärgspik
Spillkråka
Tretåig hackspett
Stor revmossa
Tjäder</t>
        </is>
      </c>
      <c r="S93">
        <f>HYPERLINK("https://klasma.github.io/Logging_1784/artfynd/A 21224-2024 artfynd.xlsx", "A 21224-2024")</f>
        <v/>
      </c>
      <c r="T93">
        <f>HYPERLINK("https://klasma.github.io/Logging_1784/kartor/A 21224-2024 karta.png", "A 21224-2024")</f>
        <v/>
      </c>
      <c r="U93">
        <f>HYPERLINK("https://klasma.github.io/Logging_1784/knärot/A 21224-2024 karta knärot.png", "A 21224-2024")</f>
        <v/>
      </c>
      <c r="V93">
        <f>HYPERLINK("https://klasma.github.io/Logging_1784/klagomål/A 21224-2024 FSC-klagomål.docx", "A 21224-2024")</f>
        <v/>
      </c>
      <c r="W93">
        <f>HYPERLINK("https://klasma.github.io/Logging_1784/klagomålsmail/A 21224-2024 FSC-klagomål mail.docx", "A 21224-2024")</f>
        <v/>
      </c>
      <c r="X93">
        <f>HYPERLINK("https://klasma.github.io/Logging_1784/tillsyn/A 21224-2024 tillsynsbegäran.docx", "A 21224-2024")</f>
        <v/>
      </c>
      <c r="Y93">
        <f>HYPERLINK("https://klasma.github.io/Logging_1784/tillsynsmail/A 21224-2024 tillsynsbegäran mail.docx", "A 21224-2024")</f>
        <v/>
      </c>
      <c r="Z93">
        <f>HYPERLINK("https://klasma.github.io/Logging_1784/fåglar/A 21224-2024 prioriterade fågelarter.docx", "A 21224-2024")</f>
        <v/>
      </c>
    </row>
    <row r="94" ht="15" customHeight="1">
      <c r="A94" t="inlineStr">
        <is>
          <t>A 44477-2024</t>
        </is>
      </c>
      <c r="B94" s="1" t="n">
        <v>45574</v>
      </c>
      <c r="C94" s="1" t="n">
        <v>45810</v>
      </c>
      <c r="D94" t="inlineStr">
        <is>
          <t>VÄRMLANDS LÄN</t>
        </is>
      </c>
      <c r="E94" t="inlineStr">
        <is>
          <t>TORSBY</t>
        </is>
      </c>
      <c r="G94" t="n">
        <v>3</v>
      </c>
      <c r="H94" t="n">
        <v>0</v>
      </c>
      <c r="I94" t="n">
        <v>3</v>
      </c>
      <c r="J94" t="n">
        <v>3</v>
      </c>
      <c r="K94" t="n">
        <v>0</v>
      </c>
      <c r="L94" t="n">
        <v>0</v>
      </c>
      <c r="M94" t="n">
        <v>0</v>
      </c>
      <c r="N94" t="n">
        <v>0</v>
      </c>
      <c r="O94" t="n">
        <v>3</v>
      </c>
      <c r="P94" t="n">
        <v>0</v>
      </c>
      <c r="Q94" t="n">
        <v>6</v>
      </c>
      <c r="R94" s="2" t="inlineStr">
        <is>
          <t>Garnlav
Lunglav
Ullticka
Gulnål
Korallblylav
Vedticka</t>
        </is>
      </c>
      <c r="S94">
        <f>HYPERLINK("https://klasma.github.io/Logging_1737/artfynd/A 44477-2024 artfynd.xlsx", "A 44477-2024")</f>
        <v/>
      </c>
      <c r="T94">
        <f>HYPERLINK("https://klasma.github.io/Logging_1737/kartor/A 44477-2024 karta.png", "A 44477-2024")</f>
        <v/>
      </c>
      <c r="V94">
        <f>HYPERLINK("https://klasma.github.io/Logging_1737/klagomål/A 44477-2024 FSC-klagomål.docx", "A 44477-2024")</f>
        <v/>
      </c>
      <c r="W94">
        <f>HYPERLINK("https://klasma.github.io/Logging_1737/klagomålsmail/A 44477-2024 FSC-klagomål mail.docx", "A 44477-2024")</f>
        <v/>
      </c>
      <c r="X94">
        <f>HYPERLINK("https://klasma.github.io/Logging_1737/tillsyn/A 44477-2024 tillsynsbegäran.docx", "A 44477-2024")</f>
        <v/>
      </c>
      <c r="Y94">
        <f>HYPERLINK("https://klasma.github.io/Logging_1737/tillsynsmail/A 44477-2024 tillsynsbegäran mail.docx", "A 44477-2024")</f>
        <v/>
      </c>
    </row>
    <row r="95" ht="15" customHeight="1">
      <c r="A95" t="inlineStr">
        <is>
          <t>A 45814-2024</t>
        </is>
      </c>
      <c r="B95" s="1" t="n">
        <v>45579</v>
      </c>
      <c r="C95" s="1" t="n">
        <v>45810</v>
      </c>
      <c r="D95" t="inlineStr">
        <is>
          <t>VÄRMLANDS LÄN</t>
        </is>
      </c>
      <c r="E95" t="inlineStr">
        <is>
          <t>TORSBY</t>
        </is>
      </c>
      <c r="G95" t="n">
        <v>4.3</v>
      </c>
      <c r="H95" t="n">
        <v>0</v>
      </c>
      <c r="I95" t="n">
        <v>1</v>
      </c>
      <c r="J95" t="n">
        <v>4</v>
      </c>
      <c r="K95" t="n">
        <v>1</v>
      </c>
      <c r="L95" t="n">
        <v>0</v>
      </c>
      <c r="M95" t="n">
        <v>0</v>
      </c>
      <c r="N95" t="n">
        <v>0</v>
      </c>
      <c r="O95" t="n">
        <v>5</v>
      </c>
      <c r="P95" t="n">
        <v>1</v>
      </c>
      <c r="Q95" t="n">
        <v>6</v>
      </c>
      <c r="R95" s="2" t="inlineStr">
        <is>
          <t>Raggbock
Garnlav
Lunglav
Vedflamlav
Vedskivlav
Korallblylav</t>
        </is>
      </c>
      <c r="S95">
        <f>HYPERLINK("https://klasma.github.io/Logging_1737/artfynd/A 45814-2024 artfynd.xlsx", "A 45814-2024")</f>
        <v/>
      </c>
      <c r="T95">
        <f>HYPERLINK("https://klasma.github.io/Logging_1737/kartor/A 45814-2024 karta.png", "A 45814-2024")</f>
        <v/>
      </c>
      <c r="V95">
        <f>HYPERLINK("https://klasma.github.io/Logging_1737/klagomål/A 45814-2024 FSC-klagomål.docx", "A 45814-2024")</f>
        <v/>
      </c>
      <c r="W95">
        <f>HYPERLINK("https://klasma.github.io/Logging_1737/klagomålsmail/A 45814-2024 FSC-klagomål mail.docx", "A 45814-2024")</f>
        <v/>
      </c>
      <c r="X95">
        <f>HYPERLINK("https://klasma.github.io/Logging_1737/tillsyn/A 45814-2024 tillsynsbegäran.docx", "A 45814-2024")</f>
        <v/>
      </c>
      <c r="Y95">
        <f>HYPERLINK("https://klasma.github.io/Logging_1737/tillsynsmail/A 45814-2024 tillsynsbegäran mail.docx", "A 45814-2024")</f>
        <v/>
      </c>
    </row>
    <row r="96" ht="15" customHeight="1">
      <c r="A96" t="inlineStr">
        <is>
          <t>A 51885-2024</t>
        </is>
      </c>
      <c r="B96" s="1" t="n">
        <v>45607</v>
      </c>
      <c r="C96" s="1" t="n">
        <v>45810</v>
      </c>
      <c r="D96" t="inlineStr">
        <is>
          <t>VÄRMLANDS LÄN</t>
        </is>
      </c>
      <c r="E96" t="inlineStr">
        <is>
          <t>KARLSTAD</t>
        </is>
      </c>
      <c r="G96" t="n">
        <v>3.4</v>
      </c>
      <c r="H96" t="n">
        <v>1</v>
      </c>
      <c r="I96" t="n">
        <v>4</v>
      </c>
      <c r="J96" t="n">
        <v>1</v>
      </c>
      <c r="K96" t="n">
        <v>0</v>
      </c>
      <c r="L96" t="n">
        <v>0</v>
      </c>
      <c r="M96" t="n">
        <v>0</v>
      </c>
      <c r="N96" t="n">
        <v>0</v>
      </c>
      <c r="O96" t="n">
        <v>1</v>
      </c>
      <c r="P96" t="n">
        <v>0</v>
      </c>
      <c r="Q96" t="n">
        <v>6</v>
      </c>
      <c r="R96" s="2" t="inlineStr">
        <is>
          <t>Storgröe
Bågpraktmossa
Skogshakmossa
Strutbräken
Trubbfjädermossa
Blåsippa</t>
        </is>
      </c>
      <c r="S96">
        <f>HYPERLINK("https://klasma.github.io/Logging_1780/artfynd/A 51885-2024 artfynd.xlsx", "A 51885-2024")</f>
        <v/>
      </c>
      <c r="T96">
        <f>HYPERLINK("https://klasma.github.io/Logging_1780/kartor/A 51885-2024 karta.png", "A 51885-2024")</f>
        <v/>
      </c>
      <c r="V96">
        <f>HYPERLINK("https://klasma.github.io/Logging_1780/klagomål/A 51885-2024 FSC-klagomål.docx", "A 51885-2024")</f>
        <v/>
      </c>
      <c r="W96">
        <f>HYPERLINK("https://klasma.github.io/Logging_1780/klagomålsmail/A 51885-2024 FSC-klagomål mail.docx", "A 51885-2024")</f>
        <v/>
      </c>
      <c r="X96">
        <f>HYPERLINK("https://klasma.github.io/Logging_1780/tillsyn/A 51885-2024 tillsynsbegäran.docx", "A 51885-2024")</f>
        <v/>
      </c>
      <c r="Y96">
        <f>HYPERLINK("https://klasma.github.io/Logging_1780/tillsynsmail/A 51885-2024 tillsynsbegäran mail.docx", "A 51885-2024")</f>
        <v/>
      </c>
    </row>
    <row r="97" ht="15" customHeight="1">
      <c r="A97" t="inlineStr">
        <is>
          <t>A 309-2025</t>
        </is>
      </c>
      <c r="B97" s="1" t="n">
        <v>45660</v>
      </c>
      <c r="C97" s="1" t="n">
        <v>45810</v>
      </c>
      <c r="D97" t="inlineStr">
        <is>
          <t>VÄRMLANDS LÄN</t>
        </is>
      </c>
      <c r="E97" t="inlineStr">
        <is>
          <t>TORSBY</t>
        </is>
      </c>
      <c r="G97" t="n">
        <v>7</v>
      </c>
      <c r="H97" t="n">
        <v>0</v>
      </c>
      <c r="I97" t="n">
        <v>1</v>
      </c>
      <c r="J97" t="n">
        <v>5</v>
      </c>
      <c r="K97" t="n">
        <v>0</v>
      </c>
      <c r="L97" t="n">
        <v>0</v>
      </c>
      <c r="M97" t="n">
        <v>0</v>
      </c>
      <c r="N97" t="n">
        <v>0</v>
      </c>
      <c r="O97" t="n">
        <v>5</v>
      </c>
      <c r="P97" t="n">
        <v>0</v>
      </c>
      <c r="Q97" t="n">
        <v>6</v>
      </c>
      <c r="R97" s="2" t="inlineStr">
        <is>
          <t>Dvärgbägarlav
Garnlav
Kolflarnlav
Mörk kolflarnlav
Vedskivlav
Dropptaggsvamp</t>
        </is>
      </c>
      <c r="S97">
        <f>HYPERLINK("https://klasma.github.io/Logging_1737/artfynd/A 309-2025 artfynd.xlsx", "A 309-2025")</f>
        <v/>
      </c>
      <c r="T97">
        <f>HYPERLINK("https://klasma.github.io/Logging_1737/kartor/A 309-2025 karta.png", "A 309-2025")</f>
        <v/>
      </c>
      <c r="V97">
        <f>HYPERLINK("https://klasma.github.io/Logging_1737/klagomål/A 309-2025 FSC-klagomål.docx", "A 309-2025")</f>
        <v/>
      </c>
      <c r="W97">
        <f>HYPERLINK("https://klasma.github.io/Logging_1737/klagomålsmail/A 309-2025 FSC-klagomål mail.docx", "A 309-2025")</f>
        <v/>
      </c>
      <c r="X97">
        <f>HYPERLINK("https://klasma.github.io/Logging_1737/tillsyn/A 309-2025 tillsynsbegäran.docx", "A 309-2025")</f>
        <v/>
      </c>
      <c r="Y97">
        <f>HYPERLINK("https://klasma.github.io/Logging_1737/tillsynsmail/A 309-2025 tillsynsbegäran mail.docx", "A 309-2025")</f>
        <v/>
      </c>
    </row>
    <row r="98" ht="15" customHeight="1">
      <c r="A98" t="inlineStr">
        <is>
          <t>A 12294-2025</t>
        </is>
      </c>
      <c r="B98" s="1" t="n">
        <v>45729</v>
      </c>
      <c r="C98" s="1" t="n">
        <v>45810</v>
      </c>
      <c r="D98" t="inlineStr">
        <is>
          <t>VÄRMLANDS LÄN</t>
        </is>
      </c>
      <c r="E98" t="inlineStr">
        <is>
          <t>TORSBY</t>
        </is>
      </c>
      <c r="G98" t="n">
        <v>2.4</v>
      </c>
      <c r="H98" t="n">
        <v>1</v>
      </c>
      <c r="I98" t="n">
        <v>5</v>
      </c>
      <c r="J98" t="n">
        <v>0</v>
      </c>
      <c r="K98" t="n">
        <v>0</v>
      </c>
      <c r="L98" t="n">
        <v>0</v>
      </c>
      <c r="M98" t="n">
        <v>0</v>
      </c>
      <c r="N98" t="n">
        <v>0</v>
      </c>
      <c r="O98" t="n">
        <v>0</v>
      </c>
      <c r="P98" t="n">
        <v>0</v>
      </c>
      <c r="Q98" t="n">
        <v>6</v>
      </c>
      <c r="R98" s="2" t="inlineStr">
        <is>
          <t>Dvärghäxört
Svart trolldruva
Tibast
Underviol
Vårärt
Blåsippa</t>
        </is>
      </c>
      <c r="S98">
        <f>HYPERLINK("https://klasma.github.io/Logging_171737/artfynd/A 12294-2025 artfynd.xlsx", "A 12294-2025")</f>
        <v/>
      </c>
      <c r="T98">
        <f>HYPERLINK("https://klasma.github.io/Logging_171737/kartor/A 12294-2025 karta.png", "A 12294-2025")</f>
        <v/>
      </c>
      <c r="V98">
        <f>HYPERLINK("https://klasma.github.io/Logging_171737/klagomål/A 12294-2025 FSC-klagomål.docx", "A 12294-2025")</f>
        <v/>
      </c>
      <c r="W98">
        <f>HYPERLINK("https://klasma.github.io/Logging_171737/klagomålsmail/A 12294-2025 FSC-klagomål mail.docx", "A 12294-2025")</f>
        <v/>
      </c>
      <c r="X98">
        <f>HYPERLINK("https://klasma.github.io/Logging_171737/tillsyn/A 12294-2025 tillsynsbegäran.docx", "A 12294-2025")</f>
        <v/>
      </c>
      <c r="Y98">
        <f>HYPERLINK("https://klasma.github.io/Logging_171737/tillsynsmail/A 12294-2025 tillsynsbegäran mail.docx", "A 12294-2025")</f>
        <v/>
      </c>
    </row>
    <row r="99" ht="15" customHeight="1">
      <c r="A99" t="inlineStr">
        <is>
          <t>A 17057-2025</t>
        </is>
      </c>
      <c r="B99" s="1" t="n">
        <v>45754</v>
      </c>
      <c r="C99" s="1" t="n">
        <v>45810</v>
      </c>
      <c r="D99" t="inlineStr">
        <is>
          <t>VÄRMLANDS LÄN</t>
        </is>
      </c>
      <c r="E99" t="inlineStr">
        <is>
          <t>TORSBY</t>
        </is>
      </c>
      <c r="G99" t="n">
        <v>5.2</v>
      </c>
      <c r="H99" t="n">
        <v>0</v>
      </c>
      <c r="I99" t="n">
        <v>0</v>
      </c>
      <c r="J99" t="n">
        <v>6</v>
      </c>
      <c r="K99" t="n">
        <v>0</v>
      </c>
      <c r="L99" t="n">
        <v>0</v>
      </c>
      <c r="M99" t="n">
        <v>0</v>
      </c>
      <c r="N99" t="n">
        <v>0</v>
      </c>
      <c r="O99" t="n">
        <v>6</v>
      </c>
      <c r="P99" t="n">
        <v>0</v>
      </c>
      <c r="Q99" t="n">
        <v>6</v>
      </c>
      <c r="R99" s="2" t="inlineStr">
        <is>
          <t>Garnlav
Kolflarnlav
Mörk kolflarnlav
Tallticka
Vedflamlav
Vedskivlav</t>
        </is>
      </c>
      <c r="S99">
        <f>HYPERLINK("https://klasma.github.io/Logging_171737/artfynd/A 17057-2025 artfynd.xlsx", "A 17057-2025")</f>
        <v/>
      </c>
      <c r="T99">
        <f>HYPERLINK("https://klasma.github.io/Logging_171737/kartor/A 17057-2025 karta.png", "A 17057-2025")</f>
        <v/>
      </c>
      <c r="V99">
        <f>HYPERLINK("https://klasma.github.io/Logging_171737/klagomål/A 17057-2025 FSC-klagomål.docx", "A 17057-2025")</f>
        <v/>
      </c>
      <c r="W99">
        <f>HYPERLINK("https://klasma.github.io/Logging_171737/klagomålsmail/A 17057-2025 FSC-klagomål mail.docx", "A 17057-2025")</f>
        <v/>
      </c>
      <c r="X99">
        <f>HYPERLINK("https://klasma.github.io/Logging_171737/tillsyn/A 17057-2025 tillsynsbegäran.docx", "A 17057-2025")</f>
        <v/>
      </c>
      <c r="Y99">
        <f>HYPERLINK("https://klasma.github.io/Logging_171737/tillsynsmail/A 17057-2025 tillsynsbegäran mail.docx", "A 17057-2025")</f>
        <v/>
      </c>
    </row>
    <row r="100" ht="15" customHeight="1">
      <c r="A100" t="inlineStr">
        <is>
          <t>A 26488-2025</t>
        </is>
      </c>
      <c r="B100" s="1" t="n">
        <v>45807</v>
      </c>
      <c r="C100" s="1" t="n">
        <v>45810</v>
      </c>
      <c r="D100" t="inlineStr">
        <is>
          <t>VÄRMLANDS LÄN</t>
        </is>
      </c>
      <c r="E100" t="inlineStr">
        <is>
          <t>TORSBY</t>
        </is>
      </c>
      <c r="G100" t="n">
        <v>1.6</v>
      </c>
      <c r="H100" t="n">
        <v>2</v>
      </c>
      <c r="I100" t="n">
        <v>3</v>
      </c>
      <c r="J100" t="n">
        <v>2</v>
      </c>
      <c r="K100" t="n">
        <v>0</v>
      </c>
      <c r="L100" t="n">
        <v>0</v>
      </c>
      <c r="M100" t="n">
        <v>0</v>
      </c>
      <c r="N100" t="n">
        <v>0</v>
      </c>
      <c r="O100" t="n">
        <v>2</v>
      </c>
      <c r="P100" t="n">
        <v>0</v>
      </c>
      <c r="Q100" t="n">
        <v>6</v>
      </c>
      <c r="R100" s="2" t="inlineStr">
        <is>
          <t>Garnlav
Talltita
Gullgröppa
Nästlav
Skuggblåslav
Kungsfågel</t>
        </is>
      </c>
      <c r="S100">
        <f>HYPERLINK("https://klasma.github.io/Logging_171737/artfynd/A 26488-2025 artfynd.xlsx", "A 26488-2025")</f>
        <v/>
      </c>
      <c r="T100">
        <f>HYPERLINK("https://klasma.github.io/Logging_171737/kartor/A 26488-2025 karta.png", "A 26488-2025")</f>
        <v/>
      </c>
      <c r="V100">
        <f>HYPERLINK("https://klasma.github.io/Logging_171737/klagomål/A 26488-2025 FSC-klagomål.docx", "A 26488-2025")</f>
        <v/>
      </c>
      <c r="W100">
        <f>HYPERLINK("https://klasma.github.io/Logging_171737/klagomålsmail/A 26488-2025 FSC-klagomål mail.docx", "A 26488-2025")</f>
        <v/>
      </c>
      <c r="X100">
        <f>HYPERLINK("https://klasma.github.io/Logging_171737/tillsyn/A 26488-2025 tillsynsbegäran.docx", "A 26488-2025")</f>
        <v/>
      </c>
      <c r="Y100">
        <f>HYPERLINK("https://klasma.github.io/Logging_171737/tillsynsmail/A 26488-2025 tillsynsbegäran mail.docx", "A 26488-2025")</f>
        <v/>
      </c>
      <c r="Z100">
        <f>HYPERLINK("https://klasma.github.io/Logging_171737/fåglar/A 26488-2025 prioriterade fågelarter.docx", "A 26488-2025")</f>
        <v/>
      </c>
    </row>
    <row r="101" ht="15" customHeight="1">
      <c r="A101" t="inlineStr">
        <is>
          <t>A 29038-2019</t>
        </is>
      </c>
      <c r="B101" s="1" t="n">
        <v>43621</v>
      </c>
      <c r="C101" s="1" t="n">
        <v>45810</v>
      </c>
      <c r="D101" t="inlineStr">
        <is>
          <t>VÄRMLANDS LÄN</t>
        </is>
      </c>
      <c r="E101" t="inlineStr">
        <is>
          <t>ÅRJÄNG</t>
        </is>
      </c>
      <c r="G101" t="n">
        <v>8.5</v>
      </c>
      <c r="H101" t="n">
        <v>1</v>
      </c>
      <c r="I101" t="n">
        <v>1</v>
      </c>
      <c r="J101" t="n">
        <v>2</v>
      </c>
      <c r="K101" t="n">
        <v>2</v>
      </c>
      <c r="L101" t="n">
        <v>0</v>
      </c>
      <c r="M101" t="n">
        <v>0</v>
      </c>
      <c r="N101" t="n">
        <v>0</v>
      </c>
      <c r="O101" t="n">
        <v>4</v>
      </c>
      <c r="P101" t="n">
        <v>2</v>
      </c>
      <c r="Q101" t="n">
        <v>5</v>
      </c>
      <c r="R101" s="2" t="inlineStr">
        <is>
          <t>Knärot
Lateritticka
Kådvaxskinn
Vitplätt
Gullgröppa</t>
        </is>
      </c>
      <c r="S101">
        <f>HYPERLINK("https://klasma.github.io/Logging_1765/artfynd/A 29038-2019 artfynd.xlsx", "A 29038-2019")</f>
        <v/>
      </c>
      <c r="T101">
        <f>HYPERLINK("https://klasma.github.io/Logging_1765/kartor/A 29038-2019 karta.png", "A 29038-2019")</f>
        <v/>
      </c>
      <c r="U101">
        <f>HYPERLINK("https://klasma.github.io/Logging_1765/knärot/A 29038-2019 karta knärot.png", "A 29038-2019")</f>
        <v/>
      </c>
      <c r="V101">
        <f>HYPERLINK("https://klasma.github.io/Logging_1765/klagomål/A 29038-2019 FSC-klagomål.docx", "A 29038-2019")</f>
        <v/>
      </c>
      <c r="W101">
        <f>HYPERLINK("https://klasma.github.io/Logging_1765/klagomålsmail/A 29038-2019 FSC-klagomål mail.docx", "A 29038-2019")</f>
        <v/>
      </c>
      <c r="X101">
        <f>HYPERLINK("https://klasma.github.io/Logging_1765/tillsyn/A 29038-2019 tillsynsbegäran.docx", "A 29038-2019")</f>
        <v/>
      </c>
      <c r="Y101">
        <f>HYPERLINK("https://klasma.github.io/Logging_1765/tillsynsmail/A 29038-2019 tillsynsbegäran mail.docx", "A 29038-2019")</f>
        <v/>
      </c>
    </row>
    <row r="102" ht="15" customHeight="1">
      <c r="A102" t="inlineStr">
        <is>
          <t>A 9453-2020</t>
        </is>
      </c>
      <c r="B102" s="1" t="n">
        <v>43880</v>
      </c>
      <c r="C102" s="1" t="n">
        <v>45810</v>
      </c>
      <c r="D102" t="inlineStr">
        <is>
          <t>VÄRMLANDS LÄN</t>
        </is>
      </c>
      <c r="E102" t="inlineStr">
        <is>
          <t>ÅRJÄNG</t>
        </is>
      </c>
      <c r="G102" t="n">
        <v>6.5</v>
      </c>
      <c r="H102" t="n">
        <v>0</v>
      </c>
      <c r="I102" t="n">
        <v>1</v>
      </c>
      <c r="J102" t="n">
        <v>4</v>
      </c>
      <c r="K102" t="n">
        <v>0</v>
      </c>
      <c r="L102" t="n">
        <v>0</v>
      </c>
      <c r="M102" t="n">
        <v>0</v>
      </c>
      <c r="N102" t="n">
        <v>0</v>
      </c>
      <c r="O102" t="n">
        <v>4</v>
      </c>
      <c r="P102" t="n">
        <v>0</v>
      </c>
      <c r="Q102" t="n">
        <v>5</v>
      </c>
      <c r="R102" s="2" t="inlineStr">
        <is>
          <t>Garnlav
Kådvaxskinn
Motaggsvamp
Nordtagging
Bronshjon</t>
        </is>
      </c>
      <c r="S102">
        <f>HYPERLINK("https://klasma.github.io/Logging_1765/artfynd/A 9453-2020 artfynd.xlsx", "A 9453-2020")</f>
        <v/>
      </c>
      <c r="T102">
        <f>HYPERLINK("https://klasma.github.io/Logging_1765/kartor/A 9453-2020 karta.png", "A 9453-2020")</f>
        <v/>
      </c>
      <c r="U102">
        <f>HYPERLINK("https://klasma.github.io/Logging_1765/knärot/A 9453-2020 karta knärot.png", "A 9453-2020")</f>
        <v/>
      </c>
      <c r="V102">
        <f>HYPERLINK("https://klasma.github.io/Logging_1765/klagomål/A 9453-2020 FSC-klagomål.docx", "A 9453-2020")</f>
        <v/>
      </c>
      <c r="W102">
        <f>HYPERLINK("https://klasma.github.io/Logging_1765/klagomålsmail/A 9453-2020 FSC-klagomål mail.docx", "A 9453-2020")</f>
        <v/>
      </c>
      <c r="X102">
        <f>HYPERLINK("https://klasma.github.io/Logging_1765/tillsyn/A 9453-2020 tillsynsbegäran.docx", "A 9453-2020")</f>
        <v/>
      </c>
      <c r="Y102">
        <f>HYPERLINK("https://klasma.github.io/Logging_1765/tillsynsmail/A 9453-2020 tillsynsbegäran mail.docx", "A 9453-2020")</f>
        <v/>
      </c>
    </row>
    <row r="103" ht="15" customHeight="1">
      <c r="A103" t="inlineStr">
        <is>
          <t>A 4555-2021</t>
        </is>
      </c>
      <c r="B103" s="1" t="n">
        <v>44224</v>
      </c>
      <c r="C103" s="1" t="n">
        <v>45810</v>
      </c>
      <c r="D103" t="inlineStr">
        <is>
          <t>VÄRMLANDS LÄN</t>
        </is>
      </c>
      <c r="E103" t="inlineStr">
        <is>
          <t>TORSBY</t>
        </is>
      </c>
      <c r="G103" t="n">
        <v>11.3</v>
      </c>
      <c r="H103" t="n">
        <v>0</v>
      </c>
      <c r="I103" t="n">
        <v>2</v>
      </c>
      <c r="J103" t="n">
        <v>3</v>
      </c>
      <c r="K103" t="n">
        <v>0</v>
      </c>
      <c r="L103" t="n">
        <v>0</v>
      </c>
      <c r="M103" t="n">
        <v>0</v>
      </c>
      <c r="N103" t="n">
        <v>0</v>
      </c>
      <c r="O103" t="n">
        <v>3</v>
      </c>
      <c r="P103" t="n">
        <v>0</v>
      </c>
      <c r="Q103" t="n">
        <v>5</v>
      </c>
      <c r="R103" s="2" t="inlineStr">
        <is>
          <t>Garnlav
Lunglav
Violettgrå tagellav
Luddlav
Stuplav</t>
        </is>
      </c>
      <c r="S103">
        <f>HYPERLINK("https://klasma.github.io/Logging_1737/artfynd/A 4555-2021 artfynd.xlsx", "A 4555-2021")</f>
        <v/>
      </c>
      <c r="T103">
        <f>HYPERLINK("https://klasma.github.io/Logging_1737/kartor/A 4555-2021 karta.png", "A 4555-2021")</f>
        <v/>
      </c>
      <c r="V103">
        <f>HYPERLINK("https://klasma.github.io/Logging_1737/klagomål/A 4555-2021 FSC-klagomål.docx", "A 4555-2021")</f>
        <v/>
      </c>
      <c r="W103">
        <f>HYPERLINK("https://klasma.github.io/Logging_1737/klagomålsmail/A 4555-2021 FSC-klagomål mail.docx", "A 4555-2021")</f>
        <v/>
      </c>
      <c r="X103">
        <f>HYPERLINK("https://klasma.github.io/Logging_1737/tillsyn/A 4555-2021 tillsynsbegäran.docx", "A 4555-2021")</f>
        <v/>
      </c>
      <c r="Y103">
        <f>HYPERLINK("https://klasma.github.io/Logging_1737/tillsynsmail/A 4555-2021 tillsynsbegäran mail.docx", "A 4555-2021")</f>
        <v/>
      </c>
    </row>
    <row r="104" ht="15" customHeight="1">
      <c r="A104" t="inlineStr">
        <is>
          <t>A 9931-2021</t>
        </is>
      </c>
      <c r="B104" s="1" t="n">
        <v>44253</v>
      </c>
      <c r="C104" s="1" t="n">
        <v>45810</v>
      </c>
      <c r="D104" t="inlineStr">
        <is>
          <t>VÄRMLANDS LÄN</t>
        </is>
      </c>
      <c r="E104" t="inlineStr">
        <is>
          <t>FORSHAGA</t>
        </is>
      </c>
      <c r="F104" t="inlineStr">
        <is>
          <t>Bergvik skog väst AB</t>
        </is>
      </c>
      <c r="G104" t="n">
        <v>23.8</v>
      </c>
      <c r="H104" t="n">
        <v>5</v>
      </c>
      <c r="I104" t="n">
        <v>0</v>
      </c>
      <c r="J104" t="n">
        <v>0</v>
      </c>
      <c r="K104" t="n">
        <v>1</v>
      </c>
      <c r="L104" t="n">
        <v>0</v>
      </c>
      <c r="M104" t="n">
        <v>0</v>
      </c>
      <c r="N104" t="n">
        <v>0</v>
      </c>
      <c r="O104" t="n">
        <v>1</v>
      </c>
      <c r="P104" t="n">
        <v>1</v>
      </c>
      <c r="Q104" t="n">
        <v>5</v>
      </c>
      <c r="R104" s="2" t="inlineStr">
        <is>
          <t>Lappuggla
Större vattensalamander
Åkergroda
Mindre vattensalamander
Vanlig padda</t>
        </is>
      </c>
      <c r="S104">
        <f>HYPERLINK("https://klasma.github.io/Logging_1763/artfynd/A 9931-2021 artfynd.xlsx", "A 9931-2021")</f>
        <v/>
      </c>
      <c r="T104">
        <f>HYPERLINK("https://klasma.github.io/Logging_1763/kartor/A 9931-2021 karta.png", "A 9931-2021")</f>
        <v/>
      </c>
      <c r="V104">
        <f>HYPERLINK("https://klasma.github.io/Logging_1763/klagomål/A 9931-2021 FSC-klagomål.docx", "A 9931-2021")</f>
        <v/>
      </c>
      <c r="W104">
        <f>HYPERLINK("https://klasma.github.io/Logging_1763/klagomålsmail/A 9931-2021 FSC-klagomål mail.docx", "A 9931-2021")</f>
        <v/>
      </c>
      <c r="X104">
        <f>HYPERLINK("https://klasma.github.io/Logging_1763/tillsyn/A 9931-2021 tillsynsbegäran.docx", "A 9931-2021")</f>
        <v/>
      </c>
      <c r="Y104">
        <f>HYPERLINK("https://klasma.github.io/Logging_1763/tillsynsmail/A 9931-2021 tillsynsbegäran mail.docx", "A 9931-2021")</f>
        <v/>
      </c>
      <c r="Z104">
        <f>HYPERLINK("https://klasma.github.io/Logging_1763/fåglar/A 9931-2021 prioriterade fågelarter.docx", "A 9931-2021")</f>
        <v/>
      </c>
    </row>
    <row r="105" ht="15" customHeight="1">
      <c r="A105" t="inlineStr">
        <is>
          <t>A 17008-2021</t>
        </is>
      </c>
      <c r="B105" s="1" t="n">
        <v>44295</v>
      </c>
      <c r="C105" s="1" t="n">
        <v>45810</v>
      </c>
      <c r="D105" t="inlineStr">
        <is>
          <t>VÄRMLANDS LÄN</t>
        </is>
      </c>
      <c r="E105" t="inlineStr">
        <is>
          <t>ARVIKA</t>
        </is>
      </c>
      <c r="G105" t="n">
        <v>3.6</v>
      </c>
      <c r="H105" t="n">
        <v>1</v>
      </c>
      <c r="I105" t="n">
        <v>4</v>
      </c>
      <c r="J105" t="n">
        <v>1</v>
      </c>
      <c r="K105" t="n">
        <v>0</v>
      </c>
      <c r="L105" t="n">
        <v>0</v>
      </c>
      <c r="M105" t="n">
        <v>0</v>
      </c>
      <c r="N105" t="n">
        <v>0</v>
      </c>
      <c r="O105" t="n">
        <v>1</v>
      </c>
      <c r="P105" t="n">
        <v>0</v>
      </c>
      <c r="Q105" t="n">
        <v>5</v>
      </c>
      <c r="R105" s="2" t="inlineStr">
        <is>
          <t>Lunglav
Bårdlav
Grön sköldmossa
Korallblylav
Vedticka</t>
        </is>
      </c>
      <c r="S105">
        <f>HYPERLINK("https://klasma.github.io/Logging_1784/artfynd/A 17008-2021 artfynd.xlsx", "A 17008-2021")</f>
        <v/>
      </c>
      <c r="T105">
        <f>HYPERLINK("https://klasma.github.io/Logging_1784/kartor/A 17008-2021 karta.png", "A 17008-2021")</f>
        <v/>
      </c>
      <c r="V105">
        <f>HYPERLINK("https://klasma.github.io/Logging_1784/klagomål/A 17008-2021 FSC-klagomål.docx", "A 17008-2021")</f>
        <v/>
      </c>
      <c r="W105">
        <f>HYPERLINK("https://klasma.github.io/Logging_1784/klagomålsmail/A 17008-2021 FSC-klagomål mail.docx", "A 17008-2021")</f>
        <v/>
      </c>
      <c r="X105">
        <f>HYPERLINK("https://klasma.github.io/Logging_1784/tillsyn/A 17008-2021 tillsynsbegäran.docx", "A 17008-2021")</f>
        <v/>
      </c>
      <c r="Y105">
        <f>HYPERLINK("https://klasma.github.io/Logging_1784/tillsynsmail/A 17008-2021 tillsynsbegäran mail.docx", "A 17008-2021")</f>
        <v/>
      </c>
    </row>
    <row r="106" ht="15" customHeight="1">
      <c r="A106" t="inlineStr">
        <is>
          <t>A 23145-2021</t>
        </is>
      </c>
      <c r="B106" s="1" t="n">
        <v>44331</v>
      </c>
      <c r="C106" s="1" t="n">
        <v>45810</v>
      </c>
      <c r="D106" t="inlineStr">
        <is>
          <t>VÄRMLANDS LÄN</t>
        </is>
      </c>
      <c r="E106" t="inlineStr">
        <is>
          <t>SUNNE</t>
        </is>
      </c>
      <c r="G106" t="n">
        <v>4.8</v>
      </c>
      <c r="H106" t="n">
        <v>2</v>
      </c>
      <c r="I106" t="n">
        <v>2</v>
      </c>
      <c r="J106" t="n">
        <v>1</v>
      </c>
      <c r="K106" t="n">
        <v>1</v>
      </c>
      <c r="L106" t="n">
        <v>0</v>
      </c>
      <c r="M106" t="n">
        <v>0</v>
      </c>
      <c r="N106" t="n">
        <v>0</v>
      </c>
      <c r="O106" t="n">
        <v>2</v>
      </c>
      <c r="P106" t="n">
        <v>1</v>
      </c>
      <c r="Q106" t="n">
        <v>5</v>
      </c>
      <c r="R106" s="2" t="inlineStr">
        <is>
          <t>Knärot
Gammelgransskål
Thomsons trägnagare
Trådticka
Kungsfågel</t>
        </is>
      </c>
      <c r="S106">
        <f>HYPERLINK("https://klasma.github.io/Logging_1766/artfynd/A 23145-2021 artfynd.xlsx", "A 23145-2021")</f>
        <v/>
      </c>
      <c r="T106">
        <f>HYPERLINK("https://klasma.github.io/Logging_1766/kartor/A 23145-2021 karta.png", "A 23145-2021")</f>
        <v/>
      </c>
      <c r="U106">
        <f>HYPERLINK("https://klasma.github.io/Logging_1766/knärot/A 23145-2021 karta knärot.png", "A 23145-2021")</f>
        <v/>
      </c>
      <c r="V106">
        <f>HYPERLINK("https://klasma.github.io/Logging_1766/klagomål/A 23145-2021 FSC-klagomål.docx", "A 23145-2021")</f>
        <v/>
      </c>
      <c r="W106">
        <f>HYPERLINK("https://klasma.github.io/Logging_1766/klagomålsmail/A 23145-2021 FSC-klagomål mail.docx", "A 23145-2021")</f>
        <v/>
      </c>
      <c r="X106">
        <f>HYPERLINK("https://klasma.github.io/Logging_1766/tillsyn/A 23145-2021 tillsynsbegäran.docx", "A 23145-2021")</f>
        <v/>
      </c>
      <c r="Y106">
        <f>HYPERLINK("https://klasma.github.io/Logging_1766/tillsynsmail/A 23145-2021 tillsynsbegäran mail.docx", "A 23145-2021")</f>
        <v/>
      </c>
      <c r="Z106">
        <f>HYPERLINK("https://klasma.github.io/Logging_1766/fåglar/A 23145-2021 prioriterade fågelarter.docx", "A 23145-2021")</f>
        <v/>
      </c>
    </row>
    <row r="107" ht="15" customHeight="1">
      <c r="A107" t="inlineStr">
        <is>
          <t>A 41279-2021</t>
        </is>
      </c>
      <c r="B107" s="1" t="n">
        <v>44424</v>
      </c>
      <c r="C107" s="1" t="n">
        <v>45810</v>
      </c>
      <c r="D107" t="inlineStr">
        <is>
          <t>VÄRMLANDS LÄN</t>
        </is>
      </c>
      <c r="E107" t="inlineStr">
        <is>
          <t>TORSBY</t>
        </is>
      </c>
      <c r="G107" t="n">
        <v>9.699999999999999</v>
      </c>
      <c r="H107" t="n">
        <v>1</v>
      </c>
      <c r="I107" t="n">
        <v>1</v>
      </c>
      <c r="J107" t="n">
        <v>4</v>
      </c>
      <c r="K107" t="n">
        <v>0</v>
      </c>
      <c r="L107" t="n">
        <v>0</v>
      </c>
      <c r="M107" t="n">
        <v>0</v>
      </c>
      <c r="N107" t="n">
        <v>0</v>
      </c>
      <c r="O107" t="n">
        <v>4</v>
      </c>
      <c r="P107" t="n">
        <v>0</v>
      </c>
      <c r="Q107" t="n">
        <v>5</v>
      </c>
      <c r="R107" s="2" t="inlineStr">
        <is>
          <t>Gammelgransskål
Garnlav
Tretåig hackspett
Vedskivlav
Vedticka</t>
        </is>
      </c>
      <c r="S107">
        <f>HYPERLINK("https://klasma.github.io/Logging_1737/artfynd/A 41279-2021 artfynd.xlsx", "A 41279-2021")</f>
        <v/>
      </c>
      <c r="T107">
        <f>HYPERLINK("https://klasma.github.io/Logging_1737/kartor/A 41279-2021 karta.png", "A 41279-2021")</f>
        <v/>
      </c>
      <c r="V107">
        <f>HYPERLINK("https://klasma.github.io/Logging_1737/klagomål/A 41279-2021 FSC-klagomål.docx", "A 41279-2021")</f>
        <v/>
      </c>
      <c r="W107">
        <f>HYPERLINK("https://klasma.github.io/Logging_1737/klagomålsmail/A 41279-2021 FSC-klagomål mail.docx", "A 41279-2021")</f>
        <v/>
      </c>
      <c r="X107">
        <f>HYPERLINK("https://klasma.github.io/Logging_1737/tillsyn/A 41279-2021 tillsynsbegäran.docx", "A 41279-2021")</f>
        <v/>
      </c>
      <c r="Y107">
        <f>HYPERLINK("https://klasma.github.io/Logging_1737/tillsynsmail/A 41279-2021 tillsynsbegäran mail.docx", "A 41279-2021")</f>
        <v/>
      </c>
      <c r="Z107">
        <f>HYPERLINK("https://klasma.github.io/Logging_1737/fåglar/A 41279-2021 prioriterade fågelarter.docx", "A 41279-2021")</f>
        <v/>
      </c>
    </row>
    <row r="108" ht="15" customHeight="1">
      <c r="A108" t="inlineStr">
        <is>
          <t>A 49109-2021</t>
        </is>
      </c>
      <c r="B108" s="1" t="n">
        <v>44453</v>
      </c>
      <c r="C108" s="1" t="n">
        <v>45810</v>
      </c>
      <c r="D108" t="inlineStr">
        <is>
          <t>VÄRMLANDS LÄN</t>
        </is>
      </c>
      <c r="E108" t="inlineStr">
        <is>
          <t>TORSBY</t>
        </is>
      </c>
      <c r="G108" t="n">
        <v>36.3</v>
      </c>
      <c r="H108" t="n">
        <v>0</v>
      </c>
      <c r="I108" t="n">
        <v>1</v>
      </c>
      <c r="J108" t="n">
        <v>3</v>
      </c>
      <c r="K108" t="n">
        <v>1</v>
      </c>
      <c r="L108" t="n">
        <v>0</v>
      </c>
      <c r="M108" t="n">
        <v>0</v>
      </c>
      <c r="N108" t="n">
        <v>0</v>
      </c>
      <c r="O108" t="n">
        <v>4</v>
      </c>
      <c r="P108" t="n">
        <v>1</v>
      </c>
      <c r="Q108" t="n">
        <v>5</v>
      </c>
      <c r="R108" s="2" t="inlineStr">
        <is>
          <t>Vågticka
Garnlav
Lunglav
Skrovellav
Stuplav</t>
        </is>
      </c>
      <c r="S108">
        <f>HYPERLINK("https://klasma.github.io/Logging_1737/artfynd/A 49109-2021 artfynd.xlsx", "A 49109-2021")</f>
        <v/>
      </c>
      <c r="T108">
        <f>HYPERLINK("https://klasma.github.io/Logging_1737/kartor/A 49109-2021 karta.png", "A 49109-2021")</f>
        <v/>
      </c>
      <c r="V108">
        <f>HYPERLINK("https://klasma.github.io/Logging_1737/klagomål/A 49109-2021 FSC-klagomål.docx", "A 49109-2021")</f>
        <v/>
      </c>
      <c r="W108">
        <f>HYPERLINK("https://klasma.github.io/Logging_1737/klagomålsmail/A 49109-2021 FSC-klagomål mail.docx", "A 49109-2021")</f>
        <v/>
      </c>
      <c r="X108">
        <f>HYPERLINK("https://klasma.github.io/Logging_1737/tillsyn/A 49109-2021 tillsynsbegäran.docx", "A 49109-2021")</f>
        <v/>
      </c>
      <c r="Y108">
        <f>HYPERLINK("https://klasma.github.io/Logging_1737/tillsynsmail/A 49109-2021 tillsynsbegäran mail.docx", "A 49109-2021")</f>
        <v/>
      </c>
    </row>
    <row r="109" ht="15" customHeight="1">
      <c r="A109" t="inlineStr">
        <is>
          <t>A 58400-2021</t>
        </is>
      </c>
      <c r="B109" s="1" t="n">
        <v>44488</v>
      </c>
      <c r="C109" s="1" t="n">
        <v>45810</v>
      </c>
      <c r="D109" t="inlineStr">
        <is>
          <t>VÄRMLANDS LÄN</t>
        </is>
      </c>
      <c r="E109" t="inlineStr">
        <is>
          <t>KRISTINEHAMN</t>
        </is>
      </c>
      <c r="G109" t="n">
        <v>24</v>
      </c>
      <c r="H109" t="n">
        <v>2</v>
      </c>
      <c r="I109" t="n">
        <v>3</v>
      </c>
      <c r="J109" t="n">
        <v>2</v>
      </c>
      <c r="K109" t="n">
        <v>0</v>
      </c>
      <c r="L109" t="n">
        <v>0</v>
      </c>
      <c r="M109" t="n">
        <v>0</v>
      </c>
      <c r="N109" t="n">
        <v>0</v>
      </c>
      <c r="O109" t="n">
        <v>2</v>
      </c>
      <c r="P109" t="n">
        <v>0</v>
      </c>
      <c r="Q109" t="n">
        <v>5</v>
      </c>
      <c r="R109" s="2" t="inlineStr">
        <is>
          <t>Spillkråka
Tretåig hackspett
Kattfotslav
Rödgul trumpetsvamp
Stor revmossa</t>
        </is>
      </c>
      <c r="S109">
        <f>HYPERLINK("https://klasma.github.io/Logging_1781/artfynd/A 58400-2021 artfynd.xlsx", "A 58400-2021")</f>
        <v/>
      </c>
      <c r="T109">
        <f>HYPERLINK("https://klasma.github.io/Logging_1781/kartor/A 58400-2021 karta.png", "A 58400-2021")</f>
        <v/>
      </c>
      <c r="V109">
        <f>HYPERLINK("https://klasma.github.io/Logging_1781/klagomål/A 58400-2021 FSC-klagomål.docx", "A 58400-2021")</f>
        <v/>
      </c>
      <c r="W109">
        <f>HYPERLINK("https://klasma.github.io/Logging_1781/klagomålsmail/A 58400-2021 FSC-klagomål mail.docx", "A 58400-2021")</f>
        <v/>
      </c>
      <c r="X109">
        <f>HYPERLINK("https://klasma.github.io/Logging_1781/tillsyn/A 58400-2021 tillsynsbegäran.docx", "A 58400-2021")</f>
        <v/>
      </c>
      <c r="Y109">
        <f>HYPERLINK("https://klasma.github.io/Logging_1781/tillsynsmail/A 58400-2021 tillsynsbegäran mail.docx", "A 58400-2021")</f>
        <v/>
      </c>
      <c r="Z109">
        <f>HYPERLINK("https://klasma.github.io/Logging_1781/fåglar/A 58400-2021 prioriterade fågelarter.docx", "A 58400-2021")</f>
        <v/>
      </c>
    </row>
    <row r="110" ht="15" customHeight="1">
      <c r="A110" t="inlineStr">
        <is>
          <t>A 72312-2021</t>
        </is>
      </c>
      <c r="B110" s="1" t="n">
        <v>44545</v>
      </c>
      <c r="C110" s="1" t="n">
        <v>45810</v>
      </c>
      <c r="D110" t="inlineStr">
        <is>
          <t>VÄRMLANDS LÄN</t>
        </is>
      </c>
      <c r="E110" t="inlineStr">
        <is>
          <t>TORSBY</t>
        </is>
      </c>
      <c r="G110" t="n">
        <v>5.1</v>
      </c>
      <c r="H110" t="n">
        <v>0</v>
      </c>
      <c r="I110" t="n">
        <v>0</v>
      </c>
      <c r="J110" t="n">
        <v>5</v>
      </c>
      <c r="K110" t="n">
        <v>0</v>
      </c>
      <c r="L110" t="n">
        <v>0</v>
      </c>
      <c r="M110" t="n">
        <v>0</v>
      </c>
      <c r="N110" t="n">
        <v>0</v>
      </c>
      <c r="O110" t="n">
        <v>5</v>
      </c>
      <c r="P110" t="n">
        <v>0</v>
      </c>
      <c r="Q110" t="n">
        <v>5</v>
      </c>
      <c r="R110" s="2" t="inlineStr">
        <is>
          <t>Dvärgbägarlav
Garnlav
Kolflarnlav
Mörk kolflarnlav
Vedskivlav</t>
        </is>
      </c>
      <c r="S110">
        <f>HYPERLINK("https://klasma.github.io/Logging_1737/artfynd/A 72312-2021 artfynd.xlsx", "A 72312-2021")</f>
        <v/>
      </c>
      <c r="T110">
        <f>HYPERLINK("https://klasma.github.io/Logging_1737/kartor/A 72312-2021 karta.png", "A 72312-2021")</f>
        <v/>
      </c>
      <c r="V110">
        <f>HYPERLINK("https://klasma.github.io/Logging_1737/klagomål/A 72312-2021 FSC-klagomål.docx", "A 72312-2021")</f>
        <v/>
      </c>
      <c r="W110">
        <f>HYPERLINK("https://klasma.github.io/Logging_1737/klagomålsmail/A 72312-2021 FSC-klagomål mail.docx", "A 72312-2021")</f>
        <v/>
      </c>
      <c r="X110">
        <f>HYPERLINK("https://klasma.github.io/Logging_1737/tillsyn/A 72312-2021 tillsynsbegäran.docx", "A 72312-2021")</f>
        <v/>
      </c>
      <c r="Y110">
        <f>HYPERLINK("https://klasma.github.io/Logging_1737/tillsynsmail/A 72312-2021 tillsynsbegäran mail.docx", "A 72312-2021")</f>
        <v/>
      </c>
    </row>
    <row r="111" ht="15" customHeight="1">
      <c r="A111" t="inlineStr">
        <is>
          <t>A 4972-2022</t>
        </is>
      </c>
      <c r="B111" s="1" t="n">
        <v>44593</v>
      </c>
      <c r="C111" s="1" t="n">
        <v>45810</v>
      </c>
      <c r="D111" t="inlineStr">
        <is>
          <t>VÄRMLANDS LÄN</t>
        </is>
      </c>
      <c r="E111" t="inlineStr">
        <is>
          <t>TORSBY</t>
        </is>
      </c>
      <c r="G111" t="n">
        <v>10.7</v>
      </c>
      <c r="H111" t="n">
        <v>0</v>
      </c>
      <c r="I111" t="n">
        <v>0</v>
      </c>
      <c r="J111" t="n">
        <v>5</v>
      </c>
      <c r="K111" t="n">
        <v>0</v>
      </c>
      <c r="L111" t="n">
        <v>0</v>
      </c>
      <c r="M111" t="n">
        <v>0</v>
      </c>
      <c r="N111" t="n">
        <v>0</v>
      </c>
      <c r="O111" t="n">
        <v>5</v>
      </c>
      <c r="P111" t="n">
        <v>0</v>
      </c>
      <c r="Q111" t="n">
        <v>5</v>
      </c>
      <c r="R111" s="2" t="inlineStr">
        <is>
          <t>Dvärgbägarlav
Garnlav
Kolflarnlav
Mörk kolflarnlav
Vedskivlav</t>
        </is>
      </c>
      <c r="S111">
        <f>HYPERLINK("https://klasma.github.io/Logging_1737/artfynd/A 4972-2022 artfynd.xlsx", "A 4972-2022")</f>
        <v/>
      </c>
      <c r="T111">
        <f>HYPERLINK("https://klasma.github.io/Logging_1737/kartor/A 4972-2022 karta.png", "A 4972-2022")</f>
        <v/>
      </c>
      <c r="V111">
        <f>HYPERLINK("https://klasma.github.io/Logging_1737/klagomål/A 4972-2022 FSC-klagomål.docx", "A 4972-2022")</f>
        <v/>
      </c>
      <c r="W111">
        <f>HYPERLINK("https://klasma.github.io/Logging_1737/klagomålsmail/A 4972-2022 FSC-klagomål mail.docx", "A 4972-2022")</f>
        <v/>
      </c>
      <c r="X111">
        <f>HYPERLINK("https://klasma.github.io/Logging_1737/tillsyn/A 4972-2022 tillsynsbegäran.docx", "A 4972-2022")</f>
        <v/>
      </c>
      <c r="Y111">
        <f>HYPERLINK("https://klasma.github.io/Logging_1737/tillsynsmail/A 4972-2022 tillsynsbegäran mail.docx", "A 4972-2022")</f>
        <v/>
      </c>
    </row>
    <row r="112" ht="15" customHeight="1">
      <c r="A112" t="inlineStr">
        <is>
          <t>A 9573-2023</t>
        </is>
      </c>
      <c r="B112" s="1" t="n">
        <v>44982</v>
      </c>
      <c r="C112" s="1" t="n">
        <v>45810</v>
      </c>
      <c r="D112" t="inlineStr">
        <is>
          <t>VÄRMLANDS LÄN</t>
        </is>
      </c>
      <c r="E112" t="inlineStr">
        <is>
          <t>TORSBY</t>
        </is>
      </c>
      <c r="F112" t="inlineStr">
        <is>
          <t>Övriga statliga verk och myndigheter</t>
        </is>
      </c>
      <c r="G112" t="n">
        <v>4.4</v>
      </c>
      <c r="H112" t="n">
        <v>0</v>
      </c>
      <c r="I112" t="n">
        <v>1</v>
      </c>
      <c r="J112" t="n">
        <v>4</v>
      </c>
      <c r="K112" t="n">
        <v>0</v>
      </c>
      <c r="L112" t="n">
        <v>0</v>
      </c>
      <c r="M112" t="n">
        <v>0</v>
      </c>
      <c r="N112" t="n">
        <v>0</v>
      </c>
      <c r="O112" t="n">
        <v>4</v>
      </c>
      <c r="P112" t="n">
        <v>0</v>
      </c>
      <c r="Q112" t="n">
        <v>5</v>
      </c>
      <c r="R112" s="2" t="inlineStr">
        <is>
          <t>Garnlav
Mörk kolflarnlav
Tallticka
Vedskivlav
Dropptaggsvamp</t>
        </is>
      </c>
      <c r="S112">
        <f>HYPERLINK("https://klasma.github.io/Logging_1737/artfynd/A 9573-2023 artfynd.xlsx", "A 9573-2023")</f>
        <v/>
      </c>
      <c r="T112">
        <f>HYPERLINK("https://klasma.github.io/Logging_1737/kartor/A 9573-2023 karta.png", "A 9573-2023")</f>
        <v/>
      </c>
      <c r="V112">
        <f>HYPERLINK("https://klasma.github.io/Logging_1737/klagomål/A 9573-2023 FSC-klagomål.docx", "A 9573-2023")</f>
        <v/>
      </c>
      <c r="W112">
        <f>HYPERLINK("https://klasma.github.io/Logging_1737/klagomålsmail/A 9573-2023 FSC-klagomål mail.docx", "A 9573-2023")</f>
        <v/>
      </c>
      <c r="X112">
        <f>HYPERLINK("https://klasma.github.io/Logging_1737/tillsyn/A 9573-2023 tillsynsbegäran.docx", "A 9573-2023")</f>
        <v/>
      </c>
      <c r="Y112">
        <f>HYPERLINK("https://klasma.github.io/Logging_1737/tillsynsmail/A 9573-2023 tillsynsbegäran mail.docx", "A 9573-2023")</f>
        <v/>
      </c>
    </row>
    <row r="113" ht="15" customHeight="1">
      <c r="A113" t="inlineStr">
        <is>
          <t>A 17619-2023</t>
        </is>
      </c>
      <c r="B113" s="1" t="n">
        <v>45036</v>
      </c>
      <c r="C113" s="1" t="n">
        <v>45810</v>
      </c>
      <c r="D113" t="inlineStr">
        <is>
          <t>VÄRMLANDS LÄN</t>
        </is>
      </c>
      <c r="E113" t="inlineStr">
        <is>
          <t>HAGFORS</t>
        </is>
      </c>
      <c r="F113" t="inlineStr">
        <is>
          <t>Kyrkan</t>
        </is>
      </c>
      <c r="G113" t="n">
        <v>3.1</v>
      </c>
      <c r="H113" t="n">
        <v>0</v>
      </c>
      <c r="I113" t="n">
        <v>2</v>
      </c>
      <c r="J113" t="n">
        <v>3</v>
      </c>
      <c r="K113" t="n">
        <v>0</v>
      </c>
      <c r="L113" t="n">
        <v>0</v>
      </c>
      <c r="M113" t="n">
        <v>0</v>
      </c>
      <c r="N113" t="n">
        <v>0</v>
      </c>
      <c r="O113" t="n">
        <v>3</v>
      </c>
      <c r="P113" t="n">
        <v>0</v>
      </c>
      <c r="Q113" t="n">
        <v>5</v>
      </c>
      <c r="R113" s="2" t="inlineStr">
        <is>
          <t>Garnlav
Kortskaftad ärgspik
Mörk kolflarnlav
Dropptaggsvamp
Mindre märgborre</t>
        </is>
      </c>
      <c r="S113">
        <f>HYPERLINK("https://klasma.github.io/Logging_1783/artfynd/A 17619-2023 artfynd.xlsx", "A 17619-2023")</f>
        <v/>
      </c>
      <c r="T113">
        <f>HYPERLINK("https://klasma.github.io/Logging_1783/kartor/A 17619-2023 karta.png", "A 17619-2023")</f>
        <v/>
      </c>
      <c r="V113">
        <f>HYPERLINK("https://klasma.github.io/Logging_1783/klagomål/A 17619-2023 FSC-klagomål.docx", "A 17619-2023")</f>
        <v/>
      </c>
      <c r="W113">
        <f>HYPERLINK("https://klasma.github.io/Logging_1783/klagomålsmail/A 17619-2023 FSC-klagomål mail.docx", "A 17619-2023")</f>
        <v/>
      </c>
      <c r="X113">
        <f>HYPERLINK("https://klasma.github.io/Logging_1783/tillsyn/A 17619-2023 tillsynsbegäran.docx", "A 17619-2023")</f>
        <v/>
      </c>
      <c r="Y113">
        <f>HYPERLINK("https://klasma.github.io/Logging_1783/tillsynsmail/A 17619-2023 tillsynsbegäran mail.docx", "A 17619-2023")</f>
        <v/>
      </c>
    </row>
    <row r="114" ht="15" customHeight="1">
      <c r="A114" t="inlineStr">
        <is>
          <t>A 50311-2023</t>
        </is>
      </c>
      <c r="B114" s="1" t="n">
        <v>45216</v>
      </c>
      <c r="C114" s="1" t="n">
        <v>45810</v>
      </c>
      <c r="D114" t="inlineStr">
        <is>
          <t>VÄRMLANDS LÄN</t>
        </is>
      </c>
      <c r="E114" t="inlineStr">
        <is>
          <t>ARVIKA</t>
        </is>
      </c>
      <c r="F114" t="inlineStr">
        <is>
          <t>Bergvik skog väst AB</t>
        </is>
      </c>
      <c r="G114" t="n">
        <v>4.1</v>
      </c>
      <c r="H114" t="n">
        <v>0</v>
      </c>
      <c r="I114" t="n">
        <v>3</v>
      </c>
      <c r="J114" t="n">
        <v>1</v>
      </c>
      <c r="K114" t="n">
        <v>1</v>
      </c>
      <c r="L114" t="n">
        <v>0</v>
      </c>
      <c r="M114" t="n">
        <v>0</v>
      </c>
      <c r="N114" t="n">
        <v>0</v>
      </c>
      <c r="O114" t="n">
        <v>2</v>
      </c>
      <c r="P114" t="n">
        <v>1</v>
      </c>
      <c r="Q114" t="n">
        <v>5</v>
      </c>
      <c r="R114" s="2" t="inlineStr">
        <is>
          <t>Gyllenspindling
Kungsspindling
Dropptaggsvamp
Kamjordstjärna
Strimspindling</t>
        </is>
      </c>
      <c r="S114">
        <f>HYPERLINK("https://klasma.github.io/Logging_1784/artfynd/A 50311-2023 artfynd.xlsx", "A 50311-2023")</f>
        <v/>
      </c>
      <c r="T114">
        <f>HYPERLINK("https://klasma.github.io/Logging_1784/kartor/A 50311-2023 karta.png", "A 50311-2023")</f>
        <v/>
      </c>
      <c r="V114">
        <f>HYPERLINK("https://klasma.github.io/Logging_1784/klagomål/A 50311-2023 FSC-klagomål.docx", "A 50311-2023")</f>
        <v/>
      </c>
      <c r="W114">
        <f>HYPERLINK("https://klasma.github.io/Logging_1784/klagomålsmail/A 50311-2023 FSC-klagomål mail.docx", "A 50311-2023")</f>
        <v/>
      </c>
      <c r="X114">
        <f>HYPERLINK("https://klasma.github.io/Logging_1784/tillsyn/A 50311-2023 tillsynsbegäran.docx", "A 50311-2023")</f>
        <v/>
      </c>
      <c r="Y114">
        <f>HYPERLINK("https://klasma.github.io/Logging_1784/tillsynsmail/A 50311-2023 tillsynsbegäran mail.docx", "A 50311-2023")</f>
        <v/>
      </c>
    </row>
    <row r="115" ht="15" customHeight="1">
      <c r="A115" t="inlineStr">
        <is>
          <t>A 54109-2023</t>
        </is>
      </c>
      <c r="B115" s="1" t="n">
        <v>45232</v>
      </c>
      <c r="C115" s="1" t="n">
        <v>45810</v>
      </c>
      <c r="D115" t="inlineStr">
        <is>
          <t>VÄRMLANDS LÄN</t>
        </is>
      </c>
      <c r="E115" t="inlineStr">
        <is>
          <t>TORSBY</t>
        </is>
      </c>
      <c r="F115" t="inlineStr">
        <is>
          <t>Bergvik skog väst AB</t>
        </is>
      </c>
      <c r="G115" t="n">
        <v>26.6</v>
      </c>
      <c r="H115" t="n">
        <v>0</v>
      </c>
      <c r="I115" t="n">
        <v>0</v>
      </c>
      <c r="J115" t="n">
        <v>0</v>
      </c>
      <c r="K115" t="n">
        <v>2</v>
      </c>
      <c r="L115" t="n">
        <v>3</v>
      </c>
      <c r="M115" t="n">
        <v>0</v>
      </c>
      <c r="N115" t="n">
        <v>0</v>
      </c>
      <c r="O115" t="n">
        <v>5</v>
      </c>
      <c r="P115" t="n">
        <v>5</v>
      </c>
      <c r="Q115" t="n">
        <v>5</v>
      </c>
      <c r="R115" s="2" t="inlineStr">
        <is>
          <t>Gulgrå fibbla
Kopparbergsfibbla
Stråltandad fibbla
Skinkfibbla
Vitbandad fibbla</t>
        </is>
      </c>
      <c r="S115">
        <f>HYPERLINK("https://klasma.github.io/Logging_1737/artfynd/A 54109-2023 artfynd.xlsx", "A 54109-2023")</f>
        <v/>
      </c>
      <c r="T115">
        <f>HYPERLINK("https://klasma.github.io/Logging_1737/kartor/A 54109-2023 karta.png", "A 54109-2023")</f>
        <v/>
      </c>
      <c r="V115">
        <f>HYPERLINK("https://klasma.github.io/Logging_1737/klagomål/A 54109-2023 FSC-klagomål.docx", "A 54109-2023")</f>
        <v/>
      </c>
      <c r="W115">
        <f>HYPERLINK("https://klasma.github.io/Logging_1737/klagomålsmail/A 54109-2023 FSC-klagomål mail.docx", "A 54109-2023")</f>
        <v/>
      </c>
      <c r="X115">
        <f>HYPERLINK("https://klasma.github.io/Logging_1737/tillsyn/A 54109-2023 tillsynsbegäran.docx", "A 54109-2023")</f>
        <v/>
      </c>
      <c r="Y115">
        <f>HYPERLINK("https://klasma.github.io/Logging_1737/tillsynsmail/A 54109-2023 tillsynsbegäran mail.docx", "A 54109-2023")</f>
        <v/>
      </c>
    </row>
    <row r="116" ht="15" customHeight="1">
      <c r="A116" t="inlineStr">
        <is>
          <t>A 62275-2023</t>
        </is>
      </c>
      <c r="B116" s="1" t="n">
        <v>45267</v>
      </c>
      <c r="C116" s="1" t="n">
        <v>45810</v>
      </c>
      <c r="D116" t="inlineStr">
        <is>
          <t>VÄRMLANDS LÄN</t>
        </is>
      </c>
      <c r="E116" t="inlineStr">
        <is>
          <t>TORSBY</t>
        </is>
      </c>
      <c r="G116" t="n">
        <v>3.9</v>
      </c>
      <c r="H116" t="n">
        <v>0</v>
      </c>
      <c r="I116" t="n">
        <v>2</v>
      </c>
      <c r="J116" t="n">
        <v>3</v>
      </c>
      <c r="K116" t="n">
        <v>0</v>
      </c>
      <c r="L116" t="n">
        <v>0</v>
      </c>
      <c r="M116" t="n">
        <v>0</v>
      </c>
      <c r="N116" t="n">
        <v>0</v>
      </c>
      <c r="O116" t="n">
        <v>3</v>
      </c>
      <c r="P116" t="n">
        <v>0</v>
      </c>
      <c r="Q116" t="n">
        <v>5</v>
      </c>
      <c r="R116" s="2" t="inlineStr">
        <is>
          <t>Ullticka
Veckticka
Vedtrappmossa
Jättesvampmal
Stor aspticka</t>
        </is>
      </c>
      <c r="S116">
        <f>HYPERLINK("https://klasma.github.io/Logging_1737/artfynd/A 62275-2023 artfynd.xlsx", "A 62275-2023")</f>
        <v/>
      </c>
      <c r="T116">
        <f>HYPERLINK("https://klasma.github.io/Logging_1737/kartor/A 62275-2023 karta.png", "A 62275-2023")</f>
        <v/>
      </c>
      <c r="V116">
        <f>HYPERLINK("https://klasma.github.io/Logging_1737/klagomål/A 62275-2023 FSC-klagomål.docx", "A 62275-2023")</f>
        <v/>
      </c>
      <c r="W116">
        <f>HYPERLINK("https://klasma.github.io/Logging_1737/klagomålsmail/A 62275-2023 FSC-klagomål mail.docx", "A 62275-2023")</f>
        <v/>
      </c>
      <c r="X116">
        <f>HYPERLINK("https://klasma.github.io/Logging_1737/tillsyn/A 62275-2023 tillsynsbegäran.docx", "A 62275-2023")</f>
        <v/>
      </c>
      <c r="Y116">
        <f>HYPERLINK("https://klasma.github.io/Logging_1737/tillsynsmail/A 62275-2023 tillsynsbegäran mail.docx", "A 62275-2023")</f>
        <v/>
      </c>
    </row>
    <row r="117" ht="15" customHeight="1">
      <c r="A117" t="inlineStr">
        <is>
          <t>A 65167-2023</t>
        </is>
      </c>
      <c r="B117" s="1" t="n">
        <v>45288</v>
      </c>
      <c r="C117" s="1" t="n">
        <v>45810</v>
      </c>
      <c r="D117" t="inlineStr">
        <is>
          <t>VÄRMLANDS LÄN</t>
        </is>
      </c>
      <c r="E117" t="inlineStr">
        <is>
          <t>ÅRJÄNG</t>
        </is>
      </c>
      <c r="G117" t="n">
        <v>3.5</v>
      </c>
      <c r="H117" t="n">
        <v>3</v>
      </c>
      <c r="I117" t="n">
        <v>2</v>
      </c>
      <c r="J117" t="n">
        <v>1</v>
      </c>
      <c r="K117" t="n">
        <v>0</v>
      </c>
      <c r="L117" t="n">
        <v>0</v>
      </c>
      <c r="M117" t="n">
        <v>0</v>
      </c>
      <c r="N117" t="n">
        <v>0</v>
      </c>
      <c r="O117" t="n">
        <v>1</v>
      </c>
      <c r="P117" t="n">
        <v>0</v>
      </c>
      <c r="Q117" t="n">
        <v>5</v>
      </c>
      <c r="R117" s="2" t="inlineStr">
        <is>
          <t>Spillkråka
Springkorn
Ögonpyrola
Blåsippa
Revlummer</t>
        </is>
      </c>
      <c r="S117">
        <f>HYPERLINK("https://klasma.github.io/Logging_1765/artfynd/A 65167-2023 artfynd.xlsx", "A 65167-2023")</f>
        <v/>
      </c>
      <c r="T117">
        <f>HYPERLINK("https://klasma.github.io/Logging_1765/kartor/A 65167-2023 karta.png", "A 65167-2023")</f>
        <v/>
      </c>
      <c r="V117">
        <f>HYPERLINK("https://klasma.github.io/Logging_1765/klagomål/A 65167-2023 FSC-klagomål.docx", "A 65167-2023")</f>
        <v/>
      </c>
      <c r="W117">
        <f>HYPERLINK("https://klasma.github.io/Logging_1765/klagomålsmail/A 65167-2023 FSC-klagomål mail.docx", "A 65167-2023")</f>
        <v/>
      </c>
      <c r="X117">
        <f>HYPERLINK("https://klasma.github.io/Logging_1765/tillsyn/A 65167-2023 tillsynsbegäran.docx", "A 65167-2023")</f>
        <v/>
      </c>
      <c r="Y117">
        <f>HYPERLINK("https://klasma.github.io/Logging_1765/tillsynsmail/A 65167-2023 tillsynsbegäran mail.docx", "A 65167-2023")</f>
        <v/>
      </c>
      <c r="Z117">
        <f>HYPERLINK("https://klasma.github.io/Logging_1765/fåglar/A 65167-2023 prioriterade fågelarter.docx", "A 65167-2023")</f>
        <v/>
      </c>
    </row>
    <row r="118" ht="15" customHeight="1">
      <c r="A118" t="inlineStr">
        <is>
          <t>A 11144-2024</t>
        </is>
      </c>
      <c r="B118" s="1" t="n">
        <v>45371</v>
      </c>
      <c r="C118" s="1" t="n">
        <v>45810</v>
      </c>
      <c r="D118" t="inlineStr">
        <is>
          <t>VÄRMLANDS LÄN</t>
        </is>
      </c>
      <c r="E118" t="inlineStr">
        <is>
          <t>ÅRJÄNG</t>
        </is>
      </c>
      <c r="G118" t="n">
        <v>4.2</v>
      </c>
      <c r="H118" t="n">
        <v>1</v>
      </c>
      <c r="I118" t="n">
        <v>3</v>
      </c>
      <c r="J118" t="n">
        <v>2</v>
      </c>
      <c r="K118" t="n">
        <v>0</v>
      </c>
      <c r="L118" t="n">
        <v>0</v>
      </c>
      <c r="M118" t="n">
        <v>0</v>
      </c>
      <c r="N118" t="n">
        <v>0</v>
      </c>
      <c r="O118" t="n">
        <v>2</v>
      </c>
      <c r="P118" t="n">
        <v>0</v>
      </c>
      <c r="Q118" t="n">
        <v>5</v>
      </c>
      <c r="R118" s="2" t="inlineStr">
        <is>
          <t>Spillkråka
Ullticka
Dropptaggsvamp
Korallblylav
Vedticka</t>
        </is>
      </c>
      <c r="S118">
        <f>HYPERLINK("https://klasma.github.io/Logging_1765/artfynd/A 11144-2024 artfynd.xlsx", "A 11144-2024")</f>
        <v/>
      </c>
      <c r="T118">
        <f>HYPERLINK("https://klasma.github.io/Logging_1765/kartor/A 11144-2024 karta.png", "A 11144-2024")</f>
        <v/>
      </c>
      <c r="V118">
        <f>HYPERLINK("https://klasma.github.io/Logging_1765/klagomål/A 11144-2024 FSC-klagomål.docx", "A 11144-2024")</f>
        <v/>
      </c>
      <c r="W118">
        <f>HYPERLINK("https://klasma.github.io/Logging_1765/klagomålsmail/A 11144-2024 FSC-klagomål mail.docx", "A 11144-2024")</f>
        <v/>
      </c>
      <c r="X118">
        <f>HYPERLINK("https://klasma.github.io/Logging_1765/tillsyn/A 11144-2024 tillsynsbegäran.docx", "A 11144-2024")</f>
        <v/>
      </c>
      <c r="Y118">
        <f>HYPERLINK("https://klasma.github.io/Logging_1765/tillsynsmail/A 11144-2024 tillsynsbegäran mail.docx", "A 11144-2024")</f>
        <v/>
      </c>
      <c r="Z118">
        <f>HYPERLINK("https://klasma.github.io/Logging_1765/fåglar/A 11144-2024 prioriterade fågelarter.docx", "A 11144-2024")</f>
        <v/>
      </c>
    </row>
    <row r="119" ht="15" customHeight="1">
      <c r="A119" t="inlineStr">
        <is>
          <t>A 18465-2024</t>
        </is>
      </c>
      <c r="B119" s="1" t="n">
        <v>45425</v>
      </c>
      <c r="C119" s="1" t="n">
        <v>45810</v>
      </c>
      <c r="D119" t="inlineStr">
        <is>
          <t>VÄRMLANDS LÄN</t>
        </is>
      </c>
      <c r="E119" t="inlineStr">
        <is>
          <t>FORSHAGA</t>
        </is>
      </c>
      <c r="F119" t="inlineStr">
        <is>
          <t>Bergvik skog väst AB</t>
        </is>
      </c>
      <c r="G119" t="n">
        <v>2.9</v>
      </c>
      <c r="H119" t="n">
        <v>1</v>
      </c>
      <c r="I119" t="n">
        <v>2</v>
      </c>
      <c r="J119" t="n">
        <v>2</v>
      </c>
      <c r="K119" t="n">
        <v>0</v>
      </c>
      <c r="L119" t="n">
        <v>0</v>
      </c>
      <c r="M119" t="n">
        <v>0</v>
      </c>
      <c r="N119" t="n">
        <v>0</v>
      </c>
      <c r="O119" t="n">
        <v>2</v>
      </c>
      <c r="P119" t="n">
        <v>0</v>
      </c>
      <c r="Q119" t="n">
        <v>5</v>
      </c>
      <c r="R119" s="2" t="inlineStr">
        <is>
          <t>Granticka
Gränsticka
Svart trolldruva
Vedticka
Blåsippa</t>
        </is>
      </c>
      <c r="S119">
        <f>HYPERLINK("https://klasma.github.io/Logging_1763/artfynd/A 18465-2024 artfynd.xlsx", "A 18465-2024")</f>
        <v/>
      </c>
      <c r="T119">
        <f>HYPERLINK("https://klasma.github.io/Logging_1763/kartor/A 18465-2024 karta.png", "A 18465-2024")</f>
        <v/>
      </c>
      <c r="V119">
        <f>HYPERLINK("https://klasma.github.io/Logging_1763/klagomål/A 18465-2024 FSC-klagomål.docx", "A 18465-2024")</f>
        <v/>
      </c>
      <c r="W119">
        <f>HYPERLINK("https://klasma.github.io/Logging_1763/klagomålsmail/A 18465-2024 FSC-klagomål mail.docx", "A 18465-2024")</f>
        <v/>
      </c>
      <c r="X119">
        <f>HYPERLINK("https://klasma.github.io/Logging_1763/tillsyn/A 18465-2024 tillsynsbegäran.docx", "A 18465-2024")</f>
        <v/>
      </c>
      <c r="Y119">
        <f>HYPERLINK("https://klasma.github.io/Logging_1763/tillsynsmail/A 18465-2024 tillsynsbegäran mail.docx", "A 18465-2024")</f>
        <v/>
      </c>
    </row>
    <row r="120" ht="15" customHeight="1">
      <c r="A120" t="inlineStr">
        <is>
          <t>A 19307-2024</t>
        </is>
      </c>
      <c r="B120" s="1" t="n">
        <v>45428</v>
      </c>
      <c r="C120" s="1" t="n">
        <v>45810</v>
      </c>
      <c r="D120" t="inlineStr">
        <is>
          <t>VÄRMLANDS LÄN</t>
        </is>
      </c>
      <c r="E120" t="inlineStr">
        <is>
          <t>HAGFORS</t>
        </is>
      </c>
      <c r="F120" t="inlineStr">
        <is>
          <t>Bergvik skog väst AB</t>
        </is>
      </c>
      <c r="G120" t="n">
        <v>12.9</v>
      </c>
      <c r="H120" t="n">
        <v>0</v>
      </c>
      <c r="I120" t="n">
        <v>1</v>
      </c>
      <c r="J120" t="n">
        <v>4</v>
      </c>
      <c r="K120" t="n">
        <v>0</v>
      </c>
      <c r="L120" t="n">
        <v>0</v>
      </c>
      <c r="M120" t="n">
        <v>0</v>
      </c>
      <c r="N120" t="n">
        <v>0</v>
      </c>
      <c r="O120" t="n">
        <v>4</v>
      </c>
      <c r="P120" t="n">
        <v>0</v>
      </c>
      <c r="Q120" t="n">
        <v>5</v>
      </c>
      <c r="R120" s="2" t="inlineStr">
        <is>
          <t>Garnlav
Kolflarnlav
Mörk kolflarnlav
Vedskivlav
Mindre märgborre</t>
        </is>
      </c>
      <c r="S120">
        <f>HYPERLINK("https://klasma.github.io/Logging_1783/artfynd/A 19307-2024 artfynd.xlsx", "A 19307-2024")</f>
        <v/>
      </c>
      <c r="T120">
        <f>HYPERLINK("https://klasma.github.io/Logging_1783/kartor/A 19307-2024 karta.png", "A 19307-2024")</f>
        <v/>
      </c>
      <c r="V120">
        <f>HYPERLINK("https://klasma.github.io/Logging_1783/klagomål/A 19307-2024 FSC-klagomål.docx", "A 19307-2024")</f>
        <v/>
      </c>
      <c r="W120">
        <f>HYPERLINK("https://klasma.github.io/Logging_1783/klagomålsmail/A 19307-2024 FSC-klagomål mail.docx", "A 19307-2024")</f>
        <v/>
      </c>
      <c r="X120">
        <f>HYPERLINK("https://klasma.github.io/Logging_1783/tillsyn/A 19307-2024 tillsynsbegäran.docx", "A 19307-2024")</f>
        <v/>
      </c>
      <c r="Y120">
        <f>HYPERLINK("https://klasma.github.io/Logging_1783/tillsynsmail/A 19307-2024 tillsynsbegäran mail.docx", "A 19307-2024")</f>
        <v/>
      </c>
    </row>
    <row r="121" ht="15" customHeight="1">
      <c r="A121" t="inlineStr">
        <is>
          <t>A 54844-2024</t>
        </is>
      </c>
      <c r="B121" s="1" t="n">
        <v>45618</v>
      </c>
      <c r="C121" s="1" t="n">
        <v>45810</v>
      </c>
      <c r="D121" t="inlineStr">
        <is>
          <t>VÄRMLANDS LÄN</t>
        </is>
      </c>
      <c r="E121" t="inlineStr">
        <is>
          <t>HAGFORS</t>
        </is>
      </c>
      <c r="F121" t="inlineStr">
        <is>
          <t>Bergvik skog väst AB</t>
        </is>
      </c>
      <c r="G121" t="n">
        <v>12.8</v>
      </c>
      <c r="H121" t="n">
        <v>1</v>
      </c>
      <c r="I121" t="n">
        <v>1</v>
      </c>
      <c r="J121" t="n">
        <v>3</v>
      </c>
      <c r="K121" t="n">
        <v>1</v>
      </c>
      <c r="L121" t="n">
        <v>0</v>
      </c>
      <c r="M121" t="n">
        <v>0</v>
      </c>
      <c r="N121" t="n">
        <v>0</v>
      </c>
      <c r="O121" t="n">
        <v>4</v>
      </c>
      <c r="P121" t="n">
        <v>1</v>
      </c>
      <c r="Q121" t="n">
        <v>5</v>
      </c>
      <c r="R121" s="2" t="inlineStr">
        <is>
          <t>Knärot
Garnlav
Ullticka
Vedtrappmossa
Vågbandad barkbock</t>
        </is>
      </c>
      <c r="S121">
        <f>HYPERLINK("https://klasma.github.io/Logging_1783/artfynd/A 54844-2024 artfynd.xlsx", "A 54844-2024")</f>
        <v/>
      </c>
      <c r="T121">
        <f>HYPERLINK("https://klasma.github.io/Logging_1783/kartor/A 54844-2024 karta.png", "A 54844-2024")</f>
        <v/>
      </c>
      <c r="U121">
        <f>HYPERLINK("https://klasma.github.io/Logging_1783/knärot/A 54844-2024 karta knärot.png", "A 54844-2024")</f>
        <v/>
      </c>
      <c r="V121">
        <f>HYPERLINK("https://klasma.github.io/Logging_1783/klagomål/A 54844-2024 FSC-klagomål.docx", "A 54844-2024")</f>
        <v/>
      </c>
      <c r="W121">
        <f>HYPERLINK("https://klasma.github.io/Logging_1783/klagomålsmail/A 54844-2024 FSC-klagomål mail.docx", "A 54844-2024")</f>
        <v/>
      </c>
      <c r="X121">
        <f>HYPERLINK("https://klasma.github.io/Logging_1783/tillsyn/A 54844-2024 tillsynsbegäran.docx", "A 54844-2024")</f>
        <v/>
      </c>
      <c r="Y121">
        <f>HYPERLINK("https://klasma.github.io/Logging_1783/tillsynsmail/A 54844-2024 tillsynsbegäran mail.docx", "A 54844-2024")</f>
        <v/>
      </c>
    </row>
    <row r="122" ht="15" customHeight="1">
      <c r="A122" t="inlineStr">
        <is>
          <t>A 476-2025</t>
        </is>
      </c>
      <c r="B122" s="1" t="n">
        <v>45664</v>
      </c>
      <c r="C122" s="1" t="n">
        <v>45810</v>
      </c>
      <c r="D122" t="inlineStr">
        <is>
          <t>VÄRMLANDS LÄN</t>
        </is>
      </c>
      <c r="E122" t="inlineStr">
        <is>
          <t>ARVIKA</t>
        </is>
      </c>
      <c r="G122" t="n">
        <v>8</v>
      </c>
      <c r="H122" t="n">
        <v>2</v>
      </c>
      <c r="I122" t="n">
        <v>2</v>
      </c>
      <c r="J122" t="n">
        <v>2</v>
      </c>
      <c r="K122" t="n">
        <v>1</v>
      </c>
      <c r="L122" t="n">
        <v>0</v>
      </c>
      <c r="M122" t="n">
        <v>0</v>
      </c>
      <c r="N122" t="n">
        <v>0</v>
      </c>
      <c r="O122" t="n">
        <v>3</v>
      </c>
      <c r="P122" t="n">
        <v>1</v>
      </c>
      <c r="Q122" t="n">
        <v>5</v>
      </c>
      <c r="R122" s="2" t="inlineStr">
        <is>
          <t>Knärot
Brunpudrad nållav
Spillkråka
Kattfotslav
Stor revmossa</t>
        </is>
      </c>
      <c r="S122">
        <f>HYPERLINK("https://klasma.github.io/Logging_1784/artfynd/A 476-2025 artfynd.xlsx", "A 476-2025")</f>
        <v/>
      </c>
      <c r="T122">
        <f>HYPERLINK("https://klasma.github.io/Logging_1784/kartor/A 476-2025 karta.png", "A 476-2025")</f>
        <v/>
      </c>
      <c r="U122">
        <f>HYPERLINK("https://klasma.github.io/Logging_1784/knärot/A 476-2025 karta knärot.png", "A 476-2025")</f>
        <v/>
      </c>
      <c r="V122">
        <f>HYPERLINK("https://klasma.github.io/Logging_1784/klagomål/A 476-2025 FSC-klagomål.docx", "A 476-2025")</f>
        <v/>
      </c>
      <c r="W122">
        <f>HYPERLINK("https://klasma.github.io/Logging_1784/klagomålsmail/A 476-2025 FSC-klagomål mail.docx", "A 476-2025")</f>
        <v/>
      </c>
      <c r="X122">
        <f>HYPERLINK("https://klasma.github.io/Logging_1784/tillsyn/A 476-2025 tillsynsbegäran.docx", "A 476-2025")</f>
        <v/>
      </c>
      <c r="Y122">
        <f>HYPERLINK("https://klasma.github.io/Logging_1784/tillsynsmail/A 476-2025 tillsynsbegäran mail.docx", "A 476-2025")</f>
        <v/>
      </c>
      <c r="Z122">
        <f>HYPERLINK("https://klasma.github.io/Logging_1784/fåglar/A 476-2025 prioriterade fågelarter.docx", "A 476-2025")</f>
        <v/>
      </c>
    </row>
    <row r="123" ht="15" customHeight="1">
      <c r="A123" t="inlineStr">
        <is>
          <t>A 5956-2025</t>
        </is>
      </c>
      <c r="B123" s="1" t="n">
        <v>45695</v>
      </c>
      <c r="C123" s="1" t="n">
        <v>45810</v>
      </c>
      <c r="D123" t="inlineStr">
        <is>
          <t>VÄRMLANDS LÄN</t>
        </is>
      </c>
      <c r="E123" t="inlineStr">
        <is>
          <t>ARVIKA</t>
        </is>
      </c>
      <c r="G123" t="n">
        <v>5.2</v>
      </c>
      <c r="H123" t="n">
        <v>5</v>
      </c>
      <c r="I123" t="n">
        <v>0</v>
      </c>
      <c r="J123" t="n">
        <v>3</v>
      </c>
      <c r="K123" t="n">
        <v>1</v>
      </c>
      <c r="L123" t="n">
        <v>0</v>
      </c>
      <c r="M123" t="n">
        <v>0</v>
      </c>
      <c r="N123" t="n">
        <v>0</v>
      </c>
      <c r="O123" t="n">
        <v>4</v>
      </c>
      <c r="P123" t="n">
        <v>1</v>
      </c>
      <c r="Q123" t="n">
        <v>5</v>
      </c>
      <c r="R123" s="2" t="inlineStr">
        <is>
          <t>Knärot
Spillkråka
Talltita
Tretåig hackspett
Tjäder</t>
        </is>
      </c>
      <c r="S123">
        <f>HYPERLINK("https://klasma.github.io/Logging_1784/artfynd/A 5956-2025 artfynd.xlsx", "A 5956-2025")</f>
        <v/>
      </c>
      <c r="T123">
        <f>HYPERLINK("https://klasma.github.io/Logging_1784/kartor/A 5956-2025 karta.png", "A 5956-2025")</f>
        <v/>
      </c>
      <c r="U123">
        <f>HYPERLINK("https://klasma.github.io/Logging_1784/knärot/A 5956-2025 karta knärot.png", "A 5956-2025")</f>
        <v/>
      </c>
      <c r="V123">
        <f>HYPERLINK("https://klasma.github.io/Logging_1784/klagomål/A 5956-2025 FSC-klagomål.docx", "A 5956-2025")</f>
        <v/>
      </c>
      <c r="W123">
        <f>HYPERLINK("https://klasma.github.io/Logging_1784/klagomålsmail/A 5956-2025 FSC-klagomål mail.docx", "A 5956-2025")</f>
        <v/>
      </c>
      <c r="X123">
        <f>HYPERLINK("https://klasma.github.io/Logging_1784/tillsyn/A 5956-2025 tillsynsbegäran.docx", "A 5956-2025")</f>
        <v/>
      </c>
      <c r="Y123">
        <f>HYPERLINK("https://klasma.github.io/Logging_1784/tillsynsmail/A 5956-2025 tillsynsbegäran mail.docx", "A 5956-2025")</f>
        <v/>
      </c>
      <c r="Z123">
        <f>HYPERLINK("https://klasma.github.io/Logging_1784/fåglar/A 5956-2025 prioriterade fågelarter.docx", "A 5956-2025")</f>
        <v/>
      </c>
    </row>
    <row r="124" ht="15" customHeight="1">
      <c r="A124" t="inlineStr">
        <is>
          <t>A 7337-2025</t>
        </is>
      </c>
      <c r="B124" s="1" t="n">
        <v>45703</v>
      </c>
      <c r="C124" s="1" t="n">
        <v>45810</v>
      </c>
      <c r="D124" t="inlineStr">
        <is>
          <t>VÄRMLANDS LÄN</t>
        </is>
      </c>
      <c r="E124" t="inlineStr">
        <is>
          <t>SUNNE</t>
        </is>
      </c>
      <c r="G124" t="n">
        <v>10.7</v>
      </c>
      <c r="H124" t="n">
        <v>1</v>
      </c>
      <c r="I124" t="n">
        <v>1</v>
      </c>
      <c r="J124" t="n">
        <v>3</v>
      </c>
      <c r="K124" t="n">
        <v>0</v>
      </c>
      <c r="L124" t="n">
        <v>0</v>
      </c>
      <c r="M124" t="n">
        <v>0</v>
      </c>
      <c r="N124" t="n">
        <v>0</v>
      </c>
      <c r="O124" t="n">
        <v>3</v>
      </c>
      <c r="P124" t="n">
        <v>0</v>
      </c>
      <c r="Q124" t="n">
        <v>5</v>
      </c>
      <c r="R124" s="2" t="inlineStr">
        <is>
          <t>Garnlav
Lunglav
Skrovellav
Stuplav
Tjäder</t>
        </is>
      </c>
      <c r="S124">
        <f>HYPERLINK("https://klasma.github.io/Logging_1766/artfynd/A 7337-2025 artfynd.xlsx", "A 7337-2025")</f>
        <v/>
      </c>
      <c r="T124">
        <f>HYPERLINK("https://klasma.github.io/Logging_1766/kartor/A 7337-2025 karta.png", "A 7337-2025")</f>
        <v/>
      </c>
      <c r="V124">
        <f>HYPERLINK("https://klasma.github.io/Logging_1766/klagomål/A 7337-2025 FSC-klagomål.docx", "A 7337-2025")</f>
        <v/>
      </c>
      <c r="W124">
        <f>HYPERLINK("https://klasma.github.io/Logging_1766/klagomålsmail/A 7337-2025 FSC-klagomål mail.docx", "A 7337-2025")</f>
        <v/>
      </c>
      <c r="X124">
        <f>HYPERLINK("https://klasma.github.io/Logging_1766/tillsyn/A 7337-2025 tillsynsbegäran.docx", "A 7337-2025")</f>
        <v/>
      </c>
      <c r="Y124">
        <f>HYPERLINK("https://klasma.github.io/Logging_1766/tillsynsmail/A 7337-2025 tillsynsbegäran mail.docx", "A 7337-2025")</f>
        <v/>
      </c>
      <c r="Z124">
        <f>HYPERLINK("https://klasma.github.io/Logging_1766/fåglar/A 7337-2025 prioriterade fågelarter.docx", "A 7337-2025")</f>
        <v/>
      </c>
    </row>
    <row r="125" ht="15" customHeight="1">
      <c r="A125" t="inlineStr">
        <is>
          <t>A 20354-2025</t>
        </is>
      </c>
      <c r="B125" s="1" t="n">
        <v>45775</v>
      </c>
      <c r="C125" s="1" t="n">
        <v>45810</v>
      </c>
      <c r="D125" t="inlineStr">
        <is>
          <t>VÄRMLANDS LÄN</t>
        </is>
      </c>
      <c r="E125" t="inlineStr">
        <is>
          <t>GRUMS</t>
        </is>
      </c>
      <c r="G125" t="n">
        <v>2.6</v>
      </c>
      <c r="H125" t="n">
        <v>1</v>
      </c>
      <c r="I125" t="n">
        <v>3</v>
      </c>
      <c r="J125" t="n">
        <v>1</v>
      </c>
      <c r="K125" t="n">
        <v>1</v>
      </c>
      <c r="L125" t="n">
        <v>0</v>
      </c>
      <c r="M125" t="n">
        <v>0</v>
      </c>
      <c r="N125" t="n">
        <v>0</v>
      </c>
      <c r="O125" t="n">
        <v>2</v>
      </c>
      <c r="P125" t="n">
        <v>1</v>
      </c>
      <c r="Q125" t="n">
        <v>5</v>
      </c>
      <c r="R125" s="2" t="inlineStr">
        <is>
          <t>Knärot
Ullticka
Bronshjon
Thomsons trägnagare
Vedticka</t>
        </is>
      </c>
      <c r="S125">
        <f>HYPERLINK("https://klasma.github.io/Logging_171764/artfynd/A 20354-2025 artfynd.xlsx", "A 20354-2025")</f>
        <v/>
      </c>
      <c r="T125">
        <f>HYPERLINK("https://klasma.github.io/Logging_171764/kartor/A 20354-2025 karta.png", "A 20354-2025")</f>
        <v/>
      </c>
      <c r="U125">
        <f>HYPERLINK("https://klasma.github.io/Logging_171764/knärot/A 20354-2025 karta knärot.png", "A 20354-2025")</f>
        <v/>
      </c>
      <c r="V125">
        <f>HYPERLINK("https://klasma.github.io/Logging_171764/klagomål/A 20354-2025 FSC-klagomål.docx", "A 20354-2025")</f>
        <v/>
      </c>
      <c r="W125">
        <f>HYPERLINK("https://klasma.github.io/Logging_171764/klagomålsmail/A 20354-2025 FSC-klagomål mail.docx", "A 20354-2025")</f>
        <v/>
      </c>
      <c r="X125">
        <f>HYPERLINK("https://klasma.github.io/Logging_171764/tillsyn/A 20354-2025 tillsynsbegäran.docx", "A 20354-2025")</f>
        <v/>
      </c>
      <c r="Y125">
        <f>HYPERLINK("https://klasma.github.io/Logging_171764/tillsynsmail/A 20354-2025 tillsynsbegäran mail.docx", "A 20354-2025")</f>
        <v/>
      </c>
    </row>
    <row r="126" ht="15" customHeight="1">
      <c r="A126" t="inlineStr">
        <is>
          <t>A 3367-2020</t>
        </is>
      </c>
      <c r="B126" s="1" t="n">
        <v>43852</v>
      </c>
      <c r="C126" s="1" t="n">
        <v>45810</v>
      </c>
      <c r="D126" t="inlineStr">
        <is>
          <t>VÄRMLANDS LÄN</t>
        </is>
      </c>
      <c r="E126" t="inlineStr">
        <is>
          <t>ÅRJÄNG</t>
        </is>
      </c>
      <c r="G126" t="n">
        <v>3.6</v>
      </c>
      <c r="H126" t="n">
        <v>2</v>
      </c>
      <c r="I126" t="n">
        <v>0</v>
      </c>
      <c r="J126" t="n">
        <v>3</v>
      </c>
      <c r="K126" t="n">
        <v>1</v>
      </c>
      <c r="L126" t="n">
        <v>0</v>
      </c>
      <c r="M126" t="n">
        <v>0</v>
      </c>
      <c r="N126" t="n">
        <v>0</v>
      </c>
      <c r="O126" t="n">
        <v>4</v>
      </c>
      <c r="P126" t="n">
        <v>1</v>
      </c>
      <c r="Q126" t="n">
        <v>4</v>
      </c>
      <c r="R126" s="2" t="inlineStr">
        <is>
          <t>Knärot
Hornvaxskinn
Kådvaxskinn
Tretåig hackspett</t>
        </is>
      </c>
      <c r="S126">
        <f>HYPERLINK("https://klasma.github.io/Logging_1765/artfynd/A 3367-2020 artfynd.xlsx", "A 3367-2020")</f>
        <v/>
      </c>
      <c r="T126">
        <f>HYPERLINK("https://klasma.github.io/Logging_1765/kartor/A 3367-2020 karta.png", "A 3367-2020")</f>
        <v/>
      </c>
      <c r="U126">
        <f>HYPERLINK("https://klasma.github.io/Logging_1765/knärot/A 3367-2020 karta knärot.png", "A 3367-2020")</f>
        <v/>
      </c>
      <c r="V126">
        <f>HYPERLINK("https://klasma.github.io/Logging_1765/klagomål/A 3367-2020 FSC-klagomål.docx", "A 3367-2020")</f>
        <v/>
      </c>
      <c r="W126">
        <f>HYPERLINK("https://klasma.github.io/Logging_1765/klagomålsmail/A 3367-2020 FSC-klagomål mail.docx", "A 3367-2020")</f>
        <v/>
      </c>
      <c r="X126">
        <f>HYPERLINK("https://klasma.github.io/Logging_1765/tillsyn/A 3367-2020 tillsynsbegäran.docx", "A 3367-2020")</f>
        <v/>
      </c>
      <c r="Y126">
        <f>HYPERLINK("https://klasma.github.io/Logging_1765/tillsynsmail/A 3367-2020 tillsynsbegäran mail.docx", "A 3367-2020")</f>
        <v/>
      </c>
      <c r="Z126">
        <f>HYPERLINK("https://klasma.github.io/Logging_1765/fåglar/A 3367-2020 prioriterade fågelarter.docx", "A 3367-2020")</f>
        <v/>
      </c>
    </row>
    <row r="127" ht="15" customHeight="1">
      <c r="A127" t="inlineStr">
        <is>
          <t>A 30023-2020</t>
        </is>
      </c>
      <c r="B127" s="1" t="n">
        <v>44006</v>
      </c>
      <c r="C127" s="1" t="n">
        <v>45810</v>
      </c>
      <c r="D127" t="inlineStr">
        <is>
          <t>VÄRMLANDS LÄN</t>
        </is>
      </c>
      <c r="E127" t="inlineStr">
        <is>
          <t>FILIPSTAD</t>
        </is>
      </c>
      <c r="G127" t="n">
        <v>1.1</v>
      </c>
      <c r="H127" t="n">
        <v>2</v>
      </c>
      <c r="I127" t="n">
        <v>3</v>
      </c>
      <c r="J127" t="n">
        <v>0</v>
      </c>
      <c r="K127" t="n">
        <v>0</v>
      </c>
      <c r="L127" t="n">
        <v>0</v>
      </c>
      <c r="M127" t="n">
        <v>0</v>
      </c>
      <c r="N127" t="n">
        <v>0</v>
      </c>
      <c r="O127" t="n">
        <v>0</v>
      </c>
      <c r="P127" t="n">
        <v>0</v>
      </c>
      <c r="Q127" t="n">
        <v>4</v>
      </c>
      <c r="R127" s="2" t="inlineStr">
        <is>
          <t>Rödgul trumpetsvamp
Tvåblad
Vårärt
Blåsippa</t>
        </is>
      </c>
      <c r="S127">
        <f>HYPERLINK("https://klasma.github.io/Logging_1782/artfynd/A 30023-2020 artfynd.xlsx", "A 30023-2020")</f>
        <v/>
      </c>
      <c r="T127">
        <f>HYPERLINK("https://klasma.github.io/Logging_1782/kartor/A 30023-2020 karta.png", "A 30023-2020")</f>
        <v/>
      </c>
      <c r="V127">
        <f>HYPERLINK("https://klasma.github.io/Logging_1782/klagomål/A 30023-2020 FSC-klagomål.docx", "A 30023-2020")</f>
        <v/>
      </c>
      <c r="W127">
        <f>HYPERLINK("https://klasma.github.io/Logging_1782/klagomålsmail/A 30023-2020 FSC-klagomål mail.docx", "A 30023-2020")</f>
        <v/>
      </c>
      <c r="X127">
        <f>HYPERLINK("https://klasma.github.io/Logging_1782/tillsyn/A 30023-2020 tillsynsbegäran.docx", "A 30023-2020")</f>
        <v/>
      </c>
      <c r="Y127">
        <f>HYPERLINK("https://klasma.github.io/Logging_1782/tillsynsmail/A 30023-2020 tillsynsbegäran mail.docx", "A 30023-2020")</f>
        <v/>
      </c>
    </row>
    <row r="128" ht="15" customHeight="1">
      <c r="A128" t="inlineStr">
        <is>
          <t>A 34600-2020</t>
        </is>
      </c>
      <c r="B128" s="1" t="n">
        <v>44034</v>
      </c>
      <c r="C128" s="1" t="n">
        <v>45810</v>
      </c>
      <c r="D128" t="inlineStr">
        <is>
          <t>VÄRMLANDS LÄN</t>
        </is>
      </c>
      <c r="E128" t="inlineStr">
        <is>
          <t>SUNNE</t>
        </is>
      </c>
      <c r="F128" t="inlineStr">
        <is>
          <t>Övriga Aktiebolag</t>
        </is>
      </c>
      <c r="G128" t="n">
        <v>11.7</v>
      </c>
      <c r="H128" t="n">
        <v>1</v>
      </c>
      <c r="I128" t="n">
        <v>2</v>
      </c>
      <c r="J128" t="n">
        <v>1</v>
      </c>
      <c r="K128" t="n">
        <v>0</v>
      </c>
      <c r="L128" t="n">
        <v>0</v>
      </c>
      <c r="M128" t="n">
        <v>0</v>
      </c>
      <c r="N128" t="n">
        <v>0</v>
      </c>
      <c r="O128" t="n">
        <v>1</v>
      </c>
      <c r="P128" t="n">
        <v>0</v>
      </c>
      <c r="Q128" t="n">
        <v>4</v>
      </c>
      <c r="R128" s="2" t="inlineStr">
        <is>
          <t>Grynig filtlav
Dvärghäxört
Stuplav
Blåsippa</t>
        </is>
      </c>
      <c r="S128">
        <f>HYPERLINK("https://klasma.github.io/Logging_1766/artfynd/A 34600-2020 artfynd.xlsx", "A 34600-2020")</f>
        <v/>
      </c>
      <c r="T128">
        <f>HYPERLINK("https://klasma.github.io/Logging_1766/kartor/A 34600-2020 karta.png", "A 34600-2020")</f>
        <v/>
      </c>
      <c r="V128">
        <f>HYPERLINK("https://klasma.github.io/Logging_1766/klagomål/A 34600-2020 FSC-klagomål.docx", "A 34600-2020")</f>
        <v/>
      </c>
      <c r="W128">
        <f>HYPERLINK("https://klasma.github.io/Logging_1766/klagomålsmail/A 34600-2020 FSC-klagomål mail.docx", "A 34600-2020")</f>
        <v/>
      </c>
      <c r="X128">
        <f>HYPERLINK("https://klasma.github.io/Logging_1766/tillsyn/A 34600-2020 tillsynsbegäran.docx", "A 34600-2020")</f>
        <v/>
      </c>
      <c r="Y128">
        <f>HYPERLINK("https://klasma.github.io/Logging_1766/tillsynsmail/A 34600-2020 tillsynsbegäran mail.docx", "A 34600-2020")</f>
        <v/>
      </c>
    </row>
    <row r="129" ht="15" customHeight="1">
      <c r="A129" t="inlineStr">
        <is>
          <t>A 40945-2020</t>
        </is>
      </c>
      <c r="B129" s="1" t="n">
        <v>44070</v>
      </c>
      <c r="C129" s="1" t="n">
        <v>45810</v>
      </c>
      <c r="D129" t="inlineStr">
        <is>
          <t>VÄRMLANDS LÄN</t>
        </is>
      </c>
      <c r="E129" t="inlineStr">
        <is>
          <t>KARLSTAD</t>
        </is>
      </c>
      <c r="F129" t="inlineStr">
        <is>
          <t>Kommuner</t>
        </is>
      </c>
      <c r="G129" t="n">
        <v>5.6</v>
      </c>
      <c r="H129" t="n">
        <v>2</v>
      </c>
      <c r="I129" t="n">
        <v>1</v>
      </c>
      <c r="J129" t="n">
        <v>1</v>
      </c>
      <c r="K129" t="n">
        <v>1</v>
      </c>
      <c r="L129" t="n">
        <v>0</v>
      </c>
      <c r="M129" t="n">
        <v>0</v>
      </c>
      <c r="N129" t="n">
        <v>0</v>
      </c>
      <c r="O129" t="n">
        <v>2</v>
      </c>
      <c r="P129" t="n">
        <v>1</v>
      </c>
      <c r="Q129" t="n">
        <v>4</v>
      </c>
      <c r="R129" s="2" t="inlineStr">
        <is>
          <t>Knärot
Ullticka
Bronshjon
Kungsfågel</t>
        </is>
      </c>
      <c r="S129">
        <f>HYPERLINK("https://klasma.github.io/Logging_1780/artfynd/A 40945-2020 artfynd.xlsx", "A 40945-2020")</f>
        <v/>
      </c>
      <c r="T129">
        <f>HYPERLINK("https://klasma.github.io/Logging_1780/kartor/A 40945-2020 karta.png", "A 40945-2020")</f>
        <v/>
      </c>
      <c r="U129">
        <f>HYPERLINK("https://klasma.github.io/Logging_1780/knärot/A 40945-2020 karta knärot.png", "A 40945-2020")</f>
        <v/>
      </c>
      <c r="V129">
        <f>HYPERLINK("https://klasma.github.io/Logging_1780/klagomål/A 40945-2020 FSC-klagomål.docx", "A 40945-2020")</f>
        <v/>
      </c>
      <c r="W129">
        <f>HYPERLINK("https://klasma.github.io/Logging_1780/klagomålsmail/A 40945-2020 FSC-klagomål mail.docx", "A 40945-2020")</f>
        <v/>
      </c>
      <c r="X129">
        <f>HYPERLINK("https://klasma.github.io/Logging_1780/tillsyn/A 40945-2020 tillsynsbegäran.docx", "A 40945-2020")</f>
        <v/>
      </c>
      <c r="Y129">
        <f>HYPERLINK("https://klasma.github.io/Logging_1780/tillsynsmail/A 40945-2020 tillsynsbegäran mail.docx", "A 40945-2020")</f>
        <v/>
      </c>
      <c r="Z129">
        <f>HYPERLINK("https://klasma.github.io/Logging_1780/fåglar/A 40945-2020 prioriterade fågelarter.docx", "A 40945-2020")</f>
        <v/>
      </c>
    </row>
    <row r="130" ht="15" customHeight="1">
      <c r="A130" t="inlineStr">
        <is>
          <t>A 45428-2020</t>
        </is>
      </c>
      <c r="B130" s="1" t="n">
        <v>44089</v>
      </c>
      <c r="C130" s="1" t="n">
        <v>45810</v>
      </c>
      <c r="D130" t="inlineStr">
        <is>
          <t>VÄRMLANDS LÄN</t>
        </is>
      </c>
      <c r="E130" t="inlineStr">
        <is>
          <t>ARVIKA</t>
        </is>
      </c>
      <c r="G130" t="n">
        <v>19.3</v>
      </c>
      <c r="H130" t="n">
        <v>2</v>
      </c>
      <c r="I130" t="n">
        <v>2</v>
      </c>
      <c r="J130" t="n">
        <v>1</v>
      </c>
      <c r="K130" t="n">
        <v>1</v>
      </c>
      <c r="L130" t="n">
        <v>0</v>
      </c>
      <c r="M130" t="n">
        <v>0</v>
      </c>
      <c r="N130" t="n">
        <v>0</v>
      </c>
      <c r="O130" t="n">
        <v>2</v>
      </c>
      <c r="P130" t="n">
        <v>1</v>
      </c>
      <c r="Q130" t="n">
        <v>4</v>
      </c>
      <c r="R130" s="2" t="inlineStr">
        <is>
          <t>Knärot
Mindre hackspett
Blomkålssvamp
Västlig hakmossa</t>
        </is>
      </c>
      <c r="S130">
        <f>HYPERLINK("https://klasma.github.io/Logging_1784/artfynd/A 45428-2020 artfynd.xlsx", "A 45428-2020")</f>
        <v/>
      </c>
      <c r="T130">
        <f>HYPERLINK("https://klasma.github.io/Logging_1784/kartor/A 45428-2020 karta.png", "A 45428-2020")</f>
        <v/>
      </c>
      <c r="U130">
        <f>HYPERLINK("https://klasma.github.io/Logging_1784/knärot/A 45428-2020 karta knärot.png", "A 45428-2020")</f>
        <v/>
      </c>
      <c r="V130">
        <f>HYPERLINK("https://klasma.github.io/Logging_1784/klagomål/A 45428-2020 FSC-klagomål.docx", "A 45428-2020")</f>
        <v/>
      </c>
      <c r="W130">
        <f>HYPERLINK("https://klasma.github.io/Logging_1784/klagomålsmail/A 45428-2020 FSC-klagomål mail.docx", "A 45428-2020")</f>
        <v/>
      </c>
      <c r="X130">
        <f>HYPERLINK("https://klasma.github.io/Logging_1784/tillsyn/A 45428-2020 tillsynsbegäran.docx", "A 45428-2020")</f>
        <v/>
      </c>
      <c r="Y130">
        <f>HYPERLINK("https://klasma.github.io/Logging_1784/tillsynsmail/A 45428-2020 tillsynsbegäran mail.docx", "A 45428-2020")</f>
        <v/>
      </c>
      <c r="Z130">
        <f>HYPERLINK("https://klasma.github.io/Logging_1784/fåglar/A 45428-2020 prioriterade fågelarter.docx", "A 45428-2020")</f>
        <v/>
      </c>
    </row>
    <row r="131" ht="15" customHeight="1">
      <c r="A131" t="inlineStr">
        <is>
          <t>A 46072-2020</t>
        </is>
      </c>
      <c r="B131" s="1" t="n">
        <v>44091</v>
      </c>
      <c r="C131" s="1" t="n">
        <v>45810</v>
      </c>
      <c r="D131" t="inlineStr">
        <is>
          <t>VÄRMLANDS LÄN</t>
        </is>
      </c>
      <c r="E131" t="inlineStr">
        <is>
          <t>FILIPSTAD</t>
        </is>
      </c>
      <c r="F131" t="inlineStr">
        <is>
          <t>Bergvik skog väst AB</t>
        </is>
      </c>
      <c r="G131" t="n">
        <v>1.6</v>
      </c>
      <c r="H131" t="n">
        <v>1</v>
      </c>
      <c r="I131" t="n">
        <v>2</v>
      </c>
      <c r="J131" t="n">
        <v>1</v>
      </c>
      <c r="K131" t="n">
        <v>0</v>
      </c>
      <c r="L131" t="n">
        <v>0</v>
      </c>
      <c r="M131" t="n">
        <v>0</v>
      </c>
      <c r="N131" t="n">
        <v>0</v>
      </c>
      <c r="O131" t="n">
        <v>1</v>
      </c>
      <c r="P131" t="n">
        <v>0</v>
      </c>
      <c r="Q131" t="n">
        <v>4</v>
      </c>
      <c r="R131" s="2" t="inlineStr">
        <is>
          <t>Garnlav
Skuggblåslav
Vedticka
Fläcknycklar</t>
        </is>
      </c>
      <c r="S131">
        <f>HYPERLINK("https://klasma.github.io/Logging_1782/artfynd/A 46072-2020 artfynd.xlsx", "A 46072-2020")</f>
        <v/>
      </c>
      <c r="T131">
        <f>HYPERLINK("https://klasma.github.io/Logging_1782/kartor/A 46072-2020 karta.png", "A 46072-2020")</f>
        <v/>
      </c>
      <c r="V131">
        <f>HYPERLINK("https://klasma.github.io/Logging_1782/klagomål/A 46072-2020 FSC-klagomål.docx", "A 46072-2020")</f>
        <v/>
      </c>
      <c r="W131">
        <f>HYPERLINK("https://klasma.github.io/Logging_1782/klagomålsmail/A 46072-2020 FSC-klagomål mail.docx", "A 46072-2020")</f>
        <v/>
      </c>
      <c r="X131">
        <f>HYPERLINK("https://klasma.github.io/Logging_1782/tillsyn/A 46072-2020 tillsynsbegäran.docx", "A 46072-2020")</f>
        <v/>
      </c>
      <c r="Y131">
        <f>HYPERLINK("https://klasma.github.io/Logging_1782/tillsynsmail/A 46072-2020 tillsynsbegäran mail.docx", "A 46072-2020")</f>
        <v/>
      </c>
    </row>
    <row r="132" ht="15" customHeight="1">
      <c r="A132" t="inlineStr">
        <is>
          <t>A 173-2021</t>
        </is>
      </c>
      <c r="B132" s="1" t="n">
        <v>44200</v>
      </c>
      <c r="C132" s="1" t="n">
        <v>45810</v>
      </c>
      <c r="D132" t="inlineStr">
        <is>
          <t>VÄRMLANDS LÄN</t>
        </is>
      </c>
      <c r="E132" t="inlineStr">
        <is>
          <t>TORSBY</t>
        </is>
      </c>
      <c r="G132" t="n">
        <v>6.8</v>
      </c>
      <c r="H132" t="n">
        <v>0</v>
      </c>
      <c r="I132" t="n">
        <v>1</v>
      </c>
      <c r="J132" t="n">
        <v>3</v>
      </c>
      <c r="K132" t="n">
        <v>0</v>
      </c>
      <c r="L132" t="n">
        <v>0</v>
      </c>
      <c r="M132" t="n">
        <v>0</v>
      </c>
      <c r="N132" t="n">
        <v>0</v>
      </c>
      <c r="O132" t="n">
        <v>3</v>
      </c>
      <c r="P132" t="n">
        <v>0</v>
      </c>
      <c r="Q132" t="n">
        <v>4</v>
      </c>
      <c r="R132" s="2" t="inlineStr">
        <is>
          <t>Gammelgransskål
Garnlav
Violettgrå tagellav
Vedticka</t>
        </is>
      </c>
      <c r="S132">
        <f>HYPERLINK("https://klasma.github.io/Logging_1737/artfynd/A 173-2021 artfynd.xlsx", "A 173-2021")</f>
        <v/>
      </c>
      <c r="T132">
        <f>HYPERLINK("https://klasma.github.io/Logging_1737/kartor/A 173-2021 karta.png", "A 173-2021")</f>
        <v/>
      </c>
      <c r="V132">
        <f>HYPERLINK("https://klasma.github.io/Logging_1737/klagomål/A 173-2021 FSC-klagomål.docx", "A 173-2021")</f>
        <v/>
      </c>
      <c r="W132">
        <f>HYPERLINK("https://klasma.github.io/Logging_1737/klagomålsmail/A 173-2021 FSC-klagomål mail.docx", "A 173-2021")</f>
        <v/>
      </c>
      <c r="X132">
        <f>HYPERLINK("https://klasma.github.io/Logging_1737/tillsyn/A 173-2021 tillsynsbegäran.docx", "A 173-2021")</f>
        <v/>
      </c>
      <c r="Y132">
        <f>HYPERLINK("https://klasma.github.io/Logging_1737/tillsynsmail/A 173-2021 tillsynsbegäran mail.docx", "A 173-2021")</f>
        <v/>
      </c>
    </row>
    <row r="133" ht="15" customHeight="1">
      <c r="A133" t="inlineStr">
        <is>
          <t>A 8325-2021</t>
        </is>
      </c>
      <c r="B133" s="1" t="n">
        <v>44244</v>
      </c>
      <c r="C133" s="1" t="n">
        <v>45810</v>
      </c>
      <c r="D133" t="inlineStr">
        <is>
          <t>VÄRMLANDS LÄN</t>
        </is>
      </c>
      <c r="E133" t="inlineStr">
        <is>
          <t>FORSHAGA</t>
        </is>
      </c>
      <c r="F133" t="inlineStr">
        <is>
          <t>Bergvik skog väst AB</t>
        </is>
      </c>
      <c r="G133" t="n">
        <v>12.8</v>
      </c>
      <c r="H133" t="n">
        <v>3</v>
      </c>
      <c r="I133" t="n">
        <v>2</v>
      </c>
      <c r="J133" t="n">
        <v>0</v>
      </c>
      <c r="K133" t="n">
        <v>0</v>
      </c>
      <c r="L133" t="n">
        <v>0</v>
      </c>
      <c r="M133" t="n">
        <v>0</v>
      </c>
      <c r="N133" t="n">
        <v>0</v>
      </c>
      <c r="O133" t="n">
        <v>0</v>
      </c>
      <c r="P133" t="n">
        <v>0</v>
      </c>
      <c r="Q133" t="n">
        <v>4</v>
      </c>
      <c r="R133" s="2" t="inlineStr">
        <is>
          <t>Dvärghäxört
Nästrot
Nattviol
Blåsippa</t>
        </is>
      </c>
      <c r="S133">
        <f>HYPERLINK("https://klasma.github.io/Logging_1763/artfynd/A 8325-2021 artfynd.xlsx", "A 8325-2021")</f>
        <v/>
      </c>
      <c r="T133">
        <f>HYPERLINK("https://klasma.github.io/Logging_1763/kartor/A 8325-2021 karta.png", "A 8325-2021")</f>
        <v/>
      </c>
      <c r="V133">
        <f>HYPERLINK("https://klasma.github.io/Logging_1763/klagomål/A 8325-2021 FSC-klagomål.docx", "A 8325-2021")</f>
        <v/>
      </c>
      <c r="W133">
        <f>HYPERLINK("https://klasma.github.io/Logging_1763/klagomålsmail/A 8325-2021 FSC-klagomål mail.docx", "A 8325-2021")</f>
        <v/>
      </c>
      <c r="X133">
        <f>HYPERLINK("https://klasma.github.io/Logging_1763/tillsyn/A 8325-2021 tillsynsbegäran.docx", "A 8325-2021")</f>
        <v/>
      </c>
      <c r="Y133">
        <f>HYPERLINK("https://klasma.github.io/Logging_1763/tillsynsmail/A 8325-2021 tillsynsbegäran mail.docx", "A 8325-2021")</f>
        <v/>
      </c>
    </row>
    <row r="134" ht="15" customHeight="1">
      <c r="A134" t="inlineStr">
        <is>
          <t>A 36422-2021</t>
        </is>
      </c>
      <c r="B134" s="1" t="n">
        <v>44375</v>
      </c>
      <c r="C134" s="1" t="n">
        <v>45810</v>
      </c>
      <c r="D134" t="inlineStr">
        <is>
          <t>VÄRMLANDS LÄN</t>
        </is>
      </c>
      <c r="E134" t="inlineStr">
        <is>
          <t>EDA</t>
        </is>
      </c>
      <c r="G134" t="n">
        <v>1.9</v>
      </c>
      <c r="H134" t="n">
        <v>0</v>
      </c>
      <c r="I134" t="n">
        <v>1</v>
      </c>
      <c r="J134" t="n">
        <v>3</v>
      </c>
      <c r="K134" t="n">
        <v>0</v>
      </c>
      <c r="L134" t="n">
        <v>0</v>
      </c>
      <c r="M134" t="n">
        <v>0</v>
      </c>
      <c r="N134" t="n">
        <v>0</v>
      </c>
      <c r="O134" t="n">
        <v>3</v>
      </c>
      <c r="P134" t="n">
        <v>0</v>
      </c>
      <c r="Q134" t="n">
        <v>4</v>
      </c>
      <c r="R134" s="2" t="inlineStr">
        <is>
          <t>Dofttaggsvamp
Gul taggsvamp
Orange taggsvamp
Fällmossa</t>
        </is>
      </c>
      <c r="S134">
        <f>HYPERLINK("https://klasma.github.io/Logging_1730/artfynd/A 36422-2021 artfynd.xlsx", "A 36422-2021")</f>
        <v/>
      </c>
      <c r="T134">
        <f>HYPERLINK("https://klasma.github.io/Logging_1730/kartor/A 36422-2021 karta.png", "A 36422-2021")</f>
        <v/>
      </c>
      <c r="V134">
        <f>HYPERLINK("https://klasma.github.io/Logging_1730/klagomål/A 36422-2021 FSC-klagomål.docx", "A 36422-2021")</f>
        <v/>
      </c>
      <c r="W134">
        <f>HYPERLINK("https://klasma.github.io/Logging_1730/klagomålsmail/A 36422-2021 FSC-klagomål mail.docx", "A 36422-2021")</f>
        <v/>
      </c>
      <c r="X134">
        <f>HYPERLINK("https://klasma.github.io/Logging_1730/tillsyn/A 36422-2021 tillsynsbegäran.docx", "A 36422-2021")</f>
        <v/>
      </c>
      <c r="Y134">
        <f>HYPERLINK("https://klasma.github.io/Logging_1730/tillsynsmail/A 36422-2021 tillsynsbegäran mail.docx", "A 36422-2021")</f>
        <v/>
      </c>
    </row>
    <row r="135" ht="15" customHeight="1">
      <c r="A135" t="inlineStr">
        <is>
          <t>A 32762-2021</t>
        </is>
      </c>
      <c r="B135" s="1" t="n">
        <v>44375</v>
      </c>
      <c r="C135" s="1" t="n">
        <v>45810</v>
      </c>
      <c r="D135" t="inlineStr">
        <is>
          <t>VÄRMLANDS LÄN</t>
        </is>
      </c>
      <c r="E135" t="inlineStr">
        <is>
          <t>ÅRJÄNG</t>
        </is>
      </c>
      <c r="G135" t="n">
        <v>7.9</v>
      </c>
      <c r="H135" t="n">
        <v>1</v>
      </c>
      <c r="I135" t="n">
        <v>2</v>
      </c>
      <c r="J135" t="n">
        <v>2</v>
      </c>
      <c r="K135" t="n">
        <v>0</v>
      </c>
      <c r="L135" t="n">
        <v>0</v>
      </c>
      <c r="M135" t="n">
        <v>0</v>
      </c>
      <c r="N135" t="n">
        <v>0</v>
      </c>
      <c r="O135" t="n">
        <v>2</v>
      </c>
      <c r="P135" t="n">
        <v>0</v>
      </c>
      <c r="Q135" t="n">
        <v>4</v>
      </c>
      <c r="R135" s="2" t="inlineStr">
        <is>
          <t>Lunglav
Talltita
Korallblylav
Skinnlav</t>
        </is>
      </c>
      <c r="S135">
        <f>HYPERLINK("https://klasma.github.io/Logging_1765/artfynd/A 32762-2021 artfynd.xlsx", "A 32762-2021")</f>
        <v/>
      </c>
      <c r="T135">
        <f>HYPERLINK("https://klasma.github.io/Logging_1765/kartor/A 32762-2021 karta.png", "A 32762-2021")</f>
        <v/>
      </c>
      <c r="V135">
        <f>HYPERLINK("https://klasma.github.io/Logging_1765/klagomål/A 32762-2021 FSC-klagomål.docx", "A 32762-2021")</f>
        <v/>
      </c>
      <c r="W135">
        <f>HYPERLINK("https://klasma.github.io/Logging_1765/klagomålsmail/A 32762-2021 FSC-klagomål mail.docx", "A 32762-2021")</f>
        <v/>
      </c>
      <c r="X135">
        <f>HYPERLINK("https://klasma.github.io/Logging_1765/tillsyn/A 32762-2021 tillsynsbegäran.docx", "A 32762-2021")</f>
        <v/>
      </c>
      <c r="Y135">
        <f>HYPERLINK("https://klasma.github.io/Logging_1765/tillsynsmail/A 32762-2021 tillsynsbegäran mail.docx", "A 32762-2021")</f>
        <v/>
      </c>
      <c r="Z135">
        <f>HYPERLINK("https://klasma.github.io/Logging_1765/fåglar/A 32762-2021 prioriterade fågelarter.docx", "A 32762-2021")</f>
        <v/>
      </c>
    </row>
    <row r="136" ht="15" customHeight="1">
      <c r="A136" t="inlineStr">
        <is>
          <t>A 63807-2021</t>
        </is>
      </c>
      <c r="B136" s="1" t="n">
        <v>44509</v>
      </c>
      <c r="C136" s="1" t="n">
        <v>45810</v>
      </c>
      <c r="D136" t="inlineStr">
        <is>
          <t>VÄRMLANDS LÄN</t>
        </is>
      </c>
      <c r="E136" t="inlineStr">
        <is>
          <t>SUNNE</t>
        </is>
      </c>
      <c r="F136" t="inlineStr">
        <is>
          <t>Kommuner</t>
        </is>
      </c>
      <c r="G136" t="n">
        <v>5.5</v>
      </c>
      <c r="H136" t="n">
        <v>0</v>
      </c>
      <c r="I136" t="n">
        <v>4</v>
      </c>
      <c r="J136" t="n">
        <v>0</v>
      </c>
      <c r="K136" t="n">
        <v>0</v>
      </c>
      <c r="L136" t="n">
        <v>0</v>
      </c>
      <c r="M136" t="n">
        <v>0</v>
      </c>
      <c r="N136" t="n">
        <v>0</v>
      </c>
      <c r="O136" t="n">
        <v>0</v>
      </c>
      <c r="P136" t="n">
        <v>0</v>
      </c>
      <c r="Q136" t="n">
        <v>4</v>
      </c>
      <c r="R136" s="2" t="inlineStr">
        <is>
          <t>Bågpraktmossa
Dvärghäxört
Skinnlav
Svart trolldruva</t>
        </is>
      </c>
      <c r="S136">
        <f>HYPERLINK("https://klasma.github.io/Logging_1766/artfynd/A 63807-2021 artfynd.xlsx", "A 63807-2021")</f>
        <v/>
      </c>
      <c r="T136">
        <f>HYPERLINK("https://klasma.github.io/Logging_1766/kartor/A 63807-2021 karta.png", "A 63807-2021")</f>
        <v/>
      </c>
      <c r="V136">
        <f>HYPERLINK("https://klasma.github.io/Logging_1766/klagomål/A 63807-2021 FSC-klagomål.docx", "A 63807-2021")</f>
        <v/>
      </c>
      <c r="W136">
        <f>HYPERLINK("https://klasma.github.io/Logging_1766/klagomålsmail/A 63807-2021 FSC-klagomål mail.docx", "A 63807-2021")</f>
        <v/>
      </c>
      <c r="X136">
        <f>HYPERLINK("https://klasma.github.io/Logging_1766/tillsyn/A 63807-2021 tillsynsbegäran.docx", "A 63807-2021")</f>
        <v/>
      </c>
      <c r="Y136">
        <f>HYPERLINK("https://klasma.github.io/Logging_1766/tillsynsmail/A 63807-2021 tillsynsbegäran mail.docx", "A 63807-2021")</f>
        <v/>
      </c>
    </row>
    <row r="137" ht="15" customHeight="1">
      <c r="A137" t="inlineStr">
        <is>
          <t>A 69506-2021</t>
        </is>
      </c>
      <c r="B137" s="1" t="n">
        <v>44531</v>
      </c>
      <c r="C137" s="1" t="n">
        <v>45810</v>
      </c>
      <c r="D137" t="inlineStr">
        <is>
          <t>VÄRMLANDS LÄN</t>
        </is>
      </c>
      <c r="E137" t="inlineStr">
        <is>
          <t>KARLSTAD</t>
        </is>
      </c>
      <c r="G137" t="n">
        <v>5.2</v>
      </c>
      <c r="H137" t="n">
        <v>4</v>
      </c>
      <c r="I137" t="n">
        <v>0</v>
      </c>
      <c r="J137" t="n">
        <v>0</v>
      </c>
      <c r="K137" t="n">
        <v>0</v>
      </c>
      <c r="L137" t="n">
        <v>1</v>
      </c>
      <c r="M137" t="n">
        <v>0</v>
      </c>
      <c r="N137" t="n">
        <v>0</v>
      </c>
      <c r="O137" t="n">
        <v>1</v>
      </c>
      <c r="P137" t="n">
        <v>1</v>
      </c>
      <c r="Q137" t="n">
        <v>4</v>
      </c>
      <c r="R137" s="2" t="inlineStr">
        <is>
          <t>Tornseglare
Sparvuggla
Trana
Trädlärka</t>
        </is>
      </c>
      <c r="S137">
        <f>HYPERLINK("https://klasma.github.io/Logging_1780/artfynd/A 69506-2021 artfynd.xlsx", "A 69506-2021")</f>
        <v/>
      </c>
      <c r="T137">
        <f>HYPERLINK("https://klasma.github.io/Logging_1780/kartor/A 69506-2021 karta.png", "A 69506-2021")</f>
        <v/>
      </c>
      <c r="V137">
        <f>HYPERLINK("https://klasma.github.io/Logging_1780/klagomål/A 69506-2021 FSC-klagomål.docx", "A 69506-2021")</f>
        <v/>
      </c>
      <c r="W137">
        <f>HYPERLINK("https://klasma.github.io/Logging_1780/klagomålsmail/A 69506-2021 FSC-klagomål mail.docx", "A 69506-2021")</f>
        <v/>
      </c>
      <c r="X137">
        <f>HYPERLINK("https://klasma.github.io/Logging_1780/tillsyn/A 69506-2021 tillsynsbegäran.docx", "A 69506-2021")</f>
        <v/>
      </c>
      <c r="Y137">
        <f>HYPERLINK("https://klasma.github.io/Logging_1780/tillsynsmail/A 69506-2021 tillsynsbegäran mail.docx", "A 69506-2021")</f>
        <v/>
      </c>
      <c r="Z137">
        <f>HYPERLINK("https://klasma.github.io/Logging_1780/fåglar/A 69506-2021 prioriterade fågelarter.docx", "A 69506-2021")</f>
        <v/>
      </c>
    </row>
    <row r="138" ht="15" customHeight="1">
      <c r="A138" t="inlineStr">
        <is>
          <t>A 17268-2022</t>
        </is>
      </c>
      <c r="B138" s="1" t="n">
        <v>44678</v>
      </c>
      <c r="C138" s="1" t="n">
        <v>45810</v>
      </c>
      <c r="D138" t="inlineStr">
        <is>
          <t>VÄRMLANDS LÄN</t>
        </is>
      </c>
      <c r="E138" t="inlineStr">
        <is>
          <t>ÅRJÄNG</t>
        </is>
      </c>
      <c r="G138" t="n">
        <v>4</v>
      </c>
      <c r="H138" t="n">
        <v>0</v>
      </c>
      <c r="I138" t="n">
        <v>4</v>
      </c>
      <c r="J138" t="n">
        <v>0</v>
      </c>
      <c r="K138" t="n">
        <v>0</v>
      </c>
      <c r="L138" t="n">
        <v>0</v>
      </c>
      <c r="M138" t="n">
        <v>0</v>
      </c>
      <c r="N138" t="n">
        <v>0</v>
      </c>
      <c r="O138" t="n">
        <v>0</v>
      </c>
      <c r="P138" t="n">
        <v>0</v>
      </c>
      <c r="Q138" t="n">
        <v>4</v>
      </c>
      <c r="R138" s="2" t="inlineStr">
        <is>
          <t>Bårdlav
Korallblylav
Vedticka
Vågbandad barkbock</t>
        </is>
      </c>
      <c r="S138">
        <f>HYPERLINK("https://klasma.github.io/Logging_1765/artfynd/A 17268-2022 artfynd.xlsx", "A 17268-2022")</f>
        <v/>
      </c>
      <c r="T138">
        <f>HYPERLINK("https://klasma.github.io/Logging_1765/kartor/A 17268-2022 karta.png", "A 17268-2022")</f>
        <v/>
      </c>
      <c r="V138">
        <f>HYPERLINK("https://klasma.github.io/Logging_1765/klagomål/A 17268-2022 FSC-klagomål.docx", "A 17268-2022")</f>
        <v/>
      </c>
      <c r="W138">
        <f>HYPERLINK("https://klasma.github.io/Logging_1765/klagomålsmail/A 17268-2022 FSC-klagomål mail.docx", "A 17268-2022")</f>
        <v/>
      </c>
      <c r="X138">
        <f>HYPERLINK("https://klasma.github.io/Logging_1765/tillsyn/A 17268-2022 tillsynsbegäran.docx", "A 17268-2022")</f>
        <v/>
      </c>
      <c r="Y138">
        <f>HYPERLINK("https://klasma.github.io/Logging_1765/tillsynsmail/A 17268-2022 tillsynsbegäran mail.docx", "A 17268-2022")</f>
        <v/>
      </c>
    </row>
    <row r="139" ht="15" customHeight="1">
      <c r="A139" t="inlineStr">
        <is>
          <t>A 33391-2022</t>
        </is>
      </c>
      <c r="B139" s="1" t="n">
        <v>44788</v>
      </c>
      <c r="C139" s="1" t="n">
        <v>45810</v>
      </c>
      <c r="D139" t="inlineStr">
        <is>
          <t>VÄRMLANDS LÄN</t>
        </is>
      </c>
      <c r="E139" t="inlineStr">
        <is>
          <t>GRUMS</t>
        </is>
      </c>
      <c r="G139" t="n">
        <v>25</v>
      </c>
      <c r="H139" t="n">
        <v>1</v>
      </c>
      <c r="I139" t="n">
        <v>3</v>
      </c>
      <c r="J139" t="n">
        <v>0</v>
      </c>
      <c r="K139" t="n">
        <v>0</v>
      </c>
      <c r="L139" t="n">
        <v>0</v>
      </c>
      <c r="M139" t="n">
        <v>0</v>
      </c>
      <c r="N139" t="n">
        <v>0</v>
      </c>
      <c r="O139" t="n">
        <v>0</v>
      </c>
      <c r="P139" t="n">
        <v>0</v>
      </c>
      <c r="Q139" t="n">
        <v>4</v>
      </c>
      <c r="R139" s="2" t="inlineStr">
        <is>
          <t>Björksplintborre
Bronshjon
Vågbandad barkbock
Revlummer</t>
        </is>
      </c>
      <c r="S139">
        <f>HYPERLINK("https://klasma.github.io/Logging_1764/artfynd/A 33391-2022 artfynd.xlsx", "A 33391-2022")</f>
        <v/>
      </c>
      <c r="T139">
        <f>HYPERLINK("https://klasma.github.io/Logging_1764/kartor/A 33391-2022 karta.png", "A 33391-2022")</f>
        <v/>
      </c>
      <c r="V139">
        <f>HYPERLINK("https://klasma.github.io/Logging_1764/klagomål/A 33391-2022 FSC-klagomål.docx", "A 33391-2022")</f>
        <v/>
      </c>
      <c r="W139">
        <f>HYPERLINK("https://klasma.github.io/Logging_1764/klagomålsmail/A 33391-2022 FSC-klagomål mail.docx", "A 33391-2022")</f>
        <v/>
      </c>
      <c r="X139">
        <f>HYPERLINK("https://klasma.github.io/Logging_1764/tillsyn/A 33391-2022 tillsynsbegäran.docx", "A 33391-2022")</f>
        <v/>
      </c>
      <c r="Y139">
        <f>HYPERLINK("https://klasma.github.io/Logging_1764/tillsynsmail/A 33391-2022 tillsynsbegäran mail.docx", "A 33391-2022")</f>
        <v/>
      </c>
    </row>
    <row r="140" ht="15" customHeight="1">
      <c r="A140" t="inlineStr">
        <is>
          <t>A 42501-2022</t>
        </is>
      </c>
      <c r="B140" s="1" t="n">
        <v>44831</v>
      </c>
      <c r="C140" s="1" t="n">
        <v>45810</v>
      </c>
      <c r="D140" t="inlineStr">
        <is>
          <t>VÄRMLANDS LÄN</t>
        </is>
      </c>
      <c r="E140" t="inlineStr">
        <is>
          <t>TORSBY</t>
        </is>
      </c>
      <c r="F140" t="inlineStr">
        <is>
          <t>Kommuner</t>
        </is>
      </c>
      <c r="G140" t="n">
        <v>2.4</v>
      </c>
      <c r="H140" t="n">
        <v>0</v>
      </c>
      <c r="I140" t="n">
        <v>1</v>
      </c>
      <c r="J140" t="n">
        <v>3</v>
      </c>
      <c r="K140" t="n">
        <v>0</v>
      </c>
      <c r="L140" t="n">
        <v>0</v>
      </c>
      <c r="M140" t="n">
        <v>0</v>
      </c>
      <c r="N140" t="n">
        <v>0</v>
      </c>
      <c r="O140" t="n">
        <v>3</v>
      </c>
      <c r="P140" t="n">
        <v>0</v>
      </c>
      <c r="Q140" t="n">
        <v>4</v>
      </c>
      <c r="R140" s="2" t="inlineStr">
        <is>
          <t>Garnlav
Mörk kolflarnlav
Vedtrappmossa
Skuggblåslav</t>
        </is>
      </c>
      <c r="S140">
        <f>HYPERLINK("https://klasma.github.io/Logging_1737/artfynd/A 42501-2022 artfynd.xlsx", "A 42501-2022")</f>
        <v/>
      </c>
      <c r="T140">
        <f>HYPERLINK("https://klasma.github.io/Logging_1737/kartor/A 42501-2022 karta.png", "A 42501-2022")</f>
        <v/>
      </c>
      <c r="V140">
        <f>HYPERLINK("https://klasma.github.io/Logging_1737/klagomål/A 42501-2022 FSC-klagomål.docx", "A 42501-2022")</f>
        <v/>
      </c>
      <c r="W140">
        <f>HYPERLINK("https://klasma.github.io/Logging_1737/klagomålsmail/A 42501-2022 FSC-klagomål mail.docx", "A 42501-2022")</f>
        <v/>
      </c>
      <c r="X140">
        <f>HYPERLINK("https://klasma.github.io/Logging_1737/tillsyn/A 42501-2022 tillsynsbegäran.docx", "A 42501-2022")</f>
        <v/>
      </c>
      <c r="Y140">
        <f>HYPERLINK("https://klasma.github.io/Logging_1737/tillsynsmail/A 42501-2022 tillsynsbegäran mail.docx", "A 42501-2022")</f>
        <v/>
      </c>
    </row>
    <row r="141" ht="15" customHeight="1">
      <c r="A141" t="inlineStr">
        <is>
          <t>A 54297-2022</t>
        </is>
      </c>
      <c r="B141" s="1" t="n">
        <v>44882</v>
      </c>
      <c r="C141" s="1" t="n">
        <v>45810</v>
      </c>
      <c r="D141" t="inlineStr">
        <is>
          <t>VÄRMLANDS LÄN</t>
        </is>
      </c>
      <c r="E141" t="inlineStr">
        <is>
          <t>TORSBY</t>
        </is>
      </c>
      <c r="G141" t="n">
        <v>10.2</v>
      </c>
      <c r="H141" t="n">
        <v>1</v>
      </c>
      <c r="I141" t="n">
        <v>3</v>
      </c>
      <c r="J141" t="n">
        <v>1</v>
      </c>
      <c r="K141" t="n">
        <v>0</v>
      </c>
      <c r="L141" t="n">
        <v>0</v>
      </c>
      <c r="M141" t="n">
        <v>0</v>
      </c>
      <c r="N141" t="n">
        <v>0</v>
      </c>
      <c r="O141" t="n">
        <v>1</v>
      </c>
      <c r="P141" t="n">
        <v>0</v>
      </c>
      <c r="Q141" t="n">
        <v>4</v>
      </c>
      <c r="R141" s="2" t="inlineStr">
        <is>
          <t>Tretåig hackspett
Bronshjon
Thomsons trägnagare
Vedticka</t>
        </is>
      </c>
      <c r="S141">
        <f>HYPERLINK("https://klasma.github.io/Logging_1737/artfynd/A 54297-2022 artfynd.xlsx", "A 54297-2022")</f>
        <v/>
      </c>
      <c r="T141">
        <f>HYPERLINK("https://klasma.github.io/Logging_1737/kartor/A 54297-2022 karta.png", "A 54297-2022")</f>
        <v/>
      </c>
      <c r="V141">
        <f>HYPERLINK("https://klasma.github.io/Logging_1737/klagomål/A 54297-2022 FSC-klagomål.docx", "A 54297-2022")</f>
        <v/>
      </c>
      <c r="W141">
        <f>HYPERLINK("https://klasma.github.io/Logging_1737/klagomålsmail/A 54297-2022 FSC-klagomål mail.docx", "A 54297-2022")</f>
        <v/>
      </c>
      <c r="X141">
        <f>HYPERLINK("https://klasma.github.io/Logging_1737/tillsyn/A 54297-2022 tillsynsbegäran.docx", "A 54297-2022")</f>
        <v/>
      </c>
      <c r="Y141">
        <f>HYPERLINK("https://klasma.github.io/Logging_1737/tillsynsmail/A 54297-2022 tillsynsbegäran mail.docx", "A 54297-2022")</f>
        <v/>
      </c>
      <c r="Z141">
        <f>HYPERLINK("https://klasma.github.io/Logging_1737/fåglar/A 54297-2022 prioriterade fågelarter.docx", "A 54297-2022")</f>
        <v/>
      </c>
    </row>
    <row r="142" ht="15" customHeight="1">
      <c r="A142" t="inlineStr">
        <is>
          <t>A 7484-2023</t>
        </is>
      </c>
      <c r="B142" s="1" t="n">
        <v>44971</v>
      </c>
      <c r="C142" s="1" t="n">
        <v>45810</v>
      </c>
      <c r="D142" t="inlineStr">
        <is>
          <t>VÄRMLANDS LÄN</t>
        </is>
      </c>
      <c r="E142" t="inlineStr">
        <is>
          <t>KARLSTAD</t>
        </is>
      </c>
      <c r="F142" t="inlineStr">
        <is>
          <t>Bergvik skog väst AB</t>
        </is>
      </c>
      <c r="G142" t="n">
        <v>6.6</v>
      </c>
      <c r="H142" t="n">
        <v>1</v>
      </c>
      <c r="I142" t="n">
        <v>3</v>
      </c>
      <c r="J142" t="n">
        <v>1</v>
      </c>
      <c r="K142" t="n">
        <v>0</v>
      </c>
      <c r="L142" t="n">
        <v>0</v>
      </c>
      <c r="M142" t="n">
        <v>0</v>
      </c>
      <c r="N142" t="n">
        <v>0</v>
      </c>
      <c r="O142" t="n">
        <v>1</v>
      </c>
      <c r="P142" t="n">
        <v>0</v>
      </c>
      <c r="Q142" t="n">
        <v>4</v>
      </c>
      <c r="R142" s="2" t="inlineStr">
        <is>
          <t>Mindre hackspett
Bårdlav
Rävticka
Stubbspretmossa</t>
        </is>
      </c>
      <c r="S142">
        <f>HYPERLINK("https://klasma.github.io/Logging_1780/artfynd/A 7484-2023 artfynd.xlsx", "A 7484-2023")</f>
        <v/>
      </c>
      <c r="T142">
        <f>HYPERLINK("https://klasma.github.io/Logging_1780/kartor/A 7484-2023 karta.png", "A 7484-2023")</f>
        <v/>
      </c>
      <c r="V142">
        <f>HYPERLINK("https://klasma.github.io/Logging_1780/klagomål/A 7484-2023 FSC-klagomål.docx", "A 7484-2023")</f>
        <v/>
      </c>
      <c r="W142">
        <f>HYPERLINK("https://klasma.github.io/Logging_1780/klagomålsmail/A 7484-2023 FSC-klagomål mail.docx", "A 7484-2023")</f>
        <v/>
      </c>
      <c r="X142">
        <f>HYPERLINK("https://klasma.github.io/Logging_1780/tillsyn/A 7484-2023 tillsynsbegäran.docx", "A 7484-2023")</f>
        <v/>
      </c>
      <c r="Y142">
        <f>HYPERLINK("https://klasma.github.io/Logging_1780/tillsynsmail/A 7484-2023 tillsynsbegäran mail.docx", "A 7484-2023")</f>
        <v/>
      </c>
      <c r="Z142">
        <f>HYPERLINK("https://klasma.github.io/Logging_1780/fåglar/A 7484-2023 prioriterade fågelarter.docx", "A 7484-2023")</f>
        <v/>
      </c>
    </row>
    <row r="143" ht="15" customHeight="1">
      <c r="A143" t="inlineStr">
        <is>
          <t>A 16134-2023</t>
        </is>
      </c>
      <c r="B143" s="1" t="n">
        <v>45021</v>
      </c>
      <c r="C143" s="1" t="n">
        <v>45810</v>
      </c>
      <c r="D143" t="inlineStr">
        <is>
          <t>VÄRMLANDS LÄN</t>
        </is>
      </c>
      <c r="E143" t="inlineStr">
        <is>
          <t>TORSBY</t>
        </is>
      </c>
      <c r="G143" t="n">
        <v>15.5</v>
      </c>
      <c r="H143" t="n">
        <v>0</v>
      </c>
      <c r="I143" t="n">
        <v>1</v>
      </c>
      <c r="J143" t="n">
        <v>3</v>
      </c>
      <c r="K143" t="n">
        <v>0</v>
      </c>
      <c r="L143" t="n">
        <v>0</v>
      </c>
      <c r="M143" t="n">
        <v>0</v>
      </c>
      <c r="N143" t="n">
        <v>0</v>
      </c>
      <c r="O143" t="n">
        <v>3</v>
      </c>
      <c r="P143" t="n">
        <v>0</v>
      </c>
      <c r="Q143" t="n">
        <v>4</v>
      </c>
      <c r="R143" s="2" t="inlineStr">
        <is>
          <t>Skrovlig taggsvamp
Svartvit taggsvamp
Vitgrynig nållav
Dropptaggsvamp</t>
        </is>
      </c>
      <c r="S143">
        <f>HYPERLINK("https://klasma.github.io/Logging_1737/artfynd/A 16134-2023 artfynd.xlsx", "A 16134-2023")</f>
        <v/>
      </c>
      <c r="T143">
        <f>HYPERLINK("https://klasma.github.io/Logging_1737/kartor/A 16134-2023 karta.png", "A 16134-2023")</f>
        <v/>
      </c>
      <c r="V143">
        <f>HYPERLINK("https://klasma.github.io/Logging_1737/klagomål/A 16134-2023 FSC-klagomål.docx", "A 16134-2023")</f>
        <v/>
      </c>
      <c r="W143">
        <f>HYPERLINK("https://klasma.github.io/Logging_1737/klagomålsmail/A 16134-2023 FSC-klagomål mail.docx", "A 16134-2023")</f>
        <v/>
      </c>
      <c r="X143">
        <f>HYPERLINK("https://klasma.github.io/Logging_1737/tillsyn/A 16134-2023 tillsynsbegäran.docx", "A 16134-2023")</f>
        <v/>
      </c>
      <c r="Y143">
        <f>HYPERLINK("https://klasma.github.io/Logging_1737/tillsynsmail/A 16134-2023 tillsynsbegäran mail.docx", "A 16134-2023")</f>
        <v/>
      </c>
    </row>
    <row r="144" ht="15" customHeight="1">
      <c r="A144" t="inlineStr">
        <is>
          <t>A 19980-2023</t>
        </is>
      </c>
      <c r="B144" s="1" t="n">
        <v>45051</v>
      </c>
      <c r="C144" s="1" t="n">
        <v>45810</v>
      </c>
      <c r="D144" t="inlineStr">
        <is>
          <t>VÄRMLANDS LÄN</t>
        </is>
      </c>
      <c r="E144" t="inlineStr">
        <is>
          <t>ÅRJÄNG</t>
        </is>
      </c>
      <c r="G144" t="n">
        <v>7.9</v>
      </c>
      <c r="H144" t="n">
        <v>1</v>
      </c>
      <c r="I144" t="n">
        <v>2</v>
      </c>
      <c r="J144" t="n">
        <v>2</v>
      </c>
      <c r="K144" t="n">
        <v>0</v>
      </c>
      <c r="L144" t="n">
        <v>0</v>
      </c>
      <c r="M144" t="n">
        <v>0</v>
      </c>
      <c r="N144" t="n">
        <v>0</v>
      </c>
      <c r="O144" t="n">
        <v>2</v>
      </c>
      <c r="P144" t="n">
        <v>0</v>
      </c>
      <c r="Q144" t="n">
        <v>4</v>
      </c>
      <c r="R144" s="2" t="inlineStr">
        <is>
          <t>Lunglav
Talltita
Korallblylav
Skinnlav</t>
        </is>
      </c>
      <c r="S144">
        <f>HYPERLINK("https://klasma.github.io/Logging_1765/artfynd/A 19980-2023 artfynd.xlsx", "A 19980-2023")</f>
        <v/>
      </c>
      <c r="T144">
        <f>HYPERLINK("https://klasma.github.io/Logging_1765/kartor/A 19980-2023 karta.png", "A 19980-2023")</f>
        <v/>
      </c>
      <c r="V144">
        <f>HYPERLINK("https://klasma.github.io/Logging_1765/klagomål/A 19980-2023 FSC-klagomål.docx", "A 19980-2023")</f>
        <v/>
      </c>
      <c r="W144">
        <f>HYPERLINK("https://klasma.github.io/Logging_1765/klagomålsmail/A 19980-2023 FSC-klagomål mail.docx", "A 19980-2023")</f>
        <v/>
      </c>
      <c r="X144">
        <f>HYPERLINK("https://klasma.github.io/Logging_1765/tillsyn/A 19980-2023 tillsynsbegäran.docx", "A 19980-2023")</f>
        <v/>
      </c>
      <c r="Y144">
        <f>HYPERLINK("https://klasma.github.io/Logging_1765/tillsynsmail/A 19980-2023 tillsynsbegäran mail.docx", "A 19980-2023")</f>
        <v/>
      </c>
      <c r="Z144">
        <f>HYPERLINK("https://klasma.github.io/Logging_1765/fåglar/A 19980-2023 prioriterade fågelarter.docx", "A 19980-2023")</f>
        <v/>
      </c>
    </row>
    <row r="145" ht="15" customHeight="1">
      <c r="A145" t="inlineStr">
        <is>
          <t>A 41227-2023</t>
        </is>
      </c>
      <c r="B145" s="1" t="n">
        <v>45174</v>
      </c>
      <c r="C145" s="1" t="n">
        <v>45810</v>
      </c>
      <c r="D145" t="inlineStr">
        <is>
          <t>VÄRMLANDS LÄN</t>
        </is>
      </c>
      <c r="E145" t="inlineStr">
        <is>
          <t>KARLSTAD</t>
        </is>
      </c>
      <c r="G145" t="n">
        <v>7.4</v>
      </c>
      <c r="H145" t="n">
        <v>0</v>
      </c>
      <c r="I145" t="n">
        <v>2</v>
      </c>
      <c r="J145" t="n">
        <v>2</v>
      </c>
      <c r="K145" t="n">
        <v>0</v>
      </c>
      <c r="L145" t="n">
        <v>0</v>
      </c>
      <c r="M145" t="n">
        <v>0</v>
      </c>
      <c r="N145" t="n">
        <v>0</v>
      </c>
      <c r="O145" t="n">
        <v>2</v>
      </c>
      <c r="P145" t="n">
        <v>0</v>
      </c>
      <c r="Q145" t="n">
        <v>4</v>
      </c>
      <c r="R145" s="2" t="inlineStr">
        <is>
          <t>Blå taggsvamp
Motaggsvamp
Flagellkvastmossa
Mindre märgborre</t>
        </is>
      </c>
      <c r="S145">
        <f>HYPERLINK("https://klasma.github.io/Logging_1780/artfynd/A 41227-2023 artfynd.xlsx", "A 41227-2023")</f>
        <v/>
      </c>
      <c r="T145">
        <f>HYPERLINK("https://klasma.github.io/Logging_1780/kartor/A 41227-2023 karta.png", "A 41227-2023")</f>
        <v/>
      </c>
      <c r="V145">
        <f>HYPERLINK("https://klasma.github.io/Logging_1780/klagomål/A 41227-2023 FSC-klagomål.docx", "A 41227-2023")</f>
        <v/>
      </c>
      <c r="W145">
        <f>HYPERLINK("https://klasma.github.io/Logging_1780/klagomålsmail/A 41227-2023 FSC-klagomål mail.docx", "A 41227-2023")</f>
        <v/>
      </c>
      <c r="X145">
        <f>HYPERLINK("https://klasma.github.io/Logging_1780/tillsyn/A 41227-2023 tillsynsbegäran.docx", "A 41227-2023")</f>
        <v/>
      </c>
      <c r="Y145">
        <f>HYPERLINK("https://klasma.github.io/Logging_1780/tillsynsmail/A 41227-2023 tillsynsbegäran mail.docx", "A 41227-2023")</f>
        <v/>
      </c>
    </row>
    <row r="146" ht="15" customHeight="1">
      <c r="A146" t="inlineStr">
        <is>
          <t>A 44837-2023</t>
        </is>
      </c>
      <c r="B146" s="1" t="n">
        <v>45190</v>
      </c>
      <c r="C146" s="1" t="n">
        <v>45810</v>
      </c>
      <c r="D146" t="inlineStr">
        <is>
          <t>VÄRMLANDS LÄN</t>
        </is>
      </c>
      <c r="E146" t="inlineStr">
        <is>
          <t>KIL</t>
        </is>
      </c>
      <c r="F146" t="inlineStr">
        <is>
          <t>Bergvik skog väst AB</t>
        </is>
      </c>
      <c r="G146" t="n">
        <v>15.3</v>
      </c>
      <c r="H146" t="n">
        <v>3</v>
      </c>
      <c r="I146" t="n">
        <v>2</v>
      </c>
      <c r="J146" t="n">
        <v>1</v>
      </c>
      <c r="K146" t="n">
        <v>0</v>
      </c>
      <c r="L146" t="n">
        <v>0</v>
      </c>
      <c r="M146" t="n">
        <v>0</v>
      </c>
      <c r="N146" t="n">
        <v>0</v>
      </c>
      <c r="O146" t="n">
        <v>1</v>
      </c>
      <c r="P146" t="n">
        <v>0</v>
      </c>
      <c r="Q146" t="n">
        <v>4</v>
      </c>
      <c r="R146" s="2" t="inlineStr">
        <is>
          <t>Talltita
Grön sköldmossa
Vedticka
Blåsippa</t>
        </is>
      </c>
      <c r="S146">
        <f>HYPERLINK("https://klasma.github.io/Logging_1715/artfynd/A 44837-2023 artfynd.xlsx", "A 44837-2023")</f>
        <v/>
      </c>
      <c r="T146">
        <f>HYPERLINK("https://klasma.github.io/Logging_1715/kartor/A 44837-2023 karta.png", "A 44837-2023")</f>
        <v/>
      </c>
      <c r="V146">
        <f>HYPERLINK("https://klasma.github.io/Logging_1715/klagomål/A 44837-2023 FSC-klagomål.docx", "A 44837-2023")</f>
        <v/>
      </c>
      <c r="W146">
        <f>HYPERLINK("https://klasma.github.io/Logging_1715/klagomålsmail/A 44837-2023 FSC-klagomål mail.docx", "A 44837-2023")</f>
        <v/>
      </c>
      <c r="X146">
        <f>HYPERLINK("https://klasma.github.io/Logging_1715/tillsyn/A 44837-2023 tillsynsbegäran.docx", "A 44837-2023")</f>
        <v/>
      </c>
      <c r="Y146">
        <f>HYPERLINK("https://klasma.github.io/Logging_1715/tillsynsmail/A 44837-2023 tillsynsbegäran mail.docx", "A 44837-2023")</f>
        <v/>
      </c>
      <c r="Z146">
        <f>HYPERLINK("https://klasma.github.io/Logging_1715/fåglar/A 44837-2023 prioriterade fågelarter.docx", "A 44837-2023")</f>
        <v/>
      </c>
    </row>
    <row r="147" ht="15" customHeight="1">
      <c r="A147" t="inlineStr">
        <is>
          <t>A 55969-2023</t>
        </is>
      </c>
      <c r="B147" s="1" t="n">
        <v>45240</v>
      </c>
      <c r="C147" s="1" t="n">
        <v>45810</v>
      </c>
      <c r="D147" t="inlineStr">
        <is>
          <t>VÄRMLANDS LÄN</t>
        </is>
      </c>
      <c r="E147" t="inlineStr">
        <is>
          <t>KARLSTAD</t>
        </is>
      </c>
      <c r="G147" t="n">
        <v>12.8</v>
      </c>
      <c r="H147" t="n">
        <v>3</v>
      </c>
      <c r="I147" t="n">
        <v>0</v>
      </c>
      <c r="J147" t="n">
        <v>3</v>
      </c>
      <c r="K147" t="n">
        <v>0</v>
      </c>
      <c r="L147" t="n">
        <v>0</v>
      </c>
      <c r="M147" t="n">
        <v>0</v>
      </c>
      <c r="N147" t="n">
        <v>0</v>
      </c>
      <c r="O147" t="n">
        <v>3</v>
      </c>
      <c r="P147" t="n">
        <v>0</v>
      </c>
      <c r="Q147" t="n">
        <v>4</v>
      </c>
      <c r="R147" s="2" t="inlineStr">
        <is>
          <t>Järpe
Motaggsvamp
Spillkråka
Tjäder</t>
        </is>
      </c>
      <c r="S147">
        <f>HYPERLINK("https://klasma.github.io/Logging_1780/artfynd/A 55969-2023 artfynd.xlsx", "A 55969-2023")</f>
        <v/>
      </c>
      <c r="T147">
        <f>HYPERLINK("https://klasma.github.io/Logging_1780/kartor/A 55969-2023 karta.png", "A 55969-2023")</f>
        <v/>
      </c>
      <c r="V147">
        <f>HYPERLINK("https://klasma.github.io/Logging_1780/klagomål/A 55969-2023 FSC-klagomål.docx", "A 55969-2023")</f>
        <v/>
      </c>
      <c r="W147">
        <f>HYPERLINK("https://klasma.github.io/Logging_1780/klagomålsmail/A 55969-2023 FSC-klagomål mail.docx", "A 55969-2023")</f>
        <v/>
      </c>
      <c r="X147">
        <f>HYPERLINK("https://klasma.github.io/Logging_1780/tillsyn/A 55969-2023 tillsynsbegäran.docx", "A 55969-2023")</f>
        <v/>
      </c>
      <c r="Y147">
        <f>HYPERLINK("https://klasma.github.io/Logging_1780/tillsynsmail/A 55969-2023 tillsynsbegäran mail.docx", "A 55969-2023")</f>
        <v/>
      </c>
      <c r="Z147">
        <f>HYPERLINK("https://klasma.github.io/Logging_1780/fåglar/A 55969-2023 prioriterade fågelarter.docx", "A 55969-2023")</f>
        <v/>
      </c>
    </row>
    <row r="148" ht="15" customHeight="1">
      <c r="A148" t="inlineStr">
        <is>
          <t>A 56466-2023</t>
        </is>
      </c>
      <c r="B148" s="1" t="n">
        <v>45243</v>
      </c>
      <c r="C148" s="1" t="n">
        <v>45810</v>
      </c>
      <c r="D148" t="inlineStr">
        <is>
          <t>VÄRMLANDS LÄN</t>
        </is>
      </c>
      <c r="E148" t="inlineStr">
        <is>
          <t>EDA</t>
        </is>
      </c>
      <c r="G148" t="n">
        <v>12.8</v>
      </c>
      <c r="H148" t="n">
        <v>1</v>
      </c>
      <c r="I148" t="n">
        <v>2</v>
      </c>
      <c r="J148" t="n">
        <v>1</v>
      </c>
      <c r="K148" t="n">
        <v>1</v>
      </c>
      <c r="L148" t="n">
        <v>0</v>
      </c>
      <c r="M148" t="n">
        <v>0</v>
      </c>
      <c r="N148" t="n">
        <v>0</v>
      </c>
      <c r="O148" t="n">
        <v>2</v>
      </c>
      <c r="P148" t="n">
        <v>1</v>
      </c>
      <c r="Q148" t="n">
        <v>4</v>
      </c>
      <c r="R148" s="2" t="inlineStr">
        <is>
          <t>Knärot
Garnlav
Purpurmylia
Vedticka</t>
        </is>
      </c>
      <c r="S148">
        <f>HYPERLINK("https://klasma.github.io/Logging_1730/artfynd/A 56466-2023 artfynd.xlsx", "A 56466-2023")</f>
        <v/>
      </c>
      <c r="T148">
        <f>HYPERLINK("https://klasma.github.io/Logging_1730/kartor/A 56466-2023 karta.png", "A 56466-2023")</f>
        <v/>
      </c>
      <c r="U148">
        <f>HYPERLINK("https://klasma.github.io/Logging_1730/knärot/A 56466-2023 karta knärot.png", "A 56466-2023")</f>
        <v/>
      </c>
      <c r="V148">
        <f>HYPERLINK("https://klasma.github.io/Logging_1730/klagomål/A 56466-2023 FSC-klagomål.docx", "A 56466-2023")</f>
        <v/>
      </c>
      <c r="W148">
        <f>HYPERLINK("https://klasma.github.io/Logging_1730/klagomålsmail/A 56466-2023 FSC-klagomål mail.docx", "A 56466-2023")</f>
        <v/>
      </c>
      <c r="X148">
        <f>HYPERLINK("https://klasma.github.io/Logging_1730/tillsyn/A 56466-2023 tillsynsbegäran.docx", "A 56466-2023")</f>
        <v/>
      </c>
      <c r="Y148">
        <f>HYPERLINK("https://klasma.github.io/Logging_1730/tillsynsmail/A 56466-2023 tillsynsbegäran mail.docx", "A 56466-2023")</f>
        <v/>
      </c>
    </row>
    <row r="149" ht="15" customHeight="1">
      <c r="A149" t="inlineStr">
        <is>
          <t>A 62900-2023</t>
        </is>
      </c>
      <c r="B149" s="1" t="n">
        <v>45272</v>
      </c>
      <c r="C149" s="1" t="n">
        <v>45810</v>
      </c>
      <c r="D149" t="inlineStr">
        <is>
          <t>VÄRMLANDS LÄN</t>
        </is>
      </c>
      <c r="E149" t="inlineStr">
        <is>
          <t>ARVIKA</t>
        </is>
      </c>
      <c r="G149" t="n">
        <v>12.1</v>
      </c>
      <c r="H149" t="n">
        <v>2</v>
      </c>
      <c r="I149" t="n">
        <v>0</v>
      </c>
      <c r="J149" t="n">
        <v>2</v>
      </c>
      <c r="K149" t="n">
        <v>2</v>
      </c>
      <c r="L149" t="n">
        <v>0</v>
      </c>
      <c r="M149" t="n">
        <v>0</v>
      </c>
      <c r="N149" t="n">
        <v>0</v>
      </c>
      <c r="O149" t="n">
        <v>4</v>
      </c>
      <c r="P149" t="n">
        <v>2</v>
      </c>
      <c r="Q149" t="n">
        <v>4</v>
      </c>
      <c r="R149" s="2" t="inlineStr">
        <is>
          <t>Knärot
Rynkskinn
Motaggsvamp
Spillkråka</t>
        </is>
      </c>
      <c r="S149">
        <f>HYPERLINK("https://klasma.github.io/Logging_1784/artfynd/A 62900-2023 artfynd.xlsx", "A 62900-2023")</f>
        <v/>
      </c>
      <c r="T149">
        <f>HYPERLINK("https://klasma.github.io/Logging_1784/kartor/A 62900-2023 karta.png", "A 62900-2023")</f>
        <v/>
      </c>
      <c r="U149">
        <f>HYPERLINK("https://klasma.github.io/Logging_1784/knärot/A 62900-2023 karta knärot.png", "A 62900-2023")</f>
        <v/>
      </c>
      <c r="V149">
        <f>HYPERLINK("https://klasma.github.io/Logging_1784/klagomål/A 62900-2023 FSC-klagomål.docx", "A 62900-2023")</f>
        <v/>
      </c>
      <c r="W149">
        <f>HYPERLINK("https://klasma.github.io/Logging_1784/klagomålsmail/A 62900-2023 FSC-klagomål mail.docx", "A 62900-2023")</f>
        <v/>
      </c>
      <c r="X149">
        <f>HYPERLINK("https://klasma.github.io/Logging_1784/tillsyn/A 62900-2023 tillsynsbegäran.docx", "A 62900-2023")</f>
        <v/>
      </c>
      <c r="Y149">
        <f>HYPERLINK("https://klasma.github.io/Logging_1784/tillsynsmail/A 62900-2023 tillsynsbegäran mail.docx", "A 62900-2023")</f>
        <v/>
      </c>
      <c r="Z149">
        <f>HYPERLINK("https://klasma.github.io/Logging_1784/fåglar/A 62900-2023 prioriterade fågelarter.docx", "A 62900-2023")</f>
        <v/>
      </c>
    </row>
    <row r="150" ht="15" customHeight="1">
      <c r="A150" t="inlineStr">
        <is>
          <t>A 65201-2023</t>
        </is>
      </c>
      <c r="B150" s="1" t="n">
        <v>45289</v>
      </c>
      <c r="C150" s="1" t="n">
        <v>45810</v>
      </c>
      <c r="D150" t="inlineStr">
        <is>
          <t>VÄRMLANDS LÄN</t>
        </is>
      </c>
      <c r="E150" t="inlineStr">
        <is>
          <t>FILIPSTAD</t>
        </is>
      </c>
      <c r="F150" t="inlineStr">
        <is>
          <t>Bergvik skog väst AB</t>
        </is>
      </c>
      <c r="G150" t="n">
        <v>7.5</v>
      </c>
      <c r="H150" t="n">
        <v>2</v>
      </c>
      <c r="I150" t="n">
        <v>0</v>
      </c>
      <c r="J150" t="n">
        <v>2</v>
      </c>
      <c r="K150" t="n">
        <v>1</v>
      </c>
      <c r="L150" t="n">
        <v>0</v>
      </c>
      <c r="M150" t="n">
        <v>0</v>
      </c>
      <c r="N150" t="n">
        <v>0</v>
      </c>
      <c r="O150" t="n">
        <v>3</v>
      </c>
      <c r="P150" t="n">
        <v>1</v>
      </c>
      <c r="Q150" t="n">
        <v>4</v>
      </c>
      <c r="R150" s="2" t="inlineStr">
        <is>
          <t>Knärot
Brunpudrad nållav
Vedtrappmossa
Blåsippa</t>
        </is>
      </c>
      <c r="S150">
        <f>HYPERLINK("https://klasma.github.io/Logging_1782/artfynd/A 65201-2023 artfynd.xlsx", "A 65201-2023")</f>
        <v/>
      </c>
      <c r="T150">
        <f>HYPERLINK("https://klasma.github.io/Logging_1782/kartor/A 65201-2023 karta.png", "A 65201-2023")</f>
        <v/>
      </c>
      <c r="U150">
        <f>HYPERLINK("https://klasma.github.io/Logging_1782/knärot/A 65201-2023 karta knärot.png", "A 65201-2023")</f>
        <v/>
      </c>
      <c r="V150">
        <f>HYPERLINK("https://klasma.github.io/Logging_1782/klagomål/A 65201-2023 FSC-klagomål.docx", "A 65201-2023")</f>
        <v/>
      </c>
      <c r="W150">
        <f>HYPERLINK("https://klasma.github.io/Logging_1782/klagomålsmail/A 65201-2023 FSC-klagomål mail.docx", "A 65201-2023")</f>
        <v/>
      </c>
      <c r="X150">
        <f>HYPERLINK("https://klasma.github.io/Logging_1782/tillsyn/A 65201-2023 tillsynsbegäran.docx", "A 65201-2023")</f>
        <v/>
      </c>
      <c r="Y150">
        <f>HYPERLINK("https://klasma.github.io/Logging_1782/tillsynsmail/A 65201-2023 tillsynsbegäran mail.docx", "A 65201-2023")</f>
        <v/>
      </c>
    </row>
    <row r="151" ht="15" customHeight="1">
      <c r="A151" t="inlineStr">
        <is>
          <t>A 1111-2024</t>
        </is>
      </c>
      <c r="B151" s="1" t="n">
        <v>45302</v>
      </c>
      <c r="C151" s="1" t="n">
        <v>45810</v>
      </c>
      <c r="D151" t="inlineStr">
        <is>
          <t>VÄRMLANDS LÄN</t>
        </is>
      </c>
      <c r="E151" t="inlineStr">
        <is>
          <t>ARVIKA</t>
        </is>
      </c>
      <c r="F151" t="inlineStr">
        <is>
          <t>Kyrkan</t>
        </is>
      </c>
      <c r="G151" t="n">
        <v>2.4</v>
      </c>
      <c r="H151" t="n">
        <v>0</v>
      </c>
      <c r="I151" t="n">
        <v>1</v>
      </c>
      <c r="J151" t="n">
        <v>3</v>
      </c>
      <c r="K151" t="n">
        <v>0</v>
      </c>
      <c r="L151" t="n">
        <v>0</v>
      </c>
      <c r="M151" t="n">
        <v>0</v>
      </c>
      <c r="N151" t="n">
        <v>0</v>
      </c>
      <c r="O151" t="n">
        <v>3</v>
      </c>
      <c r="P151" t="n">
        <v>0</v>
      </c>
      <c r="Q151" t="n">
        <v>4</v>
      </c>
      <c r="R151" s="2" t="inlineStr">
        <is>
          <t>Kandelabersvamp
Lunglav
Stjärntagging
Vedticka</t>
        </is>
      </c>
      <c r="S151">
        <f>HYPERLINK("https://klasma.github.io/Logging_1784/artfynd/A 1111-2024 artfynd.xlsx", "A 1111-2024")</f>
        <v/>
      </c>
      <c r="T151">
        <f>HYPERLINK("https://klasma.github.io/Logging_1784/kartor/A 1111-2024 karta.png", "A 1111-2024")</f>
        <v/>
      </c>
      <c r="V151">
        <f>HYPERLINK("https://klasma.github.io/Logging_1784/klagomål/A 1111-2024 FSC-klagomål.docx", "A 1111-2024")</f>
        <v/>
      </c>
      <c r="W151">
        <f>HYPERLINK("https://klasma.github.io/Logging_1784/klagomålsmail/A 1111-2024 FSC-klagomål mail.docx", "A 1111-2024")</f>
        <v/>
      </c>
      <c r="X151">
        <f>HYPERLINK("https://klasma.github.io/Logging_1784/tillsyn/A 1111-2024 tillsynsbegäran.docx", "A 1111-2024")</f>
        <v/>
      </c>
      <c r="Y151">
        <f>HYPERLINK("https://klasma.github.io/Logging_1784/tillsynsmail/A 1111-2024 tillsynsbegäran mail.docx", "A 1111-2024")</f>
        <v/>
      </c>
    </row>
    <row r="152" ht="15" customHeight="1">
      <c r="A152" t="inlineStr">
        <is>
          <t>A 11156-2024</t>
        </is>
      </c>
      <c r="B152" s="1" t="n">
        <v>45371</v>
      </c>
      <c r="C152" s="1" t="n">
        <v>45810</v>
      </c>
      <c r="D152" t="inlineStr">
        <is>
          <t>VÄRMLANDS LÄN</t>
        </is>
      </c>
      <c r="E152" t="inlineStr">
        <is>
          <t>ÅRJÄNG</t>
        </is>
      </c>
      <c r="G152" t="n">
        <v>7.4</v>
      </c>
      <c r="H152" t="n">
        <v>3</v>
      </c>
      <c r="I152" t="n">
        <v>1</v>
      </c>
      <c r="J152" t="n">
        <v>0</v>
      </c>
      <c r="K152" t="n">
        <v>1</v>
      </c>
      <c r="L152" t="n">
        <v>0</v>
      </c>
      <c r="M152" t="n">
        <v>0</v>
      </c>
      <c r="N152" t="n">
        <v>0</v>
      </c>
      <c r="O152" t="n">
        <v>1</v>
      </c>
      <c r="P152" t="n">
        <v>1</v>
      </c>
      <c r="Q152" t="n">
        <v>4</v>
      </c>
      <c r="R152" s="2" t="inlineStr">
        <is>
          <t>Knärot
Vedticka
Mattlummer
Revlummer</t>
        </is>
      </c>
      <c r="S152">
        <f>HYPERLINK("https://klasma.github.io/Logging_1765/artfynd/A 11156-2024 artfynd.xlsx", "A 11156-2024")</f>
        <v/>
      </c>
      <c r="T152">
        <f>HYPERLINK("https://klasma.github.io/Logging_1765/kartor/A 11156-2024 karta.png", "A 11156-2024")</f>
        <v/>
      </c>
      <c r="U152">
        <f>HYPERLINK("https://klasma.github.io/Logging_1765/knärot/A 11156-2024 karta knärot.png", "A 11156-2024")</f>
        <v/>
      </c>
      <c r="V152">
        <f>HYPERLINK("https://klasma.github.io/Logging_1765/klagomål/A 11156-2024 FSC-klagomål.docx", "A 11156-2024")</f>
        <v/>
      </c>
      <c r="W152">
        <f>HYPERLINK("https://klasma.github.io/Logging_1765/klagomålsmail/A 11156-2024 FSC-klagomål mail.docx", "A 11156-2024")</f>
        <v/>
      </c>
      <c r="X152">
        <f>HYPERLINK("https://klasma.github.io/Logging_1765/tillsyn/A 11156-2024 tillsynsbegäran.docx", "A 11156-2024")</f>
        <v/>
      </c>
      <c r="Y152">
        <f>HYPERLINK("https://klasma.github.io/Logging_1765/tillsynsmail/A 11156-2024 tillsynsbegäran mail.docx", "A 11156-2024")</f>
        <v/>
      </c>
    </row>
    <row r="153" ht="15" customHeight="1">
      <c r="A153" t="inlineStr">
        <is>
          <t>A 13716-2024</t>
        </is>
      </c>
      <c r="B153" s="1" t="n">
        <v>45390</v>
      </c>
      <c r="C153" s="1" t="n">
        <v>45810</v>
      </c>
      <c r="D153" t="inlineStr">
        <is>
          <t>VÄRMLANDS LÄN</t>
        </is>
      </c>
      <c r="E153" t="inlineStr">
        <is>
          <t>SÄFFLE</t>
        </is>
      </c>
      <c r="G153" t="n">
        <v>7.4</v>
      </c>
      <c r="H153" t="n">
        <v>1</v>
      </c>
      <c r="I153" t="n">
        <v>0</v>
      </c>
      <c r="J153" t="n">
        <v>1</v>
      </c>
      <c r="K153" t="n">
        <v>0</v>
      </c>
      <c r="L153" t="n">
        <v>1</v>
      </c>
      <c r="M153" t="n">
        <v>1</v>
      </c>
      <c r="N153" t="n">
        <v>0</v>
      </c>
      <c r="O153" t="n">
        <v>3</v>
      </c>
      <c r="P153" t="n">
        <v>2</v>
      </c>
      <c r="Q153" t="n">
        <v>4</v>
      </c>
      <c r="R153" s="2" t="inlineStr">
        <is>
          <t>Skogsalm
Ask
Skogsklocka
Blåsippa</t>
        </is>
      </c>
      <c r="S153">
        <f>HYPERLINK("https://klasma.github.io/Logging_1785/artfynd/A 13716-2024 artfynd.xlsx", "A 13716-2024")</f>
        <v/>
      </c>
      <c r="T153">
        <f>HYPERLINK("https://klasma.github.io/Logging_1785/kartor/A 13716-2024 karta.png", "A 13716-2024")</f>
        <v/>
      </c>
      <c r="V153">
        <f>HYPERLINK("https://klasma.github.io/Logging_1785/klagomål/A 13716-2024 FSC-klagomål.docx", "A 13716-2024")</f>
        <v/>
      </c>
      <c r="W153">
        <f>HYPERLINK("https://klasma.github.io/Logging_1785/klagomålsmail/A 13716-2024 FSC-klagomål mail.docx", "A 13716-2024")</f>
        <v/>
      </c>
      <c r="X153">
        <f>HYPERLINK("https://klasma.github.io/Logging_1785/tillsyn/A 13716-2024 tillsynsbegäran.docx", "A 13716-2024")</f>
        <v/>
      </c>
      <c r="Y153">
        <f>HYPERLINK("https://klasma.github.io/Logging_1785/tillsynsmail/A 13716-2024 tillsynsbegäran mail.docx", "A 13716-2024")</f>
        <v/>
      </c>
    </row>
    <row r="154" ht="15" customHeight="1">
      <c r="A154" t="inlineStr">
        <is>
          <t>A 25899-2024</t>
        </is>
      </c>
      <c r="B154" s="1" t="n">
        <v>45467</v>
      </c>
      <c r="C154" s="1" t="n">
        <v>45810</v>
      </c>
      <c r="D154" t="inlineStr">
        <is>
          <t>VÄRMLANDS LÄN</t>
        </is>
      </c>
      <c r="E154" t="inlineStr">
        <is>
          <t>TORSBY</t>
        </is>
      </c>
      <c r="G154" t="n">
        <v>28.3</v>
      </c>
      <c r="H154" t="n">
        <v>1</v>
      </c>
      <c r="I154" t="n">
        <v>1</v>
      </c>
      <c r="J154" t="n">
        <v>2</v>
      </c>
      <c r="K154" t="n">
        <v>0</v>
      </c>
      <c r="L154" t="n">
        <v>0</v>
      </c>
      <c r="M154" t="n">
        <v>0</v>
      </c>
      <c r="N154" t="n">
        <v>0</v>
      </c>
      <c r="O154" t="n">
        <v>2</v>
      </c>
      <c r="P154" t="n">
        <v>0</v>
      </c>
      <c r="Q154" t="n">
        <v>4</v>
      </c>
      <c r="R154" s="2" t="inlineStr">
        <is>
          <t>Garnlav
Lunglav
Korallblylav
Tjäder</t>
        </is>
      </c>
      <c r="S154">
        <f>HYPERLINK("https://klasma.github.io/Logging_1737/artfynd/A 25899-2024 artfynd.xlsx", "A 25899-2024")</f>
        <v/>
      </c>
      <c r="T154">
        <f>HYPERLINK("https://klasma.github.io/Logging_1737/kartor/A 25899-2024 karta.png", "A 25899-2024")</f>
        <v/>
      </c>
      <c r="V154">
        <f>HYPERLINK("https://klasma.github.io/Logging_1737/klagomål/A 25899-2024 FSC-klagomål.docx", "A 25899-2024")</f>
        <v/>
      </c>
      <c r="W154">
        <f>HYPERLINK("https://klasma.github.io/Logging_1737/klagomålsmail/A 25899-2024 FSC-klagomål mail.docx", "A 25899-2024")</f>
        <v/>
      </c>
      <c r="X154">
        <f>HYPERLINK("https://klasma.github.io/Logging_1737/tillsyn/A 25899-2024 tillsynsbegäran.docx", "A 25899-2024")</f>
        <v/>
      </c>
      <c r="Y154">
        <f>HYPERLINK("https://klasma.github.io/Logging_1737/tillsynsmail/A 25899-2024 tillsynsbegäran mail.docx", "A 25899-2024")</f>
        <v/>
      </c>
      <c r="Z154">
        <f>HYPERLINK("https://klasma.github.io/Logging_1737/fåglar/A 25899-2024 prioriterade fågelarter.docx", "A 25899-2024")</f>
        <v/>
      </c>
    </row>
    <row r="155" ht="15" customHeight="1">
      <c r="A155" t="inlineStr">
        <is>
          <t>A 43385-2024</t>
        </is>
      </c>
      <c r="B155" s="1" t="n">
        <v>45568</v>
      </c>
      <c r="C155" s="1" t="n">
        <v>45810</v>
      </c>
      <c r="D155" t="inlineStr">
        <is>
          <t>VÄRMLANDS LÄN</t>
        </is>
      </c>
      <c r="E155" t="inlineStr">
        <is>
          <t>TORSBY</t>
        </is>
      </c>
      <c r="G155" t="n">
        <v>3.7</v>
      </c>
      <c r="H155" t="n">
        <v>0</v>
      </c>
      <c r="I155" t="n">
        <v>1</v>
      </c>
      <c r="J155" t="n">
        <v>3</v>
      </c>
      <c r="K155" t="n">
        <v>0</v>
      </c>
      <c r="L155" t="n">
        <v>0</v>
      </c>
      <c r="M155" t="n">
        <v>0</v>
      </c>
      <c r="N155" t="n">
        <v>0</v>
      </c>
      <c r="O155" t="n">
        <v>3</v>
      </c>
      <c r="P155" t="n">
        <v>0</v>
      </c>
      <c r="Q155" t="n">
        <v>4</v>
      </c>
      <c r="R155" s="2" t="inlineStr">
        <is>
          <t>Gammelgransskål
Garnlav
Vedskivlav
Dropptaggsvamp</t>
        </is>
      </c>
      <c r="S155">
        <f>HYPERLINK("https://klasma.github.io/Logging_1737/artfynd/A 43385-2024 artfynd.xlsx", "A 43385-2024")</f>
        <v/>
      </c>
      <c r="T155">
        <f>HYPERLINK("https://klasma.github.io/Logging_1737/kartor/A 43385-2024 karta.png", "A 43385-2024")</f>
        <v/>
      </c>
      <c r="V155">
        <f>HYPERLINK("https://klasma.github.io/Logging_1737/klagomål/A 43385-2024 FSC-klagomål.docx", "A 43385-2024")</f>
        <v/>
      </c>
      <c r="W155">
        <f>HYPERLINK("https://klasma.github.io/Logging_1737/klagomålsmail/A 43385-2024 FSC-klagomål mail.docx", "A 43385-2024")</f>
        <v/>
      </c>
      <c r="X155">
        <f>HYPERLINK("https://klasma.github.io/Logging_1737/tillsyn/A 43385-2024 tillsynsbegäran.docx", "A 43385-2024")</f>
        <v/>
      </c>
      <c r="Y155">
        <f>HYPERLINK("https://klasma.github.io/Logging_1737/tillsynsmail/A 43385-2024 tillsynsbegäran mail.docx", "A 43385-2024")</f>
        <v/>
      </c>
    </row>
    <row r="156" ht="15" customHeight="1">
      <c r="A156" t="inlineStr">
        <is>
          <t>A 50668-2024</t>
        </is>
      </c>
      <c r="B156" s="1" t="n">
        <v>45601</v>
      </c>
      <c r="C156" s="1" t="n">
        <v>45810</v>
      </c>
      <c r="D156" t="inlineStr">
        <is>
          <t>VÄRMLANDS LÄN</t>
        </is>
      </c>
      <c r="E156" t="inlineStr">
        <is>
          <t>ARVIKA</t>
        </is>
      </c>
      <c r="G156" t="n">
        <v>15.7</v>
      </c>
      <c r="H156" t="n">
        <v>2</v>
      </c>
      <c r="I156" t="n">
        <v>2</v>
      </c>
      <c r="J156" t="n">
        <v>2</v>
      </c>
      <c r="K156" t="n">
        <v>0</v>
      </c>
      <c r="L156" t="n">
        <v>0</v>
      </c>
      <c r="M156" t="n">
        <v>0</v>
      </c>
      <c r="N156" t="n">
        <v>0</v>
      </c>
      <c r="O156" t="n">
        <v>2</v>
      </c>
      <c r="P156" t="n">
        <v>0</v>
      </c>
      <c r="Q156" t="n">
        <v>4</v>
      </c>
      <c r="R156" s="2" t="inlineStr">
        <is>
          <t>Motaggsvamp
Spillkråka
Blodticka
Grön sköldmossa</t>
        </is>
      </c>
      <c r="S156">
        <f>HYPERLINK("https://klasma.github.io/Logging_1784/artfynd/A 50668-2024 artfynd.xlsx", "A 50668-2024")</f>
        <v/>
      </c>
      <c r="T156">
        <f>HYPERLINK("https://klasma.github.io/Logging_1784/kartor/A 50668-2024 karta.png", "A 50668-2024")</f>
        <v/>
      </c>
      <c r="V156">
        <f>HYPERLINK("https://klasma.github.io/Logging_1784/klagomål/A 50668-2024 FSC-klagomål.docx", "A 50668-2024")</f>
        <v/>
      </c>
      <c r="W156">
        <f>HYPERLINK("https://klasma.github.io/Logging_1784/klagomålsmail/A 50668-2024 FSC-klagomål mail.docx", "A 50668-2024")</f>
        <v/>
      </c>
      <c r="X156">
        <f>HYPERLINK("https://klasma.github.io/Logging_1784/tillsyn/A 50668-2024 tillsynsbegäran.docx", "A 50668-2024")</f>
        <v/>
      </c>
      <c r="Y156">
        <f>HYPERLINK("https://klasma.github.io/Logging_1784/tillsynsmail/A 50668-2024 tillsynsbegäran mail.docx", "A 50668-2024")</f>
        <v/>
      </c>
      <c r="Z156">
        <f>HYPERLINK("https://klasma.github.io/Logging_1784/fåglar/A 50668-2024 prioriterade fågelarter.docx", "A 50668-2024")</f>
        <v/>
      </c>
    </row>
    <row r="157" ht="15" customHeight="1">
      <c r="A157" t="inlineStr">
        <is>
          <t>A 53242-2024</t>
        </is>
      </c>
      <c r="B157" s="1" t="n">
        <v>45613</v>
      </c>
      <c r="C157" s="1" t="n">
        <v>45810</v>
      </c>
      <c r="D157" t="inlineStr">
        <is>
          <t>VÄRMLANDS LÄN</t>
        </is>
      </c>
      <c r="E157" t="inlineStr">
        <is>
          <t>ARVIKA</t>
        </is>
      </c>
      <c r="G157" t="n">
        <v>2.4</v>
      </c>
      <c r="H157" t="n">
        <v>0</v>
      </c>
      <c r="I157" t="n">
        <v>4</v>
      </c>
      <c r="J157" t="n">
        <v>0</v>
      </c>
      <c r="K157" t="n">
        <v>0</v>
      </c>
      <c r="L157" t="n">
        <v>0</v>
      </c>
      <c r="M157" t="n">
        <v>0</v>
      </c>
      <c r="N157" t="n">
        <v>0</v>
      </c>
      <c r="O157" t="n">
        <v>0</v>
      </c>
      <c r="P157" t="n">
        <v>0</v>
      </c>
      <c r="Q157" t="n">
        <v>4</v>
      </c>
      <c r="R157" s="2" t="inlineStr">
        <is>
          <t>Blodticka
Bårdlav
Stuplav
Vedticka</t>
        </is>
      </c>
      <c r="S157">
        <f>HYPERLINK("https://klasma.github.io/Logging_1784/artfynd/A 53242-2024 artfynd.xlsx", "A 53242-2024")</f>
        <v/>
      </c>
      <c r="T157">
        <f>HYPERLINK("https://klasma.github.io/Logging_1784/kartor/A 53242-2024 karta.png", "A 53242-2024")</f>
        <v/>
      </c>
      <c r="V157">
        <f>HYPERLINK("https://klasma.github.io/Logging_1784/klagomål/A 53242-2024 FSC-klagomål.docx", "A 53242-2024")</f>
        <v/>
      </c>
      <c r="W157">
        <f>HYPERLINK("https://klasma.github.io/Logging_1784/klagomålsmail/A 53242-2024 FSC-klagomål mail.docx", "A 53242-2024")</f>
        <v/>
      </c>
      <c r="X157">
        <f>HYPERLINK("https://klasma.github.io/Logging_1784/tillsyn/A 53242-2024 tillsynsbegäran.docx", "A 53242-2024")</f>
        <v/>
      </c>
      <c r="Y157">
        <f>HYPERLINK("https://klasma.github.io/Logging_1784/tillsynsmail/A 53242-2024 tillsynsbegäran mail.docx", "A 53242-2024")</f>
        <v/>
      </c>
    </row>
    <row r="158" ht="15" customHeight="1">
      <c r="A158" t="inlineStr">
        <is>
          <t>A 61205-2024</t>
        </is>
      </c>
      <c r="B158" s="1" t="n">
        <v>45645</v>
      </c>
      <c r="C158" s="1" t="n">
        <v>45810</v>
      </c>
      <c r="D158" t="inlineStr">
        <is>
          <t>VÄRMLANDS LÄN</t>
        </is>
      </c>
      <c r="E158" t="inlineStr">
        <is>
          <t>HAGFORS</t>
        </is>
      </c>
      <c r="F158" t="inlineStr">
        <is>
          <t>Bergvik skog väst AB</t>
        </is>
      </c>
      <c r="G158" t="n">
        <v>17.7</v>
      </c>
      <c r="H158" t="n">
        <v>0</v>
      </c>
      <c r="I158" t="n">
        <v>4</v>
      </c>
      <c r="J158" t="n">
        <v>0</v>
      </c>
      <c r="K158" t="n">
        <v>0</v>
      </c>
      <c r="L158" t="n">
        <v>0</v>
      </c>
      <c r="M158" t="n">
        <v>0</v>
      </c>
      <c r="N158" t="n">
        <v>0</v>
      </c>
      <c r="O158" t="n">
        <v>0</v>
      </c>
      <c r="P158" t="n">
        <v>0</v>
      </c>
      <c r="Q158" t="n">
        <v>4</v>
      </c>
      <c r="R158" s="2" t="inlineStr">
        <is>
          <t>Dvärghäxört
Tibast
Underviol
Vårärt</t>
        </is>
      </c>
      <c r="S158">
        <f>HYPERLINK("https://klasma.github.io/Logging_1783/artfynd/A 61205-2024 artfynd.xlsx", "A 61205-2024")</f>
        <v/>
      </c>
      <c r="T158">
        <f>HYPERLINK("https://klasma.github.io/Logging_1783/kartor/A 61205-2024 karta.png", "A 61205-2024")</f>
        <v/>
      </c>
      <c r="V158">
        <f>HYPERLINK("https://klasma.github.io/Logging_1783/klagomål/A 61205-2024 FSC-klagomål.docx", "A 61205-2024")</f>
        <v/>
      </c>
      <c r="W158">
        <f>HYPERLINK("https://klasma.github.io/Logging_1783/klagomålsmail/A 61205-2024 FSC-klagomål mail.docx", "A 61205-2024")</f>
        <v/>
      </c>
      <c r="X158">
        <f>HYPERLINK("https://klasma.github.io/Logging_1783/tillsyn/A 61205-2024 tillsynsbegäran.docx", "A 61205-2024")</f>
        <v/>
      </c>
      <c r="Y158">
        <f>HYPERLINK("https://klasma.github.io/Logging_1783/tillsynsmail/A 61205-2024 tillsynsbegäran mail.docx", "A 61205-2024")</f>
        <v/>
      </c>
    </row>
    <row r="159" ht="15" customHeight="1">
      <c r="A159" t="inlineStr">
        <is>
          <t>A 61745-2024</t>
        </is>
      </c>
      <c r="B159" s="1" t="n">
        <v>45649</v>
      </c>
      <c r="C159" s="1" t="n">
        <v>45810</v>
      </c>
      <c r="D159" t="inlineStr">
        <is>
          <t>VÄRMLANDS LÄN</t>
        </is>
      </c>
      <c r="E159" t="inlineStr">
        <is>
          <t>KRISTINEHAMN</t>
        </is>
      </c>
      <c r="G159" t="n">
        <v>6.3</v>
      </c>
      <c r="H159" t="n">
        <v>3</v>
      </c>
      <c r="I159" t="n">
        <v>1</v>
      </c>
      <c r="J159" t="n">
        <v>1</v>
      </c>
      <c r="K159" t="n">
        <v>0</v>
      </c>
      <c r="L159" t="n">
        <v>0</v>
      </c>
      <c r="M159" t="n">
        <v>0</v>
      </c>
      <c r="N159" t="n">
        <v>0</v>
      </c>
      <c r="O159" t="n">
        <v>1</v>
      </c>
      <c r="P159" t="n">
        <v>0</v>
      </c>
      <c r="Q159" t="n">
        <v>4</v>
      </c>
      <c r="R159" s="2" t="inlineStr">
        <is>
          <t>Talltita
Kamjordstjärna
Fläcknycklar
Blåsippa</t>
        </is>
      </c>
      <c r="S159">
        <f>HYPERLINK("https://klasma.github.io/Logging_1781/artfynd/A 61745-2024 artfynd.xlsx", "A 61745-2024")</f>
        <v/>
      </c>
      <c r="T159">
        <f>HYPERLINK("https://klasma.github.io/Logging_1781/kartor/A 61745-2024 karta.png", "A 61745-2024")</f>
        <v/>
      </c>
      <c r="V159">
        <f>HYPERLINK("https://klasma.github.io/Logging_1781/klagomål/A 61745-2024 FSC-klagomål.docx", "A 61745-2024")</f>
        <v/>
      </c>
      <c r="W159">
        <f>HYPERLINK("https://klasma.github.io/Logging_1781/klagomålsmail/A 61745-2024 FSC-klagomål mail.docx", "A 61745-2024")</f>
        <v/>
      </c>
      <c r="X159">
        <f>HYPERLINK("https://klasma.github.io/Logging_1781/tillsyn/A 61745-2024 tillsynsbegäran.docx", "A 61745-2024")</f>
        <v/>
      </c>
      <c r="Y159">
        <f>HYPERLINK("https://klasma.github.io/Logging_1781/tillsynsmail/A 61745-2024 tillsynsbegäran mail.docx", "A 61745-2024")</f>
        <v/>
      </c>
      <c r="Z159">
        <f>HYPERLINK("https://klasma.github.io/Logging_1781/fåglar/A 61745-2024 prioriterade fågelarter.docx", "A 61745-2024")</f>
        <v/>
      </c>
    </row>
    <row r="160" ht="15" customHeight="1">
      <c r="A160" t="inlineStr">
        <is>
          <t>A 2938-2025</t>
        </is>
      </c>
      <c r="B160" s="1" t="n">
        <v>45678</v>
      </c>
      <c r="C160" s="1" t="n">
        <v>45810</v>
      </c>
      <c r="D160" t="inlineStr">
        <is>
          <t>VÄRMLANDS LÄN</t>
        </is>
      </c>
      <c r="E160" t="inlineStr">
        <is>
          <t>TORSBY</t>
        </is>
      </c>
      <c r="G160" t="n">
        <v>2</v>
      </c>
      <c r="H160" t="n">
        <v>2</v>
      </c>
      <c r="I160" t="n">
        <v>0</v>
      </c>
      <c r="J160" t="n">
        <v>4</v>
      </c>
      <c r="K160" t="n">
        <v>0</v>
      </c>
      <c r="L160" t="n">
        <v>0</v>
      </c>
      <c r="M160" t="n">
        <v>0</v>
      </c>
      <c r="N160" t="n">
        <v>0</v>
      </c>
      <c r="O160" t="n">
        <v>4</v>
      </c>
      <c r="P160" t="n">
        <v>0</v>
      </c>
      <c r="Q160" t="n">
        <v>4</v>
      </c>
      <c r="R160" s="2" t="inlineStr">
        <is>
          <t>Gammelgransskål
Garnlav
Talltita
Tretåig hackspett</t>
        </is>
      </c>
      <c r="S160">
        <f>HYPERLINK("https://klasma.github.io/Logging_1737/artfynd/A 2938-2025 artfynd.xlsx", "A 2938-2025")</f>
        <v/>
      </c>
      <c r="T160">
        <f>HYPERLINK("https://klasma.github.io/Logging_1737/kartor/A 2938-2025 karta.png", "A 2938-2025")</f>
        <v/>
      </c>
      <c r="V160">
        <f>HYPERLINK("https://klasma.github.io/Logging_1737/klagomål/A 2938-2025 FSC-klagomål.docx", "A 2938-2025")</f>
        <v/>
      </c>
      <c r="W160">
        <f>HYPERLINK("https://klasma.github.io/Logging_1737/klagomålsmail/A 2938-2025 FSC-klagomål mail.docx", "A 2938-2025")</f>
        <v/>
      </c>
      <c r="X160">
        <f>HYPERLINK("https://klasma.github.io/Logging_1737/tillsyn/A 2938-2025 tillsynsbegäran.docx", "A 2938-2025")</f>
        <v/>
      </c>
      <c r="Y160">
        <f>HYPERLINK("https://klasma.github.io/Logging_1737/tillsynsmail/A 2938-2025 tillsynsbegäran mail.docx", "A 2938-2025")</f>
        <v/>
      </c>
      <c r="Z160">
        <f>HYPERLINK("https://klasma.github.io/Logging_1737/fåglar/A 2938-2025 prioriterade fågelarter.docx", "A 2938-2025")</f>
        <v/>
      </c>
    </row>
    <row r="161" ht="15" customHeight="1">
      <c r="A161" t="inlineStr">
        <is>
          <t>A 7349-2025</t>
        </is>
      </c>
      <c r="B161" s="1" t="n">
        <v>45703</v>
      </c>
      <c r="C161" s="1" t="n">
        <v>45810</v>
      </c>
      <c r="D161" t="inlineStr">
        <is>
          <t>VÄRMLANDS LÄN</t>
        </is>
      </c>
      <c r="E161" t="inlineStr">
        <is>
          <t>ARVIKA</t>
        </is>
      </c>
      <c r="G161" t="n">
        <v>5.7</v>
      </c>
      <c r="H161" t="n">
        <v>4</v>
      </c>
      <c r="I161" t="n">
        <v>0</v>
      </c>
      <c r="J161" t="n">
        <v>3</v>
      </c>
      <c r="K161" t="n">
        <v>0</v>
      </c>
      <c r="L161" t="n">
        <v>0</v>
      </c>
      <c r="M161" t="n">
        <v>0</v>
      </c>
      <c r="N161" t="n">
        <v>0</v>
      </c>
      <c r="O161" t="n">
        <v>3</v>
      </c>
      <c r="P161" t="n">
        <v>0</v>
      </c>
      <c r="Q161" t="n">
        <v>4</v>
      </c>
      <c r="R161" s="2" t="inlineStr">
        <is>
          <t>Spillkråka
Talltita
Tretåig hackspett
Orre</t>
        </is>
      </c>
      <c r="S161">
        <f>HYPERLINK("https://klasma.github.io/Logging_1784/artfynd/A 7349-2025 artfynd.xlsx", "A 7349-2025")</f>
        <v/>
      </c>
      <c r="T161">
        <f>HYPERLINK("https://klasma.github.io/Logging_1784/kartor/A 7349-2025 karta.png", "A 7349-2025")</f>
        <v/>
      </c>
      <c r="V161">
        <f>HYPERLINK("https://klasma.github.io/Logging_1784/klagomål/A 7349-2025 FSC-klagomål.docx", "A 7349-2025")</f>
        <v/>
      </c>
      <c r="W161">
        <f>HYPERLINK("https://klasma.github.io/Logging_1784/klagomålsmail/A 7349-2025 FSC-klagomål mail.docx", "A 7349-2025")</f>
        <v/>
      </c>
      <c r="X161">
        <f>HYPERLINK("https://klasma.github.io/Logging_1784/tillsyn/A 7349-2025 tillsynsbegäran.docx", "A 7349-2025")</f>
        <v/>
      </c>
      <c r="Y161">
        <f>HYPERLINK("https://klasma.github.io/Logging_1784/tillsynsmail/A 7349-2025 tillsynsbegäran mail.docx", "A 7349-2025")</f>
        <v/>
      </c>
      <c r="Z161">
        <f>HYPERLINK("https://klasma.github.io/Logging_1784/fåglar/A 7349-2025 prioriterade fågelarter.docx", "A 7349-2025")</f>
        <v/>
      </c>
    </row>
    <row r="162" ht="15" customHeight="1">
      <c r="A162" t="inlineStr">
        <is>
          <t>A 12633-2025</t>
        </is>
      </c>
      <c r="B162" s="1" t="n">
        <v>45733</v>
      </c>
      <c r="C162" s="1" t="n">
        <v>45810</v>
      </c>
      <c r="D162" t="inlineStr">
        <is>
          <t>VÄRMLANDS LÄN</t>
        </is>
      </c>
      <c r="E162" t="inlineStr">
        <is>
          <t>KARLSTAD</t>
        </is>
      </c>
      <c r="F162" t="inlineStr">
        <is>
          <t>Bergvik skog väst AB</t>
        </is>
      </c>
      <c r="G162" t="n">
        <v>9.1</v>
      </c>
      <c r="H162" t="n">
        <v>3</v>
      </c>
      <c r="I162" t="n">
        <v>3</v>
      </c>
      <c r="J162" t="n">
        <v>0</v>
      </c>
      <c r="K162" t="n">
        <v>0</v>
      </c>
      <c r="L162" t="n">
        <v>0</v>
      </c>
      <c r="M162" t="n">
        <v>0</v>
      </c>
      <c r="N162" t="n">
        <v>0</v>
      </c>
      <c r="O162" t="n">
        <v>0</v>
      </c>
      <c r="P162" t="n">
        <v>0</v>
      </c>
      <c r="Q162" t="n">
        <v>4</v>
      </c>
      <c r="R162" s="2" t="inlineStr">
        <is>
          <t>Grön sköldmossa
Plattlummer
Stubbspretmossa
Mattlummer</t>
        </is>
      </c>
      <c r="S162">
        <f>HYPERLINK("https://klasma.github.io/Logging_171780/artfynd/A 12633-2025 artfynd.xlsx", "A 12633-2025")</f>
        <v/>
      </c>
      <c r="T162">
        <f>HYPERLINK("https://klasma.github.io/Logging_171780/kartor/A 12633-2025 karta.png", "A 12633-2025")</f>
        <v/>
      </c>
      <c r="V162">
        <f>HYPERLINK("https://klasma.github.io/Logging_171780/klagomål/A 12633-2025 FSC-klagomål.docx", "A 12633-2025")</f>
        <v/>
      </c>
      <c r="W162">
        <f>HYPERLINK("https://klasma.github.io/Logging_171780/klagomålsmail/A 12633-2025 FSC-klagomål mail.docx", "A 12633-2025")</f>
        <v/>
      </c>
      <c r="X162">
        <f>HYPERLINK("https://klasma.github.io/Logging_171780/tillsyn/A 12633-2025 tillsynsbegäran.docx", "A 12633-2025")</f>
        <v/>
      </c>
      <c r="Y162">
        <f>HYPERLINK("https://klasma.github.io/Logging_171780/tillsynsmail/A 12633-2025 tillsynsbegäran mail.docx", "A 12633-2025")</f>
        <v/>
      </c>
    </row>
    <row r="163" ht="15" customHeight="1">
      <c r="A163" t="inlineStr">
        <is>
          <t>A 15086-2025</t>
        </is>
      </c>
      <c r="B163" s="1" t="n">
        <v>45743</v>
      </c>
      <c r="C163" s="1" t="n">
        <v>45810</v>
      </c>
      <c r="D163" t="inlineStr">
        <is>
          <t>VÄRMLANDS LÄN</t>
        </is>
      </c>
      <c r="E163" t="inlineStr">
        <is>
          <t>TORSBY</t>
        </is>
      </c>
      <c r="G163" t="n">
        <v>4.5</v>
      </c>
      <c r="H163" t="n">
        <v>0</v>
      </c>
      <c r="I163" t="n">
        <v>0</v>
      </c>
      <c r="J163" t="n">
        <v>4</v>
      </c>
      <c r="K163" t="n">
        <v>0</v>
      </c>
      <c r="L163" t="n">
        <v>0</v>
      </c>
      <c r="M163" t="n">
        <v>0</v>
      </c>
      <c r="N163" t="n">
        <v>0</v>
      </c>
      <c r="O163" t="n">
        <v>4</v>
      </c>
      <c r="P163" t="n">
        <v>0</v>
      </c>
      <c r="Q163" t="n">
        <v>4</v>
      </c>
      <c r="R163" s="2" t="inlineStr">
        <is>
          <t>Brunpudrad nållav
Doftskinn
Gammelgransskål
Vedskivlav</t>
        </is>
      </c>
      <c r="S163">
        <f>HYPERLINK("https://klasma.github.io/Logging_171737/artfynd/A 15086-2025 artfynd.xlsx", "A 15086-2025")</f>
        <v/>
      </c>
      <c r="T163">
        <f>HYPERLINK("https://klasma.github.io/Logging_171737/kartor/A 15086-2025 karta.png", "A 15086-2025")</f>
        <v/>
      </c>
      <c r="V163">
        <f>HYPERLINK("https://klasma.github.io/Logging_171737/klagomål/A 15086-2025 FSC-klagomål.docx", "A 15086-2025")</f>
        <v/>
      </c>
      <c r="W163">
        <f>HYPERLINK("https://klasma.github.io/Logging_171737/klagomålsmail/A 15086-2025 FSC-klagomål mail.docx", "A 15086-2025")</f>
        <v/>
      </c>
      <c r="X163">
        <f>HYPERLINK("https://klasma.github.io/Logging_171737/tillsyn/A 15086-2025 tillsynsbegäran.docx", "A 15086-2025")</f>
        <v/>
      </c>
      <c r="Y163">
        <f>HYPERLINK("https://klasma.github.io/Logging_171737/tillsynsmail/A 15086-2025 tillsynsbegäran mail.docx", "A 15086-2025")</f>
        <v/>
      </c>
    </row>
    <row r="164" ht="15" customHeight="1">
      <c r="A164" t="inlineStr">
        <is>
          <t>A 20763-2025</t>
        </is>
      </c>
      <c r="B164" s="1" t="n">
        <v>45776</v>
      </c>
      <c r="C164" s="1" t="n">
        <v>45810</v>
      </c>
      <c r="D164" t="inlineStr">
        <is>
          <t>VÄRMLANDS LÄN</t>
        </is>
      </c>
      <c r="E164" t="inlineStr">
        <is>
          <t>TORSBY</t>
        </is>
      </c>
      <c r="G164" t="n">
        <v>4.9</v>
      </c>
      <c r="H164" t="n">
        <v>0</v>
      </c>
      <c r="I164" t="n">
        <v>0</v>
      </c>
      <c r="J164" t="n">
        <v>4</v>
      </c>
      <c r="K164" t="n">
        <v>0</v>
      </c>
      <c r="L164" t="n">
        <v>0</v>
      </c>
      <c r="M164" t="n">
        <v>0</v>
      </c>
      <c r="N164" t="n">
        <v>0</v>
      </c>
      <c r="O164" t="n">
        <v>4</v>
      </c>
      <c r="P164" t="n">
        <v>0</v>
      </c>
      <c r="Q164" t="n">
        <v>4</v>
      </c>
      <c r="R164" s="2" t="inlineStr">
        <is>
          <t>Garnlav
Kolflarnlav
Mörk kolflarnlav
Vedskivlav</t>
        </is>
      </c>
      <c r="S164">
        <f>HYPERLINK("https://klasma.github.io/Logging_171737/artfynd/A 20763-2025 artfynd.xlsx", "A 20763-2025")</f>
        <v/>
      </c>
      <c r="T164">
        <f>HYPERLINK("https://klasma.github.io/Logging_171737/kartor/A 20763-2025 karta.png", "A 20763-2025")</f>
        <v/>
      </c>
      <c r="V164">
        <f>HYPERLINK("https://klasma.github.io/Logging_171737/klagomål/A 20763-2025 FSC-klagomål.docx", "A 20763-2025")</f>
        <v/>
      </c>
      <c r="W164">
        <f>HYPERLINK("https://klasma.github.io/Logging_171737/klagomålsmail/A 20763-2025 FSC-klagomål mail.docx", "A 20763-2025")</f>
        <v/>
      </c>
      <c r="X164">
        <f>HYPERLINK("https://klasma.github.io/Logging_171737/tillsyn/A 20763-2025 tillsynsbegäran.docx", "A 20763-2025")</f>
        <v/>
      </c>
      <c r="Y164">
        <f>HYPERLINK("https://klasma.github.io/Logging_171737/tillsynsmail/A 20763-2025 tillsynsbegäran mail.docx", "A 20763-2025")</f>
        <v/>
      </c>
    </row>
    <row r="165" ht="15" customHeight="1">
      <c r="A165" t="inlineStr">
        <is>
          <t>A 20798-2019</t>
        </is>
      </c>
      <c r="B165" s="1" t="n">
        <v>43573</v>
      </c>
      <c r="C165" s="1" t="n">
        <v>45810</v>
      </c>
      <c r="D165" t="inlineStr">
        <is>
          <t>VÄRMLANDS LÄN</t>
        </is>
      </c>
      <c r="E165" t="inlineStr">
        <is>
          <t>ÅRJÄNG</t>
        </is>
      </c>
      <c r="G165" t="n">
        <v>6.5</v>
      </c>
      <c r="H165" t="n">
        <v>2</v>
      </c>
      <c r="I165" t="n">
        <v>0</v>
      </c>
      <c r="J165" t="n">
        <v>2</v>
      </c>
      <c r="K165" t="n">
        <v>1</v>
      </c>
      <c r="L165" t="n">
        <v>0</v>
      </c>
      <c r="M165" t="n">
        <v>0</v>
      </c>
      <c r="N165" t="n">
        <v>0</v>
      </c>
      <c r="O165" t="n">
        <v>3</v>
      </c>
      <c r="P165" t="n">
        <v>1</v>
      </c>
      <c r="Q165" t="n">
        <v>3</v>
      </c>
      <c r="R165" s="2" t="inlineStr">
        <is>
          <t>Knärot
Garnlav
Tretåig hackspett</t>
        </is>
      </c>
      <c r="S165">
        <f>HYPERLINK("https://klasma.github.io/Logging_1765/artfynd/A 20798-2019 artfynd.xlsx", "A 20798-2019")</f>
        <v/>
      </c>
      <c r="T165">
        <f>HYPERLINK("https://klasma.github.io/Logging_1765/kartor/A 20798-2019 karta.png", "A 20798-2019")</f>
        <v/>
      </c>
      <c r="U165">
        <f>HYPERLINK("https://klasma.github.io/Logging_1765/knärot/A 20798-2019 karta knärot.png", "A 20798-2019")</f>
        <v/>
      </c>
      <c r="V165">
        <f>HYPERLINK("https://klasma.github.io/Logging_1765/klagomål/A 20798-2019 FSC-klagomål.docx", "A 20798-2019")</f>
        <v/>
      </c>
      <c r="W165">
        <f>HYPERLINK("https://klasma.github.io/Logging_1765/klagomålsmail/A 20798-2019 FSC-klagomål mail.docx", "A 20798-2019")</f>
        <v/>
      </c>
      <c r="X165">
        <f>HYPERLINK("https://klasma.github.io/Logging_1765/tillsyn/A 20798-2019 tillsynsbegäran.docx", "A 20798-2019")</f>
        <v/>
      </c>
      <c r="Y165">
        <f>HYPERLINK("https://klasma.github.io/Logging_1765/tillsynsmail/A 20798-2019 tillsynsbegäran mail.docx", "A 20798-2019")</f>
        <v/>
      </c>
      <c r="Z165">
        <f>HYPERLINK("https://klasma.github.io/Logging_1765/fåglar/A 20798-2019 prioriterade fågelarter.docx", "A 20798-2019")</f>
        <v/>
      </c>
    </row>
    <row r="166" ht="15" customHeight="1">
      <c r="A166" t="inlineStr">
        <is>
          <t>A 22865-2019</t>
        </is>
      </c>
      <c r="B166" s="1" t="n">
        <v>43591</v>
      </c>
      <c r="C166" s="1" t="n">
        <v>45810</v>
      </c>
      <c r="D166" t="inlineStr">
        <is>
          <t>VÄRMLANDS LÄN</t>
        </is>
      </c>
      <c r="E166" t="inlineStr">
        <is>
          <t>KARLSTAD</t>
        </is>
      </c>
      <c r="F166" t="inlineStr">
        <is>
          <t>Kommuner</t>
        </is>
      </c>
      <c r="G166" t="n">
        <v>6</v>
      </c>
      <c r="H166" t="n">
        <v>1</v>
      </c>
      <c r="I166" t="n">
        <v>1</v>
      </c>
      <c r="J166" t="n">
        <v>1</v>
      </c>
      <c r="K166" t="n">
        <v>0</v>
      </c>
      <c r="L166" t="n">
        <v>0</v>
      </c>
      <c r="M166" t="n">
        <v>0</v>
      </c>
      <c r="N166" t="n">
        <v>0</v>
      </c>
      <c r="O166" t="n">
        <v>1</v>
      </c>
      <c r="P166" t="n">
        <v>0</v>
      </c>
      <c r="Q166" t="n">
        <v>3</v>
      </c>
      <c r="R166" s="2" t="inlineStr">
        <is>
          <t>Garnlav
Trådticka
Revlummer</t>
        </is>
      </c>
      <c r="S166">
        <f>HYPERLINK("https://klasma.github.io/Logging_1780/artfynd/A 22865-2019 artfynd.xlsx", "A 22865-2019")</f>
        <v/>
      </c>
      <c r="T166">
        <f>HYPERLINK("https://klasma.github.io/Logging_1780/kartor/A 22865-2019 karta.png", "A 22865-2019")</f>
        <v/>
      </c>
      <c r="V166">
        <f>HYPERLINK("https://klasma.github.io/Logging_1780/klagomål/A 22865-2019 FSC-klagomål.docx", "A 22865-2019")</f>
        <v/>
      </c>
      <c r="W166">
        <f>HYPERLINK("https://klasma.github.io/Logging_1780/klagomålsmail/A 22865-2019 FSC-klagomål mail.docx", "A 22865-2019")</f>
        <v/>
      </c>
      <c r="X166">
        <f>HYPERLINK("https://klasma.github.io/Logging_1780/tillsyn/A 22865-2019 tillsynsbegäran.docx", "A 22865-2019")</f>
        <v/>
      </c>
      <c r="Y166">
        <f>HYPERLINK("https://klasma.github.io/Logging_1780/tillsynsmail/A 22865-2019 tillsynsbegäran mail.docx", "A 22865-2019")</f>
        <v/>
      </c>
    </row>
    <row r="167" ht="15" customHeight="1">
      <c r="A167" t="inlineStr">
        <is>
          <t>A 23049-2019</t>
        </is>
      </c>
      <c r="B167" s="1" t="n">
        <v>43591</v>
      </c>
      <c r="C167" s="1" t="n">
        <v>45810</v>
      </c>
      <c r="D167" t="inlineStr">
        <is>
          <t>VÄRMLANDS LÄN</t>
        </is>
      </c>
      <c r="E167" t="inlineStr">
        <is>
          <t>KARLSTAD</t>
        </is>
      </c>
      <c r="F167" t="inlineStr">
        <is>
          <t>Kommuner</t>
        </is>
      </c>
      <c r="G167" t="n">
        <v>1.7</v>
      </c>
      <c r="H167" t="n">
        <v>1</v>
      </c>
      <c r="I167" t="n">
        <v>2</v>
      </c>
      <c r="J167" t="n">
        <v>1</v>
      </c>
      <c r="K167" t="n">
        <v>0</v>
      </c>
      <c r="L167" t="n">
        <v>0</v>
      </c>
      <c r="M167" t="n">
        <v>0</v>
      </c>
      <c r="N167" t="n">
        <v>0</v>
      </c>
      <c r="O167" t="n">
        <v>1</v>
      </c>
      <c r="P167" t="n">
        <v>0</v>
      </c>
      <c r="Q167" t="n">
        <v>3</v>
      </c>
      <c r="R167" s="2" t="inlineStr">
        <is>
          <t>Talltita
Brandticka
Vedticka</t>
        </is>
      </c>
      <c r="S167">
        <f>HYPERLINK("https://klasma.github.io/Logging_1780/artfynd/A 23049-2019 artfynd.xlsx", "A 23049-2019")</f>
        <v/>
      </c>
      <c r="T167">
        <f>HYPERLINK("https://klasma.github.io/Logging_1780/kartor/A 23049-2019 karta.png", "A 23049-2019")</f>
        <v/>
      </c>
      <c r="V167">
        <f>HYPERLINK("https://klasma.github.io/Logging_1780/klagomål/A 23049-2019 FSC-klagomål.docx", "A 23049-2019")</f>
        <v/>
      </c>
      <c r="W167">
        <f>HYPERLINK("https://klasma.github.io/Logging_1780/klagomålsmail/A 23049-2019 FSC-klagomål mail.docx", "A 23049-2019")</f>
        <v/>
      </c>
      <c r="X167">
        <f>HYPERLINK("https://klasma.github.io/Logging_1780/tillsyn/A 23049-2019 tillsynsbegäran.docx", "A 23049-2019")</f>
        <v/>
      </c>
      <c r="Y167">
        <f>HYPERLINK("https://klasma.github.io/Logging_1780/tillsynsmail/A 23049-2019 tillsynsbegäran mail.docx", "A 23049-2019")</f>
        <v/>
      </c>
      <c r="Z167">
        <f>HYPERLINK("https://klasma.github.io/Logging_1780/fåglar/A 23049-2019 prioriterade fågelarter.docx", "A 23049-2019")</f>
        <v/>
      </c>
    </row>
    <row r="168" ht="15" customHeight="1">
      <c r="A168" t="inlineStr">
        <is>
          <t>A 24010-2019</t>
        </is>
      </c>
      <c r="B168" s="1" t="n">
        <v>43598</v>
      </c>
      <c r="C168" s="1" t="n">
        <v>45810</v>
      </c>
      <c r="D168" t="inlineStr">
        <is>
          <t>VÄRMLANDS LÄN</t>
        </is>
      </c>
      <c r="E168" t="inlineStr">
        <is>
          <t>TORSBY</t>
        </is>
      </c>
      <c r="G168" t="n">
        <v>2.2</v>
      </c>
      <c r="H168" t="n">
        <v>0</v>
      </c>
      <c r="I168" t="n">
        <v>0</v>
      </c>
      <c r="J168" t="n">
        <v>3</v>
      </c>
      <c r="K168" t="n">
        <v>0</v>
      </c>
      <c r="L168" t="n">
        <v>0</v>
      </c>
      <c r="M168" t="n">
        <v>0</v>
      </c>
      <c r="N168" t="n">
        <v>0</v>
      </c>
      <c r="O168" t="n">
        <v>3</v>
      </c>
      <c r="P168" t="n">
        <v>0</v>
      </c>
      <c r="Q168" t="n">
        <v>3</v>
      </c>
      <c r="R168" s="2" t="inlineStr">
        <is>
          <t>Garnlav
Kolflarnlav
Vedskivlav</t>
        </is>
      </c>
      <c r="S168">
        <f>HYPERLINK("https://klasma.github.io/Logging_1737/artfynd/A 24010-2019 artfynd.xlsx", "A 24010-2019")</f>
        <v/>
      </c>
      <c r="T168">
        <f>HYPERLINK("https://klasma.github.io/Logging_1737/kartor/A 24010-2019 karta.png", "A 24010-2019")</f>
        <v/>
      </c>
      <c r="V168">
        <f>HYPERLINK("https://klasma.github.io/Logging_1737/klagomål/A 24010-2019 FSC-klagomål.docx", "A 24010-2019")</f>
        <v/>
      </c>
      <c r="W168">
        <f>HYPERLINK("https://klasma.github.io/Logging_1737/klagomålsmail/A 24010-2019 FSC-klagomål mail.docx", "A 24010-2019")</f>
        <v/>
      </c>
      <c r="X168">
        <f>HYPERLINK("https://klasma.github.io/Logging_1737/tillsyn/A 24010-2019 tillsynsbegäran.docx", "A 24010-2019")</f>
        <v/>
      </c>
      <c r="Y168">
        <f>HYPERLINK("https://klasma.github.io/Logging_1737/tillsynsmail/A 24010-2019 tillsynsbegäran mail.docx", "A 24010-2019")</f>
        <v/>
      </c>
    </row>
    <row r="169" ht="15" customHeight="1">
      <c r="A169" t="inlineStr">
        <is>
          <t>A 26276-2019</t>
        </is>
      </c>
      <c r="B169" s="1" t="n">
        <v>43611</v>
      </c>
      <c r="C169" s="1" t="n">
        <v>45810</v>
      </c>
      <c r="D169" t="inlineStr">
        <is>
          <t>VÄRMLANDS LÄN</t>
        </is>
      </c>
      <c r="E169" t="inlineStr">
        <is>
          <t>FILIPSTAD</t>
        </is>
      </c>
      <c r="F169" t="inlineStr">
        <is>
          <t>Bergvik skog väst AB</t>
        </is>
      </c>
      <c r="G169" t="n">
        <v>18</v>
      </c>
      <c r="H169" t="n">
        <v>3</v>
      </c>
      <c r="I169" t="n">
        <v>2</v>
      </c>
      <c r="J169" t="n">
        <v>0</v>
      </c>
      <c r="K169" t="n">
        <v>0</v>
      </c>
      <c r="L169" t="n">
        <v>0</v>
      </c>
      <c r="M169" t="n">
        <v>0</v>
      </c>
      <c r="N169" t="n">
        <v>0</v>
      </c>
      <c r="O169" t="n">
        <v>0</v>
      </c>
      <c r="P169" t="n">
        <v>0</v>
      </c>
      <c r="Q169" t="n">
        <v>3</v>
      </c>
      <c r="R169" s="2" t="inlineStr">
        <is>
          <t>Purpurknipprot
Tvåblad
Brudsporre</t>
        </is>
      </c>
      <c r="S169">
        <f>HYPERLINK("https://klasma.github.io/Logging_1782/artfynd/A 26276-2019 artfynd.xlsx", "A 26276-2019")</f>
        <v/>
      </c>
      <c r="T169">
        <f>HYPERLINK("https://klasma.github.io/Logging_1782/kartor/A 26276-2019 karta.png", "A 26276-2019")</f>
        <v/>
      </c>
      <c r="V169">
        <f>HYPERLINK("https://klasma.github.io/Logging_1782/klagomål/A 26276-2019 FSC-klagomål.docx", "A 26276-2019")</f>
        <v/>
      </c>
      <c r="W169">
        <f>HYPERLINK("https://klasma.github.io/Logging_1782/klagomålsmail/A 26276-2019 FSC-klagomål mail.docx", "A 26276-2019")</f>
        <v/>
      </c>
      <c r="X169">
        <f>HYPERLINK("https://klasma.github.io/Logging_1782/tillsyn/A 26276-2019 tillsynsbegäran.docx", "A 26276-2019")</f>
        <v/>
      </c>
      <c r="Y169">
        <f>HYPERLINK("https://klasma.github.io/Logging_1782/tillsynsmail/A 26276-2019 tillsynsbegäran mail.docx", "A 26276-2019")</f>
        <v/>
      </c>
    </row>
    <row r="170" ht="15" customHeight="1">
      <c r="A170" t="inlineStr">
        <is>
          <t>A 26919-2019</t>
        </is>
      </c>
      <c r="B170" s="1" t="n">
        <v>43613</v>
      </c>
      <c r="C170" s="1" t="n">
        <v>45810</v>
      </c>
      <c r="D170" t="inlineStr">
        <is>
          <t>VÄRMLANDS LÄN</t>
        </is>
      </c>
      <c r="E170" t="inlineStr">
        <is>
          <t>TORSBY</t>
        </is>
      </c>
      <c r="G170" t="n">
        <v>4.6</v>
      </c>
      <c r="H170" t="n">
        <v>0</v>
      </c>
      <c r="I170" t="n">
        <v>0</v>
      </c>
      <c r="J170" t="n">
        <v>2</v>
      </c>
      <c r="K170" t="n">
        <v>0</v>
      </c>
      <c r="L170" t="n">
        <v>1</v>
      </c>
      <c r="M170" t="n">
        <v>0</v>
      </c>
      <c r="N170" t="n">
        <v>0</v>
      </c>
      <c r="O170" t="n">
        <v>3</v>
      </c>
      <c r="P170" t="n">
        <v>1</v>
      </c>
      <c r="Q170" t="n">
        <v>3</v>
      </c>
      <c r="R170" s="2" t="inlineStr">
        <is>
          <t>Broktagel
Lunglav
Violettgrå tagellav</t>
        </is>
      </c>
      <c r="S170">
        <f>HYPERLINK("https://klasma.github.io/Logging_1737/artfynd/A 26919-2019 artfynd.xlsx", "A 26919-2019")</f>
        <v/>
      </c>
      <c r="T170">
        <f>HYPERLINK("https://klasma.github.io/Logging_1737/kartor/A 26919-2019 karta.png", "A 26919-2019")</f>
        <v/>
      </c>
      <c r="V170">
        <f>HYPERLINK("https://klasma.github.io/Logging_1737/klagomål/A 26919-2019 FSC-klagomål.docx", "A 26919-2019")</f>
        <v/>
      </c>
      <c r="W170">
        <f>HYPERLINK("https://klasma.github.io/Logging_1737/klagomålsmail/A 26919-2019 FSC-klagomål mail.docx", "A 26919-2019")</f>
        <v/>
      </c>
      <c r="X170">
        <f>HYPERLINK("https://klasma.github.io/Logging_1737/tillsyn/A 26919-2019 tillsynsbegäran.docx", "A 26919-2019")</f>
        <v/>
      </c>
      <c r="Y170">
        <f>HYPERLINK("https://klasma.github.io/Logging_1737/tillsynsmail/A 26919-2019 tillsynsbegäran mail.docx", "A 26919-2019")</f>
        <v/>
      </c>
    </row>
    <row r="171" ht="15" customHeight="1">
      <c r="A171" t="inlineStr">
        <is>
          <t>A 32928-2019</t>
        </is>
      </c>
      <c r="B171" s="1" t="n">
        <v>43648</v>
      </c>
      <c r="C171" s="1" t="n">
        <v>45810</v>
      </c>
      <c r="D171" t="inlineStr">
        <is>
          <t>VÄRMLANDS LÄN</t>
        </is>
      </c>
      <c r="E171" t="inlineStr">
        <is>
          <t>TORSBY</t>
        </is>
      </c>
      <c r="G171" t="n">
        <v>5.3</v>
      </c>
      <c r="H171" t="n">
        <v>0</v>
      </c>
      <c r="I171" t="n">
        <v>0</v>
      </c>
      <c r="J171" t="n">
        <v>3</v>
      </c>
      <c r="K171" t="n">
        <v>0</v>
      </c>
      <c r="L171" t="n">
        <v>0</v>
      </c>
      <c r="M171" t="n">
        <v>0</v>
      </c>
      <c r="N171" t="n">
        <v>0</v>
      </c>
      <c r="O171" t="n">
        <v>3</v>
      </c>
      <c r="P171" t="n">
        <v>0</v>
      </c>
      <c r="Q171" t="n">
        <v>3</v>
      </c>
      <c r="R171" s="2" t="inlineStr">
        <is>
          <t>Garnlav
Lunglav
Skrovellav</t>
        </is>
      </c>
      <c r="S171">
        <f>HYPERLINK("https://klasma.github.io/Logging_1737/artfynd/A 32928-2019 artfynd.xlsx", "A 32928-2019")</f>
        <v/>
      </c>
      <c r="T171">
        <f>HYPERLINK("https://klasma.github.io/Logging_1737/kartor/A 32928-2019 karta.png", "A 32928-2019")</f>
        <v/>
      </c>
      <c r="V171">
        <f>HYPERLINK("https://klasma.github.io/Logging_1737/klagomål/A 32928-2019 FSC-klagomål.docx", "A 32928-2019")</f>
        <v/>
      </c>
      <c r="W171">
        <f>HYPERLINK("https://klasma.github.io/Logging_1737/klagomålsmail/A 32928-2019 FSC-klagomål mail.docx", "A 32928-2019")</f>
        <v/>
      </c>
      <c r="X171">
        <f>HYPERLINK("https://klasma.github.io/Logging_1737/tillsyn/A 32928-2019 tillsynsbegäran.docx", "A 32928-2019")</f>
        <v/>
      </c>
      <c r="Y171">
        <f>HYPERLINK("https://klasma.github.io/Logging_1737/tillsynsmail/A 32928-2019 tillsynsbegäran mail.docx", "A 32928-2019")</f>
        <v/>
      </c>
    </row>
    <row r="172" ht="15" customHeight="1">
      <c r="A172" t="inlineStr">
        <is>
          <t>A 38932-2019</t>
        </is>
      </c>
      <c r="B172" s="1" t="n">
        <v>43689</v>
      </c>
      <c r="C172" s="1" t="n">
        <v>45810</v>
      </c>
      <c r="D172" t="inlineStr">
        <is>
          <t>VÄRMLANDS LÄN</t>
        </is>
      </c>
      <c r="E172" t="inlineStr">
        <is>
          <t>TORSBY</t>
        </is>
      </c>
      <c r="G172" t="n">
        <v>1.3</v>
      </c>
      <c r="H172" t="n">
        <v>3</v>
      </c>
      <c r="I172" t="n">
        <v>0</v>
      </c>
      <c r="J172" t="n">
        <v>3</v>
      </c>
      <c r="K172" t="n">
        <v>0</v>
      </c>
      <c r="L172" t="n">
        <v>0</v>
      </c>
      <c r="M172" t="n">
        <v>0</v>
      </c>
      <c r="N172" t="n">
        <v>0</v>
      </c>
      <c r="O172" t="n">
        <v>3</v>
      </c>
      <c r="P172" t="n">
        <v>0</v>
      </c>
      <c r="Q172" t="n">
        <v>3</v>
      </c>
      <c r="R172" s="2" t="inlineStr">
        <is>
          <t>Buskskvätta
Grönsångare
Gulsparv</t>
        </is>
      </c>
      <c r="S172">
        <f>HYPERLINK("https://klasma.github.io/Logging_1737/artfynd/A 38932-2019 artfynd.xlsx", "A 38932-2019")</f>
        <v/>
      </c>
      <c r="T172">
        <f>HYPERLINK("https://klasma.github.io/Logging_1737/kartor/A 38932-2019 karta.png", "A 38932-2019")</f>
        <v/>
      </c>
      <c r="V172">
        <f>HYPERLINK("https://klasma.github.io/Logging_1737/klagomål/A 38932-2019 FSC-klagomål.docx", "A 38932-2019")</f>
        <v/>
      </c>
      <c r="W172">
        <f>HYPERLINK("https://klasma.github.io/Logging_1737/klagomålsmail/A 38932-2019 FSC-klagomål mail.docx", "A 38932-2019")</f>
        <v/>
      </c>
      <c r="X172">
        <f>HYPERLINK("https://klasma.github.io/Logging_1737/tillsyn/A 38932-2019 tillsynsbegäran.docx", "A 38932-2019")</f>
        <v/>
      </c>
      <c r="Y172">
        <f>HYPERLINK("https://klasma.github.io/Logging_1737/tillsynsmail/A 38932-2019 tillsynsbegäran mail.docx", "A 38932-2019")</f>
        <v/>
      </c>
      <c r="Z172">
        <f>HYPERLINK("https://klasma.github.io/Logging_1737/fåglar/A 38932-2019 prioriterade fågelarter.docx", "A 38932-2019")</f>
        <v/>
      </c>
    </row>
    <row r="173" ht="15" customHeight="1">
      <c r="A173" t="inlineStr">
        <is>
          <t>A 56475-2019</t>
        </is>
      </c>
      <c r="B173" s="1" t="n">
        <v>43762</v>
      </c>
      <c r="C173" s="1" t="n">
        <v>45810</v>
      </c>
      <c r="D173" t="inlineStr">
        <is>
          <t>VÄRMLANDS LÄN</t>
        </is>
      </c>
      <c r="E173" t="inlineStr">
        <is>
          <t>KARLSTAD</t>
        </is>
      </c>
      <c r="G173" t="n">
        <v>2</v>
      </c>
      <c r="H173" t="n">
        <v>0</v>
      </c>
      <c r="I173" t="n">
        <v>3</v>
      </c>
      <c r="J173" t="n">
        <v>0</v>
      </c>
      <c r="K173" t="n">
        <v>0</v>
      </c>
      <c r="L173" t="n">
        <v>0</v>
      </c>
      <c r="M173" t="n">
        <v>0</v>
      </c>
      <c r="N173" t="n">
        <v>0</v>
      </c>
      <c r="O173" t="n">
        <v>0</v>
      </c>
      <c r="P173" t="n">
        <v>0</v>
      </c>
      <c r="Q173" t="n">
        <v>3</v>
      </c>
      <c r="R173" s="2" t="inlineStr">
        <is>
          <t>Fällmossa
Guldlockmossa
Platt fjädermossa</t>
        </is>
      </c>
      <c r="S173">
        <f>HYPERLINK("https://klasma.github.io/Logging_1780/artfynd/A 56475-2019 artfynd.xlsx", "A 56475-2019")</f>
        <v/>
      </c>
      <c r="T173">
        <f>HYPERLINK("https://klasma.github.io/Logging_1780/kartor/A 56475-2019 karta.png", "A 56475-2019")</f>
        <v/>
      </c>
      <c r="V173">
        <f>HYPERLINK("https://klasma.github.io/Logging_1780/klagomål/A 56475-2019 FSC-klagomål.docx", "A 56475-2019")</f>
        <v/>
      </c>
      <c r="W173">
        <f>HYPERLINK("https://klasma.github.io/Logging_1780/klagomålsmail/A 56475-2019 FSC-klagomål mail.docx", "A 56475-2019")</f>
        <v/>
      </c>
      <c r="X173">
        <f>HYPERLINK("https://klasma.github.io/Logging_1780/tillsyn/A 56475-2019 tillsynsbegäran.docx", "A 56475-2019")</f>
        <v/>
      </c>
      <c r="Y173">
        <f>HYPERLINK("https://klasma.github.io/Logging_1780/tillsynsmail/A 56475-2019 tillsynsbegäran mail.docx", "A 56475-2019")</f>
        <v/>
      </c>
    </row>
    <row r="174" ht="15" customHeight="1">
      <c r="A174" t="inlineStr">
        <is>
          <t>A 65913-2019</t>
        </is>
      </c>
      <c r="B174" s="1" t="n">
        <v>43805</v>
      </c>
      <c r="C174" s="1" t="n">
        <v>45810</v>
      </c>
      <c r="D174" t="inlineStr">
        <is>
          <t>VÄRMLANDS LÄN</t>
        </is>
      </c>
      <c r="E174" t="inlineStr">
        <is>
          <t>TORSBY</t>
        </is>
      </c>
      <c r="G174" t="n">
        <v>2.9</v>
      </c>
      <c r="H174" t="n">
        <v>3</v>
      </c>
      <c r="I174" t="n">
        <v>0</v>
      </c>
      <c r="J174" t="n">
        <v>2</v>
      </c>
      <c r="K174" t="n">
        <v>0</v>
      </c>
      <c r="L174" t="n">
        <v>0</v>
      </c>
      <c r="M174" t="n">
        <v>0</v>
      </c>
      <c r="N174" t="n">
        <v>0</v>
      </c>
      <c r="O174" t="n">
        <v>2</v>
      </c>
      <c r="P174" t="n">
        <v>0</v>
      </c>
      <c r="Q174" t="n">
        <v>3</v>
      </c>
      <c r="R174" s="2" t="inlineStr">
        <is>
          <t>Spillkråka
Talltita
Gråkråka</t>
        </is>
      </c>
      <c r="S174">
        <f>HYPERLINK("https://klasma.github.io/Logging_1737/artfynd/A 65913-2019 artfynd.xlsx", "A 65913-2019")</f>
        <v/>
      </c>
      <c r="T174">
        <f>HYPERLINK("https://klasma.github.io/Logging_1737/kartor/A 65913-2019 karta.png", "A 65913-2019")</f>
        <v/>
      </c>
      <c r="V174">
        <f>HYPERLINK("https://klasma.github.io/Logging_1737/klagomål/A 65913-2019 FSC-klagomål.docx", "A 65913-2019")</f>
        <v/>
      </c>
      <c r="W174">
        <f>HYPERLINK("https://klasma.github.io/Logging_1737/klagomålsmail/A 65913-2019 FSC-klagomål mail.docx", "A 65913-2019")</f>
        <v/>
      </c>
      <c r="X174">
        <f>HYPERLINK("https://klasma.github.io/Logging_1737/tillsyn/A 65913-2019 tillsynsbegäran.docx", "A 65913-2019")</f>
        <v/>
      </c>
      <c r="Y174">
        <f>HYPERLINK("https://klasma.github.io/Logging_1737/tillsynsmail/A 65913-2019 tillsynsbegäran mail.docx", "A 65913-2019")</f>
        <v/>
      </c>
      <c r="Z174">
        <f>HYPERLINK("https://klasma.github.io/Logging_1737/fåglar/A 65913-2019 prioriterade fågelarter.docx", "A 65913-2019")</f>
        <v/>
      </c>
    </row>
    <row r="175" ht="15" customHeight="1">
      <c r="A175" t="inlineStr">
        <is>
          <t>A 5520-2020</t>
        </is>
      </c>
      <c r="B175" s="1" t="n">
        <v>43861</v>
      </c>
      <c r="C175" s="1" t="n">
        <v>45810</v>
      </c>
      <c r="D175" t="inlineStr">
        <is>
          <t>VÄRMLANDS LÄN</t>
        </is>
      </c>
      <c r="E175" t="inlineStr">
        <is>
          <t>KARLSTAD</t>
        </is>
      </c>
      <c r="F175" t="inlineStr">
        <is>
          <t>Kommuner</t>
        </is>
      </c>
      <c r="G175" t="n">
        <v>0.8</v>
      </c>
      <c r="H175" t="n">
        <v>1</v>
      </c>
      <c r="I175" t="n">
        <v>2</v>
      </c>
      <c r="J175" t="n">
        <v>1</v>
      </c>
      <c r="K175" t="n">
        <v>0</v>
      </c>
      <c r="L175" t="n">
        <v>0</v>
      </c>
      <c r="M175" t="n">
        <v>0</v>
      </c>
      <c r="N175" t="n">
        <v>0</v>
      </c>
      <c r="O175" t="n">
        <v>1</v>
      </c>
      <c r="P175" t="n">
        <v>0</v>
      </c>
      <c r="Q175" t="n">
        <v>3</v>
      </c>
      <c r="R175" s="2" t="inlineStr">
        <is>
          <t>Svedjenäva
Skogsknipprot
Springkorn</t>
        </is>
      </c>
      <c r="S175">
        <f>HYPERLINK("https://klasma.github.io/Logging_1780/artfynd/A 5520-2020 artfynd.xlsx", "A 5520-2020")</f>
        <v/>
      </c>
      <c r="T175">
        <f>HYPERLINK("https://klasma.github.io/Logging_1780/kartor/A 5520-2020 karta.png", "A 5520-2020")</f>
        <v/>
      </c>
      <c r="V175">
        <f>HYPERLINK("https://klasma.github.io/Logging_1780/klagomål/A 5520-2020 FSC-klagomål.docx", "A 5520-2020")</f>
        <v/>
      </c>
      <c r="W175">
        <f>HYPERLINK("https://klasma.github.io/Logging_1780/klagomålsmail/A 5520-2020 FSC-klagomål mail.docx", "A 5520-2020")</f>
        <v/>
      </c>
      <c r="X175">
        <f>HYPERLINK("https://klasma.github.io/Logging_1780/tillsyn/A 5520-2020 tillsynsbegäran.docx", "A 5520-2020")</f>
        <v/>
      </c>
      <c r="Y175">
        <f>HYPERLINK("https://klasma.github.io/Logging_1780/tillsynsmail/A 5520-2020 tillsynsbegäran mail.docx", "A 5520-2020")</f>
        <v/>
      </c>
    </row>
    <row r="176" ht="15" customHeight="1">
      <c r="A176" t="inlineStr">
        <is>
          <t>A 9464-2020</t>
        </is>
      </c>
      <c r="B176" s="1" t="n">
        <v>43880</v>
      </c>
      <c r="C176" s="1" t="n">
        <v>45810</v>
      </c>
      <c r="D176" t="inlineStr">
        <is>
          <t>VÄRMLANDS LÄN</t>
        </is>
      </c>
      <c r="E176" t="inlineStr">
        <is>
          <t>ÅRJÄNG</t>
        </is>
      </c>
      <c r="G176" t="n">
        <v>5.3</v>
      </c>
      <c r="H176" t="n">
        <v>1</v>
      </c>
      <c r="I176" t="n">
        <v>1</v>
      </c>
      <c r="J176" t="n">
        <v>1</v>
      </c>
      <c r="K176" t="n">
        <v>1</v>
      </c>
      <c r="L176" t="n">
        <v>0</v>
      </c>
      <c r="M176" t="n">
        <v>0</v>
      </c>
      <c r="N176" t="n">
        <v>0</v>
      </c>
      <c r="O176" t="n">
        <v>2</v>
      </c>
      <c r="P176" t="n">
        <v>1</v>
      </c>
      <c r="Q176" t="n">
        <v>3</v>
      </c>
      <c r="R176" s="2" t="inlineStr">
        <is>
          <t>Knärot
Vedtrappmossa
Gullgröppa</t>
        </is>
      </c>
      <c r="S176">
        <f>HYPERLINK("https://klasma.github.io/Logging_1765/artfynd/A 9464-2020 artfynd.xlsx", "A 9464-2020")</f>
        <v/>
      </c>
      <c r="T176">
        <f>HYPERLINK("https://klasma.github.io/Logging_1765/kartor/A 9464-2020 karta.png", "A 9464-2020")</f>
        <v/>
      </c>
      <c r="U176">
        <f>HYPERLINK("https://klasma.github.io/Logging_1765/knärot/A 9464-2020 karta knärot.png", "A 9464-2020")</f>
        <v/>
      </c>
      <c r="V176">
        <f>HYPERLINK("https://klasma.github.io/Logging_1765/klagomål/A 9464-2020 FSC-klagomål.docx", "A 9464-2020")</f>
        <v/>
      </c>
      <c r="W176">
        <f>HYPERLINK("https://klasma.github.io/Logging_1765/klagomålsmail/A 9464-2020 FSC-klagomål mail.docx", "A 9464-2020")</f>
        <v/>
      </c>
      <c r="X176">
        <f>HYPERLINK("https://klasma.github.io/Logging_1765/tillsyn/A 9464-2020 tillsynsbegäran.docx", "A 9464-2020")</f>
        <v/>
      </c>
      <c r="Y176">
        <f>HYPERLINK("https://klasma.github.io/Logging_1765/tillsynsmail/A 9464-2020 tillsynsbegäran mail.docx", "A 9464-2020")</f>
        <v/>
      </c>
    </row>
    <row r="177" ht="15" customHeight="1">
      <c r="A177" t="inlineStr">
        <is>
          <t>A 10035-2020</t>
        </is>
      </c>
      <c r="B177" s="1" t="n">
        <v>43882</v>
      </c>
      <c r="C177" s="1" t="n">
        <v>45810</v>
      </c>
      <c r="D177" t="inlineStr">
        <is>
          <t>VÄRMLANDS LÄN</t>
        </is>
      </c>
      <c r="E177" t="inlineStr">
        <is>
          <t>TORSBY</t>
        </is>
      </c>
      <c r="F177" t="inlineStr">
        <is>
          <t>Kyrkan</t>
        </is>
      </c>
      <c r="G177" t="n">
        <v>11.2</v>
      </c>
      <c r="H177" t="n">
        <v>0</v>
      </c>
      <c r="I177" t="n">
        <v>0</v>
      </c>
      <c r="J177" t="n">
        <v>3</v>
      </c>
      <c r="K177" t="n">
        <v>0</v>
      </c>
      <c r="L177" t="n">
        <v>0</v>
      </c>
      <c r="M177" t="n">
        <v>0</v>
      </c>
      <c r="N177" t="n">
        <v>0</v>
      </c>
      <c r="O177" t="n">
        <v>3</v>
      </c>
      <c r="P177" t="n">
        <v>0</v>
      </c>
      <c r="Q177" t="n">
        <v>3</v>
      </c>
      <c r="R177" s="2" t="inlineStr">
        <is>
          <t>Garnlav
Kolflarnlav
Mörk kolflarnlav</t>
        </is>
      </c>
      <c r="S177">
        <f>HYPERLINK("https://klasma.github.io/Logging_1737/artfynd/A 10035-2020 artfynd.xlsx", "A 10035-2020")</f>
        <v/>
      </c>
      <c r="T177">
        <f>HYPERLINK("https://klasma.github.io/Logging_1737/kartor/A 10035-2020 karta.png", "A 10035-2020")</f>
        <v/>
      </c>
      <c r="V177">
        <f>HYPERLINK("https://klasma.github.io/Logging_1737/klagomål/A 10035-2020 FSC-klagomål.docx", "A 10035-2020")</f>
        <v/>
      </c>
      <c r="W177">
        <f>HYPERLINK("https://klasma.github.io/Logging_1737/klagomålsmail/A 10035-2020 FSC-klagomål mail.docx", "A 10035-2020")</f>
        <v/>
      </c>
      <c r="X177">
        <f>HYPERLINK("https://klasma.github.io/Logging_1737/tillsyn/A 10035-2020 tillsynsbegäran.docx", "A 10035-2020")</f>
        <v/>
      </c>
      <c r="Y177">
        <f>HYPERLINK("https://klasma.github.io/Logging_1737/tillsynsmail/A 10035-2020 tillsynsbegäran mail.docx", "A 10035-2020")</f>
        <v/>
      </c>
    </row>
    <row r="178" ht="15" customHeight="1">
      <c r="A178" t="inlineStr">
        <is>
          <t>A 16101-2020</t>
        </is>
      </c>
      <c r="B178" s="1" t="n">
        <v>43916</v>
      </c>
      <c r="C178" s="1" t="n">
        <v>45810</v>
      </c>
      <c r="D178" t="inlineStr">
        <is>
          <t>VÄRMLANDS LÄN</t>
        </is>
      </c>
      <c r="E178" t="inlineStr">
        <is>
          <t>TORSBY</t>
        </is>
      </c>
      <c r="G178" t="n">
        <v>14.6</v>
      </c>
      <c r="H178" t="n">
        <v>3</v>
      </c>
      <c r="I178" t="n">
        <v>0</v>
      </c>
      <c r="J178" t="n">
        <v>1</v>
      </c>
      <c r="K178" t="n">
        <v>0</v>
      </c>
      <c r="L178" t="n">
        <v>0</v>
      </c>
      <c r="M178" t="n">
        <v>0</v>
      </c>
      <c r="N178" t="n">
        <v>0</v>
      </c>
      <c r="O178" t="n">
        <v>1</v>
      </c>
      <c r="P178" t="n">
        <v>0</v>
      </c>
      <c r="Q178" t="n">
        <v>3</v>
      </c>
      <c r="R178" s="2" t="inlineStr">
        <is>
          <t>Spillkråka
Orre
Tjäder</t>
        </is>
      </c>
      <c r="S178">
        <f>HYPERLINK("https://klasma.github.io/Logging_1737/artfynd/A 16101-2020 artfynd.xlsx", "A 16101-2020")</f>
        <v/>
      </c>
      <c r="T178">
        <f>HYPERLINK("https://klasma.github.io/Logging_1737/kartor/A 16101-2020 karta.png", "A 16101-2020")</f>
        <v/>
      </c>
      <c r="V178">
        <f>HYPERLINK("https://klasma.github.io/Logging_1737/klagomål/A 16101-2020 FSC-klagomål.docx", "A 16101-2020")</f>
        <v/>
      </c>
      <c r="W178">
        <f>HYPERLINK("https://klasma.github.io/Logging_1737/klagomålsmail/A 16101-2020 FSC-klagomål mail.docx", "A 16101-2020")</f>
        <v/>
      </c>
      <c r="X178">
        <f>HYPERLINK("https://klasma.github.io/Logging_1737/tillsyn/A 16101-2020 tillsynsbegäran.docx", "A 16101-2020")</f>
        <v/>
      </c>
      <c r="Y178">
        <f>HYPERLINK("https://klasma.github.io/Logging_1737/tillsynsmail/A 16101-2020 tillsynsbegäran mail.docx", "A 16101-2020")</f>
        <v/>
      </c>
      <c r="Z178">
        <f>HYPERLINK("https://klasma.github.io/Logging_1737/fåglar/A 16101-2020 prioriterade fågelarter.docx", "A 16101-2020")</f>
        <v/>
      </c>
    </row>
    <row r="179" ht="15" customHeight="1">
      <c r="A179" t="inlineStr">
        <is>
          <t>A 17212-2020</t>
        </is>
      </c>
      <c r="B179" s="1" t="n">
        <v>43922</v>
      </c>
      <c r="C179" s="1" t="n">
        <v>45810</v>
      </c>
      <c r="D179" t="inlineStr">
        <is>
          <t>VÄRMLANDS LÄN</t>
        </is>
      </c>
      <c r="E179" t="inlineStr">
        <is>
          <t>ÅRJÄNG</t>
        </is>
      </c>
      <c r="G179" t="n">
        <v>8.199999999999999</v>
      </c>
      <c r="H179" t="n">
        <v>2</v>
      </c>
      <c r="I179" t="n">
        <v>0</v>
      </c>
      <c r="J179" t="n">
        <v>1</v>
      </c>
      <c r="K179" t="n">
        <v>1</v>
      </c>
      <c r="L179" t="n">
        <v>0</v>
      </c>
      <c r="M179" t="n">
        <v>0</v>
      </c>
      <c r="N179" t="n">
        <v>0</v>
      </c>
      <c r="O179" t="n">
        <v>2</v>
      </c>
      <c r="P179" t="n">
        <v>1</v>
      </c>
      <c r="Q179" t="n">
        <v>3</v>
      </c>
      <c r="R179" s="2" t="inlineStr">
        <is>
          <t>Knärot
Tallticka
Fläcknycklar</t>
        </is>
      </c>
      <c r="S179">
        <f>HYPERLINK("https://klasma.github.io/Logging_1765/artfynd/A 17212-2020 artfynd.xlsx", "A 17212-2020")</f>
        <v/>
      </c>
      <c r="T179">
        <f>HYPERLINK("https://klasma.github.io/Logging_1765/kartor/A 17212-2020 karta.png", "A 17212-2020")</f>
        <v/>
      </c>
      <c r="U179">
        <f>HYPERLINK("https://klasma.github.io/Logging_1765/knärot/A 17212-2020 karta knärot.png", "A 17212-2020")</f>
        <v/>
      </c>
      <c r="V179">
        <f>HYPERLINK("https://klasma.github.io/Logging_1765/klagomål/A 17212-2020 FSC-klagomål.docx", "A 17212-2020")</f>
        <v/>
      </c>
      <c r="W179">
        <f>HYPERLINK("https://klasma.github.io/Logging_1765/klagomålsmail/A 17212-2020 FSC-klagomål mail.docx", "A 17212-2020")</f>
        <v/>
      </c>
      <c r="X179">
        <f>HYPERLINK("https://klasma.github.io/Logging_1765/tillsyn/A 17212-2020 tillsynsbegäran.docx", "A 17212-2020")</f>
        <v/>
      </c>
      <c r="Y179">
        <f>HYPERLINK("https://klasma.github.io/Logging_1765/tillsynsmail/A 17212-2020 tillsynsbegäran mail.docx", "A 17212-2020")</f>
        <v/>
      </c>
    </row>
    <row r="180" ht="15" customHeight="1">
      <c r="A180" t="inlineStr">
        <is>
          <t>A 34055-2020</t>
        </is>
      </c>
      <c r="B180" s="1" t="n">
        <v>44026</v>
      </c>
      <c r="C180" s="1" t="n">
        <v>45810</v>
      </c>
      <c r="D180" t="inlineStr">
        <is>
          <t>VÄRMLANDS LÄN</t>
        </is>
      </c>
      <c r="E180" t="inlineStr">
        <is>
          <t>ARVIKA</t>
        </is>
      </c>
      <c r="G180" t="n">
        <v>3.4</v>
      </c>
      <c r="H180" t="n">
        <v>0</v>
      </c>
      <c r="I180" t="n">
        <v>2</v>
      </c>
      <c r="J180" t="n">
        <v>0</v>
      </c>
      <c r="K180" t="n">
        <v>1</v>
      </c>
      <c r="L180" t="n">
        <v>0</v>
      </c>
      <c r="M180" t="n">
        <v>0</v>
      </c>
      <c r="N180" t="n">
        <v>0</v>
      </c>
      <c r="O180" t="n">
        <v>1</v>
      </c>
      <c r="P180" t="n">
        <v>1</v>
      </c>
      <c r="Q180" t="n">
        <v>3</v>
      </c>
      <c r="R180" s="2" t="inlineStr">
        <is>
          <t>Vågticka
Gulnål
Skinnlav</t>
        </is>
      </c>
      <c r="S180">
        <f>HYPERLINK("https://klasma.github.io/Logging_1784/artfynd/A 34055-2020 artfynd.xlsx", "A 34055-2020")</f>
        <v/>
      </c>
      <c r="T180">
        <f>HYPERLINK("https://klasma.github.io/Logging_1784/kartor/A 34055-2020 karta.png", "A 34055-2020")</f>
        <v/>
      </c>
      <c r="V180">
        <f>HYPERLINK("https://klasma.github.io/Logging_1784/klagomål/A 34055-2020 FSC-klagomål.docx", "A 34055-2020")</f>
        <v/>
      </c>
      <c r="W180">
        <f>HYPERLINK("https://klasma.github.io/Logging_1784/klagomålsmail/A 34055-2020 FSC-klagomål mail.docx", "A 34055-2020")</f>
        <v/>
      </c>
      <c r="X180">
        <f>HYPERLINK("https://klasma.github.io/Logging_1784/tillsyn/A 34055-2020 tillsynsbegäran.docx", "A 34055-2020")</f>
        <v/>
      </c>
      <c r="Y180">
        <f>HYPERLINK("https://klasma.github.io/Logging_1784/tillsynsmail/A 34055-2020 tillsynsbegäran mail.docx", "A 34055-2020")</f>
        <v/>
      </c>
    </row>
    <row r="181" ht="15" customHeight="1">
      <c r="A181" t="inlineStr">
        <is>
          <t>A 46200-2020</t>
        </is>
      </c>
      <c r="B181" s="1" t="n">
        <v>44092</v>
      </c>
      <c r="C181" s="1" t="n">
        <v>45810</v>
      </c>
      <c r="D181" t="inlineStr">
        <is>
          <t>VÄRMLANDS LÄN</t>
        </is>
      </c>
      <c r="E181" t="inlineStr">
        <is>
          <t>TORSBY</t>
        </is>
      </c>
      <c r="F181" t="inlineStr">
        <is>
          <t>Bergvik skog väst AB</t>
        </is>
      </c>
      <c r="G181" t="n">
        <v>8.6</v>
      </c>
      <c r="H181" t="n">
        <v>0</v>
      </c>
      <c r="I181" t="n">
        <v>1</v>
      </c>
      <c r="J181" t="n">
        <v>2</v>
      </c>
      <c r="K181" t="n">
        <v>0</v>
      </c>
      <c r="L181" t="n">
        <v>0</v>
      </c>
      <c r="M181" t="n">
        <v>0</v>
      </c>
      <c r="N181" t="n">
        <v>0</v>
      </c>
      <c r="O181" t="n">
        <v>2</v>
      </c>
      <c r="P181" t="n">
        <v>0</v>
      </c>
      <c r="Q181" t="n">
        <v>3</v>
      </c>
      <c r="R181" s="2" t="inlineStr">
        <is>
          <t>Myskmåra
Spatelfibbla
Kransrams</t>
        </is>
      </c>
      <c r="S181">
        <f>HYPERLINK("https://klasma.github.io/Logging_1737/artfynd/A 46200-2020 artfynd.xlsx", "A 46200-2020")</f>
        <v/>
      </c>
      <c r="T181">
        <f>HYPERLINK("https://klasma.github.io/Logging_1737/kartor/A 46200-2020 karta.png", "A 46200-2020")</f>
        <v/>
      </c>
      <c r="V181">
        <f>HYPERLINK("https://klasma.github.io/Logging_1737/klagomål/A 46200-2020 FSC-klagomål.docx", "A 46200-2020")</f>
        <v/>
      </c>
      <c r="W181">
        <f>HYPERLINK("https://klasma.github.io/Logging_1737/klagomålsmail/A 46200-2020 FSC-klagomål mail.docx", "A 46200-2020")</f>
        <v/>
      </c>
      <c r="X181">
        <f>HYPERLINK("https://klasma.github.io/Logging_1737/tillsyn/A 46200-2020 tillsynsbegäran.docx", "A 46200-2020")</f>
        <v/>
      </c>
      <c r="Y181">
        <f>HYPERLINK("https://klasma.github.io/Logging_1737/tillsynsmail/A 46200-2020 tillsynsbegäran mail.docx", "A 46200-2020")</f>
        <v/>
      </c>
    </row>
    <row r="182" ht="15" customHeight="1">
      <c r="A182" t="inlineStr">
        <is>
          <t>A 63491-2020</t>
        </is>
      </c>
      <c r="B182" s="1" t="n">
        <v>44165</v>
      </c>
      <c r="C182" s="1" t="n">
        <v>45810</v>
      </c>
      <c r="D182" t="inlineStr">
        <is>
          <t>VÄRMLANDS LÄN</t>
        </is>
      </c>
      <c r="E182" t="inlineStr">
        <is>
          <t>SUNNE</t>
        </is>
      </c>
      <c r="G182" t="n">
        <v>33.5</v>
      </c>
      <c r="H182" t="n">
        <v>0</v>
      </c>
      <c r="I182" t="n">
        <v>1</v>
      </c>
      <c r="J182" t="n">
        <v>2</v>
      </c>
      <c r="K182" t="n">
        <v>0</v>
      </c>
      <c r="L182" t="n">
        <v>0</v>
      </c>
      <c r="M182" t="n">
        <v>0</v>
      </c>
      <c r="N182" t="n">
        <v>0</v>
      </c>
      <c r="O182" t="n">
        <v>2</v>
      </c>
      <c r="P182" t="n">
        <v>0</v>
      </c>
      <c r="Q182" t="n">
        <v>3</v>
      </c>
      <c r="R182" s="2" t="inlineStr">
        <is>
          <t>Garnlav
Vedtrappmossa
Vedticka</t>
        </is>
      </c>
      <c r="S182">
        <f>HYPERLINK("https://klasma.github.io/Logging_1766/artfynd/A 63491-2020 artfynd.xlsx", "A 63491-2020")</f>
        <v/>
      </c>
      <c r="T182">
        <f>HYPERLINK("https://klasma.github.io/Logging_1766/kartor/A 63491-2020 karta.png", "A 63491-2020")</f>
        <v/>
      </c>
      <c r="V182">
        <f>HYPERLINK("https://klasma.github.io/Logging_1766/klagomål/A 63491-2020 FSC-klagomål.docx", "A 63491-2020")</f>
        <v/>
      </c>
      <c r="W182">
        <f>HYPERLINK("https://klasma.github.io/Logging_1766/klagomålsmail/A 63491-2020 FSC-klagomål mail.docx", "A 63491-2020")</f>
        <v/>
      </c>
      <c r="X182">
        <f>HYPERLINK("https://klasma.github.io/Logging_1766/tillsyn/A 63491-2020 tillsynsbegäran.docx", "A 63491-2020")</f>
        <v/>
      </c>
      <c r="Y182">
        <f>HYPERLINK("https://klasma.github.io/Logging_1766/tillsynsmail/A 63491-2020 tillsynsbegäran mail.docx", "A 63491-2020")</f>
        <v/>
      </c>
    </row>
    <row r="183" ht="15" customHeight="1">
      <c r="A183" t="inlineStr">
        <is>
          <t>A 69035-2020</t>
        </is>
      </c>
      <c r="B183" s="1" t="n">
        <v>44188</v>
      </c>
      <c r="C183" s="1" t="n">
        <v>45810</v>
      </c>
      <c r="D183" t="inlineStr">
        <is>
          <t>VÄRMLANDS LÄN</t>
        </is>
      </c>
      <c r="E183" t="inlineStr">
        <is>
          <t>FORSHAGA</t>
        </is>
      </c>
      <c r="F183" t="inlineStr">
        <is>
          <t>Bergvik skog väst AB</t>
        </is>
      </c>
      <c r="G183" t="n">
        <v>2.1</v>
      </c>
      <c r="H183" t="n">
        <v>3</v>
      </c>
      <c r="I183" t="n">
        <v>0</v>
      </c>
      <c r="J183" t="n">
        <v>2</v>
      </c>
      <c r="K183" t="n">
        <v>1</v>
      </c>
      <c r="L183" t="n">
        <v>0</v>
      </c>
      <c r="M183" t="n">
        <v>0</v>
      </c>
      <c r="N183" t="n">
        <v>0</v>
      </c>
      <c r="O183" t="n">
        <v>3</v>
      </c>
      <c r="P183" t="n">
        <v>1</v>
      </c>
      <c r="Q183" t="n">
        <v>3</v>
      </c>
      <c r="R183" s="2" t="inlineStr">
        <is>
          <t>Knärot
Spillkråka
Tretåig hackspett</t>
        </is>
      </c>
      <c r="S183">
        <f>HYPERLINK("https://klasma.github.io/Logging_1763/artfynd/A 69035-2020 artfynd.xlsx", "A 69035-2020")</f>
        <v/>
      </c>
      <c r="T183">
        <f>HYPERLINK("https://klasma.github.io/Logging_1763/kartor/A 69035-2020 karta.png", "A 69035-2020")</f>
        <v/>
      </c>
      <c r="U183">
        <f>HYPERLINK("https://klasma.github.io/Logging_1763/knärot/A 69035-2020 karta knärot.png", "A 69035-2020")</f>
        <v/>
      </c>
      <c r="V183">
        <f>HYPERLINK("https://klasma.github.io/Logging_1763/klagomål/A 69035-2020 FSC-klagomål.docx", "A 69035-2020")</f>
        <v/>
      </c>
      <c r="W183">
        <f>HYPERLINK("https://klasma.github.io/Logging_1763/klagomålsmail/A 69035-2020 FSC-klagomål mail.docx", "A 69035-2020")</f>
        <v/>
      </c>
      <c r="X183">
        <f>HYPERLINK("https://klasma.github.io/Logging_1763/tillsyn/A 69035-2020 tillsynsbegäran.docx", "A 69035-2020")</f>
        <v/>
      </c>
      <c r="Y183">
        <f>HYPERLINK("https://klasma.github.io/Logging_1763/tillsynsmail/A 69035-2020 tillsynsbegäran mail.docx", "A 69035-2020")</f>
        <v/>
      </c>
      <c r="Z183">
        <f>HYPERLINK("https://klasma.github.io/Logging_1763/fåglar/A 69035-2020 prioriterade fågelarter.docx", "A 69035-2020")</f>
        <v/>
      </c>
    </row>
    <row r="184" ht="15" customHeight="1">
      <c r="A184" t="inlineStr">
        <is>
          <t>A 16545-2021</t>
        </is>
      </c>
      <c r="B184" s="1" t="n">
        <v>44293</v>
      </c>
      <c r="C184" s="1" t="n">
        <v>45810</v>
      </c>
      <c r="D184" t="inlineStr">
        <is>
          <t>VÄRMLANDS LÄN</t>
        </is>
      </c>
      <c r="E184" t="inlineStr">
        <is>
          <t>TORSBY</t>
        </is>
      </c>
      <c r="G184" t="n">
        <v>140.3</v>
      </c>
      <c r="H184" t="n">
        <v>3</v>
      </c>
      <c r="I184" t="n">
        <v>0</v>
      </c>
      <c r="J184" t="n">
        <v>1</v>
      </c>
      <c r="K184" t="n">
        <v>0</v>
      </c>
      <c r="L184" t="n">
        <v>0</v>
      </c>
      <c r="M184" t="n">
        <v>0</v>
      </c>
      <c r="N184" t="n">
        <v>0</v>
      </c>
      <c r="O184" t="n">
        <v>1</v>
      </c>
      <c r="P184" t="n">
        <v>0</v>
      </c>
      <c r="Q184" t="n">
        <v>3</v>
      </c>
      <c r="R184" s="2" t="inlineStr">
        <is>
          <t>Spillkråka
Större vattensalamander
Mindre vattensalamander</t>
        </is>
      </c>
      <c r="S184">
        <f>HYPERLINK("https://klasma.github.io/Logging_1737/artfynd/A 16545-2021 artfynd.xlsx", "A 16545-2021")</f>
        <v/>
      </c>
      <c r="T184">
        <f>HYPERLINK("https://klasma.github.io/Logging_1737/kartor/A 16545-2021 karta.png", "A 16545-2021")</f>
        <v/>
      </c>
      <c r="V184">
        <f>HYPERLINK("https://klasma.github.io/Logging_1737/klagomål/A 16545-2021 FSC-klagomål.docx", "A 16545-2021")</f>
        <v/>
      </c>
      <c r="W184">
        <f>HYPERLINK("https://klasma.github.io/Logging_1737/klagomålsmail/A 16545-2021 FSC-klagomål mail.docx", "A 16545-2021")</f>
        <v/>
      </c>
      <c r="X184">
        <f>HYPERLINK("https://klasma.github.io/Logging_1737/tillsyn/A 16545-2021 tillsynsbegäran.docx", "A 16545-2021")</f>
        <v/>
      </c>
      <c r="Y184">
        <f>HYPERLINK("https://klasma.github.io/Logging_1737/tillsynsmail/A 16545-2021 tillsynsbegäran mail.docx", "A 16545-2021")</f>
        <v/>
      </c>
      <c r="Z184">
        <f>HYPERLINK("https://klasma.github.io/Logging_1737/fåglar/A 16545-2021 prioriterade fågelarter.docx", "A 16545-2021")</f>
        <v/>
      </c>
    </row>
    <row r="185" ht="15" customHeight="1">
      <c r="A185" t="inlineStr">
        <is>
          <t>A 24836-2021</t>
        </is>
      </c>
      <c r="B185" s="1" t="n">
        <v>44340</v>
      </c>
      <c r="C185" s="1" t="n">
        <v>45810</v>
      </c>
      <c r="D185" t="inlineStr">
        <is>
          <t>VÄRMLANDS LÄN</t>
        </is>
      </c>
      <c r="E185" t="inlineStr">
        <is>
          <t>SUNNE</t>
        </is>
      </c>
      <c r="F185" t="inlineStr">
        <is>
          <t>Kommuner</t>
        </is>
      </c>
      <c r="G185" t="n">
        <v>19.2</v>
      </c>
      <c r="H185" t="n">
        <v>2</v>
      </c>
      <c r="I185" t="n">
        <v>0</v>
      </c>
      <c r="J185" t="n">
        <v>2</v>
      </c>
      <c r="K185" t="n">
        <v>0</v>
      </c>
      <c r="L185" t="n">
        <v>0</v>
      </c>
      <c r="M185" t="n">
        <v>0</v>
      </c>
      <c r="N185" t="n">
        <v>0</v>
      </c>
      <c r="O185" t="n">
        <v>2</v>
      </c>
      <c r="P185" t="n">
        <v>0</v>
      </c>
      <c r="Q185" t="n">
        <v>3</v>
      </c>
      <c r="R185" s="2" t="inlineStr">
        <is>
          <t>Grynig filtlav
Tretåig hackspett
Gråkråka</t>
        </is>
      </c>
      <c r="S185">
        <f>HYPERLINK("https://klasma.github.io/Logging_1766/artfynd/A 24836-2021 artfynd.xlsx", "A 24836-2021")</f>
        <v/>
      </c>
      <c r="T185">
        <f>HYPERLINK("https://klasma.github.io/Logging_1766/kartor/A 24836-2021 karta.png", "A 24836-2021")</f>
        <v/>
      </c>
      <c r="V185">
        <f>HYPERLINK("https://klasma.github.io/Logging_1766/klagomål/A 24836-2021 FSC-klagomål.docx", "A 24836-2021")</f>
        <v/>
      </c>
      <c r="W185">
        <f>HYPERLINK("https://klasma.github.io/Logging_1766/klagomålsmail/A 24836-2021 FSC-klagomål mail.docx", "A 24836-2021")</f>
        <v/>
      </c>
      <c r="X185">
        <f>HYPERLINK("https://klasma.github.io/Logging_1766/tillsyn/A 24836-2021 tillsynsbegäran.docx", "A 24836-2021")</f>
        <v/>
      </c>
      <c r="Y185">
        <f>HYPERLINK("https://klasma.github.io/Logging_1766/tillsynsmail/A 24836-2021 tillsynsbegäran mail.docx", "A 24836-2021")</f>
        <v/>
      </c>
      <c r="Z185">
        <f>HYPERLINK("https://klasma.github.io/Logging_1766/fåglar/A 24836-2021 prioriterade fågelarter.docx", "A 24836-2021")</f>
        <v/>
      </c>
    </row>
    <row r="186" ht="15" customHeight="1">
      <c r="A186" t="inlineStr">
        <is>
          <t>A 28169-2021</t>
        </is>
      </c>
      <c r="B186" s="1" t="n">
        <v>44355</v>
      </c>
      <c r="C186" s="1" t="n">
        <v>45810</v>
      </c>
      <c r="D186" t="inlineStr">
        <is>
          <t>VÄRMLANDS LÄN</t>
        </is>
      </c>
      <c r="E186" t="inlineStr">
        <is>
          <t>FILIPSTAD</t>
        </is>
      </c>
      <c r="F186" t="inlineStr">
        <is>
          <t>Bergvik skog väst AB</t>
        </is>
      </c>
      <c r="G186" t="n">
        <v>6.1</v>
      </c>
      <c r="H186" t="n">
        <v>1</v>
      </c>
      <c r="I186" t="n">
        <v>1</v>
      </c>
      <c r="J186" t="n">
        <v>1</v>
      </c>
      <c r="K186" t="n">
        <v>1</v>
      </c>
      <c r="L186" t="n">
        <v>0</v>
      </c>
      <c r="M186" t="n">
        <v>0</v>
      </c>
      <c r="N186" t="n">
        <v>0</v>
      </c>
      <c r="O186" t="n">
        <v>2</v>
      </c>
      <c r="P186" t="n">
        <v>1</v>
      </c>
      <c r="Q186" t="n">
        <v>3</v>
      </c>
      <c r="R186" s="2" t="inlineStr">
        <is>
          <t>Knärot
Garnlav
Mindre märgborre</t>
        </is>
      </c>
      <c r="S186">
        <f>HYPERLINK("https://klasma.github.io/Logging_1782/artfynd/A 28169-2021 artfynd.xlsx", "A 28169-2021")</f>
        <v/>
      </c>
      <c r="T186">
        <f>HYPERLINK("https://klasma.github.io/Logging_1782/kartor/A 28169-2021 karta.png", "A 28169-2021")</f>
        <v/>
      </c>
      <c r="U186">
        <f>HYPERLINK("https://klasma.github.io/Logging_1782/knärot/A 28169-2021 karta knärot.png", "A 28169-2021")</f>
        <v/>
      </c>
      <c r="V186">
        <f>HYPERLINK("https://klasma.github.io/Logging_1782/klagomål/A 28169-2021 FSC-klagomål.docx", "A 28169-2021")</f>
        <v/>
      </c>
      <c r="W186">
        <f>HYPERLINK("https://klasma.github.io/Logging_1782/klagomålsmail/A 28169-2021 FSC-klagomål mail.docx", "A 28169-2021")</f>
        <v/>
      </c>
      <c r="X186">
        <f>HYPERLINK("https://klasma.github.io/Logging_1782/tillsyn/A 28169-2021 tillsynsbegäran.docx", "A 28169-2021")</f>
        <v/>
      </c>
      <c r="Y186">
        <f>HYPERLINK("https://klasma.github.io/Logging_1782/tillsynsmail/A 28169-2021 tillsynsbegäran mail.docx", "A 28169-2021")</f>
        <v/>
      </c>
    </row>
    <row r="187" ht="15" customHeight="1">
      <c r="A187" t="inlineStr">
        <is>
          <t>A 31896-2021</t>
        </is>
      </c>
      <c r="B187" s="1" t="n">
        <v>44370</v>
      </c>
      <c r="C187" s="1" t="n">
        <v>45810</v>
      </c>
      <c r="D187" t="inlineStr">
        <is>
          <t>VÄRMLANDS LÄN</t>
        </is>
      </c>
      <c r="E187" t="inlineStr">
        <is>
          <t>KARLSTAD</t>
        </is>
      </c>
      <c r="F187" t="inlineStr">
        <is>
          <t>Kommuner</t>
        </is>
      </c>
      <c r="G187" t="n">
        <v>3.3</v>
      </c>
      <c r="H187" t="n">
        <v>1</v>
      </c>
      <c r="I187" t="n">
        <v>1</v>
      </c>
      <c r="J187" t="n">
        <v>1</v>
      </c>
      <c r="K187" t="n">
        <v>1</v>
      </c>
      <c r="L187" t="n">
        <v>0</v>
      </c>
      <c r="M187" t="n">
        <v>0</v>
      </c>
      <c r="N187" t="n">
        <v>0</v>
      </c>
      <c r="O187" t="n">
        <v>2</v>
      </c>
      <c r="P187" t="n">
        <v>1</v>
      </c>
      <c r="Q187" t="n">
        <v>3</v>
      </c>
      <c r="R187" s="2" t="inlineStr">
        <is>
          <t>Vågticka
Brun gräsfjäril
Vågbandad barkbock</t>
        </is>
      </c>
      <c r="S187">
        <f>HYPERLINK("https://klasma.github.io/Logging_1780/artfynd/A 31896-2021 artfynd.xlsx", "A 31896-2021")</f>
        <v/>
      </c>
      <c r="T187">
        <f>HYPERLINK("https://klasma.github.io/Logging_1780/kartor/A 31896-2021 karta.png", "A 31896-2021")</f>
        <v/>
      </c>
      <c r="V187">
        <f>HYPERLINK("https://klasma.github.io/Logging_1780/klagomål/A 31896-2021 FSC-klagomål.docx", "A 31896-2021")</f>
        <v/>
      </c>
      <c r="W187">
        <f>HYPERLINK("https://klasma.github.io/Logging_1780/klagomålsmail/A 31896-2021 FSC-klagomål mail.docx", "A 31896-2021")</f>
        <v/>
      </c>
      <c r="X187">
        <f>HYPERLINK("https://klasma.github.io/Logging_1780/tillsyn/A 31896-2021 tillsynsbegäran.docx", "A 31896-2021")</f>
        <v/>
      </c>
      <c r="Y187">
        <f>HYPERLINK("https://klasma.github.io/Logging_1780/tillsynsmail/A 31896-2021 tillsynsbegäran mail.docx", "A 31896-2021")</f>
        <v/>
      </c>
    </row>
    <row r="188" ht="15" customHeight="1">
      <c r="A188" t="inlineStr">
        <is>
          <t>A 36377-2021</t>
        </is>
      </c>
      <c r="B188" s="1" t="n">
        <v>44375</v>
      </c>
      <c r="C188" s="1" t="n">
        <v>45810</v>
      </c>
      <c r="D188" t="inlineStr">
        <is>
          <t>VÄRMLANDS LÄN</t>
        </is>
      </c>
      <c r="E188" t="inlineStr">
        <is>
          <t>EDA</t>
        </is>
      </c>
      <c r="G188" t="n">
        <v>0.9</v>
      </c>
      <c r="H188" t="n">
        <v>1</v>
      </c>
      <c r="I188" t="n">
        <v>1</v>
      </c>
      <c r="J188" t="n">
        <v>1</v>
      </c>
      <c r="K188" t="n">
        <v>0</v>
      </c>
      <c r="L188" t="n">
        <v>0</v>
      </c>
      <c r="M188" t="n">
        <v>0</v>
      </c>
      <c r="N188" t="n">
        <v>0</v>
      </c>
      <c r="O188" t="n">
        <v>1</v>
      </c>
      <c r="P188" t="n">
        <v>0</v>
      </c>
      <c r="Q188" t="n">
        <v>3</v>
      </c>
      <c r="R188" s="2" t="inlineStr">
        <is>
          <t>Vedtrappmossa
Thomsons trägnagare
Blåsippa</t>
        </is>
      </c>
      <c r="S188">
        <f>HYPERLINK("https://klasma.github.io/Logging_1730/artfynd/A 36377-2021 artfynd.xlsx", "A 36377-2021")</f>
        <v/>
      </c>
      <c r="T188">
        <f>HYPERLINK("https://klasma.github.io/Logging_1730/kartor/A 36377-2021 karta.png", "A 36377-2021")</f>
        <v/>
      </c>
      <c r="V188">
        <f>HYPERLINK("https://klasma.github.io/Logging_1730/klagomål/A 36377-2021 FSC-klagomål.docx", "A 36377-2021")</f>
        <v/>
      </c>
      <c r="W188">
        <f>HYPERLINK("https://klasma.github.io/Logging_1730/klagomålsmail/A 36377-2021 FSC-klagomål mail.docx", "A 36377-2021")</f>
        <v/>
      </c>
      <c r="X188">
        <f>HYPERLINK("https://klasma.github.io/Logging_1730/tillsyn/A 36377-2021 tillsynsbegäran.docx", "A 36377-2021")</f>
        <v/>
      </c>
      <c r="Y188">
        <f>HYPERLINK("https://klasma.github.io/Logging_1730/tillsynsmail/A 36377-2021 tillsynsbegäran mail.docx", "A 36377-2021")</f>
        <v/>
      </c>
    </row>
    <row r="189" ht="15" customHeight="1">
      <c r="A189" t="inlineStr">
        <is>
          <t>A 33327-2021</t>
        </is>
      </c>
      <c r="B189" s="1" t="n">
        <v>44377</v>
      </c>
      <c r="C189" s="1" t="n">
        <v>45810</v>
      </c>
      <c r="D189" t="inlineStr">
        <is>
          <t>VÄRMLANDS LÄN</t>
        </is>
      </c>
      <c r="E189" t="inlineStr">
        <is>
          <t>ÅRJÄNG</t>
        </is>
      </c>
      <c r="G189" t="n">
        <v>14.9</v>
      </c>
      <c r="H189" t="n">
        <v>1</v>
      </c>
      <c r="I189" t="n">
        <v>1</v>
      </c>
      <c r="J189" t="n">
        <v>0</v>
      </c>
      <c r="K189" t="n">
        <v>1</v>
      </c>
      <c r="L189" t="n">
        <v>1</v>
      </c>
      <c r="M189" t="n">
        <v>0</v>
      </c>
      <c r="N189" t="n">
        <v>0</v>
      </c>
      <c r="O189" t="n">
        <v>2</v>
      </c>
      <c r="P189" t="n">
        <v>2</v>
      </c>
      <c r="Q189" t="n">
        <v>3</v>
      </c>
      <c r="R189" s="2" t="inlineStr">
        <is>
          <t>Grynlav
Knärot
Korallblylav</t>
        </is>
      </c>
      <c r="S189">
        <f>HYPERLINK("https://klasma.github.io/Logging_1765/artfynd/A 33327-2021 artfynd.xlsx", "A 33327-2021")</f>
        <v/>
      </c>
      <c r="T189">
        <f>HYPERLINK("https://klasma.github.io/Logging_1765/kartor/A 33327-2021 karta.png", "A 33327-2021")</f>
        <v/>
      </c>
      <c r="U189">
        <f>HYPERLINK("https://klasma.github.io/Logging_1765/knärot/A 33327-2021 karta knärot.png", "A 33327-2021")</f>
        <v/>
      </c>
      <c r="V189">
        <f>HYPERLINK("https://klasma.github.io/Logging_1765/klagomål/A 33327-2021 FSC-klagomål.docx", "A 33327-2021")</f>
        <v/>
      </c>
      <c r="W189">
        <f>HYPERLINK("https://klasma.github.io/Logging_1765/klagomålsmail/A 33327-2021 FSC-klagomål mail.docx", "A 33327-2021")</f>
        <v/>
      </c>
      <c r="X189">
        <f>HYPERLINK("https://klasma.github.io/Logging_1765/tillsyn/A 33327-2021 tillsynsbegäran.docx", "A 33327-2021")</f>
        <v/>
      </c>
      <c r="Y189">
        <f>HYPERLINK("https://klasma.github.io/Logging_1765/tillsynsmail/A 33327-2021 tillsynsbegäran mail.docx", "A 33327-2021")</f>
        <v/>
      </c>
    </row>
    <row r="190" ht="15" customHeight="1">
      <c r="A190" t="inlineStr">
        <is>
          <t>A 63880-2021</t>
        </is>
      </c>
      <c r="B190" s="1" t="n">
        <v>44509</v>
      </c>
      <c r="C190" s="1" t="n">
        <v>45810</v>
      </c>
      <c r="D190" t="inlineStr">
        <is>
          <t>VÄRMLANDS LÄN</t>
        </is>
      </c>
      <c r="E190" t="inlineStr">
        <is>
          <t>ARVIKA</t>
        </is>
      </c>
      <c r="G190" t="n">
        <v>26.5</v>
      </c>
      <c r="H190" t="n">
        <v>0</v>
      </c>
      <c r="I190" t="n">
        <v>1</v>
      </c>
      <c r="J190" t="n">
        <v>1</v>
      </c>
      <c r="K190" t="n">
        <v>1</v>
      </c>
      <c r="L190" t="n">
        <v>0</v>
      </c>
      <c r="M190" t="n">
        <v>0</v>
      </c>
      <c r="N190" t="n">
        <v>0</v>
      </c>
      <c r="O190" t="n">
        <v>2</v>
      </c>
      <c r="P190" t="n">
        <v>1</v>
      </c>
      <c r="Q190" t="n">
        <v>3</v>
      </c>
      <c r="R190" s="2" t="inlineStr">
        <is>
          <t>Aspfjädermossa
Lunglav
Stor aspticka</t>
        </is>
      </c>
      <c r="S190">
        <f>HYPERLINK("https://klasma.github.io/Logging_1784/artfynd/A 63880-2021 artfynd.xlsx", "A 63880-2021")</f>
        <v/>
      </c>
      <c r="T190">
        <f>HYPERLINK("https://klasma.github.io/Logging_1784/kartor/A 63880-2021 karta.png", "A 63880-2021")</f>
        <v/>
      </c>
      <c r="V190">
        <f>HYPERLINK("https://klasma.github.io/Logging_1784/klagomål/A 63880-2021 FSC-klagomål.docx", "A 63880-2021")</f>
        <v/>
      </c>
      <c r="W190">
        <f>HYPERLINK("https://klasma.github.io/Logging_1784/klagomålsmail/A 63880-2021 FSC-klagomål mail.docx", "A 63880-2021")</f>
        <v/>
      </c>
      <c r="X190">
        <f>HYPERLINK("https://klasma.github.io/Logging_1784/tillsyn/A 63880-2021 tillsynsbegäran.docx", "A 63880-2021")</f>
        <v/>
      </c>
      <c r="Y190">
        <f>HYPERLINK("https://klasma.github.io/Logging_1784/tillsynsmail/A 63880-2021 tillsynsbegäran mail.docx", "A 63880-2021")</f>
        <v/>
      </c>
    </row>
    <row r="191" ht="15" customHeight="1">
      <c r="A191" t="inlineStr">
        <is>
          <t>A 63893-2021</t>
        </is>
      </c>
      <c r="B191" s="1" t="n">
        <v>44509</v>
      </c>
      <c r="C191" s="1" t="n">
        <v>45810</v>
      </c>
      <c r="D191" t="inlineStr">
        <is>
          <t>VÄRMLANDS LÄN</t>
        </is>
      </c>
      <c r="E191" t="inlineStr">
        <is>
          <t>HAGFORS</t>
        </is>
      </c>
      <c r="G191" t="n">
        <v>1.5</v>
      </c>
      <c r="H191" t="n">
        <v>0</v>
      </c>
      <c r="I191" t="n">
        <v>0</v>
      </c>
      <c r="J191" t="n">
        <v>3</v>
      </c>
      <c r="K191" t="n">
        <v>0</v>
      </c>
      <c r="L191" t="n">
        <v>0</v>
      </c>
      <c r="M191" t="n">
        <v>0</v>
      </c>
      <c r="N191" t="n">
        <v>0</v>
      </c>
      <c r="O191" t="n">
        <v>3</v>
      </c>
      <c r="P191" t="n">
        <v>0</v>
      </c>
      <c r="Q191" t="n">
        <v>3</v>
      </c>
      <c r="R191" s="2" t="inlineStr">
        <is>
          <t>Garnlav
Mörk kolflarnlav
Vedskivlav</t>
        </is>
      </c>
      <c r="S191">
        <f>HYPERLINK("https://klasma.github.io/Logging_1783/artfynd/A 63893-2021 artfynd.xlsx", "A 63893-2021")</f>
        <v/>
      </c>
      <c r="T191">
        <f>HYPERLINK("https://klasma.github.io/Logging_1783/kartor/A 63893-2021 karta.png", "A 63893-2021")</f>
        <v/>
      </c>
      <c r="V191">
        <f>HYPERLINK("https://klasma.github.io/Logging_1783/klagomål/A 63893-2021 FSC-klagomål.docx", "A 63893-2021")</f>
        <v/>
      </c>
      <c r="W191">
        <f>HYPERLINK("https://klasma.github.io/Logging_1783/klagomålsmail/A 63893-2021 FSC-klagomål mail.docx", "A 63893-2021")</f>
        <v/>
      </c>
      <c r="X191">
        <f>HYPERLINK("https://klasma.github.io/Logging_1783/tillsyn/A 63893-2021 tillsynsbegäran.docx", "A 63893-2021")</f>
        <v/>
      </c>
      <c r="Y191">
        <f>HYPERLINK("https://klasma.github.io/Logging_1783/tillsynsmail/A 63893-2021 tillsynsbegäran mail.docx", "A 63893-2021")</f>
        <v/>
      </c>
    </row>
    <row r="192" ht="15" customHeight="1">
      <c r="A192" t="inlineStr">
        <is>
          <t>A 67528-2021</t>
        </is>
      </c>
      <c r="B192" s="1" t="n">
        <v>44524</v>
      </c>
      <c r="C192" s="1" t="n">
        <v>45810</v>
      </c>
      <c r="D192" t="inlineStr">
        <is>
          <t>VÄRMLANDS LÄN</t>
        </is>
      </c>
      <c r="E192" t="inlineStr">
        <is>
          <t>TORSBY</t>
        </is>
      </c>
      <c r="G192" t="n">
        <v>47</v>
      </c>
      <c r="H192" t="n">
        <v>1</v>
      </c>
      <c r="I192" t="n">
        <v>1</v>
      </c>
      <c r="J192" t="n">
        <v>1</v>
      </c>
      <c r="K192" t="n">
        <v>0</v>
      </c>
      <c r="L192" t="n">
        <v>0</v>
      </c>
      <c r="M192" t="n">
        <v>0</v>
      </c>
      <c r="N192" t="n">
        <v>0</v>
      </c>
      <c r="O192" t="n">
        <v>1</v>
      </c>
      <c r="P192" t="n">
        <v>0</v>
      </c>
      <c r="Q192" t="n">
        <v>3</v>
      </c>
      <c r="R192" s="2" t="inlineStr">
        <is>
          <t>Garnlav
Vedticka
Tjäder</t>
        </is>
      </c>
      <c r="S192">
        <f>HYPERLINK("https://klasma.github.io/Logging_1737/artfynd/A 67528-2021 artfynd.xlsx", "A 67528-2021")</f>
        <v/>
      </c>
      <c r="T192">
        <f>HYPERLINK("https://klasma.github.io/Logging_1737/kartor/A 67528-2021 karta.png", "A 67528-2021")</f>
        <v/>
      </c>
      <c r="V192">
        <f>HYPERLINK("https://klasma.github.io/Logging_1737/klagomål/A 67528-2021 FSC-klagomål.docx", "A 67528-2021")</f>
        <v/>
      </c>
      <c r="W192">
        <f>HYPERLINK("https://klasma.github.io/Logging_1737/klagomålsmail/A 67528-2021 FSC-klagomål mail.docx", "A 67528-2021")</f>
        <v/>
      </c>
      <c r="X192">
        <f>HYPERLINK("https://klasma.github.io/Logging_1737/tillsyn/A 67528-2021 tillsynsbegäran.docx", "A 67528-2021")</f>
        <v/>
      </c>
      <c r="Y192">
        <f>HYPERLINK("https://klasma.github.io/Logging_1737/tillsynsmail/A 67528-2021 tillsynsbegäran mail.docx", "A 67528-2021")</f>
        <v/>
      </c>
      <c r="Z192">
        <f>HYPERLINK("https://klasma.github.io/Logging_1737/fåglar/A 67528-2021 prioriterade fågelarter.docx", "A 67528-2021")</f>
        <v/>
      </c>
    </row>
    <row r="193" ht="15" customHeight="1">
      <c r="A193" t="inlineStr">
        <is>
          <t>A 70301-2021</t>
        </is>
      </c>
      <c r="B193" s="1" t="n">
        <v>44536</v>
      </c>
      <c r="C193" s="1" t="n">
        <v>45810</v>
      </c>
      <c r="D193" t="inlineStr">
        <is>
          <t>VÄRMLANDS LÄN</t>
        </is>
      </c>
      <c r="E193" t="inlineStr">
        <is>
          <t>TORSBY</t>
        </is>
      </c>
      <c r="G193" t="n">
        <v>1</v>
      </c>
      <c r="H193" t="n">
        <v>0</v>
      </c>
      <c r="I193" t="n">
        <v>1</v>
      </c>
      <c r="J193" t="n">
        <v>2</v>
      </c>
      <c r="K193" t="n">
        <v>0</v>
      </c>
      <c r="L193" t="n">
        <v>0</v>
      </c>
      <c r="M193" t="n">
        <v>0</v>
      </c>
      <c r="N193" t="n">
        <v>0</v>
      </c>
      <c r="O193" t="n">
        <v>2</v>
      </c>
      <c r="P193" t="n">
        <v>0</v>
      </c>
      <c r="Q193" t="n">
        <v>3</v>
      </c>
      <c r="R193" s="2" t="inlineStr">
        <is>
          <t>Gammelgransskål
Garnlav
Stuplav</t>
        </is>
      </c>
      <c r="S193">
        <f>HYPERLINK("https://klasma.github.io/Logging_1737/artfynd/A 70301-2021 artfynd.xlsx", "A 70301-2021")</f>
        <v/>
      </c>
      <c r="T193">
        <f>HYPERLINK("https://klasma.github.io/Logging_1737/kartor/A 70301-2021 karta.png", "A 70301-2021")</f>
        <v/>
      </c>
      <c r="V193">
        <f>HYPERLINK("https://klasma.github.io/Logging_1737/klagomål/A 70301-2021 FSC-klagomål.docx", "A 70301-2021")</f>
        <v/>
      </c>
      <c r="W193">
        <f>HYPERLINK("https://klasma.github.io/Logging_1737/klagomålsmail/A 70301-2021 FSC-klagomål mail.docx", "A 70301-2021")</f>
        <v/>
      </c>
      <c r="X193">
        <f>HYPERLINK("https://klasma.github.io/Logging_1737/tillsyn/A 70301-2021 tillsynsbegäran.docx", "A 70301-2021")</f>
        <v/>
      </c>
      <c r="Y193">
        <f>HYPERLINK("https://klasma.github.io/Logging_1737/tillsynsmail/A 70301-2021 tillsynsbegäran mail.docx", "A 70301-2021")</f>
        <v/>
      </c>
    </row>
    <row r="194" ht="15" customHeight="1">
      <c r="A194" t="inlineStr">
        <is>
          <t>A 8612-2022</t>
        </is>
      </c>
      <c r="B194" s="1" t="n">
        <v>44613</v>
      </c>
      <c r="C194" s="1" t="n">
        <v>45810</v>
      </c>
      <c r="D194" t="inlineStr">
        <is>
          <t>VÄRMLANDS LÄN</t>
        </is>
      </c>
      <c r="E194" t="inlineStr">
        <is>
          <t>ARVIKA</t>
        </is>
      </c>
      <c r="G194" t="n">
        <v>0.6</v>
      </c>
      <c r="H194" t="n">
        <v>0</v>
      </c>
      <c r="I194" t="n">
        <v>1</v>
      </c>
      <c r="J194" t="n">
        <v>2</v>
      </c>
      <c r="K194" t="n">
        <v>0</v>
      </c>
      <c r="L194" t="n">
        <v>0</v>
      </c>
      <c r="M194" t="n">
        <v>0</v>
      </c>
      <c r="N194" t="n">
        <v>0</v>
      </c>
      <c r="O194" t="n">
        <v>2</v>
      </c>
      <c r="P194" t="n">
        <v>0</v>
      </c>
      <c r="Q194" t="n">
        <v>3</v>
      </c>
      <c r="R194" s="2" t="inlineStr">
        <is>
          <t>Orange taggsvamp
Svart taggsvamp
Dropptaggsvamp</t>
        </is>
      </c>
      <c r="S194">
        <f>HYPERLINK("https://klasma.github.io/Logging_1784/artfynd/A 8612-2022 artfynd.xlsx", "A 8612-2022")</f>
        <v/>
      </c>
      <c r="T194">
        <f>HYPERLINK("https://klasma.github.io/Logging_1784/kartor/A 8612-2022 karta.png", "A 8612-2022")</f>
        <v/>
      </c>
      <c r="V194">
        <f>HYPERLINK("https://klasma.github.io/Logging_1784/klagomål/A 8612-2022 FSC-klagomål.docx", "A 8612-2022")</f>
        <v/>
      </c>
      <c r="W194">
        <f>HYPERLINK("https://klasma.github.io/Logging_1784/klagomålsmail/A 8612-2022 FSC-klagomål mail.docx", "A 8612-2022")</f>
        <v/>
      </c>
      <c r="X194">
        <f>HYPERLINK("https://klasma.github.io/Logging_1784/tillsyn/A 8612-2022 tillsynsbegäran.docx", "A 8612-2022")</f>
        <v/>
      </c>
      <c r="Y194">
        <f>HYPERLINK("https://klasma.github.io/Logging_1784/tillsynsmail/A 8612-2022 tillsynsbegäran mail.docx", "A 8612-2022")</f>
        <v/>
      </c>
    </row>
    <row r="195" ht="15" customHeight="1">
      <c r="A195" t="inlineStr">
        <is>
          <t>A 8514-2022</t>
        </is>
      </c>
      <c r="B195" s="1" t="n">
        <v>44613</v>
      </c>
      <c r="C195" s="1" t="n">
        <v>45810</v>
      </c>
      <c r="D195" t="inlineStr">
        <is>
          <t>VÄRMLANDS LÄN</t>
        </is>
      </c>
      <c r="E195" t="inlineStr">
        <is>
          <t>TORSBY</t>
        </is>
      </c>
      <c r="G195" t="n">
        <v>4.4</v>
      </c>
      <c r="H195" t="n">
        <v>0</v>
      </c>
      <c r="I195" t="n">
        <v>0</v>
      </c>
      <c r="J195" t="n">
        <v>3</v>
      </c>
      <c r="K195" t="n">
        <v>0</v>
      </c>
      <c r="L195" t="n">
        <v>0</v>
      </c>
      <c r="M195" t="n">
        <v>0</v>
      </c>
      <c r="N195" t="n">
        <v>0</v>
      </c>
      <c r="O195" t="n">
        <v>3</v>
      </c>
      <c r="P195" t="n">
        <v>0</v>
      </c>
      <c r="Q195" t="n">
        <v>3</v>
      </c>
      <c r="R195" s="2" t="inlineStr">
        <is>
          <t>Garnlav
Kolflarnlav
Mörk kolflarnlav</t>
        </is>
      </c>
      <c r="S195">
        <f>HYPERLINK("https://klasma.github.io/Logging_1737/artfynd/A 8514-2022 artfynd.xlsx", "A 8514-2022")</f>
        <v/>
      </c>
      <c r="T195">
        <f>HYPERLINK("https://klasma.github.io/Logging_1737/kartor/A 8514-2022 karta.png", "A 8514-2022")</f>
        <v/>
      </c>
      <c r="V195">
        <f>HYPERLINK("https://klasma.github.io/Logging_1737/klagomål/A 8514-2022 FSC-klagomål.docx", "A 8514-2022")</f>
        <v/>
      </c>
      <c r="W195">
        <f>HYPERLINK("https://klasma.github.io/Logging_1737/klagomålsmail/A 8514-2022 FSC-klagomål mail.docx", "A 8514-2022")</f>
        <v/>
      </c>
      <c r="X195">
        <f>HYPERLINK("https://klasma.github.io/Logging_1737/tillsyn/A 8514-2022 tillsynsbegäran.docx", "A 8514-2022")</f>
        <v/>
      </c>
      <c r="Y195">
        <f>HYPERLINK("https://klasma.github.io/Logging_1737/tillsynsmail/A 8514-2022 tillsynsbegäran mail.docx", "A 8514-2022")</f>
        <v/>
      </c>
    </row>
    <row r="196" ht="15" customHeight="1">
      <c r="A196" t="inlineStr">
        <is>
          <t>A 11927-2022</t>
        </is>
      </c>
      <c r="B196" s="1" t="n">
        <v>44635</v>
      </c>
      <c r="C196" s="1" t="n">
        <v>45810</v>
      </c>
      <c r="D196" t="inlineStr">
        <is>
          <t>VÄRMLANDS LÄN</t>
        </is>
      </c>
      <c r="E196" t="inlineStr">
        <is>
          <t>KARLSTAD</t>
        </is>
      </c>
      <c r="F196" t="inlineStr">
        <is>
          <t>Kommuner</t>
        </is>
      </c>
      <c r="G196" t="n">
        <v>12</v>
      </c>
      <c r="H196" t="n">
        <v>0</v>
      </c>
      <c r="I196" t="n">
        <v>2</v>
      </c>
      <c r="J196" t="n">
        <v>1</v>
      </c>
      <c r="K196" t="n">
        <v>0</v>
      </c>
      <c r="L196" t="n">
        <v>0</v>
      </c>
      <c r="M196" t="n">
        <v>0</v>
      </c>
      <c r="N196" t="n">
        <v>0</v>
      </c>
      <c r="O196" t="n">
        <v>1</v>
      </c>
      <c r="P196" t="n">
        <v>0</v>
      </c>
      <c r="Q196" t="n">
        <v>3</v>
      </c>
      <c r="R196" s="2" t="inlineStr">
        <is>
          <t>Ullticka
Barkticka
Kornig nållav</t>
        </is>
      </c>
      <c r="S196">
        <f>HYPERLINK("https://klasma.github.io/Logging_1780/artfynd/A 11927-2022 artfynd.xlsx", "A 11927-2022")</f>
        <v/>
      </c>
      <c r="T196">
        <f>HYPERLINK("https://klasma.github.io/Logging_1780/kartor/A 11927-2022 karta.png", "A 11927-2022")</f>
        <v/>
      </c>
      <c r="V196">
        <f>HYPERLINK("https://klasma.github.io/Logging_1780/klagomål/A 11927-2022 FSC-klagomål.docx", "A 11927-2022")</f>
        <v/>
      </c>
      <c r="W196">
        <f>HYPERLINK("https://klasma.github.io/Logging_1780/klagomålsmail/A 11927-2022 FSC-klagomål mail.docx", "A 11927-2022")</f>
        <v/>
      </c>
      <c r="X196">
        <f>HYPERLINK("https://klasma.github.io/Logging_1780/tillsyn/A 11927-2022 tillsynsbegäran.docx", "A 11927-2022")</f>
        <v/>
      </c>
      <c r="Y196">
        <f>HYPERLINK("https://klasma.github.io/Logging_1780/tillsynsmail/A 11927-2022 tillsynsbegäran mail.docx", "A 11927-2022")</f>
        <v/>
      </c>
    </row>
    <row r="197" ht="15" customHeight="1">
      <c r="A197" t="inlineStr">
        <is>
          <t>A 23576-2022</t>
        </is>
      </c>
      <c r="B197" s="1" t="n">
        <v>44721</v>
      </c>
      <c r="C197" s="1" t="n">
        <v>45810</v>
      </c>
      <c r="D197" t="inlineStr">
        <is>
          <t>VÄRMLANDS LÄN</t>
        </is>
      </c>
      <c r="E197" t="inlineStr">
        <is>
          <t>TORSBY</t>
        </is>
      </c>
      <c r="G197" t="n">
        <v>8.5</v>
      </c>
      <c r="H197" t="n">
        <v>0</v>
      </c>
      <c r="I197" t="n">
        <v>1</v>
      </c>
      <c r="J197" t="n">
        <v>2</v>
      </c>
      <c r="K197" t="n">
        <v>0</v>
      </c>
      <c r="L197" t="n">
        <v>0</v>
      </c>
      <c r="M197" t="n">
        <v>0</v>
      </c>
      <c r="N197" t="n">
        <v>0</v>
      </c>
      <c r="O197" t="n">
        <v>2</v>
      </c>
      <c r="P197" t="n">
        <v>0</v>
      </c>
      <c r="Q197" t="n">
        <v>3</v>
      </c>
      <c r="R197" s="2" t="inlineStr">
        <is>
          <t>Garnlav
Violettgrå tagellav
Gulnål</t>
        </is>
      </c>
      <c r="S197">
        <f>HYPERLINK("https://klasma.github.io/Logging_1737/artfynd/A 23576-2022 artfynd.xlsx", "A 23576-2022")</f>
        <v/>
      </c>
      <c r="T197">
        <f>HYPERLINK("https://klasma.github.io/Logging_1737/kartor/A 23576-2022 karta.png", "A 23576-2022")</f>
        <v/>
      </c>
      <c r="V197">
        <f>HYPERLINK("https://klasma.github.io/Logging_1737/klagomål/A 23576-2022 FSC-klagomål.docx", "A 23576-2022")</f>
        <v/>
      </c>
      <c r="W197">
        <f>HYPERLINK("https://klasma.github.io/Logging_1737/klagomålsmail/A 23576-2022 FSC-klagomål mail.docx", "A 23576-2022")</f>
        <v/>
      </c>
      <c r="X197">
        <f>HYPERLINK("https://klasma.github.io/Logging_1737/tillsyn/A 23576-2022 tillsynsbegäran.docx", "A 23576-2022")</f>
        <v/>
      </c>
      <c r="Y197">
        <f>HYPERLINK("https://klasma.github.io/Logging_1737/tillsynsmail/A 23576-2022 tillsynsbegäran mail.docx", "A 23576-2022")</f>
        <v/>
      </c>
    </row>
    <row r="198" ht="15" customHeight="1">
      <c r="A198" t="inlineStr">
        <is>
          <t>A 24616-2022</t>
        </is>
      </c>
      <c r="B198" s="1" t="n">
        <v>44727</v>
      </c>
      <c r="C198" s="1" t="n">
        <v>45810</v>
      </c>
      <c r="D198" t="inlineStr">
        <is>
          <t>VÄRMLANDS LÄN</t>
        </is>
      </c>
      <c r="E198" t="inlineStr">
        <is>
          <t>HAMMARÖ</t>
        </is>
      </c>
      <c r="F198" t="inlineStr">
        <is>
          <t>Kommuner</t>
        </is>
      </c>
      <c r="G198" t="n">
        <v>4</v>
      </c>
      <c r="H198" t="n">
        <v>3</v>
      </c>
      <c r="I198" t="n">
        <v>0</v>
      </c>
      <c r="J198" t="n">
        <v>2</v>
      </c>
      <c r="K198" t="n">
        <v>1</v>
      </c>
      <c r="L198" t="n">
        <v>0</v>
      </c>
      <c r="M198" t="n">
        <v>0</v>
      </c>
      <c r="N198" t="n">
        <v>0</v>
      </c>
      <c r="O198" t="n">
        <v>3</v>
      </c>
      <c r="P198" t="n">
        <v>1</v>
      </c>
      <c r="Q198" t="n">
        <v>3</v>
      </c>
      <c r="R198" s="2" t="inlineStr">
        <is>
          <t>Knärot
Spillkråka
Tretåig hackspett</t>
        </is>
      </c>
      <c r="S198">
        <f>HYPERLINK("https://klasma.github.io/Logging_1761/artfynd/A 24616-2022 artfynd.xlsx", "A 24616-2022")</f>
        <v/>
      </c>
      <c r="T198">
        <f>HYPERLINK("https://klasma.github.io/Logging_1761/kartor/A 24616-2022 karta.png", "A 24616-2022")</f>
        <v/>
      </c>
      <c r="U198">
        <f>HYPERLINK("https://klasma.github.io/Logging_1761/knärot/A 24616-2022 karta knärot.png", "A 24616-2022")</f>
        <v/>
      </c>
      <c r="V198">
        <f>HYPERLINK("https://klasma.github.io/Logging_1761/klagomål/A 24616-2022 FSC-klagomål.docx", "A 24616-2022")</f>
        <v/>
      </c>
      <c r="W198">
        <f>HYPERLINK("https://klasma.github.io/Logging_1761/klagomålsmail/A 24616-2022 FSC-klagomål mail.docx", "A 24616-2022")</f>
        <v/>
      </c>
      <c r="X198">
        <f>HYPERLINK("https://klasma.github.io/Logging_1761/tillsyn/A 24616-2022 tillsynsbegäran.docx", "A 24616-2022")</f>
        <v/>
      </c>
      <c r="Y198">
        <f>HYPERLINK("https://klasma.github.io/Logging_1761/tillsynsmail/A 24616-2022 tillsynsbegäran mail.docx", "A 24616-2022")</f>
        <v/>
      </c>
      <c r="Z198">
        <f>HYPERLINK("https://klasma.github.io/Logging_1761/fåglar/A 24616-2022 prioriterade fågelarter.docx", "A 24616-2022")</f>
        <v/>
      </c>
    </row>
    <row r="199" ht="15" customHeight="1">
      <c r="A199" t="inlineStr">
        <is>
          <t>A 26898-2022</t>
        </is>
      </c>
      <c r="B199" s="1" t="n">
        <v>44740</v>
      </c>
      <c r="C199" s="1" t="n">
        <v>45810</v>
      </c>
      <c r="D199" t="inlineStr">
        <is>
          <t>VÄRMLANDS LÄN</t>
        </is>
      </c>
      <c r="E199" t="inlineStr">
        <is>
          <t>EDA</t>
        </is>
      </c>
      <c r="G199" t="n">
        <v>7.7</v>
      </c>
      <c r="H199" t="n">
        <v>0</v>
      </c>
      <c r="I199" t="n">
        <v>1</v>
      </c>
      <c r="J199" t="n">
        <v>2</v>
      </c>
      <c r="K199" t="n">
        <v>0</v>
      </c>
      <c r="L199" t="n">
        <v>0</v>
      </c>
      <c r="M199" t="n">
        <v>0</v>
      </c>
      <c r="N199" t="n">
        <v>0</v>
      </c>
      <c r="O199" t="n">
        <v>2</v>
      </c>
      <c r="P199" t="n">
        <v>0</v>
      </c>
      <c r="Q199" t="n">
        <v>3</v>
      </c>
      <c r="R199" s="2" t="inlineStr">
        <is>
          <t>Garnlav
Vedskivlav
Dropptaggsvamp</t>
        </is>
      </c>
      <c r="S199">
        <f>HYPERLINK("https://klasma.github.io/Logging_1730/artfynd/A 26898-2022 artfynd.xlsx", "A 26898-2022")</f>
        <v/>
      </c>
      <c r="T199">
        <f>HYPERLINK("https://klasma.github.io/Logging_1730/kartor/A 26898-2022 karta.png", "A 26898-2022")</f>
        <v/>
      </c>
      <c r="V199">
        <f>HYPERLINK("https://klasma.github.io/Logging_1730/klagomål/A 26898-2022 FSC-klagomål.docx", "A 26898-2022")</f>
        <v/>
      </c>
      <c r="W199">
        <f>HYPERLINK("https://klasma.github.io/Logging_1730/klagomålsmail/A 26898-2022 FSC-klagomål mail.docx", "A 26898-2022")</f>
        <v/>
      </c>
      <c r="X199">
        <f>HYPERLINK("https://klasma.github.io/Logging_1730/tillsyn/A 26898-2022 tillsynsbegäran.docx", "A 26898-2022")</f>
        <v/>
      </c>
      <c r="Y199">
        <f>HYPERLINK("https://klasma.github.io/Logging_1730/tillsynsmail/A 26898-2022 tillsynsbegäran mail.docx", "A 26898-2022")</f>
        <v/>
      </c>
    </row>
    <row r="200" ht="15" customHeight="1">
      <c r="A200" t="inlineStr">
        <is>
          <t>A 31151-2022</t>
        </is>
      </c>
      <c r="B200" s="1" t="n">
        <v>44770</v>
      </c>
      <c r="C200" s="1" t="n">
        <v>45810</v>
      </c>
      <c r="D200" t="inlineStr">
        <is>
          <t>VÄRMLANDS LÄN</t>
        </is>
      </c>
      <c r="E200" t="inlineStr">
        <is>
          <t>KARLSTAD</t>
        </is>
      </c>
      <c r="F200" t="inlineStr">
        <is>
          <t>Kommuner</t>
        </is>
      </c>
      <c r="G200" t="n">
        <v>7.8</v>
      </c>
      <c r="H200" t="n">
        <v>3</v>
      </c>
      <c r="I200" t="n">
        <v>0</v>
      </c>
      <c r="J200" t="n">
        <v>1</v>
      </c>
      <c r="K200" t="n">
        <v>0</v>
      </c>
      <c r="L200" t="n">
        <v>0</v>
      </c>
      <c r="M200" t="n">
        <v>0</v>
      </c>
      <c r="N200" t="n">
        <v>0</v>
      </c>
      <c r="O200" t="n">
        <v>1</v>
      </c>
      <c r="P200" t="n">
        <v>0</v>
      </c>
      <c r="Q200" t="n">
        <v>3</v>
      </c>
      <c r="R200" s="2" t="inlineStr">
        <is>
          <t>Spillkråka
Mattlummer
Revlummer</t>
        </is>
      </c>
      <c r="S200">
        <f>HYPERLINK("https://klasma.github.io/Logging_1780/artfynd/A 31151-2022 artfynd.xlsx", "A 31151-2022")</f>
        <v/>
      </c>
      <c r="T200">
        <f>HYPERLINK("https://klasma.github.io/Logging_1780/kartor/A 31151-2022 karta.png", "A 31151-2022")</f>
        <v/>
      </c>
      <c r="V200">
        <f>HYPERLINK("https://klasma.github.io/Logging_1780/klagomål/A 31151-2022 FSC-klagomål.docx", "A 31151-2022")</f>
        <v/>
      </c>
      <c r="W200">
        <f>HYPERLINK("https://klasma.github.io/Logging_1780/klagomålsmail/A 31151-2022 FSC-klagomål mail.docx", "A 31151-2022")</f>
        <v/>
      </c>
      <c r="X200">
        <f>HYPERLINK("https://klasma.github.io/Logging_1780/tillsyn/A 31151-2022 tillsynsbegäran.docx", "A 31151-2022")</f>
        <v/>
      </c>
      <c r="Y200">
        <f>HYPERLINK("https://klasma.github.io/Logging_1780/tillsynsmail/A 31151-2022 tillsynsbegäran mail.docx", "A 31151-2022")</f>
        <v/>
      </c>
      <c r="Z200">
        <f>HYPERLINK("https://klasma.github.io/Logging_1780/fåglar/A 31151-2022 prioriterade fågelarter.docx", "A 31151-2022")</f>
        <v/>
      </c>
    </row>
    <row r="201" ht="15" customHeight="1">
      <c r="A201" t="inlineStr">
        <is>
          <t>A 34087-2022</t>
        </is>
      </c>
      <c r="B201" s="1" t="n">
        <v>44791</v>
      </c>
      <c r="C201" s="1" t="n">
        <v>45810</v>
      </c>
      <c r="D201" t="inlineStr">
        <is>
          <t>VÄRMLANDS LÄN</t>
        </is>
      </c>
      <c r="E201" t="inlineStr">
        <is>
          <t>EDA</t>
        </is>
      </c>
      <c r="G201" t="n">
        <v>6.7</v>
      </c>
      <c r="H201" t="n">
        <v>0</v>
      </c>
      <c r="I201" t="n">
        <v>2</v>
      </c>
      <c r="J201" t="n">
        <v>1</v>
      </c>
      <c r="K201" t="n">
        <v>0</v>
      </c>
      <c r="L201" t="n">
        <v>0</v>
      </c>
      <c r="M201" t="n">
        <v>0</v>
      </c>
      <c r="N201" t="n">
        <v>0</v>
      </c>
      <c r="O201" t="n">
        <v>1</v>
      </c>
      <c r="P201" t="n">
        <v>0</v>
      </c>
      <c r="Q201" t="n">
        <v>3</v>
      </c>
      <c r="R201" s="2" t="inlineStr">
        <is>
          <t>Garnlav
Bårdlav
Stuplav</t>
        </is>
      </c>
      <c r="S201">
        <f>HYPERLINK("https://klasma.github.io/Logging_1730/artfynd/A 34087-2022 artfynd.xlsx", "A 34087-2022")</f>
        <v/>
      </c>
      <c r="T201">
        <f>HYPERLINK("https://klasma.github.io/Logging_1730/kartor/A 34087-2022 karta.png", "A 34087-2022")</f>
        <v/>
      </c>
      <c r="V201">
        <f>HYPERLINK("https://klasma.github.io/Logging_1730/klagomål/A 34087-2022 FSC-klagomål.docx", "A 34087-2022")</f>
        <v/>
      </c>
      <c r="W201">
        <f>HYPERLINK("https://klasma.github.io/Logging_1730/klagomålsmail/A 34087-2022 FSC-klagomål mail.docx", "A 34087-2022")</f>
        <v/>
      </c>
      <c r="X201">
        <f>HYPERLINK("https://klasma.github.io/Logging_1730/tillsyn/A 34087-2022 tillsynsbegäran.docx", "A 34087-2022")</f>
        <v/>
      </c>
      <c r="Y201">
        <f>HYPERLINK("https://klasma.github.io/Logging_1730/tillsynsmail/A 34087-2022 tillsynsbegäran mail.docx", "A 34087-2022")</f>
        <v/>
      </c>
    </row>
    <row r="202" ht="15" customHeight="1">
      <c r="A202" t="inlineStr">
        <is>
          <t>A 42480-2022</t>
        </is>
      </c>
      <c r="B202" s="1" t="n">
        <v>44831</v>
      </c>
      <c r="C202" s="1" t="n">
        <v>45810</v>
      </c>
      <c r="D202" t="inlineStr">
        <is>
          <t>VÄRMLANDS LÄN</t>
        </is>
      </c>
      <c r="E202" t="inlineStr">
        <is>
          <t>TORSBY</t>
        </is>
      </c>
      <c r="F202" t="inlineStr">
        <is>
          <t>Kommuner</t>
        </is>
      </c>
      <c r="G202" t="n">
        <v>3.7</v>
      </c>
      <c r="H202" t="n">
        <v>1</v>
      </c>
      <c r="I202" t="n">
        <v>0</v>
      </c>
      <c r="J202" t="n">
        <v>2</v>
      </c>
      <c r="K202" t="n">
        <v>1</v>
      </c>
      <c r="L202" t="n">
        <v>0</v>
      </c>
      <c r="M202" t="n">
        <v>0</v>
      </c>
      <c r="N202" t="n">
        <v>0</v>
      </c>
      <c r="O202" t="n">
        <v>3</v>
      </c>
      <c r="P202" t="n">
        <v>1</v>
      </c>
      <c r="Q202" t="n">
        <v>3</v>
      </c>
      <c r="R202" s="2" t="inlineStr">
        <is>
          <t>Knärot
Garnlav
Vedskivlav</t>
        </is>
      </c>
      <c r="S202">
        <f>HYPERLINK("https://klasma.github.io/Logging_1737/artfynd/A 42480-2022 artfynd.xlsx", "A 42480-2022")</f>
        <v/>
      </c>
      <c r="T202">
        <f>HYPERLINK("https://klasma.github.io/Logging_1737/kartor/A 42480-2022 karta.png", "A 42480-2022")</f>
        <v/>
      </c>
      <c r="U202">
        <f>HYPERLINK("https://klasma.github.io/Logging_1737/knärot/A 42480-2022 karta knärot.png", "A 42480-2022")</f>
        <v/>
      </c>
      <c r="V202">
        <f>HYPERLINK("https://klasma.github.io/Logging_1737/klagomål/A 42480-2022 FSC-klagomål.docx", "A 42480-2022")</f>
        <v/>
      </c>
      <c r="W202">
        <f>HYPERLINK("https://klasma.github.io/Logging_1737/klagomålsmail/A 42480-2022 FSC-klagomål mail.docx", "A 42480-2022")</f>
        <v/>
      </c>
      <c r="X202">
        <f>HYPERLINK("https://klasma.github.io/Logging_1737/tillsyn/A 42480-2022 tillsynsbegäran.docx", "A 42480-2022")</f>
        <v/>
      </c>
      <c r="Y202">
        <f>HYPERLINK("https://klasma.github.io/Logging_1737/tillsynsmail/A 42480-2022 tillsynsbegäran mail.docx", "A 42480-2022")</f>
        <v/>
      </c>
    </row>
    <row r="203" ht="15" customHeight="1">
      <c r="A203" t="inlineStr">
        <is>
          <t>A 53051-2022</t>
        </is>
      </c>
      <c r="B203" s="1" t="n">
        <v>44876</v>
      </c>
      <c r="C203" s="1" t="n">
        <v>45810</v>
      </c>
      <c r="D203" t="inlineStr">
        <is>
          <t>VÄRMLANDS LÄN</t>
        </is>
      </c>
      <c r="E203" t="inlineStr">
        <is>
          <t>KARLSTAD</t>
        </is>
      </c>
      <c r="G203" t="n">
        <v>1.3</v>
      </c>
      <c r="H203" t="n">
        <v>1</v>
      </c>
      <c r="I203" t="n">
        <v>1</v>
      </c>
      <c r="J203" t="n">
        <v>1</v>
      </c>
      <c r="K203" t="n">
        <v>0</v>
      </c>
      <c r="L203" t="n">
        <v>0</v>
      </c>
      <c r="M203" t="n">
        <v>0</v>
      </c>
      <c r="N203" t="n">
        <v>0</v>
      </c>
      <c r="O203" t="n">
        <v>1</v>
      </c>
      <c r="P203" t="n">
        <v>0</v>
      </c>
      <c r="Q203" t="n">
        <v>3</v>
      </c>
      <c r="R203" s="2" t="inlineStr">
        <is>
          <t>Storgröe
Strutbräken
Blåsippa</t>
        </is>
      </c>
      <c r="S203">
        <f>HYPERLINK("https://klasma.github.io/Logging_1780/artfynd/A 53051-2022 artfynd.xlsx", "A 53051-2022")</f>
        <v/>
      </c>
      <c r="T203">
        <f>HYPERLINK("https://klasma.github.io/Logging_1780/kartor/A 53051-2022 karta.png", "A 53051-2022")</f>
        <v/>
      </c>
      <c r="V203">
        <f>HYPERLINK("https://klasma.github.io/Logging_1780/klagomål/A 53051-2022 FSC-klagomål.docx", "A 53051-2022")</f>
        <v/>
      </c>
      <c r="W203">
        <f>HYPERLINK("https://klasma.github.io/Logging_1780/klagomålsmail/A 53051-2022 FSC-klagomål mail.docx", "A 53051-2022")</f>
        <v/>
      </c>
      <c r="X203">
        <f>HYPERLINK("https://klasma.github.io/Logging_1780/tillsyn/A 53051-2022 tillsynsbegäran.docx", "A 53051-2022")</f>
        <v/>
      </c>
      <c r="Y203">
        <f>HYPERLINK("https://klasma.github.io/Logging_1780/tillsynsmail/A 53051-2022 tillsynsbegäran mail.docx", "A 53051-2022")</f>
        <v/>
      </c>
    </row>
    <row r="204" ht="15" customHeight="1">
      <c r="A204" t="inlineStr">
        <is>
          <t>A 592-2023</t>
        </is>
      </c>
      <c r="B204" s="1" t="n">
        <v>44930</v>
      </c>
      <c r="C204" s="1" t="n">
        <v>45810</v>
      </c>
      <c r="D204" t="inlineStr">
        <is>
          <t>VÄRMLANDS LÄN</t>
        </is>
      </c>
      <c r="E204" t="inlineStr">
        <is>
          <t>EDA</t>
        </is>
      </c>
      <c r="G204" t="n">
        <v>2.3</v>
      </c>
      <c r="H204" t="n">
        <v>2</v>
      </c>
      <c r="I204" t="n">
        <v>0</v>
      </c>
      <c r="J204" t="n">
        <v>3</v>
      </c>
      <c r="K204" t="n">
        <v>0</v>
      </c>
      <c r="L204" t="n">
        <v>0</v>
      </c>
      <c r="M204" t="n">
        <v>0</v>
      </c>
      <c r="N204" t="n">
        <v>0</v>
      </c>
      <c r="O204" t="n">
        <v>3</v>
      </c>
      <c r="P204" t="n">
        <v>0</v>
      </c>
      <c r="Q204" t="n">
        <v>3</v>
      </c>
      <c r="R204" s="2" t="inlineStr">
        <is>
          <t>Mindre hackspett
Skogsklocka
Spillkråka</t>
        </is>
      </c>
      <c r="S204">
        <f>HYPERLINK("https://klasma.github.io/Logging_1730/artfynd/A 592-2023 artfynd.xlsx", "A 592-2023")</f>
        <v/>
      </c>
      <c r="T204">
        <f>HYPERLINK("https://klasma.github.io/Logging_1730/kartor/A 592-2023 karta.png", "A 592-2023")</f>
        <v/>
      </c>
      <c r="V204">
        <f>HYPERLINK("https://klasma.github.io/Logging_1730/klagomål/A 592-2023 FSC-klagomål.docx", "A 592-2023")</f>
        <v/>
      </c>
      <c r="W204">
        <f>HYPERLINK("https://klasma.github.io/Logging_1730/klagomålsmail/A 592-2023 FSC-klagomål mail.docx", "A 592-2023")</f>
        <v/>
      </c>
      <c r="X204">
        <f>HYPERLINK("https://klasma.github.io/Logging_1730/tillsyn/A 592-2023 tillsynsbegäran.docx", "A 592-2023")</f>
        <v/>
      </c>
      <c r="Y204">
        <f>HYPERLINK("https://klasma.github.io/Logging_1730/tillsynsmail/A 592-2023 tillsynsbegäran mail.docx", "A 592-2023")</f>
        <v/>
      </c>
      <c r="Z204">
        <f>HYPERLINK("https://klasma.github.io/Logging_1730/fåglar/A 592-2023 prioriterade fågelarter.docx", "A 592-2023")</f>
        <v/>
      </c>
    </row>
    <row r="205" ht="15" customHeight="1">
      <c r="A205" t="inlineStr">
        <is>
          <t>A 2356-2023</t>
        </is>
      </c>
      <c r="B205" s="1" t="n">
        <v>44942</v>
      </c>
      <c r="C205" s="1" t="n">
        <v>45810</v>
      </c>
      <c r="D205" t="inlineStr">
        <is>
          <t>VÄRMLANDS LÄN</t>
        </is>
      </c>
      <c r="E205" t="inlineStr">
        <is>
          <t>FILIPSTAD</t>
        </is>
      </c>
      <c r="G205" t="n">
        <v>3.8</v>
      </c>
      <c r="H205" t="n">
        <v>1</v>
      </c>
      <c r="I205" t="n">
        <v>1</v>
      </c>
      <c r="J205" t="n">
        <v>2</v>
      </c>
      <c r="K205" t="n">
        <v>0</v>
      </c>
      <c r="L205" t="n">
        <v>0</v>
      </c>
      <c r="M205" t="n">
        <v>0</v>
      </c>
      <c r="N205" t="n">
        <v>0</v>
      </c>
      <c r="O205" t="n">
        <v>2</v>
      </c>
      <c r="P205" t="n">
        <v>0</v>
      </c>
      <c r="Q205" t="n">
        <v>3</v>
      </c>
      <c r="R205" s="2" t="inlineStr">
        <is>
          <t>Loppstarr
Majviva
Guckusko</t>
        </is>
      </c>
      <c r="S205">
        <f>HYPERLINK("https://klasma.github.io/Logging_1782/artfynd/A 2356-2023 artfynd.xlsx", "A 2356-2023")</f>
        <v/>
      </c>
      <c r="T205">
        <f>HYPERLINK("https://klasma.github.io/Logging_1782/kartor/A 2356-2023 karta.png", "A 2356-2023")</f>
        <v/>
      </c>
      <c r="V205">
        <f>HYPERLINK("https://klasma.github.io/Logging_1782/klagomål/A 2356-2023 FSC-klagomål.docx", "A 2356-2023")</f>
        <v/>
      </c>
      <c r="W205">
        <f>HYPERLINK("https://klasma.github.io/Logging_1782/klagomålsmail/A 2356-2023 FSC-klagomål mail.docx", "A 2356-2023")</f>
        <v/>
      </c>
      <c r="X205">
        <f>HYPERLINK("https://klasma.github.io/Logging_1782/tillsyn/A 2356-2023 tillsynsbegäran.docx", "A 2356-2023")</f>
        <v/>
      </c>
      <c r="Y205">
        <f>HYPERLINK("https://klasma.github.io/Logging_1782/tillsynsmail/A 2356-2023 tillsynsbegäran mail.docx", "A 2356-2023")</f>
        <v/>
      </c>
    </row>
    <row r="206" ht="15" customHeight="1">
      <c r="A206" t="inlineStr">
        <is>
          <t>A 4486-2023</t>
        </is>
      </c>
      <c r="B206" s="1" t="n">
        <v>44956</v>
      </c>
      <c r="C206" s="1" t="n">
        <v>45810</v>
      </c>
      <c r="D206" t="inlineStr">
        <is>
          <t>VÄRMLANDS LÄN</t>
        </is>
      </c>
      <c r="E206" t="inlineStr">
        <is>
          <t>TORSBY</t>
        </is>
      </c>
      <c r="G206" t="n">
        <v>2.4</v>
      </c>
      <c r="H206" t="n">
        <v>0</v>
      </c>
      <c r="I206" t="n">
        <v>1</v>
      </c>
      <c r="J206" t="n">
        <v>2</v>
      </c>
      <c r="K206" t="n">
        <v>0</v>
      </c>
      <c r="L206" t="n">
        <v>0</v>
      </c>
      <c r="M206" t="n">
        <v>0</v>
      </c>
      <c r="N206" t="n">
        <v>0</v>
      </c>
      <c r="O206" t="n">
        <v>2</v>
      </c>
      <c r="P206" t="n">
        <v>0</v>
      </c>
      <c r="Q206" t="n">
        <v>3</v>
      </c>
      <c r="R206" s="2" t="inlineStr">
        <is>
          <t>Garnlav
Vedskivlav
Skinnlav</t>
        </is>
      </c>
      <c r="S206">
        <f>HYPERLINK("https://klasma.github.io/Logging_1737/artfynd/A 4486-2023 artfynd.xlsx", "A 4486-2023")</f>
        <v/>
      </c>
      <c r="T206">
        <f>HYPERLINK("https://klasma.github.io/Logging_1737/kartor/A 4486-2023 karta.png", "A 4486-2023")</f>
        <v/>
      </c>
      <c r="V206">
        <f>HYPERLINK("https://klasma.github.io/Logging_1737/klagomål/A 4486-2023 FSC-klagomål.docx", "A 4486-2023")</f>
        <v/>
      </c>
      <c r="W206">
        <f>HYPERLINK("https://klasma.github.io/Logging_1737/klagomålsmail/A 4486-2023 FSC-klagomål mail.docx", "A 4486-2023")</f>
        <v/>
      </c>
      <c r="X206">
        <f>HYPERLINK("https://klasma.github.io/Logging_1737/tillsyn/A 4486-2023 tillsynsbegäran.docx", "A 4486-2023")</f>
        <v/>
      </c>
      <c r="Y206">
        <f>HYPERLINK("https://klasma.github.io/Logging_1737/tillsynsmail/A 4486-2023 tillsynsbegäran mail.docx", "A 4486-2023")</f>
        <v/>
      </c>
    </row>
    <row r="207" ht="15" customHeight="1">
      <c r="A207" t="inlineStr">
        <is>
          <t>A 11615-2023</t>
        </is>
      </c>
      <c r="B207" s="1" t="n">
        <v>44994</v>
      </c>
      <c r="C207" s="1" t="n">
        <v>45810</v>
      </c>
      <c r="D207" t="inlineStr">
        <is>
          <t>VÄRMLANDS LÄN</t>
        </is>
      </c>
      <c r="E207" t="inlineStr">
        <is>
          <t>KARLSTAD</t>
        </is>
      </c>
      <c r="F207" t="inlineStr">
        <is>
          <t>Kommuner</t>
        </is>
      </c>
      <c r="G207" t="n">
        <v>0.8</v>
      </c>
      <c r="H207" t="n">
        <v>1</v>
      </c>
      <c r="I207" t="n">
        <v>2</v>
      </c>
      <c r="J207" t="n">
        <v>1</v>
      </c>
      <c r="K207" t="n">
        <v>0</v>
      </c>
      <c r="L207" t="n">
        <v>0</v>
      </c>
      <c r="M207" t="n">
        <v>0</v>
      </c>
      <c r="N207" t="n">
        <v>0</v>
      </c>
      <c r="O207" t="n">
        <v>1</v>
      </c>
      <c r="P207" t="n">
        <v>0</v>
      </c>
      <c r="Q207" t="n">
        <v>3</v>
      </c>
      <c r="R207" s="2" t="inlineStr">
        <is>
          <t>Svedjenäva
Skogsknipprot
Springkorn</t>
        </is>
      </c>
      <c r="S207">
        <f>HYPERLINK("https://klasma.github.io/Logging_1780/artfynd/A 11615-2023 artfynd.xlsx", "A 11615-2023")</f>
        <v/>
      </c>
      <c r="T207">
        <f>HYPERLINK("https://klasma.github.io/Logging_1780/kartor/A 11615-2023 karta.png", "A 11615-2023")</f>
        <v/>
      </c>
      <c r="V207">
        <f>HYPERLINK("https://klasma.github.io/Logging_1780/klagomål/A 11615-2023 FSC-klagomål.docx", "A 11615-2023")</f>
        <v/>
      </c>
      <c r="W207">
        <f>HYPERLINK("https://klasma.github.io/Logging_1780/klagomålsmail/A 11615-2023 FSC-klagomål mail.docx", "A 11615-2023")</f>
        <v/>
      </c>
      <c r="X207">
        <f>HYPERLINK("https://klasma.github.io/Logging_1780/tillsyn/A 11615-2023 tillsynsbegäran.docx", "A 11615-2023")</f>
        <v/>
      </c>
      <c r="Y207">
        <f>HYPERLINK("https://klasma.github.io/Logging_1780/tillsynsmail/A 11615-2023 tillsynsbegäran mail.docx", "A 11615-2023")</f>
        <v/>
      </c>
    </row>
    <row r="208" ht="15" customHeight="1">
      <c r="A208" t="inlineStr">
        <is>
          <t>A 12640-2023</t>
        </is>
      </c>
      <c r="B208" s="1" t="n">
        <v>45000</v>
      </c>
      <c r="C208" s="1" t="n">
        <v>45810</v>
      </c>
      <c r="D208" t="inlineStr">
        <is>
          <t>VÄRMLANDS LÄN</t>
        </is>
      </c>
      <c r="E208" t="inlineStr">
        <is>
          <t>HAGFORS</t>
        </is>
      </c>
      <c r="G208" t="n">
        <v>9.1</v>
      </c>
      <c r="H208" t="n">
        <v>0</v>
      </c>
      <c r="I208" t="n">
        <v>1</v>
      </c>
      <c r="J208" t="n">
        <v>2</v>
      </c>
      <c r="K208" t="n">
        <v>0</v>
      </c>
      <c r="L208" t="n">
        <v>0</v>
      </c>
      <c r="M208" t="n">
        <v>0</v>
      </c>
      <c r="N208" t="n">
        <v>0</v>
      </c>
      <c r="O208" t="n">
        <v>2</v>
      </c>
      <c r="P208" t="n">
        <v>0</v>
      </c>
      <c r="Q208" t="n">
        <v>3</v>
      </c>
      <c r="R208" s="2" t="inlineStr">
        <is>
          <t>Garnlav
Kolflarnlav
Korallblylav</t>
        </is>
      </c>
      <c r="S208">
        <f>HYPERLINK("https://klasma.github.io/Logging_1783/artfynd/A 12640-2023 artfynd.xlsx", "A 12640-2023")</f>
        <v/>
      </c>
      <c r="T208">
        <f>HYPERLINK("https://klasma.github.io/Logging_1783/kartor/A 12640-2023 karta.png", "A 12640-2023")</f>
        <v/>
      </c>
      <c r="V208">
        <f>HYPERLINK("https://klasma.github.io/Logging_1783/klagomål/A 12640-2023 FSC-klagomål.docx", "A 12640-2023")</f>
        <v/>
      </c>
      <c r="W208">
        <f>HYPERLINK("https://klasma.github.io/Logging_1783/klagomålsmail/A 12640-2023 FSC-klagomål mail.docx", "A 12640-2023")</f>
        <v/>
      </c>
      <c r="X208">
        <f>HYPERLINK("https://klasma.github.io/Logging_1783/tillsyn/A 12640-2023 tillsynsbegäran.docx", "A 12640-2023")</f>
        <v/>
      </c>
      <c r="Y208">
        <f>HYPERLINK("https://klasma.github.io/Logging_1783/tillsynsmail/A 12640-2023 tillsynsbegäran mail.docx", "A 12640-2023")</f>
        <v/>
      </c>
    </row>
    <row r="209" ht="15" customHeight="1">
      <c r="A209" t="inlineStr">
        <is>
          <t>A 14815-2023</t>
        </is>
      </c>
      <c r="B209" s="1" t="n">
        <v>45014</v>
      </c>
      <c r="C209" s="1" t="n">
        <v>45810</v>
      </c>
      <c r="D209" t="inlineStr">
        <is>
          <t>VÄRMLANDS LÄN</t>
        </is>
      </c>
      <c r="E209" t="inlineStr">
        <is>
          <t>KARLSTAD</t>
        </is>
      </c>
      <c r="F209" t="inlineStr">
        <is>
          <t>Kommuner</t>
        </is>
      </c>
      <c r="G209" t="n">
        <v>5.4</v>
      </c>
      <c r="H209" t="n">
        <v>0</v>
      </c>
      <c r="I209" t="n">
        <v>2</v>
      </c>
      <c r="J209" t="n">
        <v>1</v>
      </c>
      <c r="K209" t="n">
        <v>0</v>
      </c>
      <c r="L209" t="n">
        <v>0</v>
      </c>
      <c r="M209" t="n">
        <v>0</v>
      </c>
      <c r="N209" t="n">
        <v>0</v>
      </c>
      <c r="O209" t="n">
        <v>1</v>
      </c>
      <c r="P209" t="n">
        <v>0</v>
      </c>
      <c r="Q209" t="n">
        <v>3</v>
      </c>
      <c r="R209" s="2" t="inlineStr">
        <is>
          <t>Vaddporing
Rödgul trumpetsvamp
Vågbandad barkbock</t>
        </is>
      </c>
      <c r="S209">
        <f>HYPERLINK("https://klasma.github.io/Logging_1780/artfynd/A 14815-2023 artfynd.xlsx", "A 14815-2023")</f>
        <v/>
      </c>
      <c r="T209">
        <f>HYPERLINK("https://klasma.github.io/Logging_1780/kartor/A 14815-2023 karta.png", "A 14815-2023")</f>
        <v/>
      </c>
      <c r="U209">
        <f>HYPERLINK("https://klasma.github.io/Logging_1780/knärot/A 14815-2023 karta knärot.png", "A 14815-2023")</f>
        <v/>
      </c>
      <c r="V209">
        <f>HYPERLINK("https://klasma.github.io/Logging_1780/klagomål/A 14815-2023 FSC-klagomål.docx", "A 14815-2023")</f>
        <v/>
      </c>
      <c r="W209">
        <f>HYPERLINK("https://klasma.github.io/Logging_1780/klagomålsmail/A 14815-2023 FSC-klagomål mail.docx", "A 14815-2023")</f>
        <v/>
      </c>
      <c r="X209">
        <f>HYPERLINK("https://klasma.github.io/Logging_1780/tillsyn/A 14815-2023 tillsynsbegäran.docx", "A 14815-2023")</f>
        <v/>
      </c>
      <c r="Y209">
        <f>HYPERLINK("https://klasma.github.io/Logging_1780/tillsynsmail/A 14815-2023 tillsynsbegäran mail.docx", "A 14815-2023")</f>
        <v/>
      </c>
    </row>
    <row r="210" ht="15" customHeight="1">
      <c r="A210" t="inlineStr">
        <is>
          <t>A 26303-2023</t>
        </is>
      </c>
      <c r="B210" s="1" t="n">
        <v>45091</v>
      </c>
      <c r="C210" s="1" t="n">
        <v>45810</v>
      </c>
      <c r="D210" t="inlineStr">
        <is>
          <t>VÄRMLANDS LÄN</t>
        </is>
      </c>
      <c r="E210" t="inlineStr">
        <is>
          <t>FILIPSTAD</t>
        </is>
      </c>
      <c r="F210" t="inlineStr">
        <is>
          <t>Bergvik skog väst AB</t>
        </is>
      </c>
      <c r="G210" t="n">
        <v>8.4</v>
      </c>
      <c r="H210" t="n">
        <v>3</v>
      </c>
      <c r="I210" t="n">
        <v>2</v>
      </c>
      <c r="J210" t="n">
        <v>0</v>
      </c>
      <c r="K210" t="n">
        <v>0</v>
      </c>
      <c r="L210" t="n">
        <v>0</v>
      </c>
      <c r="M210" t="n">
        <v>0</v>
      </c>
      <c r="N210" t="n">
        <v>0</v>
      </c>
      <c r="O210" t="n">
        <v>0</v>
      </c>
      <c r="P210" t="n">
        <v>0</v>
      </c>
      <c r="Q210" t="n">
        <v>3</v>
      </c>
      <c r="R210" s="2" t="inlineStr">
        <is>
          <t>Purpurknipprot
Tvåblad
Brudsporre</t>
        </is>
      </c>
      <c r="S210">
        <f>HYPERLINK("https://klasma.github.io/Logging_1782/artfynd/A 26303-2023 artfynd.xlsx", "A 26303-2023")</f>
        <v/>
      </c>
      <c r="T210">
        <f>HYPERLINK("https://klasma.github.io/Logging_1782/kartor/A 26303-2023 karta.png", "A 26303-2023")</f>
        <v/>
      </c>
      <c r="V210">
        <f>HYPERLINK("https://klasma.github.io/Logging_1782/klagomål/A 26303-2023 FSC-klagomål.docx", "A 26303-2023")</f>
        <v/>
      </c>
      <c r="W210">
        <f>HYPERLINK("https://klasma.github.io/Logging_1782/klagomålsmail/A 26303-2023 FSC-klagomål mail.docx", "A 26303-2023")</f>
        <v/>
      </c>
      <c r="X210">
        <f>HYPERLINK("https://klasma.github.io/Logging_1782/tillsyn/A 26303-2023 tillsynsbegäran.docx", "A 26303-2023")</f>
        <v/>
      </c>
      <c r="Y210">
        <f>HYPERLINK("https://klasma.github.io/Logging_1782/tillsynsmail/A 26303-2023 tillsynsbegäran mail.docx", "A 26303-2023")</f>
        <v/>
      </c>
    </row>
    <row r="211" ht="15" customHeight="1">
      <c r="A211" t="inlineStr">
        <is>
          <t>A 29560-2023</t>
        </is>
      </c>
      <c r="B211" s="1" t="n">
        <v>45106</v>
      </c>
      <c r="C211" s="1" t="n">
        <v>45810</v>
      </c>
      <c r="D211" t="inlineStr">
        <is>
          <t>VÄRMLANDS LÄN</t>
        </is>
      </c>
      <c r="E211" t="inlineStr">
        <is>
          <t>TORSBY</t>
        </is>
      </c>
      <c r="G211" t="n">
        <v>10.3</v>
      </c>
      <c r="H211" t="n">
        <v>2</v>
      </c>
      <c r="I211" t="n">
        <v>1</v>
      </c>
      <c r="J211" t="n">
        <v>1</v>
      </c>
      <c r="K211" t="n">
        <v>0</v>
      </c>
      <c r="L211" t="n">
        <v>0</v>
      </c>
      <c r="M211" t="n">
        <v>0</v>
      </c>
      <c r="N211" t="n">
        <v>0</v>
      </c>
      <c r="O211" t="n">
        <v>1</v>
      </c>
      <c r="P211" t="n">
        <v>0</v>
      </c>
      <c r="Q211" t="n">
        <v>3</v>
      </c>
      <c r="R211" s="2" t="inlineStr">
        <is>
          <t>Spillkråka
Tibast
Orre</t>
        </is>
      </c>
      <c r="S211">
        <f>HYPERLINK("https://klasma.github.io/Logging_1737/artfynd/A 29560-2023 artfynd.xlsx", "A 29560-2023")</f>
        <v/>
      </c>
      <c r="T211">
        <f>HYPERLINK("https://klasma.github.io/Logging_1737/kartor/A 29560-2023 karta.png", "A 29560-2023")</f>
        <v/>
      </c>
      <c r="V211">
        <f>HYPERLINK("https://klasma.github.io/Logging_1737/klagomål/A 29560-2023 FSC-klagomål.docx", "A 29560-2023")</f>
        <v/>
      </c>
      <c r="W211">
        <f>HYPERLINK("https://klasma.github.io/Logging_1737/klagomålsmail/A 29560-2023 FSC-klagomål mail.docx", "A 29560-2023")</f>
        <v/>
      </c>
      <c r="X211">
        <f>HYPERLINK("https://klasma.github.io/Logging_1737/tillsyn/A 29560-2023 tillsynsbegäran.docx", "A 29560-2023")</f>
        <v/>
      </c>
      <c r="Y211">
        <f>HYPERLINK("https://klasma.github.io/Logging_1737/tillsynsmail/A 29560-2023 tillsynsbegäran mail.docx", "A 29560-2023")</f>
        <v/>
      </c>
      <c r="Z211">
        <f>HYPERLINK("https://klasma.github.io/Logging_1737/fåglar/A 29560-2023 prioriterade fågelarter.docx", "A 29560-2023")</f>
        <v/>
      </c>
    </row>
    <row r="212" ht="15" customHeight="1">
      <c r="A212" t="inlineStr">
        <is>
          <t>A 41572-2023</t>
        </is>
      </c>
      <c r="B212" s="1" t="n">
        <v>45175</v>
      </c>
      <c r="C212" s="1" t="n">
        <v>45810</v>
      </c>
      <c r="D212" t="inlineStr">
        <is>
          <t>VÄRMLANDS LÄN</t>
        </is>
      </c>
      <c r="E212" t="inlineStr">
        <is>
          <t>KARLSTAD</t>
        </is>
      </c>
      <c r="F212" t="inlineStr">
        <is>
          <t>Övriga Aktiebolag</t>
        </is>
      </c>
      <c r="G212" t="n">
        <v>6.5</v>
      </c>
      <c r="H212" t="n">
        <v>1</v>
      </c>
      <c r="I212" t="n">
        <v>1</v>
      </c>
      <c r="J212" t="n">
        <v>2</v>
      </c>
      <c r="K212" t="n">
        <v>0</v>
      </c>
      <c r="L212" t="n">
        <v>0</v>
      </c>
      <c r="M212" t="n">
        <v>0</v>
      </c>
      <c r="N212" t="n">
        <v>0</v>
      </c>
      <c r="O212" t="n">
        <v>2</v>
      </c>
      <c r="P212" t="n">
        <v>0</v>
      </c>
      <c r="Q212" t="n">
        <v>3</v>
      </c>
      <c r="R212" s="2" t="inlineStr">
        <is>
          <t>Motaggsvamp
Talltita
Blåmossa</t>
        </is>
      </c>
      <c r="S212">
        <f>HYPERLINK("https://klasma.github.io/Logging_1780/artfynd/A 41572-2023 artfynd.xlsx", "A 41572-2023")</f>
        <v/>
      </c>
      <c r="T212">
        <f>HYPERLINK("https://klasma.github.io/Logging_1780/kartor/A 41572-2023 karta.png", "A 41572-2023")</f>
        <v/>
      </c>
      <c r="V212">
        <f>HYPERLINK("https://klasma.github.io/Logging_1780/klagomål/A 41572-2023 FSC-klagomål.docx", "A 41572-2023")</f>
        <v/>
      </c>
      <c r="W212">
        <f>HYPERLINK("https://klasma.github.io/Logging_1780/klagomålsmail/A 41572-2023 FSC-klagomål mail.docx", "A 41572-2023")</f>
        <v/>
      </c>
      <c r="X212">
        <f>HYPERLINK("https://klasma.github.io/Logging_1780/tillsyn/A 41572-2023 tillsynsbegäran.docx", "A 41572-2023")</f>
        <v/>
      </c>
      <c r="Y212">
        <f>HYPERLINK("https://klasma.github.io/Logging_1780/tillsynsmail/A 41572-2023 tillsynsbegäran mail.docx", "A 41572-2023")</f>
        <v/>
      </c>
      <c r="Z212">
        <f>HYPERLINK("https://klasma.github.io/Logging_1780/fåglar/A 41572-2023 prioriterade fågelarter.docx", "A 41572-2023")</f>
        <v/>
      </c>
    </row>
    <row r="213" ht="15" customHeight="1">
      <c r="A213" t="inlineStr">
        <is>
          <t>A 42590-2023</t>
        </is>
      </c>
      <c r="B213" s="1" t="n">
        <v>45181</v>
      </c>
      <c r="C213" s="1" t="n">
        <v>45810</v>
      </c>
      <c r="D213" t="inlineStr">
        <is>
          <t>VÄRMLANDS LÄN</t>
        </is>
      </c>
      <c r="E213" t="inlineStr">
        <is>
          <t>TORSBY</t>
        </is>
      </c>
      <c r="G213" t="n">
        <v>12.1</v>
      </c>
      <c r="H213" t="n">
        <v>1</v>
      </c>
      <c r="I213" t="n">
        <v>0</v>
      </c>
      <c r="J213" t="n">
        <v>3</v>
      </c>
      <c r="K213" t="n">
        <v>0</v>
      </c>
      <c r="L213" t="n">
        <v>0</v>
      </c>
      <c r="M213" t="n">
        <v>0</v>
      </c>
      <c r="N213" t="n">
        <v>0</v>
      </c>
      <c r="O213" t="n">
        <v>3</v>
      </c>
      <c r="P213" t="n">
        <v>0</v>
      </c>
      <c r="Q213" t="n">
        <v>3</v>
      </c>
      <c r="R213" s="2" t="inlineStr">
        <is>
          <t>Garnlav
Tretåig hackspett
Violettgrå tagellav</t>
        </is>
      </c>
      <c r="S213">
        <f>HYPERLINK("https://klasma.github.io/Logging_1737/artfynd/A 42590-2023 artfynd.xlsx", "A 42590-2023")</f>
        <v/>
      </c>
      <c r="T213">
        <f>HYPERLINK("https://klasma.github.io/Logging_1737/kartor/A 42590-2023 karta.png", "A 42590-2023")</f>
        <v/>
      </c>
      <c r="V213">
        <f>HYPERLINK("https://klasma.github.io/Logging_1737/klagomål/A 42590-2023 FSC-klagomål.docx", "A 42590-2023")</f>
        <v/>
      </c>
      <c r="W213">
        <f>HYPERLINK("https://klasma.github.io/Logging_1737/klagomålsmail/A 42590-2023 FSC-klagomål mail.docx", "A 42590-2023")</f>
        <v/>
      </c>
      <c r="X213">
        <f>HYPERLINK("https://klasma.github.io/Logging_1737/tillsyn/A 42590-2023 tillsynsbegäran.docx", "A 42590-2023")</f>
        <v/>
      </c>
      <c r="Y213">
        <f>HYPERLINK("https://klasma.github.io/Logging_1737/tillsynsmail/A 42590-2023 tillsynsbegäran mail.docx", "A 42590-2023")</f>
        <v/>
      </c>
      <c r="Z213">
        <f>HYPERLINK("https://klasma.github.io/Logging_1737/fåglar/A 42590-2023 prioriterade fågelarter.docx", "A 42590-2023")</f>
        <v/>
      </c>
    </row>
    <row r="214" ht="15" customHeight="1">
      <c r="A214" t="inlineStr">
        <is>
          <t>A 46016-2023</t>
        </is>
      </c>
      <c r="B214" s="1" t="n">
        <v>45196</v>
      </c>
      <c r="C214" s="1" t="n">
        <v>45810</v>
      </c>
      <c r="D214" t="inlineStr">
        <is>
          <t>VÄRMLANDS LÄN</t>
        </is>
      </c>
      <c r="E214" t="inlineStr">
        <is>
          <t>TORSBY</t>
        </is>
      </c>
      <c r="G214" t="n">
        <v>6.3</v>
      </c>
      <c r="H214" t="n">
        <v>0</v>
      </c>
      <c r="I214" t="n">
        <v>0</v>
      </c>
      <c r="J214" t="n">
        <v>3</v>
      </c>
      <c r="K214" t="n">
        <v>0</v>
      </c>
      <c r="L214" t="n">
        <v>0</v>
      </c>
      <c r="M214" t="n">
        <v>0</v>
      </c>
      <c r="N214" t="n">
        <v>0</v>
      </c>
      <c r="O214" t="n">
        <v>3</v>
      </c>
      <c r="P214" t="n">
        <v>0</v>
      </c>
      <c r="Q214" t="n">
        <v>3</v>
      </c>
      <c r="R214" s="2" t="inlineStr">
        <is>
          <t>Dvärgbägarlav
Mörk kolflarnlav
Vedskivlav</t>
        </is>
      </c>
      <c r="S214">
        <f>HYPERLINK("https://klasma.github.io/Logging_1737/artfynd/A 46016-2023 artfynd.xlsx", "A 46016-2023")</f>
        <v/>
      </c>
      <c r="T214">
        <f>HYPERLINK("https://klasma.github.io/Logging_1737/kartor/A 46016-2023 karta.png", "A 46016-2023")</f>
        <v/>
      </c>
      <c r="V214">
        <f>HYPERLINK("https://klasma.github.io/Logging_1737/klagomål/A 46016-2023 FSC-klagomål.docx", "A 46016-2023")</f>
        <v/>
      </c>
      <c r="W214">
        <f>HYPERLINK("https://klasma.github.io/Logging_1737/klagomålsmail/A 46016-2023 FSC-klagomål mail.docx", "A 46016-2023")</f>
        <v/>
      </c>
      <c r="X214">
        <f>HYPERLINK("https://klasma.github.io/Logging_1737/tillsyn/A 46016-2023 tillsynsbegäran.docx", "A 46016-2023")</f>
        <v/>
      </c>
      <c r="Y214">
        <f>HYPERLINK("https://klasma.github.io/Logging_1737/tillsynsmail/A 46016-2023 tillsynsbegäran mail.docx", "A 46016-2023")</f>
        <v/>
      </c>
    </row>
    <row r="215" ht="15" customHeight="1">
      <c r="A215" t="inlineStr">
        <is>
          <t>A 48855-2023</t>
        </is>
      </c>
      <c r="B215" s="1" t="n">
        <v>45203</v>
      </c>
      <c r="C215" s="1" t="n">
        <v>45810</v>
      </c>
      <c r="D215" t="inlineStr">
        <is>
          <t>VÄRMLANDS LÄN</t>
        </is>
      </c>
      <c r="E215" t="inlineStr">
        <is>
          <t>SÄFFLE</t>
        </is>
      </c>
      <c r="G215" t="n">
        <v>15.2</v>
      </c>
      <c r="H215" t="n">
        <v>0</v>
      </c>
      <c r="I215" t="n">
        <v>2</v>
      </c>
      <c r="J215" t="n">
        <v>1</v>
      </c>
      <c r="K215" t="n">
        <v>0</v>
      </c>
      <c r="L215" t="n">
        <v>0</v>
      </c>
      <c r="M215" t="n">
        <v>0</v>
      </c>
      <c r="N215" t="n">
        <v>0</v>
      </c>
      <c r="O215" t="n">
        <v>1</v>
      </c>
      <c r="P215" t="n">
        <v>0</v>
      </c>
      <c r="Q215" t="n">
        <v>3</v>
      </c>
      <c r="R215" s="2" t="inlineStr">
        <is>
          <t>Gränsticka
Skarp dropptaggsvamp
Vedticka</t>
        </is>
      </c>
      <c r="S215">
        <f>HYPERLINK("https://klasma.github.io/Logging_1785/artfynd/A 48855-2023 artfynd.xlsx", "A 48855-2023")</f>
        <v/>
      </c>
      <c r="T215">
        <f>HYPERLINK("https://klasma.github.io/Logging_1785/kartor/A 48855-2023 karta.png", "A 48855-2023")</f>
        <v/>
      </c>
      <c r="V215">
        <f>HYPERLINK("https://klasma.github.io/Logging_1785/klagomål/A 48855-2023 FSC-klagomål.docx", "A 48855-2023")</f>
        <v/>
      </c>
      <c r="W215">
        <f>HYPERLINK("https://klasma.github.io/Logging_1785/klagomålsmail/A 48855-2023 FSC-klagomål mail.docx", "A 48855-2023")</f>
        <v/>
      </c>
      <c r="X215">
        <f>HYPERLINK("https://klasma.github.io/Logging_1785/tillsyn/A 48855-2023 tillsynsbegäran.docx", "A 48855-2023")</f>
        <v/>
      </c>
      <c r="Y215">
        <f>HYPERLINK("https://klasma.github.io/Logging_1785/tillsynsmail/A 48855-2023 tillsynsbegäran mail.docx", "A 48855-2023")</f>
        <v/>
      </c>
    </row>
    <row r="216" ht="15" customHeight="1">
      <c r="A216" t="inlineStr">
        <is>
          <t>A 60668-2023</t>
        </is>
      </c>
      <c r="B216" s="1" t="n">
        <v>45260</v>
      </c>
      <c r="C216" s="1" t="n">
        <v>45810</v>
      </c>
      <c r="D216" t="inlineStr">
        <is>
          <t>VÄRMLANDS LÄN</t>
        </is>
      </c>
      <c r="E216" t="inlineStr">
        <is>
          <t>ÅRJÄNG</t>
        </is>
      </c>
      <c r="G216" t="n">
        <v>4.8</v>
      </c>
      <c r="H216" t="n">
        <v>2</v>
      </c>
      <c r="I216" t="n">
        <v>0</v>
      </c>
      <c r="J216" t="n">
        <v>3</v>
      </c>
      <c r="K216" t="n">
        <v>0</v>
      </c>
      <c r="L216" t="n">
        <v>0</v>
      </c>
      <c r="M216" t="n">
        <v>0</v>
      </c>
      <c r="N216" t="n">
        <v>0</v>
      </c>
      <c r="O216" t="n">
        <v>3</v>
      </c>
      <c r="P216" t="n">
        <v>0</v>
      </c>
      <c r="Q216" t="n">
        <v>3</v>
      </c>
      <c r="R216" s="2" t="inlineStr">
        <is>
          <t>Garnlav
Spillkråka
Tretåig hackspett</t>
        </is>
      </c>
      <c r="S216">
        <f>HYPERLINK("https://klasma.github.io/Logging_1765/artfynd/A 60668-2023 artfynd.xlsx", "A 60668-2023")</f>
        <v/>
      </c>
      <c r="T216">
        <f>HYPERLINK("https://klasma.github.io/Logging_1765/kartor/A 60668-2023 karta.png", "A 60668-2023")</f>
        <v/>
      </c>
      <c r="U216">
        <f>HYPERLINK("https://klasma.github.io/Logging_1765/knärot/A 60668-2023 karta knärot.png", "A 60668-2023")</f>
        <v/>
      </c>
      <c r="V216">
        <f>HYPERLINK("https://klasma.github.io/Logging_1765/klagomål/A 60668-2023 FSC-klagomål.docx", "A 60668-2023")</f>
        <v/>
      </c>
      <c r="W216">
        <f>HYPERLINK("https://klasma.github.io/Logging_1765/klagomålsmail/A 60668-2023 FSC-klagomål mail.docx", "A 60668-2023")</f>
        <v/>
      </c>
      <c r="X216">
        <f>HYPERLINK("https://klasma.github.io/Logging_1765/tillsyn/A 60668-2023 tillsynsbegäran.docx", "A 60668-2023")</f>
        <v/>
      </c>
      <c r="Y216">
        <f>HYPERLINK("https://klasma.github.io/Logging_1765/tillsynsmail/A 60668-2023 tillsynsbegäran mail.docx", "A 60668-2023")</f>
        <v/>
      </c>
      <c r="Z216">
        <f>HYPERLINK("https://klasma.github.io/Logging_1765/fåglar/A 60668-2023 prioriterade fågelarter.docx", "A 60668-2023")</f>
        <v/>
      </c>
    </row>
    <row r="217" ht="15" customHeight="1">
      <c r="A217" t="inlineStr">
        <is>
          <t>A 61045-2023</t>
        </is>
      </c>
      <c r="B217" s="1" t="n">
        <v>45260</v>
      </c>
      <c r="C217" s="1" t="n">
        <v>45810</v>
      </c>
      <c r="D217" t="inlineStr">
        <is>
          <t>VÄRMLANDS LÄN</t>
        </is>
      </c>
      <c r="E217" t="inlineStr">
        <is>
          <t>ÅRJÄNG</t>
        </is>
      </c>
      <c r="G217" t="n">
        <v>0.7</v>
      </c>
      <c r="H217" t="n">
        <v>1</v>
      </c>
      <c r="I217" t="n">
        <v>1</v>
      </c>
      <c r="J217" t="n">
        <v>2</v>
      </c>
      <c r="K217" t="n">
        <v>0</v>
      </c>
      <c r="L217" t="n">
        <v>0</v>
      </c>
      <c r="M217" t="n">
        <v>0</v>
      </c>
      <c r="N217" t="n">
        <v>0</v>
      </c>
      <c r="O217" t="n">
        <v>2</v>
      </c>
      <c r="P217" t="n">
        <v>0</v>
      </c>
      <c r="Q217" t="n">
        <v>3</v>
      </c>
      <c r="R217" s="2" t="inlineStr">
        <is>
          <t>Gränsticka
Tretåig hackspett
Vedticka</t>
        </is>
      </c>
      <c r="S217">
        <f>HYPERLINK("https://klasma.github.io/Logging_1765/artfynd/A 61045-2023 artfynd.xlsx", "A 61045-2023")</f>
        <v/>
      </c>
      <c r="T217">
        <f>HYPERLINK("https://klasma.github.io/Logging_1765/kartor/A 61045-2023 karta.png", "A 61045-2023")</f>
        <v/>
      </c>
      <c r="U217">
        <f>HYPERLINK("https://klasma.github.io/Logging_1765/knärot/A 61045-2023 karta knärot.png", "A 61045-2023")</f>
        <v/>
      </c>
      <c r="V217">
        <f>HYPERLINK("https://klasma.github.io/Logging_1765/klagomål/A 61045-2023 FSC-klagomål.docx", "A 61045-2023")</f>
        <v/>
      </c>
      <c r="W217">
        <f>HYPERLINK("https://klasma.github.io/Logging_1765/klagomålsmail/A 61045-2023 FSC-klagomål mail.docx", "A 61045-2023")</f>
        <v/>
      </c>
      <c r="X217">
        <f>HYPERLINK("https://klasma.github.io/Logging_1765/tillsyn/A 61045-2023 tillsynsbegäran.docx", "A 61045-2023")</f>
        <v/>
      </c>
      <c r="Y217">
        <f>HYPERLINK("https://klasma.github.io/Logging_1765/tillsynsmail/A 61045-2023 tillsynsbegäran mail.docx", "A 61045-2023")</f>
        <v/>
      </c>
      <c r="Z217">
        <f>HYPERLINK("https://klasma.github.io/Logging_1765/fåglar/A 61045-2023 prioriterade fågelarter.docx", "A 61045-2023")</f>
        <v/>
      </c>
    </row>
    <row r="218" ht="15" customHeight="1">
      <c r="A218" t="inlineStr">
        <is>
          <t>A 61380-2023</t>
        </is>
      </c>
      <c r="B218" s="1" t="n">
        <v>45264</v>
      </c>
      <c r="C218" s="1" t="n">
        <v>45810</v>
      </c>
      <c r="D218" t="inlineStr">
        <is>
          <t>VÄRMLANDS LÄN</t>
        </is>
      </c>
      <c r="E218" t="inlineStr">
        <is>
          <t>HAMMARÖ</t>
        </is>
      </c>
      <c r="G218" t="n">
        <v>3.3</v>
      </c>
      <c r="H218" t="n">
        <v>1</v>
      </c>
      <c r="I218" t="n">
        <v>1</v>
      </c>
      <c r="J218" t="n">
        <v>1</v>
      </c>
      <c r="K218" t="n">
        <v>1</v>
      </c>
      <c r="L218" t="n">
        <v>0</v>
      </c>
      <c r="M218" t="n">
        <v>0</v>
      </c>
      <c r="N218" t="n">
        <v>0</v>
      </c>
      <c r="O218" t="n">
        <v>2</v>
      </c>
      <c r="P218" t="n">
        <v>1</v>
      </c>
      <c r="Q218" t="n">
        <v>3</v>
      </c>
      <c r="R218" s="2" t="inlineStr">
        <is>
          <t>Knärot
Gropticka
Gullgröppa</t>
        </is>
      </c>
      <c r="S218">
        <f>HYPERLINK("https://klasma.github.io/Logging_1761/artfynd/A 61380-2023 artfynd.xlsx", "A 61380-2023")</f>
        <v/>
      </c>
      <c r="T218">
        <f>HYPERLINK("https://klasma.github.io/Logging_1761/kartor/A 61380-2023 karta.png", "A 61380-2023")</f>
        <v/>
      </c>
      <c r="U218">
        <f>HYPERLINK("https://klasma.github.io/Logging_1761/knärot/A 61380-2023 karta knärot.png", "A 61380-2023")</f>
        <v/>
      </c>
      <c r="V218">
        <f>HYPERLINK("https://klasma.github.io/Logging_1761/klagomål/A 61380-2023 FSC-klagomål.docx", "A 61380-2023")</f>
        <v/>
      </c>
      <c r="W218">
        <f>HYPERLINK("https://klasma.github.io/Logging_1761/klagomålsmail/A 61380-2023 FSC-klagomål mail.docx", "A 61380-2023")</f>
        <v/>
      </c>
      <c r="X218">
        <f>HYPERLINK("https://klasma.github.io/Logging_1761/tillsyn/A 61380-2023 tillsynsbegäran.docx", "A 61380-2023")</f>
        <v/>
      </c>
      <c r="Y218">
        <f>HYPERLINK("https://klasma.github.io/Logging_1761/tillsynsmail/A 61380-2023 tillsynsbegäran mail.docx", "A 61380-2023")</f>
        <v/>
      </c>
    </row>
    <row r="219" ht="15" customHeight="1">
      <c r="A219" t="inlineStr">
        <is>
          <t>A 63921-2023</t>
        </is>
      </c>
      <c r="B219" s="1" t="n">
        <v>45278</v>
      </c>
      <c r="C219" s="1" t="n">
        <v>45810</v>
      </c>
      <c r="D219" t="inlineStr">
        <is>
          <t>VÄRMLANDS LÄN</t>
        </is>
      </c>
      <c r="E219" t="inlineStr">
        <is>
          <t>ÅRJÄNG</t>
        </is>
      </c>
      <c r="G219" t="n">
        <v>6.2</v>
      </c>
      <c r="H219" t="n">
        <v>2</v>
      </c>
      <c r="I219" t="n">
        <v>1</v>
      </c>
      <c r="J219" t="n">
        <v>2</v>
      </c>
      <c r="K219" t="n">
        <v>0</v>
      </c>
      <c r="L219" t="n">
        <v>0</v>
      </c>
      <c r="M219" t="n">
        <v>0</v>
      </c>
      <c r="N219" t="n">
        <v>0</v>
      </c>
      <c r="O219" t="n">
        <v>2</v>
      </c>
      <c r="P219" t="n">
        <v>0</v>
      </c>
      <c r="Q219" t="n">
        <v>3</v>
      </c>
      <c r="R219" s="2" t="inlineStr">
        <is>
          <t>Spillkråka
Talltita
Vedticka</t>
        </is>
      </c>
      <c r="S219">
        <f>HYPERLINK("https://klasma.github.io/Logging_1765/artfynd/A 63921-2023 artfynd.xlsx", "A 63921-2023")</f>
        <v/>
      </c>
      <c r="T219">
        <f>HYPERLINK("https://klasma.github.io/Logging_1765/kartor/A 63921-2023 karta.png", "A 63921-2023")</f>
        <v/>
      </c>
      <c r="V219">
        <f>HYPERLINK("https://klasma.github.io/Logging_1765/klagomål/A 63921-2023 FSC-klagomål.docx", "A 63921-2023")</f>
        <v/>
      </c>
      <c r="W219">
        <f>HYPERLINK("https://klasma.github.io/Logging_1765/klagomålsmail/A 63921-2023 FSC-klagomål mail.docx", "A 63921-2023")</f>
        <v/>
      </c>
      <c r="X219">
        <f>HYPERLINK("https://klasma.github.io/Logging_1765/tillsyn/A 63921-2023 tillsynsbegäran.docx", "A 63921-2023")</f>
        <v/>
      </c>
      <c r="Y219">
        <f>HYPERLINK("https://klasma.github.io/Logging_1765/tillsynsmail/A 63921-2023 tillsynsbegäran mail.docx", "A 63921-2023")</f>
        <v/>
      </c>
      <c r="Z219">
        <f>HYPERLINK("https://klasma.github.io/Logging_1765/fåglar/A 63921-2023 prioriterade fågelarter.docx", "A 63921-2023")</f>
        <v/>
      </c>
    </row>
    <row r="220" ht="15" customHeight="1">
      <c r="A220" t="inlineStr">
        <is>
          <t>A 2214-2024</t>
        </is>
      </c>
      <c r="B220" s="1" t="n">
        <v>45309</v>
      </c>
      <c r="C220" s="1" t="n">
        <v>45810</v>
      </c>
      <c r="D220" t="inlineStr">
        <is>
          <t>VÄRMLANDS LÄN</t>
        </is>
      </c>
      <c r="E220" t="inlineStr">
        <is>
          <t>ARVIKA</t>
        </is>
      </c>
      <c r="G220" t="n">
        <v>2.5</v>
      </c>
      <c r="H220" t="n">
        <v>3</v>
      </c>
      <c r="I220" t="n">
        <v>0</v>
      </c>
      <c r="J220" t="n">
        <v>2</v>
      </c>
      <c r="K220" t="n">
        <v>0</v>
      </c>
      <c r="L220" t="n">
        <v>0</v>
      </c>
      <c r="M220" t="n">
        <v>0</v>
      </c>
      <c r="N220" t="n">
        <v>0</v>
      </c>
      <c r="O220" t="n">
        <v>2</v>
      </c>
      <c r="P220" t="n">
        <v>0</v>
      </c>
      <c r="Q220" t="n">
        <v>3</v>
      </c>
      <c r="R220" s="2" t="inlineStr">
        <is>
          <t>Entita
Mindre hackspett
Gröngöling</t>
        </is>
      </c>
      <c r="S220">
        <f>HYPERLINK("https://klasma.github.io/Logging_1784/artfynd/A 2214-2024 artfynd.xlsx", "A 2214-2024")</f>
        <v/>
      </c>
      <c r="T220">
        <f>HYPERLINK("https://klasma.github.io/Logging_1784/kartor/A 2214-2024 karta.png", "A 2214-2024")</f>
        <v/>
      </c>
      <c r="V220">
        <f>HYPERLINK("https://klasma.github.io/Logging_1784/klagomål/A 2214-2024 FSC-klagomål.docx", "A 2214-2024")</f>
        <v/>
      </c>
      <c r="W220">
        <f>HYPERLINK("https://klasma.github.io/Logging_1784/klagomålsmail/A 2214-2024 FSC-klagomål mail.docx", "A 2214-2024")</f>
        <v/>
      </c>
      <c r="X220">
        <f>HYPERLINK("https://klasma.github.io/Logging_1784/tillsyn/A 2214-2024 tillsynsbegäran.docx", "A 2214-2024")</f>
        <v/>
      </c>
      <c r="Y220">
        <f>HYPERLINK("https://klasma.github.io/Logging_1784/tillsynsmail/A 2214-2024 tillsynsbegäran mail.docx", "A 2214-2024")</f>
        <v/>
      </c>
      <c r="Z220">
        <f>HYPERLINK("https://klasma.github.io/Logging_1784/fåglar/A 2214-2024 prioriterade fågelarter.docx", "A 2214-2024")</f>
        <v/>
      </c>
    </row>
    <row r="221" ht="15" customHeight="1">
      <c r="A221" t="inlineStr">
        <is>
          <t>A 3099-2024</t>
        </is>
      </c>
      <c r="B221" s="1" t="n">
        <v>45316</v>
      </c>
      <c r="C221" s="1" t="n">
        <v>45810</v>
      </c>
      <c r="D221" t="inlineStr">
        <is>
          <t>VÄRMLANDS LÄN</t>
        </is>
      </c>
      <c r="E221" t="inlineStr">
        <is>
          <t>TORSBY</t>
        </is>
      </c>
      <c r="G221" t="n">
        <v>6.3</v>
      </c>
      <c r="H221" t="n">
        <v>0</v>
      </c>
      <c r="I221" t="n">
        <v>1</v>
      </c>
      <c r="J221" t="n">
        <v>2</v>
      </c>
      <c r="K221" t="n">
        <v>0</v>
      </c>
      <c r="L221" t="n">
        <v>0</v>
      </c>
      <c r="M221" t="n">
        <v>0</v>
      </c>
      <c r="N221" t="n">
        <v>0</v>
      </c>
      <c r="O221" t="n">
        <v>2</v>
      </c>
      <c r="P221" t="n">
        <v>0</v>
      </c>
      <c r="Q221" t="n">
        <v>3</v>
      </c>
      <c r="R221" s="2" t="inlineStr">
        <is>
          <t>Dvärgbägarlav
Garnlav
Vedticka</t>
        </is>
      </c>
      <c r="S221">
        <f>HYPERLINK("https://klasma.github.io/Logging_1737/artfynd/A 3099-2024 artfynd.xlsx", "A 3099-2024")</f>
        <v/>
      </c>
      <c r="T221">
        <f>HYPERLINK("https://klasma.github.io/Logging_1737/kartor/A 3099-2024 karta.png", "A 3099-2024")</f>
        <v/>
      </c>
      <c r="V221">
        <f>HYPERLINK("https://klasma.github.io/Logging_1737/klagomål/A 3099-2024 FSC-klagomål.docx", "A 3099-2024")</f>
        <v/>
      </c>
      <c r="W221">
        <f>HYPERLINK("https://klasma.github.io/Logging_1737/klagomålsmail/A 3099-2024 FSC-klagomål mail.docx", "A 3099-2024")</f>
        <v/>
      </c>
      <c r="X221">
        <f>HYPERLINK("https://klasma.github.io/Logging_1737/tillsyn/A 3099-2024 tillsynsbegäran.docx", "A 3099-2024")</f>
        <v/>
      </c>
      <c r="Y221">
        <f>HYPERLINK("https://klasma.github.io/Logging_1737/tillsynsmail/A 3099-2024 tillsynsbegäran mail.docx", "A 3099-2024")</f>
        <v/>
      </c>
    </row>
    <row r="222" ht="15" customHeight="1">
      <c r="A222" t="inlineStr">
        <is>
          <t>A 3713-2024</t>
        </is>
      </c>
      <c r="B222" s="1" t="n">
        <v>45321</v>
      </c>
      <c r="C222" s="1" t="n">
        <v>45810</v>
      </c>
      <c r="D222" t="inlineStr">
        <is>
          <t>VÄRMLANDS LÄN</t>
        </is>
      </c>
      <c r="E222" t="inlineStr">
        <is>
          <t>FORSHAGA</t>
        </is>
      </c>
      <c r="G222" t="n">
        <v>6.1</v>
      </c>
      <c r="H222" t="n">
        <v>3</v>
      </c>
      <c r="I222" t="n">
        <v>0</v>
      </c>
      <c r="J222" t="n">
        <v>0</v>
      </c>
      <c r="K222" t="n">
        <v>0</v>
      </c>
      <c r="L222" t="n">
        <v>0</v>
      </c>
      <c r="M222" t="n">
        <v>0</v>
      </c>
      <c r="N222" t="n">
        <v>0</v>
      </c>
      <c r="O222" t="n">
        <v>0</v>
      </c>
      <c r="P222" t="n">
        <v>0</v>
      </c>
      <c r="Q222" t="n">
        <v>3</v>
      </c>
      <c r="R222" s="2" t="inlineStr">
        <is>
          <t>Åkergroda
Mindre vattensalamander
Vanlig padda</t>
        </is>
      </c>
      <c r="S222">
        <f>HYPERLINK("https://klasma.github.io/Logging_1763/artfynd/A 3713-2024 artfynd.xlsx", "A 3713-2024")</f>
        <v/>
      </c>
      <c r="T222">
        <f>HYPERLINK("https://klasma.github.io/Logging_1763/kartor/A 3713-2024 karta.png", "A 3713-2024")</f>
        <v/>
      </c>
      <c r="V222">
        <f>HYPERLINK("https://klasma.github.io/Logging_1763/klagomål/A 3713-2024 FSC-klagomål.docx", "A 3713-2024")</f>
        <v/>
      </c>
      <c r="W222">
        <f>HYPERLINK("https://klasma.github.io/Logging_1763/klagomålsmail/A 3713-2024 FSC-klagomål mail.docx", "A 3713-2024")</f>
        <v/>
      </c>
      <c r="X222">
        <f>HYPERLINK("https://klasma.github.io/Logging_1763/tillsyn/A 3713-2024 tillsynsbegäran.docx", "A 3713-2024")</f>
        <v/>
      </c>
      <c r="Y222">
        <f>HYPERLINK("https://klasma.github.io/Logging_1763/tillsynsmail/A 3713-2024 tillsynsbegäran mail.docx", "A 3713-2024")</f>
        <v/>
      </c>
    </row>
    <row r="223" ht="15" customHeight="1">
      <c r="A223" t="inlineStr">
        <is>
          <t>A 5680-2024</t>
        </is>
      </c>
      <c r="B223" s="1" t="n">
        <v>45334</v>
      </c>
      <c r="C223" s="1" t="n">
        <v>45810</v>
      </c>
      <c r="D223" t="inlineStr">
        <is>
          <t>VÄRMLANDS LÄN</t>
        </is>
      </c>
      <c r="E223" t="inlineStr">
        <is>
          <t>TORSBY</t>
        </is>
      </c>
      <c r="G223" t="n">
        <v>24</v>
      </c>
      <c r="H223" t="n">
        <v>0</v>
      </c>
      <c r="I223" t="n">
        <v>1</v>
      </c>
      <c r="J223" t="n">
        <v>2</v>
      </c>
      <c r="K223" t="n">
        <v>0</v>
      </c>
      <c r="L223" t="n">
        <v>0</v>
      </c>
      <c r="M223" t="n">
        <v>0</v>
      </c>
      <c r="N223" t="n">
        <v>0</v>
      </c>
      <c r="O223" t="n">
        <v>2</v>
      </c>
      <c r="P223" t="n">
        <v>0</v>
      </c>
      <c r="Q223" t="n">
        <v>3</v>
      </c>
      <c r="R223" s="2" t="inlineStr">
        <is>
          <t>Garnlav
Motaggsvamp
Dropptaggsvamp</t>
        </is>
      </c>
      <c r="S223">
        <f>HYPERLINK("https://klasma.github.io/Logging_1737/artfynd/A 5680-2024 artfynd.xlsx", "A 5680-2024")</f>
        <v/>
      </c>
      <c r="T223">
        <f>HYPERLINK("https://klasma.github.io/Logging_1737/kartor/A 5680-2024 karta.png", "A 5680-2024")</f>
        <v/>
      </c>
      <c r="V223">
        <f>HYPERLINK("https://klasma.github.io/Logging_1737/klagomål/A 5680-2024 FSC-klagomål.docx", "A 5680-2024")</f>
        <v/>
      </c>
      <c r="W223">
        <f>HYPERLINK("https://klasma.github.io/Logging_1737/klagomålsmail/A 5680-2024 FSC-klagomål mail.docx", "A 5680-2024")</f>
        <v/>
      </c>
      <c r="X223">
        <f>HYPERLINK("https://klasma.github.io/Logging_1737/tillsyn/A 5680-2024 tillsynsbegäran.docx", "A 5680-2024")</f>
        <v/>
      </c>
      <c r="Y223">
        <f>HYPERLINK("https://klasma.github.io/Logging_1737/tillsynsmail/A 5680-2024 tillsynsbegäran mail.docx", "A 5680-2024")</f>
        <v/>
      </c>
    </row>
    <row r="224" ht="15" customHeight="1">
      <c r="A224" t="inlineStr">
        <is>
          <t>A 12256-2024</t>
        </is>
      </c>
      <c r="B224" s="1" t="n">
        <v>45378</v>
      </c>
      <c r="C224" s="1" t="n">
        <v>45810</v>
      </c>
      <c r="D224" t="inlineStr">
        <is>
          <t>VÄRMLANDS LÄN</t>
        </is>
      </c>
      <c r="E224" t="inlineStr">
        <is>
          <t>ÅRJÄNG</t>
        </is>
      </c>
      <c r="G224" t="n">
        <v>5.2</v>
      </c>
      <c r="H224" t="n">
        <v>3</v>
      </c>
      <c r="I224" t="n">
        <v>0</v>
      </c>
      <c r="J224" t="n">
        <v>1</v>
      </c>
      <c r="K224" t="n">
        <v>0</v>
      </c>
      <c r="L224" t="n">
        <v>0</v>
      </c>
      <c r="M224" t="n">
        <v>0</v>
      </c>
      <c r="N224" t="n">
        <v>0</v>
      </c>
      <c r="O224" t="n">
        <v>1</v>
      </c>
      <c r="P224" t="n">
        <v>0</v>
      </c>
      <c r="Q224" t="n">
        <v>3</v>
      </c>
      <c r="R224" s="2" t="inlineStr">
        <is>
          <t>Spillkråka
Tjäder
Revlummer</t>
        </is>
      </c>
      <c r="S224">
        <f>HYPERLINK("https://klasma.github.io/Logging_1765/artfynd/A 12256-2024 artfynd.xlsx", "A 12256-2024")</f>
        <v/>
      </c>
      <c r="T224">
        <f>HYPERLINK("https://klasma.github.io/Logging_1765/kartor/A 12256-2024 karta.png", "A 12256-2024")</f>
        <v/>
      </c>
      <c r="V224">
        <f>HYPERLINK("https://klasma.github.io/Logging_1765/klagomål/A 12256-2024 FSC-klagomål.docx", "A 12256-2024")</f>
        <v/>
      </c>
      <c r="W224">
        <f>HYPERLINK("https://klasma.github.io/Logging_1765/klagomålsmail/A 12256-2024 FSC-klagomål mail.docx", "A 12256-2024")</f>
        <v/>
      </c>
      <c r="X224">
        <f>HYPERLINK("https://klasma.github.io/Logging_1765/tillsyn/A 12256-2024 tillsynsbegäran.docx", "A 12256-2024")</f>
        <v/>
      </c>
      <c r="Y224">
        <f>HYPERLINK("https://klasma.github.io/Logging_1765/tillsynsmail/A 12256-2024 tillsynsbegäran mail.docx", "A 12256-2024")</f>
        <v/>
      </c>
      <c r="Z224">
        <f>HYPERLINK("https://klasma.github.io/Logging_1765/fåglar/A 12256-2024 prioriterade fågelarter.docx", "A 12256-2024")</f>
        <v/>
      </c>
    </row>
    <row r="225" ht="15" customHeight="1">
      <c r="A225" t="inlineStr">
        <is>
          <t>A 18306-2024</t>
        </is>
      </c>
      <c r="B225" s="1" t="n">
        <v>45422</v>
      </c>
      <c r="C225" s="1" t="n">
        <v>45810</v>
      </c>
      <c r="D225" t="inlineStr">
        <is>
          <t>VÄRMLANDS LÄN</t>
        </is>
      </c>
      <c r="E225" t="inlineStr">
        <is>
          <t>TORSBY</t>
        </is>
      </c>
      <c r="G225" t="n">
        <v>5.5</v>
      </c>
      <c r="H225" t="n">
        <v>0</v>
      </c>
      <c r="I225" t="n">
        <v>0</v>
      </c>
      <c r="J225" t="n">
        <v>3</v>
      </c>
      <c r="K225" t="n">
        <v>0</v>
      </c>
      <c r="L225" t="n">
        <v>0</v>
      </c>
      <c r="M225" t="n">
        <v>0</v>
      </c>
      <c r="N225" t="n">
        <v>0</v>
      </c>
      <c r="O225" t="n">
        <v>3</v>
      </c>
      <c r="P225" t="n">
        <v>0</v>
      </c>
      <c r="Q225" t="n">
        <v>3</v>
      </c>
      <c r="R225" s="2" t="inlineStr">
        <is>
          <t>Garnlav
Lunglav
Tallticka</t>
        </is>
      </c>
      <c r="S225">
        <f>HYPERLINK("https://klasma.github.io/Logging_1737/artfynd/A 18306-2024 artfynd.xlsx", "A 18306-2024")</f>
        <v/>
      </c>
      <c r="T225">
        <f>HYPERLINK("https://klasma.github.io/Logging_1737/kartor/A 18306-2024 karta.png", "A 18306-2024")</f>
        <v/>
      </c>
      <c r="V225">
        <f>HYPERLINK("https://klasma.github.io/Logging_1737/klagomål/A 18306-2024 FSC-klagomål.docx", "A 18306-2024")</f>
        <v/>
      </c>
      <c r="W225">
        <f>HYPERLINK("https://klasma.github.io/Logging_1737/klagomålsmail/A 18306-2024 FSC-klagomål mail.docx", "A 18306-2024")</f>
        <v/>
      </c>
      <c r="X225">
        <f>HYPERLINK("https://klasma.github.io/Logging_1737/tillsyn/A 18306-2024 tillsynsbegäran.docx", "A 18306-2024")</f>
        <v/>
      </c>
      <c r="Y225">
        <f>HYPERLINK("https://klasma.github.io/Logging_1737/tillsynsmail/A 18306-2024 tillsynsbegäran mail.docx", "A 18306-2024")</f>
        <v/>
      </c>
    </row>
    <row r="226" ht="15" customHeight="1">
      <c r="A226" t="inlineStr">
        <is>
          <t>A 20946-2024</t>
        </is>
      </c>
      <c r="B226" s="1" t="n">
        <v>45439</v>
      </c>
      <c r="C226" s="1" t="n">
        <v>45810</v>
      </c>
      <c r="D226" t="inlineStr">
        <is>
          <t>VÄRMLANDS LÄN</t>
        </is>
      </c>
      <c r="E226" t="inlineStr">
        <is>
          <t>KARLSTAD</t>
        </is>
      </c>
      <c r="F226" t="inlineStr">
        <is>
          <t>Kommuner</t>
        </is>
      </c>
      <c r="G226" t="n">
        <v>4.9</v>
      </c>
      <c r="H226" t="n">
        <v>2</v>
      </c>
      <c r="I226" t="n">
        <v>1</v>
      </c>
      <c r="J226" t="n">
        <v>2</v>
      </c>
      <c r="K226" t="n">
        <v>0</v>
      </c>
      <c r="L226" t="n">
        <v>0</v>
      </c>
      <c r="M226" t="n">
        <v>0</v>
      </c>
      <c r="N226" t="n">
        <v>0</v>
      </c>
      <c r="O226" t="n">
        <v>2</v>
      </c>
      <c r="P226" t="n">
        <v>0</v>
      </c>
      <c r="Q226" t="n">
        <v>3</v>
      </c>
      <c r="R226" s="2" t="inlineStr">
        <is>
          <t>Entita
Spillkråka
Vågbandad barkbock</t>
        </is>
      </c>
      <c r="S226">
        <f>HYPERLINK("https://klasma.github.io/Logging_1780/artfynd/A 20946-2024 artfynd.xlsx", "A 20946-2024")</f>
        <v/>
      </c>
      <c r="T226">
        <f>HYPERLINK("https://klasma.github.io/Logging_1780/kartor/A 20946-2024 karta.png", "A 20946-2024")</f>
        <v/>
      </c>
      <c r="V226">
        <f>HYPERLINK("https://klasma.github.io/Logging_1780/klagomål/A 20946-2024 FSC-klagomål.docx", "A 20946-2024")</f>
        <v/>
      </c>
      <c r="W226">
        <f>HYPERLINK("https://klasma.github.io/Logging_1780/klagomålsmail/A 20946-2024 FSC-klagomål mail.docx", "A 20946-2024")</f>
        <v/>
      </c>
      <c r="X226">
        <f>HYPERLINK("https://klasma.github.io/Logging_1780/tillsyn/A 20946-2024 tillsynsbegäran.docx", "A 20946-2024")</f>
        <v/>
      </c>
      <c r="Y226">
        <f>HYPERLINK("https://klasma.github.io/Logging_1780/tillsynsmail/A 20946-2024 tillsynsbegäran mail.docx", "A 20946-2024")</f>
        <v/>
      </c>
      <c r="Z226">
        <f>HYPERLINK("https://klasma.github.io/Logging_1780/fåglar/A 20946-2024 prioriterade fågelarter.docx", "A 20946-2024")</f>
        <v/>
      </c>
    </row>
    <row r="227" ht="15" customHeight="1">
      <c r="A227" t="inlineStr">
        <is>
          <t>A 23084-2024</t>
        </is>
      </c>
      <c r="B227" s="1" t="n">
        <v>45450</v>
      </c>
      <c r="C227" s="1" t="n">
        <v>45810</v>
      </c>
      <c r="D227" t="inlineStr">
        <is>
          <t>VÄRMLANDS LÄN</t>
        </is>
      </c>
      <c r="E227" t="inlineStr">
        <is>
          <t>ARVIKA</t>
        </is>
      </c>
      <c r="F227" t="inlineStr">
        <is>
          <t>Bergvik skog väst AB</t>
        </is>
      </c>
      <c r="G227" t="n">
        <v>0.7</v>
      </c>
      <c r="H227" t="n">
        <v>2</v>
      </c>
      <c r="I227" t="n">
        <v>0</v>
      </c>
      <c r="J227" t="n">
        <v>1</v>
      </c>
      <c r="K227" t="n">
        <v>1</v>
      </c>
      <c r="L227" t="n">
        <v>0</v>
      </c>
      <c r="M227" t="n">
        <v>0</v>
      </c>
      <c r="N227" t="n">
        <v>0</v>
      </c>
      <c r="O227" t="n">
        <v>2</v>
      </c>
      <c r="P227" t="n">
        <v>1</v>
      </c>
      <c r="Q227" t="n">
        <v>3</v>
      </c>
      <c r="R227" s="2" t="inlineStr">
        <is>
          <t>Knärot
Vedskivlav
Tjäder</t>
        </is>
      </c>
      <c r="S227">
        <f>HYPERLINK("https://klasma.github.io/Logging_1784/artfynd/A 23084-2024 artfynd.xlsx", "A 23084-2024")</f>
        <v/>
      </c>
      <c r="T227">
        <f>HYPERLINK("https://klasma.github.io/Logging_1784/kartor/A 23084-2024 karta.png", "A 23084-2024")</f>
        <v/>
      </c>
      <c r="U227">
        <f>HYPERLINK("https://klasma.github.io/Logging_1784/knärot/A 23084-2024 karta knärot.png", "A 23084-2024")</f>
        <v/>
      </c>
      <c r="V227">
        <f>HYPERLINK("https://klasma.github.io/Logging_1784/klagomål/A 23084-2024 FSC-klagomål.docx", "A 23084-2024")</f>
        <v/>
      </c>
      <c r="W227">
        <f>HYPERLINK("https://klasma.github.io/Logging_1784/klagomålsmail/A 23084-2024 FSC-klagomål mail.docx", "A 23084-2024")</f>
        <v/>
      </c>
      <c r="X227">
        <f>HYPERLINK("https://klasma.github.io/Logging_1784/tillsyn/A 23084-2024 tillsynsbegäran.docx", "A 23084-2024")</f>
        <v/>
      </c>
      <c r="Y227">
        <f>HYPERLINK("https://klasma.github.io/Logging_1784/tillsynsmail/A 23084-2024 tillsynsbegäran mail.docx", "A 23084-2024")</f>
        <v/>
      </c>
      <c r="Z227">
        <f>HYPERLINK("https://klasma.github.io/Logging_1784/fåglar/A 23084-2024 prioriterade fågelarter.docx", "A 23084-2024")</f>
        <v/>
      </c>
    </row>
    <row r="228" ht="15" customHeight="1">
      <c r="A228" t="inlineStr">
        <is>
          <t>A 23086-2024</t>
        </is>
      </c>
      <c r="B228" s="1" t="n">
        <v>45450</v>
      </c>
      <c r="C228" s="1" t="n">
        <v>45810</v>
      </c>
      <c r="D228" t="inlineStr">
        <is>
          <t>VÄRMLANDS LÄN</t>
        </is>
      </c>
      <c r="E228" t="inlineStr">
        <is>
          <t>ARVIKA</t>
        </is>
      </c>
      <c r="F228" t="inlineStr">
        <is>
          <t>Bergvik skog väst AB</t>
        </is>
      </c>
      <c r="G228" t="n">
        <v>1.5</v>
      </c>
      <c r="H228" t="n">
        <v>1</v>
      </c>
      <c r="I228" t="n">
        <v>1</v>
      </c>
      <c r="J228" t="n">
        <v>1</v>
      </c>
      <c r="K228" t="n">
        <v>1</v>
      </c>
      <c r="L228" t="n">
        <v>0</v>
      </c>
      <c r="M228" t="n">
        <v>0</v>
      </c>
      <c r="N228" t="n">
        <v>0</v>
      </c>
      <c r="O228" t="n">
        <v>2</v>
      </c>
      <c r="P228" t="n">
        <v>1</v>
      </c>
      <c r="Q228" t="n">
        <v>3</v>
      </c>
      <c r="R228" s="2" t="inlineStr">
        <is>
          <t>Knärot
Vedtrappmossa
Flagellkvastmossa</t>
        </is>
      </c>
      <c r="S228">
        <f>HYPERLINK("https://klasma.github.io/Logging_1784/artfynd/A 23086-2024 artfynd.xlsx", "A 23086-2024")</f>
        <v/>
      </c>
      <c r="T228">
        <f>HYPERLINK("https://klasma.github.io/Logging_1784/kartor/A 23086-2024 karta.png", "A 23086-2024")</f>
        <v/>
      </c>
      <c r="U228">
        <f>HYPERLINK("https://klasma.github.io/Logging_1784/knärot/A 23086-2024 karta knärot.png", "A 23086-2024")</f>
        <v/>
      </c>
      <c r="V228">
        <f>HYPERLINK("https://klasma.github.io/Logging_1784/klagomål/A 23086-2024 FSC-klagomål.docx", "A 23086-2024")</f>
        <v/>
      </c>
      <c r="W228">
        <f>HYPERLINK("https://klasma.github.io/Logging_1784/klagomålsmail/A 23086-2024 FSC-klagomål mail.docx", "A 23086-2024")</f>
        <v/>
      </c>
      <c r="X228">
        <f>HYPERLINK("https://klasma.github.io/Logging_1784/tillsyn/A 23086-2024 tillsynsbegäran.docx", "A 23086-2024")</f>
        <v/>
      </c>
      <c r="Y228">
        <f>HYPERLINK("https://klasma.github.io/Logging_1784/tillsynsmail/A 23086-2024 tillsynsbegäran mail.docx", "A 23086-2024")</f>
        <v/>
      </c>
    </row>
    <row r="229" ht="15" customHeight="1">
      <c r="A229" t="inlineStr">
        <is>
          <t>A 27272-2024</t>
        </is>
      </c>
      <c r="B229" s="1" t="n">
        <v>45471</v>
      </c>
      <c r="C229" s="1" t="n">
        <v>45810</v>
      </c>
      <c r="D229" t="inlineStr">
        <is>
          <t>VÄRMLANDS LÄN</t>
        </is>
      </c>
      <c r="E229" t="inlineStr">
        <is>
          <t>SUNNE</t>
        </is>
      </c>
      <c r="G229" t="n">
        <v>2.4</v>
      </c>
      <c r="H229" t="n">
        <v>0</v>
      </c>
      <c r="I229" t="n">
        <v>2</v>
      </c>
      <c r="J229" t="n">
        <v>1</v>
      </c>
      <c r="K229" t="n">
        <v>0</v>
      </c>
      <c r="L229" t="n">
        <v>0</v>
      </c>
      <c r="M229" t="n">
        <v>0</v>
      </c>
      <c r="N229" t="n">
        <v>0</v>
      </c>
      <c r="O229" t="n">
        <v>1</v>
      </c>
      <c r="P229" t="n">
        <v>0</v>
      </c>
      <c r="Q229" t="n">
        <v>3</v>
      </c>
      <c r="R229" s="2" t="inlineStr">
        <is>
          <t>Skogshare
Bronshjon
Vågbandad barkbock</t>
        </is>
      </c>
      <c r="S229">
        <f>HYPERLINK("https://klasma.github.io/Logging_1766/artfynd/A 27272-2024 artfynd.xlsx", "A 27272-2024")</f>
        <v/>
      </c>
      <c r="T229">
        <f>HYPERLINK("https://klasma.github.io/Logging_1766/kartor/A 27272-2024 karta.png", "A 27272-2024")</f>
        <v/>
      </c>
      <c r="V229">
        <f>HYPERLINK("https://klasma.github.io/Logging_1766/klagomål/A 27272-2024 FSC-klagomål.docx", "A 27272-2024")</f>
        <v/>
      </c>
      <c r="W229">
        <f>HYPERLINK("https://klasma.github.io/Logging_1766/klagomålsmail/A 27272-2024 FSC-klagomål mail.docx", "A 27272-2024")</f>
        <v/>
      </c>
      <c r="X229">
        <f>HYPERLINK("https://klasma.github.io/Logging_1766/tillsyn/A 27272-2024 tillsynsbegäran.docx", "A 27272-2024")</f>
        <v/>
      </c>
      <c r="Y229">
        <f>HYPERLINK("https://klasma.github.io/Logging_1766/tillsynsmail/A 27272-2024 tillsynsbegäran mail.docx", "A 27272-2024")</f>
        <v/>
      </c>
    </row>
    <row r="230" ht="15" customHeight="1">
      <c r="A230" t="inlineStr">
        <is>
          <t>A 31835-2024</t>
        </is>
      </c>
      <c r="B230" s="1" t="n">
        <v>45509</v>
      </c>
      <c r="C230" s="1" t="n">
        <v>45810</v>
      </c>
      <c r="D230" t="inlineStr">
        <is>
          <t>VÄRMLANDS LÄN</t>
        </is>
      </c>
      <c r="E230" t="inlineStr">
        <is>
          <t>TORSBY</t>
        </is>
      </c>
      <c r="G230" t="n">
        <v>27.3</v>
      </c>
      <c r="H230" t="n">
        <v>0</v>
      </c>
      <c r="I230" t="n">
        <v>0</v>
      </c>
      <c r="J230" t="n">
        <v>3</v>
      </c>
      <c r="K230" t="n">
        <v>0</v>
      </c>
      <c r="L230" t="n">
        <v>0</v>
      </c>
      <c r="M230" t="n">
        <v>0</v>
      </c>
      <c r="N230" t="n">
        <v>0</v>
      </c>
      <c r="O230" t="n">
        <v>3</v>
      </c>
      <c r="P230" t="n">
        <v>0</v>
      </c>
      <c r="Q230" t="n">
        <v>3</v>
      </c>
      <c r="R230" s="2" t="inlineStr">
        <is>
          <t>Garnlav
Kolflarnlav
Mörk kolflarnlav</t>
        </is>
      </c>
      <c r="S230">
        <f>HYPERLINK("https://klasma.github.io/Logging_1737/artfynd/A 31835-2024 artfynd.xlsx", "A 31835-2024")</f>
        <v/>
      </c>
      <c r="T230">
        <f>HYPERLINK("https://klasma.github.io/Logging_1737/kartor/A 31835-2024 karta.png", "A 31835-2024")</f>
        <v/>
      </c>
      <c r="V230">
        <f>HYPERLINK("https://klasma.github.io/Logging_1737/klagomål/A 31835-2024 FSC-klagomål.docx", "A 31835-2024")</f>
        <v/>
      </c>
      <c r="W230">
        <f>HYPERLINK("https://klasma.github.io/Logging_1737/klagomålsmail/A 31835-2024 FSC-klagomål mail.docx", "A 31835-2024")</f>
        <v/>
      </c>
      <c r="X230">
        <f>HYPERLINK("https://klasma.github.io/Logging_1737/tillsyn/A 31835-2024 tillsynsbegäran.docx", "A 31835-2024")</f>
        <v/>
      </c>
      <c r="Y230">
        <f>HYPERLINK("https://klasma.github.io/Logging_1737/tillsynsmail/A 31835-2024 tillsynsbegäran mail.docx", "A 31835-2024")</f>
        <v/>
      </c>
    </row>
    <row r="231" ht="15" customHeight="1">
      <c r="A231" t="inlineStr">
        <is>
          <t>A 38134-2024</t>
        </is>
      </c>
      <c r="B231" s="1" t="n">
        <v>45545</v>
      </c>
      <c r="C231" s="1" t="n">
        <v>45810</v>
      </c>
      <c r="D231" t="inlineStr">
        <is>
          <t>VÄRMLANDS LÄN</t>
        </is>
      </c>
      <c r="E231" t="inlineStr">
        <is>
          <t>FILIPSTAD</t>
        </is>
      </c>
      <c r="F231" t="inlineStr">
        <is>
          <t>Bergvik skog väst AB</t>
        </is>
      </c>
      <c r="G231" t="n">
        <v>2.4</v>
      </c>
      <c r="H231" t="n">
        <v>0</v>
      </c>
      <c r="I231" t="n">
        <v>2</v>
      </c>
      <c r="J231" t="n">
        <v>1</v>
      </c>
      <c r="K231" t="n">
        <v>0</v>
      </c>
      <c r="L231" t="n">
        <v>0</v>
      </c>
      <c r="M231" t="n">
        <v>0</v>
      </c>
      <c r="N231" t="n">
        <v>0</v>
      </c>
      <c r="O231" t="n">
        <v>1</v>
      </c>
      <c r="P231" t="n">
        <v>0</v>
      </c>
      <c r="Q231" t="n">
        <v>3</v>
      </c>
      <c r="R231" s="2" t="inlineStr">
        <is>
          <t>Garnlav
Dropptaggsvamp
Skuggblåslav</t>
        </is>
      </c>
      <c r="S231">
        <f>HYPERLINK("https://klasma.github.io/Logging_1782/artfynd/A 38134-2024 artfynd.xlsx", "A 38134-2024")</f>
        <v/>
      </c>
      <c r="T231">
        <f>HYPERLINK("https://klasma.github.io/Logging_1782/kartor/A 38134-2024 karta.png", "A 38134-2024")</f>
        <v/>
      </c>
      <c r="V231">
        <f>HYPERLINK("https://klasma.github.io/Logging_1782/klagomål/A 38134-2024 FSC-klagomål.docx", "A 38134-2024")</f>
        <v/>
      </c>
      <c r="W231">
        <f>HYPERLINK("https://klasma.github.io/Logging_1782/klagomålsmail/A 38134-2024 FSC-klagomål mail.docx", "A 38134-2024")</f>
        <v/>
      </c>
      <c r="X231">
        <f>HYPERLINK("https://klasma.github.io/Logging_1782/tillsyn/A 38134-2024 tillsynsbegäran.docx", "A 38134-2024")</f>
        <v/>
      </c>
      <c r="Y231">
        <f>HYPERLINK("https://klasma.github.io/Logging_1782/tillsynsmail/A 38134-2024 tillsynsbegäran mail.docx", "A 38134-2024")</f>
        <v/>
      </c>
    </row>
    <row r="232" ht="15" customHeight="1">
      <c r="A232" t="inlineStr">
        <is>
          <t>A 45255-2024</t>
        </is>
      </c>
      <c r="B232" s="1" t="n">
        <v>45576</v>
      </c>
      <c r="C232" s="1" t="n">
        <v>45810</v>
      </c>
      <c r="D232" t="inlineStr">
        <is>
          <t>VÄRMLANDS LÄN</t>
        </is>
      </c>
      <c r="E232" t="inlineStr">
        <is>
          <t>ARVIKA</t>
        </is>
      </c>
      <c r="G232" t="n">
        <v>8.5</v>
      </c>
      <c r="H232" t="n">
        <v>0</v>
      </c>
      <c r="I232" t="n">
        <v>2</v>
      </c>
      <c r="J232" t="n">
        <v>0</v>
      </c>
      <c r="K232" t="n">
        <v>1</v>
      </c>
      <c r="L232" t="n">
        <v>0</v>
      </c>
      <c r="M232" t="n">
        <v>0</v>
      </c>
      <c r="N232" t="n">
        <v>0</v>
      </c>
      <c r="O232" t="n">
        <v>1</v>
      </c>
      <c r="P232" t="n">
        <v>1</v>
      </c>
      <c r="Q232" t="n">
        <v>3</v>
      </c>
      <c r="R232" s="2" t="inlineStr">
        <is>
          <t>Läderdoftande fingersvamp
Gulskölding
Honungsvaxing</t>
        </is>
      </c>
      <c r="S232">
        <f>HYPERLINK("https://klasma.github.io/Logging_1784/artfynd/A 45255-2024 artfynd.xlsx", "A 45255-2024")</f>
        <v/>
      </c>
      <c r="T232">
        <f>HYPERLINK("https://klasma.github.io/Logging_1784/kartor/A 45255-2024 karta.png", "A 45255-2024")</f>
        <v/>
      </c>
      <c r="V232">
        <f>HYPERLINK("https://klasma.github.io/Logging_1784/klagomål/A 45255-2024 FSC-klagomål.docx", "A 45255-2024")</f>
        <v/>
      </c>
      <c r="W232">
        <f>HYPERLINK("https://klasma.github.io/Logging_1784/klagomålsmail/A 45255-2024 FSC-klagomål mail.docx", "A 45255-2024")</f>
        <v/>
      </c>
      <c r="X232">
        <f>HYPERLINK("https://klasma.github.io/Logging_1784/tillsyn/A 45255-2024 tillsynsbegäran.docx", "A 45255-2024")</f>
        <v/>
      </c>
      <c r="Y232">
        <f>HYPERLINK("https://klasma.github.io/Logging_1784/tillsynsmail/A 45255-2024 tillsynsbegäran mail.docx", "A 45255-2024")</f>
        <v/>
      </c>
    </row>
    <row r="233" ht="15" customHeight="1">
      <c r="A233" t="inlineStr">
        <is>
          <t>A 46895-2024</t>
        </is>
      </c>
      <c r="B233" s="1" t="n">
        <v>45583</v>
      </c>
      <c r="C233" s="1" t="n">
        <v>45810</v>
      </c>
      <c r="D233" t="inlineStr">
        <is>
          <t>VÄRMLANDS LÄN</t>
        </is>
      </c>
      <c r="E233" t="inlineStr">
        <is>
          <t>KARLSTAD</t>
        </is>
      </c>
      <c r="F233" t="inlineStr">
        <is>
          <t>Kommuner</t>
        </is>
      </c>
      <c r="G233" t="n">
        <v>3.6</v>
      </c>
      <c r="H233" t="n">
        <v>1</v>
      </c>
      <c r="I233" t="n">
        <v>0</v>
      </c>
      <c r="J233" t="n">
        <v>3</v>
      </c>
      <c r="K233" t="n">
        <v>0</v>
      </c>
      <c r="L233" t="n">
        <v>0</v>
      </c>
      <c r="M233" t="n">
        <v>0</v>
      </c>
      <c r="N233" t="n">
        <v>0</v>
      </c>
      <c r="O233" t="n">
        <v>3</v>
      </c>
      <c r="P233" t="n">
        <v>0</v>
      </c>
      <c r="Q233" t="n">
        <v>3</v>
      </c>
      <c r="R233" s="2" t="inlineStr">
        <is>
          <t>Brun gräsfjäril
Sotnätfjäril
Violettkantad guldvinge</t>
        </is>
      </c>
      <c r="S233">
        <f>HYPERLINK("https://klasma.github.io/Logging_1780/artfynd/A 46895-2024 artfynd.xlsx", "A 46895-2024")</f>
        <v/>
      </c>
      <c r="T233">
        <f>HYPERLINK("https://klasma.github.io/Logging_1780/kartor/A 46895-2024 karta.png", "A 46895-2024")</f>
        <v/>
      </c>
      <c r="V233">
        <f>HYPERLINK("https://klasma.github.io/Logging_1780/klagomål/A 46895-2024 FSC-klagomål.docx", "A 46895-2024")</f>
        <v/>
      </c>
      <c r="W233">
        <f>HYPERLINK("https://klasma.github.io/Logging_1780/klagomålsmail/A 46895-2024 FSC-klagomål mail.docx", "A 46895-2024")</f>
        <v/>
      </c>
      <c r="X233">
        <f>HYPERLINK("https://klasma.github.io/Logging_1780/tillsyn/A 46895-2024 tillsynsbegäran.docx", "A 46895-2024")</f>
        <v/>
      </c>
      <c r="Y233">
        <f>HYPERLINK("https://klasma.github.io/Logging_1780/tillsynsmail/A 46895-2024 tillsynsbegäran mail.docx", "A 46895-2024")</f>
        <v/>
      </c>
    </row>
    <row r="234" ht="15" customHeight="1">
      <c r="A234" t="inlineStr">
        <is>
          <t>A 55297-2024</t>
        </is>
      </c>
      <c r="B234" s="1" t="n">
        <v>45621</v>
      </c>
      <c r="C234" s="1" t="n">
        <v>45810</v>
      </c>
      <c r="D234" t="inlineStr">
        <is>
          <t>VÄRMLANDS LÄN</t>
        </is>
      </c>
      <c r="E234" t="inlineStr">
        <is>
          <t>SUNNE</t>
        </is>
      </c>
      <c r="G234" t="n">
        <v>5.8</v>
      </c>
      <c r="H234" t="n">
        <v>0</v>
      </c>
      <c r="I234" t="n">
        <v>0</v>
      </c>
      <c r="J234" t="n">
        <v>3</v>
      </c>
      <c r="K234" t="n">
        <v>0</v>
      </c>
      <c r="L234" t="n">
        <v>0</v>
      </c>
      <c r="M234" t="n">
        <v>0</v>
      </c>
      <c r="N234" t="n">
        <v>0</v>
      </c>
      <c r="O234" t="n">
        <v>3</v>
      </c>
      <c r="P234" t="n">
        <v>0</v>
      </c>
      <c r="Q234" t="n">
        <v>3</v>
      </c>
      <c r="R234" s="2" t="inlineStr">
        <is>
          <t>Garnlav
Kolflarnlav
Vedskivlav</t>
        </is>
      </c>
      <c r="S234">
        <f>HYPERLINK("https://klasma.github.io/Logging_1766/artfynd/A 55297-2024 artfynd.xlsx", "A 55297-2024")</f>
        <v/>
      </c>
      <c r="T234">
        <f>HYPERLINK("https://klasma.github.io/Logging_1766/kartor/A 55297-2024 karta.png", "A 55297-2024")</f>
        <v/>
      </c>
      <c r="V234">
        <f>HYPERLINK("https://klasma.github.io/Logging_1766/klagomål/A 55297-2024 FSC-klagomål.docx", "A 55297-2024")</f>
        <v/>
      </c>
      <c r="W234">
        <f>HYPERLINK("https://klasma.github.io/Logging_1766/klagomålsmail/A 55297-2024 FSC-klagomål mail.docx", "A 55297-2024")</f>
        <v/>
      </c>
      <c r="X234">
        <f>HYPERLINK("https://klasma.github.io/Logging_1766/tillsyn/A 55297-2024 tillsynsbegäran.docx", "A 55297-2024")</f>
        <v/>
      </c>
      <c r="Y234">
        <f>HYPERLINK("https://klasma.github.io/Logging_1766/tillsynsmail/A 55297-2024 tillsynsbegäran mail.docx", "A 55297-2024")</f>
        <v/>
      </c>
    </row>
    <row r="235" ht="15" customHeight="1">
      <c r="A235" t="inlineStr">
        <is>
          <t>A 59095-2024</t>
        </is>
      </c>
      <c r="B235" s="1" t="n">
        <v>45637</v>
      </c>
      <c r="C235" s="1" t="n">
        <v>45810</v>
      </c>
      <c r="D235" t="inlineStr">
        <is>
          <t>VÄRMLANDS LÄN</t>
        </is>
      </c>
      <c r="E235" t="inlineStr">
        <is>
          <t>ARVIKA</t>
        </is>
      </c>
      <c r="G235" t="n">
        <v>1.4</v>
      </c>
      <c r="H235" t="n">
        <v>0</v>
      </c>
      <c r="I235" t="n">
        <v>2</v>
      </c>
      <c r="J235" t="n">
        <v>1</v>
      </c>
      <c r="K235" t="n">
        <v>0</v>
      </c>
      <c r="L235" t="n">
        <v>0</v>
      </c>
      <c r="M235" t="n">
        <v>0</v>
      </c>
      <c r="N235" t="n">
        <v>0</v>
      </c>
      <c r="O235" t="n">
        <v>1</v>
      </c>
      <c r="P235" t="n">
        <v>0</v>
      </c>
      <c r="Q235" t="n">
        <v>3</v>
      </c>
      <c r="R235" s="2" t="inlineStr">
        <is>
          <t>Grynig filtlav
Bårdlav
Stuplav</t>
        </is>
      </c>
      <c r="S235">
        <f>HYPERLINK("https://klasma.github.io/Logging_1784/artfynd/A 59095-2024 artfynd.xlsx", "A 59095-2024")</f>
        <v/>
      </c>
      <c r="T235">
        <f>HYPERLINK("https://klasma.github.io/Logging_1784/kartor/A 59095-2024 karta.png", "A 59095-2024")</f>
        <v/>
      </c>
      <c r="U235">
        <f>HYPERLINK("https://klasma.github.io/Logging_1784/knärot/A 59095-2024 karta knärot.png", "A 59095-2024")</f>
        <v/>
      </c>
      <c r="V235">
        <f>HYPERLINK("https://klasma.github.io/Logging_1784/klagomål/A 59095-2024 FSC-klagomål.docx", "A 59095-2024")</f>
        <v/>
      </c>
      <c r="W235">
        <f>HYPERLINK("https://klasma.github.io/Logging_1784/klagomålsmail/A 59095-2024 FSC-klagomål mail.docx", "A 59095-2024")</f>
        <v/>
      </c>
      <c r="X235">
        <f>HYPERLINK("https://klasma.github.io/Logging_1784/tillsyn/A 59095-2024 tillsynsbegäran.docx", "A 59095-2024")</f>
        <v/>
      </c>
      <c r="Y235">
        <f>HYPERLINK("https://klasma.github.io/Logging_1784/tillsynsmail/A 59095-2024 tillsynsbegäran mail.docx", "A 59095-2024")</f>
        <v/>
      </c>
    </row>
    <row r="236" ht="15" customHeight="1">
      <c r="A236" t="inlineStr">
        <is>
          <t>A 59789-2024</t>
        </is>
      </c>
      <c r="B236" s="1" t="n">
        <v>45639</v>
      </c>
      <c r="C236" s="1" t="n">
        <v>45810</v>
      </c>
      <c r="D236" t="inlineStr">
        <is>
          <t>VÄRMLANDS LÄN</t>
        </is>
      </c>
      <c r="E236" t="inlineStr">
        <is>
          <t>TORSBY</t>
        </is>
      </c>
      <c r="G236" t="n">
        <v>4.8</v>
      </c>
      <c r="H236" t="n">
        <v>0</v>
      </c>
      <c r="I236" t="n">
        <v>0</v>
      </c>
      <c r="J236" t="n">
        <v>3</v>
      </c>
      <c r="K236" t="n">
        <v>0</v>
      </c>
      <c r="L236" t="n">
        <v>0</v>
      </c>
      <c r="M236" t="n">
        <v>0</v>
      </c>
      <c r="N236" t="n">
        <v>0</v>
      </c>
      <c r="O236" t="n">
        <v>3</v>
      </c>
      <c r="P236" t="n">
        <v>0</v>
      </c>
      <c r="Q236" t="n">
        <v>3</v>
      </c>
      <c r="R236" s="2" t="inlineStr">
        <is>
          <t>Garnlav
Vedskivlav
Violettgrå tagellav</t>
        </is>
      </c>
      <c r="S236">
        <f>HYPERLINK("https://klasma.github.io/Logging_1737/artfynd/A 59789-2024 artfynd.xlsx", "A 59789-2024")</f>
        <v/>
      </c>
      <c r="T236">
        <f>HYPERLINK("https://klasma.github.io/Logging_1737/kartor/A 59789-2024 karta.png", "A 59789-2024")</f>
        <v/>
      </c>
      <c r="V236">
        <f>HYPERLINK("https://klasma.github.io/Logging_1737/klagomål/A 59789-2024 FSC-klagomål.docx", "A 59789-2024")</f>
        <v/>
      </c>
      <c r="W236">
        <f>HYPERLINK("https://klasma.github.io/Logging_1737/klagomålsmail/A 59789-2024 FSC-klagomål mail.docx", "A 59789-2024")</f>
        <v/>
      </c>
      <c r="X236">
        <f>HYPERLINK("https://klasma.github.io/Logging_1737/tillsyn/A 59789-2024 tillsynsbegäran.docx", "A 59789-2024")</f>
        <v/>
      </c>
      <c r="Y236">
        <f>HYPERLINK("https://klasma.github.io/Logging_1737/tillsynsmail/A 59789-2024 tillsynsbegäran mail.docx", "A 59789-2024")</f>
        <v/>
      </c>
    </row>
    <row r="237" ht="15" customHeight="1">
      <c r="A237" t="inlineStr">
        <is>
          <t>A 60275-2024</t>
        </is>
      </c>
      <c r="B237" s="1" t="n">
        <v>45642</v>
      </c>
      <c r="C237" s="1" t="n">
        <v>45810</v>
      </c>
      <c r="D237" t="inlineStr">
        <is>
          <t>VÄRMLANDS LÄN</t>
        </is>
      </c>
      <c r="E237" t="inlineStr">
        <is>
          <t>KARLSTAD</t>
        </is>
      </c>
      <c r="G237" t="n">
        <v>11.2</v>
      </c>
      <c r="H237" t="n">
        <v>2</v>
      </c>
      <c r="I237" t="n">
        <v>0</v>
      </c>
      <c r="J237" t="n">
        <v>1</v>
      </c>
      <c r="K237" t="n">
        <v>0</v>
      </c>
      <c r="L237" t="n">
        <v>2</v>
      </c>
      <c r="M237" t="n">
        <v>0</v>
      </c>
      <c r="N237" t="n">
        <v>0</v>
      </c>
      <c r="O237" t="n">
        <v>3</v>
      </c>
      <c r="P237" t="n">
        <v>2</v>
      </c>
      <c r="Q237" t="n">
        <v>3</v>
      </c>
      <c r="R237" s="2" t="inlineStr">
        <is>
          <t>Ask
Grönfink
Mindre hackspett</t>
        </is>
      </c>
      <c r="S237">
        <f>HYPERLINK("https://klasma.github.io/Logging_1780/artfynd/A 60275-2024 artfynd.xlsx", "A 60275-2024")</f>
        <v/>
      </c>
      <c r="T237">
        <f>HYPERLINK("https://klasma.github.io/Logging_1780/kartor/A 60275-2024 karta.png", "A 60275-2024")</f>
        <v/>
      </c>
      <c r="V237">
        <f>HYPERLINK("https://klasma.github.io/Logging_1780/klagomål/A 60275-2024 FSC-klagomål.docx", "A 60275-2024")</f>
        <v/>
      </c>
      <c r="W237">
        <f>HYPERLINK("https://klasma.github.io/Logging_1780/klagomålsmail/A 60275-2024 FSC-klagomål mail.docx", "A 60275-2024")</f>
        <v/>
      </c>
      <c r="X237">
        <f>HYPERLINK("https://klasma.github.io/Logging_1780/tillsyn/A 60275-2024 tillsynsbegäran.docx", "A 60275-2024")</f>
        <v/>
      </c>
      <c r="Y237">
        <f>HYPERLINK("https://klasma.github.io/Logging_1780/tillsynsmail/A 60275-2024 tillsynsbegäran mail.docx", "A 60275-2024")</f>
        <v/>
      </c>
      <c r="Z237">
        <f>HYPERLINK("https://klasma.github.io/Logging_1780/fåglar/A 60275-2024 prioriterade fågelarter.docx", "A 60275-2024")</f>
        <v/>
      </c>
    </row>
    <row r="238" ht="15" customHeight="1">
      <c r="A238" t="inlineStr">
        <is>
          <t>A 7098-2025</t>
        </is>
      </c>
      <c r="B238" s="1" t="n">
        <v>45701</v>
      </c>
      <c r="C238" s="1" t="n">
        <v>45810</v>
      </c>
      <c r="D238" t="inlineStr">
        <is>
          <t>VÄRMLANDS LÄN</t>
        </is>
      </c>
      <c r="E238" t="inlineStr">
        <is>
          <t>SUNNE</t>
        </is>
      </c>
      <c r="G238" t="n">
        <v>7.8</v>
      </c>
      <c r="H238" t="n">
        <v>1</v>
      </c>
      <c r="I238" t="n">
        <v>0</v>
      </c>
      <c r="J238" t="n">
        <v>2</v>
      </c>
      <c r="K238" t="n">
        <v>0</v>
      </c>
      <c r="L238" t="n">
        <v>0</v>
      </c>
      <c r="M238" t="n">
        <v>0</v>
      </c>
      <c r="N238" t="n">
        <v>0</v>
      </c>
      <c r="O238" t="n">
        <v>2</v>
      </c>
      <c r="P238" t="n">
        <v>0</v>
      </c>
      <c r="Q238" t="n">
        <v>3</v>
      </c>
      <c r="R238" s="2" t="inlineStr">
        <is>
          <t>Motaggsvamp
Violettgrå tagellav
Tjäder</t>
        </is>
      </c>
      <c r="S238">
        <f>HYPERLINK("https://klasma.github.io/Logging_1766/artfynd/A 7098-2025 artfynd.xlsx", "A 7098-2025")</f>
        <v/>
      </c>
      <c r="T238">
        <f>HYPERLINK("https://klasma.github.io/Logging_1766/kartor/A 7098-2025 karta.png", "A 7098-2025")</f>
        <v/>
      </c>
      <c r="V238">
        <f>HYPERLINK("https://klasma.github.io/Logging_1766/klagomål/A 7098-2025 FSC-klagomål.docx", "A 7098-2025")</f>
        <v/>
      </c>
      <c r="W238">
        <f>HYPERLINK("https://klasma.github.io/Logging_1766/klagomålsmail/A 7098-2025 FSC-klagomål mail.docx", "A 7098-2025")</f>
        <v/>
      </c>
      <c r="X238">
        <f>HYPERLINK("https://klasma.github.io/Logging_1766/tillsyn/A 7098-2025 tillsynsbegäran.docx", "A 7098-2025")</f>
        <v/>
      </c>
      <c r="Y238">
        <f>HYPERLINK("https://klasma.github.io/Logging_1766/tillsynsmail/A 7098-2025 tillsynsbegäran mail.docx", "A 7098-2025")</f>
        <v/>
      </c>
      <c r="Z238">
        <f>HYPERLINK("https://klasma.github.io/Logging_1766/fåglar/A 7098-2025 prioriterade fågelarter.docx", "A 7098-2025")</f>
        <v/>
      </c>
    </row>
    <row r="239" ht="15" customHeight="1">
      <c r="A239" t="inlineStr">
        <is>
          <t>A 7350-2025</t>
        </is>
      </c>
      <c r="B239" s="1" t="n">
        <v>45703</v>
      </c>
      <c r="C239" s="1" t="n">
        <v>45810</v>
      </c>
      <c r="D239" t="inlineStr">
        <is>
          <t>VÄRMLANDS LÄN</t>
        </is>
      </c>
      <c r="E239" t="inlineStr">
        <is>
          <t>ARVIKA</t>
        </is>
      </c>
      <c r="G239" t="n">
        <v>7.7</v>
      </c>
      <c r="H239" t="n">
        <v>3</v>
      </c>
      <c r="I239" t="n">
        <v>0</v>
      </c>
      <c r="J239" t="n">
        <v>2</v>
      </c>
      <c r="K239" t="n">
        <v>0</v>
      </c>
      <c r="L239" t="n">
        <v>0</v>
      </c>
      <c r="M239" t="n">
        <v>0</v>
      </c>
      <c r="N239" t="n">
        <v>0</v>
      </c>
      <c r="O239" t="n">
        <v>2</v>
      </c>
      <c r="P239" t="n">
        <v>0</v>
      </c>
      <c r="Q239" t="n">
        <v>3</v>
      </c>
      <c r="R239" s="2" t="inlineStr">
        <is>
          <t>Entita
Talltita
Tjäder</t>
        </is>
      </c>
      <c r="S239">
        <f>HYPERLINK("https://klasma.github.io/Logging_1784/artfynd/A 7350-2025 artfynd.xlsx", "A 7350-2025")</f>
        <v/>
      </c>
      <c r="T239">
        <f>HYPERLINK("https://klasma.github.io/Logging_1784/kartor/A 7350-2025 karta.png", "A 7350-2025")</f>
        <v/>
      </c>
      <c r="V239">
        <f>HYPERLINK("https://klasma.github.io/Logging_1784/klagomål/A 7350-2025 FSC-klagomål.docx", "A 7350-2025")</f>
        <v/>
      </c>
      <c r="W239">
        <f>HYPERLINK("https://klasma.github.io/Logging_1784/klagomålsmail/A 7350-2025 FSC-klagomål mail.docx", "A 7350-2025")</f>
        <v/>
      </c>
      <c r="X239">
        <f>HYPERLINK("https://klasma.github.io/Logging_1784/tillsyn/A 7350-2025 tillsynsbegäran.docx", "A 7350-2025")</f>
        <v/>
      </c>
      <c r="Y239">
        <f>HYPERLINK("https://klasma.github.io/Logging_1784/tillsynsmail/A 7350-2025 tillsynsbegäran mail.docx", "A 7350-2025")</f>
        <v/>
      </c>
      <c r="Z239">
        <f>HYPERLINK("https://klasma.github.io/Logging_1784/fåglar/A 7350-2025 prioriterade fågelarter.docx", "A 7350-2025")</f>
        <v/>
      </c>
    </row>
    <row r="240" ht="15" customHeight="1">
      <c r="A240" t="inlineStr">
        <is>
          <t>A 13181-2025</t>
        </is>
      </c>
      <c r="B240" s="1" t="n">
        <v>45735</v>
      </c>
      <c r="C240" s="1" t="n">
        <v>45810</v>
      </c>
      <c r="D240" t="inlineStr">
        <is>
          <t>VÄRMLANDS LÄN</t>
        </is>
      </c>
      <c r="E240" t="inlineStr">
        <is>
          <t>SUNNE</t>
        </is>
      </c>
      <c r="F240" t="inlineStr">
        <is>
          <t>Bergvik skog väst AB</t>
        </is>
      </c>
      <c r="G240" t="n">
        <v>2.9</v>
      </c>
      <c r="H240" t="n">
        <v>3</v>
      </c>
      <c r="I240" t="n">
        <v>0</v>
      </c>
      <c r="J240" t="n">
        <v>0</v>
      </c>
      <c r="K240" t="n">
        <v>0</v>
      </c>
      <c r="L240" t="n">
        <v>0</v>
      </c>
      <c r="M240" t="n">
        <v>0</v>
      </c>
      <c r="N240" t="n">
        <v>0</v>
      </c>
      <c r="O240" t="n">
        <v>0</v>
      </c>
      <c r="P240" t="n">
        <v>0</v>
      </c>
      <c r="Q240" t="n">
        <v>3</v>
      </c>
      <c r="R240" s="2" t="inlineStr">
        <is>
          <t>Gråspett
Kungsfågel
Tjäder</t>
        </is>
      </c>
      <c r="S240">
        <f>HYPERLINK("https://klasma.github.io/Logging_171766/artfynd/A 13181-2025 artfynd.xlsx", "A 13181-2025")</f>
        <v/>
      </c>
      <c r="T240">
        <f>HYPERLINK("https://klasma.github.io/Logging_171766/kartor/A 13181-2025 karta.png", "A 13181-2025")</f>
        <v/>
      </c>
      <c r="V240">
        <f>HYPERLINK("https://klasma.github.io/Logging_171766/klagomål/A 13181-2025 FSC-klagomål.docx", "A 13181-2025")</f>
        <v/>
      </c>
      <c r="W240">
        <f>HYPERLINK("https://klasma.github.io/Logging_171766/klagomålsmail/A 13181-2025 FSC-klagomål mail.docx", "A 13181-2025")</f>
        <v/>
      </c>
      <c r="X240">
        <f>HYPERLINK("https://klasma.github.io/Logging_171766/tillsyn/A 13181-2025 tillsynsbegäran.docx", "A 13181-2025")</f>
        <v/>
      </c>
      <c r="Y240">
        <f>HYPERLINK("https://klasma.github.io/Logging_171766/tillsynsmail/A 13181-2025 tillsynsbegäran mail.docx", "A 13181-2025")</f>
        <v/>
      </c>
      <c r="Z240">
        <f>HYPERLINK("https://klasma.github.io/Logging_171766/fåglar/A 13181-2025 prioriterade fågelarter.docx", "A 13181-2025")</f>
        <v/>
      </c>
    </row>
    <row r="241" ht="15" customHeight="1">
      <c r="A241" t="inlineStr">
        <is>
          <t>A 15044-2025</t>
        </is>
      </c>
      <c r="B241" s="1" t="n">
        <v>45743</v>
      </c>
      <c r="C241" s="1" t="n">
        <v>45810</v>
      </c>
      <c r="D241" t="inlineStr">
        <is>
          <t>VÄRMLANDS LÄN</t>
        </is>
      </c>
      <c r="E241" t="inlineStr">
        <is>
          <t>TORSBY</t>
        </is>
      </c>
      <c r="G241" t="n">
        <v>3.4</v>
      </c>
      <c r="H241" t="n">
        <v>0</v>
      </c>
      <c r="I241" t="n">
        <v>0</v>
      </c>
      <c r="J241" t="n">
        <v>3</v>
      </c>
      <c r="K241" t="n">
        <v>0</v>
      </c>
      <c r="L241" t="n">
        <v>0</v>
      </c>
      <c r="M241" t="n">
        <v>0</v>
      </c>
      <c r="N241" t="n">
        <v>0</v>
      </c>
      <c r="O241" t="n">
        <v>3</v>
      </c>
      <c r="P241" t="n">
        <v>0</v>
      </c>
      <c r="Q241" t="n">
        <v>3</v>
      </c>
      <c r="R241" s="2" t="inlineStr">
        <is>
          <t>Doftskinn
Dvärgbägarlav
Gammelgransskål</t>
        </is>
      </c>
      <c r="S241">
        <f>HYPERLINK("https://klasma.github.io/Logging_171737/artfynd/A 15044-2025 artfynd.xlsx", "A 15044-2025")</f>
        <v/>
      </c>
      <c r="T241">
        <f>HYPERLINK("https://klasma.github.io/Logging_171737/kartor/A 15044-2025 karta.png", "A 15044-2025")</f>
        <v/>
      </c>
      <c r="V241">
        <f>HYPERLINK("https://klasma.github.io/Logging_171737/klagomål/A 15044-2025 FSC-klagomål.docx", "A 15044-2025")</f>
        <v/>
      </c>
      <c r="W241">
        <f>HYPERLINK("https://klasma.github.io/Logging_171737/klagomålsmail/A 15044-2025 FSC-klagomål mail.docx", "A 15044-2025")</f>
        <v/>
      </c>
      <c r="X241">
        <f>HYPERLINK("https://klasma.github.io/Logging_171737/tillsyn/A 15044-2025 tillsynsbegäran.docx", "A 15044-2025")</f>
        <v/>
      </c>
      <c r="Y241">
        <f>HYPERLINK("https://klasma.github.io/Logging_171737/tillsynsmail/A 15044-2025 tillsynsbegäran mail.docx", "A 15044-2025")</f>
        <v/>
      </c>
    </row>
    <row r="242" ht="15" customHeight="1">
      <c r="A242" t="inlineStr">
        <is>
          <t>A 17740-2025</t>
        </is>
      </c>
      <c r="B242" s="1" t="n">
        <v>45758</v>
      </c>
      <c r="C242" s="1" t="n">
        <v>45810</v>
      </c>
      <c r="D242" t="inlineStr">
        <is>
          <t>VÄRMLANDS LÄN</t>
        </is>
      </c>
      <c r="E242" t="inlineStr">
        <is>
          <t>TORSBY</t>
        </is>
      </c>
      <c r="G242" t="n">
        <v>4.8</v>
      </c>
      <c r="H242" t="n">
        <v>0</v>
      </c>
      <c r="I242" t="n">
        <v>1</v>
      </c>
      <c r="J242" t="n">
        <v>2</v>
      </c>
      <c r="K242" t="n">
        <v>0</v>
      </c>
      <c r="L242" t="n">
        <v>0</v>
      </c>
      <c r="M242" t="n">
        <v>0</v>
      </c>
      <c r="N242" t="n">
        <v>0</v>
      </c>
      <c r="O242" t="n">
        <v>2</v>
      </c>
      <c r="P242" t="n">
        <v>0</v>
      </c>
      <c r="Q242" t="n">
        <v>3</v>
      </c>
      <c r="R242" s="2" t="inlineStr">
        <is>
          <t>Garnlav
Vedskivlav
Nästlav</t>
        </is>
      </c>
      <c r="S242">
        <f>HYPERLINK("https://klasma.github.io/Logging_171737/artfynd/A 17740-2025 artfynd.xlsx", "A 17740-2025")</f>
        <v/>
      </c>
      <c r="T242">
        <f>HYPERLINK("https://klasma.github.io/Logging_171737/kartor/A 17740-2025 karta.png", "A 17740-2025")</f>
        <v/>
      </c>
      <c r="V242">
        <f>HYPERLINK("https://klasma.github.io/Logging_171737/klagomål/A 17740-2025 FSC-klagomål.docx", "A 17740-2025")</f>
        <v/>
      </c>
      <c r="W242">
        <f>HYPERLINK("https://klasma.github.io/Logging_171737/klagomålsmail/A 17740-2025 FSC-klagomål mail.docx", "A 17740-2025")</f>
        <v/>
      </c>
      <c r="X242">
        <f>HYPERLINK("https://klasma.github.io/Logging_171737/tillsyn/A 17740-2025 tillsynsbegäran.docx", "A 17740-2025")</f>
        <v/>
      </c>
      <c r="Y242">
        <f>HYPERLINK("https://klasma.github.io/Logging_171737/tillsynsmail/A 17740-2025 tillsynsbegäran mail.docx", "A 17740-2025")</f>
        <v/>
      </c>
    </row>
    <row r="243" ht="15" customHeight="1">
      <c r="A243" t="inlineStr">
        <is>
          <t>A 19030-2025</t>
        </is>
      </c>
      <c r="B243" s="1" t="n">
        <v>45764</v>
      </c>
      <c r="C243" s="1" t="n">
        <v>45810</v>
      </c>
      <c r="D243" t="inlineStr">
        <is>
          <t>VÄRMLANDS LÄN</t>
        </is>
      </c>
      <c r="E243" t="inlineStr">
        <is>
          <t>TORSBY</t>
        </is>
      </c>
      <c r="F243" t="inlineStr">
        <is>
          <t>Övriga statliga verk och myndigheter</t>
        </is>
      </c>
      <c r="G243" t="n">
        <v>1.9</v>
      </c>
      <c r="H243" t="n">
        <v>0</v>
      </c>
      <c r="I243" t="n">
        <v>0</v>
      </c>
      <c r="J243" t="n">
        <v>3</v>
      </c>
      <c r="K243" t="n">
        <v>0</v>
      </c>
      <c r="L243" t="n">
        <v>0</v>
      </c>
      <c r="M243" t="n">
        <v>0</v>
      </c>
      <c r="N243" t="n">
        <v>0</v>
      </c>
      <c r="O243" t="n">
        <v>3</v>
      </c>
      <c r="P243" t="n">
        <v>0</v>
      </c>
      <c r="Q243" t="n">
        <v>3</v>
      </c>
      <c r="R243" s="2" t="inlineStr">
        <is>
          <t>Garnlav
Kolflarnlav
Mörk kolflarnlav</t>
        </is>
      </c>
      <c r="S243">
        <f>HYPERLINK("https://klasma.github.io/Logging_171737/artfynd/A 19030-2025 artfynd.xlsx", "A 19030-2025")</f>
        <v/>
      </c>
      <c r="T243">
        <f>HYPERLINK("https://klasma.github.io/Logging_171737/kartor/A 19030-2025 karta.png", "A 19030-2025")</f>
        <v/>
      </c>
      <c r="V243">
        <f>HYPERLINK("https://klasma.github.io/Logging_171737/klagomål/A 19030-2025 FSC-klagomål.docx", "A 19030-2025")</f>
        <v/>
      </c>
      <c r="W243">
        <f>HYPERLINK("https://klasma.github.io/Logging_171737/klagomålsmail/A 19030-2025 FSC-klagomål mail.docx", "A 19030-2025")</f>
        <v/>
      </c>
      <c r="X243">
        <f>HYPERLINK("https://klasma.github.io/Logging_171737/tillsyn/A 19030-2025 tillsynsbegäran.docx", "A 19030-2025")</f>
        <v/>
      </c>
      <c r="Y243">
        <f>HYPERLINK("https://klasma.github.io/Logging_171737/tillsynsmail/A 19030-2025 tillsynsbegäran mail.docx", "A 19030-2025")</f>
        <v/>
      </c>
    </row>
    <row r="244" ht="15" customHeight="1">
      <c r="A244" t="inlineStr">
        <is>
          <t>A 18528-2019</t>
        </is>
      </c>
      <c r="B244" s="1" t="n">
        <v>43559</v>
      </c>
      <c r="C244" s="1" t="n">
        <v>45810</v>
      </c>
      <c r="D244" t="inlineStr">
        <is>
          <t>VÄRMLANDS LÄN</t>
        </is>
      </c>
      <c r="E244" t="inlineStr">
        <is>
          <t>TORSBY</t>
        </is>
      </c>
      <c r="G244" t="n">
        <v>1.9</v>
      </c>
      <c r="H244" t="n">
        <v>0</v>
      </c>
      <c r="I244" t="n">
        <v>1</v>
      </c>
      <c r="J244" t="n">
        <v>1</v>
      </c>
      <c r="K244" t="n">
        <v>0</v>
      </c>
      <c r="L244" t="n">
        <v>0</v>
      </c>
      <c r="M244" t="n">
        <v>0</v>
      </c>
      <c r="N244" t="n">
        <v>0</v>
      </c>
      <c r="O244" t="n">
        <v>1</v>
      </c>
      <c r="P244" t="n">
        <v>0</v>
      </c>
      <c r="Q244" t="n">
        <v>2</v>
      </c>
      <c r="R244" s="2" t="inlineStr">
        <is>
          <t>Lunglav
Kattfotslav</t>
        </is>
      </c>
      <c r="S244">
        <f>HYPERLINK("https://klasma.github.io/Logging_1737/artfynd/A 18528-2019 artfynd.xlsx", "A 18528-2019")</f>
        <v/>
      </c>
      <c r="T244">
        <f>HYPERLINK("https://klasma.github.io/Logging_1737/kartor/A 18528-2019 karta.png", "A 18528-2019")</f>
        <v/>
      </c>
      <c r="V244">
        <f>HYPERLINK("https://klasma.github.io/Logging_1737/klagomål/A 18528-2019 FSC-klagomål.docx", "A 18528-2019")</f>
        <v/>
      </c>
      <c r="W244">
        <f>HYPERLINK("https://klasma.github.io/Logging_1737/klagomålsmail/A 18528-2019 FSC-klagomål mail.docx", "A 18528-2019")</f>
        <v/>
      </c>
      <c r="X244">
        <f>HYPERLINK("https://klasma.github.io/Logging_1737/tillsyn/A 18528-2019 tillsynsbegäran.docx", "A 18528-2019")</f>
        <v/>
      </c>
      <c r="Y244">
        <f>HYPERLINK("https://klasma.github.io/Logging_1737/tillsynsmail/A 18528-2019 tillsynsbegäran mail.docx", "A 18528-2019")</f>
        <v/>
      </c>
    </row>
    <row r="245" ht="15" customHeight="1">
      <c r="A245" t="inlineStr">
        <is>
          <t>A 25572-2019</t>
        </is>
      </c>
      <c r="B245" s="1" t="n">
        <v>43607</v>
      </c>
      <c r="C245" s="1" t="n">
        <v>45810</v>
      </c>
      <c r="D245" t="inlineStr">
        <is>
          <t>VÄRMLANDS LÄN</t>
        </is>
      </c>
      <c r="E245" t="inlineStr">
        <is>
          <t>ARVIKA</t>
        </is>
      </c>
      <c r="F245" t="inlineStr">
        <is>
          <t>Bergvik skog väst AB</t>
        </is>
      </c>
      <c r="G245" t="n">
        <v>1.5</v>
      </c>
      <c r="H245" t="n">
        <v>0</v>
      </c>
      <c r="I245" t="n">
        <v>1</v>
      </c>
      <c r="J245" t="n">
        <v>1</v>
      </c>
      <c r="K245" t="n">
        <v>0</v>
      </c>
      <c r="L245" t="n">
        <v>0</v>
      </c>
      <c r="M245" t="n">
        <v>0</v>
      </c>
      <c r="N245" t="n">
        <v>0</v>
      </c>
      <c r="O245" t="n">
        <v>1</v>
      </c>
      <c r="P245" t="n">
        <v>0</v>
      </c>
      <c r="Q245" t="n">
        <v>2</v>
      </c>
      <c r="R245" s="2" t="inlineStr">
        <is>
          <t>Garnlav
Vedticka</t>
        </is>
      </c>
      <c r="S245">
        <f>HYPERLINK("https://klasma.github.io/Logging_1784/artfynd/A 25572-2019 artfynd.xlsx", "A 25572-2019")</f>
        <v/>
      </c>
      <c r="T245">
        <f>HYPERLINK("https://klasma.github.io/Logging_1784/kartor/A 25572-2019 karta.png", "A 25572-2019")</f>
        <v/>
      </c>
      <c r="V245">
        <f>HYPERLINK("https://klasma.github.io/Logging_1784/klagomål/A 25572-2019 FSC-klagomål.docx", "A 25572-2019")</f>
        <v/>
      </c>
      <c r="W245">
        <f>HYPERLINK("https://klasma.github.io/Logging_1784/klagomålsmail/A 25572-2019 FSC-klagomål mail.docx", "A 25572-2019")</f>
        <v/>
      </c>
      <c r="X245">
        <f>HYPERLINK("https://klasma.github.io/Logging_1784/tillsyn/A 25572-2019 tillsynsbegäran.docx", "A 25572-2019")</f>
        <v/>
      </c>
      <c r="Y245">
        <f>HYPERLINK("https://klasma.github.io/Logging_1784/tillsynsmail/A 25572-2019 tillsynsbegäran mail.docx", "A 25572-2019")</f>
        <v/>
      </c>
    </row>
    <row r="246" ht="15" customHeight="1">
      <c r="A246" t="inlineStr">
        <is>
          <t>A 26083-2019</t>
        </is>
      </c>
      <c r="B246" s="1" t="n">
        <v>43609</v>
      </c>
      <c r="C246" s="1" t="n">
        <v>45810</v>
      </c>
      <c r="D246" t="inlineStr">
        <is>
          <t>VÄRMLANDS LÄN</t>
        </is>
      </c>
      <c r="E246" t="inlineStr">
        <is>
          <t>ÅRJÄNG</t>
        </is>
      </c>
      <c r="F246" t="inlineStr">
        <is>
          <t>Bergvik skog väst AB</t>
        </is>
      </c>
      <c r="G246" t="n">
        <v>5.5</v>
      </c>
      <c r="H246" t="n">
        <v>2</v>
      </c>
      <c r="I246" t="n">
        <v>0</v>
      </c>
      <c r="J246" t="n">
        <v>1</v>
      </c>
      <c r="K246" t="n">
        <v>0</v>
      </c>
      <c r="L246" t="n">
        <v>0</v>
      </c>
      <c r="M246" t="n">
        <v>0</v>
      </c>
      <c r="N246" t="n">
        <v>0</v>
      </c>
      <c r="O246" t="n">
        <v>1</v>
      </c>
      <c r="P246" t="n">
        <v>0</v>
      </c>
      <c r="Q246" t="n">
        <v>2</v>
      </c>
      <c r="R246" s="2" t="inlineStr">
        <is>
          <t>Talltita
Orre</t>
        </is>
      </c>
      <c r="S246">
        <f>HYPERLINK("https://klasma.github.io/Logging_1765/artfynd/A 26083-2019 artfynd.xlsx", "A 26083-2019")</f>
        <v/>
      </c>
      <c r="T246">
        <f>HYPERLINK("https://klasma.github.io/Logging_1765/kartor/A 26083-2019 karta.png", "A 26083-2019")</f>
        <v/>
      </c>
      <c r="V246">
        <f>HYPERLINK("https://klasma.github.io/Logging_1765/klagomål/A 26083-2019 FSC-klagomål.docx", "A 26083-2019")</f>
        <v/>
      </c>
      <c r="W246">
        <f>HYPERLINK("https://klasma.github.io/Logging_1765/klagomålsmail/A 26083-2019 FSC-klagomål mail.docx", "A 26083-2019")</f>
        <v/>
      </c>
      <c r="X246">
        <f>HYPERLINK("https://klasma.github.io/Logging_1765/tillsyn/A 26083-2019 tillsynsbegäran.docx", "A 26083-2019")</f>
        <v/>
      </c>
      <c r="Y246">
        <f>HYPERLINK("https://klasma.github.io/Logging_1765/tillsynsmail/A 26083-2019 tillsynsbegäran mail.docx", "A 26083-2019")</f>
        <v/>
      </c>
      <c r="Z246">
        <f>HYPERLINK("https://klasma.github.io/Logging_1765/fåglar/A 26083-2019 prioriterade fågelarter.docx", "A 26083-2019")</f>
        <v/>
      </c>
    </row>
    <row r="247" ht="15" customHeight="1">
      <c r="A247" t="inlineStr">
        <is>
          <t>A 47423-2019</t>
        </is>
      </c>
      <c r="B247" s="1" t="n">
        <v>43723</v>
      </c>
      <c r="C247" s="1" t="n">
        <v>45810</v>
      </c>
      <c r="D247" t="inlineStr">
        <is>
          <t>VÄRMLANDS LÄN</t>
        </is>
      </c>
      <c r="E247" t="inlineStr">
        <is>
          <t>TORSBY</t>
        </is>
      </c>
      <c r="G247" t="n">
        <v>5.1</v>
      </c>
      <c r="H247" t="n">
        <v>0</v>
      </c>
      <c r="I247" t="n">
        <v>0</v>
      </c>
      <c r="J247" t="n">
        <v>2</v>
      </c>
      <c r="K247" t="n">
        <v>0</v>
      </c>
      <c r="L247" t="n">
        <v>0</v>
      </c>
      <c r="M247" t="n">
        <v>0</v>
      </c>
      <c r="N247" t="n">
        <v>0</v>
      </c>
      <c r="O247" t="n">
        <v>2</v>
      </c>
      <c r="P247" t="n">
        <v>0</v>
      </c>
      <c r="Q247" t="n">
        <v>2</v>
      </c>
      <c r="R247" s="2" t="inlineStr">
        <is>
          <t>Gammelgransskål
Garnlav</t>
        </is>
      </c>
      <c r="S247">
        <f>HYPERLINK("https://klasma.github.io/Logging_1737/artfynd/A 47423-2019 artfynd.xlsx", "A 47423-2019")</f>
        <v/>
      </c>
      <c r="T247">
        <f>HYPERLINK("https://klasma.github.io/Logging_1737/kartor/A 47423-2019 karta.png", "A 47423-2019")</f>
        <v/>
      </c>
      <c r="V247">
        <f>HYPERLINK("https://klasma.github.io/Logging_1737/klagomål/A 47423-2019 FSC-klagomål.docx", "A 47423-2019")</f>
        <v/>
      </c>
      <c r="W247">
        <f>HYPERLINK("https://klasma.github.io/Logging_1737/klagomålsmail/A 47423-2019 FSC-klagomål mail.docx", "A 47423-2019")</f>
        <v/>
      </c>
      <c r="X247">
        <f>HYPERLINK("https://klasma.github.io/Logging_1737/tillsyn/A 47423-2019 tillsynsbegäran.docx", "A 47423-2019")</f>
        <v/>
      </c>
      <c r="Y247">
        <f>HYPERLINK("https://klasma.github.io/Logging_1737/tillsynsmail/A 47423-2019 tillsynsbegäran mail.docx", "A 47423-2019")</f>
        <v/>
      </c>
    </row>
    <row r="248" ht="15" customHeight="1">
      <c r="A248" t="inlineStr">
        <is>
          <t>A 60661-2019</t>
        </is>
      </c>
      <c r="B248" s="1" t="n">
        <v>43781</v>
      </c>
      <c r="C248" s="1" t="n">
        <v>45810</v>
      </c>
      <c r="D248" t="inlineStr">
        <is>
          <t>VÄRMLANDS LÄN</t>
        </is>
      </c>
      <c r="E248" t="inlineStr">
        <is>
          <t>TORSBY</t>
        </is>
      </c>
      <c r="F248" t="inlineStr">
        <is>
          <t>Bergvik skog väst AB</t>
        </is>
      </c>
      <c r="G248" t="n">
        <v>40.4</v>
      </c>
      <c r="H248" t="n">
        <v>2</v>
      </c>
      <c r="I248" t="n">
        <v>0</v>
      </c>
      <c r="J248" t="n">
        <v>1</v>
      </c>
      <c r="K248" t="n">
        <v>0</v>
      </c>
      <c r="L248" t="n">
        <v>0</v>
      </c>
      <c r="M248" t="n">
        <v>0</v>
      </c>
      <c r="N248" t="n">
        <v>0</v>
      </c>
      <c r="O248" t="n">
        <v>1</v>
      </c>
      <c r="P248" t="n">
        <v>0</v>
      </c>
      <c r="Q248" t="n">
        <v>2</v>
      </c>
      <c r="R248" s="2" t="inlineStr">
        <is>
          <t>Spillkråka
Gråkråka</t>
        </is>
      </c>
      <c r="S248">
        <f>HYPERLINK("https://klasma.github.io/Logging_1737/artfynd/A 60661-2019 artfynd.xlsx", "A 60661-2019")</f>
        <v/>
      </c>
      <c r="T248">
        <f>HYPERLINK("https://klasma.github.io/Logging_1737/kartor/A 60661-2019 karta.png", "A 60661-2019")</f>
        <v/>
      </c>
      <c r="V248">
        <f>HYPERLINK("https://klasma.github.io/Logging_1737/klagomål/A 60661-2019 FSC-klagomål.docx", "A 60661-2019")</f>
        <v/>
      </c>
      <c r="W248">
        <f>HYPERLINK("https://klasma.github.io/Logging_1737/klagomålsmail/A 60661-2019 FSC-klagomål mail.docx", "A 60661-2019")</f>
        <v/>
      </c>
      <c r="X248">
        <f>HYPERLINK("https://klasma.github.io/Logging_1737/tillsyn/A 60661-2019 tillsynsbegäran.docx", "A 60661-2019")</f>
        <v/>
      </c>
      <c r="Y248">
        <f>HYPERLINK("https://klasma.github.io/Logging_1737/tillsynsmail/A 60661-2019 tillsynsbegäran mail.docx", "A 60661-2019")</f>
        <v/>
      </c>
      <c r="Z248">
        <f>HYPERLINK("https://klasma.github.io/Logging_1737/fåglar/A 60661-2019 prioriterade fågelarter.docx", "A 60661-2019")</f>
        <v/>
      </c>
    </row>
    <row r="249" ht="15" customHeight="1">
      <c r="A249" t="inlineStr">
        <is>
          <t>A 68629-2019</t>
        </is>
      </c>
      <c r="B249" s="1" t="n">
        <v>43819</v>
      </c>
      <c r="C249" s="1" t="n">
        <v>45810</v>
      </c>
      <c r="D249" t="inlineStr">
        <is>
          <t>VÄRMLANDS LÄN</t>
        </is>
      </c>
      <c r="E249" t="inlineStr">
        <is>
          <t>ARVIKA</t>
        </is>
      </c>
      <c r="G249" t="n">
        <v>11.3</v>
      </c>
      <c r="H249" t="n">
        <v>1</v>
      </c>
      <c r="I249" t="n">
        <v>0</v>
      </c>
      <c r="J249" t="n">
        <v>2</v>
      </c>
      <c r="K249" t="n">
        <v>0</v>
      </c>
      <c r="L249" t="n">
        <v>0</v>
      </c>
      <c r="M249" t="n">
        <v>0</v>
      </c>
      <c r="N249" t="n">
        <v>0</v>
      </c>
      <c r="O249" t="n">
        <v>2</v>
      </c>
      <c r="P249" t="n">
        <v>0</v>
      </c>
      <c r="Q249" t="n">
        <v>2</v>
      </c>
      <c r="R249" s="2" t="inlineStr">
        <is>
          <t>Dvärglin
Havsörn</t>
        </is>
      </c>
      <c r="S249">
        <f>HYPERLINK("https://klasma.github.io/Logging_1784/artfynd/A 68629-2019 artfynd.xlsx", "A 68629-2019")</f>
        <v/>
      </c>
      <c r="T249">
        <f>HYPERLINK("https://klasma.github.io/Logging_1784/kartor/A 68629-2019 karta.png", "A 68629-2019")</f>
        <v/>
      </c>
      <c r="V249">
        <f>HYPERLINK("https://klasma.github.io/Logging_1784/klagomål/A 68629-2019 FSC-klagomål.docx", "A 68629-2019")</f>
        <v/>
      </c>
      <c r="W249">
        <f>HYPERLINK("https://klasma.github.io/Logging_1784/klagomålsmail/A 68629-2019 FSC-klagomål mail.docx", "A 68629-2019")</f>
        <v/>
      </c>
      <c r="X249">
        <f>HYPERLINK("https://klasma.github.io/Logging_1784/tillsyn/A 68629-2019 tillsynsbegäran.docx", "A 68629-2019")</f>
        <v/>
      </c>
      <c r="Y249">
        <f>HYPERLINK("https://klasma.github.io/Logging_1784/tillsynsmail/A 68629-2019 tillsynsbegäran mail.docx", "A 68629-2019")</f>
        <v/>
      </c>
      <c r="Z249">
        <f>HYPERLINK("https://klasma.github.io/Logging_1784/fåglar/A 68629-2019 prioriterade fågelarter.docx", "A 68629-2019")</f>
        <v/>
      </c>
    </row>
    <row r="250" ht="15" customHeight="1">
      <c r="A250" t="inlineStr">
        <is>
          <t>A 3380-2020</t>
        </is>
      </c>
      <c r="B250" s="1" t="n">
        <v>43852</v>
      </c>
      <c r="C250" s="1" t="n">
        <v>45810</v>
      </c>
      <c r="D250" t="inlineStr">
        <is>
          <t>VÄRMLANDS LÄN</t>
        </is>
      </c>
      <c r="E250" t="inlineStr">
        <is>
          <t>ÅRJÄNG</t>
        </is>
      </c>
      <c r="G250" t="n">
        <v>3.8</v>
      </c>
      <c r="H250" t="n">
        <v>1</v>
      </c>
      <c r="I250" t="n">
        <v>1</v>
      </c>
      <c r="J250" t="n">
        <v>1</v>
      </c>
      <c r="K250" t="n">
        <v>0</v>
      </c>
      <c r="L250" t="n">
        <v>0</v>
      </c>
      <c r="M250" t="n">
        <v>0</v>
      </c>
      <c r="N250" t="n">
        <v>0</v>
      </c>
      <c r="O250" t="n">
        <v>1</v>
      </c>
      <c r="P250" t="n">
        <v>0</v>
      </c>
      <c r="Q250" t="n">
        <v>2</v>
      </c>
      <c r="R250" s="2" t="inlineStr">
        <is>
          <t>Kådvaxskinn
Spindelblomster</t>
        </is>
      </c>
      <c r="S250">
        <f>HYPERLINK("https://klasma.github.io/Logging_1765/artfynd/A 3380-2020 artfynd.xlsx", "A 3380-2020")</f>
        <v/>
      </c>
      <c r="T250">
        <f>HYPERLINK("https://klasma.github.io/Logging_1765/kartor/A 3380-2020 karta.png", "A 3380-2020")</f>
        <v/>
      </c>
      <c r="V250">
        <f>HYPERLINK("https://klasma.github.io/Logging_1765/klagomål/A 3380-2020 FSC-klagomål.docx", "A 3380-2020")</f>
        <v/>
      </c>
      <c r="W250">
        <f>HYPERLINK("https://klasma.github.io/Logging_1765/klagomålsmail/A 3380-2020 FSC-klagomål mail.docx", "A 3380-2020")</f>
        <v/>
      </c>
      <c r="X250">
        <f>HYPERLINK("https://klasma.github.io/Logging_1765/tillsyn/A 3380-2020 tillsynsbegäran.docx", "A 3380-2020")</f>
        <v/>
      </c>
      <c r="Y250">
        <f>HYPERLINK("https://klasma.github.io/Logging_1765/tillsynsmail/A 3380-2020 tillsynsbegäran mail.docx", "A 3380-2020")</f>
        <v/>
      </c>
    </row>
    <row r="251" ht="15" customHeight="1">
      <c r="A251" t="inlineStr">
        <is>
          <t>A 9585-2020</t>
        </is>
      </c>
      <c r="B251" s="1" t="n">
        <v>43878</v>
      </c>
      <c r="C251" s="1" t="n">
        <v>45810</v>
      </c>
      <c r="D251" t="inlineStr">
        <is>
          <t>VÄRMLANDS LÄN</t>
        </is>
      </c>
      <c r="E251" t="inlineStr">
        <is>
          <t>SUNNE</t>
        </is>
      </c>
      <c r="G251" t="n">
        <v>22.3</v>
      </c>
      <c r="H251" t="n">
        <v>1</v>
      </c>
      <c r="I251" t="n">
        <v>1</v>
      </c>
      <c r="J251" t="n">
        <v>0</v>
      </c>
      <c r="K251" t="n">
        <v>0</v>
      </c>
      <c r="L251" t="n">
        <v>0</v>
      </c>
      <c r="M251" t="n">
        <v>0</v>
      </c>
      <c r="N251" t="n">
        <v>0</v>
      </c>
      <c r="O251" t="n">
        <v>0</v>
      </c>
      <c r="P251" t="n">
        <v>0</v>
      </c>
      <c r="Q251" t="n">
        <v>2</v>
      </c>
      <c r="R251" s="2" t="inlineStr">
        <is>
          <t>Blåmossa
Tjäder</t>
        </is>
      </c>
      <c r="S251">
        <f>HYPERLINK("https://klasma.github.io/Logging_1766/artfynd/A 9585-2020 artfynd.xlsx", "A 9585-2020")</f>
        <v/>
      </c>
      <c r="T251">
        <f>HYPERLINK("https://klasma.github.io/Logging_1766/kartor/A 9585-2020 karta.png", "A 9585-2020")</f>
        <v/>
      </c>
      <c r="V251">
        <f>HYPERLINK("https://klasma.github.io/Logging_1766/klagomål/A 9585-2020 FSC-klagomål.docx", "A 9585-2020")</f>
        <v/>
      </c>
      <c r="W251">
        <f>HYPERLINK("https://klasma.github.io/Logging_1766/klagomålsmail/A 9585-2020 FSC-klagomål mail.docx", "A 9585-2020")</f>
        <v/>
      </c>
      <c r="X251">
        <f>HYPERLINK("https://klasma.github.io/Logging_1766/tillsyn/A 9585-2020 tillsynsbegäran.docx", "A 9585-2020")</f>
        <v/>
      </c>
      <c r="Y251">
        <f>HYPERLINK("https://klasma.github.io/Logging_1766/tillsynsmail/A 9585-2020 tillsynsbegäran mail.docx", "A 9585-2020")</f>
        <v/>
      </c>
      <c r="Z251">
        <f>HYPERLINK("https://klasma.github.io/Logging_1766/fåglar/A 9585-2020 prioriterade fågelarter.docx", "A 9585-2020")</f>
        <v/>
      </c>
    </row>
    <row r="252" ht="15" customHeight="1">
      <c r="A252" t="inlineStr">
        <is>
          <t>A 18231-2020</t>
        </is>
      </c>
      <c r="B252" s="1" t="n">
        <v>43928</v>
      </c>
      <c r="C252" s="1" t="n">
        <v>45810</v>
      </c>
      <c r="D252" t="inlineStr">
        <is>
          <t>VÄRMLANDS LÄN</t>
        </is>
      </c>
      <c r="E252" t="inlineStr">
        <is>
          <t>KARLSTAD</t>
        </is>
      </c>
      <c r="G252" t="n">
        <v>0.5</v>
      </c>
      <c r="H252" t="n">
        <v>2</v>
      </c>
      <c r="I252" t="n">
        <v>0</v>
      </c>
      <c r="J252" t="n">
        <v>0</v>
      </c>
      <c r="K252" t="n">
        <v>1</v>
      </c>
      <c r="L252" t="n">
        <v>0</v>
      </c>
      <c r="M252" t="n">
        <v>0</v>
      </c>
      <c r="N252" t="n">
        <v>0</v>
      </c>
      <c r="O252" t="n">
        <v>1</v>
      </c>
      <c r="P252" t="n">
        <v>1</v>
      </c>
      <c r="Q252" t="n">
        <v>2</v>
      </c>
      <c r="R252" s="2" t="inlineStr">
        <is>
          <t>Knärot
Mattlummer</t>
        </is>
      </c>
      <c r="S252">
        <f>HYPERLINK("https://klasma.github.io/Logging_1780/artfynd/A 18231-2020 artfynd.xlsx", "A 18231-2020")</f>
        <v/>
      </c>
      <c r="T252">
        <f>HYPERLINK("https://klasma.github.io/Logging_1780/kartor/A 18231-2020 karta.png", "A 18231-2020")</f>
        <v/>
      </c>
      <c r="U252">
        <f>HYPERLINK("https://klasma.github.io/Logging_1780/knärot/A 18231-2020 karta knärot.png", "A 18231-2020")</f>
        <v/>
      </c>
      <c r="V252">
        <f>HYPERLINK("https://klasma.github.io/Logging_1780/klagomål/A 18231-2020 FSC-klagomål.docx", "A 18231-2020")</f>
        <v/>
      </c>
      <c r="W252">
        <f>HYPERLINK("https://klasma.github.io/Logging_1780/klagomålsmail/A 18231-2020 FSC-klagomål mail.docx", "A 18231-2020")</f>
        <v/>
      </c>
      <c r="X252">
        <f>HYPERLINK("https://klasma.github.io/Logging_1780/tillsyn/A 18231-2020 tillsynsbegäran.docx", "A 18231-2020")</f>
        <v/>
      </c>
      <c r="Y252">
        <f>HYPERLINK("https://klasma.github.io/Logging_1780/tillsynsmail/A 18231-2020 tillsynsbegäran mail.docx", "A 18231-2020")</f>
        <v/>
      </c>
    </row>
    <row r="253" ht="15" customHeight="1">
      <c r="A253" t="inlineStr">
        <is>
          <t>A 34418-2020</t>
        </is>
      </c>
      <c r="B253" s="1" t="n">
        <v>44029</v>
      </c>
      <c r="C253" s="1" t="n">
        <v>45810</v>
      </c>
      <c r="D253" t="inlineStr">
        <is>
          <t>VÄRMLANDS LÄN</t>
        </is>
      </c>
      <c r="E253" t="inlineStr">
        <is>
          <t>STORFORS</t>
        </is>
      </c>
      <c r="G253" t="n">
        <v>3.1</v>
      </c>
      <c r="H253" t="n">
        <v>0</v>
      </c>
      <c r="I253" t="n">
        <v>1</v>
      </c>
      <c r="J253" t="n">
        <v>1</v>
      </c>
      <c r="K253" t="n">
        <v>0</v>
      </c>
      <c r="L253" t="n">
        <v>0</v>
      </c>
      <c r="M253" t="n">
        <v>0</v>
      </c>
      <c r="N253" t="n">
        <v>0</v>
      </c>
      <c r="O253" t="n">
        <v>1</v>
      </c>
      <c r="P253" t="n">
        <v>0</v>
      </c>
      <c r="Q253" t="n">
        <v>2</v>
      </c>
      <c r="R253" s="2" t="inlineStr">
        <is>
          <t>Lunglav
Fällmossa</t>
        </is>
      </c>
      <c r="S253">
        <f>HYPERLINK("https://klasma.github.io/Logging_1760/artfynd/A 34418-2020 artfynd.xlsx", "A 34418-2020")</f>
        <v/>
      </c>
      <c r="T253">
        <f>HYPERLINK("https://klasma.github.io/Logging_1760/kartor/A 34418-2020 karta.png", "A 34418-2020")</f>
        <v/>
      </c>
      <c r="V253">
        <f>HYPERLINK("https://klasma.github.io/Logging_1760/klagomål/A 34418-2020 FSC-klagomål.docx", "A 34418-2020")</f>
        <v/>
      </c>
      <c r="W253">
        <f>HYPERLINK("https://klasma.github.io/Logging_1760/klagomålsmail/A 34418-2020 FSC-klagomål mail.docx", "A 34418-2020")</f>
        <v/>
      </c>
      <c r="X253">
        <f>HYPERLINK("https://klasma.github.io/Logging_1760/tillsyn/A 34418-2020 tillsynsbegäran.docx", "A 34418-2020")</f>
        <v/>
      </c>
      <c r="Y253">
        <f>HYPERLINK("https://klasma.github.io/Logging_1760/tillsynsmail/A 34418-2020 tillsynsbegäran mail.docx", "A 34418-2020")</f>
        <v/>
      </c>
    </row>
    <row r="254" ht="15" customHeight="1">
      <c r="A254" t="inlineStr">
        <is>
          <t>A 43407-2020</t>
        </is>
      </c>
      <c r="B254" s="1" t="n">
        <v>44081</v>
      </c>
      <c r="C254" s="1" t="n">
        <v>45810</v>
      </c>
      <c r="D254" t="inlineStr">
        <is>
          <t>VÄRMLANDS LÄN</t>
        </is>
      </c>
      <c r="E254" t="inlineStr">
        <is>
          <t>KRISTINEHAMN</t>
        </is>
      </c>
      <c r="G254" t="n">
        <v>6.9</v>
      </c>
      <c r="H254" t="n">
        <v>2</v>
      </c>
      <c r="I254" t="n">
        <v>0</v>
      </c>
      <c r="J254" t="n">
        <v>0</v>
      </c>
      <c r="K254" t="n">
        <v>2</v>
      </c>
      <c r="L254" t="n">
        <v>0</v>
      </c>
      <c r="M254" t="n">
        <v>0</v>
      </c>
      <c r="N254" t="n">
        <v>0</v>
      </c>
      <c r="O254" t="n">
        <v>2</v>
      </c>
      <c r="P254" t="n">
        <v>2</v>
      </c>
      <c r="Q254" t="n">
        <v>2</v>
      </c>
      <c r="R254" s="2" t="inlineStr">
        <is>
          <t>Bombmurkla
Knärot</t>
        </is>
      </c>
      <c r="S254">
        <f>HYPERLINK("https://klasma.github.io/Logging_1781/artfynd/A 43407-2020 artfynd.xlsx", "A 43407-2020")</f>
        <v/>
      </c>
      <c r="T254">
        <f>HYPERLINK("https://klasma.github.io/Logging_1781/kartor/A 43407-2020 karta.png", "A 43407-2020")</f>
        <v/>
      </c>
      <c r="U254">
        <f>HYPERLINK("https://klasma.github.io/Logging_1781/knärot/A 43407-2020 karta knärot.png", "A 43407-2020")</f>
        <v/>
      </c>
      <c r="V254">
        <f>HYPERLINK("https://klasma.github.io/Logging_1781/klagomål/A 43407-2020 FSC-klagomål.docx", "A 43407-2020")</f>
        <v/>
      </c>
      <c r="W254">
        <f>HYPERLINK("https://klasma.github.io/Logging_1781/klagomålsmail/A 43407-2020 FSC-klagomål mail.docx", "A 43407-2020")</f>
        <v/>
      </c>
      <c r="X254">
        <f>HYPERLINK("https://klasma.github.io/Logging_1781/tillsyn/A 43407-2020 tillsynsbegäran.docx", "A 43407-2020")</f>
        <v/>
      </c>
      <c r="Y254">
        <f>HYPERLINK("https://klasma.github.io/Logging_1781/tillsynsmail/A 43407-2020 tillsynsbegäran mail.docx", "A 43407-2020")</f>
        <v/>
      </c>
    </row>
    <row r="255" ht="15" customHeight="1">
      <c r="A255" t="inlineStr">
        <is>
          <t>A 51666-2020</t>
        </is>
      </c>
      <c r="B255" s="1" t="n">
        <v>44113</v>
      </c>
      <c r="C255" s="1" t="n">
        <v>45810</v>
      </c>
      <c r="D255" t="inlineStr">
        <is>
          <t>VÄRMLANDS LÄN</t>
        </is>
      </c>
      <c r="E255" t="inlineStr">
        <is>
          <t>ARVIKA</t>
        </is>
      </c>
      <c r="G255" t="n">
        <v>4</v>
      </c>
      <c r="H255" t="n">
        <v>0</v>
      </c>
      <c r="I255" t="n">
        <v>0</v>
      </c>
      <c r="J255" t="n">
        <v>2</v>
      </c>
      <c r="K255" t="n">
        <v>0</v>
      </c>
      <c r="L255" t="n">
        <v>0</v>
      </c>
      <c r="M255" t="n">
        <v>0</v>
      </c>
      <c r="N255" t="n">
        <v>0</v>
      </c>
      <c r="O255" t="n">
        <v>2</v>
      </c>
      <c r="P255" t="n">
        <v>0</v>
      </c>
      <c r="Q255" t="n">
        <v>2</v>
      </c>
      <c r="R255" s="2" t="inlineStr">
        <is>
          <t>Hjeltfibbla
Rönnfibbla</t>
        </is>
      </c>
      <c r="S255">
        <f>HYPERLINK("https://klasma.github.io/Logging_1784/artfynd/A 51666-2020 artfynd.xlsx", "A 51666-2020")</f>
        <v/>
      </c>
      <c r="T255">
        <f>HYPERLINK("https://klasma.github.io/Logging_1784/kartor/A 51666-2020 karta.png", "A 51666-2020")</f>
        <v/>
      </c>
      <c r="V255">
        <f>HYPERLINK("https://klasma.github.io/Logging_1784/klagomål/A 51666-2020 FSC-klagomål.docx", "A 51666-2020")</f>
        <v/>
      </c>
      <c r="W255">
        <f>HYPERLINK("https://klasma.github.io/Logging_1784/klagomålsmail/A 51666-2020 FSC-klagomål mail.docx", "A 51666-2020")</f>
        <v/>
      </c>
      <c r="X255">
        <f>HYPERLINK("https://klasma.github.io/Logging_1784/tillsyn/A 51666-2020 tillsynsbegäran.docx", "A 51666-2020")</f>
        <v/>
      </c>
      <c r="Y255">
        <f>HYPERLINK("https://klasma.github.io/Logging_1784/tillsynsmail/A 51666-2020 tillsynsbegäran mail.docx", "A 51666-2020")</f>
        <v/>
      </c>
    </row>
    <row r="256" ht="15" customHeight="1">
      <c r="A256" t="inlineStr">
        <is>
          <t>A 53198-2020</t>
        </is>
      </c>
      <c r="B256" s="1" t="n">
        <v>44122</v>
      </c>
      <c r="C256" s="1" t="n">
        <v>45810</v>
      </c>
      <c r="D256" t="inlineStr">
        <is>
          <t>VÄRMLANDS LÄN</t>
        </is>
      </c>
      <c r="E256" t="inlineStr">
        <is>
          <t>TORSBY</t>
        </is>
      </c>
      <c r="G256" t="n">
        <v>6.5</v>
      </c>
      <c r="H256" t="n">
        <v>0</v>
      </c>
      <c r="I256" t="n">
        <v>0</v>
      </c>
      <c r="J256" t="n">
        <v>2</v>
      </c>
      <c r="K256" t="n">
        <v>0</v>
      </c>
      <c r="L256" t="n">
        <v>0</v>
      </c>
      <c r="M256" t="n">
        <v>0</v>
      </c>
      <c r="N256" t="n">
        <v>0</v>
      </c>
      <c r="O256" t="n">
        <v>2</v>
      </c>
      <c r="P256" t="n">
        <v>0</v>
      </c>
      <c r="Q256" t="n">
        <v>2</v>
      </c>
      <c r="R256" s="2" t="inlineStr">
        <is>
          <t>Garnlav
Kolflarnlav</t>
        </is>
      </c>
      <c r="S256">
        <f>HYPERLINK("https://klasma.github.io/Logging_1737/artfynd/A 53198-2020 artfynd.xlsx", "A 53198-2020")</f>
        <v/>
      </c>
      <c r="T256">
        <f>HYPERLINK("https://klasma.github.io/Logging_1737/kartor/A 53198-2020 karta.png", "A 53198-2020")</f>
        <v/>
      </c>
      <c r="V256">
        <f>HYPERLINK("https://klasma.github.io/Logging_1737/klagomål/A 53198-2020 FSC-klagomål.docx", "A 53198-2020")</f>
        <v/>
      </c>
      <c r="W256">
        <f>HYPERLINK("https://klasma.github.io/Logging_1737/klagomålsmail/A 53198-2020 FSC-klagomål mail.docx", "A 53198-2020")</f>
        <v/>
      </c>
      <c r="X256">
        <f>HYPERLINK("https://klasma.github.io/Logging_1737/tillsyn/A 53198-2020 tillsynsbegäran.docx", "A 53198-2020")</f>
        <v/>
      </c>
      <c r="Y256">
        <f>HYPERLINK("https://klasma.github.io/Logging_1737/tillsynsmail/A 53198-2020 tillsynsbegäran mail.docx", "A 53198-2020")</f>
        <v/>
      </c>
    </row>
    <row r="257" ht="15" customHeight="1">
      <c r="A257" t="inlineStr">
        <is>
          <t>A 67351-2020</t>
        </is>
      </c>
      <c r="B257" s="1" t="n">
        <v>44181</v>
      </c>
      <c r="C257" s="1" t="n">
        <v>45810</v>
      </c>
      <c r="D257" t="inlineStr">
        <is>
          <t>VÄRMLANDS LÄN</t>
        </is>
      </c>
      <c r="E257" t="inlineStr">
        <is>
          <t>GRUMS</t>
        </is>
      </c>
      <c r="G257" t="n">
        <v>2.3</v>
      </c>
      <c r="H257" t="n">
        <v>0</v>
      </c>
      <c r="I257" t="n">
        <v>2</v>
      </c>
      <c r="J257" t="n">
        <v>0</v>
      </c>
      <c r="K257" t="n">
        <v>0</v>
      </c>
      <c r="L257" t="n">
        <v>0</v>
      </c>
      <c r="M257" t="n">
        <v>0</v>
      </c>
      <c r="N257" t="n">
        <v>0</v>
      </c>
      <c r="O257" t="n">
        <v>0</v>
      </c>
      <c r="P257" t="n">
        <v>0</v>
      </c>
      <c r="Q257" t="n">
        <v>2</v>
      </c>
      <c r="R257" s="2" t="inlineStr">
        <is>
          <t>Björksplintborre
Bronshjon</t>
        </is>
      </c>
      <c r="S257">
        <f>HYPERLINK("https://klasma.github.io/Logging_1764/artfynd/A 67351-2020 artfynd.xlsx", "A 67351-2020")</f>
        <v/>
      </c>
      <c r="T257">
        <f>HYPERLINK("https://klasma.github.io/Logging_1764/kartor/A 67351-2020 karta.png", "A 67351-2020")</f>
        <v/>
      </c>
      <c r="V257">
        <f>HYPERLINK("https://klasma.github.io/Logging_1764/klagomål/A 67351-2020 FSC-klagomål.docx", "A 67351-2020")</f>
        <v/>
      </c>
      <c r="W257">
        <f>HYPERLINK("https://klasma.github.io/Logging_1764/klagomålsmail/A 67351-2020 FSC-klagomål mail.docx", "A 67351-2020")</f>
        <v/>
      </c>
      <c r="X257">
        <f>HYPERLINK("https://klasma.github.io/Logging_1764/tillsyn/A 67351-2020 tillsynsbegäran.docx", "A 67351-2020")</f>
        <v/>
      </c>
      <c r="Y257">
        <f>HYPERLINK("https://klasma.github.io/Logging_1764/tillsynsmail/A 67351-2020 tillsynsbegäran mail.docx", "A 67351-2020")</f>
        <v/>
      </c>
    </row>
    <row r="258" ht="15" customHeight="1">
      <c r="A258" t="inlineStr">
        <is>
          <t>A 1524-2021</t>
        </is>
      </c>
      <c r="B258" s="1" t="n">
        <v>44209</v>
      </c>
      <c r="C258" s="1" t="n">
        <v>45810</v>
      </c>
      <c r="D258" t="inlineStr">
        <is>
          <t>VÄRMLANDS LÄN</t>
        </is>
      </c>
      <c r="E258" t="inlineStr">
        <is>
          <t>TORSBY</t>
        </is>
      </c>
      <c r="G258" t="n">
        <v>1</v>
      </c>
      <c r="H258" t="n">
        <v>0</v>
      </c>
      <c r="I258" t="n">
        <v>2</v>
      </c>
      <c r="J258" t="n">
        <v>0</v>
      </c>
      <c r="K258" t="n">
        <v>0</v>
      </c>
      <c r="L258" t="n">
        <v>0</v>
      </c>
      <c r="M258" t="n">
        <v>0</v>
      </c>
      <c r="N258" t="n">
        <v>0</v>
      </c>
      <c r="O258" t="n">
        <v>0</v>
      </c>
      <c r="P258" t="n">
        <v>0</v>
      </c>
      <c r="Q258" t="n">
        <v>2</v>
      </c>
      <c r="R258" s="2" t="inlineStr">
        <is>
          <t>Dropptaggsvamp
Skarp dropptaggsvamp</t>
        </is>
      </c>
      <c r="S258">
        <f>HYPERLINK("https://klasma.github.io/Logging_1737/artfynd/A 1524-2021 artfynd.xlsx", "A 1524-2021")</f>
        <v/>
      </c>
      <c r="T258">
        <f>HYPERLINK("https://klasma.github.io/Logging_1737/kartor/A 1524-2021 karta.png", "A 1524-2021")</f>
        <v/>
      </c>
      <c r="V258">
        <f>HYPERLINK("https://klasma.github.io/Logging_1737/klagomål/A 1524-2021 FSC-klagomål.docx", "A 1524-2021")</f>
        <v/>
      </c>
      <c r="W258">
        <f>HYPERLINK("https://klasma.github.io/Logging_1737/klagomålsmail/A 1524-2021 FSC-klagomål mail.docx", "A 1524-2021")</f>
        <v/>
      </c>
      <c r="X258">
        <f>HYPERLINK("https://klasma.github.io/Logging_1737/tillsyn/A 1524-2021 tillsynsbegäran.docx", "A 1524-2021")</f>
        <v/>
      </c>
      <c r="Y258">
        <f>HYPERLINK("https://klasma.github.io/Logging_1737/tillsynsmail/A 1524-2021 tillsynsbegäran mail.docx", "A 1524-2021")</f>
        <v/>
      </c>
    </row>
    <row r="259" ht="15" customHeight="1">
      <c r="A259" t="inlineStr">
        <is>
          <t>A 10098-2021</t>
        </is>
      </c>
      <c r="B259" s="1" t="n">
        <v>44253</v>
      </c>
      <c r="C259" s="1" t="n">
        <v>45810</v>
      </c>
      <c r="D259" t="inlineStr">
        <is>
          <t>VÄRMLANDS LÄN</t>
        </is>
      </c>
      <c r="E259" t="inlineStr">
        <is>
          <t>GRUMS</t>
        </is>
      </c>
      <c r="F259" t="inlineStr">
        <is>
          <t>Bergvik skog väst AB</t>
        </is>
      </c>
      <c r="G259" t="n">
        <v>8.4</v>
      </c>
      <c r="H259" t="n">
        <v>2</v>
      </c>
      <c r="I259" t="n">
        <v>0</v>
      </c>
      <c r="J259" t="n">
        <v>1</v>
      </c>
      <c r="K259" t="n">
        <v>0</v>
      </c>
      <c r="L259" t="n">
        <v>0</v>
      </c>
      <c r="M259" t="n">
        <v>0</v>
      </c>
      <c r="N259" t="n">
        <v>0</v>
      </c>
      <c r="O259" t="n">
        <v>1</v>
      </c>
      <c r="P259" t="n">
        <v>0</v>
      </c>
      <c r="Q259" t="n">
        <v>2</v>
      </c>
      <c r="R259" s="2" t="inlineStr">
        <is>
          <t>Spillkråka
Vanlig groda</t>
        </is>
      </c>
      <c r="S259">
        <f>HYPERLINK("https://klasma.github.io/Logging_1764/artfynd/A 10098-2021 artfynd.xlsx", "A 10098-2021")</f>
        <v/>
      </c>
      <c r="T259">
        <f>HYPERLINK("https://klasma.github.io/Logging_1764/kartor/A 10098-2021 karta.png", "A 10098-2021")</f>
        <v/>
      </c>
      <c r="V259">
        <f>HYPERLINK("https://klasma.github.io/Logging_1764/klagomål/A 10098-2021 FSC-klagomål.docx", "A 10098-2021")</f>
        <v/>
      </c>
      <c r="W259">
        <f>HYPERLINK("https://klasma.github.io/Logging_1764/klagomålsmail/A 10098-2021 FSC-klagomål mail.docx", "A 10098-2021")</f>
        <v/>
      </c>
      <c r="X259">
        <f>HYPERLINK("https://klasma.github.io/Logging_1764/tillsyn/A 10098-2021 tillsynsbegäran.docx", "A 10098-2021")</f>
        <v/>
      </c>
      <c r="Y259">
        <f>HYPERLINK("https://klasma.github.io/Logging_1764/tillsynsmail/A 10098-2021 tillsynsbegäran mail.docx", "A 10098-2021")</f>
        <v/>
      </c>
      <c r="Z259">
        <f>HYPERLINK("https://klasma.github.io/Logging_1764/fåglar/A 10098-2021 prioriterade fågelarter.docx", "A 10098-2021")</f>
        <v/>
      </c>
    </row>
    <row r="260" ht="15" customHeight="1">
      <c r="A260" t="inlineStr">
        <is>
          <t>A 11581-2021</t>
        </is>
      </c>
      <c r="B260" s="1" t="n">
        <v>44264</v>
      </c>
      <c r="C260" s="1" t="n">
        <v>45810</v>
      </c>
      <c r="D260" t="inlineStr">
        <is>
          <t>VÄRMLANDS LÄN</t>
        </is>
      </c>
      <c r="E260" t="inlineStr">
        <is>
          <t>KARLSTAD</t>
        </is>
      </c>
      <c r="F260" t="inlineStr">
        <is>
          <t>Kommuner</t>
        </is>
      </c>
      <c r="G260" t="n">
        <v>2.3</v>
      </c>
      <c r="H260" t="n">
        <v>0</v>
      </c>
      <c r="I260" t="n">
        <v>2</v>
      </c>
      <c r="J260" t="n">
        <v>0</v>
      </c>
      <c r="K260" t="n">
        <v>0</v>
      </c>
      <c r="L260" t="n">
        <v>0</v>
      </c>
      <c r="M260" t="n">
        <v>0</v>
      </c>
      <c r="N260" t="n">
        <v>0</v>
      </c>
      <c r="O260" t="n">
        <v>0</v>
      </c>
      <c r="P260" t="n">
        <v>0</v>
      </c>
      <c r="Q260" t="n">
        <v>2</v>
      </c>
      <c r="R260" s="2" t="inlineStr">
        <is>
          <t>Rödgul trumpetsvamp
Vågbandad barkbock</t>
        </is>
      </c>
      <c r="S260">
        <f>HYPERLINK("https://klasma.github.io/Logging_1780/artfynd/A 11581-2021 artfynd.xlsx", "A 11581-2021")</f>
        <v/>
      </c>
      <c r="T260">
        <f>HYPERLINK("https://klasma.github.io/Logging_1780/kartor/A 11581-2021 karta.png", "A 11581-2021")</f>
        <v/>
      </c>
      <c r="V260">
        <f>HYPERLINK("https://klasma.github.io/Logging_1780/klagomål/A 11581-2021 FSC-klagomål.docx", "A 11581-2021")</f>
        <v/>
      </c>
      <c r="W260">
        <f>HYPERLINK("https://klasma.github.io/Logging_1780/klagomålsmail/A 11581-2021 FSC-klagomål mail.docx", "A 11581-2021")</f>
        <v/>
      </c>
      <c r="X260">
        <f>HYPERLINK("https://klasma.github.io/Logging_1780/tillsyn/A 11581-2021 tillsynsbegäran.docx", "A 11581-2021")</f>
        <v/>
      </c>
      <c r="Y260">
        <f>HYPERLINK("https://klasma.github.io/Logging_1780/tillsynsmail/A 11581-2021 tillsynsbegäran mail.docx", "A 11581-2021")</f>
        <v/>
      </c>
    </row>
    <row r="261" ht="15" customHeight="1">
      <c r="A261" t="inlineStr">
        <is>
          <t>A 17055-2021</t>
        </is>
      </c>
      <c r="B261" s="1" t="n">
        <v>44296</v>
      </c>
      <c r="C261" s="1" t="n">
        <v>45810</v>
      </c>
      <c r="D261" t="inlineStr">
        <is>
          <t>VÄRMLANDS LÄN</t>
        </is>
      </c>
      <c r="E261" t="inlineStr">
        <is>
          <t>EDA</t>
        </is>
      </c>
      <c r="G261" t="n">
        <v>3.8</v>
      </c>
      <c r="H261" t="n">
        <v>0</v>
      </c>
      <c r="I261" t="n">
        <v>1</v>
      </c>
      <c r="J261" t="n">
        <v>0</v>
      </c>
      <c r="K261" t="n">
        <v>0</v>
      </c>
      <c r="L261" t="n">
        <v>1</v>
      </c>
      <c r="M261" t="n">
        <v>0</v>
      </c>
      <c r="N261" t="n">
        <v>0</v>
      </c>
      <c r="O261" t="n">
        <v>1</v>
      </c>
      <c r="P261" t="n">
        <v>1</v>
      </c>
      <c r="Q261" t="n">
        <v>2</v>
      </c>
      <c r="R261" s="2" t="inlineStr">
        <is>
          <t>Ask
Dvärghäxört</t>
        </is>
      </c>
      <c r="S261">
        <f>HYPERLINK("https://klasma.github.io/Logging_1730/artfynd/A 17055-2021 artfynd.xlsx", "A 17055-2021")</f>
        <v/>
      </c>
      <c r="T261">
        <f>HYPERLINK("https://klasma.github.io/Logging_1730/kartor/A 17055-2021 karta.png", "A 17055-2021")</f>
        <v/>
      </c>
      <c r="V261">
        <f>HYPERLINK("https://klasma.github.io/Logging_1730/klagomål/A 17055-2021 FSC-klagomål.docx", "A 17055-2021")</f>
        <v/>
      </c>
      <c r="W261">
        <f>HYPERLINK("https://klasma.github.io/Logging_1730/klagomålsmail/A 17055-2021 FSC-klagomål mail.docx", "A 17055-2021")</f>
        <v/>
      </c>
      <c r="X261">
        <f>HYPERLINK("https://klasma.github.io/Logging_1730/tillsyn/A 17055-2021 tillsynsbegäran.docx", "A 17055-2021")</f>
        <v/>
      </c>
      <c r="Y261">
        <f>HYPERLINK("https://klasma.github.io/Logging_1730/tillsynsmail/A 17055-2021 tillsynsbegäran mail.docx", "A 17055-2021")</f>
        <v/>
      </c>
    </row>
    <row r="262" ht="15" customHeight="1">
      <c r="A262" t="inlineStr">
        <is>
          <t>A 22410-2021</t>
        </is>
      </c>
      <c r="B262" s="1" t="n">
        <v>44326</v>
      </c>
      <c r="C262" s="1" t="n">
        <v>45810</v>
      </c>
      <c r="D262" t="inlineStr">
        <is>
          <t>VÄRMLANDS LÄN</t>
        </is>
      </c>
      <c r="E262" t="inlineStr">
        <is>
          <t>FILIPSTAD</t>
        </is>
      </c>
      <c r="F262" t="inlineStr">
        <is>
          <t>Bergvik skog väst AB</t>
        </is>
      </c>
      <c r="G262" t="n">
        <v>9.800000000000001</v>
      </c>
      <c r="H262" t="n">
        <v>1</v>
      </c>
      <c r="I262" t="n">
        <v>0</v>
      </c>
      <c r="J262" t="n">
        <v>1</v>
      </c>
      <c r="K262" t="n">
        <v>0</v>
      </c>
      <c r="L262" t="n">
        <v>0</v>
      </c>
      <c r="M262" t="n">
        <v>0</v>
      </c>
      <c r="N262" t="n">
        <v>0</v>
      </c>
      <c r="O262" t="n">
        <v>1</v>
      </c>
      <c r="P262" t="n">
        <v>0</v>
      </c>
      <c r="Q262" t="n">
        <v>2</v>
      </c>
      <c r="R262" s="2" t="inlineStr">
        <is>
          <t>Brunklöver
Revlummer</t>
        </is>
      </c>
      <c r="S262">
        <f>HYPERLINK("https://klasma.github.io/Logging_1782/artfynd/A 22410-2021 artfynd.xlsx", "A 22410-2021")</f>
        <v/>
      </c>
      <c r="T262">
        <f>HYPERLINK("https://klasma.github.io/Logging_1782/kartor/A 22410-2021 karta.png", "A 22410-2021")</f>
        <v/>
      </c>
      <c r="V262">
        <f>HYPERLINK("https://klasma.github.io/Logging_1782/klagomål/A 22410-2021 FSC-klagomål.docx", "A 22410-2021")</f>
        <v/>
      </c>
      <c r="W262">
        <f>HYPERLINK("https://klasma.github.io/Logging_1782/klagomålsmail/A 22410-2021 FSC-klagomål mail.docx", "A 22410-2021")</f>
        <v/>
      </c>
      <c r="X262">
        <f>HYPERLINK("https://klasma.github.io/Logging_1782/tillsyn/A 22410-2021 tillsynsbegäran.docx", "A 22410-2021")</f>
        <v/>
      </c>
      <c r="Y262">
        <f>HYPERLINK("https://klasma.github.io/Logging_1782/tillsynsmail/A 22410-2021 tillsynsbegäran mail.docx", "A 22410-2021")</f>
        <v/>
      </c>
    </row>
    <row r="263" ht="15" customHeight="1">
      <c r="A263" t="inlineStr">
        <is>
          <t>A 33866-2021</t>
        </is>
      </c>
      <c r="B263" s="1" t="n">
        <v>44378</v>
      </c>
      <c r="C263" s="1" t="n">
        <v>45810</v>
      </c>
      <c r="D263" t="inlineStr">
        <is>
          <t>VÄRMLANDS LÄN</t>
        </is>
      </c>
      <c r="E263" t="inlineStr">
        <is>
          <t>KARLSTAD</t>
        </is>
      </c>
      <c r="F263" t="inlineStr">
        <is>
          <t>Kyrkan</t>
        </is>
      </c>
      <c r="G263" t="n">
        <v>5.8</v>
      </c>
      <c r="H263" t="n">
        <v>2</v>
      </c>
      <c r="I263" t="n">
        <v>1</v>
      </c>
      <c r="J263" t="n">
        <v>0</v>
      </c>
      <c r="K263" t="n">
        <v>0</v>
      </c>
      <c r="L263" t="n">
        <v>0</v>
      </c>
      <c r="M263" t="n">
        <v>0</v>
      </c>
      <c r="N263" t="n">
        <v>0</v>
      </c>
      <c r="O263" t="n">
        <v>0</v>
      </c>
      <c r="P263" t="n">
        <v>0</v>
      </c>
      <c r="Q263" t="n">
        <v>2</v>
      </c>
      <c r="R263" s="2" t="inlineStr">
        <is>
          <t>Plattlummer
Mattlummer</t>
        </is>
      </c>
      <c r="S263">
        <f>HYPERLINK("https://klasma.github.io/Logging_1780/artfynd/A 33866-2021 artfynd.xlsx", "A 33866-2021")</f>
        <v/>
      </c>
      <c r="T263">
        <f>HYPERLINK("https://klasma.github.io/Logging_1780/kartor/A 33866-2021 karta.png", "A 33866-2021")</f>
        <v/>
      </c>
      <c r="V263">
        <f>HYPERLINK("https://klasma.github.io/Logging_1780/klagomål/A 33866-2021 FSC-klagomål.docx", "A 33866-2021")</f>
        <v/>
      </c>
      <c r="W263">
        <f>HYPERLINK("https://klasma.github.io/Logging_1780/klagomålsmail/A 33866-2021 FSC-klagomål mail.docx", "A 33866-2021")</f>
        <v/>
      </c>
      <c r="X263">
        <f>HYPERLINK("https://klasma.github.io/Logging_1780/tillsyn/A 33866-2021 tillsynsbegäran.docx", "A 33866-2021")</f>
        <v/>
      </c>
      <c r="Y263">
        <f>HYPERLINK("https://klasma.github.io/Logging_1780/tillsynsmail/A 33866-2021 tillsynsbegäran mail.docx", "A 33866-2021")</f>
        <v/>
      </c>
    </row>
    <row r="264" ht="15" customHeight="1">
      <c r="A264" t="inlineStr">
        <is>
          <t>A 38044-2021</t>
        </is>
      </c>
      <c r="B264" s="1" t="n">
        <v>44404</v>
      </c>
      <c r="C264" s="1" t="n">
        <v>45810</v>
      </c>
      <c r="D264" t="inlineStr">
        <is>
          <t>VÄRMLANDS LÄN</t>
        </is>
      </c>
      <c r="E264" t="inlineStr">
        <is>
          <t>EDA</t>
        </is>
      </c>
      <c r="G264" t="n">
        <v>11.4</v>
      </c>
      <c r="H264" t="n">
        <v>2</v>
      </c>
      <c r="I264" t="n">
        <v>0</v>
      </c>
      <c r="J264" t="n">
        <v>0</v>
      </c>
      <c r="K264" t="n">
        <v>0</v>
      </c>
      <c r="L264" t="n">
        <v>0</v>
      </c>
      <c r="M264" t="n">
        <v>0</v>
      </c>
      <c r="N264" t="n">
        <v>0</v>
      </c>
      <c r="O264" t="n">
        <v>0</v>
      </c>
      <c r="P264" t="n">
        <v>0</v>
      </c>
      <c r="Q264" t="n">
        <v>2</v>
      </c>
      <c r="R264" s="2" t="inlineStr">
        <is>
          <t>Grönsiska
Orre</t>
        </is>
      </c>
      <c r="S264">
        <f>HYPERLINK("https://klasma.github.io/Logging_1730/artfynd/A 38044-2021 artfynd.xlsx", "A 38044-2021")</f>
        <v/>
      </c>
      <c r="T264">
        <f>HYPERLINK("https://klasma.github.io/Logging_1730/kartor/A 38044-2021 karta.png", "A 38044-2021")</f>
        <v/>
      </c>
      <c r="V264">
        <f>HYPERLINK("https://klasma.github.io/Logging_1730/klagomål/A 38044-2021 FSC-klagomål.docx", "A 38044-2021")</f>
        <v/>
      </c>
      <c r="W264">
        <f>HYPERLINK("https://klasma.github.io/Logging_1730/klagomålsmail/A 38044-2021 FSC-klagomål mail.docx", "A 38044-2021")</f>
        <v/>
      </c>
      <c r="X264">
        <f>HYPERLINK("https://klasma.github.io/Logging_1730/tillsyn/A 38044-2021 tillsynsbegäran.docx", "A 38044-2021")</f>
        <v/>
      </c>
      <c r="Y264">
        <f>HYPERLINK("https://klasma.github.io/Logging_1730/tillsynsmail/A 38044-2021 tillsynsbegäran mail.docx", "A 38044-2021")</f>
        <v/>
      </c>
      <c r="Z264">
        <f>HYPERLINK("https://klasma.github.io/Logging_1730/fåglar/A 38044-2021 prioriterade fågelarter.docx", "A 38044-2021")</f>
        <v/>
      </c>
    </row>
    <row r="265" ht="15" customHeight="1">
      <c r="A265" t="inlineStr">
        <is>
          <t>A 43023-2021</t>
        </is>
      </c>
      <c r="B265" s="1" t="n">
        <v>44431</v>
      </c>
      <c r="C265" s="1" t="n">
        <v>45810</v>
      </c>
      <c r="D265" t="inlineStr">
        <is>
          <t>VÄRMLANDS LÄN</t>
        </is>
      </c>
      <c r="E265" t="inlineStr">
        <is>
          <t>TORSBY</t>
        </is>
      </c>
      <c r="G265" t="n">
        <v>1</v>
      </c>
      <c r="H265" t="n">
        <v>0</v>
      </c>
      <c r="I265" t="n">
        <v>0</v>
      </c>
      <c r="J265" t="n">
        <v>2</v>
      </c>
      <c r="K265" t="n">
        <v>0</v>
      </c>
      <c r="L265" t="n">
        <v>0</v>
      </c>
      <c r="M265" t="n">
        <v>0</v>
      </c>
      <c r="N265" t="n">
        <v>0</v>
      </c>
      <c r="O265" t="n">
        <v>2</v>
      </c>
      <c r="P265" t="n">
        <v>0</v>
      </c>
      <c r="Q265" t="n">
        <v>2</v>
      </c>
      <c r="R265" s="2" t="inlineStr">
        <is>
          <t>Doftskinn
Violettgrå tagellav</t>
        </is>
      </c>
      <c r="S265">
        <f>HYPERLINK("https://klasma.github.io/Logging_1737/artfynd/A 43023-2021 artfynd.xlsx", "A 43023-2021")</f>
        <v/>
      </c>
      <c r="T265">
        <f>HYPERLINK("https://klasma.github.io/Logging_1737/kartor/A 43023-2021 karta.png", "A 43023-2021")</f>
        <v/>
      </c>
      <c r="V265">
        <f>HYPERLINK("https://klasma.github.io/Logging_1737/klagomål/A 43023-2021 FSC-klagomål.docx", "A 43023-2021")</f>
        <v/>
      </c>
      <c r="W265">
        <f>HYPERLINK("https://klasma.github.io/Logging_1737/klagomålsmail/A 43023-2021 FSC-klagomål mail.docx", "A 43023-2021")</f>
        <v/>
      </c>
      <c r="X265">
        <f>HYPERLINK("https://klasma.github.io/Logging_1737/tillsyn/A 43023-2021 tillsynsbegäran.docx", "A 43023-2021")</f>
        <v/>
      </c>
      <c r="Y265">
        <f>HYPERLINK("https://klasma.github.io/Logging_1737/tillsynsmail/A 43023-2021 tillsynsbegäran mail.docx", "A 43023-2021")</f>
        <v/>
      </c>
    </row>
    <row r="266" ht="15" customHeight="1">
      <c r="A266" t="inlineStr">
        <is>
          <t>A 45750-2021</t>
        </is>
      </c>
      <c r="B266" s="1" t="n">
        <v>44435</v>
      </c>
      <c r="C266" s="1" t="n">
        <v>45810</v>
      </c>
      <c r="D266" t="inlineStr">
        <is>
          <t>VÄRMLANDS LÄN</t>
        </is>
      </c>
      <c r="E266" t="inlineStr">
        <is>
          <t>ARVIKA</t>
        </is>
      </c>
      <c r="G266" t="n">
        <v>2.1</v>
      </c>
      <c r="H266" t="n">
        <v>1</v>
      </c>
      <c r="I266" t="n">
        <v>0</v>
      </c>
      <c r="J266" t="n">
        <v>2</v>
      </c>
      <c r="K266" t="n">
        <v>0</v>
      </c>
      <c r="L266" t="n">
        <v>0</v>
      </c>
      <c r="M266" t="n">
        <v>0</v>
      </c>
      <c r="N266" t="n">
        <v>0</v>
      </c>
      <c r="O266" t="n">
        <v>2</v>
      </c>
      <c r="P266" t="n">
        <v>0</v>
      </c>
      <c r="Q266" t="n">
        <v>2</v>
      </c>
      <c r="R266" s="2" t="inlineStr">
        <is>
          <t>Lunglav
Talltita</t>
        </is>
      </c>
      <c r="S266">
        <f>HYPERLINK("https://klasma.github.io/Logging_1784/artfynd/A 45750-2021 artfynd.xlsx", "A 45750-2021")</f>
        <v/>
      </c>
      <c r="T266">
        <f>HYPERLINK("https://klasma.github.io/Logging_1784/kartor/A 45750-2021 karta.png", "A 45750-2021")</f>
        <v/>
      </c>
      <c r="V266">
        <f>HYPERLINK("https://klasma.github.io/Logging_1784/klagomål/A 45750-2021 FSC-klagomål.docx", "A 45750-2021")</f>
        <v/>
      </c>
      <c r="W266">
        <f>HYPERLINK("https://klasma.github.io/Logging_1784/klagomålsmail/A 45750-2021 FSC-klagomål mail.docx", "A 45750-2021")</f>
        <v/>
      </c>
      <c r="X266">
        <f>HYPERLINK("https://klasma.github.io/Logging_1784/tillsyn/A 45750-2021 tillsynsbegäran.docx", "A 45750-2021")</f>
        <v/>
      </c>
      <c r="Y266">
        <f>HYPERLINK("https://klasma.github.io/Logging_1784/tillsynsmail/A 45750-2021 tillsynsbegäran mail.docx", "A 45750-2021")</f>
        <v/>
      </c>
      <c r="Z266">
        <f>HYPERLINK("https://klasma.github.io/Logging_1784/fåglar/A 45750-2021 prioriterade fågelarter.docx", "A 45750-2021")</f>
        <v/>
      </c>
    </row>
    <row r="267" ht="15" customHeight="1">
      <c r="A267" t="inlineStr">
        <is>
          <t>A 48762-2021</t>
        </is>
      </c>
      <c r="B267" s="1" t="n">
        <v>44452</v>
      </c>
      <c r="C267" s="1" t="n">
        <v>45810</v>
      </c>
      <c r="D267" t="inlineStr">
        <is>
          <t>VÄRMLANDS LÄN</t>
        </is>
      </c>
      <c r="E267" t="inlineStr">
        <is>
          <t>SÄFFLE</t>
        </is>
      </c>
      <c r="F267" t="inlineStr">
        <is>
          <t>Bergvik skog väst AB</t>
        </is>
      </c>
      <c r="G267" t="n">
        <v>40.8</v>
      </c>
      <c r="H267" t="n">
        <v>0</v>
      </c>
      <c r="I267" t="n">
        <v>0</v>
      </c>
      <c r="J267" t="n">
        <v>2</v>
      </c>
      <c r="K267" t="n">
        <v>0</v>
      </c>
      <c r="L267" t="n">
        <v>0</v>
      </c>
      <c r="M267" t="n">
        <v>0</v>
      </c>
      <c r="N267" t="n">
        <v>0</v>
      </c>
      <c r="O267" t="n">
        <v>2</v>
      </c>
      <c r="P267" t="n">
        <v>0</v>
      </c>
      <c r="Q267" t="n">
        <v>2</v>
      </c>
      <c r="R267" s="2" t="inlineStr">
        <is>
          <t>Kandelabersvamp
Veckticka</t>
        </is>
      </c>
      <c r="S267">
        <f>HYPERLINK("https://klasma.github.io/Logging_1785/artfynd/A 48762-2021 artfynd.xlsx", "A 48762-2021")</f>
        <v/>
      </c>
      <c r="T267">
        <f>HYPERLINK("https://klasma.github.io/Logging_1785/kartor/A 48762-2021 karta.png", "A 48762-2021")</f>
        <v/>
      </c>
      <c r="V267">
        <f>HYPERLINK("https://klasma.github.io/Logging_1785/klagomål/A 48762-2021 FSC-klagomål.docx", "A 48762-2021")</f>
        <v/>
      </c>
      <c r="W267">
        <f>HYPERLINK("https://klasma.github.io/Logging_1785/klagomålsmail/A 48762-2021 FSC-klagomål mail.docx", "A 48762-2021")</f>
        <v/>
      </c>
      <c r="X267">
        <f>HYPERLINK("https://klasma.github.io/Logging_1785/tillsyn/A 48762-2021 tillsynsbegäran.docx", "A 48762-2021")</f>
        <v/>
      </c>
      <c r="Y267">
        <f>HYPERLINK("https://klasma.github.io/Logging_1785/tillsynsmail/A 48762-2021 tillsynsbegäran mail.docx", "A 48762-2021")</f>
        <v/>
      </c>
    </row>
    <row r="268" ht="15" customHeight="1">
      <c r="A268" t="inlineStr">
        <is>
          <t>A 50826-2021</t>
        </is>
      </c>
      <c r="B268" s="1" t="n">
        <v>44460</v>
      </c>
      <c r="C268" s="1" t="n">
        <v>45810</v>
      </c>
      <c r="D268" t="inlineStr">
        <is>
          <t>VÄRMLANDS LÄN</t>
        </is>
      </c>
      <c r="E268" t="inlineStr">
        <is>
          <t>KARLSTAD</t>
        </is>
      </c>
      <c r="F268" t="inlineStr">
        <is>
          <t>Kommuner</t>
        </is>
      </c>
      <c r="G268" t="n">
        <v>0.9</v>
      </c>
      <c r="H268" t="n">
        <v>1</v>
      </c>
      <c r="I268" t="n">
        <v>1</v>
      </c>
      <c r="J268" t="n">
        <v>1</v>
      </c>
      <c r="K268" t="n">
        <v>0</v>
      </c>
      <c r="L268" t="n">
        <v>0</v>
      </c>
      <c r="M268" t="n">
        <v>0</v>
      </c>
      <c r="N268" t="n">
        <v>0</v>
      </c>
      <c r="O268" t="n">
        <v>1</v>
      </c>
      <c r="P268" t="n">
        <v>0</v>
      </c>
      <c r="Q268" t="n">
        <v>2</v>
      </c>
      <c r="R268" s="2" t="inlineStr">
        <is>
          <t>Spillkråka
Flagellkvastmossa</t>
        </is>
      </c>
      <c r="S268">
        <f>HYPERLINK("https://klasma.github.io/Logging_1780/artfynd/A 50826-2021 artfynd.xlsx", "A 50826-2021")</f>
        <v/>
      </c>
      <c r="T268">
        <f>HYPERLINK("https://klasma.github.io/Logging_1780/kartor/A 50826-2021 karta.png", "A 50826-2021")</f>
        <v/>
      </c>
      <c r="V268">
        <f>HYPERLINK("https://klasma.github.io/Logging_1780/klagomål/A 50826-2021 FSC-klagomål.docx", "A 50826-2021")</f>
        <v/>
      </c>
      <c r="W268">
        <f>HYPERLINK("https://klasma.github.io/Logging_1780/klagomålsmail/A 50826-2021 FSC-klagomål mail.docx", "A 50826-2021")</f>
        <v/>
      </c>
      <c r="X268">
        <f>HYPERLINK("https://klasma.github.io/Logging_1780/tillsyn/A 50826-2021 tillsynsbegäran.docx", "A 50826-2021")</f>
        <v/>
      </c>
      <c r="Y268">
        <f>HYPERLINK("https://klasma.github.io/Logging_1780/tillsynsmail/A 50826-2021 tillsynsbegäran mail.docx", "A 50826-2021")</f>
        <v/>
      </c>
      <c r="Z268">
        <f>HYPERLINK("https://klasma.github.io/Logging_1780/fåglar/A 50826-2021 prioriterade fågelarter.docx", "A 50826-2021")</f>
        <v/>
      </c>
    </row>
    <row r="269" ht="15" customHeight="1">
      <c r="A269" t="inlineStr">
        <is>
          <t>A 51072-2021</t>
        </is>
      </c>
      <c r="B269" s="1" t="n">
        <v>44461</v>
      </c>
      <c r="C269" s="1" t="n">
        <v>45810</v>
      </c>
      <c r="D269" t="inlineStr">
        <is>
          <t>VÄRMLANDS LÄN</t>
        </is>
      </c>
      <c r="E269" t="inlineStr">
        <is>
          <t>FORSHAGA</t>
        </is>
      </c>
      <c r="G269" t="n">
        <v>19.6</v>
      </c>
      <c r="H269" t="n">
        <v>1</v>
      </c>
      <c r="I269" t="n">
        <v>0</v>
      </c>
      <c r="J269" t="n">
        <v>2</v>
      </c>
      <c r="K269" t="n">
        <v>0</v>
      </c>
      <c r="L269" t="n">
        <v>0</v>
      </c>
      <c r="M269" t="n">
        <v>0</v>
      </c>
      <c r="N269" t="n">
        <v>0</v>
      </c>
      <c r="O269" t="n">
        <v>2</v>
      </c>
      <c r="P269" t="n">
        <v>0</v>
      </c>
      <c r="Q269" t="n">
        <v>2</v>
      </c>
      <c r="R269" s="2" t="inlineStr">
        <is>
          <t>Brun gräsfjäril
Violettkantad guldvinge</t>
        </is>
      </c>
      <c r="S269">
        <f>HYPERLINK("https://klasma.github.io/Logging_1763/artfynd/A 51072-2021 artfynd.xlsx", "A 51072-2021")</f>
        <v/>
      </c>
      <c r="T269">
        <f>HYPERLINK("https://klasma.github.io/Logging_1763/kartor/A 51072-2021 karta.png", "A 51072-2021")</f>
        <v/>
      </c>
      <c r="V269">
        <f>HYPERLINK("https://klasma.github.io/Logging_1763/klagomål/A 51072-2021 FSC-klagomål.docx", "A 51072-2021")</f>
        <v/>
      </c>
      <c r="W269">
        <f>HYPERLINK("https://klasma.github.io/Logging_1763/klagomålsmail/A 51072-2021 FSC-klagomål mail.docx", "A 51072-2021")</f>
        <v/>
      </c>
      <c r="X269">
        <f>HYPERLINK("https://klasma.github.io/Logging_1763/tillsyn/A 51072-2021 tillsynsbegäran.docx", "A 51072-2021")</f>
        <v/>
      </c>
      <c r="Y269">
        <f>HYPERLINK("https://klasma.github.io/Logging_1763/tillsynsmail/A 51072-2021 tillsynsbegäran mail.docx", "A 51072-2021")</f>
        <v/>
      </c>
    </row>
    <row r="270" ht="15" customHeight="1">
      <c r="A270" t="inlineStr">
        <is>
          <t>A 54073-2021</t>
        </is>
      </c>
      <c r="B270" s="1" t="n">
        <v>44470</v>
      </c>
      <c r="C270" s="1" t="n">
        <v>45810</v>
      </c>
      <c r="D270" t="inlineStr">
        <is>
          <t>VÄRMLANDS LÄN</t>
        </is>
      </c>
      <c r="E270" t="inlineStr">
        <is>
          <t>GRUMS</t>
        </is>
      </c>
      <c r="G270" t="n">
        <v>20.6</v>
      </c>
      <c r="H270" t="n">
        <v>1</v>
      </c>
      <c r="I270" t="n">
        <v>0</v>
      </c>
      <c r="J270" t="n">
        <v>2</v>
      </c>
      <c r="K270" t="n">
        <v>0</v>
      </c>
      <c r="L270" t="n">
        <v>0</v>
      </c>
      <c r="M270" t="n">
        <v>0</v>
      </c>
      <c r="N270" t="n">
        <v>0</v>
      </c>
      <c r="O270" t="n">
        <v>2</v>
      </c>
      <c r="P270" t="n">
        <v>0</v>
      </c>
      <c r="Q270" t="n">
        <v>2</v>
      </c>
      <c r="R270" s="2" t="inlineStr">
        <is>
          <t>Spillkråka
Svart taggsvamp</t>
        </is>
      </c>
      <c r="S270">
        <f>HYPERLINK("https://klasma.github.io/Logging_1764/artfynd/A 54073-2021 artfynd.xlsx", "A 54073-2021")</f>
        <v/>
      </c>
      <c r="T270">
        <f>HYPERLINK("https://klasma.github.io/Logging_1764/kartor/A 54073-2021 karta.png", "A 54073-2021")</f>
        <v/>
      </c>
      <c r="V270">
        <f>HYPERLINK("https://klasma.github.io/Logging_1764/klagomål/A 54073-2021 FSC-klagomål.docx", "A 54073-2021")</f>
        <v/>
      </c>
      <c r="W270">
        <f>HYPERLINK("https://klasma.github.io/Logging_1764/klagomålsmail/A 54073-2021 FSC-klagomål mail.docx", "A 54073-2021")</f>
        <v/>
      </c>
      <c r="X270">
        <f>HYPERLINK("https://klasma.github.io/Logging_1764/tillsyn/A 54073-2021 tillsynsbegäran.docx", "A 54073-2021")</f>
        <v/>
      </c>
      <c r="Y270">
        <f>HYPERLINK("https://klasma.github.io/Logging_1764/tillsynsmail/A 54073-2021 tillsynsbegäran mail.docx", "A 54073-2021")</f>
        <v/>
      </c>
      <c r="Z270">
        <f>HYPERLINK("https://klasma.github.io/Logging_1764/fåglar/A 54073-2021 prioriterade fågelarter.docx", "A 54073-2021")</f>
        <v/>
      </c>
    </row>
    <row r="271" ht="15" customHeight="1">
      <c r="A271" t="inlineStr">
        <is>
          <t>A 54323-2021</t>
        </is>
      </c>
      <c r="B271" s="1" t="n">
        <v>44472</v>
      </c>
      <c r="C271" s="1" t="n">
        <v>45810</v>
      </c>
      <c r="D271" t="inlineStr">
        <is>
          <t>VÄRMLANDS LÄN</t>
        </is>
      </c>
      <c r="E271" t="inlineStr">
        <is>
          <t>ARVIKA</t>
        </is>
      </c>
      <c r="G271" t="n">
        <v>26.7</v>
      </c>
      <c r="H271" t="n">
        <v>0</v>
      </c>
      <c r="I271" t="n">
        <v>0</v>
      </c>
      <c r="J271" t="n">
        <v>2</v>
      </c>
      <c r="K271" t="n">
        <v>0</v>
      </c>
      <c r="L271" t="n">
        <v>0</v>
      </c>
      <c r="M271" t="n">
        <v>0</v>
      </c>
      <c r="N271" t="n">
        <v>0</v>
      </c>
      <c r="O271" t="n">
        <v>2</v>
      </c>
      <c r="P271" t="n">
        <v>0</v>
      </c>
      <c r="Q271" t="n">
        <v>2</v>
      </c>
      <c r="R271" s="2" t="inlineStr">
        <is>
          <t>Tallticka
Vedskivlav</t>
        </is>
      </c>
      <c r="S271">
        <f>HYPERLINK("https://klasma.github.io/Logging_1784/artfynd/A 54323-2021 artfynd.xlsx", "A 54323-2021")</f>
        <v/>
      </c>
      <c r="T271">
        <f>HYPERLINK("https://klasma.github.io/Logging_1784/kartor/A 54323-2021 karta.png", "A 54323-2021")</f>
        <v/>
      </c>
      <c r="V271">
        <f>HYPERLINK("https://klasma.github.io/Logging_1784/klagomål/A 54323-2021 FSC-klagomål.docx", "A 54323-2021")</f>
        <v/>
      </c>
      <c r="W271">
        <f>HYPERLINK("https://klasma.github.io/Logging_1784/klagomålsmail/A 54323-2021 FSC-klagomål mail.docx", "A 54323-2021")</f>
        <v/>
      </c>
      <c r="X271">
        <f>HYPERLINK("https://klasma.github.io/Logging_1784/tillsyn/A 54323-2021 tillsynsbegäran.docx", "A 54323-2021")</f>
        <v/>
      </c>
      <c r="Y271">
        <f>HYPERLINK("https://klasma.github.io/Logging_1784/tillsynsmail/A 54323-2021 tillsynsbegäran mail.docx", "A 54323-2021")</f>
        <v/>
      </c>
    </row>
    <row r="272" ht="15" customHeight="1">
      <c r="A272" t="inlineStr">
        <is>
          <t>A 55210-2021</t>
        </is>
      </c>
      <c r="B272" s="1" t="n">
        <v>44475</v>
      </c>
      <c r="C272" s="1" t="n">
        <v>45810</v>
      </c>
      <c r="D272" t="inlineStr">
        <is>
          <t>VÄRMLANDS LÄN</t>
        </is>
      </c>
      <c r="E272" t="inlineStr">
        <is>
          <t>KARLSTAD</t>
        </is>
      </c>
      <c r="F272" t="inlineStr">
        <is>
          <t>Kommuner</t>
        </is>
      </c>
      <c r="G272" t="n">
        <v>3.9</v>
      </c>
      <c r="H272" t="n">
        <v>1</v>
      </c>
      <c r="I272" t="n">
        <v>0</v>
      </c>
      <c r="J272" t="n">
        <v>2</v>
      </c>
      <c r="K272" t="n">
        <v>0</v>
      </c>
      <c r="L272" t="n">
        <v>0</v>
      </c>
      <c r="M272" t="n">
        <v>0</v>
      </c>
      <c r="N272" t="n">
        <v>0</v>
      </c>
      <c r="O272" t="n">
        <v>2</v>
      </c>
      <c r="P272" t="n">
        <v>0</v>
      </c>
      <c r="Q272" t="n">
        <v>2</v>
      </c>
      <c r="R272" s="2" t="inlineStr">
        <is>
          <t>Spillkråka
Tallticka</t>
        </is>
      </c>
      <c r="S272">
        <f>HYPERLINK("https://klasma.github.io/Logging_1780/artfynd/A 55210-2021 artfynd.xlsx", "A 55210-2021")</f>
        <v/>
      </c>
      <c r="T272">
        <f>HYPERLINK("https://klasma.github.io/Logging_1780/kartor/A 55210-2021 karta.png", "A 55210-2021")</f>
        <v/>
      </c>
      <c r="V272">
        <f>HYPERLINK("https://klasma.github.io/Logging_1780/klagomål/A 55210-2021 FSC-klagomål.docx", "A 55210-2021")</f>
        <v/>
      </c>
      <c r="W272">
        <f>HYPERLINK("https://klasma.github.io/Logging_1780/klagomålsmail/A 55210-2021 FSC-klagomål mail.docx", "A 55210-2021")</f>
        <v/>
      </c>
      <c r="X272">
        <f>HYPERLINK("https://klasma.github.io/Logging_1780/tillsyn/A 55210-2021 tillsynsbegäran.docx", "A 55210-2021")</f>
        <v/>
      </c>
      <c r="Y272">
        <f>HYPERLINK("https://klasma.github.io/Logging_1780/tillsynsmail/A 55210-2021 tillsynsbegäran mail.docx", "A 55210-2021")</f>
        <v/>
      </c>
      <c r="Z272">
        <f>HYPERLINK("https://klasma.github.io/Logging_1780/fåglar/A 55210-2021 prioriterade fågelarter.docx", "A 55210-2021")</f>
        <v/>
      </c>
    </row>
    <row r="273" ht="15" customHeight="1">
      <c r="A273" t="inlineStr">
        <is>
          <t>A 65319-2021</t>
        </is>
      </c>
      <c r="B273" s="1" t="n">
        <v>44515</v>
      </c>
      <c r="C273" s="1" t="n">
        <v>45810</v>
      </c>
      <c r="D273" t="inlineStr">
        <is>
          <t>VÄRMLANDS LÄN</t>
        </is>
      </c>
      <c r="E273" t="inlineStr">
        <is>
          <t>ÅRJÄNG</t>
        </is>
      </c>
      <c r="G273" t="n">
        <v>4.9</v>
      </c>
      <c r="H273" t="n">
        <v>0</v>
      </c>
      <c r="I273" t="n">
        <v>0</v>
      </c>
      <c r="J273" t="n">
        <v>2</v>
      </c>
      <c r="K273" t="n">
        <v>0</v>
      </c>
      <c r="L273" t="n">
        <v>0</v>
      </c>
      <c r="M273" t="n">
        <v>0</v>
      </c>
      <c r="N273" t="n">
        <v>0</v>
      </c>
      <c r="O273" t="n">
        <v>2</v>
      </c>
      <c r="P273" t="n">
        <v>0</v>
      </c>
      <c r="Q273" t="n">
        <v>2</v>
      </c>
      <c r="R273" s="2" t="inlineStr">
        <is>
          <t>Garnlav
Lunglav</t>
        </is>
      </c>
      <c r="S273">
        <f>HYPERLINK("https://klasma.github.io/Logging_1765/artfynd/A 65319-2021 artfynd.xlsx", "A 65319-2021")</f>
        <v/>
      </c>
      <c r="T273">
        <f>HYPERLINK("https://klasma.github.io/Logging_1765/kartor/A 65319-2021 karta.png", "A 65319-2021")</f>
        <v/>
      </c>
      <c r="U273">
        <f>HYPERLINK("https://klasma.github.io/Logging_1765/knärot/A 65319-2021 karta knärot.png", "A 65319-2021")</f>
        <v/>
      </c>
      <c r="V273">
        <f>HYPERLINK("https://klasma.github.io/Logging_1765/klagomål/A 65319-2021 FSC-klagomål.docx", "A 65319-2021")</f>
        <v/>
      </c>
      <c r="W273">
        <f>HYPERLINK("https://klasma.github.io/Logging_1765/klagomålsmail/A 65319-2021 FSC-klagomål mail.docx", "A 65319-2021")</f>
        <v/>
      </c>
      <c r="X273">
        <f>HYPERLINK("https://klasma.github.io/Logging_1765/tillsyn/A 65319-2021 tillsynsbegäran.docx", "A 65319-2021")</f>
        <v/>
      </c>
      <c r="Y273">
        <f>HYPERLINK("https://klasma.github.io/Logging_1765/tillsynsmail/A 65319-2021 tillsynsbegäran mail.docx", "A 65319-2021")</f>
        <v/>
      </c>
    </row>
    <row r="274" ht="15" customHeight="1">
      <c r="A274" t="inlineStr">
        <is>
          <t>A 66072-2021</t>
        </is>
      </c>
      <c r="B274" s="1" t="n">
        <v>44517</v>
      </c>
      <c r="C274" s="1" t="n">
        <v>45810</v>
      </c>
      <c r="D274" t="inlineStr">
        <is>
          <t>VÄRMLANDS LÄN</t>
        </is>
      </c>
      <c r="E274" t="inlineStr">
        <is>
          <t>FORSHAGA</t>
        </is>
      </c>
      <c r="F274" t="inlineStr">
        <is>
          <t>Bergvik skog väst AB</t>
        </is>
      </c>
      <c r="G274" t="n">
        <v>2</v>
      </c>
      <c r="H274" t="n">
        <v>1</v>
      </c>
      <c r="I274" t="n">
        <v>1</v>
      </c>
      <c r="J274" t="n">
        <v>0</v>
      </c>
      <c r="K274" t="n">
        <v>0</v>
      </c>
      <c r="L274" t="n">
        <v>0</v>
      </c>
      <c r="M274" t="n">
        <v>0</v>
      </c>
      <c r="N274" t="n">
        <v>0</v>
      </c>
      <c r="O274" t="n">
        <v>0</v>
      </c>
      <c r="P274" t="n">
        <v>0</v>
      </c>
      <c r="Q274" t="n">
        <v>2</v>
      </c>
      <c r="R274" s="2" t="inlineStr">
        <is>
          <t>Svart trolldruva
Blåsippa</t>
        </is>
      </c>
      <c r="S274">
        <f>HYPERLINK("https://klasma.github.io/Logging_1763/artfynd/A 66072-2021 artfynd.xlsx", "A 66072-2021")</f>
        <v/>
      </c>
      <c r="T274">
        <f>HYPERLINK("https://klasma.github.io/Logging_1763/kartor/A 66072-2021 karta.png", "A 66072-2021")</f>
        <v/>
      </c>
      <c r="V274">
        <f>HYPERLINK("https://klasma.github.io/Logging_1763/klagomål/A 66072-2021 FSC-klagomål.docx", "A 66072-2021")</f>
        <v/>
      </c>
      <c r="W274">
        <f>HYPERLINK("https://klasma.github.io/Logging_1763/klagomålsmail/A 66072-2021 FSC-klagomål mail.docx", "A 66072-2021")</f>
        <v/>
      </c>
      <c r="X274">
        <f>HYPERLINK("https://klasma.github.io/Logging_1763/tillsyn/A 66072-2021 tillsynsbegäran.docx", "A 66072-2021")</f>
        <v/>
      </c>
      <c r="Y274">
        <f>HYPERLINK("https://klasma.github.io/Logging_1763/tillsynsmail/A 66072-2021 tillsynsbegäran mail.docx", "A 66072-2021")</f>
        <v/>
      </c>
    </row>
    <row r="275" ht="15" customHeight="1">
      <c r="A275" t="inlineStr">
        <is>
          <t>A 66652-2021</t>
        </is>
      </c>
      <c r="B275" s="1" t="n">
        <v>44519</v>
      </c>
      <c r="C275" s="1" t="n">
        <v>45810</v>
      </c>
      <c r="D275" t="inlineStr">
        <is>
          <t>VÄRMLANDS LÄN</t>
        </is>
      </c>
      <c r="E275" t="inlineStr">
        <is>
          <t>ARVIKA</t>
        </is>
      </c>
      <c r="G275" t="n">
        <v>12.3</v>
      </c>
      <c r="H275" t="n">
        <v>0</v>
      </c>
      <c r="I275" t="n">
        <v>1</v>
      </c>
      <c r="J275" t="n">
        <v>1</v>
      </c>
      <c r="K275" t="n">
        <v>0</v>
      </c>
      <c r="L275" t="n">
        <v>0</v>
      </c>
      <c r="M275" t="n">
        <v>0</v>
      </c>
      <c r="N275" t="n">
        <v>0</v>
      </c>
      <c r="O275" t="n">
        <v>1</v>
      </c>
      <c r="P275" t="n">
        <v>0</v>
      </c>
      <c r="Q275" t="n">
        <v>2</v>
      </c>
      <c r="R275" s="2" t="inlineStr">
        <is>
          <t>Garnlav
Korallblylav</t>
        </is>
      </c>
      <c r="S275">
        <f>HYPERLINK("https://klasma.github.io/Logging_1784/artfynd/A 66652-2021 artfynd.xlsx", "A 66652-2021")</f>
        <v/>
      </c>
      <c r="T275">
        <f>HYPERLINK("https://klasma.github.io/Logging_1784/kartor/A 66652-2021 karta.png", "A 66652-2021")</f>
        <v/>
      </c>
      <c r="V275">
        <f>HYPERLINK("https://klasma.github.io/Logging_1784/klagomål/A 66652-2021 FSC-klagomål.docx", "A 66652-2021")</f>
        <v/>
      </c>
      <c r="W275">
        <f>HYPERLINK("https://klasma.github.io/Logging_1784/klagomålsmail/A 66652-2021 FSC-klagomål mail.docx", "A 66652-2021")</f>
        <v/>
      </c>
      <c r="X275">
        <f>HYPERLINK("https://klasma.github.io/Logging_1784/tillsyn/A 66652-2021 tillsynsbegäran.docx", "A 66652-2021")</f>
        <v/>
      </c>
      <c r="Y275">
        <f>HYPERLINK("https://klasma.github.io/Logging_1784/tillsynsmail/A 66652-2021 tillsynsbegäran mail.docx", "A 66652-2021")</f>
        <v/>
      </c>
    </row>
    <row r="276" ht="15" customHeight="1">
      <c r="A276" t="inlineStr">
        <is>
          <t>A 69928-2021</t>
        </is>
      </c>
      <c r="B276" s="1" t="n">
        <v>44533</v>
      </c>
      <c r="C276" s="1" t="n">
        <v>45810</v>
      </c>
      <c r="D276" t="inlineStr">
        <is>
          <t>VÄRMLANDS LÄN</t>
        </is>
      </c>
      <c r="E276" t="inlineStr">
        <is>
          <t>ARVIKA</t>
        </is>
      </c>
      <c r="G276" t="n">
        <v>1.9</v>
      </c>
      <c r="H276" t="n">
        <v>0</v>
      </c>
      <c r="I276" t="n">
        <v>1</v>
      </c>
      <c r="J276" t="n">
        <v>1</v>
      </c>
      <c r="K276" t="n">
        <v>0</v>
      </c>
      <c r="L276" t="n">
        <v>0</v>
      </c>
      <c r="M276" t="n">
        <v>0</v>
      </c>
      <c r="N276" t="n">
        <v>0</v>
      </c>
      <c r="O276" t="n">
        <v>1</v>
      </c>
      <c r="P276" t="n">
        <v>0</v>
      </c>
      <c r="Q276" t="n">
        <v>2</v>
      </c>
      <c r="R276" s="2" t="inlineStr">
        <is>
          <t>Orange taggsvamp
Rödgul trumpetsvamp</t>
        </is>
      </c>
      <c r="S276">
        <f>HYPERLINK("https://klasma.github.io/Logging_1784/artfynd/A 69928-2021 artfynd.xlsx", "A 69928-2021")</f>
        <v/>
      </c>
      <c r="T276">
        <f>HYPERLINK("https://klasma.github.io/Logging_1784/kartor/A 69928-2021 karta.png", "A 69928-2021")</f>
        <v/>
      </c>
      <c r="V276">
        <f>HYPERLINK("https://klasma.github.io/Logging_1784/klagomål/A 69928-2021 FSC-klagomål.docx", "A 69928-2021")</f>
        <v/>
      </c>
      <c r="W276">
        <f>HYPERLINK("https://klasma.github.io/Logging_1784/klagomålsmail/A 69928-2021 FSC-klagomål mail.docx", "A 69928-2021")</f>
        <v/>
      </c>
      <c r="X276">
        <f>HYPERLINK("https://klasma.github.io/Logging_1784/tillsyn/A 69928-2021 tillsynsbegäran.docx", "A 69928-2021")</f>
        <v/>
      </c>
      <c r="Y276">
        <f>HYPERLINK("https://klasma.github.io/Logging_1784/tillsynsmail/A 69928-2021 tillsynsbegäran mail.docx", "A 69928-2021")</f>
        <v/>
      </c>
    </row>
    <row r="277" ht="15" customHeight="1">
      <c r="A277" t="inlineStr">
        <is>
          <t>A 72989-2021</t>
        </is>
      </c>
      <c r="B277" s="1" t="n">
        <v>44549</v>
      </c>
      <c r="C277" s="1" t="n">
        <v>45810</v>
      </c>
      <c r="D277" t="inlineStr">
        <is>
          <t>VÄRMLANDS LÄN</t>
        </is>
      </c>
      <c r="E277" t="inlineStr">
        <is>
          <t>FORSHAGA</t>
        </is>
      </c>
      <c r="G277" t="n">
        <v>3.3</v>
      </c>
      <c r="H277" t="n">
        <v>2</v>
      </c>
      <c r="I277" t="n">
        <v>0</v>
      </c>
      <c r="J277" t="n">
        <v>1</v>
      </c>
      <c r="K277" t="n">
        <v>1</v>
      </c>
      <c r="L277" t="n">
        <v>0</v>
      </c>
      <c r="M277" t="n">
        <v>0</v>
      </c>
      <c r="N277" t="n">
        <v>0</v>
      </c>
      <c r="O277" t="n">
        <v>2</v>
      </c>
      <c r="P277" t="n">
        <v>1</v>
      </c>
      <c r="Q277" t="n">
        <v>2</v>
      </c>
      <c r="R277" s="2" t="inlineStr">
        <is>
          <t>Kungsfiskare
Mindre hackspett</t>
        </is>
      </c>
      <c r="S277">
        <f>HYPERLINK("https://klasma.github.io/Logging_1763/artfynd/A 72989-2021 artfynd.xlsx", "A 72989-2021")</f>
        <v/>
      </c>
      <c r="T277">
        <f>HYPERLINK("https://klasma.github.io/Logging_1763/kartor/A 72989-2021 karta.png", "A 72989-2021")</f>
        <v/>
      </c>
      <c r="V277">
        <f>HYPERLINK("https://klasma.github.io/Logging_1763/klagomål/A 72989-2021 FSC-klagomål.docx", "A 72989-2021")</f>
        <v/>
      </c>
      <c r="W277">
        <f>HYPERLINK("https://klasma.github.io/Logging_1763/klagomålsmail/A 72989-2021 FSC-klagomål mail.docx", "A 72989-2021")</f>
        <v/>
      </c>
      <c r="X277">
        <f>HYPERLINK("https://klasma.github.io/Logging_1763/tillsyn/A 72989-2021 tillsynsbegäran.docx", "A 72989-2021")</f>
        <v/>
      </c>
      <c r="Y277">
        <f>HYPERLINK("https://klasma.github.io/Logging_1763/tillsynsmail/A 72989-2021 tillsynsbegäran mail.docx", "A 72989-2021")</f>
        <v/>
      </c>
      <c r="Z277">
        <f>HYPERLINK("https://klasma.github.io/Logging_1763/fåglar/A 72989-2021 prioriterade fågelarter.docx", "A 72989-2021")</f>
        <v/>
      </c>
    </row>
    <row r="278" ht="15" customHeight="1">
      <c r="A278" t="inlineStr">
        <is>
          <t>A 206-2022</t>
        </is>
      </c>
      <c r="B278" s="1" t="n">
        <v>44564</v>
      </c>
      <c r="C278" s="1" t="n">
        <v>45810</v>
      </c>
      <c r="D278" t="inlineStr">
        <is>
          <t>VÄRMLANDS LÄN</t>
        </is>
      </c>
      <c r="E278" t="inlineStr">
        <is>
          <t>SUNNE</t>
        </is>
      </c>
      <c r="G278" t="n">
        <v>11</v>
      </c>
      <c r="H278" t="n">
        <v>2</v>
      </c>
      <c r="I278" t="n">
        <v>0</v>
      </c>
      <c r="J278" t="n">
        <v>0</v>
      </c>
      <c r="K278" t="n">
        <v>0</v>
      </c>
      <c r="L278" t="n">
        <v>0</v>
      </c>
      <c r="M278" t="n">
        <v>0</v>
      </c>
      <c r="N278" t="n">
        <v>0</v>
      </c>
      <c r="O278" t="n">
        <v>0</v>
      </c>
      <c r="P278" t="n">
        <v>0</v>
      </c>
      <c r="Q278" t="n">
        <v>2</v>
      </c>
      <c r="R278" s="2" t="inlineStr">
        <is>
          <t>Kungsfågel
Sparvuggla</t>
        </is>
      </c>
      <c r="S278">
        <f>HYPERLINK("https://klasma.github.io/Logging_1766/artfynd/A 206-2022 artfynd.xlsx", "A 206-2022")</f>
        <v/>
      </c>
      <c r="T278">
        <f>HYPERLINK("https://klasma.github.io/Logging_1766/kartor/A 206-2022 karta.png", "A 206-2022")</f>
        <v/>
      </c>
      <c r="V278">
        <f>HYPERLINK("https://klasma.github.io/Logging_1766/klagomål/A 206-2022 FSC-klagomål.docx", "A 206-2022")</f>
        <v/>
      </c>
      <c r="W278">
        <f>HYPERLINK("https://klasma.github.io/Logging_1766/klagomålsmail/A 206-2022 FSC-klagomål mail.docx", "A 206-2022")</f>
        <v/>
      </c>
      <c r="X278">
        <f>HYPERLINK("https://klasma.github.io/Logging_1766/tillsyn/A 206-2022 tillsynsbegäran.docx", "A 206-2022")</f>
        <v/>
      </c>
      <c r="Y278">
        <f>HYPERLINK("https://klasma.github.io/Logging_1766/tillsynsmail/A 206-2022 tillsynsbegäran mail.docx", "A 206-2022")</f>
        <v/>
      </c>
      <c r="Z278">
        <f>HYPERLINK("https://klasma.github.io/Logging_1766/fåglar/A 206-2022 prioriterade fågelarter.docx", "A 206-2022")</f>
        <v/>
      </c>
    </row>
    <row r="279" ht="15" customHeight="1">
      <c r="A279" t="inlineStr">
        <is>
          <t>A 573-2022</t>
        </is>
      </c>
      <c r="B279" s="1" t="n">
        <v>44566</v>
      </c>
      <c r="C279" s="1" t="n">
        <v>45810</v>
      </c>
      <c r="D279" t="inlineStr">
        <is>
          <t>VÄRMLANDS LÄN</t>
        </is>
      </c>
      <c r="E279" t="inlineStr">
        <is>
          <t>SUNNE</t>
        </is>
      </c>
      <c r="G279" t="n">
        <v>7.1</v>
      </c>
      <c r="H279" t="n">
        <v>1</v>
      </c>
      <c r="I279" t="n">
        <v>2</v>
      </c>
      <c r="J279" t="n">
        <v>0</v>
      </c>
      <c r="K279" t="n">
        <v>0</v>
      </c>
      <c r="L279" t="n">
        <v>0</v>
      </c>
      <c r="M279" t="n">
        <v>0</v>
      </c>
      <c r="N279" t="n">
        <v>0</v>
      </c>
      <c r="O279" t="n">
        <v>0</v>
      </c>
      <c r="P279" t="n">
        <v>0</v>
      </c>
      <c r="Q279" t="n">
        <v>2</v>
      </c>
      <c r="R279" s="2" t="inlineStr">
        <is>
          <t>Grön sköldmossa
Stubbspretmossa</t>
        </is>
      </c>
      <c r="S279">
        <f>HYPERLINK("https://klasma.github.io/Logging_1766/artfynd/A 573-2022 artfynd.xlsx", "A 573-2022")</f>
        <v/>
      </c>
      <c r="T279">
        <f>HYPERLINK("https://klasma.github.io/Logging_1766/kartor/A 573-2022 karta.png", "A 573-2022")</f>
        <v/>
      </c>
      <c r="V279">
        <f>HYPERLINK("https://klasma.github.io/Logging_1766/klagomål/A 573-2022 FSC-klagomål.docx", "A 573-2022")</f>
        <v/>
      </c>
      <c r="W279">
        <f>HYPERLINK("https://klasma.github.io/Logging_1766/klagomålsmail/A 573-2022 FSC-klagomål mail.docx", "A 573-2022")</f>
        <v/>
      </c>
      <c r="X279">
        <f>HYPERLINK("https://klasma.github.io/Logging_1766/tillsyn/A 573-2022 tillsynsbegäran.docx", "A 573-2022")</f>
        <v/>
      </c>
      <c r="Y279">
        <f>HYPERLINK("https://klasma.github.io/Logging_1766/tillsynsmail/A 573-2022 tillsynsbegäran mail.docx", "A 573-2022")</f>
        <v/>
      </c>
    </row>
    <row r="280" ht="15" customHeight="1">
      <c r="A280" t="inlineStr">
        <is>
          <t>A 656-2022</t>
        </is>
      </c>
      <c r="B280" s="1" t="n">
        <v>44566</v>
      </c>
      <c r="C280" s="1" t="n">
        <v>45810</v>
      </c>
      <c r="D280" t="inlineStr">
        <is>
          <t>VÄRMLANDS LÄN</t>
        </is>
      </c>
      <c r="E280" t="inlineStr">
        <is>
          <t>HAGFORS</t>
        </is>
      </c>
      <c r="G280" t="n">
        <v>35.1</v>
      </c>
      <c r="H280" t="n">
        <v>0</v>
      </c>
      <c r="I280" t="n">
        <v>0</v>
      </c>
      <c r="J280" t="n">
        <v>2</v>
      </c>
      <c r="K280" t="n">
        <v>0</v>
      </c>
      <c r="L280" t="n">
        <v>0</v>
      </c>
      <c r="M280" t="n">
        <v>0</v>
      </c>
      <c r="N280" t="n">
        <v>0</v>
      </c>
      <c r="O280" t="n">
        <v>2</v>
      </c>
      <c r="P280" t="n">
        <v>0</v>
      </c>
      <c r="Q280" t="n">
        <v>2</v>
      </c>
      <c r="R280" s="2" t="inlineStr">
        <is>
          <t>Dvärgbägarlav
Vedskivlav</t>
        </is>
      </c>
      <c r="S280">
        <f>HYPERLINK("https://klasma.github.io/Logging_1783/artfynd/A 656-2022 artfynd.xlsx", "A 656-2022")</f>
        <v/>
      </c>
      <c r="T280">
        <f>HYPERLINK("https://klasma.github.io/Logging_1783/kartor/A 656-2022 karta.png", "A 656-2022")</f>
        <v/>
      </c>
      <c r="V280">
        <f>HYPERLINK("https://klasma.github.io/Logging_1783/klagomål/A 656-2022 FSC-klagomål.docx", "A 656-2022")</f>
        <v/>
      </c>
      <c r="W280">
        <f>HYPERLINK("https://klasma.github.io/Logging_1783/klagomålsmail/A 656-2022 FSC-klagomål mail.docx", "A 656-2022")</f>
        <v/>
      </c>
      <c r="X280">
        <f>HYPERLINK("https://klasma.github.io/Logging_1783/tillsyn/A 656-2022 tillsynsbegäran.docx", "A 656-2022")</f>
        <v/>
      </c>
      <c r="Y280">
        <f>HYPERLINK("https://klasma.github.io/Logging_1783/tillsynsmail/A 656-2022 tillsynsbegäran mail.docx", "A 656-2022")</f>
        <v/>
      </c>
    </row>
    <row r="281" ht="15" customHeight="1">
      <c r="A281" t="inlineStr">
        <is>
          <t>A 3340-2022</t>
        </is>
      </c>
      <c r="B281" s="1" t="n">
        <v>44585</v>
      </c>
      <c r="C281" s="1" t="n">
        <v>45810</v>
      </c>
      <c r="D281" t="inlineStr">
        <is>
          <t>VÄRMLANDS LÄN</t>
        </is>
      </c>
      <c r="E281" t="inlineStr">
        <is>
          <t>ARVIKA</t>
        </is>
      </c>
      <c r="G281" t="n">
        <v>5</v>
      </c>
      <c r="H281" t="n">
        <v>0</v>
      </c>
      <c r="I281" t="n">
        <v>2</v>
      </c>
      <c r="J281" t="n">
        <v>0</v>
      </c>
      <c r="K281" t="n">
        <v>0</v>
      </c>
      <c r="L281" t="n">
        <v>0</v>
      </c>
      <c r="M281" t="n">
        <v>0</v>
      </c>
      <c r="N281" t="n">
        <v>0</v>
      </c>
      <c r="O281" t="n">
        <v>0</v>
      </c>
      <c r="P281" t="n">
        <v>0</v>
      </c>
      <c r="Q281" t="n">
        <v>2</v>
      </c>
      <c r="R281" s="2" t="inlineStr">
        <is>
          <t>Skinnlav
Stor aspticka</t>
        </is>
      </c>
      <c r="S281">
        <f>HYPERLINK("https://klasma.github.io/Logging_1784/artfynd/A 3340-2022 artfynd.xlsx", "A 3340-2022")</f>
        <v/>
      </c>
      <c r="T281">
        <f>HYPERLINK("https://klasma.github.io/Logging_1784/kartor/A 3340-2022 karta.png", "A 3340-2022")</f>
        <v/>
      </c>
      <c r="V281">
        <f>HYPERLINK("https://klasma.github.io/Logging_1784/klagomål/A 3340-2022 FSC-klagomål.docx", "A 3340-2022")</f>
        <v/>
      </c>
      <c r="W281">
        <f>HYPERLINK("https://klasma.github.io/Logging_1784/klagomålsmail/A 3340-2022 FSC-klagomål mail.docx", "A 3340-2022")</f>
        <v/>
      </c>
      <c r="X281">
        <f>HYPERLINK("https://klasma.github.io/Logging_1784/tillsyn/A 3340-2022 tillsynsbegäran.docx", "A 3340-2022")</f>
        <v/>
      </c>
      <c r="Y281">
        <f>HYPERLINK("https://klasma.github.io/Logging_1784/tillsynsmail/A 3340-2022 tillsynsbegäran mail.docx", "A 3340-2022")</f>
        <v/>
      </c>
    </row>
    <row r="282" ht="15" customHeight="1">
      <c r="A282" t="inlineStr">
        <is>
          <t>A 12375-2022</t>
        </is>
      </c>
      <c r="B282" s="1" t="n">
        <v>44637</v>
      </c>
      <c r="C282" s="1" t="n">
        <v>45810</v>
      </c>
      <c r="D282" t="inlineStr">
        <is>
          <t>VÄRMLANDS LÄN</t>
        </is>
      </c>
      <c r="E282" t="inlineStr">
        <is>
          <t>TORSBY</t>
        </is>
      </c>
      <c r="G282" t="n">
        <v>5.8</v>
      </c>
      <c r="H282" t="n">
        <v>0</v>
      </c>
      <c r="I282" t="n">
        <v>1</v>
      </c>
      <c r="J282" t="n">
        <v>1</v>
      </c>
      <c r="K282" t="n">
        <v>0</v>
      </c>
      <c r="L282" t="n">
        <v>0</v>
      </c>
      <c r="M282" t="n">
        <v>0</v>
      </c>
      <c r="N282" t="n">
        <v>0</v>
      </c>
      <c r="O282" t="n">
        <v>1</v>
      </c>
      <c r="P282" t="n">
        <v>0</v>
      </c>
      <c r="Q282" t="n">
        <v>2</v>
      </c>
      <c r="R282" s="2" t="inlineStr">
        <is>
          <t>Garnlav
Nästlav</t>
        </is>
      </c>
      <c r="S282">
        <f>HYPERLINK("https://klasma.github.io/Logging_1737/artfynd/A 12375-2022 artfynd.xlsx", "A 12375-2022")</f>
        <v/>
      </c>
      <c r="T282">
        <f>HYPERLINK("https://klasma.github.io/Logging_1737/kartor/A 12375-2022 karta.png", "A 12375-2022")</f>
        <v/>
      </c>
      <c r="V282">
        <f>HYPERLINK("https://klasma.github.io/Logging_1737/klagomål/A 12375-2022 FSC-klagomål.docx", "A 12375-2022")</f>
        <v/>
      </c>
      <c r="W282">
        <f>HYPERLINK("https://klasma.github.io/Logging_1737/klagomålsmail/A 12375-2022 FSC-klagomål mail.docx", "A 12375-2022")</f>
        <v/>
      </c>
      <c r="X282">
        <f>HYPERLINK("https://klasma.github.io/Logging_1737/tillsyn/A 12375-2022 tillsynsbegäran.docx", "A 12375-2022")</f>
        <v/>
      </c>
      <c r="Y282">
        <f>HYPERLINK("https://klasma.github.io/Logging_1737/tillsynsmail/A 12375-2022 tillsynsbegäran mail.docx", "A 12375-2022")</f>
        <v/>
      </c>
    </row>
    <row r="283" ht="15" customHeight="1">
      <c r="A283" t="inlineStr">
        <is>
          <t>A 12372-2022</t>
        </is>
      </c>
      <c r="B283" s="1" t="n">
        <v>44637</v>
      </c>
      <c r="C283" s="1" t="n">
        <v>45810</v>
      </c>
      <c r="D283" t="inlineStr">
        <is>
          <t>VÄRMLANDS LÄN</t>
        </is>
      </c>
      <c r="E283" t="inlineStr">
        <is>
          <t>TORSBY</t>
        </is>
      </c>
      <c r="G283" t="n">
        <v>3.4</v>
      </c>
      <c r="H283" t="n">
        <v>0</v>
      </c>
      <c r="I283" t="n">
        <v>0</v>
      </c>
      <c r="J283" t="n">
        <v>2</v>
      </c>
      <c r="K283" t="n">
        <v>0</v>
      </c>
      <c r="L283" t="n">
        <v>0</v>
      </c>
      <c r="M283" t="n">
        <v>0</v>
      </c>
      <c r="N283" t="n">
        <v>0</v>
      </c>
      <c r="O283" t="n">
        <v>2</v>
      </c>
      <c r="P283" t="n">
        <v>0</v>
      </c>
      <c r="Q283" t="n">
        <v>2</v>
      </c>
      <c r="R283" s="2" t="inlineStr">
        <is>
          <t>Gammelgransskål
Garnlav</t>
        </is>
      </c>
      <c r="S283">
        <f>HYPERLINK("https://klasma.github.io/Logging_1737/artfynd/A 12372-2022 artfynd.xlsx", "A 12372-2022")</f>
        <v/>
      </c>
      <c r="T283">
        <f>HYPERLINK("https://klasma.github.io/Logging_1737/kartor/A 12372-2022 karta.png", "A 12372-2022")</f>
        <v/>
      </c>
      <c r="V283">
        <f>HYPERLINK("https://klasma.github.io/Logging_1737/klagomål/A 12372-2022 FSC-klagomål.docx", "A 12372-2022")</f>
        <v/>
      </c>
      <c r="W283">
        <f>HYPERLINK("https://klasma.github.io/Logging_1737/klagomålsmail/A 12372-2022 FSC-klagomål mail.docx", "A 12372-2022")</f>
        <v/>
      </c>
      <c r="X283">
        <f>HYPERLINK("https://klasma.github.io/Logging_1737/tillsyn/A 12372-2022 tillsynsbegäran.docx", "A 12372-2022")</f>
        <v/>
      </c>
      <c r="Y283">
        <f>HYPERLINK("https://klasma.github.io/Logging_1737/tillsynsmail/A 12372-2022 tillsynsbegäran mail.docx", "A 12372-2022")</f>
        <v/>
      </c>
    </row>
    <row r="284" ht="15" customHeight="1">
      <c r="A284" t="inlineStr">
        <is>
          <t>A 13548-2022</t>
        </is>
      </c>
      <c r="B284" s="1" t="n">
        <v>44648</v>
      </c>
      <c r="C284" s="1" t="n">
        <v>45810</v>
      </c>
      <c r="D284" t="inlineStr">
        <is>
          <t>VÄRMLANDS LÄN</t>
        </is>
      </c>
      <c r="E284" t="inlineStr">
        <is>
          <t>KARLSTAD</t>
        </is>
      </c>
      <c r="F284" t="inlineStr">
        <is>
          <t>Bergvik skog väst AB</t>
        </is>
      </c>
      <c r="G284" t="n">
        <v>15.9</v>
      </c>
      <c r="H284" t="n">
        <v>1</v>
      </c>
      <c r="I284" t="n">
        <v>0</v>
      </c>
      <c r="J284" t="n">
        <v>1</v>
      </c>
      <c r="K284" t="n">
        <v>0</v>
      </c>
      <c r="L284" t="n">
        <v>0</v>
      </c>
      <c r="M284" t="n">
        <v>0</v>
      </c>
      <c r="N284" t="n">
        <v>0</v>
      </c>
      <c r="O284" t="n">
        <v>1</v>
      </c>
      <c r="P284" t="n">
        <v>0</v>
      </c>
      <c r="Q284" t="n">
        <v>2</v>
      </c>
      <c r="R284" s="2" t="inlineStr">
        <is>
          <t>Motaggsvamp
Tjäder</t>
        </is>
      </c>
      <c r="S284">
        <f>HYPERLINK("https://klasma.github.io/Logging_1780/artfynd/A 13548-2022 artfynd.xlsx", "A 13548-2022")</f>
        <v/>
      </c>
      <c r="T284">
        <f>HYPERLINK("https://klasma.github.io/Logging_1780/kartor/A 13548-2022 karta.png", "A 13548-2022")</f>
        <v/>
      </c>
      <c r="V284">
        <f>HYPERLINK("https://klasma.github.io/Logging_1780/klagomål/A 13548-2022 FSC-klagomål.docx", "A 13548-2022")</f>
        <v/>
      </c>
      <c r="W284">
        <f>HYPERLINK("https://klasma.github.io/Logging_1780/klagomålsmail/A 13548-2022 FSC-klagomål mail.docx", "A 13548-2022")</f>
        <v/>
      </c>
      <c r="X284">
        <f>HYPERLINK("https://klasma.github.io/Logging_1780/tillsyn/A 13548-2022 tillsynsbegäran.docx", "A 13548-2022")</f>
        <v/>
      </c>
      <c r="Y284">
        <f>HYPERLINK("https://klasma.github.io/Logging_1780/tillsynsmail/A 13548-2022 tillsynsbegäran mail.docx", "A 13548-2022")</f>
        <v/>
      </c>
      <c r="Z284">
        <f>HYPERLINK("https://klasma.github.io/Logging_1780/fåglar/A 13548-2022 prioriterade fågelarter.docx", "A 13548-2022")</f>
        <v/>
      </c>
    </row>
    <row r="285" ht="15" customHeight="1">
      <c r="A285" t="inlineStr">
        <is>
          <t>A 16766-2022</t>
        </is>
      </c>
      <c r="B285" s="1" t="n">
        <v>44673</v>
      </c>
      <c r="C285" s="1" t="n">
        <v>45810</v>
      </c>
      <c r="D285" t="inlineStr">
        <is>
          <t>VÄRMLANDS LÄN</t>
        </is>
      </c>
      <c r="E285" t="inlineStr">
        <is>
          <t>SÄFFLE</t>
        </is>
      </c>
      <c r="F285" t="inlineStr">
        <is>
          <t>Kyrkan</t>
        </is>
      </c>
      <c r="G285" t="n">
        <v>5.5</v>
      </c>
      <c r="H285" t="n">
        <v>1</v>
      </c>
      <c r="I285" t="n">
        <v>1</v>
      </c>
      <c r="J285" t="n">
        <v>0</v>
      </c>
      <c r="K285" t="n">
        <v>1</v>
      </c>
      <c r="L285" t="n">
        <v>0</v>
      </c>
      <c r="M285" t="n">
        <v>0</v>
      </c>
      <c r="N285" t="n">
        <v>0</v>
      </c>
      <c r="O285" t="n">
        <v>1</v>
      </c>
      <c r="P285" t="n">
        <v>1</v>
      </c>
      <c r="Q285" t="n">
        <v>2</v>
      </c>
      <c r="R285" s="2" t="inlineStr">
        <is>
          <t>Slåttergubbe
Korallrot</t>
        </is>
      </c>
      <c r="S285">
        <f>HYPERLINK("https://klasma.github.io/Logging_1785/artfynd/A 16766-2022 artfynd.xlsx", "A 16766-2022")</f>
        <v/>
      </c>
      <c r="T285">
        <f>HYPERLINK("https://klasma.github.io/Logging_1785/kartor/A 16766-2022 karta.png", "A 16766-2022")</f>
        <v/>
      </c>
      <c r="V285">
        <f>HYPERLINK("https://klasma.github.io/Logging_1785/klagomål/A 16766-2022 FSC-klagomål.docx", "A 16766-2022")</f>
        <v/>
      </c>
      <c r="W285">
        <f>HYPERLINK("https://klasma.github.io/Logging_1785/klagomålsmail/A 16766-2022 FSC-klagomål mail.docx", "A 16766-2022")</f>
        <v/>
      </c>
      <c r="X285">
        <f>HYPERLINK("https://klasma.github.io/Logging_1785/tillsyn/A 16766-2022 tillsynsbegäran.docx", "A 16766-2022")</f>
        <v/>
      </c>
      <c r="Y285">
        <f>HYPERLINK("https://klasma.github.io/Logging_1785/tillsynsmail/A 16766-2022 tillsynsbegäran mail.docx", "A 16766-2022")</f>
        <v/>
      </c>
    </row>
    <row r="286" ht="15" customHeight="1">
      <c r="A286" t="inlineStr">
        <is>
          <t>A 20765-2022</t>
        </is>
      </c>
      <c r="B286" s="1" t="n">
        <v>44701</v>
      </c>
      <c r="C286" s="1" t="n">
        <v>45810</v>
      </c>
      <c r="D286" t="inlineStr">
        <is>
          <t>VÄRMLANDS LÄN</t>
        </is>
      </c>
      <c r="E286" t="inlineStr">
        <is>
          <t>KARLSTAD</t>
        </is>
      </c>
      <c r="F286" t="inlineStr">
        <is>
          <t>Bergvik skog väst AB</t>
        </is>
      </c>
      <c r="G286" t="n">
        <v>3.4</v>
      </c>
      <c r="H286" t="n">
        <v>2</v>
      </c>
      <c r="I286" t="n">
        <v>0</v>
      </c>
      <c r="J286" t="n">
        <v>0</v>
      </c>
      <c r="K286" t="n">
        <v>0</v>
      </c>
      <c r="L286" t="n">
        <v>0</v>
      </c>
      <c r="M286" t="n">
        <v>0</v>
      </c>
      <c r="N286" t="n">
        <v>0</v>
      </c>
      <c r="O286" t="n">
        <v>0</v>
      </c>
      <c r="P286" t="n">
        <v>0</v>
      </c>
      <c r="Q286" t="n">
        <v>2</v>
      </c>
      <c r="R286" s="2" t="inlineStr">
        <is>
          <t>Fläcknycklar
Mattlummer</t>
        </is>
      </c>
      <c r="S286">
        <f>HYPERLINK("https://klasma.github.io/Logging_1780/artfynd/A 20765-2022 artfynd.xlsx", "A 20765-2022")</f>
        <v/>
      </c>
      <c r="T286">
        <f>HYPERLINK("https://klasma.github.io/Logging_1780/kartor/A 20765-2022 karta.png", "A 20765-2022")</f>
        <v/>
      </c>
      <c r="V286">
        <f>HYPERLINK("https://klasma.github.io/Logging_1780/klagomål/A 20765-2022 FSC-klagomål.docx", "A 20765-2022")</f>
        <v/>
      </c>
      <c r="W286">
        <f>HYPERLINK("https://klasma.github.io/Logging_1780/klagomålsmail/A 20765-2022 FSC-klagomål mail.docx", "A 20765-2022")</f>
        <v/>
      </c>
      <c r="X286">
        <f>HYPERLINK("https://klasma.github.io/Logging_1780/tillsyn/A 20765-2022 tillsynsbegäran.docx", "A 20765-2022")</f>
        <v/>
      </c>
      <c r="Y286">
        <f>HYPERLINK("https://klasma.github.io/Logging_1780/tillsynsmail/A 20765-2022 tillsynsbegäran mail.docx", "A 20765-2022")</f>
        <v/>
      </c>
    </row>
    <row r="287" ht="15" customHeight="1">
      <c r="A287" t="inlineStr">
        <is>
          <t>A 22174-2022</t>
        </is>
      </c>
      <c r="B287" s="1" t="n">
        <v>44712</v>
      </c>
      <c r="C287" s="1" t="n">
        <v>45810</v>
      </c>
      <c r="D287" t="inlineStr">
        <is>
          <t>VÄRMLANDS LÄN</t>
        </is>
      </c>
      <c r="E287" t="inlineStr">
        <is>
          <t>TORSBY</t>
        </is>
      </c>
      <c r="G287" t="n">
        <v>11</v>
      </c>
      <c r="H287" t="n">
        <v>1</v>
      </c>
      <c r="I287" t="n">
        <v>1</v>
      </c>
      <c r="J287" t="n">
        <v>0</v>
      </c>
      <c r="K287" t="n">
        <v>0</v>
      </c>
      <c r="L287" t="n">
        <v>0</v>
      </c>
      <c r="M287" t="n">
        <v>0</v>
      </c>
      <c r="N287" t="n">
        <v>0</v>
      </c>
      <c r="O287" t="n">
        <v>0</v>
      </c>
      <c r="P287" t="n">
        <v>0</v>
      </c>
      <c r="Q287" t="n">
        <v>2</v>
      </c>
      <c r="R287" s="2" t="inlineStr">
        <is>
          <t>Svart trolldruva
Revlummer</t>
        </is>
      </c>
      <c r="S287">
        <f>HYPERLINK("https://klasma.github.io/Logging_1737/artfynd/A 22174-2022 artfynd.xlsx", "A 22174-2022")</f>
        <v/>
      </c>
      <c r="T287">
        <f>HYPERLINK("https://klasma.github.io/Logging_1737/kartor/A 22174-2022 karta.png", "A 22174-2022")</f>
        <v/>
      </c>
      <c r="V287">
        <f>HYPERLINK("https://klasma.github.io/Logging_1737/klagomål/A 22174-2022 FSC-klagomål.docx", "A 22174-2022")</f>
        <v/>
      </c>
      <c r="W287">
        <f>HYPERLINK("https://klasma.github.io/Logging_1737/klagomålsmail/A 22174-2022 FSC-klagomål mail.docx", "A 22174-2022")</f>
        <v/>
      </c>
      <c r="X287">
        <f>HYPERLINK("https://klasma.github.io/Logging_1737/tillsyn/A 22174-2022 tillsynsbegäran.docx", "A 22174-2022")</f>
        <v/>
      </c>
      <c r="Y287">
        <f>HYPERLINK("https://klasma.github.io/Logging_1737/tillsynsmail/A 22174-2022 tillsynsbegäran mail.docx", "A 22174-2022")</f>
        <v/>
      </c>
    </row>
    <row r="288" ht="15" customHeight="1">
      <c r="A288" t="inlineStr">
        <is>
          <t>A 28156-2022</t>
        </is>
      </c>
      <c r="B288" s="1" t="n">
        <v>44746</v>
      </c>
      <c r="C288" s="1" t="n">
        <v>45810</v>
      </c>
      <c r="D288" t="inlineStr">
        <is>
          <t>VÄRMLANDS LÄN</t>
        </is>
      </c>
      <c r="E288" t="inlineStr">
        <is>
          <t>TORSBY</t>
        </is>
      </c>
      <c r="F288" t="inlineStr">
        <is>
          <t>Bergvik skog väst AB</t>
        </is>
      </c>
      <c r="G288" t="n">
        <v>8.300000000000001</v>
      </c>
      <c r="H288" t="n">
        <v>0</v>
      </c>
      <c r="I288" t="n">
        <v>0</v>
      </c>
      <c r="J288" t="n">
        <v>1</v>
      </c>
      <c r="K288" t="n">
        <v>1</v>
      </c>
      <c r="L288" t="n">
        <v>0</v>
      </c>
      <c r="M288" t="n">
        <v>0</v>
      </c>
      <c r="N288" t="n">
        <v>0</v>
      </c>
      <c r="O288" t="n">
        <v>2</v>
      </c>
      <c r="P288" t="n">
        <v>1</v>
      </c>
      <c r="Q288" t="n">
        <v>2</v>
      </c>
      <c r="R288" s="2" t="inlineStr">
        <is>
          <t>Raggbock
Tallticka</t>
        </is>
      </c>
      <c r="S288">
        <f>HYPERLINK("https://klasma.github.io/Logging_1737/artfynd/A 28156-2022 artfynd.xlsx", "A 28156-2022")</f>
        <v/>
      </c>
      <c r="T288">
        <f>HYPERLINK("https://klasma.github.io/Logging_1737/kartor/A 28156-2022 karta.png", "A 28156-2022")</f>
        <v/>
      </c>
      <c r="V288">
        <f>HYPERLINK("https://klasma.github.io/Logging_1737/klagomål/A 28156-2022 FSC-klagomål.docx", "A 28156-2022")</f>
        <v/>
      </c>
      <c r="W288">
        <f>HYPERLINK("https://klasma.github.io/Logging_1737/klagomålsmail/A 28156-2022 FSC-klagomål mail.docx", "A 28156-2022")</f>
        <v/>
      </c>
      <c r="X288">
        <f>HYPERLINK("https://klasma.github.io/Logging_1737/tillsyn/A 28156-2022 tillsynsbegäran.docx", "A 28156-2022")</f>
        <v/>
      </c>
      <c r="Y288">
        <f>HYPERLINK("https://klasma.github.io/Logging_1737/tillsynsmail/A 28156-2022 tillsynsbegäran mail.docx", "A 28156-2022")</f>
        <v/>
      </c>
    </row>
    <row r="289" ht="15" customHeight="1">
      <c r="A289" t="inlineStr">
        <is>
          <t>A 31603-2022</t>
        </is>
      </c>
      <c r="B289" s="1" t="n">
        <v>44775</v>
      </c>
      <c r="C289" s="1" t="n">
        <v>45810</v>
      </c>
      <c r="D289" t="inlineStr">
        <is>
          <t>VÄRMLANDS LÄN</t>
        </is>
      </c>
      <c r="E289" t="inlineStr">
        <is>
          <t>SUNNE</t>
        </is>
      </c>
      <c r="G289" t="n">
        <v>4.8</v>
      </c>
      <c r="H289" t="n">
        <v>1</v>
      </c>
      <c r="I289" t="n">
        <v>1</v>
      </c>
      <c r="J289" t="n">
        <v>0</v>
      </c>
      <c r="K289" t="n">
        <v>0</v>
      </c>
      <c r="L289" t="n">
        <v>0</v>
      </c>
      <c r="M289" t="n">
        <v>0</v>
      </c>
      <c r="N289" t="n">
        <v>0</v>
      </c>
      <c r="O289" t="n">
        <v>0</v>
      </c>
      <c r="P289" t="n">
        <v>0</v>
      </c>
      <c r="Q289" t="n">
        <v>2</v>
      </c>
      <c r="R289" s="2" t="inlineStr">
        <is>
          <t>Springkorn
Fläcknycklar</t>
        </is>
      </c>
      <c r="S289">
        <f>HYPERLINK("https://klasma.github.io/Logging_1766/artfynd/A 31603-2022 artfynd.xlsx", "A 31603-2022")</f>
        <v/>
      </c>
      <c r="T289">
        <f>HYPERLINK("https://klasma.github.io/Logging_1766/kartor/A 31603-2022 karta.png", "A 31603-2022")</f>
        <v/>
      </c>
      <c r="V289">
        <f>HYPERLINK("https://klasma.github.io/Logging_1766/klagomål/A 31603-2022 FSC-klagomål.docx", "A 31603-2022")</f>
        <v/>
      </c>
      <c r="W289">
        <f>HYPERLINK("https://klasma.github.io/Logging_1766/klagomålsmail/A 31603-2022 FSC-klagomål mail.docx", "A 31603-2022")</f>
        <v/>
      </c>
      <c r="X289">
        <f>HYPERLINK("https://klasma.github.io/Logging_1766/tillsyn/A 31603-2022 tillsynsbegäran.docx", "A 31603-2022")</f>
        <v/>
      </c>
      <c r="Y289">
        <f>HYPERLINK("https://klasma.github.io/Logging_1766/tillsynsmail/A 31603-2022 tillsynsbegäran mail.docx", "A 31603-2022")</f>
        <v/>
      </c>
    </row>
    <row r="290" ht="15" customHeight="1">
      <c r="A290" t="inlineStr">
        <is>
          <t>A 34930-2022</t>
        </is>
      </c>
      <c r="B290" s="1" t="n">
        <v>44796</v>
      </c>
      <c r="C290" s="1" t="n">
        <v>45810</v>
      </c>
      <c r="D290" t="inlineStr">
        <is>
          <t>VÄRMLANDS LÄN</t>
        </is>
      </c>
      <c r="E290" t="inlineStr">
        <is>
          <t>TORSBY</t>
        </is>
      </c>
      <c r="G290" t="n">
        <v>3.3</v>
      </c>
      <c r="H290" t="n">
        <v>0</v>
      </c>
      <c r="I290" t="n">
        <v>2</v>
      </c>
      <c r="J290" t="n">
        <v>0</v>
      </c>
      <c r="K290" t="n">
        <v>0</v>
      </c>
      <c r="L290" t="n">
        <v>0</v>
      </c>
      <c r="M290" t="n">
        <v>0</v>
      </c>
      <c r="N290" t="n">
        <v>0</v>
      </c>
      <c r="O290" t="n">
        <v>0</v>
      </c>
      <c r="P290" t="n">
        <v>0</v>
      </c>
      <c r="Q290" t="n">
        <v>2</v>
      </c>
      <c r="R290" s="2" t="inlineStr">
        <is>
          <t>Mörk husmossa
Terpentinmossa</t>
        </is>
      </c>
      <c r="S290">
        <f>HYPERLINK("https://klasma.github.io/Logging_1737/artfynd/A 34930-2022 artfynd.xlsx", "A 34930-2022")</f>
        <v/>
      </c>
      <c r="T290">
        <f>HYPERLINK("https://klasma.github.io/Logging_1737/kartor/A 34930-2022 karta.png", "A 34930-2022")</f>
        <v/>
      </c>
      <c r="V290">
        <f>HYPERLINK("https://klasma.github.io/Logging_1737/klagomål/A 34930-2022 FSC-klagomål.docx", "A 34930-2022")</f>
        <v/>
      </c>
      <c r="W290">
        <f>HYPERLINK("https://klasma.github.io/Logging_1737/klagomålsmail/A 34930-2022 FSC-klagomål mail.docx", "A 34930-2022")</f>
        <v/>
      </c>
      <c r="X290">
        <f>HYPERLINK("https://klasma.github.io/Logging_1737/tillsyn/A 34930-2022 tillsynsbegäran.docx", "A 34930-2022")</f>
        <v/>
      </c>
      <c r="Y290">
        <f>HYPERLINK("https://klasma.github.io/Logging_1737/tillsynsmail/A 34930-2022 tillsynsbegäran mail.docx", "A 34930-2022")</f>
        <v/>
      </c>
    </row>
    <row r="291" ht="15" customHeight="1">
      <c r="A291" t="inlineStr">
        <is>
          <t>A 36298-2022</t>
        </is>
      </c>
      <c r="B291" s="1" t="n">
        <v>44803</v>
      </c>
      <c r="C291" s="1" t="n">
        <v>45810</v>
      </c>
      <c r="D291" t="inlineStr">
        <is>
          <t>VÄRMLANDS LÄN</t>
        </is>
      </c>
      <c r="E291" t="inlineStr">
        <is>
          <t>KIL</t>
        </is>
      </c>
      <c r="G291" t="n">
        <v>2.1</v>
      </c>
      <c r="H291" t="n">
        <v>1</v>
      </c>
      <c r="I291" t="n">
        <v>0</v>
      </c>
      <c r="J291" t="n">
        <v>1</v>
      </c>
      <c r="K291" t="n">
        <v>0</v>
      </c>
      <c r="L291" t="n">
        <v>0</v>
      </c>
      <c r="M291" t="n">
        <v>0</v>
      </c>
      <c r="N291" t="n">
        <v>0</v>
      </c>
      <c r="O291" t="n">
        <v>1</v>
      </c>
      <c r="P291" t="n">
        <v>0</v>
      </c>
      <c r="Q291" t="n">
        <v>2</v>
      </c>
      <c r="R291" s="2" t="inlineStr">
        <is>
          <t>Orange taggsvamp
Fläcknycklar</t>
        </is>
      </c>
      <c r="S291">
        <f>HYPERLINK("https://klasma.github.io/Logging_1715/artfynd/A 36298-2022 artfynd.xlsx", "A 36298-2022")</f>
        <v/>
      </c>
      <c r="T291">
        <f>HYPERLINK("https://klasma.github.io/Logging_1715/kartor/A 36298-2022 karta.png", "A 36298-2022")</f>
        <v/>
      </c>
      <c r="V291">
        <f>HYPERLINK("https://klasma.github.io/Logging_1715/klagomål/A 36298-2022 FSC-klagomål.docx", "A 36298-2022")</f>
        <v/>
      </c>
      <c r="W291">
        <f>HYPERLINK("https://klasma.github.io/Logging_1715/klagomålsmail/A 36298-2022 FSC-klagomål mail.docx", "A 36298-2022")</f>
        <v/>
      </c>
      <c r="X291">
        <f>HYPERLINK("https://klasma.github.io/Logging_1715/tillsyn/A 36298-2022 tillsynsbegäran.docx", "A 36298-2022")</f>
        <v/>
      </c>
      <c r="Y291">
        <f>HYPERLINK("https://klasma.github.io/Logging_1715/tillsynsmail/A 36298-2022 tillsynsbegäran mail.docx", "A 36298-2022")</f>
        <v/>
      </c>
    </row>
    <row r="292" ht="15" customHeight="1">
      <c r="A292" t="inlineStr">
        <is>
          <t>A 40235-2022</t>
        </is>
      </c>
      <c r="B292" s="1" t="n">
        <v>44820</v>
      </c>
      <c r="C292" s="1" t="n">
        <v>45810</v>
      </c>
      <c r="D292" t="inlineStr">
        <is>
          <t>VÄRMLANDS LÄN</t>
        </is>
      </c>
      <c r="E292" t="inlineStr">
        <is>
          <t>SUNNE</t>
        </is>
      </c>
      <c r="G292" t="n">
        <v>6.5</v>
      </c>
      <c r="H292" t="n">
        <v>0</v>
      </c>
      <c r="I292" t="n">
        <v>0</v>
      </c>
      <c r="J292" t="n">
        <v>2</v>
      </c>
      <c r="K292" t="n">
        <v>0</v>
      </c>
      <c r="L292" t="n">
        <v>0</v>
      </c>
      <c r="M292" t="n">
        <v>0</v>
      </c>
      <c r="N292" t="n">
        <v>0</v>
      </c>
      <c r="O292" t="n">
        <v>2</v>
      </c>
      <c r="P292" t="n">
        <v>0</v>
      </c>
      <c r="Q292" t="n">
        <v>2</v>
      </c>
      <c r="R292" s="2" t="inlineStr">
        <is>
          <t>Dofttaggsvamp
Grantaggsvamp</t>
        </is>
      </c>
      <c r="S292">
        <f>HYPERLINK("https://klasma.github.io/Logging_1766/artfynd/A 40235-2022 artfynd.xlsx", "A 40235-2022")</f>
        <v/>
      </c>
      <c r="T292">
        <f>HYPERLINK("https://klasma.github.io/Logging_1766/kartor/A 40235-2022 karta.png", "A 40235-2022")</f>
        <v/>
      </c>
      <c r="V292">
        <f>HYPERLINK("https://klasma.github.io/Logging_1766/klagomål/A 40235-2022 FSC-klagomål.docx", "A 40235-2022")</f>
        <v/>
      </c>
      <c r="W292">
        <f>HYPERLINK("https://klasma.github.io/Logging_1766/klagomålsmail/A 40235-2022 FSC-klagomål mail.docx", "A 40235-2022")</f>
        <v/>
      </c>
      <c r="X292">
        <f>HYPERLINK("https://klasma.github.io/Logging_1766/tillsyn/A 40235-2022 tillsynsbegäran.docx", "A 40235-2022")</f>
        <v/>
      </c>
      <c r="Y292">
        <f>HYPERLINK("https://klasma.github.io/Logging_1766/tillsynsmail/A 40235-2022 tillsynsbegäran mail.docx", "A 40235-2022")</f>
        <v/>
      </c>
    </row>
    <row r="293" ht="15" customHeight="1">
      <c r="A293" t="inlineStr">
        <is>
          <t>A 45523-2022</t>
        </is>
      </c>
      <c r="B293" s="1" t="n">
        <v>44845</v>
      </c>
      <c r="C293" s="1" t="n">
        <v>45810</v>
      </c>
      <c r="D293" t="inlineStr">
        <is>
          <t>VÄRMLANDS LÄN</t>
        </is>
      </c>
      <c r="E293" t="inlineStr">
        <is>
          <t>FILIPSTAD</t>
        </is>
      </c>
      <c r="G293" t="n">
        <v>7.7</v>
      </c>
      <c r="H293" t="n">
        <v>0</v>
      </c>
      <c r="I293" t="n">
        <v>2</v>
      </c>
      <c r="J293" t="n">
        <v>0</v>
      </c>
      <c r="K293" t="n">
        <v>0</v>
      </c>
      <c r="L293" t="n">
        <v>0</v>
      </c>
      <c r="M293" t="n">
        <v>0</v>
      </c>
      <c r="N293" t="n">
        <v>0</v>
      </c>
      <c r="O293" t="n">
        <v>0</v>
      </c>
      <c r="P293" t="n">
        <v>0</v>
      </c>
      <c r="Q293" t="n">
        <v>2</v>
      </c>
      <c r="R293" s="2" t="inlineStr">
        <is>
          <t>Bronshjon
Korallblylav</t>
        </is>
      </c>
      <c r="S293">
        <f>HYPERLINK("https://klasma.github.io/Logging_1782/artfynd/A 45523-2022 artfynd.xlsx", "A 45523-2022")</f>
        <v/>
      </c>
      <c r="T293">
        <f>HYPERLINK("https://klasma.github.io/Logging_1782/kartor/A 45523-2022 karta.png", "A 45523-2022")</f>
        <v/>
      </c>
      <c r="V293">
        <f>HYPERLINK("https://klasma.github.io/Logging_1782/klagomål/A 45523-2022 FSC-klagomål.docx", "A 45523-2022")</f>
        <v/>
      </c>
      <c r="W293">
        <f>HYPERLINK("https://klasma.github.io/Logging_1782/klagomålsmail/A 45523-2022 FSC-klagomål mail.docx", "A 45523-2022")</f>
        <v/>
      </c>
      <c r="X293">
        <f>HYPERLINK("https://klasma.github.io/Logging_1782/tillsyn/A 45523-2022 tillsynsbegäran.docx", "A 45523-2022")</f>
        <v/>
      </c>
      <c r="Y293">
        <f>HYPERLINK("https://klasma.github.io/Logging_1782/tillsynsmail/A 45523-2022 tillsynsbegäran mail.docx", "A 45523-2022")</f>
        <v/>
      </c>
    </row>
    <row r="294" ht="15" customHeight="1">
      <c r="A294" t="inlineStr">
        <is>
          <t>A 50431-2022</t>
        </is>
      </c>
      <c r="B294" s="1" t="n">
        <v>44861</v>
      </c>
      <c r="C294" s="1" t="n">
        <v>45810</v>
      </c>
      <c r="D294" t="inlineStr">
        <is>
          <t>VÄRMLANDS LÄN</t>
        </is>
      </c>
      <c r="E294" t="inlineStr">
        <is>
          <t>SÄFFLE</t>
        </is>
      </c>
      <c r="G294" t="n">
        <v>1.9</v>
      </c>
      <c r="H294" t="n">
        <v>1</v>
      </c>
      <c r="I294" t="n">
        <v>0</v>
      </c>
      <c r="J294" t="n">
        <v>1</v>
      </c>
      <c r="K294" t="n">
        <v>0</v>
      </c>
      <c r="L294" t="n">
        <v>0</v>
      </c>
      <c r="M294" t="n">
        <v>0</v>
      </c>
      <c r="N294" t="n">
        <v>0</v>
      </c>
      <c r="O294" t="n">
        <v>1</v>
      </c>
      <c r="P294" t="n">
        <v>0</v>
      </c>
      <c r="Q294" t="n">
        <v>2</v>
      </c>
      <c r="R294" s="2" t="inlineStr">
        <is>
          <t>Skogsklocka
Nattviol</t>
        </is>
      </c>
      <c r="S294">
        <f>HYPERLINK("https://klasma.github.io/Logging_1785/artfynd/A 50431-2022 artfynd.xlsx", "A 50431-2022")</f>
        <v/>
      </c>
      <c r="T294">
        <f>HYPERLINK("https://klasma.github.io/Logging_1785/kartor/A 50431-2022 karta.png", "A 50431-2022")</f>
        <v/>
      </c>
      <c r="V294">
        <f>HYPERLINK("https://klasma.github.io/Logging_1785/klagomål/A 50431-2022 FSC-klagomål.docx", "A 50431-2022")</f>
        <v/>
      </c>
      <c r="W294">
        <f>HYPERLINK("https://klasma.github.io/Logging_1785/klagomålsmail/A 50431-2022 FSC-klagomål mail.docx", "A 50431-2022")</f>
        <v/>
      </c>
      <c r="X294">
        <f>HYPERLINK("https://klasma.github.io/Logging_1785/tillsyn/A 50431-2022 tillsynsbegäran.docx", "A 50431-2022")</f>
        <v/>
      </c>
      <c r="Y294">
        <f>HYPERLINK("https://klasma.github.io/Logging_1785/tillsynsmail/A 50431-2022 tillsynsbegäran mail.docx", "A 50431-2022")</f>
        <v/>
      </c>
    </row>
    <row r="295" ht="15" customHeight="1">
      <c r="A295" t="inlineStr">
        <is>
          <t>A 50102-2022</t>
        </is>
      </c>
      <c r="B295" s="1" t="n">
        <v>44865</v>
      </c>
      <c r="C295" s="1" t="n">
        <v>45810</v>
      </c>
      <c r="D295" t="inlineStr">
        <is>
          <t>VÄRMLANDS LÄN</t>
        </is>
      </c>
      <c r="E295" t="inlineStr">
        <is>
          <t>EDA</t>
        </is>
      </c>
      <c r="G295" t="n">
        <v>2.6</v>
      </c>
      <c r="H295" t="n">
        <v>0</v>
      </c>
      <c r="I295" t="n">
        <v>1</v>
      </c>
      <c r="J295" t="n">
        <v>1</v>
      </c>
      <c r="K295" t="n">
        <v>0</v>
      </c>
      <c r="L295" t="n">
        <v>0</v>
      </c>
      <c r="M295" t="n">
        <v>0</v>
      </c>
      <c r="N295" t="n">
        <v>0</v>
      </c>
      <c r="O295" t="n">
        <v>1</v>
      </c>
      <c r="P295" t="n">
        <v>0</v>
      </c>
      <c r="Q295" t="n">
        <v>2</v>
      </c>
      <c r="R295" s="2" t="inlineStr">
        <is>
          <t>Ullticka
Tibast</t>
        </is>
      </c>
      <c r="S295">
        <f>HYPERLINK("https://klasma.github.io/Logging_1730/artfynd/A 50102-2022 artfynd.xlsx", "A 50102-2022")</f>
        <v/>
      </c>
      <c r="T295">
        <f>HYPERLINK("https://klasma.github.io/Logging_1730/kartor/A 50102-2022 karta.png", "A 50102-2022")</f>
        <v/>
      </c>
      <c r="V295">
        <f>HYPERLINK("https://klasma.github.io/Logging_1730/klagomål/A 50102-2022 FSC-klagomål.docx", "A 50102-2022")</f>
        <v/>
      </c>
      <c r="W295">
        <f>HYPERLINK("https://klasma.github.io/Logging_1730/klagomålsmail/A 50102-2022 FSC-klagomål mail.docx", "A 50102-2022")</f>
        <v/>
      </c>
      <c r="X295">
        <f>HYPERLINK("https://klasma.github.io/Logging_1730/tillsyn/A 50102-2022 tillsynsbegäran.docx", "A 50102-2022")</f>
        <v/>
      </c>
      <c r="Y295">
        <f>HYPERLINK("https://klasma.github.io/Logging_1730/tillsynsmail/A 50102-2022 tillsynsbegäran mail.docx", "A 50102-2022")</f>
        <v/>
      </c>
    </row>
    <row r="296" ht="15" customHeight="1">
      <c r="A296" t="inlineStr">
        <is>
          <t>A 51253-2022</t>
        </is>
      </c>
      <c r="B296" s="1" t="n">
        <v>44868</v>
      </c>
      <c r="C296" s="1" t="n">
        <v>45810</v>
      </c>
      <c r="D296" t="inlineStr">
        <is>
          <t>VÄRMLANDS LÄN</t>
        </is>
      </c>
      <c r="E296" t="inlineStr">
        <is>
          <t>EDA</t>
        </is>
      </c>
      <c r="G296" t="n">
        <v>8.9</v>
      </c>
      <c r="H296" t="n">
        <v>0</v>
      </c>
      <c r="I296" t="n">
        <v>1</v>
      </c>
      <c r="J296" t="n">
        <v>1</v>
      </c>
      <c r="K296" t="n">
        <v>0</v>
      </c>
      <c r="L296" t="n">
        <v>0</v>
      </c>
      <c r="M296" t="n">
        <v>0</v>
      </c>
      <c r="N296" t="n">
        <v>0</v>
      </c>
      <c r="O296" t="n">
        <v>1</v>
      </c>
      <c r="P296" t="n">
        <v>0</v>
      </c>
      <c r="Q296" t="n">
        <v>2</v>
      </c>
      <c r="R296" s="2" t="inlineStr">
        <is>
          <t>Garnlav
Dropptaggsvamp</t>
        </is>
      </c>
      <c r="S296">
        <f>HYPERLINK("https://klasma.github.io/Logging_1730/artfynd/A 51253-2022 artfynd.xlsx", "A 51253-2022")</f>
        <v/>
      </c>
      <c r="T296">
        <f>HYPERLINK("https://klasma.github.io/Logging_1730/kartor/A 51253-2022 karta.png", "A 51253-2022")</f>
        <v/>
      </c>
      <c r="V296">
        <f>HYPERLINK("https://klasma.github.io/Logging_1730/klagomål/A 51253-2022 FSC-klagomål.docx", "A 51253-2022")</f>
        <v/>
      </c>
      <c r="W296">
        <f>HYPERLINK("https://klasma.github.io/Logging_1730/klagomålsmail/A 51253-2022 FSC-klagomål mail.docx", "A 51253-2022")</f>
        <v/>
      </c>
      <c r="X296">
        <f>HYPERLINK("https://klasma.github.io/Logging_1730/tillsyn/A 51253-2022 tillsynsbegäran.docx", "A 51253-2022")</f>
        <v/>
      </c>
      <c r="Y296">
        <f>HYPERLINK("https://klasma.github.io/Logging_1730/tillsynsmail/A 51253-2022 tillsynsbegäran mail.docx", "A 51253-2022")</f>
        <v/>
      </c>
    </row>
    <row r="297" ht="15" customHeight="1">
      <c r="A297" t="inlineStr">
        <is>
          <t>A 51769-2022</t>
        </is>
      </c>
      <c r="B297" s="1" t="n">
        <v>44872</v>
      </c>
      <c r="C297" s="1" t="n">
        <v>45810</v>
      </c>
      <c r="D297" t="inlineStr">
        <is>
          <t>VÄRMLANDS LÄN</t>
        </is>
      </c>
      <c r="E297" t="inlineStr">
        <is>
          <t>ARVIKA</t>
        </is>
      </c>
      <c r="F297" t="inlineStr">
        <is>
          <t>Kyrkan</t>
        </is>
      </c>
      <c r="G297" t="n">
        <v>1.9</v>
      </c>
      <c r="H297" t="n">
        <v>1</v>
      </c>
      <c r="I297" t="n">
        <v>1</v>
      </c>
      <c r="J297" t="n">
        <v>0</v>
      </c>
      <c r="K297" t="n">
        <v>1</v>
      </c>
      <c r="L297" t="n">
        <v>0</v>
      </c>
      <c r="M297" t="n">
        <v>0</v>
      </c>
      <c r="N297" t="n">
        <v>0</v>
      </c>
      <c r="O297" t="n">
        <v>1</v>
      </c>
      <c r="P297" t="n">
        <v>1</v>
      </c>
      <c r="Q297" t="n">
        <v>2</v>
      </c>
      <c r="R297" s="2" t="inlineStr">
        <is>
          <t>Knärot
Grönpyrola</t>
        </is>
      </c>
      <c r="S297">
        <f>HYPERLINK("https://klasma.github.io/Logging_1784/artfynd/A 51769-2022 artfynd.xlsx", "A 51769-2022")</f>
        <v/>
      </c>
      <c r="T297">
        <f>HYPERLINK("https://klasma.github.io/Logging_1784/kartor/A 51769-2022 karta.png", "A 51769-2022")</f>
        <v/>
      </c>
      <c r="U297">
        <f>HYPERLINK("https://klasma.github.io/Logging_1784/knärot/A 51769-2022 karta knärot.png", "A 51769-2022")</f>
        <v/>
      </c>
      <c r="V297">
        <f>HYPERLINK("https://klasma.github.io/Logging_1784/klagomål/A 51769-2022 FSC-klagomål.docx", "A 51769-2022")</f>
        <v/>
      </c>
      <c r="W297">
        <f>HYPERLINK("https://klasma.github.io/Logging_1784/klagomålsmail/A 51769-2022 FSC-klagomål mail.docx", "A 51769-2022")</f>
        <v/>
      </c>
      <c r="X297">
        <f>HYPERLINK("https://klasma.github.io/Logging_1784/tillsyn/A 51769-2022 tillsynsbegäran.docx", "A 51769-2022")</f>
        <v/>
      </c>
      <c r="Y297">
        <f>HYPERLINK("https://klasma.github.io/Logging_1784/tillsynsmail/A 51769-2022 tillsynsbegäran mail.docx", "A 51769-2022")</f>
        <v/>
      </c>
    </row>
    <row r="298" ht="15" customHeight="1">
      <c r="A298" t="inlineStr">
        <is>
          <t>A 51928-2022</t>
        </is>
      </c>
      <c r="B298" s="1" t="n">
        <v>44872</v>
      </c>
      <c r="C298" s="1" t="n">
        <v>45810</v>
      </c>
      <c r="D298" t="inlineStr">
        <is>
          <t>VÄRMLANDS LÄN</t>
        </is>
      </c>
      <c r="E298" t="inlineStr">
        <is>
          <t>ÅRJÄNG</t>
        </is>
      </c>
      <c r="G298" t="n">
        <v>14.1</v>
      </c>
      <c r="H298" t="n">
        <v>1</v>
      </c>
      <c r="I298" t="n">
        <v>1</v>
      </c>
      <c r="J298" t="n">
        <v>0</v>
      </c>
      <c r="K298" t="n">
        <v>1</v>
      </c>
      <c r="L298" t="n">
        <v>0</v>
      </c>
      <c r="M298" t="n">
        <v>0</v>
      </c>
      <c r="N298" t="n">
        <v>0</v>
      </c>
      <c r="O298" t="n">
        <v>1</v>
      </c>
      <c r="P298" t="n">
        <v>1</v>
      </c>
      <c r="Q298" t="n">
        <v>2</v>
      </c>
      <c r="R298" s="2" t="inlineStr">
        <is>
          <t>Knärot
Dropptaggsvamp</t>
        </is>
      </c>
      <c r="S298">
        <f>HYPERLINK("https://klasma.github.io/Logging_1765/artfynd/A 51928-2022 artfynd.xlsx", "A 51928-2022")</f>
        <v/>
      </c>
      <c r="T298">
        <f>HYPERLINK("https://klasma.github.io/Logging_1765/kartor/A 51928-2022 karta.png", "A 51928-2022")</f>
        <v/>
      </c>
      <c r="U298">
        <f>HYPERLINK("https://klasma.github.io/Logging_1765/knärot/A 51928-2022 karta knärot.png", "A 51928-2022")</f>
        <v/>
      </c>
      <c r="V298">
        <f>HYPERLINK("https://klasma.github.io/Logging_1765/klagomål/A 51928-2022 FSC-klagomål.docx", "A 51928-2022")</f>
        <v/>
      </c>
      <c r="W298">
        <f>HYPERLINK("https://klasma.github.io/Logging_1765/klagomålsmail/A 51928-2022 FSC-klagomål mail.docx", "A 51928-2022")</f>
        <v/>
      </c>
      <c r="X298">
        <f>HYPERLINK("https://klasma.github.io/Logging_1765/tillsyn/A 51928-2022 tillsynsbegäran.docx", "A 51928-2022")</f>
        <v/>
      </c>
      <c r="Y298">
        <f>HYPERLINK("https://klasma.github.io/Logging_1765/tillsynsmail/A 51928-2022 tillsynsbegäran mail.docx", "A 51928-2022")</f>
        <v/>
      </c>
    </row>
    <row r="299" ht="15" customHeight="1">
      <c r="A299" t="inlineStr">
        <is>
          <t>A 53155-2022</t>
        </is>
      </c>
      <c r="B299" s="1" t="n">
        <v>44876</v>
      </c>
      <c r="C299" s="1" t="n">
        <v>45810</v>
      </c>
      <c r="D299" t="inlineStr">
        <is>
          <t>VÄRMLANDS LÄN</t>
        </is>
      </c>
      <c r="E299" t="inlineStr">
        <is>
          <t>KARLSTAD</t>
        </is>
      </c>
      <c r="G299" t="n">
        <v>32.8</v>
      </c>
      <c r="H299" t="n">
        <v>2</v>
      </c>
      <c r="I299" t="n">
        <v>0</v>
      </c>
      <c r="J299" t="n">
        <v>1</v>
      </c>
      <c r="K299" t="n">
        <v>0</v>
      </c>
      <c r="L299" t="n">
        <v>0</v>
      </c>
      <c r="M299" t="n">
        <v>0</v>
      </c>
      <c r="N299" t="n">
        <v>0</v>
      </c>
      <c r="O299" t="n">
        <v>1</v>
      </c>
      <c r="P299" t="n">
        <v>0</v>
      </c>
      <c r="Q299" t="n">
        <v>2</v>
      </c>
      <c r="R299" s="2" t="inlineStr">
        <is>
          <t>Gulsparv
Trana</t>
        </is>
      </c>
      <c r="S299">
        <f>HYPERLINK("https://klasma.github.io/Logging_1780/artfynd/A 53155-2022 artfynd.xlsx", "A 53155-2022")</f>
        <v/>
      </c>
      <c r="T299">
        <f>HYPERLINK("https://klasma.github.io/Logging_1780/kartor/A 53155-2022 karta.png", "A 53155-2022")</f>
        <v/>
      </c>
      <c r="V299">
        <f>HYPERLINK("https://klasma.github.io/Logging_1780/klagomål/A 53155-2022 FSC-klagomål.docx", "A 53155-2022")</f>
        <v/>
      </c>
      <c r="W299">
        <f>HYPERLINK("https://klasma.github.io/Logging_1780/klagomålsmail/A 53155-2022 FSC-klagomål mail.docx", "A 53155-2022")</f>
        <v/>
      </c>
      <c r="X299">
        <f>HYPERLINK("https://klasma.github.io/Logging_1780/tillsyn/A 53155-2022 tillsynsbegäran.docx", "A 53155-2022")</f>
        <v/>
      </c>
      <c r="Y299">
        <f>HYPERLINK("https://klasma.github.io/Logging_1780/tillsynsmail/A 53155-2022 tillsynsbegäran mail.docx", "A 53155-2022")</f>
        <v/>
      </c>
      <c r="Z299">
        <f>HYPERLINK("https://klasma.github.io/Logging_1780/fåglar/A 53155-2022 prioriterade fågelarter.docx", "A 53155-2022")</f>
        <v/>
      </c>
    </row>
    <row r="300" ht="15" customHeight="1">
      <c r="A300" t="inlineStr">
        <is>
          <t>A 54195-2022</t>
        </is>
      </c>
      <c r="B300" s="1" t="n">
        <v>44881</v>
      </c>
      <c r="C300" s="1" t="n">
        <v>45810</v>
      </c>
      <c r="D300" t="inlineStr">
        <is>
          <t>VÄRMLANDS LÄN</t>
        </is>
      </c>
      <c r="E300" t="inlineStr">
        <is>
          <t>EDA</t>
        </is>
      </c>
      <c r="G300" t="n">
        <v>11</v>
      </c>
      <c r="H300" t="n">
        <v>0</v>
      </c>
      <c r="I300" t="n">
        <v>2</v>
      </c>
      <c r="J300" t="n">
        <v>0</v>
      </c>
      <c r="K300" t="n">
        <v>0</v>
      </c>
      <c r="L300" t="n">
        <v>0</v>
      </c>
      <c r="M300" t="n">
        <v>0</v>
      </c>
      <c r="N300" t="n">
        <v>0</v>
      </c>
      <c r="O300" t="n">
        <v>0</v>
      </c>
      <c r="P300" t="n">
        <v>0</v>
      </c>
      <c r="Q300" t="n">
        <v>2</v>
      </c>
      <c r="R300" s="2" t="inlineStr">
        <is>
          <t>Dvärghäxört
Springkorn</t>
        </is>
      </c>
      <c r="S300">
        <f>HYPERLINK("https://klasma.github.io/Logging_1730/artfynd/A 54195-2022 artfynd.xlsx", "A 54195-2022")</f>
        <v/>
      </c>
      <c r="T300">
        <f>HYPERLINK("https://klasma.github.io/Logging_1730/kartor/A 54195-2022 karta.png", "A 54195-2022")</f>
        <v/>
      </c>
      <c r="V300">
        <f>HYPERLINK("https://klasma.github.io/Logging_1730/klagomål/A 54195-2022 FSC-klagomål.docx", "A 54195-2022")</f>
        <v/>
      </c>
      <c r="W300">
        <f>HYPERLINK("https://klasma.github.io/Logging_1730/klagomålsmail/A 54195-2022 FSC-klagomål mail.docx", "A 54195-2022")</f>
        <v/>
      </c>
      <c r="X300">
        <f>HYPERLINK("https://klasma.github.io/Logging_1730/tillsyn/A 54195-2022 tillsynsbegäran.docx", "A 54195-2022")</f>
        <v/>
      </c>
      <c r="Y300">
        <f>HYPERLINK("https://klasma.github.io/Logging_1730/tillsynsmail/A 54195-2022 tillsynsbegäran mail.docx", "A 54195-2022")</f>
        <v/>
      </c>
    </row>
    <row r="301" ht="15" customHeight="1">
      <c r="A301" t="inlineStr">
        <is>
          <t>A 56624-2022</t>
        </is>
      </c>
      <c r="B301" s="1" t="n">
        <v>44893</v>
      </c>
      <c r="C301" s="1" t="n">
        <v>45810</v>
      </c>
      <c r="D301" t="inlineStr">
        <is>
          <t>VÄRMLANDS LÄN</t>
        </is>
      </c>
      <c r="E301" t="inlineStr">
        <is>
          <t>SUNNE</t>
        </is>
      </c>
      <c r="G301" t="n">
        <v>3</v>
      </c>
      <c r="H301" t="n">
        <v>0</v>
      </c>
      <c r="I301" t="n">
        <v>2</v>
      </c>
      <c r="J301" t="n">
        <v>0</v>
      </c>
      <c r="K301" t="n">
        <v>0</v>
      </c>
      <c r="L301" t="n">
        <v>0</v>
      </c>
      <c r="M301" t="n">
        <v>0</v>
      </c>
      <c r="N301" t="n">
        <v>0</v>
      </c>
      <c r="O301" t="n">
        <v>0</v>
      </c>
      <c r="P301" t="n">
        <v>0</v>
      </c>
      <c r="Q301" t="n">
        <v>2</v>
      </c>
      <c r="R301" s="2" t="inlineStr">
        <is>
          <t>Bronshjon
Kattfotslav</t>
        </is>
      </c>
      <c r="S301">
        <f>HYPERLINK("https://klasma.github.io/Logging_1766/artfynd/A 56624-2022 artfynd.xlsx", "A 56624-2022")</f>
        <v/>
      </c>
      <c r="T301">
        <f>HYPERLINK("https://klasma.github.io/Logging_1766/kartor/A 56624-2022 karta.png", "A 56624-2022")</f>
        <v/>
      </c>
      <c r="V301">
        <f>HYPERLINK("https://klasma.github.io/Logging_1766/klagomål/A 56624-2022 FSC-klagomål.docx", "A 56624-2022")</f>
        <v/>
      </c>
      <c r="W301">
        <f>HYPERLINK("https://klasma.github.io/Logging_1766/klagomålsmail/A 56624-2022 FSC-klagomål mail.docx", "A 56624-2022")</f>
        <v/>
      </c>
      <c r="X301">
        <f>HYPERLINK("https://klasma.github.io/Logging_1766/tillsyn/A 56624-2022 tillsynsbegäran.docx", "A 56624-2022")</f>
        <v/>
      </c>
      <c r="Y301">
        <f>HYPERLINK("https://klasma.github.io/Logging_1766/tillsynsmail/A 56624-2022 tillsynsbegäran mail.docx", "A 56624-2022")</f>
        <v/>
      </c>
    </row>
    <row r="302" ht="15" customHeight="1">
      <c r="A302" t="inlineStr">
        <is>
          <t>A 60826-2022</t>
        </is>
      </c>
      <c r="B302" s="1" t="n">
        <v>44907</v>
      </c>
      <c r="C302" s="1" t="n">
        <v>45810</v>
      </c>
      <c r="D302" t="inlineStr">
        <is>
          <t>VÄRMLANDS LÄN</t>
        </is>
      </c>
      <c r="E302" t="inlineStr">
        <is>
          <t>GRUMS</t>
        </is>
      </c>
      <c r="G302" t="n">
        <v>2.2</v>
      </c>
      <c r="H302" t="n">
        <v>0</v>
      </c>
      <c r="I302" t="n">
        <v>1</v>
      </c>
      <c r="J302" t="n">
        <v>1</v>
      </c>
      <c r="K302" t="n">
        <v>0</v>
      </c>
      <c r="L302" t="n">
        <v>0</v>
      </c>
      <c r="M302" t="n">
        <v>0</v>
      </c>
      <c r="N302" t="n">
        <v>0</v>
      </c>
      <c r="O302" t="n">
        <v>1</v>
      </c>
      <c r="P302" t="n">
        <v>0</v>
      </c>
      <c r="Q302" t="n">
        <v>2</v>
      </c>
      <c r="R302" s="2" t="inlineStr">
        <is>
          <t>Orange taggsvamp
Rödgul trumpetsvamp</t>
        </is>
      </c>
      <c r="S302">
        <f>HYPERLINK("https://klasma.github.io/Logging_1764/artfynd/A 60826-2022 artfynd.xlsx", "A 60826-2022")</f>
        <v/>
      </c>
      <c r="T302">
        <f>HYPERLINK("https://klasma.github.io/Logging_1764/kartor/A 60826-2022 karta.png", "A 60826-2022")</f>
        <v/>
      </c>
      <c r="V302">
        <f>HYPERLINK("https://klasma.github.io/Logging_1764/klagomål/A 60826-2022 FSC-klagomål.docx", "A 60826-2022")</f>
        <v/>
      </c>
      <c r="W302">
        <f>HYPERLINK("https://klasma.github.io/Logging_1764/klagomålsmail/A 60826-2022 FSC-klagomål mail.docx", "A 60826-2022")</f>
        <v/>
      </c>
      <c r="X302">
        <f>HYPERLINK("https://klasma.github.io/Logging_1764/tillsyn/A 60826-2022 tillsynsbegäran.docx", "A 60826-2022")</f>
        <v/>
      </c>
      <c r="Y302">
        <f>HYPERLINK("https://klasma.github.io/Logging_1764/tillsynsmail/A 60826-2022 tillsynsbegäran mail.docx", "A 60826-2022")</f>
        <v/>
      </c>
    </row>
    <row r="303" ht="15" customHeight="1">
      <c r="A303" t="inlineStr">
        <is>
          <t>A 1198-2023</t>
        </is>
      </c>
      <c r="B303" s="1" t="n">
        <v>44935</v>
      </c>
      <c r="C303" s="1" t="n">
        <v>45810</v>
      </c>
      <c r="D303" t="inlineStr">
        <is>
          <t>VÄRMLANDS LÄN</t>
        </is>
      </c>
      <c r="E303" t="inlineStr">
        <is>
          <t>ÅRJÄNG</t>
        </is>
      </c>
      <c r="G303" t="n">
        <v>19</v>
      </c>
      <c r="H303" t="n">
        <v>2</v>
      </c>
      <c r="I303" t="n">
        <v>0</v>
      </c>
      <c r="J303" t="n">
        <v>1</v>
      </c>
      <c r="K303" t="n">
        <v>0</v>
      </c>
      <c r="L303" t="n">
        <v>0</v>
      </c>
      <c r="M303" t="n">
        <v>0</v>
      </c>
      <c r="N303" t="n">
        <v>0</v>
      </c>
      <c r="O303" t="n">
        <v>1</v>
      </c>
      <c r="P303" t="n">
        <v>0</v>
      </c>
      <c r="Q303" t="n">
        <v>2</v>
      </c>
      <c r="R303" s="2" t="inlineStr">
        <is>
          <t>Talltita
Revlummer</t>
        </is>
      </c>
      <c r="S303">
        <f>HYPERLINK("https://klasma.github.io/Logging_1765/artfynd/A 1198-2023 artfynd.xlsx", "A 1198-2023")</f>
        <v/>
      </c>
      <c r="T303">
        <f>HYPERLINK("https://klasma.github.io/Logging_1765/kartor/A 1198-2023 karta.png", "A 1198-2023")</f>
        <v/>
      </c>
      <c r="V303">
        <f>HYPERLINK("https://klasma.github.io/Logging_1765/klagomål/A 1198-2023 FSC-klagomål.docx", "A 1198-2023")</f>
        <v/>
      </c>
      <c r="W303">
        <f>HYPERLINK("https://klasma.github.io/Logging_1765/klagomålsmail/A 1198-2023 FSC-klagomål mail.docx", "A 1198-2023")</f>
        <v/>
      </c>
      <c r="X303">
        <f>HYPERLINK("https://klasma.github.io/Logging_1765/tillsyn/A 1198-2023 tillsynsbegäran.docx", "A 1198-2023")</f>
        <v/>
      </c>
      <c r="Y303">
        <f>HYPERLINK("https://klasma.github.io/Logging_1765/tillsynsmail/A 1198-2023 tillsynsbegäran mail.docx", "A 1198-2023")</f>
        <v/>
      </c>
      <c r="Z303">
        <f>HYPERLINK("https://klasma.github.io/Logging_1765/fåglar/A 1198-2023 prioriterade fågelarter.docx", "A 1198-2023")</f>
        <v/>
      </c>
    </row>
    <row r="304" ht="15" customHeight="1">
      <c r="A304" t="inlineStr">
        <is>
          <t>A 2000-2023</t>
        </is>
      </c>
      <c r="B304" s="1" t="n">
        <v>44939</v>
      </c>
      <c r="C304" s="1" t="n">
        <v>45810</v>
      </c>
      <c r="D304" t="inlineStr">
        <is>
          <t>VÄRMLANDS LÄN</t>
        </is>
      </c>
      <c r="E304" t="inlineStr">
        <is>
          <t>TORSBY</t>
        </is>
      </c>
      <c r="G304" t="n">
        <v>3.2</v>
      </c>
      <c r="H304" t="n">
        <v>2</v>
      </c>
      <c r="I304" t="n">
        <v>1</v>
      </c>
      <c r="J304" t="n">
        <v>0</v>
      </c>
      <c r="K304" t="n">
        <v>0</v>
      </c>
      <c r="L304" t="n">
        <v>0</v>
      </c>
      <c r="M304" t="n">
        <v>0</v>
      </c>
      <c r="N304" t="n">
        <v>0</v>
      </c>
      <c r="O304" t="n">
        <v>0</v>
      </c>
      <c r="P304" t="n">
        <v>0</v>
      </c>
      <c r="Q304" t="n">
        <v>2</v>
      </c>
      <c r="R304" s="2" t="inlineStr">
        <is>
          <t>Spindelblomster
Mattlummer</t>
        </is>
      </c>
      <c r="S304">
        <f>HYPERLINK("https://klasma.github.io/Logging_1737/artfynd/A 2000-2023 artfynd.xlsx", "A 2000-2023")</f>
        <v/>
      </c>
      <c r="T304">
        <f>HYPERLINK("https://klasma.github.io/Logging_1737/kartor/A 2000-2023 karta.png", "A 2000-2023")</f>
        <v/>
      </c>
      <c r="V304">
        <f>HYPERLINK("https://klasma.github.io/Logging_1737/klagomål/A 2000-2023 FSC-klagomål.docx", "A 2000-2023")</f>
        <v/>
      </c>
      <c r="W304">
        <f>HYPERLINK("https://klasma.github.io/Logging_1737/klagomålsmail/A 2000-2023 FSC-klagomål mail.docx", "A 2000-2023")</f>
        <v/>
      </c>
      <c r="X304">
        <f>HYPERLINK("https://klasma.github.io/Logging_1737/tillsyn/A 2000-2023 tillsynsbegäran.docx", "A 2000-2023")</f>
        <v/>
      </c>
      <c r="Y304">
        <f>HYPERLINK("https://klasma.github.io/Logging_1737/tillsynsmail/A 2000-2023 tillsynsbegäran mail.docx", "A 2000-2023")</f>
        <v/>
      </c>
    </row>
    <row r="305" ht="15" customHeight="1">
      <c r="A305" t="inlineStr">
        <is>
          <t>A 4718-2023</t>
        </is>
      </c>
      <c r="B305" s="1" t="n">
        <v>44957</v>
      </c>
      <c r="C305" s="1" t="n">
        <v>45810</v>
      </c>
      <c r="D305" t="inlineStr">
        <is>
          <t>VÄRMLANDS LÄN</t>
        </is>
      </c>
      <c r="E305" t="inlineStr">
        <is>
          <t>TORSBY</t>
        </is>
      </c>
      <c r="G305" t="n">
        <v>8.5</v>
      </c>
      <c r="H305" t="n">
        <v>0</v>
      </c>
      <c r="I305" t="n">
        <v>0</v>
      </c>
      <c r="J305" t="n">
        <v>2</v>
      </c>
      <c r="K305" t="n">
        <v>0</v>
      </c>
      <c r="L305" t="n">
        <v>0</v>
      </c>
      <c r="M305" t="n">
        <v>0</v>
      </c>
      <c r="N305" t="n">
        <v>0</v>
      </c>
      <c r="O305" t="n">
        <v>2</v>
      </c>
      <c r="P305" t="n">
        <v>0</v>
      </c>
      <c r="Q305" t="n">
        <v>2</v>
      </c>
      <c r="R305" s="2" t="inlineStr">
        <is>
          <t>Garnlav
Violettgrå tagellav</t>
        </is>
      </c>
      <c r="S305">
        <f>HYPERLINK("https://klasma.github.io/Logging_1737/artfynd/A 4718-2023 artfynd.xlsx", "A 4718-2023")</f>
        <v/>
      </c>
      <c r="T305">
        <f>HYPERLINK("https://klasma.github.io/Logging_1737/kartor/A 4718-2023 karta.png", "A 4718-2023")</f>
        <v/>
      </c>
      <c r="V305">
        <f>HYPERLINK("https://klasma.github.io/Logging_1737/klagomål/A 4718-2023 FSC-klagomål.docx", "A 4718-2023")</f>
        <v/>
      </c>
      <c r="W305">
        <f>HYPERLINK("https://klasma.github.io/Logging_1737/klagomålsmail/A 4718-2023 FSC-klagomål mail.docx", "A 4718-2023")</f>
        <v/>
      </c>
      <c r="X305">
        <f>HYPERLINK("https://klasma.github.io/Logging_1737/tillsyn/A 4718-2023 tillsynsbegäran.docx", "A 4718-2023")</f>
        <v/>
      </c>
      <c r="Y305">
        <f>HYPERLINK("https://klasma.github.io/Logging_1737/tillsynsmail/A 4718-2023 tillsynsbegäran mail.docx", "A 4718-2023")</f>
        <v/>
      </c>
    </row>
    <row r="306" ht="15" customHeight="1">
      <c r="A306" t="inlineStr">
        <is>
          <t>A 6134-2023</t>
        </is>
      </c>
      <c r="B306" s="1" t="n">
        <v>44964</v>
      </c>
      <c r="C306" s="1" t="n">
        <v>45810</v>
      </c>
      <c r="D306" t="inlineStr">
        <is>
          <t>VÄRMLANDS LÄN</t>
        </is>
      </c>
      <c r="E306" t="inlineStr">
        <is>
          <t>ÅRJÄNG</t>
        </is>
      </c>
      <c r="G306" t="n">
        <v>5.4</v>
      </c>
      <c r="H306" t="n">
        <v>0</v>
      </c>
      <c r="I306" t="n">
        <v>1</v>
      </c>
      <c r="J306" t="n">
        <v>1</v>
      </c>
      <c r="K306" t="n">
        <v>0</v>
      </c>
      <c r="L306" t="n">
        <v>0</v>
      </c>
      <c r="M306" t="n">
        <v>0</v>
      </c>
      <c r="N306" t="n">
        <v>0</v>
      </c>
      <c r="O306" t="n">
        <v>1</v>
      </c>
      <c r="P306" t="n">
        <v>0</v>
      </c>
      <c r="Q306" t="n">
        <v>2</v>
      </c>
      <c r="R306" s="2" t="inlineStr">
        <is>
          <t>Garnlav
Korallblylav</t>
        </is>
      </c>
      <c r="S306">
        <f>HYPERLINK("https://klasma.github.io/Logging_1765/artfynd/A 6134-2023 artfynd.xlsx", "A 6134-2023")</f>
        <v/>
      </c>
      <c r="T306">
        <f>HYPERLINK("https://klasma.github.io/Logging_1765/kartor/A 6134-2023 karta.png", "A 6134-2023")</f>
        <v/>
      </c>
      <c r="V306">
        <f>HYPERLINK("https://klasma.github.io/Logging_1765/klagomål/A 6134-2023 FSC-klagomål.docx", "A 6134-2023")</f>
        <v/>
      </c>
      <c r="W306">
        <f>HYPERLINK("https://klasma.github.io/Logging_1765/klagomålsmail/A 6134-2023 FSC-klagomål mail.docx", "A 6134-2023")</f>
        <v/>
      </c>
      <c r="X306">
        <f>HYPERLINK("https://klasma.github.io/Logging_1765/tillsyn/A 6134-2023 tillsynsbegäran.docx", "A 6134-2023")</f>
        <v/>
      </c>
      <c r="Y306">
        <f>HYPERLINK("https://klasma.github.io/Logging_1765/tillsynsmail/A 6134-2023 tillsynsbegäran mail.docx", "A 6134-2023")</f>
        <v/>
      </c>
    </row>
    <row r="307" ht="15" customHeight="1">
      <c r="A307" t="inlineStr">
        <is>
          <t>A 8591-2023</t>
        </is>
      </c>
      <c r="B307" s="1" t="n">
        <v>44977</v>
      </c>
      <c r="C307" s="1" t="n">
        <v>45810</v>
      </c>
      <c r="D307" t="inlineStr">
        <is>
          <t>VÄRMLANDS LÄN</t>
        </is>
      </c>
      <c r="E307" t="inlineStr">
        <is>
          <t>ARVIKA</t>
        </is>
      </c>
      <c r="G307" t="n">
        <v>6</v>
      </c>
      <c r="H307" t="n">
        <v>1</v>
      </c>
      <c r="I307" t="n">
        <v>1</v>
      </c>
      <c r="J307" t="n">
        <v>0</v>
      </c>
      <c r="K307" t="n">
        <v>1</v>
      </c>
      <c r="L307" t="n">
        <v>0</v>
      </c>
      <c r="M307" t="n">
        <v>0</v>
      </c>
      <c r="N307" t="n">
        <v>0</v>
      </c>
      <c r="O307" t="n">
        <v>1</v>
      </c>
      <c r="P307" t="n">
        <v>1</v>
      </c>
      <c r="Q307" t="n">
        <v>2</v>
      </c>
      <c r="R307" s="2" t="inlineStr">
        <is>
          <t>Knärot
Fjällig taggsvamp s.str.</t>
        </is>
      </c>
      <c r="S307">
        <f>HYPERLINK("https://klasma.github.io/Logging_1784/artfynd/A 8591-2023 artfynd.xlsx", "A 8591-2023")</f>
        <v/>
      </c>
      <c r="T307">
        <f>HYPERLINK("https://klasma.github.io/Logging_1784/kartor/A 8591-2023 karta.png", "A 8591-2023")</f>
        <v/>
      </c>
      <c r="U307">
        <f>HYPERLINK("https://klasma.github.io/Logging_1784/knärot/A 8591-2023 karta knärot.png", "A 8591-2023")</f>
        <v/>
      </c>
      <c r="V307">
        <f>HYPERLINK("https://klasma.github.io/Logging_1784/klagomål/A 8591-2023 FSC-klagomål.docx", "A 8591-2023")</f>
        <v/>
      </c>
      <c r="W307">
        <f>HYPERLINK("https://klasma.github.io/Logging_1784/klagomålsmail/A 8591-2023 FSC-klagomål mail.docx", "A 8591-2023")</f>
        <v/>
      </c>
      <c r="X307">
        <f>HYPERLINK("https://klasma.github.io/Logging_1784/tillsyn/A 8591-2023 tillsynsbegäran.docx", "A 8591-2023")</f>
        <v/>
      </c>
      <c r="Y307">
        <f>HYPERLINK("https://klasma.github.io/Logging_1784/tillsynsmail/A 8591-2023 tillsynsbegäran mail.docx", "A 8591-2023")</f>
        <v/>
      </c>
    </row>
    <row r="308" ht="15" customHeight="1">
      <c r="A308" t="inlineStr">
        <is>
          <t>A 12949-2023</t>
        </is>
      </c>
      <c r="B308" s="1" t="n">
        <v>45001</v>
      </c>
      <c r="C308" s="1" t="n">
        <v>45810</v>
      </c>
      <c r="D308" t="inlineStr">
        <is>
          <t>VÄRMLANDS LÄN</t>
        </is>
      </c>
      <c r="E308" t="inlineStr">
        <is>
          <t>ÅRJÄNG</t>
        </is>
      </c>
      <c r="G308" t="n">
        <v>10.4</v>
      </c>
      <c r="H308" t="n">
        <v>0</v>
      </c>
      <c r="I308" t="n">
        <v>1</v>
      </c>
      <c r="J308" t="n">
        <v>1</v>
      </c>
      <c r="K308" t="n">
        <v>0</v>
      </c>
      <c r="L308" t="n">
        <v>0</v>
      </c>
      <c r="M308" t="n">
        <v>0</v>
      </c>
      <c r="N308" t="n">
        <v>0</v>
      </c>
      <c r="O308" t="n">
        <v>1</v>
      </c>
      <c r="P308" t="n">
        <v>0</v>
      </c>
      <c r="Q308" t="n">
        <v>2</v>
      </c>
      <c r="R308" s="2" t="inlineStr">
        <is>
          <t>Motaggsvamp
Dropptaggsvamp</t>
        </is>
      </c>
      <c r="S308">
        <f>HYPERLINK("https://klasma.github.io/Logging_1765/artfynd/A 12949-2023 artfynd.xlsx", "A 12949-2023")</f>
        <v/>
      </c>
      <c r="T308">
        <f>HYPERLINK("https://klasma.github.io/Logging_1765/kartor/A 12949-2023 karta.png", "A 12949-2023")</f>
        <v/>
      </c>
      <c r="V308">
        <f>HYPERLINK("https://klasma.github.io/Logging_1765/klagomål/A 12949-2023 FSC-klagomål.docx", "A 12949-2023")</f>
        <v/>
      </c>
      <c r="W308">
        <f>HYPERLINK("https://klasma.github.io/Logging_1765/klagomålsmail/A 12949-2023 FSC-klagomål mail.docx", "A 12949-2023")</f>
        <v/>
      </c>
      <c r="X308">
        <f>HYPERLINK("https://klasma.github.io/Logging_1765/tillsyn/A 12949-2023 tillsynsbegäran.docx", "A 12949-2023")</f>
        <v/>
      </c>
      <c r="Y308">
        <f>HYPERLINK("https://klasma.github.io/Logging_1765/tillsynsmail/A 12949-2023 tillsynsbegäran mail.docx", "A 12949-2023")</f>
        <v/>
      </c>
    </row>
    <row r="309" ht="15" customHeight="1">
      <c r="A309" t="inlineStr">
        <is>
          <t>A 13364-2023</t>
        </is>
      </c>
      <c r="B309" s="1" t="n">
        <v>45005</v>
      </c>
      <c r="C309" s="1" t="n">
        <v>45810</v>
      </c>
      <c r="D309" t="inlineStr">
        <is>
          <t>VÄRMLANDS LÄN</t>
        </is>
      </c>
      <c r="E309" t="inlineStr">
        <is>
          <t>TORSBY</t>
        </is>
      </c>
      <c r="G309" t="n">
        <v>16.3</v>
      </c>
      <c r="H309" t="n">
        <v>0</v>
      </c>
      <c r="I309" t="n">
        <v>1</v>
      </c>
      <c r="J309" t="n">
        <v>1</v>
      </c>
      <c r="K309" t="n">
        <v>0</v>
      </c>
      <c r="L309" t="n">
        <v>0</v>
      </c>
      <c r="M309" t="n">
        <v>0</v>
      </c>
      <c r="N309" t="n">
        <v>0</v>
      </c>
      <c r="O309" t="n">
        <v>1</v>
      </c>
      <c r="P309" t="n">
        <v>0</v>
      </c>
      <c r="Q309" t="n">
        <v>2</v>
      </c>
      <c r="R309" s="2" t="inlineStr">
        <is>
          <t>Mörk kolflarnlav
Dropptaggsvamp</t>
        </is>
      </c>
      <c r="S309">
        <f>HYPERLINK("https://klasma.github.io/Logging_1737/artfynd/A 13364-2023 artfynd.xlsx", "A 13364-2023")</f>
        <v/>
      </c>
      <c r="T309">
        <f>HYPERLINK("https://klasma.github.io/Logging_1737/kartor/A 13364-2023 karta.png", "A 13364-2023")</f>
        <v/>
      </c>
      <c r="V309">
        <f>HYPERLINK("https://klasma.github.io/Logging_1737/klagomål/A 13364-2023 FSC-klagomål.docx", "A 13364-2023")</f>
        <v/>
      </c>
      <c r="W309">
        <f>HYPERLINK("https://klasma.github.io/Logging_1737/klagomålsmail/A 13364-2023 FSC-klagomål mail.docx", "A 13364-2023")</f>
        <v/>
      </c>
      <c r="X309">
        <f>HYPERLINK("https://klasma.github.io/Logging_1737/tillsyn/A 13364-2023 tillsynsbegäran.docx", "A 13364-2023")</f>
        <v/>
      </c>
      <c r="Y309">
        <f>HYPERLINK("https://klasma.github.io/Logging_1737/tillsynsmail/A 13364-2023 tillsynsbegäran mail.docx", "A 13364-2023")</f>
        <v/>
      </c>
    </row>
    <row r="310" ht="15" customHeight="1">
      <c r="A310" t="inlineStr">
        <is>
          <t>A 13630-2023</t>
        </is>
      </c>
      <c r="B310" s="1" t="n">
        <v>45006</v>
      </c>
      <c r="C310" s="1" t="n">
        <v>45810</v>
      </c>
      <c r="D310" t="inlineStr">
        <is>
          <t>VÄRMLANDS LÄN</t>
        </is>
      </c>
      <c r="E310" t="inlineStr">
        <is>
          <t>ARVIKA</t>
        </is>
      </c>
      <c r="G310" t="n">
        <v>11.2</v>
      </c>
      <c r="H310" t="n">
        <v>0</v>
      </c>
      <c r="I310" t="n">
        <v>1</v>
      </c>
      <c r="J310" t="n">
        <v>0</v>
      </c>
      <c r="K310" t="n">
        <v>0</v>
      </c>
      <c r="L310" t="n">
        <v>0</v>
      </c>
      <c r="M310" t="n">
        <v>1</v>
      </c>
      <c r="N310" t="n">
        <v>0</v>
      </c>
      <c r="O310" t="n">
        <v>1</v>
      </c>
      <c r="P310" t="n">
        <v>1</v>
      </c>
      <c r="Q310" t="n">
        <v>2</v>
      </c>
      <c r="R310" s="2" t="inlineStr">
        <is>
          <t>Skogsalm
Tibast</t>
        </is>
      </c>
      <c r="S310">
        <f>HYPERLINK("https://klasma.github.io/Logging_1784/artfynd/A 13630-2023 artfynd.xlsx", "A 13630-2023")</f>
        <v/>
      </c>
      <c r="T310">
        <f>HYPERLINK("https://klasma.github.io/Logging_1784/kartor/A 13630-2023 karta.png", "A 13630-2023")</f>
        <v/>
      </c>
      <c r="V310">
        <f>HYPERLINK("https://klasma.github.io/Logging_1784/klagomål/A 13630-2023 FSC-klagomål.docx", "A 13630-2023")</f>
        <v/>
      </c>
      <c r="W310">
        <f>HYPERLINK("https://klasma.github.io/Logging_1784/klagomålsmail/A 13630-2023 FSC-klagomål mail.docx", "A 13630-2023")</f>
        <v/>
      </c>
      <c r="X310">
        <f>HYPERLINK("https://klasma.github.io/Logging_1784/tillsyn/A 13630-2023 tillsynsbegäran.docx", "A 13630-2023")</f>
        <v/>
      </c>
      <c r="Y310">
        <f>HYPERLINK("https://klasma.github.io/Logging_1784/tillsynsmail/A 13630-2023 tillsynsbegäran mail.docx", "A 13630-2023")</f>
        <v/>
      </c>
    </row>
    <row r="311" ht="15" customHeight="1">
      <c r="A311" t="inlineStr">
        <is>
          <t>A 16414-2023</t>
        </is>
      </c>
      <c r="B311" s="1" t="n">
        <v>45022</v>
      </c>
      <c r="C311" s="1" t="n">
        <v>45810</v>
      </c>
      <c r="D311" t="inlineStr">
        <is>
          <t>VÄRMLANDS LÄN</t>
        </is>
      </c>
      <c r="E311" t="inlineStr">
        <is>
          <t>TORSBY</t>
        </is>
      </c>
      <c r="G311" t="n">
        <v>8.800000000000001</v>
      </c>
      <c r="H311" t="n">
        <v>2</v>
      </c>
      <c r="I311" t="n">
        <v>0</v>
      </c>
      <c r="J311" t="n">
        <v>2</v>
      </c>
      <c r="K311" t="n">
        <v>0</v>
      </c>
      <c r="L311" t="n">
        <v>0</v>
      </c>
      <c r="M311" t="n">
        <v>0</v>
      </c>
      <c r="N311" t="n">
        <v>0</v>
      </c>
      <c r="O311" t="n">
        <v>2</v>
      </c>
      <c r="P311" t="n">
        <v>0</v>
      </c>
      <c r="Q311" t="n">
        <v>2</v>
      </c>
      <c r="R311" s="2" t="inlineStr">
        <is>
          <t>Spillkråka
Talltita</t>
        </is>
      </c>
      <c r="S311">
        <f>HYPERLINK("https://klasma.github.io/Logging_1737/artfynd/A 16414-2023 artfynd.xlsx", "A 16414-2023")</f>
        <v/>
      </c>
      <c r="T311">
        <f>HYPERLINK("https://klasma.github.io/Logging_1737/kartor/A 16414-2023 karta.png", "A 16414-2023")</f>
        <v/>
      </c>
      <c r="V311">
        <f>HYPERLINK("https://klasma.github.io/Logging_1737/klagomål/A 16414-2023 FSC-klagomål.docx", "A 16414-2023")</f>
        <v/>
      </c>
      <c r="W311">
        <f>HYPERLINK("https://klasma.github.io/Logging_1737/klagomålsmail/A 16414-2023 FSC-klagomål mail.docx", "A 16414-2023")</f>
        <v/>
      </c>
      <c r="X311">
        <f>HYPERLINK("https://klasma.github.io/Logging_1737/tillsyn/A 16414-2023 tillsynsbegäran.docx", "A 16414-2023")</f>
        <v/>
      </c>
      <c r="Y311">
        <f>HYPERLINK("https://klasma.github.io/Logging_1737/tillsynsmail/A 16414-2023 tillsynsbegäran mail.docx", "A 16414-2023")</f>
        <v/>
      </c>
      <c r="Z311">
        <f>HYPERLINK("https://klasma.github.io/Logging_1737/fåglar/A 16414-2023 prioriterade fågelarter.docx", "A 16414-2023")</f>
        <v/>
      </c>
    </row>
    <row r="312" ht="15" customHeight="1">
      <c r="A312" t="inlineStr">
        <is>
          <t>A 16442-2023</t>
        </is>
      </c>
      <c r="B312" s="1" t="n">
        <v>45026</v>
      </c>
      <c r="C312" s="1" t="n">
        <v>45810</v>
      </c>
      <c r="D312" t="inlineStr">
        <is>
          <t>VÄRMLANDS LÄN</t>
        </is>
      </c>
      <c r="E312" t="inlineStr">
        <is>
          <t>TORSBY</t>
        </is>
      </c>
      <c r="G312" t="n">
        <v>2.1</v>
      </c>
      <c r="H312" t="n">
        <v>0</v>
      </c>
      <c r="I312" t="n">
        <v>0</v>
      </c>
      <c r="J312" t="n">
        <v>2</v>
      </c>
      <c r="K312" t="n">
        <v>0</v>
      </c>
      <c r="L312" t="n">
        <v>0</v>
      </c>
      <c r="M312" t="n">
        <v>0</v>
      </c>
      <c r="N312" t="n">
        <v>0</v>
      </c>
      <c r="O312" t="n">
        <v>2</v>
      </c>
      <c r="P312" t="n">
        <v>0</v>
      </c>
      <c r="Q312" t="n">
        <v>2</v>
      </c>
      <c r="R312" s="2" t="inlineStr">
        <is>
          <t>Garnlav
Vedskivlav</t>
        </is>
      </c>
      <c r="S312">
        <f>HYPERLINK("https://klasma.github.io/Logging_1737/artfynd/A 16442-2023 artfynd.xlsx", "A 16442-2023")</f>
        <v/>
      </c>
      <c r="T312">
        <f>HYPERLINK("https://klasma.github.io/Logging_1737/kartor/A 16442-2023 karta.png", "A 16442-2023")</f>
        <v/>
      </c>
      <c r="V312">
        <f>HYPERLINK("https://klasma.github.io/Logging_1737/klagomål/A 16442-2023 FSC-klagomål.docx", "A 16442-2023")</f>
        <v/>
      </c>
      <c r="W312">
        <f>HYPERLINK("https://klasma.github.io/Logging_1737/klagomålsmail/A 16442-2023 FSC-klagomål mail.docx", "A 16442-2023")</f>
        <v/>
      </c>
      <c r="X312">
        <f>HYPERLINK("https://klasma.github.io/Logging_1737/tillsyn/A 16442-2023 tillsynsbegäran.docx", "A 16442-2023")</f>
        <v/>
      </c>
      <c r="Y312">
        <f>HYPERLINK("https://klasma.github.io/Logging_1737/tillsynsmail/A 16442-2023 tillsynsbegäran mail.docx", "A 16442-2023")</f>
        <v/>
      </c>
    </row>
    <row r="313" ht="15" customHeight="1">
      <c r="A313" t="inlineStr">
        <is>
          <t>A 19945-2023</t>
        </is>
      </c>
      <c r="B313" s="1" t="n">
        <v>45054</v>
      </c>
      <c r="C313" s="1" t="n">
        <v>45810</v>
      </c>
      <c r="D313" t="inlineStr">
        <is>
          <t>VÄRMLANDS LÄN</t>
        </is>
      </c>
      <c r="E313" t="inlineStr">
        <is>
          <t>FILIPSTAD</t>
        </is>
      </c>
      <c r="G313" t="n">
        <v>3.3</v>
      </c>
      <c r="H313" t="n">
        <v>1</v>
      </c>
      <c r="I313" t="n">
        <v>2</v>
      </c>
      <c r="J313" t="n">
        <v>0</v>
      </c>
      <c r="K313" t="n">
        <v>0</v>
      </c>
      <c r="L313" t="n">
        <v>0</v>
      </c>
      <c r="M313" t="n">
        <v>0</v>
      </c>
      <c r="N313" t="n">
        <v>0</v>
      </c>
      <c r="O313" t="n">
        <v>0</v>
      </c>
      <c r="P313" t="n">
        <v>0</v>
      </c>
      <c r="Q313" t="n">
        <v>2</v>
      </c>
      <c r="R313" s="2" t="inlineStr">
        <is>
          <t>Guckusko
Kransrams</t>
        </is>
      </c>
      <c r="S313">
        <f>HYPERLINK("https://klasma.github.io/Logging_1782/artfynd/A 19945-2023 artfynd.xlsx", "A 19945-2023")</f>
        <v/>
      </c>
      <c r="T313">
        <f>HYPERLINK("https://klasma.github.io/Logging_1782/kartor/A 19945-2023 karta.png", "A 19945-2023")</f>
        <v/>
      </c>
      <c r="V313">
        <f>HYPERLINK("https://klasma.github.io/Logging_1782/klagomål/A 19945-2023 FSC-klagomål.docx", "A 19945-2023")</f>
        <v/>
      </c>
      <c r="W313">
        <f>HYPERLINK("https://klasma.github.io/Logging_1782/klagomålsmail/A 19945-2023 FSC-klagomål mail.docx", "A 19945-2023")</f>
        <v/>
      </c>
      <c r="X313">
        <f>HYPERLINK("https://klasma.github.io/Logging_1782/tillsyn/A 19945-2023 tillsynsbegäran.docx", "A 19945-2023")</f>
        <v/>
      </c>
      <c r="Y313">
        <f>HYPERLINK("https://klasma.github.io/Logging_1782/tillsynsmail/A 19945-2023 tillsynsbegäran mail.docx", "A 19945-2023")</f>
        <v/>
      </c>
    </row>
    <row r="314" ht="15" customHeight="1">
      <c r="A314" t="inlineStr">
        <is>
          <t>A 26039-2023</t>
        </is>
      </c>
      <c r="B314" s="1" t="n">
        <v>45091</v>
      </c>
      <c r="C314" s="1" t="n">
        <v>45810</v>
      </c>
      <c r="D314" t="inlineStr">
        <is>
          <t>VÄRMLANDS LÄN</t>
        </is>
      </c>
      <c r="E314" t="inlineStr">
        <is>
          <t>EDA</t>
        </is>
      </c>
      <c r="G314" t="n">
        <v>1.6</v>
      </c>
      <c r="H314" t="n">
        <v>2</v>
      </c>
      <c r="I314" t="n">
        <v>0</v>
      </c>
      <c r="J314" t="n">
        <v>2</v>
      </c>
      <c r="K314" t="n">
        <v>0</v>
      </c>
      <c r="L314" t="n">
        <v>0</v>
      </c>
      <c r="M314" t="n">
        <v>0</v>
      </c>
      <c r="N314" t="n">
        <v>0</v>
      </c>
      <c r="O314" t="n">
        <v>2</v>
      </c>
      <c r="P314" t="n">
        <v>0</v>
      </c>
      <c r="Q314" t="n">
        <v>2</v>
      </c>
      <c r="R314" s="2" t="inlineStr">
        <is>
          <t>Buskskvätta
Gulsparv</t>
        </is>
      </c>
      <c r="S314">
        <f>HYPERLINK("https://klasma.github.io/Logging_1730/artfynd/A 26039-2023 artfynd.xlsx", "A 26039-2023")</f>
        <v/>
      </c>
      <c r="T314">
        <f>HYPERLINK("https://klasma.github.io/Logging_1730/kartor/A 26039-2023 karta.png", "A 26039-2023")</f>
        <v/>
      </c>
      <c r="V314">
        <f>HYPERLINK("https://klasma.github.io/Logging_1730/klagomål/A 26039-2023 FSC-klagomål.docx", "A 26039-2023")</f>
        <v/>
      </c>
      <c r="W314">
        <f>HYPERLINK("https://klasma.github.io/Logging_1730/klagomålsmail/A 26039-2023 FSC-klagomål mail.docx", "A 26039-2023")</f>
        <v/>
      </c>
      <c r="X314">
        <f>HYPERLINK("https://klasma.github.io/Logging_1730/tillsyn/A 26039-2023 tillsynsbegäran.docx", "A 26039-2023")</f>
        <v/>
      </c>
      <c r="Y314">
        <f>HYPERLINK("https://klasma.github.io/Logging_1730/tillsynsmail/A 26039-2023 tillsynsbegäran mail.docx", "A 26039-2023")</f>
        <v/>
      </c>
      <c r="Z314">
        <f>HYPERLINK("https://klasma.github.io/Logging_1730/fåglar/A 26039-2023 prioriterade fågelarter.docx", "A 26039-2023")</f>
        <v/>
      </c>
    </row>
    <row r="315" ht="15" customHeight="1">
      <c r="A315" t="inlineStr">
        <is>
          <t>A 29756-2023</t>
        </is>
      </c>
      <c r="B315" s="1" t="n">
        <v>45107</v>
      </c>
      <c r="C315" s="1" t="n">
        <v>45810</v>
      </c>
      <c r="D315" t="inlineStr">
        <is>
          <t>VÄRMLANDS LÄN</t>
        </is>
      </c>
      <c r="E315" t="inlineStr">
        <is>
          <t>GRUMS</t>
        </is>
      </c>
      <c r="G315" t="n">
        <v>8.300000000000001</v>
      </c>
      <c r="H315" t="n">
        <v>0</v>
      </c>
      <c r="I315" t="n">
        <v>1</v>
      </c>
      <c r="J315" t="n">
        <v>1</v>
      </c>
      <c r="K315" t="n">
        <v>0</v>
      </c>
      <c r="L315" t="n">
        <v>0</v>
      </c>
      <c r="M315" t="n">
        <v>0</v>
      </c>
      <c r="N315" t="n">
        <v>0</v>
      </c>
      <c r="O315" t="n">
        <v>1</v>
      </c>
      <c r="P315" t="n">
        <v>0</v>
      </c>
      <c r="Q315" t="n">
        <v>2</v>
      </c>
      <c r="R315" s="2" t="inlineStr">
        <is>
          <t>Stiftgelélav
Brandticka</t>
        </is>
      </c>
      <c r="S315">
        <f>HYPERLINK("https://klasma.github.io/Logging_1764/artfynd/A 29756-2023 artfynd.xlsx", "A 29756-2023")</f>
        <v/>
      </c>
      <c r="T315">
        <f>HYPERLINK("https://klasma.github.io/Logging_1764/kartor/A 29756-2023 karta.png", "A 29756-2023")</f>
        <v/>
      </c>
      <c r="V315">
        <f>HYPERLINK("https://klasma.github.io/Logging_1764/klagomål/A 29756-2023 FSC-klagomål.docx", "A 29756-2023")</f>
        <v/>
      </c>
      <c r="W315">
        <f>HYPERLINK("https://klasma.github.io/Logging_1764/klagomålsmail/A 29756-2023 FSC-klagomål mail.docx", "A 29756-2023")</f>
        <v/>
      </c>
      <c r="X315">
        <f>HYPERLINK("https://klasma.github.io/Logging_1764/tillsyn/A 29756-2023 tillsynsbegäran.docx", "A 29756-2023")</f>
        <v/>
      </c>
      <c r="Y315">
        <f>HYPERLINK("https://klasma.github.io/Logging_1764/tillsynsmail/A 29756-2023 tillsynsbegäran mail.docx", "A 29756-2023")</f>
        <v/>
      </c>
    </row>
    <row r="316" ht="15" customHeight="1">
      <c r="A316" t="inlineStr">
        <is>
          <t>A 39251-2023</t>
        </is>
      </c>
      <c r="B316" s="1" t="n">
        <v>45166</v>
      </c>
      <c r="C316" s="1" t="n">
        <v>45810</v>
      </c>
      <c r="D316" t="inlineStr">
        <is>
          <t>VÄRMLANDS LÄN</t>
        </is>
      </c>
      <c r="E316" t="inlineStr">
        <is>
          <t>ÅRJÄNG</t>
        </is>
      </c>
      <c r="F316" t="inlineStr">
        <is>
          <t>Kyrkan</t>
        </is>
      </c>
      <c r="G316" t="n">
        <v>5.1</v>
      </c>
      <c r="H316" t="n">
        <v>2</v>
      </c>
      <c r="I316" t="n">
        <v>0</v>
      </c>
      <c r="J316" t="n">
        <v>1</v>
      </c>
      <c r="K316" t="n">
        <v>0</v>
      </c>
      <c r="L316" t="n">
        <v>0</v>
      </c>
      <c r="M316" t="n">
        <v>0</v>
      </c>
      <c r="N316" t="n">
        <v>0</v>
      </c>
      <c r="O316" t="n">
        <v>1</v>
      </c>
      <c r="P316" t="n">
        <v>0</v>
      </c>
      <c r="Q316" t="n">
        <v>2</v>
      </c>
      <c r="R316" s="2" t="inlineStr">
        <is>
          <t>Nordfladdermus
Vattenfladdermus</t>
        </is>
      </c>
      <c r="S316">
        <f>HYPERLINK("https://klasma.github.io/Logging_1765/artfynd/A 39251-2023 artfynd.xlsx", "A 39251-2023")</f>
        <v/>
      </c>
      <c r="T316">
        <f>HYPERLINK("https://klasma.github.io/Logging_1765/kartor/A 39251-2023 karta.png", "A 39251-2023")</f>
        <v/>
      </c>
      <c r="V316">
        <f>HYPERLINK("https://klasma.github.io/Logging_1765/klagomål/A 39251-2023 FSC-klagomål.docx", "A 39251-2023")</f>
        <v/>
      </c>
      <c r="W316">
        <f>HYPERLINK("https://klasma.github.io/Logging_1765/klagomålsmail/A 39251-2023 FSC-klagomål mail.docx", "A 39251-2023")</f>
        <v/>
      </c>
      <c r="X316">
        <f>HYPERLINK("https://klasma.github.io/Logging_1765/tillsyn/A 39251-2023 tillsynsbegäran.docx", "A 39251-2023")</f>
        <v/>
      </c>
      <c r="Y316">
        <f>HYPERLINK("https://klasma.github.io/Logging_1765/tillsynsmail/A 39251-2023 tillsynsbegäran mail.docx", "A 39251-2023")</f>
        <v/>
      </c>
    </row>
    <row r="317" ht="15" customHeight="1">
      <c r="A317" t="inlineStr">
        <is>
          <t>A 41507-2023</t>
        </is>
      </c>
      <c r="B317" s="1" t="n">
        <v>45175</v>
      </c>
      <c r="C317" s="1" t="n">
        <v>45810</v>
      </c>
      <c r="D317" t="inlineStr">
        <is>
          <t>VÄRMLANDS LÄN</t>
        </is>
      </c>
      <c r="E317" t="inlineStr">
        <is>
          <t>KARLSTAD</t>
        </is>
      </c>
      <c r="G317" t="n">
        <v>11.4</v>
      </c>
      <c r="H317" t="n">
        <v>0</v>
      </c>
      <c r="I317" t="n">
        <v>2</v>
      </c>
      <c r="J317" t="n">
        <v>0</v>
      </c>
      <c r="K317" t="n">
        <v>0</v>
      </c>
      <c r="L317" t="n">
        <v>0</v>
      </c>
      <c r="M317" t="n">
        <v>0</v>
      </c>
      <c r="N317" t="n">
        <v>0</v>
      </c>
      <c r="O317" t="n">
        <v>0</v>
      </c>
      <c r="P317" t="n">
        <v>0</v>
      </c>
      <c r="Q317" t="n">
        <v>2</v>
      </c>
      <c r="R317" s="2" t="inlineStr">
        <is>
          <t>Blåmossa
Thomsons trägnagare</t>
        </is>
      </c>
      <c r="S317">
        <f>HYPERLINK("https://klasma.github.io/Logging_1780/artfynd/A 41507-2023 artfynd.xlsx", "A 41507-2023")</f>
        <v/>
      </c>
      <c r="T317">
        <f>HYPERLINK("https://klasma.github.io/Logging_1780/kartor/A 41507-2023 karta.png", "A 41507-2023")</f>
        <v/>
      </c>
      <c r="V317">
        <f>HYPERLINK("https://klasma.github.io/Logging_1780/klagomål/A 41507-2023 FSC-klagomål.docx", "A 41507-2023")</f>
        <v/>
      </c>
      <c r="W317">
        <f>HYPERLINK("https://klasma.github.io/Logging_1780/klagomålsmail/A 41507-2023 FSC-klagomål mail.docx", "A 41507-2023")</f>
        <v/>
      </c>
      <c r="X317">
        <f>HYPERLINK("https://klasma.github.io/Logging_1780/tillsyn/A 41507-2023 tillsynsbegäran.docx", "A 41507-2023")</f>
        <v/>
      </c>
      <c r="Y317">
        <f>HYPERLINK("https://klasma.github.io/Logging_1780/tillsynsmail/A 41507-2023 tillsynsbegäran mail.docx", "A 41507-2023")</f>
        <v/>
      </c>
    </row>
    <row r="318" ht="15" customHeight="1">
      <c r="A318" t="inlineStr">
        <is>
          <t>A 42610-2023</t>
        </is>
      </c>
      <c r="B318" s="1" t="n">
        <v>45181</v>
      </c>
      <c r="C318" s="1" t="n">
        <v>45810</v>
      </c>
      <c r="D318" t="inlineStr">
        <is>
          <t>VÄRMLANDS LÄN</t>
        </is>
      </c>
      <c r="E318" t="inlineStr">
        <is>
          <t>TORSBY</t>
        </is>
      </c>
      <c r="G318" t="n">
        <v>16.9</v>
      </c>
      <c r="H318" t="n">
        <v>1</v>
      </c>
      <c r="I318" t="n">
        <v>0</v>
      </c>
      <c r="J318" t="n">
        <v>1</v>
      </c>
      <c r="K318" t="n">
        <v>0</v>
      </c>
      <c r="L318" t="n">
        <v>0</v>
      </c>
      <c r="M318" t="n">
        <v>0</v>
      </c>
      <c r="N318" t="n">
        <v>0</v>
      </c>
      <c r="O318" t="n">
        <v>1</v>
      </c>
      <c r="P318" t="n">
        <v>0</v>
      </c>
      <c r="Q318" t="n">
        <v>2</v>
      </c>
      <c r="R318" s="2" t="inlineStr">
        <is>
          <t>Garnlav
Tjäder</t>
        </is>
      </c>
      <c r="S318">
        <f>HYPERLINK("https://klasma.github.io/Logging_1737/artfynd/A 42610-2023 artfynd.xlsx", "A 42610-2023")</f>
        <v/>
      </c>
      <c r="T318">
        <f>HYPERLINK("https://klasma.github.io/Logging_1737/kartor/A 42610-2023 karta.png", "A 42610-2023")</f>
        <v/>
      </c>
      <c r="V318">
        <f>HYPERLINK("https://klasma.github.io/Logging_1737/klagomål/A 42610-2023 FSC-klagomål.docx", "A 42610-2023")</f>
        <v/>
      </c>
      <c r="W318">
        <f>HYPERLINK("https://klasma.github.io/Logging_1737/klagomålsmail/A 42610-2023 FSC-klagomål mail.docx", "A 42610-2023")</f>
        <v/>
      </c>
      <c r="X318">
        <f>HYPERLINK("https://klasma.github.io/Logging_1737/tillsyn/A 42610-2023 tillsynsbegäran.docx", "A 42610-2023")</f>
        <v/>
      </c>
      <c r="Y318">
        <f>HYPERLINK("https://klasma.github.io/Logging_1737/tillsynsmail/A 42610-2023 tillsynsbegäran mail.docx", "A 42610-2023")</f>
        <v/>
      </c>
      <c r="Z318">
        <f>HYPERLINK("https://klasma.github.io/Logging_1737/fåglar/A 42610-2023 prioriterade fågelarter.docx", "A 42610-2023")</f>
        <v/>
      </c>
    </row>
    <row r="319" ht="15" customHeight="1">
      <c r="A319" t="inlineStr">
        <is>
          <t>A 43389-2023</t>
        </is>
      </c>
      <c r="B319" s="1" t="n">
        <v>45183</v>
      </c>
      <c r="C319" s="1" t="n">
        <v>45810</v>
      </c>
      <c r="D319" t="inlineStr">
        <is>
          <t>VÄRMLANDS LÄN</t>
        </is>
      </c>
      <c r="E319" t="inlineStr">
        <is>
          <t>ARVIKA</t>
        </is>
      </c>
      <c r="G319" t="n">
        <v>0.9</v>
      </c>
      <c r="H319" t="n">
        <v>1</v>
      </c>
      <c r="I319" t="n">
        <v>0</v>
      </c>
      <c r="J319" t="n">
        <v>0</v>
      </c>
      <c r="K319" t="n">
        <v>1</v>
      </c>
      <c r="L319" t="n">
        <v>1</v>
      </c>
      <c r="M319" t="n">
        <v>0</v>
      </c>
      <c r="N319" t="n">
        <v>0</v>
      </c>
      <c r="O319" t="n">
        <v>2</v>
      </c>
      <c r="P319" t="n">
        <v>2</v>
      </c>
      <c r="Q319" t="n">
        <v>2</v>
      </c>
      <c r="R319" s="2" t="inlineStr">
        <is>
          <t>Raggtaggsvamp
Knärot</t>
        </is>
      </c>
      <c r="S319">
        <f>HYPERLINK("https://klasma.github.io/Logging_1784/artfynd/A 43389-2023 artfynd.xlsx", "A 43389-2023")</f>
        <v/>
      </c>
      <c r="T319">
        <f>HYPERLINK("https://klasma.github.io/Logging_1784/kartor/A 43389-2023 karta.png", "A 43389-2023")</f>
        <v/>
      </c>
      <c r="U319">
        <f>HYPERLINK("https://klasma.github.io/Logging_1784/knärot/A 43389-2023 karta knärot.png", "A 43389-2023")</f>
        <v/>
      </c>
      <c r="V319">
        <f>HYPERLINK("https://klasma.github.io/Logging_1784/klagomål/A 43389-2023 FSC-klagomål.docx", "A 43389-2023")</f>
        <v/>
      </c>
      <c r="W319">
        <f>HYPERLINK("https://klasma.github.io/Logging_1784/klagomålsmail/A 43389-2023 FSC-klagomål mail.docx", "A 43389-2023")</f>
        <v/>
      </c>
      <c r="X319">
        <f>HYPERLINK("https://klasma.github.io/Logging_1784/tillsyn/A 43389-2023 tillsynsbegäran.docx", "A 43389-2023")</f>
        <v/>
      </c>
      <c r="Y319">
        <f>HYPERLINK("https://klasma.github.io/Logging_1784/tillsynsmail/A 43389-2023 tillsynsbegäran mail.docx", "A 43389-2023")</f>
        <v/>
      </c>
    </row>
    <row r="320" ht="15" customHeight="1">
      <c r="A320" t="inlineStr">
        <is>
          <t>A 44655-2023</t>
        </is>
      </c>
      <c r="B320" s="1" t="n">
        <v>45189</v>
      </c>
      <c r="C320" s="1" t="n">
        <v>45810</v>
      </c>
      <c r="D320" t="inlineStr">
        <is>
          <t>VÄRMLANDS LÄN</t>
        </is>
      </c>
      <c r="E320" t="inlineStr">
        <is>
          <t>GRUMS</t>
        </is>
      </c>
      <c r="G320" t="n">
        <v>3.7</v>
      </c>
      <c r="H320" t="n">
        <v>1</v>
      </c>
      <c r="I320" t="n">
        <v>1</v>
      </c>
      <c r="J320" t="n">
        <v>0</v>
      </c>
      <c r="K320" t="n">
        <v>0</v>
      </c>
      <c r="L320" t="n">
        <v>0</v>
      </c>
      <c r="M320" t="n">
        <v>0</v>
      </c>
      <c r="N320" t="n">
        <v>0</v>
      </c>
      <c r="O320" t="n">
        <v>0</v>
      </c>
      <c r="P320" t="n">
        <v>0</v>
      </c>
      <c r="Q320" t="n">
        <v>2</v>
      </c>
      <c r="R320" s="2" t="inlineStr">
        <is>
          <t>Spindelbock
Vanlig groda</t>
        </is>
      </c>
      <c r="S320">
        <f>HYPERLINK("https://klasma.github.io/Logging_1764/artfynd/A 44655-2023 artfynd.xlsx", "A 44655-2023")</f>
        <v/>
      </c>
      <c r="T320">
        <f>HYPERLINK("https://klasma.github.io/Logging_1764/kartor/A 44655-2023 karta.png", "A 44655-2023")</f>
        <v/>
      </c>
      <c r="V320">
        <f>HYPERLINK("https://klasma.github.io/Logging_1764/klagomål/A 44655-2023 FSC-klagomål.docx", "A 44655-2023")</f>
        <v/>
      </c>
      <c r="W320">
        <f>HYPERLINK("https://klasma.github.io/Logging_1764/klagomålsmail/A 44655-2023 FSC-klagomål mail.docx", "A 44655-2023")</f>
        <v/>
      </c>
      <c r="X320">
        <f>HYPERLINK("https://klasma.github.io/Logging_1764/tillsyn/A 44655-2023 tillsynsbegäran.docx", "A 44655-2023")</f>
        <v/>
      </c>
      <c r="Y320">
        <f>HYPERLINK("https://klasma.github.io/Logging_1764/tillsynsmail/A 44655-2023 tillsynsbegäran mail.docx", "A 44655-2023")</f>
        <v/>
      </c>
    </row>
    <row r="321" ht="15" customHeight="1">
      <c r="A321" t="inlineStr">
        <is>
          <t>A 45401-2023</t>
        </is>
      </c>
      <c r="B321" s="1" t="n">
        <v>45194</v>
      </c>
      <c r="C321" s="1" t="n">
        <v>45810</v>
      </c>
      <c r="D321" t="inlineStr">
        <is>
          <t>VÄRMLANDS LÄN</t>
        </is>
      </c>
      <c r="E321" t="inlineStr">
        <is>
          <t>ARVIKA</t>
        </is>
      </c>
      <c r="G321" t="n">
        <v>2.4</v>
      </c>
      <c r="H321" t="n">
        <v>1</v>
      </c>
      <c r="I321" t="n">
        <v>0</v>
      </c>
      <c r="J321" t="n">
        <v>1</v>
      </c>
      <c r="K321" t="n">
        <v>1</v>
      </c>
      <c r="L321" t="n">
        <v>0</v>
      </c>
      <c r="M321" t="n">
        <v>0</v>
      </c>
      <c r="N321" t="n">
        <v>0</v>
      </c>
      <c r="O321" t="n">
        <v>2</v>
      </c>
      <c r="P321" t="n">
        <v>1</v>
      </c>
      <c r="Q321" t="n">
        <v>2</v>
      </c>
      <c r="R321" s="2" t="inlineStr">
        <is>
          <t>Knärot
Skogsklocka</t>
        </is>
      </c>
      <c r="S321">
        <f>HYPERLINK("https://klasma.github.io/Logging_1784/artfynd/A 45401-2023 artfynd.xlsx", "A 45401-2023")</f>
        <v/>
      </c>
      <c r="T321">
        <f>HYPERLINK("https://klasma.github.io/Logging_1784/kartor/A 45401-2023 karta.png", "A 45401-2023")</f>
        <v/>
      </c>
      <c r="U321">
        <f>HYPERLINK("https://klasma.github.io/Logging_1784/knärot/A 45401-2023 karta knärot.png", "A 45401-2023")</f>
        <v/>
      </c>
      <c r="V321">
        <f>HYPERLINK("https://klasma.github.io/Logging_1784/klagomål/A 45401-2023 FSC-klagomål.docx", "A 45401-2023")</f>
        <v/>
      </c>
      <c r="W321">
        <f>HYPERLINK("https://klasma.github.io/Logging_1784/klagomålsmail/A 45401-2023 FSC-klagomål mail.docx", "A 45401-2023")</f>
        <v/>
      </c>
      <c r="X321">
        <f>HYPERLINK("https://klasma.github.io/Logging_1784/tillsyn/A 45401-2023 tillsynsbegäran.docx", "A 45401-2023")</f>
        <v/>
      </c>
      <c r="Y321">
        <f>HYPERLINK("https://klasma.github.io/Logging_1784/tillsynsmail/A 45401-2023 tillsynsbegäran mail.docx", "A 45401-2023")</f>
        <v/>
      </c>
    </row>
    <row r="322" ht="15" customHeight="1">
      <c r="A322" t="inlineStr">
        <is>
          <t>A 46008-2023</t>
        </is>
      </c>
      <c r="B322" s="1" t="n">
        <v>45196</v>
      </c>
      <c r="C322" s="1" t="n">
        <v>45810</v>
      </c>
      <c r="D322" t="inlineStr">
        <is>
          <t>VÄRMLANDS LÄN</t>
        </is>
      </c>
      <c r="E322" t="inlineStr">
        <is>
          <t>TORSBY</t>
        </is>
      </c>
      <c r="G322" t="n">
        <v>15.4</v>
      </c>
      <c r="H322" t="n">
        <v>0</v>
      </c>
      <c r="I322" t="n">
        <v>0</v>
      </c>
      <c r="J322" t="n">
        <v>2</v>
      </c>
      <c r="K322" t="n">
        <v>0</v>
      </c>
      <c r="L322" t="n">
        <v>0</v>
      </c>
      <c r="M322" t="n">
        <v>0</v>
      </c>
      <c r="N322" t="n">
        <v>0</v>
      </c>
      <c r="O322" t="n">
        <v>2</v>
      </c>
      <c r="P322" t="n">
        <v>0</v>
      </c>
      <c r="Q322" t="n">
        <v>2</v>
      </c>
      <c r="R322" s="2" t="inlineStr">
        <is>
          <t>Dvärgbägarlav
Garnlav</t>
        </is>
      </c>
      <c r="S322">
        <f>HYPERLINK("https://klasma.github.io/Logging_1737/artfynd/A 46008-2023 artfynd.xlsx", "A 46008-2023")</f>
        <v/>
      </c>
      <c r="T322">
        <f>HYPERLINK("https://klasma.github.io/Logging_1737/kartor/A 46008-2023 karta.png", "A 46008-2023")</f>
        <v/>
      </c>
      <c r="V322">
        <f>HYPERLINK("https://klasma.github.io/Logging_1737/klagomål/A 46008-2023 FSC-klagomål.docx", "A 46008-2023")</f>
        <v/>
      </c>
      <c r="W322">
        <f>HYPERLINK("https://klasma.github.io/Logging_1737/klagomålsmail/A 46008-2023 FSC-klagomål mail.docx", "A 46008-2023")</f>
        <v/>
      </c>
      <c r="X322">
        <f>HYPERLINK("https://klasma.github.io/Logging_1737/tillsyn/A 46008-2023 tillsynsbegäran.docx", "A 46008-2023")</f>
        <v/>
      </c>
      <c r="Y322">
        <f>HYPERLINK("https://klasma.github.io/Logging_1737/tillsynsmail/A 46008-2023 tillsynsbegäran mail.docx", "A 46008-2023")</f>
        <v/>
      </c>
    </row>
    <row r="323" ht="15" customHeight="1">
      <c r="A323" t="inlineStr">
        <is>
          <t>A 47551-2023</t>
        </is>
      </c>
      <c r="B323" s="1" t="n">
        <v>45203</v>
      </c>
      <c r="C323" s="1" t="n">
        <v>45810</v>
      </c>
      <c r="D323" t="inlineStr">
        <is>
          <t>VÄRMLANDS LÄN</t>
        </is>
      </c>
      <c r="E323" t="inlineStr">
        <is>
          <t>SÄFFLE</t>
        </is>
      </c>
      <c r="G323" t="n">
        <v>1.4</v>
      </c>
      <c r="H323" t="n">
        <v>2</v>
      </c>
      <c r="I323" t="n">
        <v>0</v>
      </c>
      <c r="J323" t="n">
        <v>0</v>
      </c>
      <c r="K323" t="n">
        <v>0</v>
      </c>
      <c r="L323" t="n">
        <v>0</v>
      </c>
      <c r="M323" t="n">
        <v>0</v>
      </c>
      <c r="N323" t="n">
        <v>0</v>
      </c>
      <c r="O323" t="n">
        <v>0</v>
      </c>
      <c r="P323" t="n">
        <v>0</v>
      </c>
      <c r="Q323" t="n">
        <v>2</v>
      </c>
      <c r="R323" s="2" t="inlineStr">
        <is>
          <t>Större vattensalamander
Vanlig snok</t>
        </is>
      </c>
      <c r="S323">
        <f>HYPERLINK("https://klasma.github.io/Logging_1785/artfynd/A 47551-2023 artfynd.xlsx", "A 47551-2023")</f>
        <v/>
      </c>
      <c r="T323">
        <f>HYPERLINK("https://klasma.github.io/Logging_1785/kartor/A 47551-2023 karta.png", "A 47551-2023")</f>
        <v/>
      </c>
      <c r="V323">
        <f>HYPERLINK("https://klasma.github.io/Logging_1785/klagomål/A 47551-2023 FSC-klagomål.docx", "A 47551-2023")</f>
        <v/>
      </c>
      <c r="W323">
        <f>HYPERLINK("https://klasma.github.io/Logging_1785/klagomålsmail/A 47551-2023 FSC-klagomål mail.docx", "A 47551-2023")</f>
        <v/>
      </c>
      <c r="X323">
        <f>HYPERLINK("https://klasma.github.io/Logging_1785/tillsyn/A 47551-2023 tillsynsbegäran.docx", "A 47551-2023")</f>
        <v/>
      </c>
      <c r="Y323">
        <f>HYPERLINK("https://klasma.github.io/Logging_1785/tillsynsmail/A 47551-2023 tillsynsbegäran mail.docx", "A 47551-2023")</f>
        <v/>
      </c>
    </row>
    <row r="324" ht="15" customHeight="1">
      <c r="A324" t="inlineStr">
        <is>
          <t>A 48292-2023</t>
        </is>
      </c>
      <c r="B324" s="1" t="n">
        <v>45205</v>
      </c>
      <c r="C324" s="1" t="n">
        <v>45810</v>
      </c>
      <c r="D324" t="inlineStr">
        <is>
          <t>VÄRMLANDS LÄN</t>
        </is>
      </c>
      <c r="E324" t="inlineStr">
        <is>
          <t>TORSBY</t>
        </is>
      </c>
      <c r="G324" t="n">
        <v>2.3</v>
      </c>
      <c r="H324" t="n">
        <v>0</v>
      </c>
      <c r="I324" t="n">
        <v>1</v>
      </c>
      <c r="J324" t="n">
        <v>1</v>
      </c>
      <c r="K324" t="n">
        <v>0</v>
      </c>
      <c r="L324" t="n">
        <v>0</v>
      </c>
      <c r="M324" t="n">
        <v>0</v>
      </c>
      <c r="N324" t="n">
        <v>0</v>
      </c>
      <c r="O324" t="n">
        <v>1</v>
      </c>
      <c r="P324" t="n">
        <v>0</v>
      </c>
      <c r="Q324" t="n">
        <v>2</v>
      </c>
      <c r="R324" s="2" t="inlineStr">
        <is>
          <t>Vedtrappmossa
Vedticka</t>
        </is>
      </c>
      <c r="S324">
        <f>HYPERLINK("https://klasma.github.io/Logging_1737/artfynd/A 48292-2023 artfynd.xlsx", "A 48292-2023")</f>
        <v/>
      </c>
      <c r="T324">
        <f>HYPERLINK("https://klasma.github.io/Logging_1737/kartor/A 48292-2023 karta.png", "A 48292-2023")</f>
        <v/>
      </c>
      <c r="V324">
        <f>HYPERLINK("https://klasma.github.io/Logging_1737/klagomål/A 48292-2023 FSC-klagomål.docx", "A 48292-2023")</f>
        <v/>
      </c>
      <c r="W324">
        <f>HYPERLINK("https://klasma.github.io/Logging_1737/klagomålsmail/A 48292-2023 FSC-klagomål mail.docx", "A 48292-2023")</f>
        <v/>
      </c>
      <c r="X324">
        <f>HYPERLINK("https://klasma.github.io/Logging_1737/tillsyn/A 48292-2023 tillsynsbegäran.docx", "A 48292-2023")</f>
        <v/>
      </c>
      <c r="Y324">
        <f>HYPERLINK("https://klasma.github.io/Logging_1737/tillsynsmail/A 48292-2023 tillsynsbegäran mail.docx", "A 48292-2023")</f>
        <v/>
      </c>
    </row>
    <row r="325" ht="15" customHeight="1">
      <c r="A325" t="inlineStr">
        <is>
          <t>A 48678-2023</t>
        </is>
      </c>
      <c r="B325" s="1" t="n">
        <v>45208</v>
      </c>
      <c r="C325" s="1" t="n">
        <v>45810</v>
      </c>
      <c r="D325" t="inlineStr">
        <is>
          <t>VÄRMLANDS LÄN</t>
        </is>
      </c>
      <c r="E325" t="inlineStr">
        <is>
          <t>ÅRJÄNG</t>
        </is>
      </c>
      <c r="G325" t="n">
        <v>7.5</v>
      </c>
      <c r="H325" t="n">
        <v>1</v>
      </c>
      <c r="I325" t="n">
        <v>1</v>
      </c>
      <c r="J325" t="n">
        <v>0</v>
      </c>
      <c r="K325" t="n">
        <v>0</v>
      </c>
      <c r="L325" t="n">
        <v>0</v>
      </c>
      <c r="M325" t="n">
        <v>0</v>
      </c>
      <c r="N325" t="n">
        <v>0</v>
      </c>
      <c r="O325" t="n">
        <v>0</v>
      </c>
      <c r="P325" t="n">
        <v>0</v>
      </c>
      <c r="Q325" t="n">
        <v>2</v>
      </c>
      <c r="R325" s="2" t="inlineStr">
        <is>
          <t>Dropptaggsvamp
Tjäder</t>
        </is>
      </c>
      <c r="S325">
        <f>HYPERLINK("https://klasma.github.io/Logging_1765/artfynd/A 48678-2023 artfynd.xlsx", "A 48678-2023")</f>
        <v/>
      </c>
      <c r="T325">
        <f>HYPERLINK("https://klasma.github.io/Logging_1765/kartor/A 48678-2023 karta.png", "A 48678-2023")</f>
        <v/>
      </c>
      <c r="V325">
        <f>HYPERLINK("https://klasma.github.io/Logging_1765/klagomål/A 48678-2023 FSC-klagomål.docx", "A 48678-2023")</f>
        <v/>
      </c>
      <c r="W325">
        <f>HYPERLINK("https://klasma.github.io/Logging_1765/klagomålsmail/A 48678-2023 FSC-klagomål mail.docx", "A 48678-2023")</f>
        <v/>
      </c>
      <c r="X325">
        <f>HYPERLINK("https://klasma.github.io/Logging_1765/tillsyn/A 48678-2023 tillsynsbegäran.docx", "A 48678-2023")</f>
        <v/>
      </c>
      <c r="Y325">
        <f>HYPERLINK("https://klasma.github.io/Logging_1765/tillsynsmail/A 48678-2023 tillsynsbegäran mail.docx", "A 48678-2023")</f>
        <v/>
      </c>
      <c r="Z325">
        <f>HYPERLINK("https://klasma.github.io/Logging_1765/fåglar/A 48678-2023 prioriterade fågelarter.docx", "A 48678-2023")</f>
        <v/>
      </c>
    </row>
    <row r="326" ht="15" customHeight="1">
      <c r="A326" t="inlineStr">
        <is>
          <t>A 53000-2023</t>
        </is>
      </c>
      <c r="B326" s="1" t="n">
        <v>45226</v>
      </c>
      <c r="C326" s="1" t="n">
        <v>45810</v>
      </c>
      <c r="D326" t="inlineStr">
        <is>
          <t>VÄRMLANDS LÄN</t>
        </is>
      </c>
      <c r="E326" t="inlineStr">
        <is>
          <t>FORSHAGA</t>
        </is>
      </c>
      <c r="F326" t="inlineStr">
        <is>
          <t>Bergvik skog väst AB</t>
        </is>
      </c>
      <c r="G326" t="n">
        <v>13.2</v>
      </c>
      <c r="H326" t="n">
        <v>1</v>
      </c>
      <c r="I326" t="n">
        <v>1</v>
      </c>
      <c r="J326" t="n">
        <v>0</v>
      </c>
      <c r="K326" t="n">
        <v>0</v>
      </c>
      <c r="L326" t="n">
        <v>0</v>
      </c>
      <c r="M326" t="n">
        <v>0</v>
      </c>
      <c r="N326" t="n">
        <v>0</v>
      </c>
      <c r="O326" t="n">
        <v>0</v>
      </c>
      <c r="P326" t="n">
        <v>0</v>
      </c>
      <c r="Q326" t="n">
        <v>2</v>
      </c>
      <c r="R326" s="2" t="inlineStr">
        <is>
          <t>Svart trolldruva
Blåsippa</t>
        </is>
      </c>
      <c r="S326">
        <f>HYPERLINK("https://klasma.github.io/Logging_1763/artfynd/A 53000-2023 artfynd.xlsx", "A 53000-2023")</f>
        <v/>
      </c>
      <c r="T326">
        <f>HYPERLINK("https://klasma.github.io/Logging_1763/kartor/A 53000-2023 karta.png", "A 53000-2023")</f>
        <v/>
      </c>
      <c r="V326">
        <f>HYPERLINK("https://klasma.github.io/Logging_1763/klagomål/A 53000-2023 FSC-klagomål.docx", "A 53000-2023")</f>
        <v/>
      </c>
      <c r="W326">
        <f>HYPERLINK("https://klasma.github.io/Logging_1763/klagomålsmail/A 53000-2023 FSC-klagomål mail.docx", "A 53000-2023")</f>
        <v/>
      </c>
      <c r="X326">
        <f>HYPERLINK("https://klasma.github.io/Logging_1763/tillsyn/A 53000-2023 tillsynsbegäran.docx", "A 53000-2023")</f>
        <v/>
      </c>
      <c r="Y326">
        <f>HYPERLINK("https://klasma.github.io/Logging_1763/tillsynsmail/A 53000-2023 tillsynsbegäran mail.docx", "A 53000-2023")</f>
        <v/>
      </c>
    </row>
    <row r="327" ht="15" customHeight="1">
      <c r="A327" t="inlineStr">
        <is>
          <t>A 60741-2023</t>
        </is>
      </c>
      <c r="B327" s="1" t="n">
        <v>45260</v>
      </c>
      <c r="C327" s="1" t="n">
        <v>45810</v>
      </c>
      <c r="D327" t="inlineStr">
        <is>
          <t>VÄRMLANDS LÄN</t>
        </is>
      </c>
      <c r="E327" t="inlineStr">
        <is>
          <t>ÅRJÄNG</t>
        </is>
      </c>
      <c r="G327" t="n">
        <v>2.7</v>
      </c>
      <c r="H327" t="n">
        <v>0</v>
      </c>
      <c r="I327" t="n">
        <v>0</v>
      </c>
      <c r="J327" t="n">
        <v>2</v>
      </c>
      <c r="K327" t="n">
        <v>0</v>
      </c>
      <c r="L327" t="n">
        <v>0</v>
      </c>
      <c r="M327" t="n">
        <v>0</v>
      </c>
      <c r="N327" t="n">
        <v>0</v>
      </c>
      <c r="O327" t="n">
        <v>2</v>
      </c>
      <c r="P327" t="n">
        <v>0</v>
      </c>
      <c r="Q327" t="n">
        <v>2</v>
      </c>
      <c r="R327" s="2" t="inlineStr">
        <is>
          <t>Garnlav
Vedskivlav</t>
        </is>
      </c>
      <c r="S327">
        <f>HYPERLINK("https://klasma.github.io/Logging_1765/artfynd/A 60741-2023 artfynd.xlsx", "A 60741-2023")</f>
        <v/>
      </c>
      <c r="T327">
        <f>HYPERLINK("https://klasma.github.io/Logging_1765/kartor/A 60741-2023 karta.png", "A 60741-2023")</f>
        <v/>
      </c>
      <c r="V327">
        <f>HYPERLINK("https://klasma.github.io/Logging_1765/klagomål/A 60741-2023 FSC-klagomål.docx", "A 60741-2023")</f>
        <v/>
      </c>
      <c r="W327">
        <f>HYPERLINK("https://klasma.github.io/Logging_1765/klagomålsmail/A 60741-2023 FSC-klagomål mail.docx", "A 60741-2023")</f>
        <v/>
      </c>
      <c r="X327">
        <f>HYPERLINK("https://klasma.github.io/Logging_1765/tillsyn/A 60741-2023 tillsynsbegäran.docx", "A 60741-2023")</f>
        <v/>
      </c>
      <c r="Y327">
        <f>HYPERLINK("https://klasma.github.io/Logging_1765/tillsynsmail/A 60741-2023 tillsynsbegäran mail.docx", "A 60741-2023")</f>
        <v/>
      </c>
    </row>
    <row r="328" ht="15" customHeight="1">
      <c r="A328" t="inlineStr">
        <is>
          <t>A 60688-2023</t>
        </is>
      </c>
      <c r="B328" s="1" t="n">
        <v>45260</v>
      </c>
      <c r="C328" s="1" t="n">
        <v>45810</v>
      </c>
      <c r="D328" t="inlineStr">
        <is>
          <t>VÄRMLANDS LÄN</t>
        </is>
      </c>
      <c r="E328" t="inlineStr">
        <is>
          <t>ÅRJÄNG</t>
        </is>
      </c>
      <c r="G328" t="n">
        <v>4.2</v>
      </c>
      <c r="H328" t="n">
        <v>0</v>
      </c>
      <c r="I328" t="n">
        <v>0</v>
      </c>
      <c r="J328" t="n">
        <v>2</v>
      </c>
      <c r="K328" t="n">
        <v>0</v>
      </c>
      <c r="L328" t="n">
        <v>0</v>
      </c>
      <c r="M328" t="n">
        <v>0</v>
      </c>
      <c r="N328" t="n">
        <v>0</v>
      </c>
      <c r="O328" t="n">
        <v>2</v>
      </c>
      <c r="P328" t="n">
        <v>0</v>
      </c>
      <c r="Q328" t="n">
        <v>2</v>
      </c>
      <c r="R328" s="2" t="inlineStr">
        <is>
          <t>Garnlav
Vedskivlav</t>
        </is>
      </c>
      <c r="S328">
        <f>HYPERLINK("https://klasma.github.io/Logging_1765/artfynd/A 60688-2023 artfynd.xlsx", "A 60688-2023")</f>
        <v/>
      </c>
      <c r="T328">
        <f>HYPERLINK("https://klasma.github.io/Logging_1765/kartor/A 60688-2023 karta.png", "A 60688-2023")</f>
        <v/>
      </c>
      <c r="V328">
        <f>HYPERLINK("https://klasma.github.io/Logging_1765/klagomål/A 60688-2023 FSC-klagomål.docx", "A 60688-2023")</f>
        <v/>
      </c>
      <c r="W328">
        <f>HYPERLINK("https://klasma.github.io/Logging_1765/klagomålsmail/A 60688-2023 FSC-klagomål mail.docx", "A 60688-2023")</f>
        <v/>
      </c>
      <c r="X328">
        <f>HYPERLINK("https://klasma.github.io/Logging_1765/tillsyn/A 60688-2023 tillsynsbegäran.docx", "A 60688-2023")</f>
        <v/>
      </c>
      <c r="Y328">
        <f>HYPERLINK("https://klasma.github.io/Logging_1765/tillsynsmail/A 60688-2023 tillsynsbegäran mail.docx", "A 60688-2023")</f>
        <v/>
      </c>
    </row>
    <row r="329" ht="15" customHeight="1">
      <c r="A329" t="inlineStr">
        <is>
          <t>A 61722-2023</t>
        </is>
      </c>
      <c r="B329" s="1" t="n">
        <v>45265</v>
      </c>
      <c r="C329" s="1" t="n">
        <v>45810</v>
      </c>
      <c r="D329" t="inlineStr">
        <is>
          <t>VÄRMLANDS LÄN</t>
        </is>
      </c>
      <c r="E329" t="inlineStr">
        <is>
          <t>FORSHAGA</t>
        </is>
      </c>
      <c r="G329" t="n">
        <v>1.7</v>
      </c>
      <c r="H329" t="n">
        <v>2</v>
      </c>
      <c r="I329" t="n">
        <v>0</v>
      </c>
      <c r="J329" t="n">
        <v>1</v>
      </c>
      <c r="K329" t="n">
        <v>0</v>
      </c>
      <c r="L329" t="n">
        <v>0</v>
      </c>
      <c r="M329" t="n">
        <v>0</v>
      </c>
      <c r="N329" t="n">
        <v>0</v>
      </c>
      <c r="O329" t="n">
        <v>1</v>
      </c>
      <c r="P329" t="n">
        <v>0</v>
      </c>
      <c r="Q329" t="n">
        <v>2</v>
      </c>
      <c r="R329" s="2" t="inlineStr">
        <is>
          <t>Spillkråka
Vanlig groda</t>
        </is>
      </c>
      <c r="S329">
        <f>HYPERLINK("https://klasma.github.io/Logging_1763/artfynd/A 61722-2023 artfynd.xlsx", "A 61722-2023")</f>
        <v/>
      </c>
      <c r="T329">
        <f>HYPERLINK("https://klasma.github.io/Logging_1763/kartor/A 61722-2023 karta.png", "A 61722-2023")</f>
        <v/>
      </c>
      <c r="V329">
        <f>HYPERLINK("https://klasma.github.io/Logging_1763/klagomål/A 61722-2023 FSC-klagomål.docx", "A 61722-2023")</f>
        <v/>
      </c>
      <c r="W329">
        <f>HYPERLINK("https://klasma.github.io/Logging_1763/klagomålsmail/A 61722-2023 FSC-klagomål mail.docx", "A 61722-2023")</f>
        <v/>
      </c>
      <c r="X329">
        <f>HYPERLINK("https://klasma.github.io/Logging_1763/tillsyn/A 61722-2023 tillsynsbegäran.docx", "A 61722-2023")</f>
        <v/>
      </c>
      <c r="Y329">
        <f>HYPERLINK("https://klasma.github.io/Logging_1763/tillsynsmail/A 61722-2023 tillsynsbegäran mail.docx", "A 61722-2023")</f>
        <v/>
      </c>
      <c r="Z329">
        <f>HYPERLINK("https://klasma.github.io/Logging_1763/fåglar/A 61722-2023 prioriterade fågelarter.docx", "A 61722-2023")</f>
        <v/>
      </c>
    </row>
    <row r="330" ht="15" customHeight="1">
      <c r="A330" t="inlineStr">
        <is>
          <t>A 62955-2023</t>
        </is>
      </c>
      <c r="B330" s="1" t="n">
        <v>45271</v>
      </c>
      <c r="C330" s="1" t="n">
        <v>45810</v>
      </c>
      <c r="D330" t="inlineStr">
        <is>
          <t>VÄRMLANDS LÄN</t>
        </is>
      </c>
      <c r="E330" t="inlineStr">
        <is>
          <t>TORSBY</t>
        </is>
      </c>
      <c r="F330" t="inlineStr">
        <is>
          <t>Övriga statliga verk och myndigheter</t>
        </is>
      </c>
      <c r="G330" t="n">
        <v>4.2</v>
      </c>
      <c r="H330" t="n">
        <v>0</v>
      </c>
      <c r="I330" t="n">
        <v>0</v>
      </c>
      <c r="J330" t="n">
        <v>2</v>
      </c>
      <c r="K330" t="n">
        <v>0</v>
      </c>
      <c r="L330" t="n">
        <v>0</v>
      </c>
      <c r="M330" t="n">
        <v>0</v>
      </c>
      <c r="N330" t="n">
        <v>0</v>
      </c>
      <c r="O330" t="n">
        <v>2</v>
      </c>
      <c r="P330" t="n">
        <v>0</v>
      </c>
      <c r="Q330" t="n">
        <v>2</v>
      </c>
      <c r="R330" s="2" t="inlineStr">
        <is>
          <t>Garnlav
Vedtrappmossa</t>
        </is>
      </c>
      <c r="S330">
        <f>HYPERLINK("https://klasma.github.io/Logging_1737/artfynd/A 62955-2023 artfynd.xlsx", "A 62955-2023")</f>
        <v/>
      </c>
      <c r="T330">
        <f>HYPERLINK("https://klasma.github.io/Logging_1737/kartor/A 62955-2023 karta.png", "A 62955-2023")</f>
        <v/>
      </c>
      <c r="V330">
        <f>HYPERLINK("https://klasma.github.io/Logging_1737/klagomål/A 62955-2023 FSC-klagomål.docx", "A 62955-2023")</f>
        <v/>
      </c>
      <c r="W330">
        <f>HYPERLINK("https://klasma.github.io/Logging_1737/klagomålsmail/A 62955-2023 FSC-klagomål mail.docx", "A 62955-2023")</f>
        <v/>
      </c>
      <c r="X330">
        <f>HYPERLINK("https://klasma.github.io/Logging_1737/tillsyn/A 62955-2023 tillsynsbegäran.docx", "A 62955-2023")</f>
        <v/>
      </c>
      <c r="Y330">
        <f>HYPERLINK("https://klasma.github.io/Logging_1737/tillsynsmail/A 62955-2023 tillsynsbegäran mail.docx", "A 62955-2023")</f>
        <v/>
      </c>
    </row>
    <row r="331" ht="15" customHeight="1">
      <c r="A331" t="inlineStr">
        <is>
          <t>A 63625-2023</t>
        </is>
      </c>
      <c r="B331" s="1" t="n">
        <v>45275</v>
      </c>
      <c r="C331" s="1" t="n">
        <v>45810</v>
      </c>
      <c r="D331" t="inlineStr">
        <is>
          <t>VÄRMLANDS LÄN</t>
        </is>
      </c>
      <c r="E331" t="inlineStr">
        <is>
          <t>FILIPSTAD</t>
        </is>
      </c>
      <c r="G331" t="n">
        <v>1.9</v>
      </c>
      <c r="H331" t="n">
        <v>0</v>
      </c>
      <c r="I331" t="n">
        <v>0</v>
      </c>
      <c r="J331" t="n">
        <v>1</v>
      </c>
      <c r="K331" t="n">
        <v>1</v>
      </c>
      <c r="L331" t="n">
        <v>0</v>
      </c>
      <c r="M331" t="n">
        <v>0</v>
      </c>
      <c r="N331" t="n">
        <v>0</v>
      </c>
      <c r="O331" t="n">
        <v>2</v>
      </c>
      <c r="P331" t="n">
        <v>1</v>
      </c>
      <c r="Q331" t="n">
        <v>2</v>
      </c>
      <c r="R331" s="2" t="inlineStr">
        <is>
          <t>Smalfotad taggsvamp
Vaddporing</t>
        </is>
      </c>
      <c r="S331">
        <f>HYPERLINK("https://klasma.github.io/Logging_1782/artfynd/A 63625-2023 artfynd.xlsx", "A 63625-2023")</f>
        <v/>
      </c>
      <c r="T331">
        <f>HYPERLINK("https://klasma.github.io/Logging_1782/kartor/A 63625-2023 karta.png", "A 63625-2023")</f>
        <v/>
      </c>
      <c r="V331">
        <f>HYPERLINK("https://klasma.github.io/Logging_1782/klagomål/A 63625-2023 FSC-klagomål.docx", "A 63625-2023")</f>
        <v/>
      </c>
      <c r="W331">
        <f>HYPERLINK("https://klasma.github.io/Logging_1782/klagomålsmail/A 63625-2023 FSC-klagomål mail.docx", "A 63625-2023")</f>
        <v/>
      </c>
      <c r="X331">
        <f>HYPERLINK("https://klasma.github.io/Logging_1782/tillsyn/A 63625-2023 tillsynsbegäran.docx", "A 63625-2023")</f>
        <v/>
      </c>
      <c r="Y331">
        <f>HYPERLINK("https://klasma.github.io/Logging_1782/tillsynsmail/A 63625-2023 tillsynsbegäran mail.docx", "A 63625-2023")</f>
        <v/>
      </c>
    </row>
    <row r="332" ht="15" customHeight="1">
      <c r="A332" t="inlineStr">
        <is>
          <t>A 65232-2023</t>
        </is>
      </c>
      <c r="B332" s="1" t="n">
        <v>45289</v>
      </c>
      <c r="C332" s="1" t="n">
        <v>45810</v>
      </c>
      <c r="D332" t="inlineStr">
        <is>
          <t>VÄRMLANDS LÄN</t>
        </is>
      </c>
      <c r="E332" t="inlineStr">
        <is>
          <t>FILIPSTAD</t>
        </is>
      </c>
      <c r="F332" t="inlineStr">
        <is>
          <t>Bergvik skog väst AB</t>
        </is>
      </c>
      <c r="G332" t="n">
        <v>26.4</v>
      </c>
      <c r="H332" t="n">
        <v>0</v>
      </c>
      <c r="I332" t="n">
        <v>2</v>
      </c>
      <c r="J332" t="n">
        <v>0</v>
      </c>
      <c r="K332" t="n">
        <v>0</v>
      </c>
      <c r="L332" t="n">
        <v>0</v>
      </c>
      <c r="M332" t="n">
        <v>0</v>
      </c>
      <c r="N332" t="n">
        <v>0</v>
      </c>
      <c r="O332" t="n">
        <v>0</v>
      </c>
      <c r="P332" t="n">
        <v>0</v>
      </c>
      <c r="Q332" t="n">
        <v>2</v>
      </c>
      <c r="R332" s="2" t="inlineStr">
        <is>
          <t>Spetsvaxing
Ögonpyrola</t>
        </is>
      </c>
      <c r="S332">
        <f>HYPERLINK("https://klasma.github.io/Logging_1782/artfynd/A 65232-2023 artfynd.xlsx", "A 65232-2023")</f>
        <v/>
      </c>
      <c r="T332">
        <f>HYPERLINK("https://klasma.github.io/Logging_1782/kartor/A 65232-2023 karta.png", "A 65232-2023")</f>
        <v/>
      </c>
      <c r="V332">
        <f>HYPERLINK("https://klasma.github.io/Logging_1782/klagomål/A 65232-2023 FSC-klagomål.docx", "A 65232-2023")</f>
        <v/>
      </c>
      <c r="W332">
        <f>HYPERLINK("https://klasma.github.io/Logging_1782/klagomålsmail/A 65232-2023 FSC-klagomål mail.docx", "A 65232-2023")</f>
        <v/>
      </c>
      <c r="X332">
        <f>HYPERLINK("https://klasma.github.io/Logging_1782/tillsyn/A 65232-2023 tillsynsbegäran.docx", "A 65232-2023")</f>
        <v/>
      </c>
      <c r="Y332">
        <f>HYPERLINK("https://klasma.github.io/Logging_1782/tillsynsmail/A 65232-2023 tillsynsbegäran mail.docx", "A 65232-2023")</f>
        <v/>
      </c>
    </row>
    <row r="333" ht="15" customHeight="1">
      <c r="A333" t="inlineStr">
        <is>
          <t>A 4068-2024</t>
        </is>
      </c>
      <c r="B333" s="1" t="n">
        <v>45323</v>
      </c>
      <c r="C333" s="1" t="n">
        <v>45810</v>
      </c>
      <c r="D333" t="inlineStr">
        <is>
          <t>VÄRMLANDS LÄN</t>
        </is>
      </c>
      <c r="E333" t="inlineStr">
        <is>
          <t>TORSBY</t>
        </is>
      </c>
      <c r="G333" t="n">
        <v>2.9</v>
      </c>
      <c r="H333" t="n">
        <v>1</v>
      </c>
      <c r="I333" t="n">
        <v>2</v>
      </c>
      <c r="J333" t="n">
        <v>0</v>
      </c>
      <c r="K333" t="n">
        <v>0</v>
      </c>
      <c r="L333" t="n">
        <v>0</v>
      </c>
      <c r="M333" t="n">
        <v>0</v>
      </c>
      <c r="N333" t="n">
        <v>0</v>
      </c>
      <c r="O333" t="n">
        <v>0</v>
      </c>
      <c r="P333" t="n">
        <v>0</v>
      </c>
      <c r="Q333" t="n">
        <v>2</v>
      </c>
      <c r="R333" s="2" t="inlineStr">
        <is>
          <t>Korallrot
Springkorn</t>
        </is>
      </c>
      <c r="S333">
        <f>HYPERLINK("https://klasma.github.io/Logging_1737/artfynd/A 4068-2024 artfynd.xlsx", "A 4068-2024")</f>
        <v/>
      </c>
      <c r="T333">
        <f>HYPERLINK("https://klasma.github.io/Logging_1737/kartor/A 4068-2024 karta.png", "A 4068-2024")</f>
        <v/>
      </c>
      <c r="V333">
        <f>HYPERLINK("https://klasma.github.io/Logging_1737/klagomål/A 4068-2024 FSC-klagomål.docx", "A 4068-2024")</f>
        <v/>
      </c>
      <c r="W333">
        <f>HYPERLINK("https://klasma.github.io/Logging_1737/klagomålsmail/A 4068-2024 FSC-klagomål mail.docx", "A 4068-2024")</f>
        <v/>
      </c>
      <c r="X333">
        <f>HYPERLINK("https://klasma.github.io/Logging_1737/tillsyn/A 4068-2024 tillsynsbegäran.docx", "A 4068-2024")</f>
        <v/>
      </c>
      <c r="Y333">
        <f>HYPERLINK("https://klasma.github.io/Logging_1737/tillsynsmail/A 4068-2024 tillsynsbegäran mail.docx", "A 4068-2024")</f>
        <v/>
      </c>
    </row>
    <row r="334" ht="15" customHeight="1">
      <c r="A334" t="inlineStr">
        <is>
          <t>A 4296-2024</t>
        </is>
      </c>
      <c r="B334" s="1" t="n">
        <v>45324</v>
      </c>
      <c r="C334" s="1" t="n">
        <v>45810</v>
      </c>
      <c r="D334" t="inlineStr">
        <is>
          <t>VÄRMLANDS LÄN</t>
        </is>
      </c>
      <c r="E334" t="inlineStr">
        <is>
          <t>KARLSTAD</t>
        </is>
      </c>
      <c r="G334" t="n">
        <v>7.1</v>
      </c>
      <c r="H334" t="n">
        <v>2</v>
      </c>
      <c r="I334" t="n">
        <v>0</v>
      </c>
      <c r="J334" t="n">
        <v>2</v>
      </c>
      <c r="K334" t="n">
        <v>0</v>
      </c>
      <c r="L334" t="n">
        <v>0</v>
      </c>
      <c r="M334" t="n">
        <v>0</v>
      </c>
      <c r="N334" t="n">
        <v>0</v>
      </c>
      <c r="O334" t="n">
        <v>2</v>
      </c>
      <c r="P334" t="n">
        <v>0</v>
      </c>
      <c r="Q334" t="n">
        <v>2</v>
      </c>
      <c r="R334" s="2" t="inlineStr">
        <is>
          <t>Duvhök
Spillkråka</t>
        </is>
      </c>
      <c r="S334">
        <f>HYPERLINK("https://klasma.github.io/Logging_1780/artfynd/A 4296-2024 artfynd.xlsx", "A 4296-2024")</f>
        <v/>
      </c>
      <c r="T334">
        <f>HYPERLINK("https://klasma.github.io/Logging_1780/kartor/A 4296-2024 karta.png", "A 4296-2024")</f>
        <v/>
      </c>
      <c r="V334">
        <f>HYPERLINK("https://klasma.github.io/Logging_1780/klagomål/A 4296-2024 FSC-klagomål.docx", "A 4296-2024")</f>
        <v/>
      </c>
      <c r="W334">
        <f>HYPERLINK("https://klasma.github.io/Logging_1780/klagomålsmail/A 4296-2024 FSC-klagomål mail.docx", "A 4296-2024")</f>
        <v/>
      </c>
      <c r="X334">
        <f>HYPERLINK("https://klasma.github.io/Logging_1780/tillsyn/A 4296-2024 tillsynsbegäran.docx", "A 4296-2024")</f>
        <v/>
      </c>
      <c r="Y334">
        <f>HYPERLINK("https://klasma.github.io/Logging_1780/tillsynsmail/A 4296-2024 tillsynsbegäran mail.docx", "A 4296-2024")</f>
        <v/>
      </c>
      <c r="Z334">
        <f>HYPERLINK("https://klasma.github.io/Logging_1780/fåglar/A 4296-2024 prioriterade fågelarter.docx", "A 4296-2024")</f>
        <v/>
      </c>
    </row>
    <row r="335" ht="15" customHeight="1">
      <c r="A335" t="inlineStr">
        <is>
          <t>A 5978-2024</t>
        </is>
      </c>
      <c r="B335" s="1" t="n">
        <v>45336</v>
      </c>
      <c r="C335" s="1" t="n">
        <v>45810</v>
      </c>
      <c r="D335" t="inlineStr">
        <is>
          <t>VÄRMLANDS LÄN</t>
        </is>
      </c>
      <c r="E335" t="inlineStr">
        <is>
          <t>SUNNE</t>
        </is>
      </c>
      <c r="G335" t="n">
        <v>1.2</v>
      </c>
      <c r="H335" t="n">
        <v>0</v>
      </c>
      <c r="I335" t="n">
        <v>1</v>
      </c>
      <c r="J335" t="n">
        <v>1</v>
      </c>
      <c r="K335" t="n">
        <v>0</v>
      </c>
      <c r="L335" t="n">
        <v>0</v>
      </c>
      <c r="M335" t="n">
        <v>0</v>
      </c>
      <c r="N335" t="n">
        <v>0</v>
      </c>
      <c r="O335" t="n">
        <v>1</v>
      </c>
      <c r="P335" t="n">
        <v>0</v>
      </c>
      <c r="Q335" t="n">
        <v>2</v>
      </c>
      <c r="R335" s="2" t="inlineStr">
        <is>
          <t>Violettgrå tagellav
Skuggblåslav</t>
        </is>
      </c>
      <c r="S335">
        <f>HYPERLINK("https://klasma.github.io/Logging_1766/artfynd/A 5978-2024 artfynd.xlsx", "A 5978-2024")</f>
        <v/>
      </c>
      <c r="T335">
        <f>HYPERLINK("https://klasma.github.io/Logging_1766/kartor/A 5978-2024 karta.png", "A 5978-2024")</f>
        <v/>
      </c>
      <c r="V335">
        <f>HYPERLINK("https://klasma.github.io/Logging_1766/klagomål/A 5978-2024 FSC-klagomål.docx", "A 5978-2024")</f>
        <v/>
      </c>
      <c r="W335">
        <f>HYPERLINK("https://klasma.github.io/Logging_1766/klagomålsmail/A 5978-2024 FSC-klagomål mail.docx", "A 5978-2024")</f>
        <v/>
      </c>
      <c r="X335">
        <f>HYPERLINK("https://klasma.github.io/Logging_1766/tillsyn/A 5978-2024 tillsynsbegäran.docx", "A 5978-2024")</f>
        <v/>
      </c>
      <c r="Y335">
        <f>HYPERLINK("https://klasma.github.io/Logging_1766/tillsynsmail/A 5978-2024 tillsynsbegäran mail.docx", "A 5978-2024")</f>
        <v/>
      </c>
    </row>
    <row r="336" ht="15" customHeight="1">
      <c r="A336" t="inlineStr">
        <is>
          <t>A 7438-2024</t>
        </is>
      </c>
      <c r="B336" s="1" t="n">
        <v>45345</v>
      </c>
      <c r="C336" s="1" t="n">
        <v>45810</v>
      </c>
      <c r="D336" t="inlineStr">
        <is>
          <t>VÄRMLANDS LÄN</t>
        </is>
      </c>
      <c r="E336" t="inlineStr">
        <is>
          <t>ÅRJÄNG</t>
        </is>
      </c>
      <c r="G336" t="n">
        <v>12.3</v>
      </c>
      <c r="H336" t="n">
        <v>1</v>
      </c>
      <c r="I336" t="n">
        <v>1</v>
      </c>
      <c r="J336" t="n">
        <v>0</v>
      </c>
      <c r="K336" t="n">
        <v>0</v>
      </c>
      <c r="L336" t="n">
        <v>0</v>
      </c>
      <c r="M336" t="n">
        <v>0</v>
      </c>
      <c r="N336" t="n">
        <v>0</v>
      </c>
      <c r="O336" t="n">
        <v>0</v>
      </c>
      <c r="P336" t="n">
        <v>0</v>
      </c>
      <c r="Q336" t="n">
        <v>2</v>
      </c>
      <c r="R336" s="2" t="inlineStr">
        <is>
          <t>Dropptaggsvamp
Tjäder</t>
        </is>
      </c>
      <c r="S336">
        <f>HYPERLINK("https://klasma.github.io/Logging_1765/artfynd/A 7438-2024 artfynd.xlsx", "A 7438-2024")</f>
        <v/>
      </c>
      <c r="T336">
        <f>HYPERLINK("https://klasma.github.io/Logging_1765/kartor/A 7438-2024 karta.png", "A 7438-2024")</f>
        <v/>
      </c>
      <c r="V336">
        <f>HYPERLINK("https://klasma.github.io/Logging_1765/klagomål/A 7438-2024 FSC-klagomål.docx", "A 7438-2024")</f>
        <v/>
      </c>
      <c r="W336">
        <f>HYPERLINK("https://klasma.github.io/Logging_1765/klagomålsmail/A 7438-2024 FSC-klagomål mail.docx", "A 7438-2024")</f>
        <v/>
      </c>
      <c r="X336">
        <f>HYPERLINK("https://klasma.github.io/Logging_1765/tillsyn/A 7438-2024 tillsynsbegäran.docx", "A 7438-2024")</f>
        <v/>
      </c>
      <c r="Y336">
        <f>HYPERLINK("https://klasma.github.io/Logging_1765/tillsynsmail/A 7438-2024 tillsynsbegäran mail.docx", "A 7438-2024")</f>
        <v/>
      </c>
      <c r="Z336">
        <f>HYPERLINK("https://klasma.github.io/Logging_1765/fåglar/A 7438-2024 prioriterade fågelarter.docx", "A 7438-2024")</f>
        <v/>
      </c>
    </row>
    <row r="337" ht="15" customHeight="1">
      <c r="A337" t="inlineStr">
        <is>
          <t>A 9157-2024</t>
        </is>
      </c>
      <c r="B337" s="1" t="n">
        <v>45358</v>
      </c>
      <c r="C337" s="1" t="n">
        <v>45810</v>
      </c>
      <c r="D337" t="inlineStr">
        <is>
          <t>VÄRMLANDS LÄN</t>
        </is>
      </c>
      <c r="E337" t="inlineStr">
        <is>
          <t>EDA</t>
        </is>
      </c>
      <c r="G337" t="n">
        <v>1.3</v>
      </c>
      <c r="H337" t="n">
        <v>0</v>
      </c>
      <c r="I337" t="n">
        <v>1</v>
      </c>
      <c r="J337" t="n">
        <v>1</v>
      </c>
      <c r="K337" t="n">
        <v>0</v>
      </c>
      <c r="L337" t="n">
        <v>0</v>
      </c>
      <c r="M337" t="n">
        <v>0</v>
      </c>
      <c r="N337" t="n">
        <v>0</v>
      </c>
      <c r="O337" t="n">
        <v>1</v>
      </c>
      <c r="P337" t="n">
        <v>0</v>
      </c>
      <c r="Q337" t="n">
        <v>2</v>
      </c>
      <c r="R337" s="2" t="inlineStr">
        <is>
          <t>Ullticka
Bronshjon</t>
        </is>
      </c>
      <c r="S337">
        <f>HYPERLINK("https://klasma.github.io/Logging_1730/artfynd/A 9157-2024 artfynd.xlsx", "A 9157-2024")</f>
        <v/>
      </c>
      <c r="T337">
        <f>HYPERLINK("https://klasma.github.io/Logging_1730/kartor/A 9157-2024 karta.png", "A 9157-2024")</f>
        <v/>
      </c>
      <c r="V337">
        <f>HYPERLINK("https://klasma.github.io/Logging_1730/klagomål/A 9157-2024 FSC-klagomål.docx", "A 9157-2024")</f>
        <v/>
      </c>
      <c r="W337">
        <f>HYPERLINK("https://klasma.github.io/Logging_1730/klagomålsmail/A 9157-2024 FSC-klagomål mail.docx", "A 9157-2024")</f>
        <v/>
      </c>
      <c r="X337">
        <f>HYPERLINK("https://klasma.github.io/Logging_1730/tillsyn/A 9157-2024 tillsynsbegäran.docx", "A 9157-2024")</f>
        <v/>
      </c>
      <c r="Y337">
        <f>HYPERLINK("https://klasma.github.io/Logging_1730/tillsynsmail/A 9157-2024 tillsynsbegäran mail.docx", "A 9157-2024")</f>
        <v/>
      </c>
    </row>
    <row r="338" ht="15" customHeight="1">
      <c r="A338" t="inlineStr">
        <is>
          <t>A 14025-2024</t>
        </is>
      </c>
      <c r="B338" s="1" t="n">
        <v>45392</v>
      </c>
      <c r="C338" s="1" t="n">
        <v>45810</v>
      </c>
      <c r="D338" t="inlineStr">
        <is>
          <t>VÄRMLANDS LÄN</t>
        </is>
      </c>
      <c r="E338" t="inlineStr">
        <is>
          <t>ARVIKA</t>
        </is>
      </c>
      <c r="G338" t="n">
        <v>6</v>
      </c>
      <c r="H338" t="n">
        <v>1</v>
      </c>
      <c r="I338" t="n">
        <v>1</v>
      </c>
      <c r="J338" t="n">
        <v>0</v>
      </c>
      <c r="K338" t="n">
        <v>1</v>
      </c>
      <c r="L338" t="n">
        <v>0</v>
      </c>
      <c r="M338" t="n">
        <v>0</v>
      </c>
      <c r="N338" t="n">
        <v>0</v>
      </c>
      <c r="O338" t="n">
        <v>1</v>
      </c>
      <c r="P338" t="n">
        <v>1</v>
      </c>
      <c r="Q338" t="n">
        <v>2</v>
      </c>
      <c r="R338" s="2" t="inlineStr">
        <is>
          <t>Knärot
Fjällig taggsvamp s.str.</t>
        </is>
      </c>
      <c r="S338">
        <f>HYPERLINK("https://klasma.github.io/Logging_1784/artfynd/A 14025-2024 artfynd.xlsx", "A 14025-2024")</f>
        <v/>
      </c>
      <c r="T338">
        <f>HYPERLINK("https://klasma.github.io/Logging_1784/kartor/A 14025-2024 karta.png", "A 14025-2024")</f>
        <v/>
      </c>
      <c r="U338">
        <f>HYPERLINK("https://klasma.github.io/Logging_1784/knärot/A 14025-2024 karta knärot.png", "A 14025-2024")</f>
        <v/>
      </c>
      <c r="V338">
        <f>HYPERLINK("https://klasma.github.io/Logging_1784/klagomål/A 14025-2024 FSC-klagomål.docx", "A 14025-2024")</f>
        <v/>
      </c>
      <c r="W338">
        <f>HYPERLINK("https://klasma.github.io/Logging_1784/klagomålsmail/A 14025-2024 FSC-klagomål mail.docx", "A 14025-2024")</f>
        <v/>
      </c>
      <c r="X338">
        <f>HYPERLINK("https://klasma.github.io/Logging_1784/tillsyn/A 14025-2024 tillsynsbegäran.docx", "A 14025-2024")</f>
        <v/>
      </c>
      <c r="Y338">
        <f>HYPERLINK("https://klasma.github.io/Logging_1784/tillsynsmail/A 14025-2024 tillsynsbegäran mail.docx", "A 14025-2024")</f>
        <v/>
      </c>
    </row>
    <row r="339" ht="15" customHeight="1">
      <c r="A339" t="inlineStr">
        <is>
          <t>A 17288-2024</t>
        </is>
      </c>
      <c r="B339" s="1" t="n">
        <v>45414</v>
      </c>
      <c r="C339" s="1" t="n">
        <v>45810</v>
      </c>
      <c r="D339" t="inlineStr">
        <is>
          <t>VÄRMLANDS LÄN</t>
        </is>
      </c>
      <c r="E339" t="inlineStr">
        <is>
          <t>FORSHAGA</t>
        </is>
      </c>
      <c r="F339" t="inlineStr">
        <is>
          <t>Bergvik skog väst AB</t>
        </is>
      </c>
      <c r="G339" t="n">
        <v>20.8</v>
      </c>
      <c r="H339" t="n">
        <v>2</v>
      </c>
      <c r="I339" t="n">
        <v>1</v>
      </c>
      <c r="J339" t="n">
        <v>0</v>
      </c>
      <c r="K339" t="n">
        <v>0</v>
      </c>
      <c r="L339" t="n">
        <v>0</v>
      </c>
      <c r="M339" t="n">
        <v>0</v>
      </c>
      <c r="N339" t="n">
        <v>0</v>
      </c>
      <c r="O339" t="n">
        <v>0</v>
      </c>
      <c r="P339" t="n">
        <v>0</v>
      </c>
      <c r="Q339" t="n">
        <v>2</v>
      </c>
      <c r="R339" s="2" t="inlineStr">
        <is>
          <t>Skogsknipprot
Blåsippa</t>
        </is>
      </c>
      <c r="S339">
        <f>HYPERLINK("https://klasma.github.io/Logging_1763/artfynd/A 17288-2024 artfynd.xlsx", "A 17288-2024")</f>
        <v/>
      </c>
      <c r="T339">
        <f>HYPERLINK("https://klasma.github.io/Logging_1763/kartor/A 17288-2024 karta.png", "A 17288-2024")</f>
        <v/>
      </c>
      <c r="V339">
        <f>HYPERLINK("https://klasma.github.io/Logging_1763/klagomål/A 17288-2024 FSC-klagomål.docx", "A 17288-2024")</f>
        <v/>
      </c>
      <c r="W339">
        <f>HYPERLINK("https://klasma.github.io/Logging_1763/klagomålsmail/A 17288-2024 FSC-klagomål mail.docx", "A 17288-2024")</f>
        <v/>
      </c>
      <c r="X339">
        <f>HYPERLINK("https://klasma.github.io/Logging_1763/tillsyn/A 17288-2024 tillsynsbegäran.docx", "A 17288-2024")</f>
        <v/>
      </c>
      <c r="Y339">
        <f>HYPERLINK("https://klasma.github.io/Logging_1763/tillsynsmail/A 17288-2024 tillsynsbegäran mail.docx", "A 17288-2024")</f>
        <v/>
      </c>
    </row>
    <row r="340" ht="15" customHeight="1">
      <c r="A340" t="inlineStr">
        <is>
          <t>A 17274-2024</t>
        </is>
      </c>
      <c r="B340" s="1" t="n">
        <v>45414</v>
      </c>
      <c r="C340" s="1" t="n">
        <v>45810</v>
      </c>
      <c r="D340" t="inlineStr">
        <is>
          <t>VÄRMLANDS LÄN</t>
        </is>
      </c>
      <c r="E340" t="inlineStr">
        <is>
          <t>FILIPSTAD</t>
        </is>
      </c>
      <c r="F340" t="inlineStr">
        <is>
          <t>Kommuner</t>
        </is>
      </c>
      <c r="G340" t="n">
        <v>5.8</v>
      </c>
      <c r="H340" t="n">
        <v>1</v>
      </c>
      <c r="I340" t="n">
        <v>1</v>
      </c>
      <c r="J340" t="n">
        <v>1</v>
      </c>
      <c r="K340" t="n">
        <v>0</v>
      </c>
      <c r="L340" t="n">
        <v>0</v>
      </c>
      <c r="M340" t="n">
        <v>0</v>
      </c>
      <c r="N340" t="n">
        <v>0</v>
      </c>
      <c r="O340" t="n">
        <v>1</v>
      </c>
      <c r="P340" t="n">
        <v>0</v>
      </c>
      <c r="Q340" t="n">
        <v>2</v>
      </c>
      <c r="R340" s="2" t="inlineStr">
        <is>
          <t>Talltita
Dropptaggsvamp</t>
        </is>
      </c>
      <c r="S340">
        <f>HYPERLINK("https://klasma.github.io/Logging_1782/artfynd/A 17274-2024 artfynd.xlsx", "A 17274-2024")</f>
        <v/>
      </c>
      <c r="T340">
        <f>HYPERLINK("https://klasma.github.io/Logging_1782/kartor/A 17274-2024 karta.png", "A 17274-2024")</f>
        <v/>
      </c>
      <c r="V340">
        <f>HYPERLINK("https://klasma.github.io/Logging_1782/klagomål/A 17274-2024 FSC-klagomål.docx", "A 17274-2024")</f>
        <v/>
      </c>
      <c r="W340">
        <f>HYPERLINK("https://klasma.github.io/Logging_1782/klagomålsmail/A 17274-2024 FSC-klagomål mail.docx", "A 17274-2024")</f>
        <v/>
      </c>
      <c r="X340">
        <f>HYPERLINK("https://klasma.github.io/Logging_1782/tillsyn/A 17274-2024 tillsynsbegäran.docx", "A 17274-2024")</f>
        <v/>
      </c>
      <c r="Y340">
        <f>HYPERLINK("https://klasma.github.io/Logging_1782/tillsynsmail/A 17274-2024 tillsynsbegäran mail.docx", "A 17274-2024")</f>
        <v/>
      </c>
      <c r="Z340">
        <f>HYPERLINK("https://klasma.github.io/Logging_1782/fåglar/A 17274-2024 prioriterade fågelarter.docx", "A 17274-2024")</f>
        <v/>
      </c>
    </row>
    <row r="341" ht="15" customHeight="1">
      <c r="A341" t="inlineStr">
        <is>
          <t>A 17953-2024</t>
        </is>
      </c>
      <c r="B341" s="1" t="n">
        <v>45419</v>
      </c>
      <c r="C341" s="1" t="n">
        <v>45810</v>
      </c>
      <c r="D341" t="inlineStr">
        <is>
          <t>VÄRMLANDS LÄN</t>
        </is>
      </c>
      <c r="E341" t="inlineStr">
        <is>
          <t>FORSHAGA</t>
        </is>
      </c>
      <c r="F341" t="inlineStr">
        <is>
          <t>Bergvik skog väst AB</t>
        </is>
      </c>
      <c r="G341" t="n">
        <v>3.2</v>
      </c>
      <c r="H341" t="n">
        <v>0</v>
      </c>
      <c r="I341" t="n">
        <v>2</v>
      </c>
      <c r="J341" t="n">
        <v>0</v>
      </c>
      <c r="K341" t="n">
        <v>0</v>
      </c>
      <c r="L341" t="n">
        <v>0</v>
      </c>
      <c r="M341" t="n">
        <v>0</v>
      </c>
      <c r="N341" t="n">
        <v>0</v>
      </c>
      <c r="O341" t="n">
        <v>0</v>
      </c>
      <c r="P341" t="n">
        <v>0</v>
      </c>
      <c r="Q341" t="n">
        <v>2</v>
      </c>
      <c r="R341" s="2" t="inlineStr">
        <is>
          <t>Svart trolldruva
Tibast</t>
        </is>
      </c>
      <c r="S341">
        <f>HYPERLINK("https://klasma.github.io/Logging_1763/artfynd/A 17953-2024 artfynd.xlsx", "A 17953-2024")</f>
        <v/>
      </c>
      <c r="T341">
        <f>HYPERLINK("https://klasma.github.io/Logging_1763/kartor/A 17953-2024 karta.png", "A 17953-2024")</f>
        <v/>
      </c>
      <c r="V341">
        <f>HYPERLINK("https://klasma.github.io/Logging_1763/klagomål/A 17953-2024 FSC-klagomål.docx", "A 17953-2024")</f>
        <v/>
      </c>
      <c r="W341">
        <f>HYPERLINK("https://klasma.github.io/Logging_1763/klagomålsmail/A 17953-2024 FSC-klagomål mail.docx", "A 17953-2024")</f>
        <v/>
      </c>
      <c r="X341">
        <f>HYPERLINK("https://klasma.github.io/Logging_1763/tillsyn/A 17953-2024 tillsynsbegäran.docx", "A 17953-2024")</f>
        <v/>
      </c>
      <c r="Y341">
        <f>HYPERLINK("https://klasma.github.io/Logging_1763/tillsynsmail/A 17953-2024 tillsynsbegäran mail.docx", "A 17953-2024")</f>
        <v/>
      </c>
    </row>
    <row r="342" ht="15" customHeight="1">
      <c r="A342" t="inlineStr">
        <is>
          <t>A 18748-2024</t>
        </is>
      </c>
      <c r="B342" s="1" t="n">
        <v>45426</v>
      </c>
      <c r="C342" s="1" t="n">
        <v>45810</v>
      </c>
      <c r="D342" t="inlineStr">
        <is>
          <t>VÄRMLANDS LÄN</t>
        </is>
      </c>
      <c r="E342" t="inlineStr">
        <is>
          <t>EDA</t>
        </is>
      </c>
      <c r="G342" t="n">
        <v>16.7</v>
      </c>
      <c r="H342" t="n">
        <v>2</v>
      </c>
      <c r="I342" t="n">
        <v>0</v>
      </c>
      <c r="J342" t="n">
        <v>1</v>
      </c>
      <c r="K342" t="n">
        <v>0</v>
      </c>
      <c r="L342" t="n">
        <v>0</v>
      </c>
      <c r="M342" t="n">
        <v>0</v>
      </c>
      <c r="N342" t="n">
        <v>0</v>
      </c>
      <c r="O342" t="n">
        <v>1</v>
      </c>
      <c r="P342" t="n">
        <v>0</v>
      </c>
      <c r="Q342" t="n">
        <v>2</v>
      </c>
      <c r="R342" s="2" t="inlineStr">
        <is>
          <t>Spillkråka
Tjäder</t>
        </is>
      </c>
      <c r="S342">
        <f>HYPERLINK("https://klasma.github.io/Logging_1730/artfynd/A 18748-2024 artfynd.xlsx", "A 18748-2024")</f>
        <v/>
      </c>
      <c r="T342">
        <f>HYPERLINK("https://klasma.github.io/Logging_1730/kartor/A 18748-2024 karta.png", "A 18748-2024")</f>
        <v/>
      </c>
      <c r="V342">
        <f>HYPERLINK("https://klasma.github.io/Logging_1730/klagomål/A 18748-2024 FSC-klagomål.docx", "A 18748-2024")</f>
        <v/>
      </c>
      <c r="W342">
        <f>HYPERLINK("https://klasma.github.io/Logging_1730/klagomålsmail/A 18748-2024 FSC-klagomål mail.docx", "A 18748-2024")</f>
        <v/>
      </c>
      <c r="X342">
        <f>HYPERLINK("https://klasma.github.io/Logging_1730/tillsyn/A 18748-2024 tillsynsbegäran.docx", "A 18748-2024")</f>
        <v/>
      </c>
      <c r="Y342">
        <f>HYPERLINK("https://klasma.github.io/Logging_1730/tillsynsmail/A 18748-2024 tillsynsbegäran mail.docx", "A 18748-2024")</f>
        <v/>
      </c>
      <c r="Z342">
        <f>HYPERLINK("https://klasma.github.io/Logging_1730/fåglar/A 18748-2024 prioriterade fågelarter.docx", "A 18748-2024")</f>
        <v/>
      </c>
    </row>
    <row r="343" ht="15" customHeight="1">
      <c r="A343" t="inlineStr">
        <is>
          <t>A 18763-2024</t>
        </is>
      </c>
      <c r="B343" s="1" t="n">
        <v>45426</v>
      </c>
      <c r="C343" s="1" t="n">
        <v>45810</v>
      </c>
      <c r="D343" t="inlineStr">
        <is>
          <t>VÄRMLANDS LÄN</t>
        </is>
      </c>
      <c r="E343" t="inlineStr">
        <is>
          <t>EDA</t>
        </is>
      </c>
      <c r="G343" t="n">
        <v>2.4</v>
      </c>
      <c r="H343" t="n">
        <v>0</v>
      </c>
      <c r="I343" t="n">
        <v>1</v>
      </c>
      <c r="J343" t="n">
        <v>1</v>
      </c>
      <c r="K343" t="n">
        <v>0</v>
      </c>
      <c r="L343" t="n">
        <v>0</v>
      </c>
      <c r="M343" t="n">
        <v>0</v>
      </c>
      <c r="N343" t="n">
        <v>0</v>
      </c>
      <c r="O343" t="n">
        <v>1</v>
      </c>
      <c r="P343" t="n">
        <v>0</v>
      </c>
      <c r="Q343" t="n">
        <v>2</v>
      </c>
      <c r="R343" s="2" t="inlineStr">
        <is>
          <t>Ullticka
Bronshjon</t>
        </is>
      </c>
      <c r="S343">
        <f>HYPERLINK("https://klasma.github.io/Logging_1730/artfynd/A 18763-2024 artfynd.xlsx", "A 18763-2024")</f>
        <v/>
      </c>
      <c r="T343">
        <f>HYPERLINK("https://klasma.github.io/Logging_1730/kartor/A 18763-2024 karta.png", "A 18763-2024")</f>
        <v/>
      </c>
      <c r="V343">
        <f>HYPERLINK("https://klasma.github.io/Logging_1730/klagomål/A 18763-2024 FSC-klagomål.docx", "A 18763-2024")</f>
        <v/>
      </c>
      <c r="W343">
        <f>HYPERLINK("https://klasma.github.io/Logging_1730/klagomålsmail/A 18763-2024 FSC-klagomål mail.docx", "A 18763-2024")</f>
        <v/>
      </c>
      <c r="X343">
        <f>HYPERLINK("https://klasma.github.io/Logging_1730/tillsyn/A 18763-2024 tillsynsbegäran.docx", "A 18763-2024")</f>
        <v/>
      </c>
      <c r="Y343">
        <f>HYPERLINK("https://klasma.github.io/Logging_1730/tillsynsmail/A 18763-2024 tillsynsbegäran mail.docx", "A 18763-2024")</f>
        <v/>
      </c>
    </row>
    <row r="344" ht="15" customHeight="1">
      <c r="A344" t="inlineStr">
        <is>
          <t>A 19133-2024</t>
        </is>
      </c>
      <c r="B344" s="1" t="n">
        <v>45428</v>
      </c>
      <c r="C344" s="1" t="n">
        <v>45810</v>
      </c>
      <c r="D344" t="inlineStr">
        <is>
          <t>VÄRMLANDS LÄN</t>
        </is>
      </c>
      <c r="E344" t="inlineStr">
        <is>
          <t>KARLSTAD</t>
        </is>
      </c>
      <c r="F344" t="inlineStr">
        <is>
          <t>Kommuner</t>
        </is>
      </c>
      <c r="G344" t="n">
        <v>2.8</v>
      </c>
      <c r="H344" t="n">
        <v>1</v>
      </c>
      <c r="I344" t="n">
        <v>1</v>
      </c>
      <c r="J344" t="n">
        <v>0</v>
      </c>
      <c r="K344" t="n">
        <v>1</v>
      </c>
      <c r="L344" t="n">
        <v>0</v>
      </c>
      <c r="M344" t="n">
        <v>0</v>
      </c>
      <c r="N344" t="n">
        <v>0</v>
      </c>
      <c r="O344" t="n">
        <v>1</v>
      </c>
      <c r="P344" t="n">
        <v>1</v>
      </c>
      <c r="Q344" t="n">
        <v>2</v>
      </c>
      <c r="R344" s="2" t="inlineStr">
        <is>
          <t>Knärot
Blåmossa</t>
        </is>
      </c>
      <c r="S344">
        <f>HYPERLINK("https://klasma.github.io/Logging_1780/artfynd/A 19133-2024 artfynd.xlsx", "A 19133-2024")</f>
        <v/>
      </c>
      <c r="T344">
        <f>HYPERLINK("https://klasma.github.io/Logging_1780/kartor/A 19133-2024 karta.png", "A 19133-2024")</f>
        <v/>
      </c>
      <c r="U344">
        <f>HYPERLINK("https://klasma.github.io/Logging_1780/knärot/A 19133-2024 karta knärot.png", "A 19133-2024")</f>
        <v/>
      </c>
      <c r="V344">
        <f>HYPERLINK("https://klasma.github.io/Logging_1780/klagomål/A 19133-2024 FSC-klagomål.docx", "A 19133-2024")</f>
        <v/>
      </c>
      <c r="W344">
        <f>HYPERLINK("https://klasma.github.io/Logging_1780/klagomålsmail/A 19133-2024 FSC-klagomål mail.docx", "A 19133-2024")</f>
        <v/>
      </c>
      <c r="X344">
        <f>HYPERLINK("https://klasma.github.io/Logging_1780/tillsyn/A 19133-2024 tillsynsbegäran.docx", "A 19133-2024")</f>
        <v/>
      </c>
      <c r="Y344">
        <f>HYPERLINK("https://klasma.github.io/Logging_1780/tillsynsmail/A 19133-2024 tillsynsbegäran mail.docx", "A 19133-2024")</f>
        <v/>
      </c>
    </row>
    <row r="345" ht="15" customHeight="1">
      <c r="A345" t="inlineStr">
        <is>
          <t>A 21248-2024</t>
        </is>
      </c>
      <c r="B345" s="1" t="n">
        <v>45440</v>
      </c>
      <c r="C345" s="1" t="n">
        <v>45810</v>
      </c>
      <c r="D345" t="inlineStr">
        <is>
          <t>VÄRMLANDS LÄN</t>
        </is>
      </c>
      <c r="E345" t="inlineStr">
        <is>
          <t>ARVIKA</t>
        </is>
      </c>
      <c r="F345" t="inlineStr">
        <is>
          <t>Bergvik skog väst AB</t>
        </is>
      </c>
      <c r="G345" t="n">
        <v>1.1</v>
      </c>
      <c r="H345" t="n">
        <v>1</v>
      </c>
      <c r="I345" t="n">
        <v>1</v>
      </c>
      <c r="J345" t="n">
        <v>1</v>
      </c>
      <c r="K345" t="n">
        <v>0</v>
      </c>
      <c r="L345" t="n">
        <v>0</v>
      </c>
      <c r="M345" t="n">
        <v>0</v>
      </c>
      <c r="N345" t="n">
        <v>0</v>
      </c>
      <c r="O345" t="n">
        <v>1</v>
      </c>
      <c r="P345" t="n">
        <v>0</v>
      </c>
      <c r="Q345" t="n">
        <v>2</v>
      </c>
      <c r="R345" s="2" t="inlineStr">
        <is>
          <t>Talltita
Skinnlav</t>
        </is>
      </c>
      <c r="S345">
        <f>HYPERLINK("https://klasma.github.io/Logging_1784/artfynd/A 21248-2024 artfynd.xlsx", "A 21248-2024")</f>
        <v/>
      </c>
      <c r="T345">
        <f>HYPERLINK("https://klasma.github.io/Logging_1784/kartor/A 21248-2024 karta.png", "A 21248-2024")</f>
        <v/>
      </c>
      <c r="U345">
        <f>HYPERLINK("https://klasma.github.io/Logging_1784/knärot/A 21248-2024 karta knärot.png", "A 21248-2024")</f>
        <v/>
      </c>
      <c r="V345">
        <f>HYPERLINK("https://klasma.github.io/Logging_1784/klagomål/A 21248-2024 FSC-klagomål.docx", "A 21248-2024")</f>
        <v/>
      </c>
      <c r="W345">
        <f>HYPERLINK("https://klasma.github.io/Logging_1784/klagomålsmail/A 21248-2024 FSC-klagomål mail.docx", "A 21248-2024")</f>
        <v/>
      </c>
      <c r="X345">
        <f>HYPERLINK("https://klasma.github.io/Logging_1784/tillsyn/A 21248-2024 tillsynsbegäran.docx", "A 21248-2024")</f>
        <v/>
      </c>
      <c r="Y345">
        <f>HYPERLINK("https://klasma.github.io/Logging_1784/tillsynsmail/A 21248-2024 tillsynsbegäran mail.docx", "A 21248-2024")</f>
        <v/>
      </c>
      <c r="Z345">
        <f>HYPERLINK("https://klasma.github.io/Logging_1784/fåglar/A 21248-2024 prioriterade fågelarter.docx", "A 21248-2024")</f>
        <v/>
      </c>
    </row>
    <row r="346" ht="15" customHeight="1">
      <c r="A346" t="inlineStr">
        <is>
          <t>A 21223-2024</t>
        </is>
      </c>
      <c r="B346" s="1" t="n">
        <v>45440</v>
      </c>
      <c r="C346" s="1" t="n">
        <v>45810</v>
      </c>
      <c r="D346" t="inlineStr">
        <is>
          <t>VÄRMLANDS LÄN</t>
        </is>
      </c>
      <c r="E346" t="inlineStr">
        <is>
          <t>ARVIKA</t>
        </is>
      </c>
      <c r="F346" t="inlineStr">
        <is>
          <t>Bergvik skog väst AB</t>
        </is>
      </c>
      <c r="G346" t="n">
        <v>0.7</v>
      </c>
      <c r="H346" t="n">
        <v>1</v>
      </c>
      <c r="I346" t="n">
        <v>0</v>
      </c>
      <c r="J346" t="n">
        <v>1</v>
      </c>
      <c r="K346" t="n">
        <v>1</v>
      </c>
      <c r="L346" t="n">
        <v>0</v>
      </c>
      <c r="M346" t="n">
        <v>0</v>
      </c>
      <c r="N346" t="n">
        <v>0</v>
      </c>
      <c r="O346" t="n">
        <v>2</v>
      </c>
      <c r="P346" t="n">
        <v>1</v>
      </c>
      <c r="Q346" t="n">
        <v>2</v>
      </c>
      <c r="R346" s="2" t="inlineStr">
        <is>
          <t>Knärot
Vedtrappmossa</t>
        </is>
      </c>
      <c r="S346">
        <f>HYPERLINK("https://klasma.github.io/Logging_1784/artfynd/A 21223-2024 artfynd.xlsx", "A 21223-2024")</f>
        <v/>
      </c>
      <c r="T346">
        <f>HYPERLINK("https://klasma.github.io/Logging_1784/kartor/A 21223-2024 karta.png", "A 21223-2024")</f>
        <v/>
      </c>
      <c r="U346">
        <f>HYPERLINK("https://klasma.github.io/Logging_1784/knärot/A 21223-2024 karta knärot.png", "A 21223-2024")</f>
        <v/>
      </c>
      <c r="V346">
        <f>HYPERLINK("https://klasma.github.io/Logging_1784/klagomål/A 21223-2024 FSC-klagomål.docx", "A 21223-2024")</f>
        <v/>
      </c>
      <c r="W346">
        <f>HYPERLINK("https://klasma.github.io/Logging_1784/klagomålsmail/A 21223-2024 FSC-klagomål mail.docx", "A 21223-2024")</f>
        <v/>
      </c>
      <c r="X346">
        <f>HYPERLINK("https://klasma.github.io/Logging_1784/tillsyn/A 21223-2024 tillsynsbegäran.docx", "A 21223-2024")</f>
        <v/>
      </c>
      <c r="Y346">
        <f>HYPERLINK("https://klasma.github.io/Logging_1784/tillsynsmail/A 21223-2024 tillsynsbegäran mail.docx", "A 21223-2024")</f>
        <v/>
      </c>
    </row>
    <row r="347" ht="15" customHeight="1">
      <c r="A347" t="inlineStr">
        <is>
          <t>A 23091-2024</t>
        </is>
      </c>
      <c r="B347" s="1" t="n">
        <v>45450</v>
      </c>
      <c r="C347" s="1" t="n">
        <v>45810</v>
      </c>
      <c r="D347" t="inlineStr">
        <is>
          <t>VÄRMLANDS LÄN</t>
        </is>
      </c>
      <c r="E347" t="inlineStr">
        <is>
          <t>TORSBY</t>
        </is>
      </c>
      <c r="F347" t="inlineStr">
        <is>
          <t>Bergvik skog väst AB</t>
        </is>
      </c>
      <c r="G347" t="n">
        <v>14.3</v>
      </c>
      <c r="H347" t="n">
        <v>0</v>
      </c>
      <c r="I347" t="n">
        <v>1</v>
      </c>
      <c r="J347" t="n">
        <v>1</v>
      </c>
      <c r="K347" t="n">
        <v>0</v>
      </c>
      <c r="L347" t="n">
        <v>0</v>
      </c>
      <c r="M347" t="n">
        <v>0</v>
      </c>
      <c r="N347" t="n">
        <v>0</v>
      </c>
      <c r="O347" t="n">
        <v>1</v>
      </c>
      <c r="P347" t="n">
        <v>0</v>
      </c>
      <c r="Q347" t="n">
        <v>2</v>
      </c>
      <c r="R347" s="2" t="inlineStr">
        <is>
          <t>Vedskivlav
Kambräken</t>
        </is>
      </c>
      <c r="S347">
        <f>HYPERLINK("https://klasma.github.io/Logging_1737/artfynd/A 23091-2024 artfynd.xlsx", "A 23091-2024")</f>
        <v/>
      </c>
      <c r="T347">
        <f>HYPERLINK("https://klasma.github.io/Logging_1737/kartor/A 23091-2024 karta.png", "A 23091-2024")</f>
        <v/>
      </c>
      <c r="V347">
        <f>HYPERLINK("https://klasma.github.io/Logging_1737/klagomål/A 23091-2024 FSC-klagomål.docx", "A 23091-2024")</f>
        <v/>
      </c>
      <c r="W347">
        <f>HYPERLINK("https://klasma.github.io/Logging_1737/klagomålsmail/A 23091-2024 FSC-klagomål mail.docx", "A 23091-2024")</f>
        <v/>
      </c>
      <c r="X347">
        <f>HYPERLINK("https://klasma.github.io/Logging_1737/tillsyn/A 23091-2024 tillsynsbegäran.docx", "A 23091-2024")</f>
        <v/>
      </c>
      <c r="Y347">
        <f>HYPERLINK("https://klasma.github.io/Logging_1737/tillsynsmail/A 23091-2024 tillsynsbegäran mail.docx", "A 23091-2024")</f>
        <v/>
      </c>
    </row>
    <row r="348" ht="15" customHeight="1">
      <c r="A348" t="inlineStr">
        <is>
          <t>A 24697-2024</t>
        </is>
      </c>
      <c r="B348" s="1" t="n">
        <v>45460</v>
      </c>
      <c r="C348" s="1" t="n">
        <v>45810</v>
      </c>
      <c r="D348" t="inlineStr">
        <is>
          <t>VÄRMLANDS LÄN</t>
        </is>
      </c>
      <c r="E348" t="inlineStr">
        <is>
          <t>SÄFFLE</t>
        </is>
      </c>
      <c r="G348" t="n">
        <v>16.9</v>
      </c>
      <c r="H348" t="n">
        <v>0</v>
      </c>
      <c r="I348" t="n">
        <v>2</v>
      </c>
      <c r="J348" t="n">
        <v>0</v>
      </c>
      <c r="K348" t="n">
        <v>0</v>
      </c>
      <c r="L348" t="n">
        <v>0</v>
      </c>
      <c r="M348" t="n">
        <v>0</v>
      </c>
      <c r="N348" t="n">
        <v>0</v>
      </c>
      <c r="O348" t="n">
        <v>0</v>
      </c>
      <c r="P348" t="n">
        <v>0</v>
      </c>
      <c r="Q348" t="n">
        <v>2</v>
      </c>
      <c r="R348" s="2" t="inlineStr">
        <is>
          <t>Blåmossa
Dropptaggsvamp</t>
        </is>
      </c>
      <c r="S348">
        <f>HYPERLINK("https://klasma.github.io/Logging_1785/artfynd/A 24697-2024 artfynd.xlsx", "A 24697-2024")</f>
        <v/>
      </c>
      <c r="T348">
        <f>HYPERLINK("https://klasma.github.io/Logging_1785/kartor/A 24697-2024 karta.png", "A 24697-2024")</f>
        <v/>
      </c>
      <c r="V348">
        <f>HYPERLINK("https://klasma.github.io/Logging_1785/klagomål/A 24697-2024 FSC-klagomål.docx", "A 24697-2024")</f>
        <v/>
      </c>
      <c r="W348">
        <f>HYPERLINK("https://klasma.github.io/Logging_1785/klagomålsmail/A 24697-2024 FSC-klagomål mail.docx", "A 24697-2024")</f>
        <v/>
      </c>
      <c r="X348">
        <f>HYPERLINK("https://klasma.github.io/Logging_1785/tillsyn/A 24697-2024 tillsynsbegäran.docx", "A 24697-2024")</f>
        <v/>
      </c>
      <c r="Y348">
        <f>HYPERLINK("https://klasma.github.io/Logging_1785/tillsynsmail/A 24697-2024 tillsynsbegäran mail.docx", "A 24697-2024")</f>
        <v/>
      </c>
    </row>
    <row r="349" ht="15" customHeight="1">
      <c r="A349" t="inlineStr">
        <is>
          <t>A 34491-2024</t>
        </is>
      </c>
      <c r="B349" s="1" t="n">
        <v>45525</v>
      </c>
      <c r="C349" s="1" t="n">
        <v>45810</v>
      </c>
      <c r="D349" t="inlineStr">
        <is>
          <t>VÄRMLANDS LÄN</t>
        </is>
      </c>
      <c r="E349" t="inlineStr">
        <is>
          <t>TORSBY</t>
        </is>
      </c>
      <c r="G349" t="n">
        <v>3.1</v>
      </c>
      <c r="H349" t="n">
        <v>0</v>
      </c>
      <c r="I349" t="n">
        <v>0</v>
      </c>
      <c r="J349" t="n">
        <v>2</v>
      </c>
      <c r="K349" t="n">
        <v>0</v>
      </c>
      <c r="L349" t="n">
        <v>0</v>
      </c>
      <c r="M349" t="n">
        <v>0</v>
      </c>
      <c r="N349" t="n">
        <v>0</v>
      </c>
      <c r="O349" t="n">
        <v>2</v>
      </c>
      <c r="P349" t="n">
        <v>0</v>
      </c>
      <c r="Q349" t="n">
        <v>2</v>
      </c>
      <c r="R349" s="2" t="inlineStr">
        <is>
          <t>Garnlav
Vedskivlav</t>
        </is>
      </c>
      <c r="S349">
        <f>HYPERLINK("https://klasma.github.io/Logging_1737/artfynd/A 34491-2024 artfynd.xlsx", "A 34491-2024")</f>
        <v/>
      </c>
      <c r="T349">
        <f>HYPERLINK("https://klasma.github.io/Logging_1737/kartor/A 34491-2024 karta.png", "A 34491-2024")</f>
        <v/>
      </c>
      <c r="V349">
        <f>HYPERLINK("https://klasma.github.io/Logging_1737/klagomål/A 34491-2024 FSC-klagomål.docx", "A 34491-2024")</f>
        <v/>
      </c>
      <c r="W349">
        <f>HYPERLINK("https://klasma.github.io/Logging_1737/klagomålsmail/A 34491-2024 FSC-klagomål mail.docx", "A 34491-2024")</f>
        <v/>
      </c>
      <c r="X349">
        <f>HYPERLINK("https://klasma.github.io/Logging_1737/tillsyn/A 34491-2024 tillsynsbegäran.docx", "A 34491-2024")</f>
        <v/>
      </c>
      <c r="Y349">
        <f>HYPERLINK("https://klasma.github.io/Logging_1737/tillsynsmail/A 34491-2024 tillsynsbegäran mail.docx", "A 34491-2024")</f>
        <v/>
      </c>
    </row>
    <row r="350" ht="15" customHeight="1">
      <c r="A350" t="inlineStr">
        <is>
          <t>A 37351-2024</t>
        </is>
      </c>
      <c r="B350" s="1" t="n">
        <v>45540</v>
      </c>
      <c r="C350" s="1" t="n">
        <v>45810</v>
      </c>
      <c r="D350" t="inlineStr">
        <is>
          <t>VÄRMLANDS LÄN</t>
        </is>
      </c>
      <c r="E350" t="inlineStr">
        <is>
          <t>TORSBY</t>
        </is>
      </c>
      <c r="F350" t="inlineStr">
        <is>
          <t>Bergvik skog väst AB</t>
        </is>
      </c>
      <c r="G350" t="n">
        <v>22.7</v>
      </c>
      <c r="H350" t="n">
        <v>1</v>
      </c>
      <c r="I350" t="n">
        <v>0</v>
      </c>
      <c r="J350" t="n">
        <v>2</v>
      </c>
      <c r="K350" t="n">
        <v>0</v>
      </c>
      <c r="L350" t="n">
        <v>0</v>
      </c>
      <c r="M350" t="n">
        <v>0</v>
      </c>
      <c r="N350" t="n">
        <v>0</v>
      </c>
      <c r="O350" t="n">
        <v>2</v>
      </c>
      <c r="P350" t="n">
        <v>0</v>
      </c>
      <c r="Q350" t="n">
        <v>2</v>
      </c>
      <c r="R350" s="2" t="inlineStr">
        <is>
          <t>Motaggsvamp
Talltita</t>
        </is>
      </c>
      <c r="S350">
        <f>HYPERLINK("https://klasma.github.io/Logging_1737/artfynd/A 37351-2024 artfynd.xlsx", "A 37351-2024")</f>
        <v/>
      </c>
      <c r="T350">
        <f>HYPERLINK("https://klasma.github.io/Logging_1737/kartor/A 37351-2024 karta.png", "A 37351-2024")</f>
        <v/>
      </c>
      <c r="V350">
        <f>HYPERLINK("https://klasma.github.io/Logging_1737/klagomål/A 37351-2024 FSC-klagomål.docx", "A 37351-2024")</f>
        <v/>
      </c>
      <c r="W350">
        <f>HYPERLINK("https://klasma.github.io/Logging_1737/klagomålsmail/A 37351-2024 FSC-klagomål mail.docx", "A 37351-2024")</f>
        <v/>
      </c>
      <c r="X350">
        <f>HYPERLINK("https://klasma.github.io/Logging_1737/tillsyn/A 37351-2024 tillsynsbegäran.docx", "A 37351-2024")</f>
        <v/>
      </c>
      <c r="Y350">
        <f>HYPERLINK("https://klasma.github.io/Logging_1737/tillsynsmail/A 37351-2024 tillsynsbegäran mail.docx", "A 37351-2024")</f>
        <v/>
      </c>
      <c r="Z350">
        <f>HYPERLINK("https://klasma.github.io/Logging_1737/fåglar/A 37351-2024 prioriterade fågelarter.docx", "A 37351-2024")</f>
        <v/>
      </c>
    </row>
    <row r="351" ht="15" customHeight="1">
      <c r="A351" t="inlineStr">
        <is>
          <t>A 37936-2024</t>
        </is>
      </c>
      <c r="B351" s="1" t="n">
        <v>45544</v>
      </c>
      <c r="C351" s="1" t="n">
        <v>45810</v>
      </c>
      <c r="D351" t="inlineStr">
        <is>
          <t>VÄRMLANDS LÄN</t>
        </is>
      </c>
      <c r="E351" t="inlineStr">
        <is>
          <t>TORSBY</t>
        </is>
      </c>
      <c r="G351" t="n">
        <v>5.4</v>
      </c>
      <c r="H351" t="n">
        <v>0</v>
      </c>
      <c r="I351" t="n">
        <v>0</v>
      </c>
      <c r="J351" t="n">
        <v>2</v>
      </c>
      <c r="K351" t="n">
        <v>0</v>
      </c>
      <c r="L351" t="n">
        <v>0</v>
      </c>
      <c r="M351" t="n">
        <v>0</v>
      </c>
      <c r="N351" t="n">
        <v>0</v>
      </c>
      <c r="O351" t="n">
        <v>2</v>
      </c>
      <c r="P351" t="n">
        <v>0</v>
      </c>
      <c r="Q351" t="n">
        <v>2</v>
      </c>
      <c r="R351" s="2" t="inlineStr">
        <is>
          <t>Dvärgbägarlav
Vedflamlav</t>
        </is>
      </c>
      <c r="S351">
        <f>HYPERLINK("https://klasma.github.io/Logging_1737/artfynd/A 37936-2024 artfynd.xlsx", "A 37936-2024")</f>
        <v/>
      </c>
      <c r="T351">
        <f>HYPERLINK("https://klasma.github.io/Logging_1737/kartor/A 37936-2024 karta.png", "A 37936-2024")</f>
        <v/>
      </c>
      <c r="V351">
        <f>HYPERLINK("https://klasma.github.io/Logging_1737/klagomål/A 37936-2024 FSC-klagomål.docx", "A 37936-2024")</f>
        <v/>
      </c>
      <c r="W351">
        <f>HYPERLINK("https://klasma.github.io/Logging_1737/klagomålsmail/A 37936-2024 FSC-klagomål mail.docx", "A 37936-2024")</f>
        <v/>
      </c>
      <c r="X351">
        <f>HYPERLINK("https://klasma.github.io/Logging_1737/tillsyn/A 37936-2024 tillsynsbegäran.docx", "A 37936-2024")</f>
        <v/>
      </c>
      <c r="Y351">
        <f>HYPERLINK("https://klasma.github.io/Logging_1737/tillsynsmail/A 37936-2024 tillsynsbegäran mail.docx", "A 37936-2024")</f>
        <v/>
      </c>
    </row>
    <row r="352" ht="15" customHeight="1">
      <c r="A352" t="inlineStr">
        <is>
          <t>A 38138-2024</t>
        </is>
      </c>
      <c r="B352" s="1" t="n">
        <v>45545</v>
      </c>
      <c r="C352" s="1" t="n">
        <v>45810</v>
      </c>
      <c r="D352" t="inlineStr">
        <is>
          <t>VÄRMLANDS LÄN</t>
        </is>
      </c>
      <c r="E352" t="inlineStr">
        <is>
          <t>FILIPSTAD</t>
        </is>
      </c>
      <c r="F352" t="inlineStr">
        <is>
          <t>Bergvik skog väst AB</t>
        </is>
      </c>
      <c r="G352" t="n">
        <v>1.6</v>
      </c>
      <c r="H352" t="n">
        <v>1</v>
      </c>
      <c r="I352" t="n">
        <v>0</v>
      </c>
      <c r="J352" t="n">
        <v>1</v>
      </c>
      <c r="K352" t="n">
        <v>0</v>
      </c>
      <c r="L352" t="n">
        <v>0</v>
      </c>
      <c r="M352" t="n">
        <v>0</v>
      </c>
      <c r="N352" t="n">
        <v>0</v>
      </c>
      <c r="O352" t="n">
        <v>1</v>
      </c>
      <c r="P352" t="n">
        <v>0</v>
      </c>
      <c r="Q352" t="n">
        <v>2</v>
      </c>
      <c r="R352" s="2" t="inlineStr">
        <is>
          <t>Garnlav
Fläcknycklar</t>
        </is>
      </c>
      <c r="S352">
        <f>HYPERLINK("https://klasma.github.io/Logging_1782/artfynd/A 38138-2024 artfynd.xlsx", "A 38138-2024")</f>
        <v/>
      </c>
      <c r="T352">
        <f>HYPERLINK("https://klasma.github.io/Logging_1782/kartor/A 38138-2024 karta.png", "A 38138-2024")</f>
        <v/>
      </c>
      <c r="V352">
        <f>HYPERLINK("https://klasma.github.io/Logging_1782/klagomål/A 38138-2024 FSC-klagomål.docx", "A 38138-2024")</f>
        <v/>
      </c>
      <c r="W352">
        <f>HYPERLINK("https://klasma.github.io/Logging_1782/klagomålsmail/A 38138-2024 FSC-klagomål mail.docx", "A 38138-2024")</f>
        <v/>
      </c>
      <c r="X352">
        <f>HYPERLINK("https://klasma.github.io/Logging_1782/tillsyn/A 38138-2024 tillsynsbegäran.docx", "A 38138-2024")</f>
        <v/>
      </c>
      <c r="Y352">
        <f>HYPERLINK("https://klasma.github.io/Logging_1782/tillsynsmail/A 38138-2024 tillsynsbegäran mail.docx", "A 38138-2024")</f>
        <v/>
      </c>
    </row>
    <row r="353" ht="15" customHeight="1">
      <c r="A353" t="inlineStr">
        <is>
          <t>A 38132-2024</t>
        </is>
      </c>
      <c r="B353" s="1" t="n">
        <v>45545</v>
      </c>
      <c r="C353" s="1" t="n">
        <v>45810</v>
      </c>
      <c r="D353" t="inlineStr">
        <is>
          <t>VÄRMLANDS LÄN</t>
        </is>
      </c>
      <c r="E353" t="inlineStr">
        <is>
          <t>FILIPSTAD</t>
        </is>
      </c>
      <c r="F353" t="inlineStr">
        <is>
          <t>Bergvik skog väst AB</t>
        </is>
      </c>
      <c r="G353" t="n">
        <v>2</v>
      </c>
      <c r="H353" t="n">
        <v>1</v>
      </c>
      <c r="I353" t="n">
        <v>1</v>
      </c>
      <c r="J353" t="n">
        <v>0</v>
      </c>
      <c r="K353" t="n">
        <v>0</v>
      </c>
      <c r="L353" t="n">
        <v>0</v>
      </c>
      <c r="M353" t="n">
        <v>0</v>
      </c>
      <c r="N353" t="n">
        <v>0</v>
      </c>
      <c r="O353" t="n">
        <v>0</v>
      </c>
      <c r="P353" t="n">
        <v>0</v>
      </c>
      <c r="Q353" t="n">
        <v>2</v>
      </c>
      <c r="R353" s="2" t="inlineStr">
        <is>
          <t>Bronshjon
Fläcknycklar</t>
        </is>
      </c>
      <c r="S353">
        <f>HYPERLINK("https://klasma.github.io/Logging_1782/artfynd/A 38132-2024 artfynd.xlsx", "A 38132-2024")</f>
        <v/>
      </c>
      <c r="T353">
        <f>HYPERLINK("https://klasma.github.io/Logging_1782/kartor/A 38132-2024 karta.png", "A 38132-2024")</f>
        <v/>
      </c>
      <c r="V353">
        <f>HYPERLINK("https://klasma.github.io/Logging_1782/klagomål/A 38132-2024 FSC-klagomål.docx", "A 38132-2024")</f>
        <v/>
      </c>
      <c r="W353">
        <f>HYPERLINK("https://klasma.github.io/Logging_1782/klagomålsmail/A 38132-2024 FSC-klagomål mail.docx", "A 38132-2024")</f>
        <v/>
      </c>
      <c r="X353">
        <f>HYPERLINK("https://klasma.github.io/Logging_1782/tillsyn/A 38132-2024 tillsynsbegäran.docx", "A 38132-2024")</f>
        <v/>
      </c>
      <c r="Y353">
        <f>HYPERLINK("https://klasma.github.io/Logging_1782/tillsynsmail/A 38132-2024 tillsynsbegäran mail.docx", "A 38132-2024")</f>
        <v/>
      </c>
    </row>
    <row r="354" ht="15" customHeight="1">
      <c r="A354" t="inlineStr">
        <is>
          <t>A 42446-2024</t>
        </is>
      </c>
      <c r="B354" s="1" t="n">
        <v>45565</v>
      </c>
      <c r="C354" s="1" t="n">
        <v>45810</v>
      </c>
      <c r="D354" t="inlineStr">
        <is>
          <t>VÄRMLANDS LÄN</t>
        </is>
      </c>
      <c r="E354" t="inlineStr">
        <is>
          <t>HAGFORS</t>
        </is>
      </c>
      <c r="G354" t="n">
        <v>2.4</v>
      </c>
      <c r="H354" t="n">
        <v>0</v>
      </c>
      <c r="I354" t="n">
        <v>2</v>
      </c>
      <c r="J354" t="n">
        <v>0</v>
      </c>
      <c r="K354" t="n">
        <v>0</v>
      </c>
      <c r="L354" t="n">
        <v>0</v>
      </c>
      <c r="M354" t="n">
        <v>0</v>
      </c>
      <c r="N354" t="n">
        <v>0</v>
      </c>
      <c r="O354" t="n">
        <v>0</v>
      </c>
      <c r="P354" t="n">
        <v>0</v>
      </c>
      <c r="Q354" t="n">
        <v>2</v>
      </c>
      <c r="R354" s="2" t="inlineStr">
        <is>
          <t>Dvärghäxört
Strutbräken</t>
        </is>
      </c>
      <c r="S354">
        <f>HYPERLINK("https://klasma.github.io/Logging_1783/artfynd/A 42446-2024 artfynd.xlsx", "A 42446-2024")</f>
        <v/>
      </c>
      <c r="T354">
        <f>HYPERLINK("https://klasma.github.io/Logging_1783/kartor/A 42446-2024 karta.png", "A 42446-2024")</f>
        <v/>
      </c>
      <c r="V354">
        <f>HYPERLINK("https://klasma.github.io/Logging_1783/klagomål/A 42446-2024 FSC-klagomål.docx", "A 42446-2024")</f>
        <v/>
      </c>
      <c r="W354">
        <f>HYPERLINK("https://klasma.github.io/Logging_1783/klagomålsmail/A 42446-2024 FSC-klagomål mail.docx", "A 42446-2024")</f>
        <v/>
      </c>
      <c r="X354">
        <f>HYPERLINK("https://klasma.github.io/Logging_1783/tillsyn/A 42446-2024 tillsynsbegäran.docx", "A 42446-2024")</f>
        <v/>
      </c>
      <c r="Y354">
        <f>HYPERLINK("https://klasma.github.io/Logging_1783/tillsynsmail/A 42446-2024 tillsynsbegäran mail.docx", "A 42446-2024")</f>
        <v/>
      </c>
    </row>
    <row r="355" ht="15" customHeight="1">
      <c r="A355" t="inlineStr">
        <is>
          <t>A 45093-2024</t>
        </is>
      </c>
      <c r="B355" s="1" t="n">
        <v>45575</v>
      </c>
      <c r="C355" s="1" t="n">
        <v>45810</v>
      </c>
      <c r="D355" t="inlineStr">
        <is>
          <t>VÄRMLANDS LÄN</t>
        </is>
      </c>
      <c r="E355" t="inlineStr">
        <is>
          <t>EDA</t>
        </is>
      </c>
      <c r="G355" t="n">
        <v>3.6</v>
      </c>
      <c r="H355" t="n">
        <v>1</v>
      </c>
      <c r="I355" t="n">
        <v>0</v>
      </c>
      <c r="J355" t="n">
        <v>2</v>
      </c>
      <c r="K355" t="n">
        <v>0</v>
      </c>
      <c r="L355" t="n">
        <v>0</v>
      </c>
      <c r="M355" t="n">
        <v>0</v>
      </c>
      <c r="N355" t="n">
        <v>0</v>
      </c>
      <c r="O355" t="n">
        <v>2</v>
      </c>
      <c r="P355" t="n">
        <v>0</v>
      </c>
      <c r="Q355" t="n">
        <v>2</v>
      </c>
      <c r="R355" s="2" t="inlineStr">
        <is>
          <t>Garnlav
Svartvit flugsnappare</t>
        </is>
      </c>
      <c r="S355">
        <f>HYPERLINK("https://klasma.github.io/Logging_1730/artfynd/A 45093-2024 artfynd.xlsx", "A 45093-2024")</f>
        <v/>
      </c>
      <c r="T355">
        <f>HYPERLINK("https://klasma.github.io/Logging_1730/kartor/A 45093-2024 karta.png", "A 45093-2024")</f>
        <v/>
      </c>
      <c r="V355">
        <f>HYPERLINK("https://klasma.github.io/Logging_1730/klagomål/A 45093-2024 FSC-klagomål.docx", "A 45093-2024")</f>
        <v/>
      </c>
      <c r="W355">
        <f>HYPERLINK("https://klasma.github.io/Logging_1730/klagomålsmail/A 45093-2024 FSC-klagomål mail.docx", "A 45093-2024")</f>
        <v/>
      </c>
      <c r="X355">
        <f>HYPERLINK("https://klasma.github.io/Logging_1730/tillsyn/A 45093-2024 tillsynsbegäran.docx", "A 45093-2024")</f>
        <v/>
      </c>
      <c r="Y355">
        <f>HYPERLINK("https://klasma.github.io/Logging_1730/tillsynsmail/A 45093-2024 tillsynsbegäran mail.docx", "A 45093-2024")</f>
        <v/>
      </c>
      <c r="Z355">
        <f>HYPERLINK("https://klasma.github.io/Logging_1730/fåglar/A 45093-2024 prioriterade fågelarter.docx", "A 45093-2024")</f>
        <v/>
      </c>
    </row>
    <row r="356" ht="15" customHeight="1">
      <c r="A356" t="inlineStr">
        <is>
          <t>A 45094-2024</t>
        </is>
      </c>
      <c r="B356" s="1" t="n">
        <v>45575</v>
      </c>
      <c r="C356" s="1" t="n">
        <v>45810</v>
      </c>
      <c r="D356" t="inlineStr">
        <is>
          <t>VÄRMLANDS LÄN</t>
        </is>
      </c>
      <c r="E356" t="inlineStr">
        <is>
          <t>ÅRJÄNG</t>
        </is>
      </c>
      <c r="F356" t="inlineStr">
        <is>
          <t>Bergvik skog väst AB</t>
        </is>
      </c>
      <c r="G356" t="n">
        <v>1.5</v>
      </c>
      <c r="H356" t="n">
        <v>1</v>
      </c>
      <c r="I356" t="n">
        <v>0</v>
      </c>
      <c r="J356" t="n">
        <v>0</v>
      </c>
      <c r="K356" t="n">
        <v>1</v>
      </c>
      <c r="L356" t="n">
        <v>0</v>
      </c>
      <c r="M356" t="n">
        <v>0</v>
      </c>
      <c r="N356" t="n">
        <v>0</v>
      </c>
      <c r="O356" t="n">
        <v>1</v>
      </c>
      <c r="P356" t="n">
        <v>1</v>
      </c>
      <c r="Q356" t="n">
        <v>2</v>
      </c>
      <c r="R356" s="2" t="inlineStr">
        <is>
          <t>Slåttergubbe
Fläcknycklar</t>
        </is>
      </c>
      <c r="S356">
        <f>HYPERLINK("https://klasma.github.io/Logging_1765/artfynd/A 45094-2024 artfynd.xlsx", "A 45094-2024")</f>
        <v/>
      </c>
      <c r="T356">
        <f>HYPERLINK("https://klasma.github.io/Logging_1765/kartor/A 45094-2024 karta.png", "A 45094-2024")</f>
        <v/>
      </c>
      <c r="V356">
        <f>HYPERLINK("https://klasma.github.io/Logging_1765/klagomål/A 45094-2024 FSC-klagomål.docx", "A 45094-2024")</f>
        <v/>
      </c>
      <c r="W356">
        <f>HYPERLINK("https://klasma.github.io/Logging_1765/klagomålsmail/A 45094-2024 FSC-klagomål mail.docx", "A 45094-2024")</f>
        <v/>
      </c>
      <c r="X356">
        <f>HYPERLINK("https://klasma.github.io/Logging_1765/tillsyn/A 45094-2024 tillsynsbegäran.docx", "A 45094-2024")</f>
        <v/>
      </c>
      <c r="Y356">
        <f>HYPERLINK("https://klasma.github.io/Logging_1765/tillsynsmail/A 45094-2024 tillsynsbegäran mail.docx", "A 45094-2024")</f>
        <v/>
      </c>
    </row>
    <row r="357" ht="15" customHeight="1">
      <c r="A357" t="inlineStr">
        <is>
          <t>A 48495-2024</t>
        </is>
      </c>
      <c r="B357" s="1" t="n">
        <v>45592</v>
      </c>
      <c r="C357" s="1" t="n">
        <v>45810</v>
      </c>
      <c r="D357" t="inlineStr">
        <is>
          <t>VÄRMLANDS LÄN</t>
        </is>
      </c>
      <c r="E357" t="inlineStr">
        <is>
          <t>KRISTINEHAMN</t>
        </is>
      </c>
      <c r="G357" t="n">
        <v>4.1</v>
      </c>
      <c r="H357" t="n">
        <v>2</v>
      </c>
      <c r="I357" t="n">
        <v>0</v>
      </c>
      <c r="J357" t="n">
        <v>0</v>
      </c>
      <c r="K357" t="n">
        <v>0</v>
      </c>
      <c r="L357" t="n">
        <v>0</v>
      </c>
      <c r="M357" t="n">
        <v>0</v>
      </c>
      <c r="N357" t="n">
        <v>0</v>
      </c>
      <c r="O357" t="n">
        <v>0</v>
      </c>
      <c r="P357" t="n">
        <v>0</v>
      </c>
      <c r="Q357" t="n">
        <v>2</v>
      </c>
      <c r="R357" s="2" t="inlineStr">
        <is>
          <t>Tjäder
Vanlig groda</t>
        </is>
      </c>
      <c r="S357">
        <f>HYPERLINK("https://klasma.github.io/Logging_1781/artfynd/A 48495-2024 artfynd.xlsx", "A 48495-2024")</f>
        <v/>
      </c>
      <c r="T357">
        <f>HYPERLINK("https://klasma.github.io/Logging_1781/kartor/A 48495-2024 karta.png", "A 48495-2024")</f>
        <v/>
      </c>
      <c r="V357">
        <f>HYPERLINK("https://klasma.github.io/Logging_1781/klagomål/A 48495-2024 FSC-klagomål.docx", "A 48495-2024")</f>
        <v/>
      </c>
      <c r="W357">
        <f>HYPERLINK("https://klasma.github.io/Logging_1781/klagomålsmail/A 48495-2024 FSC-klagomål mail.docx", "A 48495-2024")</f>
        <v/>
      </c>
      <c r="X357">
        <f>HYPERLINK("https://klasma.github.io/Logging_1781/tillsyn/A 48495-2024 tillsynsbegäran.docx", "A 48495-2024")</f>
        <v/>
      </c>
      <c r="Y357">
        <f>HYPERLINK("https://klasma.github.io/Logging_1781/tillsynsmail/A 48495-2024 tillsynsbegäran mail.docx", "A 48495-2024")</f>
        <v/>
      </c>
      <c r="Z357">
        <f>HYPERLINK("https://klasma.github.io/Logging_1781/fåglar/A 48495-2024 prioriterade fågelarter.docx", "A 48495-2024")</f>
        <v/>
      </c>
    </row>
    <row r="358" ht="15" customHeight="1">
      <c r="A358" t="inlineStr">
        <is>
          <t>A 50800-2024</t>
        </is>
      </c>
      <c r="B358" s="1" t="n">
        <v>45602</v>
      </c>
      <c r="C358" s="1" t="n">
        <v>45810</v>
      </c>
      <c r="D358" t="inlineStr">
        <is>
          <t>VÄRMLANDS LÄN</t>
        </is>
      </c>
      <c r="E358" t="inlineStr">
        <is>
          <t>TORSBY</t>
        </is>
      </c>
      <c r="G358" t="n">
        <v>6.3</v>
      </c>
      <c r="H358" t="n">
        <v>0</v>
      </c>
      <c r="I358" t="n">
        <v>0</v>
      </c>
      <c r="J358" t="n">
        <v>2</v>
      </c>
      <c r="K358" t="n">
        <v>0</v>
      </c>
      <c r="L358" t="n">
        <v>0</v>
      </c>
      <c r="M358" t="n">
        <v>0</v>
      </c>
      <c r="N358" t="n">
        <v>0</v>
      </c>
      <c r="O358" t="n">
        <v>2</v>
      </c>
      <c r="P358" t="n">
        <v>0</v>
      </c>
      <c r="Q358" t="n">
        <v>2</v>
      </c>
      <c r="R358" s="2" t="inlineStr">
        <is>
          <t>Garnlav
Violettgrå tagellav</t>
        </is>
      </c>
      <c r="S358">
        <f>HYPERLINK("https://klasma.github.io/Logging_1737/artfynd/A 50800-2024 artfynd.xlsx", "A 50800-2024")</f>
        <v/>
      </c>
      <c r="T358">
        <f>HYPERLINK("https://klasma.github.io/Logging_1737/kartor/A 50800-2024 karta.png", "A 50800-2024")</f>
        <v/>
      </c>
      <c r="V358">
        <f>HYPERLINK("https://klasma.github.io/Logging_1737/klagomål/A 50800-2024 FSC-klagomål.docx", "A 50800-2024")</f>
        <v/>
      </c>
      <c r="W358">
        <f>HYPERLINK("https://klasma.github.io/Logging_1737/klagomålsmail/A 50800-2024 FSC-klagomål mail.docx", "A 50800-2024")</f>
        <v/>
      </c>
      <c r="X358">
        <f>HYPERLINK("https://klasma.github.io/Logging_1737/tillsyn/A 50800-2024 tillsynsbegäran.docx", "A 50800-2024")</f>
        <v/>
      </c>
      <c r="Y358">
        <f>HYPERLINK("https://klasma.github.io/Logging_1737/tillsynsmail/A 50800-2024 tillsynsbegäran mail.docx", "A 50800-2024")</f>
        <v/>
      </c>
    </row>
    <row r="359" ht="15" customHeight="1">
      <c r="A359" t="inlineStr">
        <is>
          <t>A 56878-2024</t>
        </is>
      </c>
      <c r="B359" s="1" t="n">
        <v>45628</v>
      </c>
      <c r="C359" s="1" t="n">
        <v>45810</v>
      </c>
      <c r="D359" t="inlineStr">
        <is>
          <t>VÄRMLANDS LÄN</t>
        </is>
      </c>
      <c r="E359" t="inlineStr">
        <is>
          <t>SÄFFLE</t>
        </is>
      </c>
      <c r="G359" t="n">
        <v>1.1</v>
      </c>
      <c r="H359" t="n">
        <v>0</v>
      </c>
      <c r="I359" t="n">
        <v>0</v>
      </c>
      <c r="J359" t="n">
        <v>2</v>
      </c>
      <c r="K359" t="n">
        <v>0</v>
      </c>
      <c r="L359" t="n">
        <v>0</v>
      </c>
      <c r="M359" t="n">
        <v>0</v>
      </c>
      <c r="N359" t="n">
        <v>0</v>
      </c>
      <c r="O359" t="n">
        <v>2</v>
      </c>
      <c r="P359" t="n">
        <v>0</v>
      </c>
      <c r="Q359" t="n">
        <v>2</v>
      </c>
      <c r="R359" s="2" t="inlineStr">
        <is>
          <t>Skogsklocka
Svinrot</t>
        </is>
      </c>
      <c r="S359">
        <f>HYPERLINK("https://klasma.github.io/Logging_1785/artfynd/A 56878-2024 artfynd.xlsx", "A 56878-2024")</f>
        <v/>
      </c>
      <c r="T359">
        <f>HYPERLINK("https://klasma.github.io/Logging_1785/kartor/A 56878-2024 karta.png", "A 56878-2024")</f>
        <v/>
      </c>
      <c r="V359">
        <f>HYPERLINK("https://klasma.github.io/Logging_1785/klagomål/A 56878-2024 FSC-klagomål.docx", "A 56878-2024")</f>
        <v/>
      </c>
      <c r="W359">
        <f>HYPERLINK("https://klasma.github.io/Logging_1785/klagomålsmail/A 56878-2024 FSC-klagomål mail.docx", "A 56878-2024")</f>
        <v/>
      </c>
      <c r="X359">
        <f>HYPERLINK("https://klasma.github.io/Logging_1785/tillsyn/A 56878-2024 tillsynsbegäran.docx", "A 56878-2024")</f>
        <v/>
      </c>
      <c r="Y359">
        <f>HYPERLINK("https://klasma.github.io/Logging_1785/tillsynsmail/A 56878-2024 tillsynsbegäran mail.docx", "A 56878-2024")</f>
        <v/>
      </c>
    </row>
    <row r="360" ht="15" customHeight="1">
      <c r="A360" t="inlineStr">
        <is>
          <t>A 57775-2024</t>
        </is>
      </c>
      <c r="B360" s="1" t="n">
        <v>45630</v>
      </c>
      <c r="C360" s="1" t="n">
        <v>45810</v>
      </c>
      <c r="D360" t="inlineStr">
        <is>
          <t>VÄRMLANDS LÄN</t>
        </is>
      </c>
      <c r="E360" t="inlineStr">
        <is>
          <t>TORSBY</t>
        </is>
      </c>
      <c r="G360" t="n">
        <v>7.1</v>
      </c>
      <c r="H360" t="n">
        <v>0</v>
      </c>
      <c r="I360" t="n">
        <v>0</v>
      </c>
      <c r="J360" t="n">
        <v>2</v>
      </c>
      <c r="K360" t="n">
        <v>0</v>
      </c>
      <c r="L360" t="n">
        <v>0</v>
      </c>
      <c r="M360" t="n">
        <v>0</v>
      </c>
      <c r="N360" t="n">
        <v>0</v>
      </c>
      <c r="O360" t="n">
        <v>2</v>
      </c>
      <c r="P360" t="n">
        <v>0</v>
      </c>
      <c r="Q360" t="n">
        <v>2</v>
      </c>
      <c r="R360" s="2" t="inlineStr">
        <is>
          <t>Garnlav
Vedskivlav</t>
        </is>
      </c>
      <c r="S360">
        <f>HYPERLINK("https://klasma.github.io/Logging_1737/artfynd/A 57775-2024 artfynd.xlsx", "A 57775-2024")</f>
        <v/>
      </c>
      <c r="T360">
        <f>HYPERLINK("https://klasma.github.io/Logging_1737/kartor/A 57775-2024 karta.png", "A 57775-2024")</f>
        <v/>
      </c>
      <c r="V360">
        <f>HYPERLINK("https://klasma.github.io/Logging_1737/klagomål/A 57775-2024 FSC-klagomål.docx", "A 57775-2024")</f>
        <v/>
      </c>
      <c r="W360">
        <f>HYPERLINK("https://klasma.github.io/Logging_1737/klagomålsmail/A 57775-2024 FSC-klagomål mail.docx", "A 57775-2024")</f>
        <v/>
      </c>
      <c r="X360">
        <f>HYPERLINK("https://klasma.github.io/Logging_1737/tillsyn/A 57775-2024 tillsynsbegäran.docx", "A 57775-2024")</f>
        <v/>
      </c>
      <c r="Y360">
        <f>HYPERLINK("https://klasma.github.io/Logging_1737/tillsynsmail/A 57775-2024 tillsynsbegäran mail.docx", "A 57775-2024")</f>
        <v/>
      </c>
    </row>
    <row r="361" ht="15" customHeight="1">
      <c r="A361" t="inlineStr">
        <is>
          <t>A 58238-2024</t>
        </is>
      </c>
      <c r="B361" s="1" t="n">
        <v>45632</v>
      </c>
      <c r="C361" s="1" t="n">
        <v>45810</v>
      </c>
      <c r="D361" t="inlineStr">
        <is>
          <t>VÄRMLANDS LÄN</t>
        </is>
      </c>
      <c r="E361" t="inlineStr">
        <is>
          <t>ÅRJÄNG</t>
        </is>
      </c>
      <c r="G361" t="n">
        <v>4.1</v>
      </c>
      <c r="H361" t="n">
        <v>2</v>
      </c>
      <c r="I361" t="n">
        <v>0</v>
      </c>
      <c r="J361" t="n">
        <v>0</v>
      </c>
      <c r="K361" t="n">
        <v>0</v>
      </c>
      <c r="L361" t="n">
        <v>0</v>
      </c>
      <c r="M361" t="n">
        <v>0</v>
      </c>
      <c r="N361" t="n">
        <v>0</v>
      </c>
      <c r="O361" t="n">
        <v>0</v>
      </c>
      <c r="P361" t="n">
        <v>0</v>
      </c>
      <c r="Q361" t="n">
        <v>2</v>
      </c>
      <c r="R361" s="2" t="inlineStr">
        <is>
          <t>Revlummer
Äkta lopplummer</t>
        </is>
      </c>
      <c r="S361">
        <f>HYPERLINK("https://klasma.github.io/Logging_1765/artfynd/A 58238-2024 artfynd.xlsx", "A 58238-2024")</f>
        <v/>
      </c>
      <c r="T361">
        <f>HYPERLINK("https://klasma.github.io/Logging_1765/kartor/A 58238-2024 karta.png", "A 58238-2024")</f>
        <v/>
      </c>
      <c r="V361">
        <f>HYPERLINK("https://klasma.github.io/Logging_1765/klagomål/A 58238-2024 FSC-klagomål.docx", "A 58238-2024")</f>
        <v/>
      </c>
      <c r="W361">
        <f>HYPERLINK("https://klasma.github.io/Logging_1765/klagomålsmail/A 58238-2024 FSC-klagomål mail.docx", "A 58238-2024")</f>
        <v/>
      </c>
      <c r="X361">
        <f>HYPERLINK("https://klasma.github.io/Logging_1765/tillsyn/A 58238-2024 tillsynsbegäran.docx", "A 58238-2024")</f>
        <v/>
      </c>
      <c r="Y361">
        <f>HYPERLINK("https://klasma.github.io/Logging_1765/tillsynsmail/A 58238-2024 tillsynsbegäran mail.docx", "A 58238-2024")</f>
        <v/>
      </c>
    </row>
    <row r="362" ht="15" customHeight="1">
      <c r="A362" t="inlineStr">
        <is>
          <t>A 59688-2024</t>
        </is>
      </c>
      <c r="B362" s="1" t="n">
        <v>45639</v>
      </c>
      <c r="C362" s="1" t="n">
        <v>45810</v>
      </c>
      <c r="D362" t="inlineStr">
        <is>
          <t>VÄRMLANDS LÄN</t>
        </is>
      </c>
      <c r="E362" t="inlineStr">
        <is>
          <t>ÅRJÄNG</t>
        </is>
      </c>
      <c r="G362" t="n">
        <v>2.6</v>
      </c>
      <c r="H362" t="n">
        <v>2</v>
      </c>
      <c r="I362" t="n">
        <v>0</v>
      </c>
      <c r="J362" t="n">
        <v>0</v>
      </c>
      <c r="K362" t="n">
        <v>1</v>
      </c>
      <c r="L362" t="n">
        <v>0</v>
      </c>
      <c r="M362" t="n">
        <v>0</v>
      </c>
      <c r="N362" t="n">
        <v>0</v>
      </c>
      <c r="O362" t="n">
        <v>1</v>
      </c>
      <c r="P362" t="n">
        <v>1</v>
      </c>
      <c r="Q362" t="n">
        <v>2</v>
      </c>
      <c r="R362" s="2" t="inlineStr">
        <is>
          <t>Knärot
Revlummer</t>
        </is>
      </c>
      <c r="S362">
        <f>HYPERLINK("https://klasma.github.io/Logging_1765/artfynd/A 59688-2024 artfynd.xlsx", "A 59688-2024")</f>
        <v/>
      </c>
      <c r="T362">
        <f>HYPERLINK("https://klasma.github.io/Logging_1765/kartor/A 59688-2024 karta.png", "A 59688-2024")</f>
        <v/>
      </c>
      <c r="U362">
        <f>HYPERLINK("https://klasma.github.io/Logging_1765/knärot/A 59688-2024 karta knärot.png", "A 59688-2024")</f>
        <v/>
      </c>
      <c r="V362">
        <f>HYPERLINK("https://klasma.github.io/Logging_1765/klagomål/A 59688-2024 FSC-klagomål.docx", "A 59688-2024")</f>
        <v/>
      </c>
      <c r="W362">
        <f>HYPERLINK("https://klasma.github.io/Logging_1765/klagomålsmail/A 59688-2024 FSC-klagomål mail.docx", "A 59688-2024")</f>
        <v/>
      </c>
      <c r="X362">
        <f>HYPERLINK("https://klasma.github.io/Logging_1765/tillsyn/A 59688-2024 tillsynsbegäran.docx", "A 59688-2024")</f>
        <v/>
      </c>
      <c r="Y362">
        <f>HYPERLINK("https://klasma.github.io/Logging_1765/tillsynsmail/A 59688-2024 tillsynsbegäran mail.docx", "A 59688-2024")</f>
        <v/>
      </c>
    </row>
    <row r="363" ht="15" customHeight="1">
      <c r="A363" t="inlineStr">
        <is>
          <t>A 61677-2024</t>
        </is>
      </c>
      <c r="B363" s="1" t="n">
        <v>45647</v>
      </c>
      <c r="C363" s="1" t="n">
        <v>45810</v>
      </c>
      <c r="D363" t="inlineStr">
        <is>
          <t>VÄRMLANDS LÄN</t>
        </is>
      </c>
      <c r="E363" t="inlineStr">
        <is>
          <t>KRISTINEHAMN</t>
        </is>
      </c>
      <c r="G363" t="n">
        <v>1.2</v>
      </c>
      <c r="H363" t="n">
        <v>2</v>
      </c>
      <c r="I363" t="n">
        <v>0</v>
      </c>
      <c r="J363" t="n">
        <v>1</v>
      </c>
      <c r="K363" t="n">
        <v>0</v>
      </c>
      <c r="L363" t="n">
        <v>0</v>
      </c>
      <c r="M363" t="n">
        <v>0</v>
      </c>
      <c r="N363" t="n">
        <v>0</v>
      </c>
      <c r="O363" t="n">
        <v>1</v>
      </c>
      <c r="P363" t="n">
        <v>0</v>
      </c>
      <c r="Q363" t="n">
        <v>2</v>
      </c>
      <c r="R363" s="2" t="inlineStr">
        <is>
          <t>Talltita
Vanlig groda</t>
        </is>
      </c>
      <c r="S363">
        <f>HYPERLINK("https://klasma.github.io/Logging_1781/artfynd/A 61677-2024 artfynd.xlsx", "A 61677-2024")</f>
        <v/>
      </c>
      <c r="T363">
        <f>HYPERLINK("https://klasma.github.io/Logging_1781/kartor/A 61677-2024 karta.png", "A 61677-2024")</f>
        <v/>
      </c>
      <c r="V363">
        <f>HYPERLINK("https://klasma.github.io/Logging_1781/klagomål/A 61677-2024 FSC-klagomål.docx", "A 61677-2024")</f>
        <v/>
      </c>
      <c r="W363">
        <f>HYPERLINK("https://klasma.github.io/Logging_1781/klagomålsmail/A 61677-2024 FSC-klagomål mail.docx", "A 61677-2024")</f>
        <v/>
      </c>
      <c r="X363">
        <f>HYPERLINK("https://klasma.github.io/Logging_1781/tillsyn/A 61677-2024 tillsynsbegäran.docx", "A 61677-2024")</f>
        <v/>
      </c>
      <c r="Y363">
        <f>HYPERLINK("https://klasma.github.io/Logging_1781/tillsynsmail/A 61677-2024 tillsynsbegäran mail.docx", "A 61677-2024")</f>
        <v/>
      </c>
      <c r="Z363">
        <f>HYPERLINK("https://klasma.github.io/Logging_1781/fåglar/A 61677-2024 prioriterade fågelarter.docx", "A 61677-2024")</f>
        <v/>
      </c>
    </row>
    <row r="364" ht="15" customHeight="1">
      <c r="A364" t="inlineStr">
        <is>
          <t>A 61950-2024</t>
        </is>
      </c>
      <c r="B364" s="1" t="n">
        <v>45653</v>
      </c>
      <c r="C364" s="1" t="n">
        <v>45810</v>
      </c>
      <c r="D364" t="inlineStr">
        <is>
          <t>VÄRMLANDS LÄN</t>
        </is>
      </c>
      <c r="E364" t="inlineStr">
        <is>
          <t>TORSBY</t>
        </is>
      </c>
      <c r="G364" t="n">
        <v>2.1</v>
      </c>
      <c r="H364" t="n">
        <v>2</v>
      </c>
      <c r="I364" t="n">
        <v>0</v>
      </c>
      <c r="J364" t="n">
        <v>2</v>
      </c>
      <c r="K364" t="n">
        <v>0</v>
      </c>
      <c r="L364" t="n">
        <v>0</v>
      </c>
      <c r="M364" t="n">
        <v>0</v>
      </c>
      <c r="N364" t="n">
        <v>0</v>
      </c>
      <c r="O364" t="n">
        <v>2</v>
      </c>
      <c r="P364" t="n">
        <v>0</v>
      </c>
      <c r="Q364" t="n">
        <v>2</v>
      </c>
      <c r="R364" s="2" t="inlineStr">
        <is>
          <t>Björktrast
Rödvingetrast</t>
        </is>
      </c>
      <c r="S364">
        <f>HYPERLINK("https://klasma.github.io/Logging_1737/artfynd/A 61950-2024 artfynd.xlsx", "A 61950-2024")</f>
        <v/>
      </c>
      <c r="T364">
        <f>HYPERLINK("https://klasma.github.io/Logging_1737/kartor/A 61950-2024 karta.png", "A 61950-2024")</f>
        <v/>
      </c>
      <c r="V364">
        <f>HYPERLINK("https://klasma.github.io/Logging_1737/klagomål/A 61950-2024 FSC-klagomål.docx", "A 61950-2024")</f>
        <v/>
      </c>
      <c r="W364">
        <f>HYPERLINK("https://klasma.github.io/Logging_1737/klagomålsmail/A 61950-2024 FSC-klagomål mail.docx", "A 61950-2024")</f>
        <v/>
      </c>
      <c r="X364">
        <f>HYPERLINK("https://klasma.github.io/Logging_1737/tillsyn/A 61950-2024 tillsynsbegäran.docx", "A 61950-2024")</f>
        <v/>
      </c>
      <c r="Y364">
        <f>HYPERLINK("https://klasma.github.io/Logging_1737/tillsynsmail/A 61950-2024 tillsynsbegäran mail.docx", "A 61950-2024")</f>
        <v/>
      </c>
      <c r="Z364">
        <f>HYPERLINK("https://klasma.github.io/Logging_1737/fåglar/A 61950-2024 prioriterade fågelarter.docx", "A 61950-2024")</f>
        <v/>
      </c>
    </row>
    <row r="365" ht="15" customHeight="1">
      <c r="A365" t="inlineStr">
        <is>
          <t>A 537-2025</t>
        </is>
      </c>
      <c r="B365" s="1" t="n">
        <v>45664</v>
      </c>
      <c r="C365" s="1" t="n">
        <v>45810</v>
      </c>
      <c r="D365" t="inlineStr">
        <is>
          <t>VÄRMLANDS LÄN</t>
        </is>
      </c>
      <c r="E365" t="inlineStr">
        <is>
          <t>TORSBY</t>
        </is>
      </c>
      <c r="G365" t="n">
        <v>10.6</v>
      </c>
      <c r="H365" t="n">
        <v>0</v>
      </c>
      <c r="I365" t="n">
        <v>0</v>
      </c>
      <c r="J365" t="n">
        <v>2</v>
      </c>
      <c r="K365" t="n">
        <v>0</v>
      </c>
      <c r="L365" t="n">
        <v>0</v>
      </c>
      <c r="M365" t="n">
        <v>0</v>
      </c>
      <c r="N365" t="n">
        <v>0</v>
      </c>
      <c r="O365" t="n">
        <v>2</v>
      </c>
      <c r="P365" t="n">
        <v>0</v>
      </c>
      <c r="Q365" t="n">
        <v>2</v>
      </c>
      <c r="R365" s="2" t="inlineStr">
        <is>
          <t>Gammelgransskål
Garnlav</t>
        </is>
      </c>
      <c r="S365">
        <f>HYPERLINK("https://klasma.github.io/Logging_1737/artfynd/A 537-2025 artfynd.xlsx", "A 537-2025")</f>
        <v/>
      </c>
      <c r="T365">
        <f>HYPERLINK("https://klasma.github.io/Logging_1737/kartor/A 537-2025 karta.png", "A 537-2025")</f>
        <v/>
      </c>
      <c r="V365">
        <f>HYPERLINK("https://klasma.github.io/Logging_1737/klagomål/A 537-2025 FSC-klagomål.docx", "A 537-2025")</f>
        <v/>
      </c>
      <c r="W365">
        <f>HYPERLINK("https://klasma.github.io/Logging_1737/klagomålsmail/A 537-2025 FSC-klagomål mail.docx", "A 537-2025")</f>
        <v/>
      </c>
      <c r="X365">
        <f>HYPERLINK("https://klasma.github.io/Logging_1737/tillsyn/A 537-2025 tillsynsbegäran.docx", "A 537-2025")</f>
        <v/>
      </c>
      <c r="Y365">
        <f>HYPERLINK("https://klasma.github.io/Logging_1737/tillsynsmail/A 537-2025 tillsynsbegäran mail.docx", "A 537-2025")</f>
        <v/>
      </c>
    </row>
    <row r="366" ht="15" customHeight="1">
      <c r="A366" t="inlineStr">
        <is>
          <t>A 1036-2025</t>
        </is>
      </c>
      <c r="B366" s="1" t="n">
        <v>45665</v>
      </c>
      <c r="C366" s="1" t="n">
        <v>45810</v>
      </c>
      <c r="D366" t="inlineStr">
        <is>
          <t>VÄRMLANDS LÄN</t>
        </is>
      </c>
      <c r="E366" t="inlineStr">
        <is>
          <t>SÄFFLE</t>
        </is>
      </c>
      <c r="G366" t="n">
        <v>10.4</v>
      </c>
      <c r="H366" t="n">
        <v>0</v>
      </c>
      <c r="I366" t="n">
        <v>1</v>
      </c>
      <c r="J366" t="n">
        <v>1</v>
      </c>
      <c r="K366" t="n">
        <v>0</v>
      </c>
      <c r="L366" t="n">
        <v>0</v>
      </c>
      <c r="M366" t="n">
        <v>0</v>
      </c>
      <c r="N366" t="n">
        <v>0</v>
      </c>
      <c r="O366" t="n">
        <v>1</v>
      </c>
      <c r="P366" t="n">
        <v>0</v>
      </c>
      <c r="Q366" t="n">
        <v>2</v>
      </c>
      <c r="R366" s="2" t="inlineStr">
        <is>
          <t>Vedskivlav
Vedticka</t>
        </is>
      </c>
      <c r="S366">
        <f>HYPERLINK("https://klasma.github.io/Logging_1785/artfynd/A 1036-2025 artfynd.xlsx", "A 1036-2025")</f>
        <v/>
      </c>
      <c r="T366">
        <f>HYPERLINK("https://klasma.github.io/Logging_1785/kartor/A 1036-2025 karta.png", "A 1036-2025")</f>
        <v/>
      </c>
      <c r="V366">
        <f>HYPERLINK("https://klasma.github.io/Logging_1785/klagomål/A 1036-2025 FSC-klagomål.docx", "A 1036-2025")</f>
        <v/>
      </c>
      <c r="W366">
        <f>HYPERLINK("https://klasma.github.io/Logging_1785/klagomålsmail/A 1036-2025 FSC-klagomål mail.docx", "A 1036-2025")</f>
        <v/>
      </c>
      <c r="X366">
        <f>HYPERLINK("https://klasma.github.io/Logging_1785/tillsyn/A 1036-2025 tillsynsbegäran.docx", "A 1036-2025")</f>
        <v/>
      </c>
      <c r="Y366">
        <f>HYPERLINK("https://klasma.github.io/Logging_1785/tillsynsmail/A 1036-2025 tillsynsbegäran mail.docx", "A 1036-2025")</f>
        <v/>
      </c>
    </row>
    <row r="367" ht="15" customHeight="1">
      <c r="A367" t="inlineStr">
        <is>
          <t>A 3410-2025</t>
        </is>
      </c>
      <c r="B367" s="1" t="n">
        <v>45679</v>
      </c>
      <c r="C367" s="1" t="n">
        <v>45810</v>
      </c>
      <c r="D367" t="inlineStr">
        <is>
          <t>VÄRMLANDS LÄN</t>
        </is>
      </c>
      <c r="E367" t="inlineStr">
        <is>
          <t>KARLSTAD</t>
        </is>
      </c>
      <c r="G367" t="n">
        <v>14</v>
      </c>
      <c r="H367" t="n">
        <v>0</v>
      </c>
      <c r="I367" t="n">
        <v>1</v>
      </c>
      <c r="J367" t="n">
        <v>1</v>
      </c>
      <c r="K367" t="n">
        <v>0</v>
      </c>
      <c r="L367" t="n">
        <v>0</v>
      </c>
      <c r="M367" t="n">
        <v>0</v>
      </c>
      <c r="N367" t="n">
        <v>0</v>
      </c>
      <c r="O367" t="n">
        <v>1</v>
      </c>
      <c r="P367" t="n">
        <v>0</v>
      </c>
      <c r="Q367" t="n">
        <v>2</v>
      </c>
      <c r="R367" s="2" t="inlineStr">
        <is>
          <t>Svartvit taggsvamp
Svart trolldruva</t>
        </is>
      </c>
      <c r="S367">
        <f>HYPERLINK("https://klasma.github.io/Logging_1780/artfynd/A 3410-2025 artfynd.xlsx", "A 3410-2025")</f>
        <v/>
      </c>
      <c r="T367">
        <f>HYPERLINK("https://klasma.github.io/Logging_1780/kartor/A 3410-2025 karta.png", "A 3410-2025")</f>
        <v/>
      </c>
      <c r="V367">
        <f>HYPERLINK("https://klasma.github.io/Logging_1780/klagomål/A 3410-2025 FSC-klagomål.docx", "A 3410-2025")</f>
        <v/>
      </c>
      <c r="W367">
        <f>HYPERLINK("https://klasma.github.io/Logging_1780/klagomålsmail/A 3410-2025 FSC-klagomål mail.docx", "A 3410-2025")</f>
        <v/>
      </c>
      <c r="X367">
        <f>HYPERLINK("https://klasma.github.io/Logging_1780/tillsyn/A 3410-2025 tillsynsbegäran.docx", "A 3410-2025")</f>
        <v/>
      </c>
      <c r="Y367">
        <f>HYPERLINK("https://klasma.github.io/Logging_1780/tillsynsmail/A 3410-2025 tillsynsbegäran mail.docx", "A 3410-2025")</f>
        <v/>
      </c>
    </row>
    <row r="368" ht="15" customHeight="1">
      <c r="A368" t="inlineStr">
        <is>
          <t>A 5936-2025</t>
        </is>
      </c>
      <c r="B368" s="1" t="n">
        <v>45695</v>
      </c>
      <c r="C368" s="1" t="n">
        <v>45810</v>
      </c>
      <c r="D368" t="inlineStr">
        <is>
          <t>VÄRMLANDS LÄN</t>
        </is>
      </c>
      <c r="E368" t="inlineStr">
        <is>
          <t>ARVIKA</t>
        </is>
      </c>
      <c r="G368" t="n">
        <v>8.300000000000001</v>
      </c>
      <c r="H368" t="n">
        <v>2</v>
      </c>
      <c r="I368" t="n">
        <v>0</v>
      </c>
      <c r="J368" t="n">
        <v>1</v>
      </c>
      <c r="K368" t="n">
        <v>1</v>
      </c>
      <c r="L368" t="n">
        <v>0</v>
      </c>
      <c r="M368" t="n">
        <v>0</v>
      </c>
      <c r="N368" t="n">
        <v>0</v>
      </c>
      <c r="O368" t="n">
        <v>2</v>
      </c>
      <c r="P368" t="n">
        <v>1</v>
      </c>
      <c r="Q368" t="n">
        <v>2</v>
      </c>
      <c r="R368" s="2" t="inlineStr">
        <is>
          <t>Knärot
Talltita</t>
        </is>
      </c>
      <c r="S368">
        <f>HYPERLINK("https://klasma.github.io/Logging_1784/artfynd/A 5936-2025 artfynd.xlsx", "A 5936-2025")</f>
        <v/>
      </c>
      <c r="T368">
        <f>HYPERLINK("https://klasma.github.io/Logging_1784/kartor/A 5936-2025 karta.png", "A 5936-2025")</f>
        <v/>
      </c>
      <c r="U368">
        <f>HYPERLINK("https://klasma.github.io/Logging_1784/knärot/A 5936-2025 karta knärot.png", "A 5936-2025")</f>
        <v/>
      </c>
      <c r="V368">
        <f>HYPERLINK("https://klasma.github.io/Logging_1784/klagomål/A 5936-2025 FSC-klagomål.docx", "A 5936-2025")</f>
        <v/>
      </c>
      <c r="W368">
        <f>HYPERLINK("https://klasma.github.io/Logging_1784/klagomålsmail/A 5936-2025 FSC-klagomål mail.docx", "A 5936-2025")</f>
        <v/>
      </c>
      <c r="X368">
        <f>HYPERLINK("https://klasma.github.io/Logging_1784/tillsyn/A 5936-2025 tillsynsbegäran.docx", "A 5936-2025")</f>
        <v/>
      </c>
      <c r="Y368">
        <f>HYPERLINK("https://klasma.github.io/Logging_1784/tillsynsmail/A 5936-2025 tillsynsbegäran mail.docx", "A 5936-2025")</f>
        <v/>
      </c>
      <c r="Z368">
        <f>HYPERLINK("https://klasma.github.io/Logging_1784/fåglar/A 5936-2025 prioriterade fågelarter.docx", "A 5936-2025")</f>
        <v/>
      </c>
    </row>
    <row r="369" ht="15" customHeight="1">
      <c r="A369" t="inlineStr">
        <is>
          <t>A 6542-2025</t>
        </is>
      </c>
      <c r="B369" s="1" t="n">
        <v>45699</v>
      </c>
      <c r="C369" s="1" t="n">
        <v>45810</v>
      </c>
      <c r="D369" t="inlineStr">
        <is>
          <t>VÄRMLANDS LÄN</t>
        </is>
      </c>
      <c r="E369" t="inlineStr">
        <is>
          <t>KARLSTAD</t>
        </is>
      </c>
      <c r="G369" t="n">
        <v>13</v>
      </c>
      <c r="H369" t="n">
        <v>0</v>
      </c>
      <c r="I369" t="n">
        <v>1</v>
      </c>
      <c r="J369" t="n">
        <v>1</v>
      </c>
      <c r="K369" t="n">
        <v>0</v>
      </c>
      <c r="L369" t="n">
        <v>0</v>
      </c>
      <c r="M369" t="n">
        <v>0</v>
      </c>
      <c r="N369" t="n">
        <v>0</v>
      </c>
      <c r="O369" t="n">
        <v>1</v>
      </c>
      <c r="P369" t="n">
        <v>0</v>
      </c>
      <c r="Q369" t="n">
        <v>2</v>
      </c>
      <c r="R369" s="2" t="inlineStr">
        <is>
          <t>Gropig brunbagge
Mindre märgborre</t>
        </is>
      </c>
      <c r="S369">
        <f>HYPERLINK("https://klasma.github.io/Logging_1780/artfynd/A 6542-2025 artfynd.xlsx", "A 6542-2025")</f>
        <v/>
      </c>
      <c r="T369">
        <f>HYPERLINK("https://klasma.github.io/Logging_1780/kartor/A 6542-2025 karta.png", "A 6542-2025")</f>
        <v/>
      </c>
      <c r="V369">
        <f>HYPERLINK("https://klasma.github.io/Logging_1780/klagomål/A 6542-2025 FSC-klagomål.docx", "A 6542-2025")</f>
        <v/>
      </c>
      <c r="W369">
        <f>HYPERLINK("https://klasma.github.io/Logging_1780/klagomålsmail/A 6542-2025 FSC-klagomål mail.docx", "A 6542-2025")</f>
        <v/>
      </c>
      <c r="X369">
        <f>HYPERLINK("https://klasma.github.io/Logging_1780/tillsyn/A 6542-2025 tillsynsbegäran.docx", "A 6542-2025")</f>
        <v/>
      </c>
      <c r="Y369">
        <f>HYPERLINK("https://klasma.github.io/Logging_1780/tillsynsmail/A 6542-2025 tillsynsbegäran mail.docx", "A 6542-2025")</f>
        <v/>
      </c>
    </row>
    <row r="370" ht="15" customHeight="1">
      <c r="A370" t="inlineStr">
        <is>
          <t>A 7097-2025</t>
        </is>
      </c>
      <c r="B370" s="1" t="n">
        <v>45701</v>
      </c>
      <c r="C370" s="1" t="n">
        <v>45810</v>
      </c>
      <c r="D370" t="inlineStr">
        <is>
          <t>VÄRMLANDS LÄN</t>
        </is>
      </c>
      <c r="E370" t="inlineStr">
        <is>
          <t>SUNNE</t>
        </is>
      </c>
      <c r="G370" t="n">
        <v>3.9</v>
      </c>
      <c r="H370" t="n">
        <v>1</v>
      </c>
      <c r="I370" t="n">
        <v>0</v>
      </c>
      <c r="J370" t="n">
        <v>1</v>
      </c>
      <c r="K370" t="n">
        <v>0</v>
      </c>
      <c r="L370" t="n">
        <v>0</v>
      </c>
      <c r="M370" t="n">
        <v>0</v>
      </c>
      <c r="N370" t="n">
        <v>0</v>
      </c>
      <c r="O370" t="n">
        <v>1</v>
      </c>
      <c r="P370" t="n">
        <v>0</v>
      </c>
      <c r="Q370" t="n">
        <v>2</v>
      </c>
      <c r="R370" s="2" t="inlineStr">
        <is>
          <t>Tallticka
Tjäder</t>
        </is>
      </c>
      <c r="S370">
        <f>HYPERLINK("https://klasma.github.io/Logging_1766/artfynd/A 7097-2025 artfynd.xlsx", "A 7097-2025")</f>
        <v/>
      </c>
      <c r="T370">
        <f>HYPERLINK("https://klasma.github.io/Logging_1766/kartor/A 7097-2025 karta.png", "A 7097-2025")</f>
        <v/>
      </c>
      <c r="V370">
        <f>HYPERLINK("https://klasma.github.io/Logging_1766/klagomål/A 7097-2025 FSC-klagomål.docx", "A 7097-2025")</f>
        <v/>
      </c>
      <c r="W370">
        <f>HYPERLINK("https://klasma.github.io/Logging_1766/klagomålsmail/A 7097-2025 FSC-klagomål mail.docx", "A 7097-2025")</f>
        <v/>
      </c>
      <c r="X370">
        <f>HYPERLINK("https://klasma.github.io/Logging_1766/tillsyn/A 7097-2025 tillsynsbegäran.docx", "A 7097-2025")</f>
        <v/>
      </c>
      <c r="Y370">
        <f>HYPERLINK("https://klasma.github.io/Logging_1766/tillsynsmail/A 7097-2025 tillsynsbegäran mail.docx", "A 7097-2025")</f>
        <v/>
      </c>
      <c r="Z370">
        <f>HYPERLINK("https://klasma.github.io/Logging_1766/fåglar/A 7097-2025 prioriterade fågelarter.docx", "A 7097-2025")</f>
        <v/>
      </c>
    </row>
    <row r="371" ht="15" customHeight="1">
      <c r="A371" t="inlineStr">
        <is>
          <t>A 8038-2025</t>
        </is>
      </c>
      <c r="B371" s="1" t="n">
        <v>45707</v>
      </c>
      <c r="C371" s="1" t="n">
        <v>45810</v>
      </c>
      <c r="D371" t="inlineStr">
        <is>
          <t>VÄRMLANDS LÄN</t>
        </is>
      </c>
      <c r="E371" t="inlineStr">
        <is>
          <t>ARVIKA</t>
        </is>
      </c>
      <c r="F371" t="inlineStr">
        <is>
          <t>Övriga Aktiebolag</t>
        </is>
      </c>
      <c r="G371" t="n">
        <v>12.9</v>
      </c>
      <c r="H371" t="n">
        <v>2</v>
      </c>
      <c r="I371" t="n">
        <v>0</v>
      </c>
      <c r="J371" t="n">
        <v>2</v>
      </c>
      <c r="K371" t="n">
        <v>0</v>
      </c>
      <c r="L371" t="n">
        <v>0</v>
      </c>
      <c r="M371" t="n">
        <v>0</v>
      </c>
      <c r="N371" t="n">
        <v>0</v>
      </c>
      <c r="O371" t="n">
        <v>2</v>
      </c>
      <c r="P371" t="n">
        <v>0</v>
      </c>
      <c r="Q371" t="n">
        <v>2</v>
      </c>
      <c r="R371" s="2" t="inlineStr">
        <is>
          <t>Spillkråka
Talltita</t>
        </is>
      </c>
      <c r="S371">
        <f>HYPERLINK("https://klasma.github.io/Logging_1784/artfynd/A 8038-2025 artfynd.xlsx", "A 8038-2025")</f>
        <v/>
      </c>
      <c r="T371">
        <f>HYPERLINK("https://klasma.github.io/Logging_1784/kartor/A 8038-2025 karta.png", "A 8038-2025")</f>
        <v/>
      </c>
      <c r="V371">
        <f>HYPERLINK("https://klasma.github.io/Logging_1784/klagomål/A 8038-2025 FSC-klagomål.docx", "A 8038-2025")</f>
        <v/>
      </c>
      <c r="W371">
        <f>HYPERLINK("https://klasma.github.io/Logging_1784/klagomålsmail/A 8038-2025 FSC-klagomål mail.docx", "A 8038-2025")</f>
        <v/>
      </c>
      <c r="X371">
        <f>HYPERLINK("https://klasma.github.io/Logging_1784/tillsyn/A 8038-2025 tillsynsbegäran.docx", "A 8038-2025")</f>
        <v/>
      </c>
      <c r="Y371">
        <f>HYPERLINK("https://klasma.github.io/Logging_1784/tillsynsmail/A 8038-2025 tillsynsbegäran mail.docx", "A 8038-2025")</f>
        <v/>
      </c>
      <c r="Z371">
        <f>HYPERLINK("https://klasma.github.io/Logging_1784/fåglar/A 8038-2025 prioriterade fågelarter.docx", "A 8038-2025")</f>
        <v/>
      </c>
    </row>
    <row r="372" ht="15" customHeight="1">
      <c r="A372" t="inlineStr">
        <is>
          <t>A 9032-2025</t>
        </is>
      </c>
      <c r="B372" s="1" t="n">
        <v>45713</v>
      </c>
      <c r="C372" s="1" t="n">
        <v>45810</v>
      </c>
      <c r="D372" t="inlineStr">
        <is>
          <t>VÄRMLANDS LÄN</t>
        </is>
      </c>
      <c r="E372" t="inlineStr">
        <is>
          <t>ARVIKA</t>
        </is>
      </c>
      <c r="G372" t="n">
        <v>3.2</v>
      </c>
      <c r="H372" t="n">
        <v>2</v>
      </c>
      <c r="I372" t="n">
        <v>0</v>
      </c>
      <c r="J372" t="n">
        <v>2</v>
      </c>
      <c r="K372" t="n">
        <v>0</v>
      </c>
      <c r="L372" t="n">
        <v>0</v>
      </c>
      <c r="M372" t="n">
        <v>0</v>
      </c>
      <c r="N372" t="n">
        <v>0</v>
      </c>
      <c r="O372" t="n">
        <v>2</v>
      </c>
      <c r="P372" t="n">
        <v>0</v>
      </c>
      <c r="Q372" t="n">
        <v>2</v>
      </c>
      <c r="R372" s="2" t="inlineStr">
        <is>
          <t>Spillkråka
Talltita</t>
        </is>
      </c>
      <c r="S372">
        <f>HYPERLINK("https://klasma.github.io/Logging_1784/artfynd/A 9032-2025 artfynd.xlsx", "A 9032-2025")</f>
        <v/>
      </c>
      <c r="T372">
        <f>HYPERLINK("https://klasma.github.io/Logging_1784/kartor/A 9032-2025 karta.png", "A 9032-2025")</f>
        <v/>
      </c>
      <c r="V372">
        <f>HYPERLINK("https://klasma.github.io/Logging_1784/klagomål/A 9032-2025 FSC-klagomål.docx", "A 9032-2025")</f>
        <v/>
      </c>
      <c r="W372">
        <f>HYPERLINK("https://klasma.github.io/Logging_1784/klagomålsmail/A 9032-2025 FSC-klagomål mail.docx", "A 9032-2025")</f>
        <v/>
      </c>
      <c r="X372">
        <f>HYPERLINK("https://klasma.github.io/Logging_1784/tillsyn/A 9032-2025 tillsynsbegäran.docx", "A 9032-2025")</f>
        <v/>
      </c>
      <c r="Y372">
        <f>HYPERLINK("https://klasma.github.io/Logging_1784/tillsynsmail/A 9032-2025 tillsynsbegäran mail.docx", "A 9032-2025")</f>
        <v/>
      </c>
      <c r="Z372">
        <f>HYPERLINK("https://klasma.github.io/Logging_1784/fåglar/A 9032-2025 prioriterade fågelarter.docx", "A 9032-2025")</f>
        <v/>
      </c>
    </row>
    <row r="373" ht="15" customHeight="1">
      <c r="A373" t="inlineStr">
        <is>
          <t>A 10795-2025</t>
        </is>
      </c>
      <c r="B373" s="1" t="n">
        <v>45722</v>
      </c>
      <c r="C373" s="1" t="n">
        <v>45810</v>
      </c>
      <c r="D373" t="inlineStr">
        <is>
          <t>VÄRMLANDS LÄN</t>
        </is>
      </c>
      <c r="E373" t="inlineStr">
        <is>
          <t>HAMMARÖ</t>
        </is>
      </c>
      <c r="G373" t="n">
        <v>0.7</v>
      </c>
      <c r="H373" t="n">
        <v>1</v>
      </c>
      <c r="I373" t="n">
        <v>1</v>
      </c>
      <c r="J373" t="n">
        <v>1</v>
      </c>
      <c r="K373" t="n">
        <v>0</v>
      </c>
      <c r="L373" t="n">
        <v>0</v>
      </c>
      <c r="M373" t="n">
        <v>0</v>
      </c>
      <c r="N373" t="n">
        <v>0</v>
      </c>
      <c r="O373" t="n">
        <v>1</v>
      </c>
      <c r="P373" t="n">
        <v>0</v>
      </c>
      <c r="Q373" t="n">
        <v>2</v>
      </c>
      <c r="R373" s="2" t="inlineStr">
        <is>
          <t>Nordfladdermus
Guldkremla</t>
        </is>
      </c>
      <c r="S373">
        <f>HYPERLINK("https://klasma.github.io/Logging_171761/artfynd/A 10795-2025 artfynd.xlsx", "A 10795-2025")</f>
        <v/>
      </c>
      <c r="T373">
        <f>HYPERLINK("https://klasma.github.io/Logging_171761/kartor/A 10795-2025 karta.png", "A 10795-2025")</f>
        <v/>
      </c>
      <c r="V373">
        <f>HYPERLINK("https://klasma.github.io/Logging_171761/klagomål/A 10795-2025 FSC-klagomål.docx", "A 10795-2025")</f>
        <v/>
      </c>
      <c r="W373">
        <f>HYPERLINK("https://klasma.github.io/Logging_171761/klagomålsmail/A 10795-2025 FSC-klagomål mail.docx", "A 10795-2025")</f>
        <v/>
      </c>
      <c r="X373">
        <f>HYPERLINK("https://klasma.github.io/Logging_171761/tillsyn/A 10795-2025 tillsynsbegäran.docx", "A 10795-2025")</f>
        <v/>
      </c>
      <c r="Y373">
        <f>HYPERLINK("https://klasma.github.io/Logging_171761/tillsynsmail/A 10795-2025 tillsynsbegäran mail.docx", "A 10795-2025")</f>
        <v/>
      </c>
    </row>
    <row r="374" ht="15" customHeight="1">
      <c r="A374" t="inlineStr">
        <is>
          <t>A 15826-2025</t>
        </is>
      </c>
      <c r="B374" s="1" t="n">
        <v>45748</v>
      </c>
      <c r="C374" s="1" t="n">
        <v>45810</v>
      </c>
      <c r="D374" t="inlineStr">
        <is>
          <t>VÄRMLANDS LÄN</t>
        </is>
      </c>
      <c r="E374" t="inlineStr">
        <is>
          <t>HAGFORS</t>
        </is>
      </c>
      <c r="F374" t="inlineStr">
        <is>
          <t>Bergvik skog väst AB</t>
        </is>
      </c>
      <c r="G374" t="n">
        <v>8</v>
      </c>
      <c r="H374" t="n">
        <v>0</v>
      </c>
      <c r="I374" t="n">
        <v>0</v>
      </c>
      <c r="J374" t="n">
        <v>1</v>
      </c>
      <c r="K374" t="n">
        <v>1</v>
      </c>
      <c r="L374" t="n">
        <v>0</v>
      </c>
      <c r="M374" t="n">
        <v>0</v>
      </c>
      <c r="N374" t="n">
        <v>0</v>
      </c>
      <c r="O374" t="n">
        <v>2</v>
      </c>
      <c r="P374" t="n">
        <v>1</v>
      </c>
      <c r="Q374" t="n">
        <v>2</v>
      </c>
      <c r="R374" s="2" t="inlineStr">
        <is>
          <t>Rynkskinn
Stjärntagging</t>
        </is>
      </c>
      <c r="S374">
        <f>HYPERLINK("https://klasma.github.io/Logging_171783/artfynd/A 15826-2025 artfynd.xlsx", "A 15826-2025")</f>
        <v/>
      </c>
      <c r="T374">
        <f>HYPERLINK("https://klasma.github.io/Logging_171783/kartor/A 15826-2025 karta.png", "A 15826-2025")</f>
        <v/>
      </c>
      <c r="V374">
        <f>HYPERLINK("https://klasma.github.io/Logging_171783/klagomål/A 15826-2025 FSC-klagomål.docx", "A 15826-2025")</f>
        <v/>
      </c>
      <c r="W374">
        <f>HYPERLINK("https://klasma.github.io/Logging_171783/klagomålsmail/A 15826-2025 FSC-klagomål mail.docx", "A 15826-2025")</f>
        <v/>
      </c>
      <c r="X374">
        <f>HYPERLINK("https://klasma.github.io/Logging_171783/tillsyn/A 15826-2025 tillsynsbegäran.docx", "A 15826-2025")</f>
        <v/>
      </c>
      <c r="Y374">
        <f>HYPERLINK("https://klasma.github.io/Logging_171783/tillsynsmail/A 15826-2025 tillsynsbegäran mail.docx", "A 15826-2025")</f>
        <v/>
      </c>
    </row>
    <row r="375" ht="15" customHeight="1">
      <c r="A375" t="inlineStr">
        <is>
          <t>A 16011-2025</t>
        </is>
      </c>
      <c r="B375" s="1" t="n">
        <v>45749</v>
      </c>
      <c r="C375" s="1" t="n">
        <v>45810</v>
      </c>
      <c r="D375" t="inlineStr">
        <is>
          <t>VÄRMLANDS LÄN</t>
        </is>
      </c>
      <c r="E375" t="inlineStr">
        <is>
          <t>TORSBY</t>
        </is>
      </c>
      <c r="G375" t="n">
        <v>3.8</v>
      </c>
      <c r="H375" t="n">
        <v>0</v>
      </c>
      <c r="I375" t="n">
        <v>1</v>
      </c>
      <c r="J375" t="n">
        <v>1</v>
      </c>
      <c r="K375" t="n">
        <v>0</v>
      </c>
      <c r="L375" t="n">
        <v>0</v>
      </c>
      <c r="M375" t="n">
        <v>0</v>
      </c>
      <c r="N375" t="n">
        <v>0</v>
      </c>
      <c r="O375" t="n">
        <v>1</v>
      </c>
      <c r="P375" t="n">
        <v>0</v>
      </c>
      <c r="Q375" t="n">
        <v>2</v>
      </c>
      <c r="R375" s="2" t="inlineStr">
        <is>
          <t>Lunglav
Korallblylav</t>
        </is>
      </c>
      <c r="S375">
        <f>HYPERLINK("https://klasma.github.io/Logging_171737/artfynd/A 16011-2025 artfynd.xlsx", "A 16011-2025")</f>
        <v/>
      </c>
      <c r="T375">
        <f>HYPERLINK("https://klasma.github.io/Logging_171737/kartor/A 16011-2025 karta.png", "A 16011-2025")</f>
        <v/>
      </c>
      <c r="V375">
        <f>HYPERLINK("https://klasma.github.io/Logging_171737/klagomål/A 16011-2025 FSC-klagomål.docx", "A 16011-2025")</f>
        <v/>
      </c>
      <c r="W375">
        <f>HYPERLINK("https://klasma.github.io/Logging_171737/klagomålsmail/A 16011-2025 FSC-klagomål mail.docx", "A 16011-2025")</f>
        <v/>
      </c>
      <c r="X375">
        <f>HYPERLINK("https://klasma.github.io/Logging_171737/tillsyn/A 16011-2025 tillsynsbegäran.docx", "A 16011-2025")</f>
        <v/>
      </c>
      <c r="Y375">
        <f>HYPERLINK("https://klasma.github.io/Logging_171737/tillsynsmail/A 16011-2025 tillsynsbegäran mail.docx", "A 16011-2025")</f>
        <v/>
      </c>
    </row>
    <row r="376" ht="15" customHeight="1">
      <c r="A376" t="inlineStr">
        <is>
          <t>A 16139-2025</t>
        </is>
      </c>
      <c r="B376" s="1" t="n">
        <v>45750</v>
      </c>
      <c r="C376" s="1" t="n">
        <v>45810</v>
      </c>
      <c r="D376" t="inlineStr">
        <is>
          <t>VÄRMLANDS LÄN</t>
        </is>
      </c>
      <c r="E376" t="inlineStr">
        <is>
          <t>FILIPSTAD</t>
        </is>
      </c>
      <c r="G376" t="n">
        <v>18.2</v>
      </c>
      <c r="H376" t="n">
        <v>0</v>
      </c>
      <c r="I376" t="n">
        <v>1</v>
      </c>
      <c r="J376" t="n">
        <v>1</v>
      </c>
      <c r="K376" t="n">
        <v>0</v>
      </c>
      <c r="L376" t="n">
        <v>0</v>
      </c>
      <c r="M376" t="n">
        <v>0</v>
      </c>
      <c r="N376" t="n">
        <v>0</v>
      </c>
      <c r="O376" t="n">
        <v>1</v>
      </c>
      <c r="P376" t="n">
        <v>0</v>
      </c>
      <c r="Q376" t="n">
        <v>2</v>
      </c>
      <c r="R376" s="2" t="inlineStr">
        <is>
          <t>Garnlav
Bronshjon</t>
        </is>
      </c>
      <c r="S376">
        <f>HYPERLINK("https://klasma.github.io/Logging_171782/artfynd/A 16139-2025 artfynd.xlsx", "A 16139-2025")</f>
        <v/>
      </c>
      <c r="T376">
        <f>HYPERLINK("https://klasma.github.io/Logging_171782/kartor/A 16139-2025 karta.png", "A 16139-2025")</f>
        <v/>
      </c>
      <c r="V376">
        <f>HYPERLINK("https://klasma.github.io/Logging_171782/klagomål/A 16139-2025 FSC-klagomål.docx", "A 16139-2025")</f>
        <v/>
      </c>
      <c r="W376">
        <f>HYPERLINK("https://klasma.github.io/Logging_171782/klagomålsmail/A 16139-2025 FSC-klagomål mail.docx", "A 16139-2025")</f>
        <v/>
      </c>
      <c r="X376">
        <f>HYPERLINK("https://klasma.github.io/Logging_171782/tillsyn/A 16139-2025 tillsynsbegäran.docx", "A 16139-2025")</f>
        <v/>
      </c>
      <c r="Y376">
        <f>HYPERLINK("https://klasma.github.io/Logging_171782/tillsynsmail/A 16139-2025 tillsynsbegäran mail.docx", "A 16139-2025")</f>
        <v/>
      </c>
    </row>
    <row r="377" ht="15" customHeight="1">
      <c r="A377" t="inlineStr">
        <is>
          <t>A 16742-2025</t>
        </is>
      </c>
      <c r="B377" s="1" t="n">
        <v>45754</v>
      </c>
      <c r="C377" s="1" t="n">
        <v>45810</v>
      </c>
      <c r="D377" t="inlineStr">
        <is>
          <t>VÄRMLANDS LÄN</t>
        </is>
      </c>
      <c r="E377" t="inlineStr">
        <is>
          <t>EDA</t>
        </is>
      </c>
      <c r="G377" t="n">
        <v>8.9</v>
      </c>
      <c r="H377" t="n">
        <v>2</v>
      </c>
      <c r="I377" t="n">
        <v>0</v>
      </c>
      <c r="J377" t="n">
        <v>2</v>
      </c>
      <c r="K377" t="n">
        <v>0</v>
      </c>
      <c r="L377" t="n">
        <v>0</v>
      </c>
      <c r="M377" t="n">
        <v>0</v>
      </c>
      <c r="N377" t="n">
        <v>0</v>
      </c>
      <c r="O377" t="n">
        <v>2</v>
      </c>
      <c r="P377" t="n">
        <v>0</v>
      </c>
      <c r="Q377" t="n">
        <v>2</v>
      </c>
      <c r="R377" s="2" t="inlineStr">
        <is>
          <t>Talltita
Tretåig hackspett</t>
        </is>
      </c>
      <c r="S377">
        <f>HYPERLINK("https://klasma.github.io/Logging_171730/artfynd/A 16742-2025 artfynd.xlsx", "A 16742-2025")</f>
        <v/>
      </c>
      <c r="T377">
        <f>HYPERLINK("https://klasma.github.io/Logging_171730/kartor/A 16742-2025 karta.png", "A 16742-2025")</f>
        <v/>
      </c>
      <c r="V377">
        <f>HYPERLINK("https://klasma.github.io/Logging_171730/klagomål/A 16742-2025 FSC-klagomål.docx", "A 16742-2025")</f>
        <v/>
      </c>
      <c r="W377">
        <f>HYPERLINK("https://klasma.github.io/Logging_171730/klagomålsmail/A 16742-2025 FSC-klagomål mail.docx", "A 16742-2025")</f>
        <v/>
      </c>
      <c r="X377">
        <f>HYPERLINK("https://klasma.github.io/Logging_171730/tillsyn/A 16742-2025 tillsynsbegäran.docx", "A 16742-2025")</f>
        <v/>
      </c>
      <c r="Y377">
        <f>HYPERLINK("https://klasma.github.io/Logging_171730/tillsynsmail/A 16742-2025 tillsynsbegäran mail.docx", "A 16742-2025")</f>
        <v/>
      </c>
      <c r="Z377">
        <f>HYPERLINK("https://klasma.github.io/Logging_171730/fåglar/A 16742-2025 prioriterade fågelarter.docx", "A 16742-2025")</f>
        <v/>
      </c>
    </row>
    <row r="378" ht="15" customHeight="1">
      <c r="A378" t="inlineStr">
        <is>
          <t>A 17747-2025</t>
        </is>
      </c>
      <c r="B378" s="1" t="n">
        <v>45758</v>
      </c>
      <c r="C378" s="1" t="n">
        <v>45810</v>
      </c>
      <c r="D378" t="inlineStr">
        <is>
          <t>VÄRMLANDS LÄN</t>
        </is>
      </c>
      <c r="E378" t="inlineStr">
        <is>
          <t>TORSBY</t>
        </is>
      </c>
      <c r="G378" t="n">
        <v>14.1</v>
      </c>
      <c r="H378" t="n">
        <v>0</v>
      </c>
      <c r="I378" t="n">
        <v>0</v>
      </c>
      <c r="J378" t="n">
        <v>2</v>
      </c>
      <c r="K378" t="n">
        <v>0</v>
      </c>
      <c r="L378" t="n">
        <v>0</v>
      </c>
      <c r="M378" t="n">
        <v>0</v>
      </c>
      <c r="N378" t="n">
        <v>0</v>
      </c>
      <c r="O378" t="n">
        <v>2</v>
      </c>
      <c r="P378" t="n">
        <v>0</v>
      </c>
      <c r="Q378" t="n">
        <v>2</v>
      </c>
      <c r="R378" s="2" t="inlineStr">
        <is>
          <t>Garnlav
Vedtrappmossa</t>
        </is>
      </c>
      <c r="S378">
        <f>HYPERLINK("https://klasma.github.io/Logging_171737/artfynd/A 17747-2025 artfynd.xlsx", "A 17747-2025")</f>
        <v/>
      </c>
      <c r="T378">
        <f>HYPERLINK("https://klasma.github.io/Logging_171737/kartor/A 17747-2025 karta.png", "A 17747-2025")</f>
        <v/>
      </c>
      <c r="V378">
        <f>HYPERLINK("https://klasma.github.io/Logging_171737/klagomål/A 17747-2025 FSC-klagomål.docx", "A 17747-2025")</f>
        <v/>
      </c>
      <c r="W378">
        <f>HYPERLINK("https://klasma.github.io/Logging_171737/klagomålsmail/A 17747-2025 FSC-klagomål mail.docx", "A 17747-2025")</f>
        <v/>
      </c>
      <c r="X378">
        <f>HYPERLINK("https://klasma.github.io/Logging_171737/tillsyn/A 17747-2025 tillsynsbegäran.docx", "A 17747-2025")</f>
        <v/>
      </c>
      <c r="Y378">
        <f>HYPERLINK("https://klasma.github.io/Logging_171737/tillsynsmail/A 17747-2025 tillsynsbegäran mail.docx", "A 17747-2025")</f>
        <v/>
      </c>
    </row>
    <row r="379" ht="15" customHeight="1">
      <c r="A379" t="inlineStr">
        <is>
          <t>A 19719-2025</t>
        </is>
      </c>
      <c r="B379" s="1" t="n">
        <v>45771</v>
      </c>
      <c r="C379" s="1" t="n">
        <v>45810</v>
      </c>
      <c r="D379" t="inlineStr">
        <is>
          <t>VÄRMLANDS LÄN</t>
        </is>
      </c>
      <c r="E379" t="inlineStr">
        <is>
          <t>FILIPSTAD</t>
        </is>
      </c>
      <c r="F379" t="inlineStr">
        <is>
          <t>Bergvik skog väst AB</t>
        </is>
      </c>
      <c r="G379" t="n">
        <v>9.9</v>
      </c>
      <c r="H379" t="n">
        <v>0</v>
      </c>
      <c r="I379" t="n">
        <v>1</v>
      </c>
      <c r="J379" t="n">
        <v>1</v>
      </c>
      <c r="K379" t="n">
        <v>0</v>
      </c>
      <c r="L379" t="n">
        <v>0</v>
      </c>
      <c r="M379" t="n">
        <v>0</v>
      </c>
      <c r="N379" t="n">
        <v>0</v>
      </c>
      <c r="O379" t="n">
        <v>1</v>
      </c>
      <c r="P379" t="n">
        <v>0</v>
      </c>
      <c r="Q379" t="n">
        <v>2</v>
      </c>
      <c r="R379" s="2" t="inlineStr">
        <is>
          <t>Garnlav
Dropptaggsvamp</t>
        </is>
      </c>
      <c r="S379">
        <f>HYPERLINK("https://klasma.github.io/Logging_171782/artfynd/A 19719-2025 artfynd.xlsx", "A 19719-2025")</f>
        <v/>
      </c>
      <c r="T379">
        <f>HYPERLINK("https://klasma.github.io/Logging_171782/kartor/A 19719-2025 karta.png", "A 19719-2025")</f>
        <v/>
      </c>
      <c r="V379">
        <f>HYPERLINK("https://klasma.github.io/Logging_171782/klagomål/A 19719-2025 FSC-klagomål.docx", "A 19719-2025")</f>
        <v/>
      </c>
      <c r="W379">
        <f>HYPERLINK("https://klasma.github.io/Logging_171782/klagomålsmail/A 19719-2025 FSC-klagomål mail.docx", "A 19719-2025")</f>
        <v/>
      </c>
      <c r="X379">
        <f>HYPERLINK("https://klasma.github.io/Logging_171782/tillsyn/A 19719-2025 tillsynsbegäran.docx", "A 19719-2025")</f>
        <v/>
      </c>
      <c r="Y379">
        <f>HYPERLINK("https://klasma.github.io/Logging_171782/tillsynsmail/A 19719-2025 tillsynsbegäran mail.docx", "A 19719-2025")</f>
        <v/>
      </c>
    </row>
    <row r="380" ht="15" customHeight="1">
      <c r="A380" t="inlineStr">
        <is>
          <t>A 23955-2025</t>
        </is>
      </c>
      <c r="B380" s="1" t="n">
        <v>45796</v>
      </c>
      <c r="C380" s="1" t="n">
        <v>45810</v>
      </c>
      <c r="D380" t="inlineStr">
        <is>
          <t>VÄRMLANDS LÄN</t>
        </is>
      </c>
      <c r="E380" t="inlineStr">
        <is>
          <t>HAGFORS</t>
        </is>
      </c>
      <c r="F380" t="inlineStr">
        <is>
          <t>Bergvik skog väst AB</t>
        </is>
      </c>
      <c r="G380" t="n">
        <v>3.7</v>
      </c>
      <c r="H380" t="n">
        <v>1</v>
      </c>
      <c r="I380" t="n">
        <v>0</v>
      </c>
      <c r="J380" t="n">
        <v>2</v>
      </c>
      <c r="K380" t="n">
        <v>0</v>
      </c>
      <c r="L380" t="n">
        <v>0</v>
      </c>
      <c r="M380" t="n">
        <v>0</v>
      </c>
      <c r="N380" t="n">
        <v>0</v>
      </c>
      <c r="O380" t="n">
        <v>2</v>
      </c>
      <c r="P380" t="n">
        <v>0</v>
      </c>
      <c r="Q380" t="n">
        <v>2</v>
      </c>
      <c r="R380" s="2" t="inlineStr">
        <is>
          <t>Garnlav
Tretåig hackspett</t>
        </is>
      </c>
      <c r="S380">
        <f>HYPERLINK("https://klasma.github.io/Logging_171783/artfynd/A 23955-2025 artfynd.xlsx", "A 23955-2025")</f>
        <v/>
      </c>
      <c r="T380">
        <f>HYPERLINK("https://klasma.github.io/Logging_171783/kartor/A 23955-2025 karta.png", "A 23955-2025")</f>
        <v/>
      </c>
      <c r="V380">
        <f>HYPERLINK("https://klasma.github.io/Logging_171783/klagomål/A 23955-2025 FSC-klagomål.docx", "A 23955-2025")</f>
        <v/>
      </c>
      <c r="W380">
        <f>HYPERLINK("https://klasma.github.io/Logging_171783/klagomålsmail/A 23955-2025 FSC-klagomål mail.docx", "A 23955-2025")</f>
        <v/>
      </c>
      <c r="X380">
        <f>HYPERLINK("https://klasma.github.io/Logging_171783/tillsyn/A 23955-2025 tillsynsbegäran.docx", "A 23955-2025")</f>
        <v/>
      </c>
      <c r="Y380">
        <f>HYPERLINK("https://klasma.github.io/Logging_171783/tillsynsmail/A 23955-2025 tillsynsbegäran mail.docx", "A 23955-2025")</f>
        <v/>
      </c>
      <c r="Z380">
        <f>HYPERLINK("https://klasma.github.io/Logging_171783/fåglar/A 23955-2025 prioriterade fågelarter.docx", "A 23955-2025")</f>
        <v/>
      </c>
    </row>
    <row r="381" ht="15" customHeight="1">
      <c r="A381" t="inlineStr">
        <is>
          <t>A 25212-2025</t>
        </is>
      </c>
      <c r="B381" s="1" t="n">
        <v>45800</v>
      </c>
      <c r="C381" s="1" t="n">
        <v>45810</v>
      </c>
      <c r="D381" t="inlineStr">
        <is>
          <t>VÄRMLANDS LÄN</t>
        </is>
      </c>
      <c r="E381" t="inlineStr">
        <is>
          <t>TORSBY</t>
        </is>
      </c>
      <c r="F381" t="inlineStr">
        <is>
          <t>Bergvik skog väst AB</t>
        </is>
      </c>
      <c r="G381" t="n">
        <v>6.4</v>
      </c>
      <c r="H381" t="n">
        <v>1</v>
      </c>
      <c r="I381" t="n">
        <v>1</v>
      </c>
      <c r="J381" t="n">
        <v>0</v>
      </c>
      <c r="K381" t="n">
        <v>1</v>
      </c>
      <c r="L381" t="n">
        <v>0</v>
      </c>
      <c r="M381" t="n">
        <v>0</v>
      </c>
      <c r="N381" t="n">
        <v>0</v>
      </c>
      <c r="O381" t="n">
        <v>1</v>
      </c>
      <c r="P381" t="n">
        <v>1</v>
      </c>
      <c r="Q381" t="n">
        <v>2</v>
      </c>
      <c r="R381" s="2" t="inlineStr">
        <is>
          <t>Bombmurkla
Vedticka</t>
        </is>
      </c>
      <c r="S381">
        <f>HYPERLINK("https://klasma.github.io/Logging_171737/artfynd/A 25212-2025 artfynd.xlsx", "A 25212-2025")</f>
        <v/>
      </c>
      <c r="T381">
        <f>HYPERLINK("https://klasma.github.io/Logging_171737/kartor/A 25212-2025 karta.png", "A 25212-2025")</f>
        <v/>
      </c>
      <c r="V381">
        <f>HYPERLINK("https://klasma.github.io/Logging_171737/klagomål/A 25212-2025 FSC-klagomål.docx", "A 25212-2025")</f>
        <v/>
      </c>
      <c r="W381">
        <f>HYPERLINK("https://klasma.github.io/Logging_171737/klagomålsmail/A 25212-2025 FSC-klagomål mail.docx", "A 25212-2025")</f>
        <v/>
      </c>
      <c r="X381">
        <f>HYPERLINK("https://klasma.github.io/Logging_171737/tillsyn/A 25212-2025 tillsynsbegäran.docx", "A 25212-2025")</f>
        <v/>
      </c>
      <c r="Y381">
        <f>HYPERLINK("https://klasma.github.io/Logging_171737/tillsynsmail/A 25212-2025 tillsynsbegäran mail.docx", "A 25212-2025")</f>
        <v/>
      </c>
    </row>
    <row r="382" ht="15" customHeight="1">
      <c r="A382" t="inlineStr">
        <is>
          <t>A 18499-2019</t>
        </is>
      </c>
      <c r="B382" s="1" t="n">
        <v>43559</v>
      </c>
      <c r="C382" s="1" t="n">
        <v>45810</v>
      </c>
      <c r="D382" t="inlineStr">
        <is>
          <t>VÄRMLANDS LÄN</t>
        </is>
      </c>
      <c r="E382" t="inlineStr">
        <is>
          <t>TORSBY</t>
        </is>
      </c>
      <c r="G382" t="n">
        <v>4.8</v>
      </c>
      <c r="H382" t="n">
        <v>0</v>
      </c>
      <c r="I382" t="n">
        <v>0</v>
      </c>
      <c r="J382" t="n">
        <v>0</v>
      </c>
      <c r="K382" t="n">
        <v>1</v>
      </c>
      <c r="L382" t="n">
        <v>0</v>
      </c>
      <c r="M382" t="n">
        <v>0</v>
      </c>
      <c r="N382" t="n">
        <v>0</v>
      </c>
      <c r="O382" t="n">
        <v>1</v>
      </c>
      <c r="P382" t="n">
        <v>1</v>
      </c>
      <c r="Q382" t="n">
        <v>1</v>
      </c>
      <c r="R382" s="2" t="inlineStr">
        <is>
          <t>Raggbock</t>
        </is>
      </c>
      <c r="S382">
        <f>HYPERLINK("https://klasma.github.io/Logging_1737/artfynd/A 18499-2019 artfynd.xlsx", "A 18499-2019")</f>
        <v/>
      </c>
      <c r="T382">
        <f>HYPERLINK("https://klasma.github.io/Logging_1737/kartor/A 18499-2019 karta.png", "A 18499-2019")</f>
        <v/>
      </c>
      <c r="V382">
        <f>HYPERLINK("https://klasma.github.io/Logging_1737/klagomål/A 18499-2019 FSC-klagomål.docx", "A 18499-2019")</f>
        <v/>
      </c>
      <c r="W382">
        <f>HYPERLINK("https://klasma.github.io/Logging_1737/klagomålsmail/A 18499-2019 FSC-klagomål mail.docx", "A 18499-2019")</f>
        <v/>
      </c>
      <c r="X382">
        <f>HYPERLINK("https://klasma.github.io/Logging_1737/tillsyn/A 18499-2019 tillsynsbegäran.docx", "A 18499-2019")</f>
        <v/>
      </c>
      <c r="Y382">
        <f>HYPERLINK("https://klasma.github.io/Logging_1737/tillsynsmail/A 18499-2019 tillsynsbegäran mail.docx", "A 18499-2019")</f>
        <v/>
      </c>
    </row>
    <row r="383" ht="15" customHeight="1">
      <c r="A383" t="inlineStr">
        <is>
          <t>A 18838-2019</t>
        </is>
      </c>
      <c r="B383" s="1" t="n">
        <v>43563</v>
      </c>
      <c r="C383" s="1" t="n">
        <v>45810</v>
      </c>
      <c r="D383" t="inlineStr">
        <is>
          <t>VÄRMLANDS LÄN</t>
        </is>
      </c>
      <c r="E383" t="inlineStr">
        <is>
          <t>KARLSTAD</t>
        </is>
      </c>
      <c r="G383" t="n">
        <v>7.7</v>
      </c>
      <c r="H383" t="n">
        <v>1</v>
      </c>
      <c r="I383" t="n">
        <v>0</v>
      </c>
      <c r="J383" t="n">
        <v>0</v>
      </c>
      <c r="K383" t="n">
        <v>0</v>
      </c>
      <c r="L383" t="n">
        <v>0</v>
      </c>
      <c r="M383" t="n">
        <v>0</v>
      </c>
      <c r="N383" t="n">
        <v>0</v>
      </c>
      <c r="O383" t="n">
        <v>0</v>
      </c>
      <c r="P383" t="n">
        <v>0</v>
      </c>
      <c r="Q383" t="n">
        <v>1</v>
      </c>
      <c r="R383" s="2" t="inlineStr">
        <is>
          <t>Fläcknycklar</t>
        </is>
      </c>
      <c r="S383">
        <f>HYPERLINK("https://klasma.github.io/Logging_1780/artfynd/A 18838-2019 artfynd.xlsx", "A 18838-2019")</f>
        <v/>
      </c>
      <c r="T383">
        <f>HYPERLINK("https://klasma.github.io/Logging_1780/kartor/A 18838-2019 karta.png", "A 18838-2019")</f>
        <v/>
      </c>
      <c r="V383">
        <f>HYPERLINK("https://klasma.github.io/Logging_1780/klagomål/A 18838-2019 FSC-klagomål.docx", "A 18838-2019")</f>
        <v/>
      </c>
      <c r="W383">
        <f>HYPERLINK("https://klasma.github.io/Logging_1780/klagomålsmail/A 18838-2019 FSC-klagomål mail.docx", "A 18838-2019")</f>
        <v/>
      </c>
      <c r="X383">
        <f>HYPERLINK("https://klasma.github.io/Logging_1780/tillsyn/A 18838-2019 tillsynsbegäran.docx", "A 18838-2019")</f>
        <v/>
      </c>
      <c r="Y383">
        <f>HYPERLINK("https://klasma.github.io/Logging_1780/tillsynsmail/A 18838-2019 tillsynsbegäran mail.docx", "A 18838-2019")</f>
        <v/>
      </c>
    </row>
    <row r="384" ht="15" customHeight="1">
      <c r="A384" t="inlineStr">
        <is>
          <t>A 19213-2019</t>
        </is>
      </c>
      <c r="B384" s="1" t="n">
        <v>43564</v>
      </c>
      <c r="C384" s="1" t="n">
        <v>45810</v>
      </c>
      <c r="D384" t="inlineStr">
        <is>
          <t>VÄRMLANDS LÄN</t>
        </is>
      </c>
      <c r="E384" t="inlineStr">
        <is>
          <t>ARVIKA</t>
        </is>
      </c>
      <c r="G384" t="n">
        <v>7.8</v>
      </c>
      <c r="H384" t="n">
        <v>0</v>
      </c>
      <c r="I384" t="n">
        <v>0</v>
      </c>
      <c r="J384" t="n">
        <v>1</v>
      </c>
      <c r="K384" t="n">
        <v>0</v>
      </c>
      <c r="L384" t="n">
        <v>0</v>
      </c>
      <c r="M384" t="n">
        <v>0</v>
      </c>
      <c r="N384" t="n">
        <v>0</v>
      </c>
      <c r="O384" t="n">
        <v>1</v>
      </c>
      <c r="P384" t="n">
        <v>0</v>
      </c>
      <c r="Q384" t="n">
        <v>1</v>
      </c>
      <c r="R384" s="2" t="inlineStr">
        <is>
          <t>Skogsklocka</t>
        </is>
      </c>
      <c r="S384">
        <f>HYPERLINK("https://klasma.github.io/Logging_1784/artfynd/A 19213-2019 artfynd.xlsx", "A 19213-2019")</f>
        <v/>
      </c>
      <c r="T384">
        <f>HYPERLINK("https://klasma.github.io/Logging_1784/kartor/A 19213-2019 karta.png", "A 19213-2019")</f>
        <v/>
      </c>
      <c r="V384">
        <f>HYPERLINK("https://klasma.github.io/Logging_1784/klagomål/A 19213-2019 FSC-klagomål.docx", "A 19213-2019")</f>
        <v/>
      </c>
      <c r="W384">
        <f>HYPERLINK("https://klasma.github.io/Logging_1784/klagomålsmail/A 19213-2019 FSC-klagomål mail.docx", "A 19213-2019")</f>
        <v/>
      </c>
      <c r="X384">
        <f>HYPERLINK("https://klasma.github.io/Logging_1784/tillsyn/A 19213-2019 tillsynsbegäran.docx", "A 19213-2019")</f>
        <v/>
      </c>
      <c r="Y384">
        <f>HYPERLINK("https://klasma.github.io/Logging_1784/tillsynsmail/A 19213-2019 tillsynsbegäran mail.docx", "A 19213-2019")</f>
        <v/>
      </c>
    </row>
    <row r="385" ht="15" customHeight="1">
      <c r="A385" t="inlineStr">
        <is>
          <t>A 20385-2019</t>
        </is>
      </c>
      <c r="B385" s="1" t="n">
        <v>43571</v>
      </c>
      <c r="C385" s="1" t="n">
        <v>45810</v>
      </c>
      <c r="D385" t="inlineStr">
        <is>
          <t>VÄRMLANDS LÄN</t>
        </is>
      </c>
      <c r="E385" t="inlineStr">
        <is>
          <t>KIL</t>
        </is>
      </c>
      <c r="G385" t="n">
        <v>1.6</v>
      </c>
      <c r="H385" t="n">
        <v>0</v>
      </c>
      <c r="I385" t="n">
        <v>0</v>
      </c>
      <c r="J385" t="n">
        <v>1</v>
      </c>
      <c r="K385" t="n">
        <v>0</v>
      </c>
      <c r="L385" t="n">
        <v>0</v>
      </c>
      <c r="M385" t="n">
        <v>0</v>
      </c>
      <c r="N385" t="n">
        <v>0</v>
      </c>
      <c r="O385" t="n">
        <v>1</v>
      </c>
      <c r="P385" t="n">
        <v>0</v>
      </c>
      <c r="Q385" t="n">
        <v>1</v>
      </c>
      <c r="R385" s="2" t="inlineStr">
        <is>
          <t>Violettkantad guldvinge</t>
        </is>
      </c>
      <c r="S385">
        <f>HYPERLINK("https://klasma.github.io/Logging_1715/artfynd/A 20385-2019 artfynd.xlsx", "A 20385-2019")</f>
        <v/>
      </c>
      <c r="T385">
        <f>HYPERLINK("https://klasma.github.io/Logging_1715/kartor/A 20385-2019 karta.png", "A 20385-2019")</f>
        <v/>
      </c>
      <c r="V385">
        <f>HYPERLINK("https://klasma.github.io/Logging_1715/klagomål/A 20385-2019 FSC-klagomål.docx", "A 20385-2019")</f>
        <v/>
      </c>
      <c r="W385">
        <f>HYPERLINK("https://klasma.github.io/Logging_1715/klagomålsmail/A 20385-2019 FSC-klagomål mail.docx", "A 20385-2019")</f>
        <v/>
      </c>
      <c r="X385">
        <f>HYPERLINK("https://klasma.github.io/Logging_1715/tillsyn/A 20385-2019 tillsynsbegäran.docx", "A 20385-2019")</f>
        <v/>
      </c>
      <c r="Y385">
        <f>HYPERLINK("https://klasma.github.io/Logging_1715/tillsynsmail/A 20385-2019 tillsynsbegäran mail.docx", "A 20385-2019")</f>
        <v/>
      </c>
    </row>
    <row r="386" ht="15" customHeight="1">
      <c r="A386" t="inlineStr">
        <is>
          <t>A 21072-2019</t>
        </is>
      </c>
      <c r="B386" s="1" t="n">
        <v>43578</v>
      </c>
      <c r="C386" s="1" t="n">
        <v>45810</v>
      </c>
      <c r="D386" t="inlineStr">
        <is>
          <t>VÄRMLANDS LÄN</t>
        </is>
      </c>
      <c r="E386" t="inlineStr">
        <is>
          <t>SÄFFLE</t>
        </is>
      </c>
      <c r="G386" t="n">
        <v>3.4</v>
      </c>
      <c r="H386" t="n">
        <v>1</v>
      </c>
      <c r="I386" t="n">
        <v>0</v>
      </c>
      <c r="J386" t="n">
        <v>1</v>
      </c>
      <c r="K386" t="n">
        <v>0</v>
      </c>
      <c r="L386" t="n">
        <v>0</v>
      </c>
      <c r="M386" t="n">
        <v>0</v>
      </c>
      <c r="N386" t="n">
        <v>0</v>
      </c>
      <c r="O386" t="n">
        <v>1</v>
      </c>
      <c r="P386" t="n">
        <v>0</v>
      </c>
      <c r="Q386" t="n">
        <v>1</v>
      </c>
      <c r="R386" s="2" t="inlineStr">
        <is>
          <t>Kungsörn</t>
        </is>
      </c>
      <c r="S386">
        <f>HYPERLINK("https://klasma.github.io/Logging_1785/artfynd/A 21072-2019 artfynd.xlsx", "A 21072-2019")</f>
        <v/>
      </c>
      <c r="T386">
        <f>HYPERLINK("https://klasma.github.io/Logging_1785/kartor/A 21072-2019 karta.png", "A 21072-2019")</f>
        <v/>
      </c>
      <c r="V386">
        <f>HYPERLINK("https://klasma.github.io/Logging_1785/klagomål/A 21072-2019 FSC-klagomål.docx", "A 21072-2019")</f>
        <v/>
      </c>
      <c r="W386">
        <f>HYPERLINK("https://klasma.github.io/Logging_1785/klagomålsmail/A 21072-2019 FSC-klagomål mail.docx", "A 21072-2019")</f>
        <v/>
      </c>
      <c r="X386">
        <f>HYPERLINK("https://klasma.github.io/Logging_1785/tillsyn/A 21072-2019 tillsynsbegäran.docx", "A 21072-2019")</f>
        <v/>
      </c>
      <c r="Y386">
        <f>HYPERLINK("https://klasma.github.io/Logging_1785/tillsynsmail/A 21072-2019 tillsynsbegäran mail.docx", "A 21072-2019")</f>
        <v/>
      </c>
      <c r="Z386">
        <f>HYPERLINK("https://klasma.github.io/Logging_1785/fåglar/A 21072-2019 prioriterade fågelarter.docx", "A 21072-2019")</f>
        <v/>
      </c>
    </row>
    <row r="387" ht="15" customHeight="1">
      <c r="A387" t="inlineStr">
        <is>
          <t>A 22869-2019</t>
        </is>
      </c>
      <c r="B387" s="1" t="n">
        <v>43591</v>
      </c>
      <c r="C387" s="1" t="n">
        <v>45810</v>
      </c>
      <c r="D387" t="inlineStr">
        <is>
          <t>VÄRMLANDS LÄN</t>
        </is>
      </c>
      <c r="E387" t="inlineStr">
        <is>
          <t>KARLSTAD</t>
        </is>
      </c>
      <c r="F387" t="inlineStr">
        <is>
          <t>Kommuner</t>
        </is>
      </c>
      <c r="G387" t="n">
        <v>13.1</v>
      </c>
      <c r="H387" t="n">
        <v>1</v>
      </c>
      <c r="I387" t="n">
        <v>0</v>
      </c>
      <c r="J387" t="n">
        <v>1</v>
      </c>
      <c r="K387" t="n">
        <v>0</v>
      </c>
      <c r="L387" t="n">
        <v>0</v>
      </c>
      <c r="M387" t="n">
        <v>0</v>
      </c>
      <c r="N387" t="n">
        <v>0</v>
      </c>
      <c r="O387" t="n">
        <v>1</v>
      </c>
      <c r="P387" t="n">
        <v>0</v>
      </c>
      <c r="Q387" t="n">
        <v>1</v>
      </c>
      <c r="R387" s="2" t="inlineStr">
        <is>
          <t>Talltita</t>
        </is>
      </c>
      <c r="S387">
        <f>HYPERLINK("https://klasma.github.io/Logging_1780/artfynd/A 22869-2019 artfynd.xlsx", "A 22869-2019")</f>
        <v/>
      </c>
      <c r="T387">
        <f>HYPERLINK("https://klasma.github.io/Logging_1780/kartor/A 22869-2019 karta.png", "A 22869-2019")</f>
        <v/>
      </c>
      <c r="U387">
        <f>HYPERLINK("https://klasma.github.io/Logging_1780/knärot/A 22869-2019 karta knärot.png", "A 22869-2019")</f>
        <v/>
      </c>
      <c r="V387">
        <f>HYPERLINK("https://klasma.github.io/Logging_1780/klagomål/A 22869-2019 FSC-klagomål.docx", "A 22869-2019")</f>
        <v/>
      </c>
      <c r="W387">
        <f>HYPERLINK("https://klasma.github.io/Logging_1780/klagomålsmail/A 22869-2019 FSC-klagomål mail.docx", "A 22869-2019")</f>
        <v/>
      </c>
      <c r="X387">
        <f>HYPERLINK("https://klasma.github.io/Logging_1780/tillsyn/A 22869-2019 tillsynsbegäran.docx", "A 22869-2019")</f>
        <v/>
      </c>
      <c r="Y387">
        <f>HYPERLINK("https://klasma.github.io/Logging_1780/tillsynsmail/A 22869-2019 tillsynsbegäran mail.docx", "A 22869-2019")</f>
        <v/>
      </c>
      <c r="Z387">
        <f>HYPERLINK("https://klasma.github.io/Logging_1780/fåglar/A 22869-2019 prioriterade fågelarter.docx", "A 22869-2019")</f>
        <v/>
      </c>
    </row>
    <row r="388" ht="15" customHeight="1">
      <c r="A388" t="inlineStr">
        <is>
          <t>A 22914-2019</t>
        </is>
      </c>
      <c r="B388" s="1" t="n">
        <v>43591</v>
      </c>
      <c r="C388" s="1" t="n">
        <v>45810</v>
      </c>
      <c r="D388" t="inlineStr">
        <is>
          <t>VÄRMLANDS LÄN</t>
        </is>
      </c>
      <c r="E388" t="inlineStr">
        <is>
          <t>KARLSTAD</t>
        </is>
      </c>
      <c r="F388" t="inlineStr">
        <is>
          <t>Bergvik skog väst AB</t>
        </is>
      </c>
      <c r="G388" t="n">
        <v>6.3</v>
      </c>
      <c r="H388" t="n">
        <v>1</v>
      </c>
      <c r="I388" t="n">
        <v>0</v>
      </c>
      <c r="J388" t="n">
        <v>0</v>
      </c>
      <c r="K388" t="n">
        <v>0</v>
      </c>
      <c r="L388" t="n">
        <v>0</v>
      </c>
      <c r="M388" t="n">
        <v>0</v>
      </c>
      <c r="N388" t="n">
        <v>0</v>
      </c>
      <c r="O388" t="n">
        <v>0</v>
      </c>
      <c r="P388" t="n">
        <v>0</v>
      </c>
      <c r="Q388" t="n">
        <v>1</v>
      </c>
      <c r="R388" s="2" t="inlineStr">
        <is>
          <t>Törnskata</t>
        </is>
      </c>
      <c r="S388">
        <f>HYPERLINK("https://klasma.github.io/Logging_1780/artfynd/A 22914-2019 artfynd.xlsx", "A 22914-2019")</f>
        <v/>
      </c>
      <c r="T388">
        <f>HYPERLINK("https://klasma.github.io/Logging_1780/kartor/A 22914-2019 karta.png", "A 22914-2019")</f>
        <v/>
      </c>
      <c r="V388">
        <f>HYPERLINK("https://klasma.github.io/Logging_1780/klagomål/A 22914-2019 FSC-klagomål.docx", "A 22914-2019")</f>
        <v/>
      </c>
      <c r="W388">
        <f>HYPERLINK("https://klasma.github.io/Logging_1780/klagomålsmail/A 22914-2019 FSC-klagomål mail.docx", "A 22914-2019")</f>
        <v/>
      </c>
      <c r="X388">
        <f>HYPERLINK("https://klasma.github.io/Logging_1780/tillsyn/A 22914-2019 tillsynsbegäran.docx", "A 22914-2019")</f>
        <v/>
      </c>
      <c r="Y388">
        <f>HYPERLINK("https://klasma.github.io/Logging_1780/tillsynsmail/A 22914-2019 tillsynsbegäran mail.docx", "A 22914-2019")</f>
        <v/>
      </c>
      <c r="Z388">
        <f>HYPERLINK("https://klasma.github.io/Logging_1780/fåglar/A 22914-2019 prioriterade fågelarter.docx", "A 22914-2019")</f>
        <v/>
      </c>
    </row>
    <row r="389" ht="15" customHeight="1">
      <c r="A389" t="inlineStr">
        <is>
          <t>A 23681-2019</t>
        </is>
      </c>
      <c r="B389" s="1" t="n">
        <v>43594</v>
      </c>
      <c r="C389" s="1" t="n">
        <v>45810</v>
      </c>
      <c r="D389" t="inlineStr">
        <is>
          <t>VÄRMLANDS LÄN</t>
        </is>
      </c>
      <c r="E389" t="inlineStr">
        <is>
          <t>SÄFFLE</t>
        </is>
      </c>
      <c r="G389" t="n">
        <v>1.1</v>
      </c>
      <c r="H389" t="n">
        <v>0</v>
      </c>
      <c r="I389" t="n">
        <v>0</v>
      </c>
      <c r="J389" t="n">
        <v>1</v>
      </c>
      <c r="K389" t="n">
        <v>0</v>
      </c>
      <c r="L389" t="n">
        <v>0</v>
      </c>
      <c r="M389" t="n">
        <v>0</v>
      </c>
      <c r="N389" t="n">
        <v>0</v>
      </c>
      <c r="O389" t="n">
        <v>1</v>
      </c>
      <c r="P389" t="n">
        <v>0</v>
      </c>
      <c r="Q389" t="n">
        <v>1</v>
      </c>
      <c r="R389" s="2" t="inlineStr">
        <is>
          <t>Svinrot</t>
        </is>
      </c>
      <c r="S389">
        <f>HYPERLINK("https://klasma.github.io/Logging_1785/artfynd/A 23681-2019 artfynd.xlsx", "A 23681-2019")</f>
        <v/>
      </c>
      <c r="T389">
        <f>HYPERLINK("https://klasma.github.io/Logging_1785/kartor/A 23681-2019 karta.png", "A 23681-2019")</f>
        <v/>
      </c>
      <c r="V389">
        <f>HYPERLINK("https://klasma.github.io/Logging_1785/klagomål/A 23681-2019 FSC-klagomål.docx", "A 23681-2019")</f>
        <v/>
      </c>
      <c r="W389">
        <f>HYPERLINK("https://klasma.github.io/Logging_1785/klagomålsmail/A 23681-2019 FSC-klagomål mail.docx", "A 23681-2019")</f>
        <v/>
      </c>
      <c r="X389">
        <f>HYPERLINK("https://klasma.github.io/Logging_1785/tillsyn/A 23681-2019 tillsynsbegäran.docx", "A 23681-2019")</f>
        <v/>
      </c>
      <c r="Y389">
        <f>HYPERLINK("https://klasma.github.io/Logging_1785/tillsynsmail/A 23681-2019 tillsynsbegäran mail.docx", "A 23681-2019")</f>
        <v/>
      </c>
    </row>
    <row r="390" ht="15" customHeight="1">
      <c r="A390" t="inlineStr">
        <is>
          <t>A 24687-2019</t>
        </is>
      </c>
      <c r="B390" s="1" t="n">
        <v>43601</v>
      </c>
      <c r="C390" s="1" t="n">
        <v>45810</v>
      </c>
      <c r="D390" t="inlineStr">
        <is>
          <t>VÄRMLANDS LÄN</t>
        </is>
      </c>
      <c r="E390" t="inlineStr">
        <is>
          <t>ARVIKA</t>
        </is>
      </c>
      <c r="G390" t="n">
        <v>2</v>
      </c>
      <c r="H390" t="n">
        <v>1</v>
      </c>
      <c r="I390" t="n">
        <v>0</v>
      </c>
      <c r="J390" t="n">
        <v>1</v>
      </c>
      <c r="K390" t="n">
        <v>0</v>
      </c>
      <c r="L390" t="n">
        <v>0</v>
      </c>
      <c r="M390" t="n">
        <v>0</v>
      </c>
      <c r="N390" t="n">
        <v>0</v>
      </c>
      <c r="O390" t="n">
        <v>1</v>
      </c>
      <c r="P390" t="n">
        <v>0</v>
      </c>
      <c r="Q390" t="n">
        <v>1</v>
      </c>
      <c r="R390" s="2" t="inlineStr">
        <is>
          <t>Tretåig hackspett</t>
        </is>
      </c>
      <c r="S390">
        <f>HYPERLINK("https://klasma.github.io/Logging_1784/artfynd/A 24687-2019 artfynd.xlsx", "A 24687-2019")</f>
        <v/>
      </c>
      <c r="T390">
        <f>HYPERLINK("https://klasma.github.io/Logging_1784/kartor/A 24687-2019 karta.png", "A 24687-2019")</f>
        <v/>
      </c>
      <c r="V390">
        <f>HYPERLINK("https://klasma.github.io/Logging_1784/klagomål/A 24687-2019 FSC-klagomål.docx", "A 24687-2019")</f>
        <v/>
      </c>
      <c r="W390">
        <f>HYPERLINK("https://klasma.github.io/Logging_1784/klagomålsmail/A 24687-2019 FSC-klagomål mail.docx", "A 24687-2019")</f>
        <v/>
      </c>
      <c r="X390">
        <f>HYPERLINK("https://klasma.github.io/Logging_1784/tillsyn/A 24687-2019 tillsynsbegäran.docx", "A 24687-2019")</f>
        <v/>
      </c>
      <c r="Y390">
        <f>HYPERLINK("https://klasma.github.io/Logging_1784/tillsynsmail/A 24687-2019 tillsynsbegäran mail.docx", "A 24687-2019")</f>
        <v/>
      </c>
      <c r="Z390">
        <f>HYPERLINK("https://klasma.github.io/Logging_1784/fåglar/A 24687-2019 prioriterade fågelarter.docx", "A 24687-2019")</f>
        <v/>
      </c>
    </row>
    <row r="391" ht="15" customHeight="1">
      <c r="A391" t="inlineStr">
        <is>
          <t>A 25652-2019</t>
        </is>
      </c>
      <c r="B391" s="1" t="n">
        <v>43607</v>
      </c>
      <c r="C391" s="1" t="n">
        <v>45810</v>
      </c>
      <c r="D391" t="inlineStr">
        <is>
          <t>VÄRMLANDS LÄN</t>
        </is>
      </c>
      <c r="E391" t="inlineStr">
        <is>
          <t>KARLSTAD</t>
        </is>
      </c>
      <c r="G391" t="n">
        <v>1.9</v>
      </c>
      <c r="H391" t="n">
        <v>0</v>
      </c>
      <c r="I391" t="n">
        <v>1</v>
      </c>
      <c r="J391" t="n">
        <v>0</v>
      </c>
      <c r="K391" t="n">
        <v>0</v>
      </c>
      <c r="L391" t="n">
        <v>0</v>
      </c>
      <c r="M391" t="n">
        <v>0</v>
      </c>
      <c r="N391" t="n">
        <v>0</v>
      </c>
      <c r="O391" t="n">
        <v>0</v>
      </c>
      <c r="P391" t="n">
        <v>0</v>
      </c>
      <c r="Q391" t="n">
        <v>1</v>
      </c>
      <c r="R391" s="2" t="inlineStr">
        <is>
          <t>Vedticka</t>
        </is>
      </c>
      <c r="S391">
        <f>HYPERLINK("https://klasma.github.io/Logging_1780/artfynd/A 25652-2019 artfynd.xlsx", "A 25652-2019")</f>
        <v/>
      </c>
      <c r="T391">
        <f>HYPERLINK("https://klasma.github.io/Logging_1780/kartor/A 25652-2019 karta.png", "A 25652-2019")</f>
        <v/>
      </c>
      <c r="V391">
        <f>HYPERLINK("https://klasma.github.io/Logging_1780/klagomål/A 25652-2019 FSC-klagomål.docx", "A 25652-2019")</f>
        <v/>
      </c>
      <c r="W391">
        <f>HYPERLINK("https://klasma.github.io/Logging_1780/klagomålsmail/A 25652-2019 FSC-klagomål mail.docx", "A 25652-2019")</f>
        <v/>
      </c>
      <c r="X391">
        <f>HYPERLINK("https://klasma.github.io/Logging_1780/tillsyn/A 25652-2019 tillsynsbegäran.docx", "A 25652-2019")</f>
        <v/>
      </c>
      <c r="Y391">
        <f>HYPERLINK("https://klasma.github.io/Logging_1780/tillsynsmail/A 25652-2019 tillsynsbegäran mail.docx", "A 25652-2019")</f>
        <v/>
      </c>
    </row>
    <row r="392" ht="15" customHeight="1">
      <c r="A392" t="inlineStr">
        <is>
          <t>A 27311-2019</t>
        </is>
      </c>
      <c r="B392" s="1" t="n">
        <v>43616</v>
      </c>
      <c r="C392" s="1" t="n">
        <v>45810</v>
      </c>
      <c r="D392" t="inlineStr">
        <is>
          <t>VÄRMLANDS LÄN</t>
        </is>
      </c>
      <c r="E392" t="inlineStr">
        <is>
          <t>KARLSTAD</t>
        </is>
      </c>
      <c r="F392" t="inlineStr">
        <is>
          <t>Kommuner</t>
        </is>
      </c>
      <c r="G392" t="n">
        <v>2</v>
      </c>
      <c r="H392" t="n">
        <v>0</v>
      </c>
      <c r="I392" t="n">
        <v>0</v>
      </c>
      <c r="J392" t="n">
        <v>1</v>
      </c>
      <c r="K392" t="n">
        <v>0</v>
      </c>
      <c r="L392" t="n">
        <v>0</v>
      </c>
      <c r="M392" t="n">
        <v>0</v>
      </c>
      <c r="N392" t="n">
        <v>0</v>
      </c>
      <c r="O392" t="n">
        <v>1</v>
      </c>
      <c r="P392" t="n">
        <v>0</v>
      </c>
      <c r="Q392" t="n">
        <v>1</v>
      </c>
      <c r="R392" s="2" t="inlineStr">
        <is>
          <t>Ängsmetallvinge</t>
        </is>
      </c>
      <c r="S392">
        <f>HYPERLINK("https://klasma.github.io/Logging_1780/artfynd/A 27311-2019 artfynd.xlsx", "A 27311-2019")</f>
        <v/>
      </c>
      <c r="T392">
        <f>HYPERLINK("https://klasma.github.io/Logging_1780/kartor/A 27311-2019 karta.png", "A 27311-2019")</f>
        <v/>
      </c>
      <c r="V392">
        <f>HYPERLINK("https://klasma.github.io/Logging_1780/klagomål/A 27311-2019 FSC-klagomål.docx", "A 27311-2019")</f>
        <v/>
      </c>
      <c r="W392">
        <f>HYPERLINK("https://klasma.github.io/Logging_1780/klagomålsmail/A 27311-2019 FSC-klagomål mail.docx", "A 27311-2019")</f>
        <v/>
      </c>
      <c r="X392">
        <f>HYPERLINK("https://klasma.github.io/Logging_1780/tillsyn/A 27311-2019 tillsynsbegäran.docx", "A 27311-2019")</f>
        <v/>
      </c>
      <c r="Y392">
        <f>HYPERLINK("https://klasma.github.io/Logging_1780/tillsynsmail/A 27311-2019 tillsynsbegäran mail.docx", "A 27311-2019")</f>
        <v/>
      </c>
    </row>
    <row r="393" ht="15" customHeight="1">
      <c r="A393" t="inlineStr">
        <is>
          <t>A 29032-2019</t>
        </is>
      </c>
      <c r="B393" s="1" t="n">
        <v>43621</v>
      </c>
      <c r="C393" s="1" t="n">
        <v>45810</v>
      </c>
      <c r="D393" t="inlineStr">
        <is>
          <t>VÄRMLANDS LÄN</t>
        </is>
      </c>
      <c r="E393" t="inlineStr">
        <is>
          <t>ÅRJÄNG</t>
        </is>
      </c>
      <c r="G393" t="n">
        <v>4.8</v>
      </c>
      <c r="H393" t="n">
        <v>0</v>
      </c>
      <c r="I393" t="n">
        <v>0</v>
      </c>
      <c r="J393" t="n">
        <v>1</v>
      </c>
      <c r="K393" t="n">
        <v>0</v>
      </c>
      <c r="L393" t="n">
        <v>0</v>
      </c>
      <c r="M393" t="n">
        <v>0</v>
      </c>
      <c r="N393" t="n">
        <v>0</v>
      </c>
      <c r="O393" t="n">
        <v>1</v>
      </c>
      <c r="P393" t="n">
        <v>0</v>
      </c>
      <c r="Q393" t="n">
        <v>1</v>
      </c>
      <c r="R393" s="2" t="inlineStr">
        <is>
          <t>Veckticka</t>
        </is>
      </c>
      <c r="S393">
        <f>HYPERLINK("https://klasma.github.io/Logging_1765/artfynd/A 29032-2019 artfynd.xlsx", "A 29032-2019")</f>
        <v/>
      </c>
      <c r="T393">
        <f>HYPERLINK("https://klasma.github.io/Logging_1765/kartor/A 29032-2019 karta.png", "A 29032-2019")</f>
        <v/>
      </c>
      <c r="U393">
        <f>HYPERLINK("https://klasma.github.io/Logging_1765/knärot/A 29032-2019 karta knärot.png", "A 29032-2019")</f>
        <v/>
      </c>
      <c r="V393">
        <f>HYPERLINK("https://klasma.github.io/Logging_1765/klagomål/A 29032-2019 FSC-klagomål.docx", "A 29032-2019")</f>
        <v/>
      </c>
      <c r="W393">
        <f>HYPERLINK("https://klasma.github.io/Logging_1765/klagomålsmail/A 29032-2019 FSC-klagomål mail.docx", "A 29032-2019")</f>
        <v/>
      </c>
      <c r="X393">
        <f>HYPERLINK("https://klasma.github.io/Logging_1765/tillsyn/A 29032-2019 tillsynsbegäran.docx", "A 29032-2019")</f>
        <v/>
      </c>
      <c r="Y393">
        <f>HYPERLINK("https://klasma.github.io/Logging_1765/tillsynsmail/A 29032-2019 tillsynsbegäran mail.docx", "A 29032-2019")</f>
        <v/>
      </c>
    </row>
    <row r="394" ht="15" customHeight="1">
      <c r="A394" t="inlineStr">
        <is>
          <t>A 30304-2019</t>
        </is>
      </c>
      <c r="B394" s="1" t="n">
        <v>43634</v>
      </c>
      <c r="C394" s="1" t="n">
        <v>45810</v>
      </c>
      <c r="D394" t="inlineStr">
        <is>
          <t>VÄRMLANDS LÄN</t>
        </is>
      </c>
      <c r="E394" t="inlineStr">
        <is>
          <t>ARVIKA</t>
        </is>
      </c>
      <c r="G394" t="n">
        <v>0.6</v>
      </c>
      <c r="H394" t="n">
        <v>1</v>
      </c>
      <c r="I394" t="n">
        <v>0</v>
      </c>
      <c r="J394" t="n">
        <v>0</v>
      </c>
      <c r="K394" t="n">
        <v>1</v>
      </c>
      <c r="L394" t="n">
        <v>0</v>
      </c>
      <c r="M394" t="n">
        <v>0</v>
      </c>
      <c r="N394" t="n">
        <v>0</v>
      </c>
      <c r="O394" t="n">
        <v>1</v>
      </c>
      <c r="P394" t="n">
        <v>1</v>
      </c>
      <c r="Q394" t="n">
        <v>1</v>
      </c>
      <c r="R394" s="2" t="inlineStr">
        <is>
          <t>Knärot</t>
        </is>
      </c>
      <c r="S394">
        <f>HYPERLINK("https://klasma.github.io/Logging_1784/artfynd/A 30304-2019 artfynd.xlsx", "A 30304-2019")</f>
        <v/>
      </c>
      <c r="T394">
        <f>HYPERLINK("https://klasma.github.io/Logging_1784/kartor/A 30304-2019 karta.png", "A 30304-2019")</f>
        <v/>
      </c>
      <c r="U394">
        <f>HYPERLINK("https://klasma.github.io/Logging_1784/knärot/A 30304-2019 karta knärot.png", "A 30304-2019")</f>
        <v/>
      </c>
      <c r="V394">
        <f>HYPERLINK("https://klasma.github.io/Logging_1784/klagomål/A 30304-2019 FSC-klagomål.docx", "A 30304-2019")</f>
        <v/>
      </c>
      <c r="W394">
        <f>HYPERLINK("https://klasma.github.io/Logging_1784/klagomålsmail/A 30304-2019 FSC-klagomål mail.docx", "A 30304-2019")</f>
        <v/>
      </c>
      <c r="X394">
        <f>HYPERLINK("https://klasma.github.io/Logging_1784/tillsyn/A 30304-2019 tillsynsbegäran.docx", "A 30304-2019")</f>
        <v/>
      </c>
      <c r="Y394">
        <f>HYPERLINK("https://klasma.github.io/Logging_1784/tillsynsmail/A 30304-2019 tillsynsbegäran mail.docx", "A 30304-2019")</f>
        <v/>
      </c>
    </row>
    <row r="395" ht="15" customHeight="1">
      <c r="A395" t="inlineStr">
        <is>
          <t>A 31191-2019</t>
        </is>
      </c>
      <c r="B395" s="1" t="n">
        <v>43640</v>
      </c>
      <c r="C395" s="1" t="n">
        <v>45810</v>
      </c>
      <c r="D395" t="inlineStr">
        <is>
          <t>VÄRMLANDS LÄN</t>
        </is>
      </c>
      <c r="E395" t="inlineStr">
        <is>
          <t>FILIPSTAD</t>
        </is>
      </c>
      <c r="G395" t="n">
        <v>5.9</v>
      </c>
      <c r="H395" t="n">
        <v>1</v>
      </c>
      <c r="I395" t="n">
        <v>0</v>
      </c>
      <c r="J395" t="n">
        <v>1</v>
      </c>
      <c r="K395" t="n">
        <v>0</v>
      </c>
      <c r="L395" t="n">
        <v>0</v>
      </c>
      <c r="M395" t="n">
        <v>0</v>
      </c>
      <c r="N395" t="n">
        <v>0</v>
      </c>
      <c r="O395" t="n">
        <v>1</v>
      </c>
      <c r="P395" t="n">
        <v>0</v>
      </c>
      <c r="Q395" t="n">
        <v>1</v>
      </c>
      <c r="R395" s="2" t="inlineStr">
        <is>
          <t>Smålom</t>
        </is>
      </c>
      <c r="S395">
        <f>HYPERLINK("https://klasma.github.io/Logging_1782/artfynd/A 31191-2019 artfynd.xlsx", "A 31191-2019")</f>
        <v/>
      </c>
      <c r="T395">
        <f>HYPERLINK("https://klasma.github.io/Logging_1782/kartor/A 31191-2019 karta.png", "A 31191-2019")</f>
        <v/>
      </c>
      <c r="V395">
        <f>HYPERLINK("https://klasma.github.io/Logging_1782/klagomål/A 31191-2019 FSC-klagomål.docx", "A 31191-2019")</f>
        <v/>
      </c>
      <c r="W395">
        <f>HYPERLINK("https://klasma.github.io/Logging_1782/klagomålsmail/A 31191-2019 FSC-klagomål mail.docx", "A 31191-2019")</f>
        <v/>
      </c>
      <c r="X395">
        <f>HYPERLINK("https://klasma.github.io/Logging_1782/tillsyn/A 31191-2019 tillsynsbegäran.docx", "A 31191-2019")</f>
        <v/>
      </c>
      <c r="Y395">
        <f>HYPERLINK("https://klasma.github.io/Logging_1782/tillsynsmail/A 31191-2019 tillsynsbegäran mail.docx", "A 31191-2019")</f>
        <v/>
      </c>
      <c r="Z395">
        <f>HYPERLINK("https://klasma.github.io/Logging_1782/fåglar/A 31191-2019 prioriterade fågelarter.docx", "A 31191-2019")</f>
        <v/>
      </c>
    </row>
    <row r="396" ht="15" customHeight="1">
      <c r="A396" t="inlineStr">
        <is>
          <t>A 31848-2019</t>
        </is>
      </c>
      <c r="B396" s="1" t="n">
        <v>43642</v>
      </c>
      <c r="C396" s="1" t="n">
        <v>45810</v>
      </c>
      <c r="D396" t="inlineStr">
        <is>
          <t>VÄRMLANDS LÄN</t>
        </is>
      </c>
      <c r="E396" t="inlineStr">
        <is>
          <t>TORSBY</t>
        </is>
      </c>
      <c r="G396" t="n">
        <v>6.1</v>
      </c>
      <c r="H396" t="n">
        <v>1</v>
      </c>
      <c r="I396" t="n">
        <v>0</v>
      </c>
      <c r="J396" t="n">
        <v>0</v>
      </c>
      <c r="K396" t="n">
        <v>1</v>
      </c>
      <c r="L396" t="n">
        <v>0</v>
      </c>
      <c r="M396" t="n">
        <v>0</v>
      </c>
      <c r="N396" t="n">
        <v>0</v>
      </c>
      <c r="O396" t="n">
        <v>1</v>
      </c>
      <c r="P396" t="n">
        <v>1</v>
      </c>
      <c r="Q396" t="n">
        <v>1</v>
      </c>
      <c r="R396" s="2" t="inlineStr">
        <is>
          <t>Knärot</t>
        </is>
      </c>
      <c r="S396">
        <f>HYPERLINK("https://klasma.github.io/Logging_1737/artfynd/A 31848-2019 artfynd.xlsx", "A 31848-2019")</f>
        <v/>
      </c>
      <c r="T396">
        <f>HYPERLINK("https://klasma.github.io/Logging_1737/kartor/A 31848-2019 karta.png", "A 31848-2019")</f>
        <v/>
      </c>
      <c r="U396">
        <f>HYPERLINK("https://klasma.github.io/Logging_1737/knärot/A 31848-2019 karta knärot.png", "A 31848-2019")</f>
        <v/>
      </c>
      <c r="V396">
        <f>HYPERLINK("https://klasma.github.io/Logging_1737/klagomål/A 31848-2019 FSC-klagomål.docx", "A 31848-2019")</f>
        <v/>
      </c>
      <c r="W396">
        <f>HYPERLINK("https://klasma.github.io/Logging_1737/klagomålsmail/A 31848-2019 FSC-klagomål mail.docx", "A 31848-2019")</f>
        <v/>
      </c>
      <c r="X396">
        <f>HYPERLINK("https://klasma.github.io/Logging_1737/tillsyn/A 31848-2019 tillsynsbegäran.docx", "A 31848-2019")</f>
        <v/>
      </c>
      <c r="Y396">
        <f>HYPERLINK("https://klasma.github.io/Logging_1737/tillsynsmail/A 31848-2019 tillsynsbegäran mail.docx", "A 31848-2019")</f>
        <v/>
      </c>
    </row>
    <row r="397" ht="15" customHeight="1">
      <c r="A397" t="inlineStr">
        <is>
          <t>A 37684-2019</t>
        </is>
      </c>
      <c r="B397" s="1" t="n">
        <v>43682</v>
      </c>
      <c r="C397" s="1" t="n">
        <v>45810</v>
      </c>
      <c r="D397" t="inlineStr">
        <is>
          <t>VÄRMLANDS LÄN</t>
        </is>
      </c>
      <c r="E397" t="inlineStr">
        <is>
          <t>KRISTINEHAMN</t>
        </is>
      </c>
      <c r="G397" t="n">
        <v>4.4</v>
      </c>
      <c r="H397" t="n">
        <v>0</v>
      </c>
      <c r="I397" t="n">
        <v>0</v>
      </c>
      <c r="J397" t="n">
        <v>1</v>
      </c>
      <c r="K397" t="n">
        <v>0</v>
      </c>
      <c r="L397" t="n">
        <v>0</v>
      </c>
      <c r="M397" t="n">
        <v>0</v>
      </c>
      <c r="N397" t="n">
        <v>0</v>
      </c>
      <c r="O397" t="n">
        <v>1</v>
      </c>
      <c r="P397" t="n">
        <v>0</v>
      </c>
      <c r="Q397" t="n">
        <v>1</v>
      </c>
      <c r="R397" s="2" t="inlineStr">
        <is>
          <t>Koralltaggsvamp</t>
        </is>
      </c>
      <c r="S397">
        <f>HYPERLINK("https://klasma.github.io/Logging_1781/artfynd/A 37684-2019 artfynd.xlsx", "A 37684-2019")</f>
        <v/>
      </c>
      <c r="T397">
        <f>HYPERLINK("https://klasma.github.io/Logging_1781/kartor/A 37684-2019 karta.png", "A 37684-2019")</f>
        <v/>
      </c>
      <c r="V397">
        <f>HYPERLINK("https://klasma.github.io/Logging_1781/klagomål/A 37684-2019 FSC-klagomål.docx", "A 37684-2019")</f>
        <v/>
      </c>
      <c r="W397">
        <f>HYPERLINK("https://klasma.github.io/Logging_1781/klagomålsmail/A 37684-2019 FSC-klagomål mail.docx", "A 37684-2019")</f>
        <v/>
      </c>
      <c r="X397">
        <f>HYPERLINK("https://klasma.github.io/Logging_1781/tillsyn/A 37684-2019 tillsynsbegäran.docx", "A 37684-2019")</f>
        <v/>
      </c>
      <c r="Y397">
        <f>HYPERLINK("https://klasma.github.io/Logging_1781/tillsynsmail/A 37684-2019 tillsynsbegäran mail.docx", "A 37684-2019")</f>
        <v/>
      </c>
    </row>
    <row r="398" ht="15" customHeight="1">
      <c r="A398" t="inlineStr">
        <is>
          <t>A 41355-2019</t>
        </is>
      </c>
      <c r="B398" s="1" t="n">
        <v>43696</v>
      </c>
      <c r="C398" s="1" t="n">
        <v>45810</v>
      </c>
      <c r="D398" t="inlineStr">
        <is>
          <t>VÄRMLANDS LÄN</t>
        </is>
      </c>
      <c r="E398" t="inlineStr">
        <is>
          <t>ÅRJÄNG</t>
        </is>
      </c>
      <c r="G398" t="n">
        <v>3.1</v>
      </c>
      <c r="H398" t="n">
        <v>0</v>
      </c>
      <c r="I398" t="n">
        <v>0</v>
      </c>
      <c r="J398" t="n">
        <v>1</v>
      </c>
      <c r="K398" t="n">
        <v>0</v>
      </c>
      <c r="L398" t="n">
        <v>0</v>
      </c>
      <c r="M398" t="n">
        <v>0</v>
      </c>
      <c r="N398" t="n">
        <v>0</v>
      </c>
      <c r="O398" t="n">
        <v>1</v>
      </c>
      <c r="P398" t="n">
        <v>0</v>
      </c>
      <c r="Q398" t="n">
        <v>1</v>
      </c>
      <c r="R398" s="2" t="inlineStr">
        <is>
          <t>Dofttaggsvamp</t>
        </is>
      </c>
      <c r="S398">
        <f>HYPERLINK("https://klasma.github.io/Logging_1765/artfynd/A 41355-2019 artfynd.xlsx", "A 41355-2019")</f>
        <v/>
      </c>
      <c r="T398">
        <f>HYPERLINK("https://klasma.github.io/Logging_1765/kartor/A 41355-2019 karta.png", "A 41355-2019")</f>
        <v/>
      </c>
      <c r="V398">
        <f>HYPERLINK("https://klasma.github.io/Logging_1765/klagomål/A 41355-2019 FSC-klagomål.docx", "A 41355-2019")</f>
        <v/>
      </c>
      <c r="W398">
        <f>HYPERLINK("https://klasma.github.io/Logging_1765/klagomålsmail/A 41355-2019 FSC-klagomål mail.docx", "A 41355-2019")</f>
        <v/>
      </c>
      <c r="X398">
        <f>HYPERLINK("https://klasma.github.io/Logging_1765/tillsyn/A 41355-2019 tillsynsbegäran.docx", "A 41355-2019")</f>
        <v/>
      </c>
      <c r="Y398">
        <f>HYPERLINK("https://klasma.github.io/Logging_1765/tillsynsmail/A 41355-2019 tillsynsbegäran mail.docx", "A 41355-2019")</f>
        <v/>
      </c>
    </row>
    <row r="399" ht="15" customHeight="1">
      <c r="A399" t="inlineStr">
        <is>
          <t>A 43500-2019</t>
        </is>
      </c>
      <c r="B399" s="1" t="n">
        <v>43706</v>
      </c>
      <c r="C399" s="1" t="n">
        <v>45810</v>
      </c>
      <c r="D399" t="inlineStr">
        <is>
          <t>VÄRMLANDS LÄN</t>
        </is>
      </c>
      <c r="E399" t="inlineStr">
        <is>
          <t>SUNNE</t>
        </is>
      </c>
      <c r="G399" t="n">
        <v>4.5</v>
      </c>
      <c r="H399" t="n">
        <v>0</v>
      </c>
      <c r="I399" t="n">
        <v>0</v>
      </c>
      <c r="J399" t="n">
        <v>1</v>
      </c>
      <c r="K399" t="n">
        <v>0</v>
      </c>
      <c r="L399" t="n">
        <v>0</v>
      </c>
      <c r="M399" t="n">
        <v>0</v>
      </c>
      <c r="N399" t="n">
        <v>0</v>
      </c>
      <c r="O399" t="n">
        <v>1</v>
      </c>
      <c r="P399" t="n">
        <v>0</v>
      </c>
      <c r="Q399" t="n">
        <v>1</v>
      </c>
      <c r="R399" s="2" t="inlineStr">
        <is>
          <t>Garnlav</t>
        </is>
      </c>
      <c r="S399">
        <f>HYPERLINK("https://klasma.github.io/Logging_1766/artfynd/A 43500-2019 artfynd.xlsx", "A 43500-2019")</f>
        <v/>
      </c>
      <c r="T399">
        <f>HYPERLINK("https://klasma.github.io/Logging_1766/kartor/A 43500-2019 karta.png", "A 43500-2019")</f>
        <v/>
      </c>
      <c r="V399">
        <f>HYPERLINK("https://klasma.github.io/Logging_1766/klagomål/A 43500-2019 FSC-klagomål.docx", "A 43500-2019")</f>
        <v/>
      </c>
      <c r="W399">
        <f>HYPERLINK("https://klasma.github.io/Logging_1766/klagomålsmail/A 43500-2019 FSC-klagomål mail.docx", "A 43500-2019")</f>
        <v/>
      </c>
      <c r="X399">
        <f>HYPERLINK("https://klasma.github.io/Logging_1766/tillsyn/A 43500-2019 tillsynsbegäran.docx", "A 43500-2019")</f>
        <v/>
      </c>
      <c r="Y399">
        <f>HYPERLINK("https://klasma.github.io/Logging_1766/tillsynsmail/A 43500-2019 tillsynsbegäran mail.docx", "A 43500-2019")</f>
        <v/>
      </c>
    </row>
    <row r="400" ht="15" customHeight="1">
      <c r="A400" t="inlineStr">
        <is>
          <t>A 43893-2019</t>
        </is>
      </c>
      <c r="B400" s="1" t="n">
        <v>43707</v>
      </c>
      <c r="C400" s="1" t="n">
        <v>45810</v>
      </c>
      <c r="D400" t="inlineStr">
        <is>
          <t>VÄRMLANDS LÄN</t>
        </is>
      </c>
      <c r="E400" t="inlineStr">
        <is>
          <t>GRUMS</t>
        </is>
      </c>
      <c r="G400" t="n">
        <v>7.3</v>
      </c>
      <c r="H400" t="n">
        <v>1</v>
      </c>
      <c r="I400" t="n">
        <v>0</v>
      </c>
      <c r="J400" t="n">
        <v>0</v>
      </c>
      <c r="K400" t="n">
        <v>0</v>
      </c>
      <c r="L400" t="n">
        <v>0</v>
      </c>
      <c r="M400" t="n">
        <v>0</v>
      </c>
      <c r="N400" t="n">
        <v>0</v>
      </c>
      <c r="O400" t="n">
        <v>0</v>
      </c>
      <c r="P400" t="n">
        <v>0</v>
      </c>
      <c r="Q400" t="n">
        <v>1</v>
      </c>
      <c r="R400" s="2" t="inlineStr">
        <is>
          <t>Orre</t>
        </is>
      </c>
      <c r="S400">
        <f>HYPERLINK("https://klasma.github.io/Logging_1764/artfynd/A 43893-2019 artfynd.xlsx", "A 43893-2019")</f>
        <v/>
      </c>
      <c r="T400">
        <f>HYPERLINK("https://klasma.github.io/Logging_1764/kartor/A 43893-2019 karta.png", "A 43893-2019")</f>
        <v/>
      </c>
      <c r="V400">
        <f>HYPERLINK("https://klasma.github.io/Logging_1764/klagomål/A 43893-2019 FSC-klagomål.docx", "A 43893-2019")</f>
        <v/>
      </c>
      <c r="W400">
        <f>HYPERLINK("https://klasma.github.io/Logging_1764/klagomålsmail/A 43893-2019 FSC-klagomål mail.docx", "A 43893-2019")</f>
        <v/>
      </c>
      <c r="X400">
        <f>HYPERLINK("https://klasma.github.io/Logging_1764/tillsyn/A 43893-2019 tillsynsbegäran.docx", "A 43893-2019")</f>
        <v/>
      </c>
      <c r="Y400">
        <f>HYPERLINK("https://klasma.github.io/Logging_1764/tillsynsmail/A 43893-2019 tillsynsbegäran mail.docx", "A 43893-2019")</f>
        <v/>
      </c>
      <c r="Z400">
        <f>HYPERLINK("https://klasma.github.io/Logging_1764/fåglar/A 43893-2019 prioriterade fågelarter.docx", "A 43893-2019")</f>
        <v/>
      </c>
    </row>
    <row r="401" ht="15" customHeight="1">
      <c r="A401" t="inlineStr">
        <is>
          <t>A 45844-2019</t>
        </is>
      </c>
      <c r="B401" s="1" t="n">
        <v>43717</v>
      </c>
      <c r="C401" s="1" t="n">
        <v>45810</v>
      </c>
      <c r="D401" t="inlineStr">
        <is>
          <t>VÄRMLANDS LÄN</t>
        </is>
      </c>
      <c r="E401" t="inlineStr">
        <is>
          <t>TORSBY</t>
        </is>
      </c>
      <c r="G401" t="n">
        <v>4.1</v>
      </c>
      <c r="H401" t="n">
        <v>1</v>
      </c>
      <c r="I401" t="n">
        <v>0</v>
      </c>
      <c r="J401" t="n">
        <v>1</v>
      </c>
      <c r="K401" t="n">
        <v>0</v>
      </c>
      <c r="L401" t="n">
        <v>0</v>
      </c>
      <c r="M401" t="n">
        <v>0</v>
      </c>
      <c r="N401" t="n">
        <v>0</v>
      </c>
      <c r="O401" t="n">
        <v>1</v>
      </c>
      <c r="P401" t="n">
        <v>0</v>
      </c>
      <c r="Q401" t="n">
        <v>1</v>
      </c>
      <c r="R401" s="2" t="inlineStr">
        <is>
          <t>Talltita</t>
        </is>
      </c>
      <c r="S401">
        <f>HYPERLINK("https://klasma.github.io/Logging_1737/artfynd/A 45844-2019 artfynd.xlsx", "A 45844-2019")</f>
        <v/>
      </c>
      <c r="T401">
        <f>HYPERLINK("https://klasma.github.io/Logging_1737/kartor/A 45844-2019 karta.png", "A 45844-2019")</f>
        <v/>
      </c>
      <c r="V401">
        <f>HYPERLINK("https://klasma.github.io/Logging_1737/klagomål/A 45844-2019 FSC-klagomål.docx", "A 45844-2019")</f>
        <v/>
      </c>
      <c r="W401">
        <f>HYPERLINK("https://klasma.github.io/Logging_1737/klagomålsmail/A 45844-2019 FSC-klagomål mail.docx", "A 45844-2019")</f>
        <v/>
      </c>
      <c r="X401">
        <f>HYPERLINK("https://klasma.github.io/Logging_1737/tillsyn/A 45844-2019 tillsynsbegäran.docx", "A 45844-2019")</f>
        <v/>
      </c>
      <c r="Y401">
        <f>HYPERLINK("https://klasma.github.io/Logging_1737/tillsynsmail/A 45844-2019 tillsynsbegäran mail.docx", "A 45844-2019")</f>
        <v/>
      </c>
      <c r="Z401">
        <f>HYPERLINK("https://klasma.github.io/Logging_1737/fåglar/A 45844-2019 prioriterade fågelarter.docx", "A 45844-2019")</f>
        <v/>
      </c>
    </row>
    <row r="402" ht="15" customHeight="1">
      <c r="A402" t="inlineStr">
        <is>
          <t>A 47192-2019</t>
        </is>
      </c>
      <c r="B402" s="1" t="n">
        <v>43721</v>
      </c>
      <c r="C402" s="1" t="n">
        <v>45810</v>
      </c>
      <c r="D402" t="inlineStr">
        <is>
          <t>VÄRMLANDS LÄN</t>
        </is>
      </c>
      <c r="E402" t="inlineStr">
        <is>
          <t>KIL</t>
        </is>
      </c>
      <c r="G402" t="n">
        <v>4.4</v>
      </c>
      <c r="H402" t="n">
        <v>1</v>
      </c>
      <c r="I402" t="n">
        <v>0</v>
      </c>
      <c r="J402" t="n">
        <v>0</v>
      </c>
      <c r="K402" t="n">
        <v>1</v>
      </c>
      <c r="L402" t="n">
        <v>0</v>
      </c>
      <c r="M402" t="n">
        <v>0</v>
      </c>
      <c r="N402" t="n">
        <v>0</v>
      </c>
      <c r="O402" t="n">
        <v>1</v>
      </c>
      <c r="P402" t="n">
        <v>1</v>
      </c>
      <c r="Q402" t="n">
        <v>1</v>
      </c>
      <c r="R402" s="2" t="inlineStr">
        <is>
          <t>Knärot</t>
        </is>
      </c>
      <c r="S402">
        <f>HYPERLINK("https://klasma.github.io/Logging_1715/artfynd/A 47192-2019 artfynd.xlsx", "A 47192-2019")</f>
        <v/>
      </c>
      <c r="T402">
        <f>HYPERLINK("https://klasma.github.io/Logging_1715/kartor/A 47192-2019 karta.png", "A 47192-2019")</f>
        <v/>
      </c>
      <c r="U402">
        <f>HYPERLINK("https://klasma.github.io/Logging_1715/knärot/A 47192-2019 karta knärot.png", "A 47192-2019")</f>
        <v/>
      </c>
      <c r="V402">
        <f>HYPERLINK("https://klasma.github.io/Logging_1715/klagomål/A 47192-2019 FSC-klagomål.docx", "A 47192-2019")</f>
        <v/>
      </c>
      <c r="W402">
        <f>HYPERLINK("https://klasma.github.io/Logging_1715/klagomålsmail/A 47192-2019 FSC-klagomål mail.docx", "A 47192-2019")</f>
        <v/>
      </c>
      <c r="X402">
        <f>HYPERLINK("https://klasma.github.io/Logging_1715/tillsyn/A 47192-2019 tillsynsbegäran.docx", "A 47192-2019")</f>
        <v/>
      </c>
      <c r="Y402">
        <f>HYPERLINK("https://klasma.github.io/Logging_1715/tillsynsmail/A 47192-2019 tillsynsbegäran mail.docx", "A 47192-2019")</f>
        <v/>
      </c>
    </row>
    <row r="403" ht="15" customHeight="1">
      <c r="A403" t="inlineStr">
        <is>
          <t>A 47731-2019</t>
        </is>
      </c>
      <c r="B403" s="1" t="n">
        <v>43724</v>
      </c>
      <c r="C403" s="1" t="n">
        <v>45810</v>
      </c>
      <c r="D403" t="inlineStr">
        <is>
          <t>VÄRMLANDS LÄN</t>
        </is>
      </c>
      <c r="E403" t="inlineStr">
        <is>
          <t>TORSBY</t>
        </is>
      </c>
      <c r="G403" t="n">
        <v>3.5</v>
      </c>
      <c r="H403" t="n">
        <v>1</v>
      </c>
      <c r="I403" t="n">
        <v>0</v>
      </c>
      <c r="J403" t="n">
        <v>1</v>
      </c>
      <c r="K403" t="n">
        <v>0</v>
      </c>
      <c r="L403" t="n">
        <v>0</v>
      </c>
      <c r="M403" t="n">
        <v>0</v>
      </c>
      <c r="N403" t="n">
        <v>0</v>
      </c>
      <c r="O403" t="n">
        <v>1</v>
      </c>
      <c r="P403" t="n">
        <v>0</v>
      </c>
      <c r="Q403" t="n">
        <v>1</v>
      </c>
      <c r="R403" s="2" t="inlineStr">
        <is>
          <t>Gulsparv</t>
        </is>
      </c>
      <c r="S403">
        <f>HYPERLINK("https://klasma.github.io/Logging_1737/artfynd/A 47731-2019 artfynd.xlsx", "A 47731-2019")</f>
        <v/>
      </c>
      <c r="T403">
        <f>HYPERLINK("https://klasma.github.io/Logging_1737/kartor/A 47731-2019 karta.png", "A 47731-2019")</f>
        <v/>
      </c>
      <c r="V403">
        <f>HYPERLINK("https://klasma.github.io/Logging_1737/klagomål/A 47731-2019 FSC-klagomål.docx", "A 47731-2019")</f>
        <v/>
      </c>
      <c r="W403">
        <f>HYPERLINK("https://klasma.github.io/Logging_1737/klagomålsmail/A 47731-2019 FSC-klagomål mail.docx", "A 47731-2019")</f>
        <v/>
      </c>
      <c r="X403">
        <f>HYPERLINK("https://klasma.github.io/Logging_1737/tillsyn/A 47731-2019 tillsynsbegäran.docx", "A 47731-2019")</f>
        <v/>
      </c>
      <c r="Y403">
        <f>HYPERLINK("https://klasma.github.io/Logging_1737/tillsynsmail/A 47731-2019 tillsynsbegäran mail.docx", "A 47731-2019")</f>
        <v/>
      </c>
      <c r="Z403">
        <f>HYPERLINK("https://klasma.github.io/Logging_1737/fåglar/A 47731-2019 prioriterade fågelarter.docx", "A 47731-2019")</f>
        <v/>
      </c>
    </row>
    <row r="404" ht="15" customHeight="1">
      <c r="A404" t="inlineStr">
        <is>
          <t>A 47834-2019</t>
        </is>
      </c>
      <c r="B404" s="1" t="n">
        <v>43725</v>
      </c>
      <c r="C404" s="1" t="n">
        <v>45810</v>
      </c>
      <c r="D404" t="inlineStr">
        <is>
          <t>VÄRMLANDS LÄN</t>
        </is>
      </c>
      <c r="E404" t="inlineStr">
        <is>
          <t>ÅRJÄNG</t>
        </is>
      </c>
      <c r="G404" t="n">
        <v>3</v>
      </c>
      <c r="H404" t="n">
        <v>0</v>
      </c>
      <c r="I404" t="n">
        <v>0</v>
      </c>
      <c r="J404" t="n">
        <v>0</v>
      </c>
      <c r="K404" t="n">
        <v>0</v>
      </c>
      <c r="L404" t="n">
        <v>1</v>
      </c>
      <c r="M404" t="n">
        <v>0</v>
      </c>
      <c r="N404" t="n">
        <v>0</v>
      </c>
      <c r="O404" t="n">
        <v>1</v>
      </c>
      <c r="P404" t="n">
        <v>1</v>
      </c>
      <c r="Q404" t="n">
        <v>1</v>
      </c>
      <c r="R404" s="2" t="inlineStr">
        <is>
          <t>Ask</t>
        </is>
      </c>
      <c r="S404">
        <f>HYPERLINK("https://klasma.github.io/Logging_1765/artfynd/A 47834-2019 artfynd.xlsx", "A 47834-2019")</f>
        <v/>
      </c>
      <c r="T404">
        <f>HYPERLINK("https://klasma.github.io/Logging_1765/kartor/A 47834-2019 karta.png", "A 47834-2019")</f>
        <v/>
      </c>
      <c r="V404">
        <f>HYPERLINK("https://klasma.github.io/Logging_1765/klagomål/A 47834-2019 FSC-klagomål.docx", "A 47834-2019")</f>
        <v/>
      </c>
      <c r="W404">
        <f>HYPERLINK("https://klasma.github.io/Logging_1765/klagomålsmail/A 47834-2019 FSC-klagomål mail.docx", "A 47834-2019")</f>
        <v/>
      </c>
      <c r="X404">
        <f>HYPERLINK("https://klasma.github.io/Logging_1765/tillsyn/A 47834-2019 tillsynsbegäran.docx", "A 47834-2019")</f>
        <v/>
      </c>
      <c r="Y404">
        <f>HYPERLINK("https://klasma.github.io/Logging_1765/tillsynsmail/A 47834-2019 tillsynsbegäran mail.docx", "A 47834-2019")</f>
        <v/>
      </c>
    </row>
    <row r="405" ht="15" customHeight="1">
      <c r="A405" t="inlineStr">
        <is>
          <t>A 48854-2019</t>
        </is>
      </c>
      <c r="B405" s="1" t="n">
        <v>43728</v>
      </c>
      <c r="C405" s="1" t="n">
        <v>45810</v>
      </c>
      <c r="D405" t="inlineStr">
        <is>
          <t>VÄRMLANDS LÄN</t>
        </is>
      </c>
      <c r="E405" t="inlineStr">
        <is>
          <t>ARVIKA</t>
        </is>
      </c>
      <c r="G405" t="n">
        <v>8.1</v>
      </c>
      <c r="H405" t="n">
        <v>1</v>
      </c>
      <c r="I405" t="n">
        <v>0</v>
      </c>
      <c r="J405" t="n">
        <v>0</v>
      </c>
      <c r="K405" t="n">
        <v>1</v>
      </c>
      <c r="L405" t="n">
        <v>0</v>
      </c>
      <c r="M405" t="n">
        <v>0</v>
      </c>
      <c r="N405" t="n">
        <v>0</v>
      </c>
      <c r="O405" t="n">
        <v>1</v>
      </c>
      <c r="P405" t="n">
        <v>1</v>
      </c>
      <c r="Q405" t="n">
        <v>1</v>
      </c>
      <c r="R405" s="2" t="inlineStr">
        <is>
          <t>Knärot</t>
        </is>
      </c>
      <c r="S405">
        <f>HYPERLINK("https://klasma.github.io/Logging_1784/artfynd/A 48854-2019 artfynd.xlsx", "A 48854-2019")</f>
        <v/>
      </c>
      <c r="T405">
        <f>HYPERLINK("https://klasma.github.io/Logging_1784/kartor/A 48854-2019 karta.png", "A 48854-2019")</f>
        <v/>
      </c>
      <c r="U405">
        <f>HYPERLINK("https://klasma.github.io/Logging_1784/knärot/A 48854-2019 karta knärot.png", "A 48854-2019")</f>
        <v/>
      </c>
      <c r="V405">
        <f>HYPERLINK("https://klasma.github.io/Logging_1784/klagomål/A 48854-2019 FSC-klagomål.docx", "A 48854-2019")</f>
        <v/>
      </c>
      <c r="W405">
        <f>HYPERLINK("https://klasma.github.io/Logging_1784/klagomålsmail/A 48854-2019 FSC-klagomål mail.docx", "A 48854-2019")</f>
        <v/>
      </c>
      <c r="X405">
        <f>HYPERLINK("https://klasma.github.io/Logging_1784/tillsyn/A 48854-2019 tillsynsbegäran.docx", "A 48854-2019")</f>
        <v/>
      </c>
      <c r="Y405">
        <f>HYPERLINK("https://klasma.github.io/Logging_1784/tillsynsmail/A 48854-2019 tillsynsbegäran mail.docx", "A 48854-2019")</f>
        <v/>
      </c>
    </row>
    <row r="406" ht="15" customHeight="1">
      <c r="A406" t="inlineStr">
        <is>
          <t>A 49192-2019</t>
        </is>
      </c>
      <c r="B406" s="1" t="n">
        <v>43731</v>
      </c>
      <c r="C406" s="1" t="n">
        <v>45810</v>
      </c>
      <c r="D406" t="inlineStr">
        <is>
          <t>VÄRMLANDS LÄN</t>
        </is>
      </c>
      <c r="E406" t="inlineStr">
        <is>
          <t>ÅRJÄNG</t>
        </is>
      </c>
      <c r="G406" t="n">
        <v>4.4</v>
      </c>
      <c r="H406" t="n">
        <v>1</v>
      </c>
      <c r="I406" t="n">
        <v>0</v>
      </c>
      <c r="J406" t="n">
        <v>0</v>
      </c>
      <c r="K406" t="n">
        <v>0</v>
      </c>
      <c r="L406" t="n">
        <v>0</v>
      </c>
      <c r="M406" t="n">
        <v>0</v>
      </c>
      <c r="N406" t="n">
        <v>0</v>
      </c>
      <c r="O406" t="n">
        <v>0</v>
      </c>
      <c r="P406" t="n">
        <v>0</v>
      </c>
      <c r="Q406" t="n">
        <v>1</v>
      </c>
      <c r="R406" s="2" t="inlineStr">
        <is>
          <t>Blåsippa</t>
        </is>
      </c>
      <c r="S406">
        <f>HYPERLINK("https://klasma.github.io/Logging_1765/artfynd/A 49192-2019 artfynd.xlsx", "A 49192-2019")</f>
        <v/>
      </c>
      <c r="T406">
        <f>HYPERLINK("https://klasma.github.io/Logging_1765/kartor/A 49192-2019 karta.png", "A 49192-2019")</f>
        <v/>
      </c>
      <c r="V406">
        <f>HYPERLINK("https://klasma.github.io/Logging_1765/klagomål/A 49192-2019 FSC-klagomål.docx", "A 49192-2019")</f>
        <v/>
      </c>
      <c r="W406">
        <f>HYPERLINK("https://klasma.github.io/Logging_1765/klagomålsmail/A 49192-2019 FSC-klagomål mail.docx", "A 49192-2019")</f>
        <v/>
      </c>
      <c r="X406">
        <f>HYPERLINK("https://klasma.github.io/Logging_1765/tillsyn/A 49192-2019 tillsynsbegäran.docx", "A 49192-2019")</f>
        <v/>
      </c>
      <c r="Y406">
        <f>HYPERLINK("https://klasma.github.io/Logging_1765/tillsynsmail/A 49192-2019 tillsynsbegäran mail.docx", "A 49192-2019")</f>
        <v/>
      </c>
    </row>
    <row r="407" ht="15" customHeight="1">
      <c r="A407" t="inlineStr">
        <is>
          <t>A 50261-2019</t>
        </is>
      </c>
      <c r="B407" s="1" t="n">
        <v>43734</v>
      </c>
      <c r="C407" s="1" t="n">
        <v>45810</v>
      </c>
      <c r="D407" t="inlineStr">
        <is>
          <t>VÄRMLANDS LÄN</t>
        </is>
      </c>
      <c r="E407" t="inlineStr">
        <is>
          <t>ÅRJÄNG</t>
        </is>
      </c>
      <c r="G407" t="n">
        <v>1.5</v>
      </c>
      <c r="H407" t="n">
        <v>1</v>
      </c>
      <c r="I407" t="n">
        <v>0</v>
      </c>
      <c r="J407" t="n">
        <v>0</v>
      </c>
      <c r="K407" t="n">
        <v>0</v>
      </c>
      <c r="L407" t="n">
        <v>0</v>
      </c>
      <c r="M407" t="n">
        <v>0</v>
      </c>
      <c r="N407" t="n">
        <v>0</v>
      </c>
      <c r="O407" t="n">
        <v>0</v>
      </c>
      <c r="P407" t="n">
        <v>0</v>
      </c>
      <c r="Q407" t="n">
        <v>1</v>
      </c>
      <c r="R407" s="2" t="inlineStr">
        <is>
          <t>Grönvit nattviol</t>
        </is>
      </c>
      <c r="S407">
        <f>HYPERLINK("https://klasma.github.io/Logging_1765/artfynd/A 50261-2019 artfynd.xlsx", "A 50261-2019")</f>
        <v/>
      </c>
      <c r="T407">
        <f>HYPERLINK("https://klasma.github.io/Logging_1765/kartor/A 50261-2019 karta.png", "A 50261-2019")</f>
        <v/>
      </c>
      <c r="V407">
        <f>HYPERLINK("https://klasma.github.io/Logging_1765/klagomål/A 50261-2019 FSC-klagomål.docx", "A 50261-2019")</f>
        <v/>
      </c>
      <c r="W407">
        <f>HYPERLINK("https://klasma.github.io/Logging_1765/klagomålsmail/A 50261-2019 FSC-klagomål mail.docx", "A 50261-2019")</f>
        <v/>
      </c>
      <c r="X407">
        <f>HYPERLINK("https://klasma.github.io/Logging_1765/tillsyn/A 50261-2019 tillsynsbegäran.docx", "A 50261-2019")</f>
        <v/>
      </c>
      <c r="Y407">
        <f>HYPERLINK("https://klasma.github.io/Logging_1765/tillsynsmail/A 50261-2019 tillsynsbegäran mail.docx", "A 50261-2019")</f>
        <v/>
      </c>
    </row>
    <row r="408" ht="15" customHeight="1">
      <c r="A408" t="inlineStr">
        <is>
          <t>A 51021-2019</t>
        </is>
      </c>
      <c r="B408" s="1" t="n">
        <v>43739</v>
      </c>
      <c r="C408" s="1" t="n">
        <v>45810</v>
      </c>
      <c r="D408" t="inlineStr">
        <is>
          <t>VÄRMLANDS LÄN</t>
        </is>
      </c>
      <c r="E408" t="inlineStr">
        <is>
          <t>HAGFORS</t>
        </is>
      </c>
      <c r="F408" t="inlineStr">
        <is>
          <t>Bergvik skog väst AB</t>
        </is>
      </c>
      <c r="G408" t="n">
        <v>18.7</v>
      </c>
      <c r="H408" t="n">
        <v>1</v>
      </c>
      <c r="I408" t="n">
        <v>0</v>
      </c>
      <c r="J408" t="n">
        <v>0</v>
      </c>
      <c r="K408" t="n">
        <v>1</v>
      </c>
      <c r="L408" t="n">
        <v>0</v>
      </c>
      <c r="M408" t="n">
        <v>0</v>
      </c>
      <c r="N408" t="n">
        <v>0</v>
      </c>
      <c r="O408" t="n">
        <v>1</v>
      </c>
      <c r="P408" t="n">
        <v>1</v>
      </c>
      <c r="Q408" t="n">
        <v>1</v>
      </c>
      <c r="R408" s="2" t="inlineStr">
        <is>
          <t>Mellanlummer</t>
        </is>
      </c>
      <c r="S408">
        <f>HYPERLINK("https://klasma.github.io/Logging_1783/artfynd/A 51021-2019 artfynd.xlsx", "A 51021-2019")</f>
        <v/>
      </c>
      <c r="T408">
        <f>HYPERLINK("https://klasma.github.io/Logging_1783/kartor/A 51021-2019 karta.png", "A 51021-2019")</f>
        <v/>
      </c>
      <c r="V408">
        <f>HYPERLINK("https://klasma.github.io/Logging_1783/klagomål/A 51021-2019 FSC-klagomål.docx", "A 51021-2019")</f>
        <v/>
      </c>
      <c r="W408">
        <f>HYPERLINK("https://klasma.github.io/Logging_1783/klagomålsmail/A 51021-2019 FSC-klagomål mail.docx", "A 51021-2019")</f>
        <v/>
      </c>
      <c r="X408">
        <f>HYPERLINK("https://klasma.github.io/Logging_1783/tillsyn/A 51021-2019 tillsynsbegäran.docx", "A 51021-2019")</f>
        <v/>
      </c>
      <c r="Y408">
        <f>HYPERLINK("https://klasma.github.io/Logging_1783/tillsynsmail/A 51021-2019 tillsynsbegäran mail.docx", "A 51021-2019")</f>
        <v/>
      </c>
    </row>
    <row r="409" ht="15" customHeight="1">
      <c r="A409" t="inlineStr">
        <is>
          <t>A 53924-2019</t>
        </is>
      </c>
      <c r="B409" s="1" t="n">
        <v>43742</v>
      </c>
      <c r="C409" s="1" t="n">
        <v>45810</v>
      </c>
      <c r="D409" t="inlineStr">
        <is>
          <t>VÄRMLANDS LÄN</t>
        </is>
      </c>
      <c r="E409" t="inlineStr">
        <is>
          <t>TORSBY</t>
        </is>
      </c>
      <c r="G409" t="n">
        <v>7.1</v>
      </c>
      <c r="H409" t="n">
        <v>1</v>
      </c>
      <c r="I409" t="n">
        <v>0</v>
      </c>
      <c r="J409" t="n">
        <v>0</v>
      </c>
      <c r="K409" t="n">
        <v>0</v>
      </c>
      <c r="L409" t="n">
        <v>0</v>
      </c>
      <c r="M409" t="n">
        <v>0</v>
      </c>
      <c r="N409" t="n">
        <v>0</v>
      </c>
      <c r="O409" t="n">
        <v>0</v>
      </c>
      <c r="P409" t="n">
        <v>0</v>
      </c>
      <c r="Q409" t="n">
        <v>1</v>
      </c>
      <c r="R409" s="2" t="inlineStr">
        <is>
          <t>Fläcknycklar</t>
        </is>
      </c>
      <c r="S409">
        <f>HYPERLINK("https://klasma.github.io/Logging_1737/artfynd/A 53924-2019 artfynd.xlsx", "A 53924-2019")</f>
        <v/>
      </c>
      <c r="T409">
        <f>HYPERLINK("https://klasma.github.io/Logging_1737/kartor/A 53924-2019 karta.png", "A 53924-2019")</f>
        <v/>
      </c>
      <c r="V409">
        <f>HYPERLINK("https://klasma.github.io/Logging_1737/klagomål/A 53924-2019 FSC-klagomål.docx", "A 53924-2019")</f>
        <v/>
      </c>
      <c r="W409">
        <f>HYPERLINK("https://klasma.github.io/Logging_1737/klagomålsmail/A 53924-2019 FSC-klagomål mail.docx", "A 53924-2019")</f>
        <v/>
      </c>
      <c r="X409">
        <f>HYPERLINK("https://klasma.github.io/Logging_1737/tillsyn/A 53924-2019 tillsynsbegäran.docx", "A 53924-2019")</f>
        <v/>
      </c>
      <c r="Y409">
        <f>HYPERLINK("https://klasma.github.io/Logging_1737/tillsynsmail/A 53924-2019 tillsynsbegäran mail.docx", "A 53924-2019")</f>
        <v/>
      </c>
    </row>
    <row r="410" ht="15" customHeight="1">
      <c r="A410" t="inlineStr">
        <is>
          <t>A 55931-2019</t>
        </is>
      </c>
      <c r="B410" s="1" t="n">
        <v>43761</v>
      </c>
      <c r="C410" s="1" t="n">
        <v>45810</v>
      </c>
      <c r="D410" t="inlineStr">
        <is>
          <t>VÄRMLANDS LÄN</t>
        </is>
      </c>
      <c r="E410" t="inlineStr">
        <is>
          <t>ARVIKA</t>
        </is>
      </c>
      <c r="G410" t="n">
        <v>1.1</v>
      </c>
      <c r="H410" t="n">
        <v>0</v>
      </c>
      <c r="I410" t="n">
        <v>0</v>
      </c>
      <c r="J410" t="n">
        <v>0</v>
      </c>
      <c r="K410" t="n">
        <v>1</v>
      </c>
      <c r="L410" t="n">
        <v>0</v>
      </c>
      <c r="M410" t="n">
        <v>0</v>
      </c>
      <c r="N410" t="n">
        <v>0</v>
      </c>
      <c r="O410" t="n">
        <v>1</v>
      </c>
      <c r="P410" t="n">
        <v>1</v>
      </c>
      <c r="Q410" t="n">
        <v>1</v>
      </c>
      <c r="R410" s="2" t="inlineStr">
        <is>
          <t>Blåtryffel</t>
        </is>
      </c>
      <c r="S410">
        <f>HYPERLINK("https://klasma.github.io/Logging_1784/artfynd/A 55931-2019 artfynd.xlsx", "A 55931-2019")</f>
        <v/>
      </c>
      <c r="T410">
        <f>HYPERLINK("https://klasma.github.io/Logging_1784/kartor/A 55931-2019 karta.png", "A 55931-2019")</f>
        <v/>
      </c>
      <c r="V410">
        <f>HYPERLINK("https://klasma.github.io/Logging_1784/klagomål/A 55931-2019 FSC-klagomål.docx", "A 55931-2019")</f>
        <v/>
      </c>
      <c r="W410">
        <f>HYPERLINK("https://klasma.github.io/Logging_1784/klagomålsmail/A 55931-2019 FSC-klagomål mail.docx", "A 55931-2019")</f>
        <v/>
      </c>
      <c r="X410">
        <f>HYPERLINK("https://klasma.github.io/Logging_1784/tillsyn/A 55931-2019 tillsynsbegäran.docx", "A 55931-2019")</f>
        <v/>
      </c>
      <c r="Y410">
        <f>HYPERLINK("https://klasma.github.io/Logging_1784/tillsynsmail/A 55931-2019 tillsynsbegäran mail.docx", "A 55931-2019")</f>
        <v/>
      </c>
    </row>
    <row r="411" ht="15" customHeight="1">
      <c r="A411" t="inlineStr">
        <is>
          <t>A 56545-2019</t>
        </is>
      </c>
      <c r="B411" s="1" t="n">
        <v>43763</v>
      </c>
      <c r="C411" s="1" t="n">
        <v>45810</v>
      </c>
      <c r="D411" t="inlineStr">
        <is>
          <t>VÄRMLANDS LÄN</t>
        </is>
      </c>
      <c r="E411" t="inlineStr">
        <is>
          <t>ÅRJÄNG</t>
        </is>
      </c>
      <c r="G411" t="n">
        <v>3.4</v>
      </c>
      <c r="H411" t="n">
        <v>0</v>
      </c>
      <c r="I411" t="n">
        <v>0</v>
      </c>
      <c r="J411" t="n">
        <v>1</v>
      </c>
      <c r="K411" t="n">
        <v>0</v>
      </c>
      <c r="L411" t="n">
        <v>0</v>
      </c>
      <c r="M411" t="n">
        <v>0</v>
      </c>
      <c r="N411" t="n">
        <v>0</v>
      </c>
      <c r="O411" t="n">
        <v>1</v>
      </c>
      <c r="P411" t="n">
        <v>0</v>
      </c>
      <c r="Q411" t="n">
        <v>1</v>
      </c>
      <c r="R411" s="2" t="inlineStr">
        <is>
          <t>Garnlav</t>
        </is>
      </c>
      <c r="S411">
        <f>HYPERLINK("https://klasma.github.io/Logging_1765/artfynd/A 56545-2019 artfynd.xlsx", "A 56545-2019")</f>
        <v/>
      </c>
      <c r="T411">
        <f>HYPERLINK("https://klasma.github.io/Logging_1765/kartor/A 56545-2019 karta.png", "A 56545-2019")</f>
        <v/>
      </c>
      <c r="V411">
        <f>HYPERLINK("https://klasma.github.io/Logging_1765/klagomål/A 56545-2019 FSC-klagomål.docx", "A 56545-2019")</f>
        <v/>
      </c>
      <c r="W411">
        <f>HYPERLINK("https://klasma.github.io/Logging_1765/klagomålsmail/A 56545-2019 FSC-klagomål mail.docx", "A 56545-2019")</f>
        <v/>
      </c>
      <c r="X411">
        <f>HYPERLINK("https://klasma.github.io/Logging_1765/tillsyn/A 56545-2019 tillsynsbegäran.docx", "A 56545-2019")</f>
        <v/>
      </c>
      <c r="Y411">
        <f>HYPERLINK("https://klasma.github.io/Logging_1765/tillsynsmail/A 56545-2019 tillsynsbegäran mail.docx", "A 56545-2019")</f>
        <v/>
      </c>
    </row>
    <row r="412" ht="15" customHeight="1">
      <c r="A412" t="inlineStr">
        <is>
          <t>A 56851-2019</t>
        </is>
      </c>
      <c r="B412" s="1" t="n">
        <v>43766</v>
      </c>
      <c r="C412" s="1" t="n">
        <v>45810</v>
      </c>
      <c r="D412" t="inlineStr">
        <is>
          <t>VÄRMLANDS LÄN</t>
        </is>
      </c>
      <c r="E412" t="inlineStr">
        <is>
          <t>EDA</t>
        </is>
      </c>
      <c r="G412" t="n">
        <v>15.4</v>
      </c>
      <c r="H412" t="n">
        <v>1</v>
      </c>
      <c r="I412" t="n">
        <v>0</v>
      </c>
      <c r="J412" t="n">
        <v>1</v>
      </c>
      <c r="K412" t="n">
        <v>0</v>
      </c>
      <c r="L412" t="n">
        <v>0</v>
      </c>
      <c r="M412" t="n">
        <v>0</v>
      </c>
      <c r="N412" t="n">
        <v>0</v>
      </c>
      <c r="O412" t="n">
        <v>1</v>
      </c>
      <c r="P412" t="n">
        <v>0</v>
      </c>
      <c r="Q412" t="n">
        <v>1</v>
      </c>
      <c r="R412" s="2" t="inlineStr">
        <is>
          <t>Tretåig hackspett</t>
        </is>
      </c>
      <c r="S412">
        <f>HYPERLINK("https://klasma.github.io/Logging_1730/artfynd/A 56851-2019 artfynd.xlsx", "A 56851-2019")</f>
        <v/>
      </c>
      <c r="T412">
        <f>HYPERLINK("https://klasma.github.io/Logging_1730/kartor/A 56851-2019 karta.png", "A 56851-2019")</f>
        <v/>
      </c>
      <c r="V412">
        <f>HYPERLINK("https://klasma.github.io/Logging_1730/klagomål/A 56851-2019 FSC-klagomål.docx", "A 56851-2019")</f>
        <v/>
      </c>
      <c r="W412">
        <f>HYPERLINK("https://klasma.github.io/Logging_1730/klagomålsmail/A 56851-2019 FSC-klagomål mail.docx", "A 56851-2019")</f>
        <v/>
      </c>
      <c r="X412">
        <f>HYPERLINK("https://klasma.github.io/Logging_1730/tillsyn/A 56851-2019 tillsynsbegäran.docx", "A 56851-2019")</f>
        <v/>
      </c>
      <c r="Y412">
        <f>HYPERLINK("https://klasma.github.io/Logging_1730/tillsynsmail/A 56851-2019 tillsynsbegäran mail.docx", "A 56851-2019")</f>
        <v/>
      </c>
      <c r="Z412">
        <f>HYPERLINK("https://klasma.github.io/Logging_1730/fåglar/A 56851-2019 prioriterade fågelarter.docx", "A 56851-2019")</f>
        <v/>
      </c>
    </row>
    <row r="413" ht="15" customHeight="1">
      <c r="A413" t="inlineStr">
        <is>
          <t>A 57014-2019</t>
        </is>
      </c>
      <c r="B413" s="1" t="n">
        <v>43766</v>
      </c>
      <c r="C413" s="1" t="n">
        <v>45810</v>
      </c>
      <c r="D413" t="inlineStr">
        <is>
          <t>VÄRMLANDS LÄN</t>
        </is>
      </c>
      <c r="E413" t="inlineStr">
        <is>
          <t>EDA</t>
        </is>
      </c>
      <c r="G413" t="n">
        <v>1.1</v>
      </c>
      <c r="H413" t="n">
        <v>0</v>
      </c>
      <c r="I413" t="n">
        <v>0</v>
      </c>
      <c r="J413" t="n">
        <v>1</v>
      </c>
      <c r="K413" t="n">
        <v>0</v>
      </c>
      <c r="L413" t="n">
        <v>0</v>
      </c>
      <c r="M413" t="n">
        <v>0</v>
      </c>
      <c r="N413" t="n">
        <v>0</v>
      </c>
      <c r="O413" t="n">
        <v>1</v>
      </c>
      <c r="P413" t="n">
        <v>0</v>
      </c>
      <c r="Q413" t="n">
        <v>1</v>
      </c>
      <c r="R413" s="2" t="inlineStr">
        <is>
          <t>Garnlav</t>
        </is>
      </c>
      <c r="S413">
        <f>HYPERLINK("https://klasma.github.io/Logging_1730/artfynd/A 57014-2019 artfynd.xlsx", "A 57014-2019")</f>
        <v/>
      </c>
      <c r="T413">
        <f>HYPERLINK("https://klasma.github.io/Logging_1730/kartor/A 57014-2019 karta.png", "A 57014-2019")</f>
        <v/>
      </c>
      <c r="V413">
        <f>HYPERLINK("https://klasma.github.io/Logging_1730/klagomål/A 57014-2019 FSC-klagomål.docx", "A 57014-2019")</f>
        <v/>
      </c>
      <c r="W413">
        <f>HYPERLINK("https://klasma.github.io/Logging_1730/klagomålsmail/A 57014-2019 FSC-klagomål mail.docx", "A 57014-2019")</f>
        <v/>
      </c>
      <c r="X413">
        <f>HYPERLINK("https://klasma.github.io/Logging_1730/tillsyn/A 57014-2019 tillsynsbegäran.docx", "A 57014-2019")</f>
        <v/>
      </c>
      <c r="Y413">
        <f>HYPERLINK("https://klasma.github.io/Logging_1730/tillsynsmail/A 57014-2019 tillsynsbegäran mail.docx", "A 57014-2019")</f>
        <v/>
      </c>
    </row>
    <row r="414" ht="15" customHeight="1">
      <c r="A414" t="inlineStr">
        <is>
          <t>A 63767-2019</t>
        </is>
      </c>
      <c r="B414" s="1" t="n">
        <v>43795</v>
      </c>
      <c r="C414" s="1" t="n">
        <v>45810</v>
      </c>
      <c r="D414" t="inlineStr">
        <is>
          <t>VÄRMLANDS LÄN</t>
        </is>
      </c>
      <c r="E414" t="inlineStr">
        <is>
          <t>TORSBY</t>
        </is>
      </c>
      <c r="G414" t="n">
        <v>1.4</v>
      </c>
      <c r="H414" t="n">
        <v>0</v>
      </c>
      <c r="I414" t="n">
        <v>0</v>
      </c>
      <c r="J414" t="n">
        <v>1</v>
      </c>
      <c r="K414" t="n">
        <v>0</v>
      </c>
      <c r="L414" t="n">
        <v>0</v>
      </c>
      <c r="M414" t="n">
        <v>0</v>
      </c>
      <c r="N414" t="n">
        <v>0</v>
      </c>
      <c r="O414" t="n">
        <v>1</v>
      </c>
      <c r="P414" t="n">
        <v>0</v>
      </c>
      <c r="Q414" t="n">
        <v>1</v>
      </c>
      <c r="R414" s="2" t="inlineStr">
        <is>
          <t>Garnlav</t>
        </is>
      </c>
      <c r="S414">
        <f>HYPERLINK("https://klasma.github.io/Logging_1737/artfynd/A 63767-2019 artfynd.xlsx", "A 63767-2019")</f>
        <v/>
      </c>
      <c r="T414">
        <f>HYPERLINK("https://klasma.github.io/Logging_1737/kartor/A 63767-2019 karta.png", "A 63767-2019")</f>
        <v/>
      </c>
      <c r="V414">
        <f>HYPERLINK("https://klasma.github.io/Logging_1737/klagomål/A 63767-2019 FSC-klagomål.docx", "A 63767-2019")</f>
        <v/>
      </c>
      <c r="W414">
        <f>HYPERLINK("https://klasma.github.io/Logging_1737/klagomålsmail/A 63767-2019 FSC-klagomål mail.docx", "A 63767-2019")</f>
        <v/>
      </c>
      <c r="X414">
        <f>HYPERLINK("https://klasma.github.io/Logging_1737/tillsyn/A 63767-2019 tillsynsbegäran.docx", "A 63767-2019")</f>
        <v/>
      </c>
      <c r="Y414">
        <f>HYPERLINK("https://klasma.github.io/Logging_1737/tillsynsmail/A 63767-2019 tillsynsbegäran mail.docx", "A 63767-2019")</f>
        <v/>
      </c>
    </row>
    <row r="415" ht="15" customHeight="1">
      <c r="A415" t="inlineStr">
        <is>
          <t>A 65129-2019</t>
        </is>
      </c>
      <c r="B415" s="1" t="n">
        <v>43802</v>
      </c>
      <c r="C415" s="1" t="n">
        <v>45810</v>
      </c>
      <c r="D415" t="inlineStr">
        <is>
          <t>VÄRMLANDS LÄN</t>
        </is>
      </c>
      <c r="E415" t="inlineStr">
        <is>
          <t>TORSBY</t>
        </is>
      </c>
      <c r="G415" t="n">
        <v>3.3</v>
      </c>
      <c r="H415" t="n">
        <v>0</v>
      </c>
      <c r="I415" t="n">
        <v>0</v>
      </c>
      <c r="J415" t="n">
        <v>1</v>
      </c>
      <c r="K415" t="n">
        <v>0</v>
      </c>
      <c r="L415" t="n">
        <v>0</v>
      </c>
      <c r="M415" t="n">
        <v>0</v>
      </c>
      <c r="N415" t="n">
        <v>0</v>
      </c>
      <c r="O415" t="n">
        <v>1</v>
      </c>
      <c r="P415" t="n">
        <v>0</v>
      </c>
      <c r="Q415" t="n">
        <v>1</v>
      </c>
      <c r="R415" s="2" t="inlineStr">
        <is>
          <t>Garnlav</t>
        </is>
      </c>
      <c r="S415">
        <f>HYPERLINK("https://klasma.github.io/Logging_1737/artfynd/A 65129-2019 artfynd.xlsx", "A 65129-2019")</f>
        <v/>
      </c>
      <c r="T415">
        <f>HYPERLINK("https://klasma.github.io/Logging_1737/kartor/A 65129-2019 karta.png", "A 65129-2019")</f>
        <v/>
      </c>
      <c r="V415">
        <f>HYPERLINK("https://klasma.github.io/Logging_1737/klagomål/A 65129-2019 FSC-klagomål.docx", "A 65129-2019")</f>
        <v/>
      </c>
      <c r="W415">
        <f>HYPERLINK("https://klasma.github.io/Logging_1737/klagomålsmail/A 65129-2019 FSC-klagomål mail.docx", "A 65129-2019")</f>
        <v/>
      </c>
      <c r="X415">
        <f>HYPERLINK("https://klasma.github.io/Logging_1737/tillsyn/A 65129-2019 tillsynsbegäran.docx", "A 65129-2019")</f>
        <v/>
      </c>
      <c r="Y415">
        <f>HYPERLINK("https://klasma.github.io/Logging_1737/tillsynsmail/A 65129-2019 tillsynsbegäran mail.docx", "A 65129-2019")</f>
        <v/>
      </c>
    </row>
    <row r="416" ht="15" customHeight="1">
      <c r="A416" t="inlineStr">
        <is>
          <t>A 65258-2019</t>
        </is>
      </c>
      <c r="B416" s="1" t="n">
        <v>43802</v>
      </c>
      <c r="C416" s="1" t="n">
        <v>45810</v>
      </c>
      <c r="D416" t="inlineStr">
        <is>
          <t>VÄRMLANDS LÄN</t>
        </is>
      </c>
      <c r="E416" t="inlineStr">
        <is>
          <t>FILIPSTAD</t>
        </is>
      </c>
      <c r="F416" t="inlineStr">
        <is>
          <t>Bergvik skog väst AB</t>
        </is>
      </c>
      <c r="G416" t="n">
        <v>35.3</v>
      </c>
      <c r="H416" t="n">
        <v>1</v>
      </c>
      <c r="I416" t="n">
        <v>0</v>
      </c>
      <c r="J416" t="n">
        <v>1</v>
      </c>
      <c r="K416" t="n">
        <v>0</v>
      </c>
      <c r="L416" t="n">
        <v>0</v>
      </c>
      <c r="M416" t="n">
        <v>0</v>
      </c>
      <c r="N416" t="n">
        <v>0</v>
      </c>
      <c r="O416" t="n">
        <v>1</v>
      </c>
      <c r="P416" t="n">
        <v>0</v>
      </c>
      <c r="Q416" t="n">
        <v>1</v>
      </c>
      <c r="R416" s="2" t="inlineStr">
        <is>
          <t>Strandlummer</t>
        </is>
      </c>
      <c r="S416">
        <f>HYPERLINK("https://klasma.github.io/Logging_1782/artfynd/A 65258-2019 artfynd.xlsx", "A 65258-2019")</f>
        <v/>
      </c>
      <c r="T416">
        <f>HYPERLINK("https://klasma.github.io/Logging_1782/kartor/A 65258-2019 karta.png", "A 65258-2019")</f>
        <v/>
      </c>
      <c r="V416">
        <f>HYPERLINK("https://klasma.github.io/Logging_1782/klagomål/A 65258-2019 FSC-klagomål.docx", "A 65258-2019")</f>
        <v/>
      </c>
      <c r="W416">
        <f>HYPERLINK("https://klasma.github.io/Logging_1782/klagomålsmail/A 65258-2019 FSC-klagomål mail.docx", "A 65258-2019")</f>
        <v/>
      </c>
      <c r="X416">
        <f>HYPERLINK("https://klasma.github.io/Logging_1782/tillsyn/A 65258-2019 tillsynsbegäran.docx", "A 65258-2019")</f>
        <v/>
      </c>
      <c r="Y416">
        <f>HYPERLINK("https://klasma.github.io/Logging_1782/tillsynsmail/A 65258-2019 tillsynsbegäran mail.docx", "A 65258-2019")</f>
        <v/>
      </c>
    </row>
    <row r="417" ht="15" customHeight="1">
      <c r="A417" t="inlineStr">
        <is>
          <t>A 66238-2019</t>
        </is>
      </c>
      <c r="B417" s="1" t="n">
        <v>43808</v>
      </c>
      <c r="C417" s="1" t="n">
        <v>45810</v>
      </c>
      <c r="D417" t="inlineStr">
        <is>
          <t>VÄRMLANDS LÄN</t>
        </is>
      </c>
      <c r="E417" t="inlineStr">
        <is>
          <t>SUNNE</t>
        </is>
      </c>
      <c r="G417" t="n">
        <v>7.3</v>
      </c>
      <c r="H417" t="n">
        <v>1</v>
      </c>
      <c r="I417" t="n">
        <v>0</v>
      </c>
      <c r="J417" t="n">
        <v>0</v>
      </c>
      <c r="K417" t="n">
        <v>1</v>
      </c>
      <c r="L417" t="n">
        <v>0</v>
      </c>
      <c r="M417" t="n">
        <v>0</v>
      </c>
      <c r="N417" t="n">
        <v>0</v>
      </c>
      <c r="O417" t="n">
        <v>1</v>
      </c>
      <c r="P417" t="n">
        <v>1</v>
      </c>
      <c r="Q417" t="n">
        <v>1</v>
      </c>
      <c r="R417" s="2" t="inlineStr">
        <is>
          <t>Knärot</t>
        </is>
      </c>
      <c r="S417">
        <f>HYPERLINK("https://klasma.github.io/Logging_1766/artfynd/A 66238-2019 artfynd.xlsx", "A 66238-2019")</f>
        <v/>
      </c>
      <c r="T417">
        <f>HYPERLINK("https://klasma.github.io/Logging_1766/kartor/A 66238-2019 karta.png", "A 66238-2019")</f>
        <v/>
      </c>
      <c r="U417">
        <f>HYPERLINK("https://klasma.github.io/Logging_1766/knärot/A 66238-2019 karta knärot.png", "A 66238-2019")</f>
        <v/>
      </c>
      <c r="V417">
        <f>HYPERLINK("https://klasma.github.io/Logging_1766/klagomål/A 66238-2019 FSC-klagomål.docx", "A 66238-2019")</f>
        <v/>
      </c>
      <c r="W417">
        <f>HYPERLINK("https://klasma.github.io/Logging_1766/klagomålsmail/A 66238-2019 FSC-klagomål mail.docx", "A 66238-2019")</f>
        <v/>
      </c>
      <c r="X417">
        <f>HYPERLINK("https://klasma.github.io/Logging_1766/tillsyn/A 66238-2019 tillsynsbegäran.docx", "A 66238-2019")</f>
        <v/>
      </c>
      <c r="Y417">
        <f>HYPERLINK("https://klasma.github.io/Logging_1766/tillsynsmail/A 66238-2019 tillsynsbegäran mail.docx", "A 66238-2019")</f>
        <v/>
      </c>
    </row>
    <row r="418" ht="15" customHeight="1">
      <c r="A418" t="inlineStr">
        <is>
          <t>A 176-2020</t>
        </is>
      </c>
      <c r="B418" s="1" t="n">
        <v>43833</v>
      </c>
      <c r="C418" s="1" t="n">
        <v>45810</v>
      </c>
      <c r="D418" t="inlineStr">
        <is>
          <t>VÄRMLANDS LÄN</t>
        </is>
      </c>
      <c r="E418" t="inlineStr">
        <is>
          <t>FORSHAGA</t>
        </is>
      </c>
      <c r="F418" t="inlineStr">
        <is>
          <t>Bergvik skog väst AB</t>
        </is>
      </c>
      <c r="G418" t="n">
        <v>8.300000000000001</v>
      </c>
      <c r="H418" t="n">
        <v>1</v>
      </c>
      <c r="I418" t="n">
        <v>0</v>
      </c>
      <c r="J418" t="n">
        <v>0</v>
      </c>
      <c r="K418" t="n">
        <v>0</v>
      </c>
      <c r="L418" t="n">
        <v>0</v>
      </c>
      <c r="M418" t="n">
        <v>0</v>
      </c>
      <c r="N418" t="n">
        <v>0</v>
      </c>
      <c r="O418" t="n">
        <v>0</v>
      </c>
      <c r="P418" t="n">
        <v>0</v>
      </c>
      <c r="Q418" t="n">
        <v>1</v>
      </c>
      <c r="R418" s="2" t="inlineStr">
        <is>
          <t>Vanlig padda</t>
        </is>
      </c>
      <c r="S418">
        <f>HYPERLINK("https://klasma.github.io/Logging_1763/artfynd/A 176-2020 artfynd.xlsx", "A 176-2020")</f>
        <v/>
      </c>
      <c r="T418">
        <f>HYPERLINK("https://klasma.github.io/Logging_1763/kartor/A 176-2020 karta.png", "A 176-2020")</f>
        <v/>
      </c>
      <c r="V418">
        <f>HYPERLINK("https://klasma.github.io/Logging_1763/klagomål/A 176-2020 FSC-klagomål.docx", "A 176-2020")</f>
        <v/>
      </c>
      <c r="W418">
        <f>HYPERLINK("https://klasma.github.io/Logging_1763/klagomålsmail/A 176-2020 FSC-klagomål mail.docx", "A 176-2020")</f>
        <v/>
      </c>
      <c r="X418">
        <f>HYPERLINK("https://klasma.github.io/Logging_1763/tillsyn/A 176-2020 tillsynsbegäran.docx", "A 176-2020")</f>
        <v/>
      </c>
      <c r="Y418">
        <f>HYPERLINK("https://klasma.github.io/Logging_1763/tillsynsmail/A 176-2020 tillsynsbegäran mail.docx", "A 176-2020")</f>
        <v/>
      </c>
    </row>
    <row r="419" ht="15" customHeight="1">
      <c r="A419" t="inlineStr">
        <is>
          <t>A 238-2020</t>
        </is>
      </c>
      <c r="B419" s="1" t="n">
        <v>43835</v>
      </c>
      <c r="C419" s="1" t="n">
        <v>45810</v>
      </c>
      <c r="D419" t="inlineStr">
        <is>
          <t>VÄRMLANDS LÄN</t>
        </is>
      </c>
      <c r="E419" t="inlineStr">
        <is>
          <t>ARVIKA</t>
        </is>
      </c>
      <c r="G419" t="n">
        <v>1.3</v>
      </c>
      <c r="H419" t="n">
        <v>1</v>
      </c>
      <c r="I419" t="n">
        <v>0</v>
      </c>
      <c r="J419" t="n">
        <v>0</v>
      </c>
      <c r="K419" t="n">
        <v>1</v>
      </c>
      <c r="L419" t="n">
        <v>0</v>
      </c>
      <c r="M419" t="n">
        <v>0</v>
      </c>
      <c r="N419" t="n">
        <v>0</v>
      </c>
      <c r="O419" t="n">
        <v>1</v>
      </c>
      <c r="P419" t="n">
        <v>1</v>
      </c>
      <c r="Q419" t="n">
        <v>1</v>
      </c>
      <c r="R419" s="2" t="inlineStr">
        <is>
          <t>Knärot</t>
        </is>
      </c>
      <c r="S419">
        <f>HYPERLINK("https://klasma.github.io/Logging_1784/artfynd/A 238-2020 artfynd.xlsx", "A 238-2020")</f>
        <v/>
      </c>
      <c r="T419">
        <f>HYPERLINK("https://klasma.github.io/Logging_1784/kartor/A 238-2020 karta.png", "A 238-2020")</f>
        <v/>
      </c>
      <c r="U419">
        <f>HYPERLINK("https://klasma.github.io/Logging_1784/knärot/A 238-2020 karta knärot.png", "A 238-2020")</f>
        <v/>
      </c>
      <c r="V419">
        <f>HYPERLINK("https://klasma.github.io/Logging_1784/klagomål/A 238-2020 FSC-klagomål.docx", "A 238-2020")</f>
        <v/>
      </c>
      <c r="W419">
        <f>HYPERLINK("https://klasma.github.io/Logging_1784/klagomålsmail/A 238-2020 FSC-klagomål mail.docx", "A 238-2020")</f>
        <v/>
      </c>
      <c r="X419">
        <f>HYPERLINK("https://klasma.github.io/Logging_1784/tillsyn/A 238-2020 tillsynsbegäran.docx", "A 238-2020")</f>
        <v/>
      </c>
      <c r="Y419">
        <f>HYPERLINK("https://klasma.github.io/Logging_1784/tillsynsmail/A 238-2020 tillsynsbegäran mail.docx", "A 238-2020")</f>
        <v/>
      </c>
    </row>
    <row r="420" ht="15" customHeight="1">
      <c r="A420" t="inlineStr">
        <is>
          <t>A 2116-2020</t>
        </is>
      </c>
      <c r="B420" s="1" t="n">
        <v>43839</v>
      </c>
      <c r="C420" s="1" t="n">
        <v>45810</v>
      </c>
      <c r="D420" t="inlineStr">
        <is>
          <t>VÄRMLANDS LÄN</t>
        </is>
      </c>
      <c r="E420" t="inlineStr">
        <is>
          <t>ÅRJÄNG</t>
        </is>
      </c>
      <c r="G420" t="n">
        <v>3</v>
      </c>
      <c r="H420" t="n">
        <v>0</v>
      </c>
      <c r="I420" t="n">
        <v>0</v>
      </c>
      <c r="J420" t="n">
        <v>0</v>
      </c>
      <c r="K420" t="n">
        <v>0</v>
      </c>
      <c r="L420" t="n">
        <v>1</v>
      </c>
      <c r="M420" t="n">
        <v>0</v>
      </c>
      <c r="N420" t="n">
        <v>0</v>
      </c>
      <c r="O420" t="n">
        <v>1</v>
      </c>
      <c r="P420" t="n">
        <v>1</v>
      </c>
      <c r="Q420" t="n">
        <v>1</v>
      </c>
      <c r="R420" s="2" t="inlineStr">
        <is>
          <t>Ask</t>
        </is>
      </c>
      <c r="S420">
        <f>HYPERLINK("https://klasma.github.io/Logging_1765/artfynd/A 2116-2020 artfynd.xlsx", "A 2116-2020")</f>
        <v/>
      </c>
      <c r="T420">
        <f>HYPERLINK("https://klasma.github.io/Logging_1765/kartor/A 2116-2020 karta.png", "A 2116-2020")</f>
        <v/>
      </c>
      <c r="V420">
        <f>HYPERLINK("https://klasma.github.io/Logging_1765/klagomål/A 2116-2020 FSC-klagomål.docx", "A 2116-2020")</f>
        <v/>
      </c>
      <c r="W420">
        <f>HYPERLINK("https://klasma.github.io/Logging_1765/klagomålsmail/A 2116-2020 FSC-klagomål mail.docx", "A 2116-2020")</f>
        <v/>
      </c>
      <c r="X420">
        <f>HYPERLINK("https://klasma.github.io/Logging_1765/tillsyn/A 2116-2020 tillsynsbegäran.docx", "A 2116-2020")</f>
        <v/>
      </c>
      <c r="Y420">
        <f>HYPERLINK("https://klasma.github.io/Logging_1765/tillsynsmail/A 2116-2020 tillsynsbegäran mail.docx", "A 2116-2020")</f>
        <v/>
      </c>
    </row>
    <row r="421" ht="15" customHeight="1">
      <c r="A421" t="inlineStr">
        <is>
          <t>A 2358-2020</t>
        </is>
      </c>
      <c r="B421" s="1" t="n">
        <v>43846</v>
      </c>
      <c r="C421" s="1" t="n">
        <v>45810</v>
      </c>
      <c r="D421" t="inlineStr">
        <is>
          <t>VÄRMLANDS LÄN</t>
        </is>
      </c>
      <c r="E421" t="inlineStr">
        <is>
          <t>FORSHAGA</t>
        </is>
      </c>
      <c r="F421" t="inlineStr">
        <is>
          <t>Bergvik skog väst AB</t>
        </is>
      </c>
      <c r="G421" t="n">
        <v>18.7</v>
      </c>
      <c r="H421" t="n">
        <v>1</v>
      </c>
      <c r="I421" t="n">
        <v>0</v>
      </c>
      <c r="J421" t="n">
        <v>0</v>
      </c>
      <c r="K421" t="n">
        <v>0</v>
      </c>
      <c r="L421" t="n">
        <v>0</v>
      </c>
      <c r="M421" t="n">
        <v>0</v>
      </c>
      <c r="N421" t="n">
        <v>0</v>
      </c>
      <c r="O421" t="n">
        <v>0</v>
      </c>
      <c r="P421" t="n">
        <v>0</v>
      </c>
      <c r="Q421" t="n">
        <v>1</v>
      </c>
      <c r="R421" s="2" t="inlineStr">
        <is>
          <t>Mattlummer</t>
        </is>
      </c>
      <c r="S421">
        <f>HYPERLINK("https://klasma.github.io/Logging_1763/artfynd/A 2358-2020 artfynd.xlsx", "A 2358-2020")</f>
        <v/>
      </c>
      <c r="T421">
        <f>HYPERLINK("https://klasma.github.io/Logging_1763/kartor/A 2358-2020 karta.png", "A 2358-2020")</f>
        <v/>
      </c>
      <c r="V421">
        <f>HYPERLINK("https://klasma.github.io/Logging_1763/klagomål/A 2358-2020 FSC-klagomål.docx", "A 2358-2020")</f>
        <v/>
      </c>
      <c r="W421">
        <f>HYPERLINK("https://klasma.github.io/Logging_1763/klagomålsmail/A 2358-2020 FSC-klagomål mail.docx", "A 2358-2020")</f>
        <v/>
      </c>
      <c r="X421">
        <f>HYPERLINK("https://klasma.github.io/Logging_1763/tillsyn/A 2358-2020 tillsynsbegäran.docx", "A 2358-2020")</f>
        <v/>
      </c>
      <c r="Y421">
        <f>HYPERLINK("https://klasma.github.io/Logging_1763/tillsynsmail/A 2358-2020 tillsynsbegäran mail.docx", "A 2358-2020")</f>
        <v/>
      </c>
    </row>
    <row r="422" ht="15" customHeight="1">
      <c r="A422" t="inlineStr">
        <is>
          <t>A 6299-2020</t>
        </is>
      </c>
      <c r="B422" s="1" t="n">
        <v>43866</v>
      </c>
      <c r="C422" s="1" t="n">
        <v>45810</v>
      </c>
      <c r="D422" t="inlineStr">
        <is>
          <t>VÄRMLANDS LÄN</t>
        </is>
      </c>
      <c r="E422" t="inlineStr">
        <is>
          <t>KARLSTAD</t>
        </is>
      </c>
      <c r="F422" t="inlineStr">
        <is>
          <t>Kommuner</t>
        </is>
      </c>
      <c r="G422" t="n">
        <v>0.6</v>
      </c>
      <c r="H422" t="n">
        <v>1</v>
      </c>
      <c r="I422" t="n">
        <v>0</v>
      </c>
      <c r="J422" t="n">
        <v>0</v>
      </c>
      <c r="K422" t="n">
        <v>0</v>
      </c>
      <c r="L422" t="n">
        <v>0</v>
      </c>
      <c r="M422" t="n">
        <v>0</v>
      </c>
      <c r="N422" t="n">
        <v>0</v>
      </c>
      <c r="O422" t="n">
        <v>0</v>
      </c>
      <c r="P422" t="n">
        <v>0</v>
      </c>
      <c r="Q422" t="n">
        <v>1</v>
      </c>
      <c r="R422" s="2" t="inlineStr">
        <is>
          <t>Vanlig groda</t>
        </is>
      </c>
      <c r="S422">
        <f>HYPERLINK("https://klasma.github.io/Logging_1780/artfynd/A 6299-2020 artfynd.xlsx", "A 6299-2020")</f>
        <v/>
      </c>
      <c r="T422">
        <f>HYPERLINK("https://klasma.github.io/Logging_1780/kartor/A 6299-2020 karta.png", "A 6299-2020")</f>
        <v/>
      </c>
      <c r="V422">
        <f>HYPERLINK("https://klasma.github.io/Logging_1780/klagomål/A 6299-2020 FSC-klagomål.docx", "A 6299-2020")</f>
        <v/>
      </c>
      <c r="W422">
        <f>HYPERLINK("https://klasma.github.io/Logging_1780/klagomålsmail/A 6299-2020 FSC-klagomål mail.docx", "A 6299-2020")</f>
        <v/>
      </c>
      <c r="X422">
        <f>HYPERLINK("https://klasma.github.io/Logging_1780/tillsyn/A 6299-2020 tillsynsbegäran.docx", "A 6299-2020")</f>
        <v/>
      </c>
      <c r="Y422">
        <f>HYPERLINK("https://klasma.github.io/Logging_1780/tillsynsmail/A 6299-2020 tillsynsbegäran mail.docx", "A 6299-2020")</f>
        <v/>
      </c>
    </row>
    <row r="423" ht="15" customHeight="1">
      <c r="A423" t="inlineStr">
        <is>
          <t>A 10040-2020</t>
        </is>
      </c>
      <c r="B423" s="1" t="n">
        <v>43882</v>
      </c>
      <c r="C423" s="1" t="n">
        <v>45810</v>
      </c>
      <c r="D423" t="inlineStr">
        <is>
          <t>VÄRMLANDS LÄN</t>
        </is>
      </c>
      <c r="E423" t="inlineStr">
        <is>
          <t>SÄFFLE</t>
        </is>
      </c>
      <c r="G423" t="n">
        <v>1.7</v>
      </c>
      <c r="H423" t="n">
        <v>1</v>
      </c>
      <c r="I423" t="n">
        <v>0</v>
      </c>
      <c r="J423" t="n">
        <v>0</v>
      </c>
      <c r="K423" t="n">
        <v>0</v>
      </c>
      <c r="L423" t="n">
        <v>0</v>
      </c>
      <c r="M423" t="n">
        <v>0</v>
      </c>
      <c r="N423" t="n">
        <v>0</v>
      </c>
      <c r="O423" t="n">
        <v>0</v>
      </c>
      <c r="P423" t="n">
        <v>0</v>
      </c>
      <c r="Q423" t="n">
        <v>1</v>
      </c>
      <c r="R423" s="2" t="inlineStr">
        <is>
          <t>Vanlig groda</t>
        </is>
      </c>
      <c r="S423">
        <f>HYPERLINK("https://klasma.github.io/Logging_1785/artfynd/A 10040-2020 artfynd.xlsx", "A 10040-2020")</f>
        <v/>
      </c>
      <c r="T423">
        <f>HYPERLINK("https://klasma.github.io/Logging_1785/kartor/A 10040-2020 karta.png", "A 10040-2020")</f>
        <v/>
      </c>
      <c r="V423">
        <f>HYPERLINK("https://klasma.github.io/Logging_1785/klagomål/A 10040-2020 FSC-klagomål.docx", "A 10040-2020")</f>
        <v/>
      </c>
      <c r="W423">
        <f>HYPERLINK("https://klasma.github.io/Logging_1785/klagomålsmail/A 10040-2020 FSC-klagomål mail.docx", "A 10040-2020")</f>
        <v/>
      </c>
      <c r="X423">
        <f>HYPERLINK("https://klasma.github.io/Logging_1785/tillsyn/A 10040-2020 tillsynsbegäran.docx", "A 10040-2020")</f>
        <v/>
      </c>
      <c r="Y423">
        <f>HYPERLINK("https://klasma.github.io/Logging_1785/tillsynsmail/A 10040-2020 tillsynsbegäran mail.docx", "A 10040-2020")</f>
        <v/>
      </c>
    </row>
    <row r="424" ht="15" customHeight="1">
      <c r="A424" t="inlineStr">
        <is>
          <t>A 9988-2020</t>
        </is>
      </c>
      <c r="B424" s="1" t="n">
        <v>43882</v>
      </c>
      <c r="C424" s="1" t="n">
        <v>45810</v>
      </c>
      <c r="D424" t="inlineStr">
        <is>
          <t>VÄRMLANDS LÄN</t>
        </is>
      </c>
      <c r="E424" t="inlineStr">
        <is>
          <t>SUNNE</t>
        </is>
      </c>
      <c r="G424" t="n">
        <v>4.9</v>
      </c>
      <c r="H424" t="n">
        <v>1</v>
      </c>
      <c r="I424" t="n">
        <v>0</v>
      </c>
      <c r="J424" t="n">
        <v>0</v>
      </c>
      <c r="K424" t="n">
        <v>0</v>
      </c>
      <c r="L424" t="n">
        <v>1</v>
      </c>
      <c r="M424" t="n">
        <v>0</v>
      </c>
      <c r="N424" t="n">
        <v>0</v>
      </c>
      <c r="O424" t="n">
        <v>1</v>
      </c>
      <c r="P424" t="n">
        <v>1</v>
      </c>
      <c r="Q424" t="n">
        <v>1</v>
      </c>
      <c r="R424" s="2" t="inlineStr">
        <is>
          <t>Storspov</t>
        </is>
      </c>
      <c r="S424">
        <f>HYPERLINK("https://klasma.github.io/Logging_1766/artfynd/A 9988-2020 artfynd.xlsx", "A 9988-2020")</f>
        <v/>
      </c>
      <c r="T424">
        <f>HYPERLINK("https://klasma.github.io/Logging_1766/kartor/A 9988-2020 karta.png", "A 9988-2020")</f>
        <v/>
      </c>
      <c r="V424">
        <f>HYPERLINK("https://klasma.github.io/Logging_1766/klagomål/A 9988-2020 FSC-klagomål.docx", "A 9988-2020")</f>
        <v/>
      </c>
      <c r="W424">
        <f>HYPERLINK("https://klasma.github.io/Logging_1766/klagomålsmail/A 9988-2020 FSC-klagomål mail.docx", "A 9988-2020")</f>
        <v/>
      </c>
      <c r="X424">
        <f>HYPERLINK("https://klasma.github.io/Logging_1766/tillsyn/A 9988-2020 tillsynsbegäran.docx", "A 9988-2020")</f>
        <v/>
      </c>
      <c r="Y424">
        <f>HYPERLINK("https://klasma.github.io/Logging_1766/tillsynsmail/A 9988-2020 tillsynsbegäran mail.docx", "A 9988-2020")</f>
        <v/>
      </c>
    </row>
    <row r="425" ht="15" customHeight="1">
      <c r="A425" t="inlineStr">
        <is>
          <t>A 10858-2020</t>
        </is>
      </c>
      <c r="B425" s="1" t="n">
        <v>43889</v>
      </c>
      <c r="C425" s="1" t="n">
        <v>45810</v>
      </c>
      <c r="D425" t="inlineStr">
        <is>
          <t>VÄRMLANDS LÄN</t>
        </is>
      </c>
      <c r="E425" t="inlineStr">
        <is>
          <t>ARVIKA</t>
        </is>
      </c>
      <c r="G425" t="n">
        <v>2.8</v>
      </c>
      <c r="H425" t="n">
        <v>0</v>
      </c>
      <c r="I425" t="n">
        <v>0</v>
      </c>
      <c r="J425" t="n">
        <v>1</v>
      </c>
      <c r="K425" t="n">
        <v>0</v>
      </c>
      <c r="L425" t="n">
        <v>0</v>
      </c>
      <c r="M425" t="n">
        <v>0</v>
      </c>
      <c r="N425" t="n">
        <v>0</v>
      </c>
      <c r="O425" t="n">
        <v>1</v>
      </c>
      <c r="P425" t="n">
        <v>0</v>
      </c>
      <c r="Q425" t="n">
        <v>1</v>
      </c>
      <c r="R425" s="2" t="inlineStr">
        <is>
          <t>Lunglav</t>
        </is>
      </c>
      <c r="S425">
        <f>HYPERLINK("https://klasma.github.io/Logging_1784/artfynd/A 10858-2020 artfynd.xlsx", "A 10858-2020")</f>
        <v/>
      </c>
      <c r="T425">
        <f>HYPERLINK("https://klasma.github.io/Logging_1784/kartor/A 10858-2020 karta.png", "A 10858-2020")</f>
        <v/>
      </c>
      <c r="V425">
        <f>HYPERLINK("https://klasma.github.io/Logging_1784/klagomål/A 10858-2020 FSC-klagomål.docx", "A 10858-2020")</f>
        <v/>
      </c>
      <c r="W425">
        <f>HYPERLINK("https://klasma.github.io/Logging_1784/klagomålsmail/A 10858-2020 FSC-klagomål mail.docx", "A 10858-2020")</f>
        <v/>
      </c>
      <c r="X425">
        <f>HYPERLINK("https://klasma.github.io/Logging_1784/tillsyn/A 10858-2020 tillsynsbegäran.docx", "A 10858-2020")</f>
        <v/>
      </c>
      <c r="Y425">
        <f>HYPERLINK("https://klasma.github.io/Logging_1784/tillsynsmail/A 10858-2020 tillsynsbegäran mail.docx", "A 10858-2020")</f>
        <v/>
      </c>
    </row>
    <row r="426" ht="15" customHeight="1">
      <c r="A426" t="inlineStr">
        <is>
          <t>A 13461-2020</t>
        </is>
      </c>
      <c r="B426" s="1" t="n">
        <v>43902</v>
      </c>
      <c r="C426" s="1" t="n">
        <v>45810</v>
      </c>
      <c r="D426" t="inlineStr">
        <is>
          <t>VÄRMLANDS LÄN</t>
        </is>
      </c>
      <c r="E426" t="inlineStr">
        <is>
          <t>ARVIKA</t>
        </is>
      </c>
      <c r="G426" t="n">
        <v>1.9</v>
      </c>
      <c r="H426" t="n">
        <v>1</v>
      </c>
      <c r="I426" t="n">
        <v>0</v>
      </c>
      <c r="J426" t="n">
        <v>0</v>
      </c>
      <c r="K426" t="n">
        <v>1</v>
      </c>
      <c r="L426" t="n">
        <v>0</v>
      </c>
      <c r="M426" t="n">
        <v>0</v>
      </c>
      <c r="N426" t="n">
        <v>0</v>
      </c>
      <c r="O426" t="n">
        <v>1</v>
      </c>
      <c r="P426" t="n">
        <v>1</v>
      </c>
      <c r="Q426" t="n">
        <v>1</v>
      </c>
      <c r="R426" s="2" t="inlineStr">
        <is>
          <t>Knärot</t>
        </is>
      </c>
      <c r="S426">
        <f>HYPERLINK("https://klasma.github.io/Logging_1784/artfynd/A 13461-2020 artfynd.xlsx", "A 13461-2020")</f>
        <v/>
      </c>
      <c r="T426">
        <f>HYPERLINK("https://klasma.github.io/Logging_1784/kartor/A 13461-2020 karta.png", "A 13461-2020")</f>
        <v/>
      </c>
      <c r="U426">
        <f>HYPERLINK("https://klasma.github.io/Logging_1784/knärot/A 13461-2020 karta knärot.png", "A 13461-2020")</f>
        <v/>
      </c>
      <c r="V426">
        <f>HYPERLINK("https://klasma.github.io/Logging_1784/klagomål/A 13461-2020 FSC-klagomål.docx", "A 13461-2020")</f>
        <v/>
      </c>
      <c r="W426">
        <f>HYPERLINK("https://klasma.github.io/Logging_1784/klagomålsmail/A 13461-2020 FSC-klagomål mail.docx", "A 13461-2020")</f>
        <v/>
      </c>
      <c r="X426">
        <f>HYPERLINK("https://klasma.github.io/Logging_1784/tillsyn/A 13461-2020 tillsynsbegäran.docx", "A 13461-2020")</f>
        <v/>
      </c>
      <c r="Y426">
        <f>HYPERLINK("https://klasma.github.io/Logging_1784/tillsynsmail/A 13461-2020 tillsynsbegäran mail.docx", "A 13461-2020")</f>
        <v/>
      </c>
    </row>
    <row r="427" ht="15" customHeight="1">
      <c r="A427" t="inlineStr">
        <is>
          <t>A 16031-2020</t>
        </is>
      </c>
      <c r="B427" s="1" t="n">
        <v>43915</v>
      </c>
      <c r="C427" s="1" t="n">
        <v>45810</v>
      </c>
      <c r="D427" t="inlineStr">
        <is>
          <t>VÄRMLANDS LÄN</t>
        </is>
      </c>
      <c r="E427" t="inlineStr">
        <is>
          <t>KRISTINEHAMN</t>
        </is>
      </c>
      <c r="G427" t="n">
        <v>9.199999999999999</v>
      </c>
      <c r="H427" t="n">
        <v>1</v>
      </c>
      <c r="I427" t="n">
        <v>0</v>
      </c>
      <c r="J427" t="n">
        <v>0</v>
      </c>
      <c r="K427" t="n">
        <v>1</v>
      </c>
      <c r="L427" t="n">
        <v>0</v>
      </c>
      <c r="M427" t="n">
        <v>0</v>
      </c>
      <c r="N427" t="n">
        <v>0</v>
      </c>
      <c r="O427" t="n">
        <v>1</v>
      </c>
      <c r="P427" t="n">
        <v>1</v>
      </c>
      <c r="Q427" t="n">
        <v>1</v>
      </c>
      <c r="R427" s="2" t="inlineStr">
        <is>
          <t>Bombmurkla</t>
        </is>
      </c>
      <c r="S427">
        <f>HYPERLINK("https://klasma.github.io/Logging_1781/artfynd/A 16031-2020 artfynd.xlsx", "A 16031-2020")</f>
        <v/>
      </c>
      <c r="T427">
        <f>HYPERLINK("https://klasma.github.io/Logging_1781/kartor/A 16031-2020 karta.png", "A 16031-2020")</f>
        <v/>
      </c>
      <c r="V427">
        <f>HYPERLINK("https://klasma.github.io/Logging_1781/klagomål/A 16031-2020 FSC-klagomål.docx", "A 16031-2020")</f>
        <v/>
      </c>
      <c r="W427">
        <f>HYPERLINK("https://klasma.github.io/Logging_1781/klagomålsmail/A 16031-2020 FSC-klagomål mail.docx", "A 16031-2020")</f>
        <v/>
      </c>
      <c r="X427">
        <f>HYPERLINK("https://klasma.github.io/Logging_1781/tillsyn/A 16031-2020 tillsynsbegäran.docx", "A 16031-2020")</f>
        <v/>
      </c>
      <c r="Y427">
        <f>HYPERLINK("https://klasma.github.io/Logging_1781/tillsynsmail/A 16031-2020 tillsynsbegäran mail.docx", "A 16031-2020")</f>
        <v/>
      </c>
    </row>
    <row r="428" ht="15" customHeight="1">
      <c r="A428" t="inlineStr">
        <is>
          <t>A 18075-2020</t>
        </is>
      </c>
      <c r="B428" s="1" t="n">
        <v>43927</v>
      </c>
      <c r="C428" s="1" t="n">
        <v>45810</v>
      </c>
      <c r="D428" t="inlineStr">
        <is>
          <t>VÄRMLANDS LÄN</t>
        </is>
      </c>
      <c r="E428" t="inlineStr">
        <is>
          <t>KARLSTAD</t>
        </is>
      </c>
      <c r="G428" t="n">
        <v>1.3</v>
      </c>
      <c r="H428" t="n">
        <v>0</v>
      </c>
      <c r="I428" t="n">
        <v>1</v>
      </c>
      <c r="J428" t="n">
        <v>0</v>
      </c>
      <c r="K428" t="n">
        <v>0</v>
      </c>
      <c r="L428" t="n">
        <v>0</v>
      </c>
      <c r="M428" t="n">
        <v>0</v>
      </c>
      <c r="N428" t="n">
        <v>0</v>
      </c>
      <c r="O428" t="n">
        <v>0</v>
      </c>
      <c r="P428" t="n">
        <v>0</v>
      </c>
      <c r="Q428" t="n">
        <v>1</v>
      </c>
      <c r="R428" s="2" t="inlineStr">
        <is>
          <t>Vedticka</t>
        </is>
      </c>
      <c r="S428">
        <f>HYPERLINK("https://klasma.github.io/Logging_1780/artfynd/A 18075-2020 artfynd.xlsx", "A 18075-2020")</f>
        <v/>
      </c>
      <c r="T428">
        <f>HYPERLINK("https://klasma.github.io/Logging_1780/kartor/A 18075-2020 karta.png", "A 18075-2020")</f>
        <v/>
      </c>
      <c r="V428">
        <f>HYPERLINK("https://klasma.github.io/Logging_1780/klagomål/A 18075-2020 FSC-klagomål.docx", "A 18075-2020")</f>
        <v/>
      </c>
      <c r="W428">
        <f>HYPERLINK("https://klasma.github.io/Logging_1780/klagomålsmail/A 18075-2020 FSC-klagomål mail.docx", "A 18075-2020")</f>
        <v/>
      </c>
      <c r="X428">
        <f>HYPERLINK("https://klasma.github.io/Logging_1780/tillsyn/A 18075-2020 tillsynsbegäran.docx", "A 18075-2020")</f>
        <v/>
      </c>
      <c r="Y428">
        <f>HYPERLINK("https://klasma.github.io/Logging_1780/tillsynsmail/A 18075-2020 tillsynsbegäran mail.docx", "A 18075-2020")</f>
        <v/>
      </c>
    </row>
    <row r="429" ht="15" customHeight="1">
      <c r="A429" t="inlineStr">
        <is>
          <t>A 22217-2020</t>
        </is>
      </c>
      <c r="B429" s="1" t="n">
        <v>43955</v>
      </c>
      <c r="C429" s="1" t="n">
        <v>45810</v>
      </c>
      <c r="D429" t="inlineStr">
        <is>
          <t>VÄRMLANDS LÄN</t>
        </is>
      </c>
      <c r="E429" t="inlineStr">
        <is>
          <t>KRISTINEHAMN</t>
        </is>
      </c>
      <c r="G429" t="n">
        <v>7.3</v>
      </c>
      <c r="H429" t="n">
        <v>0</v>
      </c>
      <c r="I429" t="n">
        <v>0</v>
      </c>
      <c r="J429" t="n">
        <v>1</v>
      </c>
      <c r="K429" t="n">
        <v>0</v>
      </c>
      <c r="L429" t="n">
        <v>0</v>
      </c>
      <c r="M429" t="n">
        <v>0</v>
      </c>
      <c r="N429" t="n">
        <v>0</v>
      </c>
      <c r="O429" t="n">
        <v>1</v>
      </c>
      <c r="P429" t="n">
        <v>0</v>
      </c>
      <c r="Q429" t="n">
        <v>1</v>
      </c>
      <c r="R429" s="2" t="inlineStr">
        <is>
          <t>Klofibbla</t>
        </is>
      </c>
      <c r="S429">
        <f>HYPERLINK("https://klasma.github.io/Logging_1781/artfynd/A 22217-2020 artfynd.xlsx", "A 22217-2020")</f>
        <v/>
      </c>
      <c r="T429">
        <f>HYPERLINK("https://klasma.github.io/Logging_1781/kartor/A 22217-2020 karta.png", "A 22217-2020")</f>
        <v/>
      </c>
      <c r="V429">
        <f>HYPERLINK("https://klasma.github.io/Logging_1781/klagomål/A 22217-2020 FSC-klagomål.docx", "A 22217-2020")</f>
        <v/>
      </c>
      <c r="W429">
        <f>HYPERLINK("https://klasma.github.io/Logging_1781/klagomålsmail/A 22217-2020 FSC-klagomål mail.docx", "A 22217-2020")</f>
        <v/>
      </c>
      <c r="X429">
        <f>HYPERLINK("https://klasma.github.io/Logging_1781/tillsyn/A 22217-2020 tillsynsbegäran.docx", "A 22217-2020")</f>
        <v/>
      </c>
      <c r="Y429">
        <f>HYPERLINK("https://klasma.github.io/Logging_1781/tillsynsmail/A 22217-2020 tillsynsbegäran mail.docx", "A 22217-2020")</f>
        <v/>
      </c>
    </row>
    <row r="430" ht="15" customHeight="1">
      <c r="A430" t="inlineStr">
        <is>
          <t>A 28368-2020</t>
        </is>
      </c>
      <c r="B430" s="1" t="n">
        <v>43998</v>
      </c>
      <c r="C430" s="1" t="n">
        <v>45810</v>
      </c>
      <c r="D430" t="inlineStr">
        <is>
          <t>VÄRMLANDS LÄN</t>
        </is>
      </c>
      <c r="E430" t="inlineStr">
        <is>
          <t>KARLSTAD</t>
        </is>
      </c>
      <c r="G430" t="n">
        <v>1.7</v>
      </c>
      <c r="H430" t="n">
        <v>0</v>
      </c>
      <c r="I430" t="n">
        <v>1</v>
      </c>
      <c r="J430" t="n">
        <v>0</v>
      </c>
      <c r="K430" t="n">
        <v>0</v>
      </c>
      <c r="L430" t="n">
        <v>0</v>
      </c>
      <c r="M430" t="n">
        <v>0</v>
      </c>
      <c r="N430" t="n">
        <v>0</v>
      </c>
      <c r="O430" t="n">
        <v>0</v>
      </c>
      <c r="P430" t="n">
        <v>0</v>
      </c>
      <c r="Q430" t="n">
        <v>1</v>
      </c>
      <c r="R430" s="2" t="inlineStr">
        <is>
          <t>Svart trolldruva</t>
        </is>
      </c>
      <c r="S430">
        <f>HYPERLINK("https://klasma.github.io/Logging_1780/artfynd/A 28368-2020 artfynd.xlsx", "A 28368-2020")</f>
        <v/>
      </c>
      <c r="T430">
        <f>HYPERLINK("https://klasma.github.io/Logging_1780/kartor/A 28368-2020 karta.png", "A 28368-2020")</f>
        <v/>
      </c>
      <c r="V430">
        <f>HYPERLINK("https://klasma.github.io/Logging_1780/klagomål/A 28368-2020 FSC-klagomål.docx", "A 28368-2020")</f>
        <v/>
      </c>
      <c r="W430">
        <f>HYPERLINK("https://klasma.github.io/Logging_1780/klagomålsmail/A 28368-2020 FSC-klagomål mail.docx", "A 28368-2020")</f>
        <v/>
      </c>
      <c r="X430">
        <f>HYPERLINK("https://klasma.github.io/Logging_1780/tillsyn/A 28368-2020 tillsynsbegäran.docx", "A 28368-2020")</f>
        <v/>
      </c>
      <c r="Y430">
        <f>HYPERLINK("https://klasma.github.io/Logging_1780/tillsynsmail/A 28368-2020 tillsynsbegäran mail.docx", "A 28368-2020")</f>
        <v/>
      </c>
    </row>
    <row r="431" ht="15" customHeight="1">
      <c r="A431" t="inlineStr">
        <is>
          <t>A 30729-2020</t>
        </is>
      </c>
      <c r="B431" s="1" t="n">
        <v>44008</v>
      </c>
      <c r="C431" s="1" t="n">
        <v>45810</v>
      </c>
      <c r="D431" t="inlineStr">
        <is>
          <t>VÄRMLANDS LÄN</t>
        </is>
      </c>
      <c r="E431" t="inlineStr">
        <is>
          <t>ARVIKA</t>
        </is>
      </c>
      <c r="G431" t="n">
        <v>4.2</v>
      </c>
      <c r="H431" t="n">
        <v>1</v>
      </c>
      <c r="I431" t="n">
        <v>0</v>
      </c>
      <c r="J431" t="n">
        <v>0</v>
      </c>
      <c r="K431" t="n">
        <v>1</v>
      </c>
      <c r="L431" t="n">
        <v>0</v>
      </c>
      <c r="M431" t="n">
        <v>0</v>
      </c>
      <c r="N431" t="n">
        <v>0</v>
      </c>
      <c r="O431" t="n">
        <v>1</v>
      </c>
      <c r="P431" t="n">
        <v>1</v>
      </c>
      <c r="Q431" t="n">
        <v>1</v>
      </c>
      <c r="R431" s="2" t="inlineStr">
        <is>
          <t>Knärot</t>
        </is>
      </c>
      <c r="S431">
        <f>HYPERLINK("https://klasma.github.io/Logging_1784/artfynd/A 30729-2020 artfynd.xlsx", "A 30729-2020")</f>
        <v/>
      </c>
      <c r="T431">
        <f>HYPERLINK("https://klasma.github.io/Logging_1784/kartor/A 30729-2020 karta.png", "A 30729-2020")</f>
        <v/>
      </c>
      <c r="U431">
        <f>HYPERLINK("https://klasma.github.io/Logging_1784/knärot/A 30729-2020 karta knärot.png", "A 30729-2020")</f>
        <v/>
      </c>
      <c r="V431">
        <f>HYPERLINK("https://klasma.github.io/Logging_1784/klagomål/A 30729-2020 FSC-klagomål.docx", "A 30729-2020")</f>
        <v/>
      </c>
      <c r="W431">
        <f>HYPERLINK("https://klasma.github.io/Logging_1784/klagomålsmail/A 30729-2020 FSC-klagomål mail.docx", "A 30729-2020")</f>
        <v/>
      </c>
      <c r="X431">
        <f>HYPERLINK("https://klasma.github.io/Logging_1784/tillsyn/A 30729-2020 tillsynsbegäran.docx", "A 30729-2020")</f>
        <v/>
      </c>
      <c r="Y431">
        <f>HYPERLINK("https://klasma.github.io/Logging_1784/tillsynsmail/A 30729-2020 tillsynsbegäran mail.docx", "A 30729-2020")</f>
        <v/>
      </c>
    </row>
    <row r="432" ht="15" customHeight="1">
      <c r="A432" t="inlineStr">
        <is>
          <t>A 34409-2020</t>
        </is>
      </c>
      <c r="B432" s="1" t="n">
        <v>44029</v>
      </c>
      <c r="C432" s="1" t="n">
        <v>45810</v>
      </c>
      <c r="D432" t="inlineStr">
        <is>
          <t>VÄRMLANDS LÄN</t>
        </is>
      </c>
      <c r="E432" t="inlineStr">
        <is>
          <t>STORFORS</t>
        </is>
      </c>
      <c r="G432" t="n">
        <v>1.2</v>
      </c>
      <c r="H432" t="n">
        <v>0</v>
      </c>
      <c r="I432" t="n">
        <v>1</v>
      </c>
      <c r="J432" t="n">
        <v>0</v>
      </c>
      <c r="K432" t="n">
        <v>0</v>
      </c>
      <c r="L432" t="n">
        <v>0</v>
      </c>
      <c r="M432" t="n">
        <v>0</v>
      </c>
      <c r="N432" t="n">
        <v>0</v>
      </c>
      <c r="O432" t="n">
        <v>0</v>
      </c>
      <c r="P432" t="n">
        <v>0</v>
      </c>
      <c r="Q432" t="n">
        <v>1</v>
      </c>
      <c r="R432" s="2" t="inlineStr">
        <is>
          <t>Korallblylav</t>
        </is>
      </c>
      <c r="S432">
        <f>HYPERLINK("https://klasma.github.io/Logging_1760/artfynd/A 34409-2020 artfynd.xlsx", "A 34409-2020")</f>
        <v/>
      </c>
      <c r="T432">
        <f>HYPERLINK("https://klasma.github.io/Logging_1760/kartor/A 34409-2020 karta.png", "A 34409-2020")</f>
        <v/>
      </c>
      <c r="V432">
        <f>HYPERLINK("https://klasma.github.io/Logging_1760/klagomål/A 34409-2020 FSC-klagomål.docx", "A 34409-2020")</f>
        <v/>
      </c>
      <c r="W432">
        <f>HYPERLINK("https://klasma.github.io/Logging_1760/klagomålsmail/A 34409-2020 FSC-klagomål mail.docx", "A 34409-2020")</f>
        <v/>
      </c>
      <c r="X432">
        <f>HYPERLINK("https://klasma.github.io/Logging_1760/tillsyn/A 34409-2020 tillsynsbegäran.docx", "A 34409-2020")</f>
        <v/>
      </c>
      <c r="Y432">
        <f>HYPERLINK("https://klasma.github.io/Logging_1760/tillsynsmail/A 34409-2020 tillsynsbegäran mail.docx", "A 34409-2020")</f>
        <v/>
      </c>
    </row>
    <row r="433" ht="15" customHeight="1">
      <c r="A433" t="inlineStr">
        <is>
          <t>A 34769-2020</t>
        </is>
      </c>
      <c r="B433" s="1" t="n">
        <v>44035</v>
      </c>
      <c r="C433" s="1" t="n">
        <v>45810</v>
      </c>
      <c r="D433" t="inlineStr">
        <is>
          <t>VÄRMLANDS LÄN</t>
        </is>
      </c>
      <c r="E433" t="inlineStr">
        <is>
          <t>ARVIKA</t>
        </is>
      </c>
      <c r="G433" t="n">
        <v>1.1</v>
      </c>
      <c r="H433" t="n">
        <v>1</v>
      </c>
      <c r="I433" t="n">
        <v>0</v>
      </c>
      <c r="J433" t="n">
        <v>0</v>
      </c>
      <c r="K433" t="n">
        <v>1</v>
      </c>
      <c r="L433" t="n">
        <v>0</v>
      </c>
      <c r="M433" t="n">
        <v>0</v>
      </c>
      <c r="N433" t="n">
        <v>0</v>
      </c>
      <c r="O433" t="n">
        <v>1</v>
      </c>
      <c r="P433" t="n">
        <v>1</v>
      </c>
      <c r="Q433" t="n">
        <v>1</v>
      </c>
      <c r="R433" s="2" t="inlineStr">
        <is>
          <t>Knärot</t>
        </is>
      </c>
      <c r="S433">
        <f>HYPERLINK("https://klasma.github.io/Logging_1784/artfynd/A 34769-2020 artfynd.xlsx", "A 34769-2020")</f>
        <v/>
      </c>
      <c r="T433">
        <f>HYPERLINK("https://klasma.github.io/Logging_1784/kartor/A 34769-2020 karta.png", "A 34769-2020")</f>
        <v/>
      </c>
      <c r="U433">
        <f>HYPERLINK("https://klasma.github.io/Logging_1784/knärot/A 34769-2020 karta knärot.png", "A 34769-2020")</f>
        <v/>
      </c>
      <c r="V433">
        <f>HYPERLINK("https://klasma.github.io/Logging_1784/klagomål/A 34769-2020 FSC-klagomål.docx", "A 34769-2020")</f>
        <v/>
      </c>
      <c r="W433">
        <f>HYPERLINK("https://klasma.github.io/Logging_1784/klagomålsmail/A 34769-2020 FSC-klagomål mail.docx", "A 34769-2020")</f>
        <v/>
      </c>
      <c r="X433">
        <f>HYPERLINK("https://klasma.github.io/Logging_1784/tillsyn/A 34769-2020 tillsynsbegäran.docx", "A 34769-2020")</f>
        <v/>
      </c>
      <c r="Y433">
        <f>HYPERLINK("https://klasma.github.io/Logging_1784/tillsynsmail/A 34769-2020 tillsynsbegäran mail.docx", "A 34769-2020")</f>
        <v/>
      </c>
    </row>
    <row r="434" ht="15" customHeight="1">
      <c r="A434" t="inlineStr">
        <is>
          <t>A 35546-2020</t>
        </is>
      </c>
      <c r="B434" s="1" t="n">
        <v>44043</v>
      </c>
      <c r="C434" s="1" t="n">
        <v>45810</v>
      </c>
      <c r="D434" t="inlineStr">
        <is>
          <t>VÄRMLANDS LÄN</t>
        </is>
      </c>
      <c r="E434" t="inlineStr">
        <is>
          <t>SÄFFLE</t>
        </is>
      </c>
      <c r="G434" t="n">
        <v>10</v>
      </c>
      <c r="H434" t="n">
        <v>0</v>
      </c>
      <c r="I434" t="n">
        <v>0</v>
      </c>
      <c r="J434" t="n">
        <v>0</v>
      </c>
      <c r="K434" t="n">
        <v>0</v>
      </c>
      <c r="L434" t="n">
        <v>1</v>
      </c>
      <c r="M434" t="n">
        <v>0</v>
      </c>
      <c r="N434" t="n">
        <v>0</v>
      </c>
      <c r="O434" t="n">
        <v>1</v>
      </c>
      <c r="P434" t="n">
        <v>1</v>
      </c>
      <c r="Q434" t="n">
        <v>1</v>
      </c>
      <c r="R434" s="2" t="inlineStr">
        <is>
          <t>Ask</t>
        </is>
      </c>
      <c r="S434">
        <f>HYPERLINK("https://klasma.github.io/Logging_1785/artfynd/A 35546-2020 artfynd.xlsx", "A 35546-2020")</f>
        <v/>
      </c>
      <c r="T434">
        <f>HYPERLINK("https://klasma.github.io/Logging_1785/kartor/A 35546-2020 karta.png", "A 35546-2020")</f>
        <v/>
      </c>
      <c r="V434">
        <f>HYPERLINK("https://klasma.github.io/Logging_1785/klagomål/A 35546-2020 FSC-klagomål.docx", "A 35546-2020")</f>
        <v/>
      </c>
      <c r="W434">
        <f>HYPERLINK("https://klasma.github.io/Logging_1785/klagomålsmail/A 35546-2020 FSC-klagomål mail.docx", "A 35546-2020")</f>
        <v/>
      </c>
      <c r="X434">
        <f>HYPERLINK("https://klasma.github.io/Logging_1785/tillsyn/A 35546-2020 tillsynsbegäran.docx", "A 35546-2020")</f>
        <v/>
      </c>
      <c r="Y434">
        <f>HYPERLINK("https://klasma.github.io/Logging_1785/tillsynsmail/A 35546-2020 tillsynsbegäran mail.docx", "A 35546-2020")</f>
        <v/>
      </c>
    </row>
    <row r="435" ht="15" customHeight="1">
      <c r="A435" t="inlineStr">
        <is>
          <t>A 36585-2020</t>
        </is>
      </c>
      <c r="B435" s="1" t="n">
        <v>44050</v>
      </c>
      <c r="C435" s="1" t="n">
        <v>45810</v>
      </c>
      <c r="D435" t="inlineStr">
        <is>
          <t>VÄRMLANDS LÄN</t>
        </is>
      </c>
      <c r="E435" t="inlineStr">
        <is>
          <t>ÅRJÄNG</t>
        </is>
      </c>
      <c r="G435" t="n">
        <v>2</v>
      </c>
      <c r="H435" t="n">
        <v>0</v>
      </c>
      <c r="I435" t="n">
        <v>0</v>
      </c>
      <c r="J435" t="n">
        <v>1</v>
      </c>
      <c r="K435" t="n">
        <v>0</v>
      </c>
      <c r="L435" t="n">
        <v>0</v>
      </c>
      <c r="M435" t="n">
        <v>0</v>
      </c>
      <c r="N435" t="n">
        <v>0</v>
      </c>
      <c r="O435" t="n">
        <v>1</v>
      </c>
      <c r="P435" t="n">
        <v>0</v>
      </c>
      <c r="Q435" t="n">
        <v>1</v>
      </c>
      <c r="R435" s="2" t="inlineStr">
        <is>
          <t>Garnlav</t>
        </is>
      </c>
      <c r="S435">
        <f>HYPERLINK("https://klasma.github.io/Logging_1765/artfynd/A 36585-2020 artfynd.xlsx", "A 36585-2020")</f>
        <v/>
      </c>
      <c r="T435">
        <f>HYPERLINK("https://klasma.github.io/Logging_1765/kartor/A 36585-2020 karta.png", "A 36585-2020")</f>
        <v/>
      </c>
      <c r="V435">
        <f>HYPERLINK("https://klasma.github.io/Logging_1765/klagomål/A 36585-2020 FSC-klagomål.docx", "A 36585-2020")</f>
        <v/>
      </c>
      <c r="W435">
        <f>HYPERLINK("https://klasma.github.io/Logging_1765/klagomålsmail/A 36585-2020 FSC-klagomål mail.docx", "A 36585-2020")</f>
        <v/>
      </c>
      <c r="X435">
        <f>HYPERLINK("https://klasma.github.io/Logging_1765/tillsyn/A 36585-2020 tillsynsbegäran.docx", "A 36585-2020")</f>
        <v/>
      </c>
      <c r="Y435">
        <f>HYPERLINK("https://klasma.github.io/Logging_1765/tillsynsmail/A 36585-2020 tillsynsbegäran mail.docx", "A 36585-2020")</f>
        <v/>
      </c>
    </row>
    <row r="436" ht="15" customHeight="1">
      <c r="A436" t="inlineStr">
        <is>
          <t>A 36688-2020</t>
        </is>
      </c>
      <c r="B436" s="1" t="n">
        <v>44052</v>
      </c>
      <c r="C436" s="1" t="n">
        <v>45810</v>
      </c>
      <c r="D436" t="inlineStr">
        <is>
          <t>VÄRMLANDS LÄN</t>
        </is>
      </c>
      <c r="E436" t="inlineStr">
        <is>
          <t>ARVIKA</t>
        </is>
      </c>
      <c r="G436" t="n">
        <v>6.5</v>
      </c>
      <c r="H436" t="n">
        <v>1</v>
      </c>
      <c r="I436" t="n">
        <v>0</v>
      </c>
      <c r="J436" t="n">
        <v>0</v>
      </c>
      <c r="K436" t="n">
        <v>1</v>
      </c>
      <c r="L436" t="n">
        <v>0</v>
      </c>
      <c r="M436" t="n">
        <v>0</v>
      </c>
      <c r="N436" t="n">
        <v>0</v>
      </c>
      <c r="O436" t="n">
        <v>1</v>
      </c>
      <c r="P436" t="n">
        <v>1</v>
      </c>
      <c r="Q436" t="n">
        <v>1</v>
      </c>
      <c r="R436" s="2" t="inlineStr">
        <is>
          <t>Knärot</t>
        </is>
      </c>
      <c r="S436">
        <f>HYPERLINK("https://klasma.github.io/Logging_1784/artfynd/A 36688-2020 artfynd.xlsx", "A 36688-2020")</f>
        <v/>
      </c>
      <c r="T436">
        <f>HYPERLINK("https://klasma.github.io/Logging_1784/kartor/A 36688-2020 karta.png", "A 36688-2020")</f>
        <v/>
      </c>
      <c r="U436">
        <f>HYPERLINK("https://klasma.github.io/Logging_1784/knärot/A 36688-2020 karta knärot.png", "A 36688-2020")</f>
        <v/>
      </c>
      <c r="V436">
        <f>HYPERLINK("https://klasma.github.io/Logging_1784/klagomål/A 36688-2020 FSC-klagomål.docx", "A 36688-2020")</f>
        <v/>
      </c>
      <c r="W436">
        <f>HYPERLINK("https://klasma.github.io/Logging_1784/klagomålsmail/A 36688-2020 FSC-klagomål mail.docx", "A 36688-2020")</f>
        <v/>
      </c>
      <c r="X436">
        <f>HYPERLINK("https://klasma.github.io/Logging_1784/tillsyn/A 36688-2020 tillsynsbegäran.docx", "A 36688-2020")</f>
        <v/>
      </c>
      <c r="Y436">
        <f>HYPERLINK("https://klasma.github.io/Logging_1784/tillsynsmail/A 36688-2020 tillsynsbegäran mail.docx", "A 36688-2020")</f>
        <v/>
      </c>
    </row>
    <row r="437" ht="15" customHeight="1">
      <c r="A437" t="inlineStr">
        <is>
          <t>A 37035-2020</t>
        </is>
      </c>
      <c r="B437" s="1" t="n">
        <v>44054</v>
      </c>
      <c r="C437" s="1" t="n">
        <v>45810</v>
      </c>
      <c r="D437" t="inlineStr">
        <is>
          <t>VÄRMLANDS LÄN</t>
        </is>
      </c>
      <c r="E437" t="inlineStr">
        <is>
          <t>TORSBY</t>
        </is>
      </c>
      <c r="G437" t="n">
        <v>2.7</v>
      </c>
      <c r="H437" t="n">
        <v>0</v>
      </c>
      <c r="I437" t="n">
        <v>0</v>
      </c>
      <c r="J437" t="n">
        <v>0</v>
      </c>
      <c r="K437" t="n">
        <v>1</v>
      </c>
      <c r="L437" t="n">
        <v>0</v>
      </c>
      <c r="M437" t="n">
        <v>0</v>
      </c>
      <c r="N437" t="n">
        <v>0</v>
      </c>
      <c r="O437" t="n">
        <v>1</v>
      </c>
      <c r="P437" t="n">
        <v>1</v>
      </c>
      <c r="Q437" t="n">
        <v>1</v>
      </c>
      <c r="R437" s="2" t="inlineStr">
        <is>
          <t>Raggbock</t>
        </is>
      </c>
      <c r="S437">
        <f>HYPERLINK("https://klasma.github.io/Logging_1737/artfynd/A 37035-2020 artfynd.xlsx", "A 37035-2020")</f>
        <v/>
      </c>
      <c r="T437">
        <f>HYPERLINK("https://klasma.github.io/Logging_1737/kartor/A 37035-2020 karta.png", "A 37035-2020")</f>
        <v/>
      </c>
      <c r="V437">
        <f>HYPERLINK("https://klasma.github.io/Logging_1737/klagomål/A 37035-2020 FSC-klagomål.docx", "A 37035-2020")</f>
        <v/>
      </c>
      <c r="W437">
        <f>HYPERLINK("https://klasma.github.io/Logging_1737/klagomålsmail/A 37035-2020 FSC-klagomål mail.docx", "A 37035-2020")</f>
        <v/>
      </c>
      <c r="X437">
        <f>HYPERLINK("https://klasma.github.io/Logging_1737/tillsyn/A 37035-2020 tillsynsbegäran.docx", "A 37035-2020")</f>
        <v/>
      </c>
      <c r="Y437">
        <f>HYPERLINK("https://klasma.github.io/Logging_1737/tillsynsmail/A 37035-2020 tillsynsbegäran mail.docx", "A 37035-2020")</f>
        <v/>
      </c>
    </row>
    <row r="438" ht="15" customHeight="1">
      <c r="A438" t="inlineStr">
        <is>
          <t>A 38701-2020</t>
        </is>
      </c>
      <c r="B438" s="1" t="n">
        <v>44061</v>
      </c>
      <c r="C438" s="1" t="n">
        <v>45810</v>
      </c>
      <c r="D438" t="inlineStr">
        <is>
          <t>VÄRMLANDS LÄN</t>
        </is>
      </c>
      <c r="E438" t="inlineStr">
        <is>
          <t>ÅRJÄNG</t>
        </is>
      </c>
      <c r="G438" t="n">
        <v>2.9</v>
      </c>
      <c r="H438" t="n">
        <v>1</v>
      </c>
      <c r="I438" t="n">
        <v>0</v>
      </c>
      <c r="J438" t="n">
        <v>1</v>
      </c>
      <c r="K438" t="n">
        <v>0</v>
      </c>
      <c r="L438" t="n">
        <v>0</v>
      </c>
      <c r="M438" t="n">
        <v>0</v>
      </c>
      <c r="N438" t="n">
        <v>0</v>
      </c>
      <c r="O438" t="n">
        <v>1</v>
      </c>
      <c r="P438" t="n">
        <v>0</v>
      </c>
      <c r="Q438" t="n">
        <v>1</v>
      </c>
      <c r="R438" s="2" t="inlineStr">
        <is>
          <t>Spillkråka</t>
        </is>
      </c>
      <c r="S438">
        <f>HYPERLINK("https://klasma.github.io/Logging_1765/artfynd/A 38701-2020 artfynd.xlsx", "A 38701-2020")</f>
        <v/>
      </c>
      <c r="T438">
        <f>HYPERLINK("https://klasma.github.io/Logging_1765/kartor/A 38701-2020 karta.png", "A 38701-2020")</f>
        <v/>
      </c>
      <c r="V438">
        <f>HYPERLINK("https://klasma.github.io/Logging_1765/klagomål/A 38701-2020 FSC-klagomål.docx", "A 38701-2020")</f>
        <v/>
      </c>
      <c r="W438">
        <f>HYPERLINK("https://klasma.github.io/Logging_1765/klagomålsmail/A 38701-2020 FSC-klagomål mail.docx", "A 38701-2020")</f>
        <v/>
      </c>
      <c r="X438">
        <f>HYPERLINK("https://klasma.github.io/Logging_1765/tillsyn/A 38701-2020 tillsynsbegäran.docx", "A 38701-2020")</f>
        <v/>
      </c>
      <c r="Y438">
        <f>HYPERLINK("https://klasma.github.io/Logging_1765/tillsynsmail/A 38701-2020 tillsynsbegäran mail.docx", "A 38701-2020")</f>
        <v/>
      </c>
      <c r="Z438">
        <f>HYPERLINK("https://klasma.github.io/Logging_1765/fåglar/A 38701-2020 prioriterade fågelarter.docx", "A 38701-2020")</f>
        <v/>
      </c>
    </row>
    <row r="439" ht="15" customHeight="1">
      <c r="A439" t="inlineStr">
        <is>
          <t>A 42542-2020</t>
        </is>
      </c>
      <c r="B439" s="1" t="n">
        <v>44077</v>
      </c>
      <c r="C439" s="1" t="n">
        <v>45810</v>
      </c>
      <c r="D439" t="inlineStr">
        <is>
          <t>VÄRMLANDS LÄN</t>
        </is>
      </c>
      <c r="E439" t="inlineStr">
        <is>
          <t>FILIPSTAD</t>
        </is>
      </c>
      <c r="F439" t="inlineStr">
        <is>
          <t>Bergvik skog väst AB</t>
        </is>
      </c>
      <c r="G439" t="n">
        <v>1.3</v>
      </c>
      <c r="H439" t="n">
        <v>0</v>
      </c>
      <c r="I439" t="n">
        <v>0</v>
      </c>
      <c r="J439" t="n">
        <v>1</v>
      </c>
      <c r="K439" t="n">
        <v>0</v>
      </c>
      <c r="L439" t="n">
        <v>0</v>
      </c>
      <c r="M439" t="n">
        <v>0</v>
      </c>
      <c r="N439" t="n">
        <v>0</v>
      </c>
      <c r="O439" t="n">
        <v>1</v>
      </c>
      <c r="P439" t="n">
        <v>0</v>
      </c>
      <c r="Q439" t="n">
        <v>1</v>
      </c>
      <c r="R439" s="2" t="inlineStr">
        <is>
          <t>Brunpudrad nållav</t>
        </is>
      </c>
      <c r="S439">
        <f>HYPERLINK("https://klasma.github.io/Logging_1782/artfynd/A 42542-2020 artfynd.xlsx", "A 42542-2020")</f>
        <v/>
      </c>
      <c r="T439">
        <f>HYPERLINK("https://klasma.github.io/Logging_1782/kartor/A 42542-2020 karta.png", "A 42542-2020")</f>
        <v/>
      </c>
      <c r="V439">
        <f>HYPERLINK("https://klasma.github.io/Logging_1782/klagomål/A 42542-2020 FSC-klagomål.docx", "A 42542-2020")</f>
        <v/>
      </c>
      <c r="W439">
        <f>HYPERLINK("https://klasma.github.io/Logging_1782/klagomålsmail/A 42542-2020 FSC-klagomål mail.docx", "A 42542-2020")</f>
        <v/>
      </c>
      <c r="X439">
        <f>HYPERLINK("https://klasma.github.io/Logging_1782/tillsyn/A 42542-2020 tillsynsbegäran.docx", "A 42542-2020")</f>
        <v/>
      </c>
      <c r="Y439">
        <f>HYPERLINK("https://klasma.github.io/Logging_1782/tillsynsmail/A 42542-2020 tillsynsbegäran mail.docx", "A 42542-2020")</f>
        <v/>
      </c>
    </row>
    <row r="440" ht="15" customHeight="1">
      <c r="A440" t="inlineStr">
        <is>
          <t>A 47721-2020</t>
        </is>
      </c>
      <c r="B440" s="1" t="n">
        <v>44096</v>
      </c>
      <c r="C440" s="1" t="n">
        <v>45810</v>
      </c>
      <c r="D440" t="inlineStr">
        <is>
          <t>VÄRMLANDS LÄN</t>
        </is>
      </c>
      <c r="E440" t="inlineStr">
        <is>
          <t>HAGFORS</t>
        </is>
      </c>
      <c r="F440" t="inlineStr">
        <is>
          <t>Kyrkan</t>
        </is>
      </c>
      <c r="G440" t="n">
        <v>1.9</v>
      </c>
      <c r="H440" t="n">
        <v>0</v>
      </c>
      <c r="I440" t="n">
        <v>0</v>
      </c>
      <c r="J440" t="n">
        <v>1</v>
      </c>
      <c r="K440" t="n">
        <v>0</v>
      </c>
      <c r="L440" t="n">
        <v>0</v>
      </c>
      <c r="M440" t="n">
        <v>0</v>
      </c>
      <c r="N440" t="n">
        <v>0</v>
      </c>
      <c r="O440" t="n">
        <v>1</v>
      </c>
      <c r="P440" t="n">
        <v>0</v>
      </c>
      <c r="Q440" t="n">
        <v>1</v>
      </c>
      <c r="R440" s="2" t="inlineStr">
        <is>
          <t>Garnlav</t>
        </is>
      </c>
      <c r="S440">
        <f>HYPERLINK("https://klasma.github.io/Logging_1783/artfynd/A 47721-2020 artfynd.xlsx", "A 47721-2020")</f>
        <v/>
      </c>
      <c r="T440">
        <f>HYPERLINK("https://klasma.github.io/Logging_1783/kartor/A 47721-2020 karta.png", "A 47721-2020")</f>
        <v/>
      </c>
      <c r="V440">
        <f>HYPERLINK("https://klasma.github.io/Logging_1783/klagomål/A 47721-2020 FSC-klagomål.docx", "A 47721-2020")</f>
        <v/>
      </c>
      <c r="W440">
        <f>HYPERLINK("https://klasma.github.io/Logging_1783/klagomålsmail/A 47721-2020 FSC-klagomål mail.docx", "A 47721-2020")</f>
        <v/>
      </c>
      <c r="X440">
        <f>HYPERLINK("https://klasma.github.io/Logging_1783/tillsyn/A 47721-2020 tillsynsbegäran.docx", "A 47721-2020")</f>
        <v/>
      </c>
      <c r="Y440">
        <f>HYPERLINK("https://klasma.github.io/Logging_1783/tillsynsmail/A 47721-2020 tillsynsbegäran mail.docx", "A 47721-2020")</f>
        <v/>
      </c>
    </row>
    <row r="441" ht="15" customHeight="1">
      <c r="A441" t="inlineStr">
        <is>
          <t>A 49591-2020</t>
        </is>
      </c>
      <c r="B441" s="1" t="n">
        <v>44105</v>
      </c>
      <c r="C441" s="1" t="n">
        <v>45810</v>
      </c>
      <c r="D441" t="inlineStr">
        <is>
          <t>VÄRMLANDS LÄN</t>
        </is>
      </c>
      <c r="E441" t="inlineStr">
        <is>
          <t>KRISTINEHAMN</t>
        </is>
      </c>
      <c r="G441" t="n">
        <v>2.2</v>
      </c>
      <c r="H441" t="n">
        <v>0</v>
      </c>
      <c r="I441" t="n">
        <v>1</v>
      </c>
      <c r="J441" t="n">
        <v>0</v>
      </c>
      <c r="K441" t="n">
        <v>0</v>
      </c>
      <c r="L441" t="n">
        <v>0</v>
      </c>
      <c r="M441" t="n">
        <v>0</v>
      </c>
      <c r="N441" t="n">
        <v>0</v>
      </c>
      <c r="O441" t="n">
        <v>0</v>
      </c>
      <c r="P441" t="n">
        <v>0</v>
      </c>
      <c r="Q441" t="n">
        <v>1</v>
      </c>
      <c r="R441" s="2" t="inlineStr">
        <is>
          <t>Svart trolldruva</t>
        </is>
      </c>
      <c r="S441">
        <f>HYPERLINK("https://klasma.github.io/Logging_1781/artfynd/A 49591-2020 artfynd.xlsx", "A 49591-2020")</f>
        <v/>
      </c>
      <c r="T441">
        <f>HYPERLINK("https://klasma.github.io/Logging_1781/kartor/A 49591-2020 karta.png", "A 49591-2020")</f>
        <v/>
      </c>
      <c r="V441">
        <f>HYPERLINK("https://klasma.github.io/Logging_1781/klagomål/A 49591-2020 FSC-klagomål.docx", "A 49591-2020")</f>
        <v/>
      </c>
      <c r="W441">
        <f>HYPERLINK("https://klasma.github.io/Logging_1781/klagomålsmail/A 49591-2020 FSC-klagomål mail.docx", "A 49591-2020")</f>
        <v/>
      </c>
      <c r="X441">
        <f>HYPERLINK("https://klasma.github.io/Logging_1781/tillsyn/A 49591-2020 tillsynsbegäran.docx", "A 49591-2020")</f>
        <v/>
      </c>
      <c r="Y441">
        <f>HYPERLINK("https://klasma.github.io/Logging_1781/tillsynsmail/A 49591-2020 tillsynsbegäran mail.docx", "A 49591-2020")</f>
        <v/>
      </c>
    </row>
    <row r="442" ht="15" customHeight="1">
      <c r="A442" t="inlineStr">
        <is>
          <t>A 50854-2020</t>
        </is>
      </c>
      <c r="B442" s="1" t="n">
        <v>44105</v>
      </c>
      <c r="C442" s="1" t="n">
        <v>45810</v>
      </c>
      <c r="D442" t="inlineStr">
        <is>
          <t>VÄRMLANDS LÄN</t>
        </is>
      </c>
      <c r="E442" t="inlineStr">
        <is>
          <t>TORSBY</t>
        </is>
      </c>
      <c r="G442" t="n">
        <v>6.5</v>
      </c>
      <c r="H442" t="n">
        <v>1</v>
      </c>
      <c r="I442" t="n">
        <v>0</v>
      </c>
      <c r="J442" t="n">
        <v>0</v>
      </c>
      <c r="K442" t="n">
        <v>1</v>
      </c>
      <c r="L442" t="n">
        <v>0</v>
      </c>
      <c r="M442" t="n">
        <v>0</v>
      </c>
      <c r="N442" t="n">
        <v>0</v>
      </c>
      <c r="O442" t="n">
        <v>1</v>
      </c>
      <c r="P442" t="n">
        <v>1</v>
      </c>
      <c r="Q442" t="n">
        <v>1</v>
      </c>
      <c r="R442" s="2" t="inlineStr">
        <is>
          <t>Knärot</t>
        </is>
      </c>
      <c r="S442">
        <f>HYPERLINK("https://klasma.github.io/Logging_1737/artfynd/A 50854-2020 artfynd.xlsx", "A 50854-2020")</f>
        <v/>
      </c>
      <c r="T442">
        <f>HYPERLINK("https://klasma.github.io/Logging_1737/kartor/A 50854-2020 karta.png", "A 50854-2020")</f>
        <v/>
      </c>
      <c r="U442">
        <f>HYPERLINK("https://klasma.github.io/Logging_1737/knärot/A 50854-2020 karta knärot.png", "A 50854-2020")</f>
        <v/>
      </c>
      <c r="V442">
        <f>HYPERLINK("https://klasma.github.io/Logging_1737/klagomål/A 50854-2020 FSC-klagomål.docx", "A 50854-2020")</f>
        <v/>
      </c>
      <c r="W442">
        <f>HYPERLINK("https://klasma.github.io/Logging_1737/klagomålsmail/A 50854-2020 FSC-klagomål mail.docx", "A 50854-2020")</f>
        <v/>
      </c>
      <c r="X442">
        <f>HYPERLINK("https://klasma.github.io/Logging_1737/tillsyn/A 50854-2020 tillsynsbegäran.docx", "A 50854-2020")</f>
        <v/>
      </c>
      <c r="Y442">
        <f>HYPERLINK("https://klasma.github.io/Logging_1737/tillsynsmail/A 50854-2020 tillsynsbegäran mail.docx", "A 50854-2020")</f>
        <v/>
      </c>
    </row>
    <row r="443" ht="15" customHeight="1">
      <c r="A443" t="inlineStr">
        <is>
          <t>A 50089-2020</t>
        </is>
      </c>
      <c r="B443" s="1" t="n">
        <v>44109</v>
      </c>
      <c r="C443" s="1" t="n">
        <v>45810</v>
      </c>
      <c r="D443" t="inlineStr">
        <is>
          <t>VÄRMLANDS LÄN</t>
        </is>
      </c>
      <c r="E443" t="inlineStr">
        <is>
          <t>TORSBY</t>
        </is>
      </c>
      <c r="G443" t="n">
        <v>0.9</v>
      </c>
      <c r="H443" t="n">
        <v>1</v>
      </c>
      <c r="I443" t="n">
        <v>0</v>
      </c>
      <c r="J443" t="n">
        <v>1</v>
      </c>
      <c r="K443" t="n">
        <v>0</v>
      </c>
      <c r="L443" t="n">
        <v>0</v>
      </c>
      <c r="M443" t="n">
        <v>0</v>
      </c>
      <c r="N443" t="n">
        <v>0</v>
      </c>
      <c r="O443" t="n">
        <v>1</v>
      </c>
      <c r="P443" t="n">
        <v>0</v>
      </c>
      <c r="Q443" t="n">
        <v>1</v>
      </c>
      <c r="R443" s="2" t="inlineStr">
        <is>
          <t>Spillkråka</t>
        </is>
      </c>
      <c r="S443">
        <f>HYPERLINK("https://klasma.github.io/Logging_1737/artfynd/A 50089-2020 artfynd.xlsx", "A 50089-2020")</f>
        <v/>
      </c>
      <c r="T443">
        <f>HYPERLINK("https://klasma.github.io/Logging_1737/kartor/A 50089-2020 karta.png", "A 50089-2020")</f>
        <v/>
      </c>
      <c r="V443">
        <f>HYPERLINK("https://klasma.github.io/Logging_1737/klagomål/A 50089-2020 FSC-klagomål.docx", "A 50089-2020")</f>
        <v/>
      </c>
      <c r="W443">
        <f>HYPERLINK("https://klasma.github.io/Logging_1737/klagomålsmail/A 50089-2020 FSC-klagomål mail.docx", "A 50089-2020")</f>
        <v/>
      </c>
      <c r="X443">
        <f>HYPERLINK("https://klasma.github.io/Logging_1737/tillsyn/A 50089-2020 tillsynsbegäran.docx", "A 50089-2020")</f>
        <v/>
      </c>
      <c r="Y443">
        <f>HYPERLINK("https://klasma.github.io/Logging_1737/tillsynsmail/A 50089-2020 tillsynsbegäran mail.docx", "A 50089-2020")</f>
        <v/>
      </c>
      <c r="Z443">
        <f>HYPERLINK("https://klasma.github.io/Logging_1737/fåglar/A 50089-2020 prioriterade fågelarter.docx", "A 50089-2020")</f>
        <v/>
      </c>
    </row>
    <row r="444" ht="15" customHeight="1">
      <c r="A444" t="inlineStr">
        <is>
          <t>A 53491-2020</t>
        </is>
      </c>
      <c r="B444" s="1" t="n">
        <v>44123</v>
      </c>
      <c r="C444" s="1" t="n">
        <v>45810</v>
      </c>
      <c r="D444" t="inlineStr">
        <is>
          <t>VÄRMLANDS LÄN</t>
        </is>
      </c>
      <c r="E444" t="inlineStr">
        <is>
          <t>TORSBY</t>
        </is>
      </c>
      <c r="G444" t="n">
        <v>1.5</v>
      </c>
      <c r="H444" t="n">
        <v>0</v>
      </c>
      <c r="I444" t="n">
        <v>0</v>
      </c>
      <c r="J444" t="n">
        <v>1</v>
      </c>
      <c r="K444" t="n">
        <v>0</v>
      </c>
      <c r="L444" t="n">
        <v>0</v>
      </c>
      <c r="M444" t="n">
        <v>0</v>
      </c>
      <c r="N444" t="n">
        <v>0</v>
      </c>
      <c r="O444" t="n">
        <v>1</v>
      </c>
      <c r="P444" t="n">
        <v>0</v>
      </c>
      <c r="Q444" t="n">
        <v>1</v>
      </c>
      <c r="R444" s="2" t="inlineStr">
        <is>
          <t>Garnlav</t>
        </is>
      </c>
      <c r="S444">
        <f>HYPERLINK("https://klasma.github.io/Logging_1737/artfynd/A 53491-2020 artfynd.xlsx", "A 53491-2020")</f>
        <v/>
      </c>
      <c r="T444">
        <f>HYPERLINK("https://klasma.github.io/Logging_1737/kartor/A 53491-2020 karta.png", "A 53491-2020")</f>
        <v/>
      </c>
      <c r="V444">
        <f>HYPERLINK("https://klasma.github.io/Logging_1737/klagomål/A 53491-2020 FSC-klagomål.docx", "A 53491-2020")</f>
        <v/>
      </c>
      <c r="W444">
        <f>HYPERLINK("https://klasma.github.io/Logging_1737/klagomålsmail/A 53491-2020 FSC-klagomål mail.docx", "A 53491-2020")</f>
        <v/>
      </c>
      <c r="X444">
        <f>HYPERLINK("https://klasma.github.io/Logging_1737/tillsyn/A 53491-2020 tillsynsbegäran.docx", "A 53491-2020")</f>
        <v/>
      </c>
      <c r="Y444">
        <f>HYPERLINK("https://klasma.github.io/Logging_1737/tillsynsmail/A 53491-2020 tillsynsbegäran mail.docx", "A 53491-2020")</f>
        <v/>
      </c>
    </row>
    <row r="445" ht="15" customHeight="1">
      <c r="A445" t="inlineStr">
        <is>
          <t>A 54326-2020</t>
        </is>
      </c>
      <c r="B445" s="1" t="n">
        <v>44126</v>
      </c>
      <c r="C445" s="1" t="n">
        <v>45810</v>
      </c>
      <c r="D445" t="inlineStr">
        <is>
          <t>VÄRMLANDS LÄN</t>
        </is>
      </c>
      <c r="E445" t="inlineStr">
        <is>
          <t>HAMMARÖ</t>
        </is>
      </c>
      <c r="G445" t="n">
        <v>0.7</v>
      </c>
      <c r="H445" t="n">
        <v>1</v>
      </c>
      <c r="I445" t="n">
        <v>0</v>
      </c>
      <c r="J445" t="n">
        <v>0</v>
      </c>
      <c r="K445" t="n">
        <v>0</v>
      </c>
      <c r="L445" t="n">
        <v>0</v>
      </c>
      <c r="M445" t="n">
        <v>0</v>
      </c>
      <c r="N445" t="n">
        <v>0</v>
      </c>
      <c r="O445" t="n">
        <v>0</v>
      </c>
      <c r="P445" t="n">
        <v>0</v>
      </c>
      <c r="Q445" t="n">
        <v>1</v>
      </c>
      <c r="R445" s="2" t="inlineStr">
        <is>
          <t>Törnskata</t>
        </is>
      </c>
      <c r="S445">
        <f>HYPERLINK("https://klasma.github.io/Logging_1761/artfynd/A 54326-2020 artfynd.xlsx", "A 54326-2020")</f>
        <v/>
      </c>
      <c r="T445">
        <f>HYPERLINK("https://klasma.github.io/Logging_1761/kartor/A 54326-2020 karta.png", "A 54326-2020")</f>
        <v/>
      </c>
      <c r="V445">
        <f>HYPERLINK("https://klasma.github.io/Logging_1761/klagomål/A 54326-2020 FSC-klagomål.docx", "A 54326-2020")</f>
        <v/>
      </c>
      <c r="W445">
        <f>HYPERLINK("https://klasma.github.io/Logging_1761/klagomålsmail/A 54326-2020 FSC-klagomål mail.docx", "A 54326-2020")</f>
        <v/>
      </c>
      <c r="X445">
        <f>HYPERLINK("https://klasma.github.io/Logging_1761/tillsyn/A 54326-2020 tillsynsbegäran.docx", "A 54326-2020")</f>
        <v/>
      </c>
      <c r="Y445">
        <f>HYPERLINK("https://klasma.github.io/Logging_1761/tillsynsmail/A 54326-2020 tillsynsbegäran mail.docx", "A 54326-2020")</f>
        <v/>
      </c>
      <c r="Z445">
        <f>HYPERLINK("https://klasma.github.io/Logging_1761/fåglar/A 54326-2020 prioriterade fågelarter.docx", "A 54326-2020")</f>
        <v/>
      </c>
    </row>
    <row r="446" ht="15" customHeight="1">
      <c r="A446" t="inlineStr">
        <is>
          <t>A 55736-2020</t>
        </is>
      </c>
      <c r="B446" s="1" t="n">
        <v>44132</v>
      </c>
      <c r="C446" s="1" t="n">
        <v>45810</v>
      </c>
      <c r="D446" t="inlineStr">
        <is>
          <t>VÄRMLANDS LÄN</t>
        </is>
      </c>
      <c r="E446" t="inlineStr">
        <is>
          <t>ARVIKA</t>
        </is>
      </c>
      <c r="G446" t="n">
        <v>7.5</v>
      </c>
      <c r="H446" t="n">
        <v>0</v>
      </c>
      <c r="I446" t="n">
        <v>1</v>
      </c>
      <c r="J446" t="n">
        <v>0</v>
      </c>
      <c r="K446" t="n">
        <v>0</v>
      </c>
      <c r="L446" t="n">
        <v>0</v>
      </c>
      <c r="M446" t="n">
        <v>0</v>
      </c>
      <c r="N446" t="n">
        <v>0</v>
      </c>
      <c r="O446" t="n">
        <v>0</v>
      </c>
      <c r="P446" t="n">
        <v>0</v>
      </c>
      <c r="Q446" t="n">
        <v>1</v>
      </c>
      <c r="R446" s="2" t="inlineStr">
        <is>
          <t>Tibast</t>
        </is>
      </c>
      <c r="S446">
        <f>HYPERLINK("https://klasma.github.io/Logging_1784/artfynd/A 55736-2020 artfynd.xlsx", "A 55736-2020")</f>
        <v/>
      </c>
      <c r="T446">
        <f>HYPERLINK("https://klasma.github.io/Logging_1784/kartor/A 55736-2020 karta.png", "A 55736-2020")</f>
        <v/>
      </c>
      <c r="V446">
        <f>HYPERLINK("https://klasma.github.io/Logging_1784/klagomål/A 55736-2020 FSC-klagomål.docx", "A 55736-2020")</f>
        <v/>
      </c>
      <c r="W446">
        <f>HYPERLINK("https://klasma.github.io/Logging_1784/klagomålsmail/A 55736-2020 FSC-klagomål mail.docx", "A 55736-2020")</f>
        <v/>
      </c>
      <c r="X446">
        <f>HYPERLINK("https://klasma.github.io/Logging_1784/tillsyn/A 55736-2020 tillsynsbegäran.docx", "A 55736-2020")</f>
        <v/>
      </c>
      <c r="Y446">
        <f>HYPERLINK("https://klasma.github.io/Logging_1784/tillsynsmail/A 55736-2020 tillsynsbegäran mail.docx", "A 55736-2020")</f>
        <v/>
      </c>
    </row>
    <row r="447" ht="15" customHeight="1">
      <c r="A447" t="inlineStr">
        <is>
          <t>A 56253-2020</t>
        </is>
      </c>
      <c r="B447" s="1" t="n">
        <v>44134</v>
      </c>
      <c r="C447" s="1" t="n">
        <v>45810</v>
      </c>
      <c r="D447" t="inlineStr">
        <is>
          <t>VÄRMLANDS LÄN</t>
        </is>
      </c>
      <c r="E447" t="inlineStr">
        <is>
          <t>ARVIKA</t>
        </is>
      </c>
      <c r="G447" t="n">
        <v>2.2</v>
      </c>
      <c r="H447" t="n">
        <v>1</v>
      </c>
      <c r="I447" t="n">
        <v>0</v>
      </c>
      <c r="J447" t="n">
        <v>1</v>
      </c>
      <c r="K447" t="n">
        <v>0</v>
      </c>
      <c r="L447" t="n">
        <v>0</v>
      </c>
      <c r="M447" t="n">
        <v>0</v>
      </c>
      <c r="N447" t="n">
        <v>0</v>
      </c>
      <c r="O447" t="n">
        <v>1</v>
      </c>
      <c r="P447" t="n">
        <v>0</v>
      </c>
      <c r="Q447" t="n">
        <v>1</v>
      </c>
      <c r="R447" s="2" t="inlineStr">
        <is>
          <t>Spillkråka</t>
        </is>
      </c>
      <c r="S447">
        <f>HYPERLINK("https://klasma.github.io/Logging_1784/artfynd/A 56253-2020 artfynd.xlsx", "A 56253-2020")</f>
        <v/>
      </c>
      <c r="T447">
        <f>HYPERLINK("https://klasma.github.io/Logging_1784/kartor/A 56253-2020 karta.png", "A 56253-2020")</f>
        <v/>
      </c>
      <c r="V447">
        <f>HYPERLINK("https://klasma.github.io/Logging_1784/klagomål/A 56253-2020 FSC-klagomål.docx", "A 56253-2020")</f>
        <v/>
      </c>
      <c r="W447">
        <f>HYPERLINK("https://klasma.github.io/Logging_1784/klagomålsmail/A 56253-2020 FSC-klagomål mail.docx", "A 56253-2020")</f>
        <v/>
      </c>
      <c r="X447">
        <f>HYPERLINK("https://klasma.github.io/Logging_1784/tillsyn/A 56253-2020 tillsynsbegäran.docx", "A 56253-2020")</f>
        <v/>
      </c>
      <c r="Y447">
        <f>HYPERLINK("https://klasma.github.io/Logging_1784/tillsynsmail/A 56253-2020 tillsynsbegäran mail.docx", "A 56253-2020")</f>
        <v/>
      </c>
      <c r="Z447">
        <f>HYPERLINK("https://klasma.github.io/Logging_1784/fåglar/A 56253-2020 prioriterade fågelarter.docx", "A 56253-2020")</f>
        <v/>
      </c>
    </row>
    <row r="448" ht="15" customHeight="1">
      <c r="A448" t="inlineStr">
        <is>
          <t>A 59466-2020</t>
        </is>
      </c>
      <c r="B448" s="1" t="n">
        <v>44148</v>
      </c>
      <c r="C448" s="1" t="n">
        <v>45810</v>
      </c>
      <c r="D448" t="inlineStr">
        <is>
          <t>VÄRMLANDS LÄN</t>
        </is>
      </c>
      <c r="E448" t="inlineStr">
        <is>
          <t>SÄFFLE</t>
        </is>
      </c>
      <c r="G448" t="n">
        <v>4.9</v>
      </c>
      <c r="H448" t="n">
        <v>0</v>
      </c>
      <c r="I448" t="n">
        <v>0</v>
      </c>
      <c r="J448" t="n">
        <v>1</v>
      </c>
      <c r="K448" t="n">
        <v>0</v>
      </c>
      <c r="L448" t="n">
        <v>0</v>
      </c>
      <c r="M448" t="n">
        <v>0</v>
      </c>
      <c r="N448" t="n">
        <v>0</v>
      </c>
      <c r="O448" t="n">
        <v>1</v>
      </c>
      <c r="P448" t="n">
        <v>0</v>
      </c>
      <c r="Q448" t="n">
        <v>1</v>
      </c>
      <c r="R448" s="2" t="inlineStr">
        <is>
          <t>Motaggsvamp</t>
        </is>
      </c>
      <c r="S448">
        <f>HYPERLINK("https://klasma.github.io/Logging_1785/artfynd/A 59466-2020 artfynd.xlsx", "A 59466-2020")</f>
        <v/>
      </c>
      <c r="T448">
        <f>HYPERLINK("https://klasma.github.io/Logging_1785/kartor/A 59466-2020 karta.png", "A 59466-2020")</f>
        <v/>
      </c>
      <c r="V448">
        <f>HYPERLINK("https://klasma.github.io/Logging_1785/klagomål/A 59466-2020 FSC-klagomål.docx", "A 59466-2020")</f>
        <v/>
      </c>
      <c r="W448">
        <f>HYPERLINK("https://klasma.github.io/Logging_1785/klagomålsmail/A 59466-2020 FSC-klagomål mail.docx", "A 59466-2020")</f>
        <v/>
      </c>
      <c r="X448">
        <f>HYPERLINK("https://klasma.github.io/Logging_1785/tillsyn/A 59466-2020 tillsynsbegäran.docx", "A 59466-2020")</f>
        <v/>
      </c>
      <c r="Y448">
        <f>HYPERLINK("https://klasma.github.io/Logging_1785/tillsynsmail/A 59466-2020 tillsynsbegäran mail.docx", "A 59466-2020")</f>
        <v/>
      </c>
    </row>
    <row r="449" ht="15" customHeight="1">
      <c r="A449" t="inlineStr">
        <is>
          <t>A 61846-2020</t>
        </is>
      </c>
      <c r="B449" s="1" t="n">
        <v>44159</v>
      </c>
      <c r="C449" s="1" t="n">
        <v>45810</v>
      </c>
      <c r="D449" t="inlineStr">
        <is>
          <t>VÄRMLANDS LÄN</t>
        </is>
      </c>
      <c r="E449" t="inlineStr">
        <is>
          <t>ÅRJÄNG</t>
        </is>
      </c>
      <c r="G449" t="n">
        <v>2</v>
      </c>
      <c r="H449" t="n">
        <v>0</v>
      </c>
      <c r="I449" t="n">
        <v>1</v>
      </c>
      <c r="J449" t="n">
        <v>0</v>
      </c>
      <c r="K449" t="n">
        <v>0</v>
      </c>
      <c r="L449" t="n">
        <v>0</v>
      </c>
      <c r="M449" t="n">
        <v>0</v>
      </c>
      <c r="N449" t="n">
        <v>0</v>
      </c>
      <c r="O449" t="n">
        <v>0</v>
      </c>
      <c r="P449" t="n">
        <v>0</v>
      </c>
      <c r="Q449" t="n">
        <v>1</v>
      </c>
      <c r="R449" s="2" t="inlineStr">
        <is>
          <t>Korallblylav</t>
        </is>
      </c>
      <c r="S449">
        <f>HYPERLINK("https://klasma.github.io/Logging_1765/artfynd/A 61846-2020 artfynd.xlsx", "A 61846-2020")</f>
        <v/>
      </c>
      <c r="T449">
        <f>HYPERLINK("https://klasma.github.io/Logging_1765/kartor/A 61846-2020 karta.png", "A 61846-2020")</f>
        <v/>
      </c>
      <c r="V449">
        <f>HYPERLINK("https://klasma.github.io/Logging_1765/klagomål/A 61846-2020 FSC-klagomål.docx", "A 61846-2020")</f>
        <v/>
      </c>
      <c r="W449">
        <f>HYPERLINK("https://klasma.github.io/Logging_1765/klagomålsmail/A 61846-2020 FSC-klagomål mail.docx", "A 61846-2020")</f>
        <v/>
      </c>
      <c r="X449">
        <f>HYPERLINK("https://klasma.github.io/Logging_1765/tillsyn/A 61846-2020 tillsynsbegäran.docx", "A 61846-2020")</f>
        <v/>
      </c>
      <c r="Y449">
        <f>HYPERLINK("https://klasma.github.io/Logging_1765/tillsynsmail/A 61846-2020 tillsynsbegäran mail.docx", "A 61846-2020")</f>
        <v/>
      </c>
    </row>
    <row r="450" ht="15" customHeight="1">
      <c r="A450" t="inlineStr">
        <is>
          <t>A 63540-2020</t>
        </is>
      </c>
      <c r="B450" s="1" t="n">
        <v>44165</v>
      </c>
      <c r="C450" s="1" t="n">
        <v>45810</v>
      </c>
      <c r="D450" t="inlineStr">
        <is>
          <t>VÄRMLANDS LÄN</t>
        </is>
      </c>
      <c r="E450" t="inlineStr">
        <is>
          <t>ARVIKA</t>
        </is>
      </c>
      <c r="G450" t="n">
        <v>4.3</v>
      </c>
      <c r="H450" t="n">
        <v>1</v>
      </c>
      <c r="I450" t="n">
        <v>0</v>
      </c>
      <c r="J450" t="n">
        <v>0</v>
      </c>
      <c r="K450" t="n">
        <v>1</v>
      </c>
      <c r="L450" t="n">
        <v>0</v>
      </c>
      <c r="M450" t="n">
        <v>0</v>
      </c>
      <c r="N450" t="n">
        <v>0</v>
      </c>
      <c r="O450" t="n">
        <v>1</v>
      </c>
      <c r="P450" t="n">
        <v>1</v>
      </c>
      <c r="Q450" t="n">
        <v>1</v>
      </c>
      <c r="R450" s="2" t="inlineStr">
        <is>
          <t>Knärot</t>
        </is>
      </c>
      <c r="S450">
        <f>HYPERLINK("https://klasma.github.io/Logging_1784/artfynd/A 63540-2020 artfynd.xlsx", "A 63540-2020")</f>
        <v/>
      </c>
      <c r="T450">
        <f>HYPERLINK("https://klasma.github.io/Logging_1784/kartor/A 63540-2020 karta.png", "A 63540-2020")</f>
        <v/>
      </c>
      <c r="U450">
        <f>HYPERLINK("https://klasma.github.io/Logging_1784/knärot/A 63540-2020 karta knärot.png", "A 63540-2020")</f>
        <v/>
      </c>
      <c r="V450">
        <f>HYPERLINK("https://klasma.github.io/Logging_1784/klagomål/A 63540-2020 FSC-klagomål.docx", "A 63540-2020")</f>
        <v/>
      </c>
      <c r="W450">
        <f>HYPERLINK("https://klasma.github.io/Logging_1784/klagomålsmail/A 63540-2020 FSC-klagomål mail.docx", "A 63540-2020")</f>
        <v/>
      </c>
      <c r="X450">
        <f>HYPERLINK("https://klasma.github.io/Logging_1784/tillsyn/A 63540-2020 tillsynsbegäran.docx", "A 63540-2020")</f>
        <v/>
      </c>
      <c r="Y450">
        <f>HYPERLINK("https://klasma.github.io/Logging_1784/tillsynsmail/A 63540-2020 tillsynsbegäran mail.docx", "A 63540-2020")</f>
        <v/>
      </c>
    </row>
    <row r="451" ht="15" customHeight="1">
      <c r="A451" t="inlineStr">
        <is>
          <t>A 65851-2020</t>
        </is>
      </c>
      <c r="B451" s="1" t="n">
        <v>44174</v>
      </c>
      <c r="C451" s="1" t="n">
        <v>45810</v>
      </c>
      <c r="D451" t="inlineStr">
        <is>
          <t>VÄRMLANDS LÄN</t>
        </is>
      </c>
      <c r="E451" t="inlineStr">
        <is>
          <t>KARLSTAD</t>
        </is>
      </c>
      <c r="F451" t="inlineStr">
        <is>
          <t>Bergvik skog väst AB</t>
        </is>
      </c>
      <c r="G451" t="n">
        <v>3.3</v>
      </c>
      <c r="H451" t="n">
        <v>0</v>
      </c>
      <c r="I451" t="n">
        <v>0</v>
      </c>
      <c r="J451" t="n">
        <v>0</v>
      </c>
      <c r="K451" t="n">
        <v>0</v>
      </c>
      <c r="L451" t="n">
        <v>0</v>
      </c>
      <c r="M451" t="n">
        <v>1</v>
      </c>
      <c r="N451" t="n">
        <v>0</v>
      </c>
      <c r="O451" t="n">
        <v>1</v>
      </c>
      <c r="P451" t="n">
        <v>1</v>
      </c>
      <c r="Q451" t="n">
        <v>1</v>
      </c>
      <c r="R451" s="2" t="inlineStr">
        <is>
          <t>Skogsalm</t>
        </is>
      </c>
      <c r="S451">
        <f>HYPERLINK("https://klasma.github.io/Logging_1780/artfynd/A 65851-2020 artfynd.xlsx", "A 65851-2020")</f>
        <v/>
      </c>
      <c r="T451">
        <f>HYPERLINK("https://klasma.github.io/Logging_1780/kartor/A 65851-2020 karta.png", "A 65851-2020")</f>
        <v/>
      </c>
      <c r="V451">
        <f>HYPERLINK("https://klasma.github.io/Logging_1780/klagomål/A 65851-2020 FSC-klagomål.docx", "A 65851-2020")</f>
        <v/>
      </c>
      <c r="W451">
        <f>HYPERLINK("https://klasma.github.io/Logging_1780/klagomålsmail/A 65851-2020 FSC-klagomål mail.docx", "A 65851-2020")</f>
        <v/>
      </c>
      <c r="X451">
        <f>HYPERLINK("https://klasma.github.io/Logging_1780/tillsyn/A 65851-2020 tillsynsbegäran.docx", "A 65851-2020")</f>
        <v/>
      </c>
      <c r="Y451">
        <f>HYPERLINK("https://klasma.github.io/Logging_1780/tillsynsmail/A 65851-2020 tillsynsbegäran mail.docx", "A 65851-2020")</f>
        <v/>
      </c>
    </row>
    <row r="452" ht="15" customHeight="1">
      <c r="A452" t="inlineStr">
        <is>
          <t>A 66802-2020</t>
        </is>
      </c>
      <c r="B452" s="1" t="n">
        <v>44179</v>
      </c>
      <c r="C452" s="1" t="n">
        <v>45810</v>
      </c>
      <c r="D452" t="inlineStr">
        <is>
          <t>VÄRMLANDS LÄN</t>
        </is>
      </c>
      <c r="E452" t="inlineStr">
        <is>
          <t>EDA</t>
        </is>
      </c>
      <c r="G452" t="n">
        <v>8.1</v>
      </c>
      <c r="H452" t="n">
        <v>1</v>
      </c>
      <c r="I452" t="n">
        <v>0</v>
      </c>
      <c r="J452" t="n">
        <v>0</v>
      </c>
      <c r="K452" t="n">
        <v>0</v>
      </c>
      <c r="L452" t="n">
        <v>0</v>
      </c>
      <c r="M452" t="n">
        <v>0</v>
      </c>
      <c r="N452" t="n">
        <v>0</v>
      </c>
      <c r="O452" t="n">
        <v>0</v>
      </c>
      <c r="P452" t="n">
        <v>0</v>
      </c>
      <c r="Q452" t="n">
        <v>1</v>
      </c>
      <c r="R452" s="2" t="inlineStr">
        <is>
          <t>Mindre flugsnappare</t>
        </is>
      </c>
      <c r="S452">
        <f>HYPERLINK("https://klasma.github.io/Logging_1730/artfynd/A 66802-2020 artfynd.xlsx", "A 66802-2020")</f>
        <v/>
      </c>
      <c r="T452">
        <f>HYPERLINK("https://klasma.github.io/Logging_1730/kartor/A 66802-2020 karta.png", "A 66802-2020")</f>
        <v/>
      </c>
      <c r="V452">
        <f>HYPERLINK("https://klasma.github.io/Logging_1730/klagomål/A 66802-2020 FSC-klagomål.docx", "A 66802-2020")</f>
        <v/>
      </c>
      <c r="W452">
        <f>HYPERLINK("https://klasma.github.io/Logging_1730/klagomålsmail/A 66802-2020 FSC-klagomål mail.docx", "A 66802-2020")</f>
        <v/>
      </c>
      <c r="X452">
        <f>HYPERLINK("https://klasma.github.io/Logging_1730/tillsyn/A 66802-2020 tillsynsbegäran.docx", "A 66802-2020")</f>
        <v/>
      </c>
      <c r="Y452">
        <f>HYPERLINK("https://klasma.github.io/Logging_1730/tillsynsmail/A 66802-2020 tillsynsbegäran mail.docx", "A 66802-2020")</f>
        <v/>
      </c>
      <c r="Z452">
        <f>HYPERLINK("https://klasma.github.io/Logging_1730/fåglar/A 66802-2020 prioriterade fågelarter.docx", "A 66802-2020")</f>
        <v/>
      </c>
    </row>
    <row r="453" ht="15" customHeight="1">
      <c r="A453" t="inlineStr">
        <is>
          <t>A 67928-2020</t>
        </is>
      </c>
      <c r="B453" s="1" t="n">
        <v>44182</v>
      </c>
      <c r="C453" s="1" t="n">
        <v>45810</v>
      </c>
      <c r="D453" t="inlineStr">
        <is>
          <t>VÄRMLANDS LÄN</t>
        </is>
      </c>
      <c r="E453" t="inlineStr">
        <is>
          <t>KARLSTAD</t>
        </is>
      </c>
      <c r="G453" t="n">
        <v>5</v>
      </c>
      <c r="H453" t="n">
        <v>0</v>
      </c>
      <c r="I453" t="n">
        <v>1</v>
      </c>
      <c r="J453" t="n">
        <v>0</v>
      </c>
      <c r="K453" t="n">
        <v>0</v>
      </c>
      <c r="L453" t="n">
        <v>0</v>
      </c>
      <c r="M453" t="n">
        <v>0</v>
      </c>
      <c r="N453" t="n">
        <v>0</v>
      </c>
      <c r="O453" t="n">
        <v>0</v>
      </c>
      <c r="P453" t="n">
        <v>0</v>
      </c>
      <c r="Q453" t="n">
        <v>1</v>
      </c>
      <c r="R453" s="2" t="inlineStr">
        <is>
          <t>Fjällig taggsvamp s.str.</t>
        </is>
      </c>
      <c r="S453">
        <f>HYPERLINK("https://klasma.github.io/Logging_1780/artfynd/A 67928-2020 artfynd.xlsx", "A 67928-2020")</f>
        <v/>
      </c>
      <c r="T453">
        <f>HYPERLINK("https://klasma.github.io/Logging_1780/kartor/A 67928-2020 karta.png", "A 67928-2020")</f>
        <v/>
      </c>
      <c r="V453">
        <f>HYPERLINK("https://klasma.github.io/Logging_1780/klagomål/A 67928-2020 FSC-klagomål.docx", "A 67928-2020")</f>
        <v/>
      </c>
      <c r="W453">
        <f>HYPERLINK("https://klasma.github.io/Logging_1780/klagomålsmail/A 67928-2020 FSC-klagomål mail.docx", "A 67928-2020")</f>
        <v/>
      </c>
      <c r="X453">
        <f>HYPERLINK("https://klasma.github.io/Logging_1780/tillsyn/A 67928-2020 tillsynsbegäran.docx", "A 67928-2020")</f>
        <v/>
      </c>
      <c r="Y453">
        <f>HYPERLINK("https://klasma.github.io/Logging_1780/tillsynsmail/A 67928-2020 tillsynsbegäran mail.docx", "A 67928-2020")</f>
        <v/>
      </c>
    </row>
    <row r="454" ht="15" customHeight="1">
      <c r="A454" t="inlineStr">
        <is>
          <t>A 68077-2020</t>
        </is>
      </c>
      <c r="B454" s="1" t="n">
        <v>44183</v>
      </c>
      <c r="C454" s="1" t="n">
        <v>45810</v>
      </c>
      <c r="D454" t="inlineStr">
        <is>
          <t>VÄRMLANDS LÄN</t>
        </is>
      </c>
      <c r="E454" t="inlineStr">
        <is>
          <t>FORSHAGA</t>
        </is>
      </c>
      <c r="G454" t="n">
        <v>2.8</v>
      </c>
      <c r="H454" t="n">
        <v>1</v>
      </c>
      <c r="I454" t="n">
        <v>0</v>
      </c>
      <c r="J454" t="n">
        <v>0</v>
      </c>
      <c r="K454" t="n">
        <v>0</v>
      </c>
      <c r="L454" t="n">
        <v>0</v>
      </c>
      <c r="M454" t="n">
        <v>0</v>
      </c>
      <c r="N454" t="n">
        <v>0</v>
      </c>
      <c r="O454" t="n">
        <v>0</v>
      </c>
      <c r="P454" t="n">
        <v>0</v>
      </c>
      <c r="Q454" t="n">
        <v>1</v>
      </c>
      <c r="R454" s="2" t="inlineStr">
        <is>
          <t>Grönvit nattviol</t>
        </is>
      </c>
      <c r="S454">
        <f>HYPERLINK("https://klasma.github.io/Logging_1763/artfynd/A 68077-2020 artfynd.xlsx", "A 68077-2020")</f>
        <v/>
      </c>
      <c r="T454">
        <f>HYPERLINK("https://klasma.github.io/Logging_1763/kartor/A 68077-2020 karta.png", "A 68077-2020")</f>
        <v/>
      </c>
      <c r="V454">
        <f>HYPERLINK("https://klasma.github.io/Logging_1763/klagomål/A 68077-2020 FSC-klagomål.docx", "A 68077-2020")</f>
        <v/>
      </c>
      <c r="W454">
        <f>HYPERLINK("https://klasma.github.io/Logging_1763/klagomålsmail/A 68077-2020 FSC-klagomål mail.docx", "A 68077-2020")</f>
        <v/>
      </c>
      <c r="X454">
        <f>HYPERLINK("https://klasma.github.io/Logging_1763/tillsyn/A 68077-2020 tillsynsbegäran.docx", "A 68077-2020")</f>
        <v/>
      </c>
      <c r="Y454">
        <f>HYPERLINK("https://klasma.github.io/Logging_1763/tillsynsmail/A 68077-2020 tillsynsbegäran mail.docx", "A 68077-2020")</f>
        <v/>
      </c>
    </row>
    <row r="455" ht="15" customHeight="1">
      <c r="A455" t="inlineStr">
        <is>
          <t>A 2194-2021</t>
        </is>
      </c>
      <c r="B455" s="1" t="n">
        <v>44211</v>
      </c>
      <c r="C455" s="1" t="n">
        <v>45810</v>
      </c>
      <c r="D455" t="inlineStr">
        <is>
          <t>VÄRMLANDS LÄN</t>
        </is>
      </c>
      <c r="E455" t="inlineStr">
        <is>
          <t>KARLSTAD</t>
        </is>
      </c>
      <c r="G455" t="n">
        <v>2.3</v>
      </c>
      <c r="H455" t="n">
        <v>1</v>
      </c>
      <c r="I455" t="n">
        <v>0</v>
      </c>
      <c r="J455" t="n">
        <v>0</v>
      </c>
      <c r="K455" t="n">
        <v>1</v>
      </c>
      <c r="L455" t="n">
        <v>0</v>
      </c>
      <c r="M455" t="n">
        <v>0</v>
      </c>
      <c r="N455" t="n">
        <v>0</v>
      </c>
      <c r="O455" t="n">
        <v>1</v>
      </c>
      <c r="P455" t="n">
        <v>1</v>
      </c>
      <c r="Q455" t="n">
        <v>1</v>
      </c>
      <c r="R455" s="2" t="inlineStr">
        <is>
          <t>Knärot</t>
        </is>
      </c>
      <c r="S455">
        <f>HYPERLINK("https://klasma.github.io/Logging_1780/artfynd/A 2194-2021 artfynd.xlsx", "A 2194-2021")</f>
        <v/>
      </c>
      <c r="T455">
        <f>HYPERLINK("https://klasma.github.io/Logging_1780/kartor/A 2194-2021 karta.png", "A 2194-2021")</f>
        <v/>
      </c>
      <c r="U455">
        <f>HYPERLINK("https://klasma.github.io/Logging_1780/knärot/A 2194-2021 karta knärot.png", "A 2194-2021")</f>
        <v/>
      </c>
      <c r="V455">
        <f>HYPERLINK("https://klasma.github.io/Logging_1780/klagomål/A 2194-2021 FSC-klagomål.docx", "A 2194-2021")</f>
        <v/>
      </c>
      <c r="W455">
        <f>HYPERLINK("https://klasma.github.io/Logging_1780/klagomålsmail/A 2194-2021 FSC-klagomål mail.docx", "A 2194-2021")</f>
        <v/>
      </c>
      <c r="X455">
        <f>HYPERLINK("https://klasma.github.io/Logging_1780/tillsyn/A 2194-2021 tillsynsbegäran.docx", "A 2194-2021")</f>
        <v/>
      </c>
      <c r="Y455">
        <f>HYPERLINK("https://klasma.github.io/Logging_1780/tillsynsmail/A 2194-2021 tillsynsbegäran mail.docx", "A 2194-2021")</f>
        <v/>
      </c>
    </row>
    <row r="456" ht="15" customHeight="1">
      <c r="A456" t="inlineStr">
        <is>
          <t>A 3974-2021</t>
        </is>
      </c>
      <c r="B456" s="1" t="n">
        <v>44217</v>
      </c>
      <c r="C456" s="1" t="n">
        <v>45810</v>
      </c>
      <c r="D456" t="inlineStr">
        <is>
          <t>VÄRMLANDS LÄN</t>
        </is>
      </c>
      <c r="E456" t="inlineStr">
        <is>
          <t>ÅRJÄNG</t>
        </is>
      </c>
      <c r="G456" t="n">
        <v>0.8</v>
      </c>
      <c r="H456" t="n">
        <v>1</v>
      </c>
      <c r="I456" t="n">
        <v>0</v>
      </c>
      <c r="J456" t="n">
        <v>1</v>
      </c>
      <c r="K456" t="n">
        <v>0</v>
      </c>
      <c r="L456" t="n">
        <v>0</v>
      </c>
      <c r="M456" t="n">
        <v>0</v>
      </c>
      <c r="N456" t="n">
        <v>0</v>
      </c>
      <c r="O456" t="n">
        <v>1</v>
      </c>
      <c r="P456" t="n">
        <v>0</v>
      </c>
      <c r="Q456" t="n">
        <v>1</v>
      </c>
      <c r="R456" s="2" t="inlineStr">
        <is>
          <t>Tretåig hackspett</t>
        </is>
      </c>
      <c r="S456">
        <f>HYPERLINK("https://klasma.github.io/Logging_1765/artfynd/A 3974-2021 artfynd.xlsx", "A 3974-2021")</f>
        <v/>
      </c>
      <c r="T456">
        <f>HYPERLINK("https://klasma.github.io/Logging_1765/kartor/A 3974-2021 karta.png", "A 3974-2021")</f>
        <v/>
      </c>
      <c r="V456">
        <f>HYPERLINK("https://klasma.github.io/Logging_1765/klagomål/A 3974-2021 FSC-klagomål.docx", "A 3974-2021")</f>
        <v/>
      </c>
      <c r="W456">
        <f>HYPERLINK("https://klasma.github.io/Logging_1765/klagomålsmail/A 3974-2021 FSC-klagomål mail.docx", "A 3974-2021")</f>
        <v/>
      </c>
      <c r="X456">
        <f>HYPERLINK("https://klasma.github.io/Logging_1765/tillsyn/A 3974-2021 tillsynsbegäran.docx", "A 3974-2021")</f>
        <v/>
      </c>
      <c r="Y456">
        <f>HYPERLINK("https://klasma.github.io/Logging_1765/tillsynsmail/A 3974-2021 tillsynsbegäran mail.docx", "A 3974-2021")</f>
        <v/>
      </c>
      <c r="Z456">
        <f>HYPERLINK("https://klasma.github.io/Logging_1765/fåglar/A 3974-2021 prioriterade fågelarter.docx", "A 3974-2021")</f>
        <v/>
      </c>
    </row>
    <row r="457" ht="15" customHeight="1">
      <c r="A457" t="inlineStr">
        <is>
          <t>A 4335-2021</t>
        </is>
      </c>
      <c r="B457" s="1" t="n">
        <v>44221</v>
      </c>
      <c r="C457" s="1" t="n">
        <v>45810</v>
      </c>
      <c r="D457" t="inlineStr">
        <is>
          <t>VÄRMLANDS LÄN</t>
        </is>
      </c>
      <c r="E457" t="inlineStr">
        <is>
          <t>SÄFFLE</t>
        </is>
      </c>
      <c r="G457" t="n">
        <v>21.3</v>
      </c>
      <c r="H457" t="n">
        <v>0</v>
      </c>
      <c r="I457" t="n">
        <v>0</v>
      </c>
      <c r="J457" t="n">
        <v>1</v>
      </c>
      <c r="K457" t="n">
        <v>0</v>
      </c>
      <c r="L457" t="n">
        <v>0</v>
      </c>
      <c r="M457" t="n">
        <v>0</v>
      </c>
      <c r="N457" t="n">
        <v>0</v>
      </c>
      <c r="O457" t="n">
        <v>1</v>
      </c>
      <c r="P457" t="n">
        <v>0</v>
      </c>
      <c r="Q457" t="n">
        <v>1</v>
      </c>
      <c r="R457" s="2" t="inlineStr">
        <is>
          <t>Skogsklocka</t>
        </is>
      </c>
      <c r="S457">
        <f>HYPERLINK("https://klasma.github.io/Logging_1785/artfynd/A 4335-2021 artfynd.xlsx", "A 4335-2021")</f>
        <v/>
      </c>
      <c r="T457">
        <f>HYPERLINK("https://klasma.github.io/Logging_1785/kartor/A 4335-2021 karta.png", "A 4335-2021")</f>
        <v/>
      </c>
      <c r="V457">
        <f>HYPERLINK("https://klasma.github.io/Logging_1785/klagomål/A 4335-2021 FSC-klagomål.docx", "A 4335-2021")</f>
        <v/>
      </c>
      <c r="W457">
        <f>HYPERLINK("https://klasma.github.io/Logging_1785/klagomålsmail/A 4335-2021 FSC-klagomål mail.docx", "A 4335-2021")</f>
        <v/>
      </c>
      <c r="X457">
        <f>HYPERLINK("https://klasma.github.io/Logging_1785/tillsyn/A 4335-2021 tillsynsbegäran.docx", "A 4335-2021")</f>
        <v/>
      </c>
      <c r="Y457">
        <f>HYPERLINK("https://klasma.github.io/Logging_1785/tillsynsmail/A 4335-2021 tillsynsbegäran mail.docx", "A 4335-2021")</f>
        <v/>
      </c>
    </row>
    <row r="458" ht="15" customHeight="1">
      <c r="A458" t="inlineStr">
        <is>
          <t>A 4799-2021</t>
        </is>
      </c>
      <c r="B458" s="1" t="n">
        <v>44225</v>
      </c>
      <c r="C458" s="1" t="n">
        <v>45810</v>
      </c>
      <c r="D458" t="inlineStr">
        <is>
          <t>VÄRMLANDS LÄN</t>
        </is>
      </c>
      <c r="E458" t="inlineStr">
        <is>
          <t>KARLSTAD</t>
        </is>
      </c>
      <c r="G458" t="n">
        <v>2.8</v>
      </c>
      <c r="H458" t="n">
        <v>0</v>
      </c>
      <c r="I458" t="n">
        <v>1</v>
      </c>
      <c r="J458" t="n">
        <v>0</v>
      </c>
      <c r="K458" t="n">
        <v>0</v>
      </c>
      <c r="L458" t="n">
        <v>0</v>
      </c>
      <c r="M458" t="n">
        <v>0</v>
      </c>
      <c r="N458" t="n">
        <v>0</v>
      </c>
      <c r="O458" t="n">
        <v>0</v>
      </c>
      <c r="P458" t="n">
        <v>0</v>
      </c>
      <c r="Q458" t="n">
        <v>1</v>
      </c>
      <c r="R458" s="2" t="inlineStr">
        <is>
          <t>Svart trolldruva</t>
        </is>
      </c>
      <c r="S458">
        <f>HYPERLINK("https://klasma.github.io/Logging_1780/artfynd/A 4799-2021 artfynd.xlsx", "A 4799-2021")</f>
        <v/>
      </c>
      <c r="T458">
        <f>HYPERLINK("https://klasma.github.io/Logging_1780/kartor/A 4799-2021 karta.png", "A 4799-2021")</f>
        <v/>
      </c>
      <c r="V458">
        <f>HYPERLINK("https://klasma.github.io/Logging_1780/klagomål/A 4799-2021 FSC-klagomål.docx", "A 4799-2021")</f>
        <v/>
      </c>
      <c r="W458">
        <f>HYPERLINK("https://klasma.github.io/Logging_1780/klagomålsmail/A 4799-2021 FSC-klagomål mail.docx", "A 4799-2021")</f>
        <v/>
      </c>
      <c r="X458">
        <f>HYPERLINK("https://klasma.github.io/Logging_1780/tillsyn/A 4799-2021 tillsynsbegäran.docx", "A 4799-2021")</f>
        <v/>
      </c>
      <c r="Y458">
        <f>HYPERLINK("https://klasma.github.io/Logging_1780/tillsynsmail/A 4799-2021 tillsynsbegäran mail.docx", "A 4799-2021")</f>
        <v/>
      </c>
    </row>
    <row r="459" ht="15" customHeight="1">
      <c r="A459" t="inlineStr">
        <is>
          <t>A 8048-2021</t>
        </is>
      </c>
      <c r="B459" s="1" t="n">
        <v>44243</v>
      </c>
      <c r="C459" s="1" t="n">
        <v>45810</v>
      </c>
      <c r="D459" t="inlineStr">
        <is>
          <t>VÄRMLANDS LÄN</t>
        </is>
      </c>
      <c r="E459" t="inlineStr">
        <is>
          <t>STORFORS</t>
        </is>
      </c>
      <c r="G459" t="n">
        <v>11.1</v>
      </c>
      <c r="H459" t="n">
        <v>0</v>
      </c>
      <c r="I459" t="n">
        <v>1</v>
      </c>
      <c r="J459" t="n">
        <v>0</v>
      </c>
      <c r="K459" t="n">
        <v>0</v>
      </c>
      <c r="L459" t="n">
        <v>0</v>
      </c>
      <c r="M459" t="n">
        <v>0</v>
      </c>
      <c r="N459" t="n">
        <v>0</v>
      </c>
      <c r="O459" t="n">
        <v>0</v>
      </c>
      <c r="P459" t="n">
        <v>0</v>
      </c>
      <c r="Q459" t="n">
        <v>1</v>
      </c>
      <c r="R459" s="2" t="inlineStr">
        <is>
          <t>Korallblylav</t>
        </is>
      </c>
      <c r="S459">
        <f>HYPERLINK("https://klasma.github.io/Logging_1760/artfynd/A 8048-2021 artfynd.xlsx", "A 8048-2021")</f>
        <v/>
      </c>
      <c r="T459">
        <f>HYPERLINK("https://klasma.github.io/Logging_1760/kartor/A 8048-2021 karta.png", "A 8048-2021")</f>
        <v/>
      </c>
      <c r="V459">
        <f>HYPERLINK("https://klasma.github.io/Logging_1760/klagomål/A 8048-2021 FSC-klagomål.docx", "A 8048-2021")</f>
        <v/>
      </c>
      <c r="W459">
        <f>HYPERLINK("https://klasma.github.io/Logging_1760/klagomålsmail/A 8048-2021 FSC-klagomål mail.docx", "A 8048-2021")</f>
        <v/>
      </c>
      <c r="X459">
        <f>HYPERLINK("https://klasma.github.io/Logging_1760/tillsyn/A 8048-2021 tillsynsbegäran.docx", "A 8048-2021")</f>
        <v/>
      </c>
      <c r="Y459">
        <f>HYPERLINK("https://klasma.github.io/Logging_1760/tillsynsmail/A 8048-2021 tillsynsbegäran mail.docx", "A 8048-2021")</f>
        <v/>
      </c>
    </row>
    <row r="460" ht="15" customHeight="1">
      <c r="A460" t="inlineStr">
        <is>
          <t>A 8747-2021</t>
        </is>
      </c>
      <c r="B460" s="1" t="n">
        <v>44246</v>
      </c>
      <c r="C460" s="1" t="n">
        <v>45810</v>
      </c>
      <c r="D460" t="inlineStr">
        <is>
          <t>VÄRMLANDS LÄN</t>
        </is>
      </c>
      <c r="E460" t="inlineStr">
        <is>
          <t>TORSBY</t>
        </is>
      </c>
      <c r="G460" t="n">
        <v>8.5</v>
      </c>
      <c r="H460" t="n">
        <v>0</v>
      </c>
      <c r="I460" t="n">
        <v>0</v>
      </c>
      <c r="J460" t="n">
        <v>1</v>
      </c>
      <c r="K460" t="n">
        <v>0</v>
      </c>
      <c r="L460" t="n">
        <v>0</v>
      </c>
      <c r="M460" t="n">
        <v>0</v>
      </c>
      <c r="N460" t="n">
        <v>0</v>
      </c>
      <c r="O460" t="n">
        <v>1</v>
      </c>
      <c r="P460" t="n">
        <v>0</v>
      </c>
      <c r="Q460" t="n">
        <v>1</v>
      </c>
      <c r="R460" s="2" t="inlineStr">
        <is>
          <t>Garnlav</t>
        </is>
      </c>
      <c r="S460">
        <f>HYPERLINK("https://klasma.github.io/Logging_1737/artfynd/A 8747-2021 artfynd.xlsx", "A 8747-2021")</f>
        <v/>
      </c>
      <c r="T460">
        <f>HYPERLINK("https://klasma.github.io/Logging_1737/kartor/A 8747-2021 karta.png", "A 8747-2021")</f>
        <v/>
      </c>
      <c r="V460">
        <f>HYPERLINK("https://klasma.github.io/Logging_1737/klagomål/A 8747-2021 FSC-klagomål.docx", "A 8747-2021")</f>
        <v/>
      </c>
      <c r="W460">
        <f>HYPERLINK("https://klasma.github.io/Logging_1737/klagomålsmail/A 8747-2021 FSC-klagomål mail.docx", "A 8747-2021")</f>
        <v/>
      </c>
      <c r="X460">
        <f>HYPERLINK("https://klasma.github.io/Logging_1737/tillsyn/A 8747-2021 tillsynsbegäran.docx", "A 8747-2021")</f>
        <v/>
      </c>
      <c r="Y460">
        <f>HYPERLINK("https://klasma.github.io/Logging_1737/tillsynsmail/A 8747-2021 tillsynsbegäran mail.docx", "A 8747-2021")</f>
        <v/>
      </c>
    </row>
    <row r="461" ht="15" customHeight="1">
      <c r="A461" t="inlineStr">
        <is>
          <t>A 9558-2021</t>
        </is>
      </c>
      <c r="B461" s="1" t="n">
        <v>44251</v>
      </c>
      <c r="C461" s="1" t="n">
        <v>45810</v>
      </c>
      <c r="D461" t="inlineStr">
        <is>
          <t>VÄRMLANDS LÄN</t>
        </is>
      </c>
      <c r="E461" t="inlineStr">
        <is>
          <t>KIL</t>
        </is>
      </c>
      <c r="F461" t="inlineStr">
        <is>
          <t>Kommuner</t>
        </is>
      </c>
      <c r="G461" t="n">
        <v>2.9</v>
      </c>
      <c r="H461" t="n">
        <v>0</v>
      </c>
      <c r="I461" t="n">
        <v>0</v>
      </c>
      <c r="J461" t="n">
        <v>1</v>
      </c>
      <c r="K461" t="n">
        <v>0</v>
      </c>
      <c r="L461" t="n">
        <v>0</v>
      </c>
      <c r="M461" t="n">
        <v>0</v>
      </c>
      <c r="N461" t="n">
        <v>0</v>
      </c>
      <c r="O461" t="n">
        <v>1</v>
      </c>
      <c r="P461" t="n">
        <v>0</v>
      </c>
      <c r="Q461" t="n">
        <v>1</v>
      </c>
      <c r="R461" s="2" t="inlineStr">
        <is>
          <t>Ängsmetallvinge</t>
        </is>
      </c>
      <c r="S461">
        <f>HYPERLINK("https://klasma.github.io/Logging_1715/artfynd/A 9558-2021 artfynd.xlsx", "A 9558-2021")</f>
        <v/>
      </c>
      <c r="T461">
        <f>HYPERLINK("https://klasma.github.io/Logging_1715/kartor/A 9558-2021 karta.png", "A 9558-2021")</f>
        <v/>
      </c>
      <c r="V461">
        <f>HYPERLINK("https://klasma.github.io/Logging_1715/klagomål/A 9558-2021 FSC-klagomål.docx", "A 9558-2021")</f>
        <v/>
      </c>
      <c r="W461">
        <f>HYPERLINK("https://klasma.github.io/Logging_1715/klagomålsmail/A 9558-2021 FSC-klagomål mail.docx", "A 9558-2021")</f>
        <v/>
      </c>
      <c r="X461">
        <f>HYPERLINK("https://klasma.github.io/Logging_1715/tillsyn/A 9558-2021 tillsynsbegäran.docx", "A 9558-2021")</f>
        <v/>
      </c>
      <c r="Y461">
        <f>HYPERLINK("https://klasma.github.io/Logging_1715/tillsynsmail/A 9558-2021 tillsynsbegäran mail.docx", "A 9558-2021")</f>
        <v/>
      </c>
    </row>
    <row r="462" ht="15" customHeight="1">
      <c r="A462" t="inlineStr">
        <is>
          <t>A 15418-2021</t>
        </is>
      </c>
      <c r="B462" s="1" t="n">
        <v>44285</v>
      </c>
      <c r="C462" s="1" t="n">
        <v>45810</v>
      </c>
      <c r="D462" t="inlineStr">
        <is>
          <t>VÄRMLANDS LÄN</t>
        </is>
      </c>
      <c r="E462" t="inlineStr">
        <is>
          <t>ÅRJÄNG</t>
        </is>
      </c>
      <c r="G462" t="n">
        <v>6.6</v>
      </c>
      <c r="H462" t="n">
        <v>0</v>
      </c>
      <c r="I462" t="n">
        <v>0</v>
      </c>
      <c r="J462" t="n">
        <v>1</v>
      </c>
      <c r="K462" t="n">
        <v>0</v>
      </c>
      <c r="L462" t="n">
        <v>0</v>
      </c>
      <c r="M462" t="n">
        <v>0</v>
      </c>
      <c r="N462" t="n">
        <v>0</v>
      </c>
      <c r="O462" t="n">
        <v>1</v>
      </c>
      <c r="P462" t="n">
        <v>0</v>
      </c>
      <c r="Q462" t="n">
        <v>1</v>
      </c>
      <c r="R462" s="2" t="inlineStr">
        <is>
          <t>Lunglav</t>
        </is>
      </c>
      <c r="S462">
        <f>HYPERLINK("https://klasma.github.io/Logging_1765/artfynd/A 15418-2021 artfynd.xlsx", "A 15418-2021")</f>
        <v/>
      </c>
      <c r="T462">
        <f>HYPERLINK("https://klasma.github.io/Logging_1765/kartor/A 15418-2021 karta.png", "A 15418-2021")</f>
        <v/>
      </c>
      <c r="V462">
        <f>HYPERLINK("https://klasma.github.io/Logging_1765/klagomål/A 15418-2021 FSC-klagomål.docx", "A 15418-2021")</f>
        <v/>
      </c>
      <c r="W462">
        <f>HYPERLINK("https://klasma.github.io/Logging_1765/klagomålsmail/A 15418-2021 FSC-klagomål mail.docx", "A 15418-2021")</f>
        <v/>
      </c>
      <c r="X462">
        <f>HYPERLINK("https://klasma.github.io/Logging_1765/tillsyn/A 15418-2021 tillsynsbegäran.docx", "A 15418-2021")</f>
        <v/>
      </c>
      <c r="Y462">
        <f>HYPERLINK("https://klasma.github.io/Logging_1765/tillsynsmail/A 15418-2021 tillsynsbegäran mail.docx", "A 15418-2021")</f>
        <v/>
      </c>
    </row>
    <row r="463" ht="15" customHeight="1">
      <c r="A463" t="inlineStr">
        <is>
          <t>A 20755-2021</t>
        </is>
      </c>
      <c r="B463" s="1" t="n">
        <v>44316</v>
      </c>
      <c r="C463" s="1" t="n">
        <v>45810</v>
      </c>
      <c r="D463" t="inlineStr">
        <is>
          <t>VÄRMLANDS LÄN</t>
        </is>
      </c>
      <c r="E463" t="inlineStr">
        <is>
          <t>HAMMARÖ</t>
        </is>
      </c>
      <c r="G463" t="n">
        <v>16.8</v>
      </c>
      <c r="H463" t="n">
        <v>1</v>
      </c>
      <c r="I463" t="n">
        <v>0</v>
      </c>
      <c r="J463" t="n">
        <v>1</v>
      </c>
      <c r="K463" t="n">
        <v>0</v>
      </c>
      <c r="L463" t="n">
        <v>0</v>
      </c>
      <c r="M463" t="n">
        <v>0</v>
      </c>
      <c r="N463" t="n">
        <v>0</v>
      </c>
      <c r="O463" t="n">
        <v>1</v>
      </c>
      <c r="P463" t="n">
        <v>0</v>
      </c>
      <c r="Q463" t="n">
        <v>1</v>
      </c>
      <c r="R463" s="2" t="inlineStr">
        <is>
          <t>Gulsparv</t>
        </is>
      </c>
      <c r="S463">
        <f>HYPERLINK("https://klasma.github.io/Logging_1761/artfynd/A 20755-2021 artfynd.xlsx", "A 20755-2021")</f>
        <v/>
      </c>
      <c r="T463">
        <f>HYPERLINK("https://klasma.github.io/Logging_1761/kartor/A 20755-2021 karta.png", "A 20755-2021")</f>
        <v/>
      </c>
      <c r="V463">
        <f>HYPERLINK("https://klasma.github.io/Logging_1761/klagomål/A 20755-2021 FSC-klagomål.docx", "A 20755-2021")</f>
        <v/>
      </c>
      <c r="W463">
        <f>HYPERLINK("https://klasma.github.io/Logging_1761/klagomålsmail/A 20755-2021 FSC-klagomål mail.docx", "A 20755-2021")</f>
        <v/>
      </c>
      <c r="X463">
        <f>HYPERLINK("https://klasma.github.io/Logging_1761/tillsyn/A 20755-2021 tillsynsbegäran.docx", "A 20755-2021")</f>
        <v/>
      </c>
      <c r="Y463">
        <f>HYPERLINK("https://klasma.github.io/Logging_1761/tillsynsmail/A 20755-2021 tillsynsbegäran mail.docx", "A 20755-2021")</f>
        <v/>
      </c>
      <c r="Z463">
        <f>HYPERLINK("https://klasma.github.io/Logging_1761/fåglar/A 20755-2021 prioriterade fågelarter.docx", "A 20755-2021")</f>
        <v/>
      </c>
    </row>
    <row r="464" ht="15" customHeight="1">
      <c r="A464" t="inlineStr">
        <is>
          <t>A 21073-2021</t>
        </is>
      </c>
      <c r="B464" s="1" t="n">
        <v>44319</v>
      </c>
      <c r="C464" s="1" t="n">
        <v>45810</v>
      </c>
      <c r="D464" t="inlineStr">
        <is>
          <t>VÄRMLANDS LÄN</t>
        </is>
      </c>
      <c r="E464" t="inlineStr">
        <is>
          <t>STORFORS</t>
        </is>
      </c>
      <c r="G464" t="n">
        <v>6.1</v>
      </c>
      <c r="H464" t="n">
        <v>0</v>
      </c>
      <c r="I464" t="n">
        <v>1</v>
      </c>
      <c r="J464" t="n">
        <v>0</v>
      </c>
      <c r="K464" t="n">
        <v>0</v>
      </c>
      <c r="L464" t="n">
        <v>0</v>
      </c>
      <c r="M464" t="n">
        <v>0</v>
      </c>
      <c r="N464" t="n">
        <v>0</v>
      </c>
      <c r="O464" t="n">
        <v>0</v>
      </c>
      <c r="P464" t="n">
        <v>0</v>
      </c>
      <c r="Q464" t="n">
        <v>1</v>
      </c>
      <c r="R464" s="2" t="inlineStr">
        <is>
          <t>Korallblylav</t>
        </is>
      </c>
      <c r="S464">
        <f>HYPERLINK("https://klasma.github.io/Logging_1760/artfynd/A 21073-2021 artfynd.xlsx", "A 21073-2021")</f>
        <v/>
      </c>
      <c r="T464">
        <f>HYPERLINK("https://klasma.github.io/Logging_1760/kartor/A 21073-2021 karta.png", "A 21073-2021")</f>
        <v/>
      </c>
      <c r="V464">
        <f>HYPERLINK("https://klasma.github.io/Logging_1760/klagomål/A 21073-2021 FSC-klagomål.docx", "A 21073-2021")</f>
        <v/>
      </c>
      <c r="W464">
        <f>HYPERLINK("https://klasma.github.io/Logging_1760/klagomålsmail/A 21073-2021 FSC-klagomål mail.docx", "A 21073-2021")</f>
        <v/>
      </c>
      <c r="X464">
        <f>HYPERLINK("https://klasma.github.io/Logging_1760/tillsyn/A 21073-2021 tillsynsbegäran.docx", "A 21073-2021")</f>
        <v/>
      </c>
      <c r="Y464">
        <f>HYPERLINK("https://klasma.github.io/Logging_1760/tillsynsmail/A 21073-2021 tillsynsbegäran mail.docx", "A 21073-2021")</f>
        <v/>
      </c>
    </row>
    <row r="465" ht="15" customHeight="1">
      <c r="A465" t="inlineStr">
        <is>
          <t>A 24042-2021</t>
        </is>
      </c>
      <c r="B465" s="1" t="n">
        <v>44336</v>
      </c>
      <c r="C465" s="1" t="n">
        <v>45810</v>
      </c>
      <c r="D465" t="inlineStr">
        <is>
          <t>VÄRMLANDS LÄN</t>
        </is>
      </c>
      <c r="E465" t="inlineStr">
        <is>
          <t>TORSBY</t>
        </is>
      </c>
      <c r="G465" t="n">
        <v>4.5</v>
      </c>
      <c r="H465" t="n">
        <v>0</v>
      </c>
      <c r="I465" t="n">
        <v>1</v>
      </c>
      <c r="J465" t="n">
        <v>0</v>
      </c>
      <c r="K465" t="n">
        <v>0</v>
      </c>
      <c r="L465" t="n">
        <v>0</v>
      </c>
      <c r="M465" t="n">
        <v>0</v>
      </c>
      <c r="N465" t="n">
        <v>0</v>
      </c>
      <c r="O465" t="n">
        <v>0</v>
      </c>
      <c r="P465" t="n">
        <v>0</v>
      </c>
      <c r="Q465" t="n">
        <v>1</v>
      </c>
      <c r="R465" s="2" t="inlineStr">
        <is>
          <t>Stuplav</t>
        </is>
      </c>
      <c r="S465">
        <f>HYPERLINK("https://klasma.github.io/Logging_1737/artfynd/A 24042-2021 artfynd.xlsx", "A 24042-2021")</f>
        <v/>
      </c>
      <c r="T465">
        <f>HYPERLINK("https://klasma.github.io/Logging_1737/kartor/A 24042-2021 karta.png", "A 24042-2021")</f>
        <v/>
      </c>
      <c r="V465">
        <f>HYPERLINK("https://klasma.github.io/Logging_1737/klagomål/A 24042-2021 FSC-klagomål.docx", "A 24042-2021")</f>
        <v/>
      </c>
      <c r="W465">
        <f>HYPERLINK("https://klasma.github.io/Logging_1737/klagomålsmail/A 24042-2021 FSC-klagomål mail.docx", "A 24042-2021")</f>
        <v/>
      </c>
      <c r="X465">
        <f>HYPERLINK("https://klasma.github.io/Logging_1737/tillsyn/A 24042-2021 tillsynsbegäran.docx", "A 24042-2021")</f>
        <v/>
      </c>
      <c r="Y465">
        <f>HYPERLINK("https://klasma.github.io/Logging_1737/tillsynsmail/A 24042-2021 tillsynsbegäran mail.docx", "A 24042-2021")</f>
        <v/>
      </c>
    </row>
    <row r="466" ht="15" customHeight="1">
      <c r="A466" t="inlineStr">
        <is>
          <t>A 24022-2021</t>
        </is>
      </c>
      <c r="B466" s="1" t="n">
        <v>44336</v>
      </c>
      <c r="C466" s="1" t="n">
        <v>45810</v>
      </c>
      <c r="D466" t="inlineStr">
        <is>
          <t>VÄRMLANDS LÄN</t>
        </is>
      </c>
      <c r="E466" t="inlineStr">
        <is>
          <t>ARVIKA</t>
        </is>
      </c>
      <c r="G466" t="n">
        <v>6.8</v>
      </c>
      <c r="H466" t="n">
        <v>1</v>
      </c>
      <c r="I466" t="n">
        <v>0</v>
      </c>
      <c r="J466" t="n">
        <v>0</v>
      </c>
      <c r="K466" t="n">
        <v>0</v>
      </c>
      <c r="L466" t="n">
        <v>0</v>
      </c>
      <c r="M466" t="n">
        <v>0</v>
      </c>
      <c r="N466" t="n">
        <v>0</v>
      </c>
      <c r="O466" t="n">
        <v>0</v>
      </c>
      <c r="P466" t="n">
        <v>0</v>
      </c>
      <c r="Q466" t="n">
        <v>1</v>
      </c>
      <c r="R466" s="2" t="inlineStr">
        <is>
          <t>Skogsödla</t>
        </is>
      </c>
      <c r="S466">
        <f>HYPERLINK("https://klasma.github.io/Logging_1784/artfynd/A 24022-2021 artfynd.xlsx", "A 24022-2021")</f>
        <v/>
      </c>
      <c r="T466">
        <f>HYPERLINK("https://klasma.github.io/Logging_1784/kartor/A 24022-2021 karta.png", "A 24022-2021")</f>
        <v/>
      </c>
      <c r="V466">
        <f>HYPERLINK("https://klasma.github.io/Logging_1784/klagomål/A 24022-2021 FSC-klagomål.docx", "A 24022-2021")</f>
        <v/>
      </c>
      <c r="W466">
        <f>HYPERLINK("https://klasma.github.io/Logging_1784/klagomålsmail/A 24022-2021 FSC-klagomål mail.docx", "A 24022-2021")</f>
        <v/>
      </c>
      <c r="X466">
        <f>HYPERLINK("https://klasma.github.io/Logging_1784/tillsyn/A 24022-2021 tillsynsbegäran.docx", "A 24022-2021")</f>
        <v/>
      </c>
      <c r="Y466">
        <f>HYPERLINK("https://klasma.github.io/Logging_1784/tillsynsmail/A 24022-2021 tillsynsbegäran mail.docx", "A 24022-2021")</f>
        <v/>
      </c>
    </row>
    <row r="467" ht="15" customHeight="1">
      <c r="A467" t="inlineStr">
        <is>
          <t>A 24660-2021</t>
        </is>
      </c>
      <c r="B467" s="1" t="n">
        <v>44340</v>
      </c>
      <c r="C467" s="1" t="n">
        <v>45810</v>
      </c>
      <c r="D467" t="inlineStr">
        <is>
          <t>VÄRMLANDS LÄN</t>
        </is>
      </c>
      <c r="E467" t="inlineStr">
        <is>
          <t>SÄFFLE</t>
        </is>
      </c>
      <c r="G467" t="n">
        <v>6</v>
      </c>
      <c r="H467" t="n">
        <v>0</v>
      </c>
      <c r="I467" t="n">
        <v>0</v>
      </c>
      <c r="J467" t="n">
        <v>1</v>
      </c>
      <c r="K467" t="n">
        <v>0</v>
      </c>
      <c r="L467" t="n">
        <v>0</v>
      </c>
      <c r="M467" t="n">
        <v>0</v>
      </c>
      <c r="N467" t="n">
        <v>0</v>
      </c>
      <c r="O467" t="n">
        <v>1</v>
      </c>
      <c r="P467" t="n">
        <v>0</v>
      </c>
      <c r="Q467" t="n">
        <v>1</v>
      </c>
      <c r="R467" s="2" t="inlineStr">
        <is>
          <t>Svinrot</t>
        </is>
      </c>
      <c r="S467">
        <f>HYPERLINK("https://klasma.github.io/Logging_1785/artfynd/A 24660-2021 artfynd.xlsx", "A 24660-2021")</f>
        <v/>
      </c>
      <c r="T467">
        <f>HYPERLINK("https://klasma.github.io/Logging_1785/kartor/A 24660-2021 karta.png", "A 24660-2021")</f>
        <v/>
      </c>
      <c r="V467">
        <f>HYPERLINK("https://klasma.github.io/Logging_1785/klagomål/A 24660-2021 FSC-klagomål.docx", "A 24660-2021")</f>
        <v/>
      </c>
      <c r="W467">
        <f>HYPERLINK("https://klasma.github.io/Logging_1785/klagomålsmail/A 24660-2021 FSC-klagomål mail.docx", "A 24660-2021")</f>
        <v/>
      </c>
      <c r="X467">
        <f>HYPERLINK("https://klasma.github.io/Logging_1785/tillsyn/A 24660-2021 tillsynsbegäran.docx", "A 24660-2021")</f>
        <v/>
      </c>
      <c r="Y467">
        <f>HYPERLINK("https://klasma.github.io/Logging_1785/tillsynsmail/A 24660-2021 tillsynsbegäran mail.docx", "A 24660-2021")</f>
        <v/>
      </c>
    </row>
    <row r="468" ht="15" customHeight="1">
      <c r="A468" t="inlineStr">
        <is>
          <t>A 28445-2021</t>
        </is>
      </c>
      <c r="B468" s="1" t="n">
        <v>44356</v>
      </c>
      <c r="C468" s="1" t="n">
        <v>45810</v>
      </c>
      <c r="D468" t="inlineStr">
        <is>
          <t>VÄRMLANDS LÄN</t>
        </is>
      </c>
      <c r="E468" t="inlineStr">
        <is>
          <t>SUNNE</t>
        </is>
      </c>
      <c r="G468" t="n">
        <v>10.1</v>
      </c>
      <c r="H468" t="n">
        <v>1</v>
      </c>
      <c r="I468" t="n">
        <v>0</v>
      </c>
      <c r="J468" t="n">
        <v>0</v>
      </c>
      <c r="K468" t="n">
        <v>0</v>
      </c>
      <c r="L468" t="n">
        <v>0</v>
      </c>
      <c r="M468" t="n">
        <v>0</v>
      </c>
      <c r="N468" t="n">
        <v>0</v>
      </c>
      <c r="O468" t="n">
        <v>0</v>
      </c>
      <c r="P468" t="n">
        <v>0</v>
      </c>
      <c r="Q468" t="n">
        <v>1</v>
      </c>
      <c r="R468" s="2" t="inlineStr">
        <is>
          <t>Blåsippa</t>
        </is>
      </c>
      <c r="S468">
        <f>HYPERLINK("https://klasma.github.io/Logging_1766/artfynd/A 28445-2021 artfynd.xlsx", "A 28445-2021")</f>
        <v/>
      </c>
      <c r="T468">
        <f>HYPERLINK("https://klasma.github.io/Logging_1766/kartor/A 28445-2021 karta.png", "A 28445-2021")</f>
        <v/>
      </c>
      <c r="V468">
        <f>HYPERLINK("https://klasma.github.io/Logging_1766/klagomål/A 28445-2021 FSC-klagomål.docx", "A 28445-2021")</f>
        <v/>
      </c>
      <c r="W468">
        <f>HYPERLINK("https://klasma.github.io/Logging_1766/klagomålsmail/A 28445-2021 FSC-klagomål mail.docx", "A 28445-2021")</f>
        <v/>
      </c>
      <c r="X468">
        <f>HYPERLINK("https://klasma.github.io/Logging_1766/tillsyn/A 28445-2021 tillsynsbegäran.docx", "A 28445-2021")</f>
        <v/>
      </c>
      <c r="Y468">
        <f>HYPERLINK("https://klasma.github.io/Logging_1766/tillsynsmail/A 28445-2021 tillsynsbegäran mail.docx", "A 28445-2021")</f>
        <v/>
      </c>
    </row>
    <row r="469" ht="15" customHeight="1">
      <c r="A469" t="inlineStr">
        <is>
          <t>A 28418-2021</t>
        </is>
      </c>
      <c r="B469" s="1" t="n">
        <v>44356</v>
      </c>
      <c r="C469" s="1" t="n">
        <v>45810</v>
      </c>
      <c r="D469" t="inlineStr">
        <is>
          <t>VÄRMLANDS LÄN</t>
        </is>
      </c>
      <c r="E469" t="inlineStr">
        <is>
          <t>ÅRJÄNG</t>
        </is>
      </c>
      <c r="G469" t="n">
        <v>1.6</v>
      </c>
      <c r="H469" t="n">
        <v>0</v>
      </c>
      <c r="I469" t="n">
        <v>1</v>
      </c>
      <c r="J469" t="n">
        <v>0</v>
      </c>
      <c r="K469" t="n">
        <v>0</v>
      </c>
      <c r="L469" t="n">
        <v>0</v>
      </c>
      <c r="M469" t="n">
        <v>0</v>
      </c>
      <c r="N469" t="n">
        <v>0</v>
      </c>
      <c r="O469" t="n">
        <v>0</v>
      </c>
      <c r="P469" t="n">
        <v>0</v>
      </c>
      <c r="Q469" t="n">
        <v>1</v>
      </c>
      <c r="R469" s="2" t="inlineStr">
        <is>
          <t>Stubbspretmossa</t>
        </is>
      </c>
      <c r="S469">
        <f>HYPERLINK("https://klasma.github.io/Logging_1765/artfynd/A 28418-2021 artfynd.xlsx", "A 28418-2021")</f>
        <v/>
      </c>
      <c r="T469">
        <f>HYPERLINK("https://klasma.github.io/Logging_1765/kartor/A 28418-2021 karta.png", "A 28418-2021")</f>
        <v/>
      </c>
      <c r="V469">
        <f>HYPERLINK("https://klasma.github.io/Logging_1765/klagomål/A 28418-2021 FSC-klagomål.docx", "A 28418-2021")</f>
        <v/>
      </c>
      <c r="W469">
        <f>HYPERLINK("https://klasma.github.io/Logging_1765/klagomålsmail/A 28418-2021 FSC-klagomål mail.docx", "A 28418-2021")</f>
        <v/>
      </c>
      <c r="X469">
        <f>HYPERLINK("https://klasma.github.io/Logging_1765/tillsyn/A 28418-2021 tillsynsbegäran.docx", "A 28418-2021")</f>
        <v/>
      </c>
      <c r="Y469">
        <f>HYPERLINK("https://klasma.github.io/Logging_1765/tillsynsmail/A 28418-2021 tillsynsbegäran mail.docx", "A 28418-2021")</f>
        <v/>
      </c>
    </row>
    <row r="470" ht="15" customHeight="1">
      <c r="A470" t="inlineStr">
        <is>
          <t>A 33243-2021</t>
        </is>
      </c>
      <c r="B470" s="1" t="n">
        <v>44377</v>
      </c>
      <c r="C470" s="1" t="n">
        <v>45810</v>
      </c>
      <c r="D470" t="inlineStr">
        <is>
          <t>VÄRMLANDS LÄN</t>
        </is>
      </c>
      <c r="E470" t="inlineStr">
        <is>
          <t>EDA</t>
        </is>
      </c>
      <c r="G470" t="n">
        <v>7.1</v>
      </c>
      <c r="H470" t="n">
        <v>0</v>
      </c>
      <c r="I470" t="n">
        <v>0</v>
      </c>
      <c r="J470" t="n">
        <v>1</v>
      </c>
      <c r="K470" t="n">
        <v>0</v>
      </c>
      <c r="L470" t="n">
        <v>0</v>
      </c>
      <c r="M470" t="n">
        <v>0</v>
      </c>
      <c r="N470" t="n">
        <v>0</v>
      </c>
      <c r="O470" t="n">
        <v>1</v>
      </c>
      <c r="P470" t="n">
        <v>0</v>
      </c>
      <c r="Q470" t="n">
        <v>1</v>
      </c>
      <c r="R470" s="2" t="inlineStr">
        <is>
          <t>Garnlav</t>
        </is>
      </c>
      <c r="S470">
        <f>HYPERLINK("https://klasma.github.io/Logging_1730/artfynd/A 33243-2021 artfynd.xlsx", "A 33243-2021")</f>
        <v/>
      </c>
      <c r="T470">
        <f>HYPERLINK("https://klasma.github.io/Logging_1730/kartor/A 33243-2021 karta.png", "A 33243-2021")</f>
        <v/>
      </c>
      <c r="V470">
        <f>HYPERLINK("https://klasma.github.io/Logging_1730/klagomål/A 33243-2021 FSC-klagomål.docx", "A 33243-2021")</f>
        <v/>
      </c>
      <c r="W470">
        <f>HYPERLINK("https://klasma.github.io/Logging_1730/klagomålsmail/A 33243-2021 FSC-klagomål mail.docx", "A 33243-2021")</f>
        <v/>
      </c>
      <c r="X470">
        <f>HYPERLINK("https://klasma.github.io/Logging_1730/tillsyn/A 33243-2021 tillsynsbegäran.docx", "A 33243-2021")</f>
        <v/>
      </c>
      <c r="Y470">
        <f>HYPERLINK("https://klasma.github.io/Logging_1730/tillsynsmail/A 33243-2021 tillsynsbegäran mail.docx", "A 33243-2021")</f>
        <v/>
      </c>
    </row>
    <row r="471" ht="15" customHeight="1">
      <c r="A471" t="inlineStr">
        <is>
          <t>A 33758-2021</t>
        </is>
      </c>
      <c r="B471" s="1" t="n">
        <v>44378</v>
      </c>
      <c r="C471" s="1" t="n">
        <v>45810</v>
      </c>
      <c r="D471" t="inlineStr">
        <is>
          <t>VÄRMLANDS LÄN</t>
        </is>
      </c>
      <c r="E471" t="inlineStr">
        <is>
          <t>ARVIKA</t>
        </is>
      </c>
      <c r="G471" t="n">
        <v>0.7</v>
      </c>
      <c r="H471" t="n">
        <v>1</v>
      </c>
      <c r="I471" t="n">
        <v>0</v>
      </c>
      <c r="J471" t="n">
        <v>0</v>
      </c>
      <c r="K471" t="n">
        <v>1</v>
      </c>
      <c r="L471" t="n">
        <v>0</v>
      </c>
      <c r="M471" t="n">
        <v>0</v>
      </c>
      <c r="N471" t="n">
        <v>0</v>
      </c>
      <c r="O471" t="n">
        <v>1</v>
      </c>
      <c r="P471" t="n">
        <v>1</v>
      </c>
      <c r="Q471" t="n">
        <v>1</v>
      </c>
      <c r="R471" s="2" t="inlineStr">
        <is>
          <t>Knärot</t>
        </is>
      </c>
      <c r="S471">
        <f>HYPERLINK("https://klasma.github.io/Logging_1784/artfynd/A 33758-2021 artfynd.xlsx", "A 33758-2021")</f>
        <v/>
      </c>
      <c r="T471">
        <f>HYPERLINK("https://klasma.github.io/Logging_1784/kartor/A 33758-2021 karta.png", "A 33758-2021")</f>
        <v/>
      </c>
      <c r="U471">
        <f>HYPERLINK("https://klasma.github.io/Logging_1784/knärot/A 33758-2021 karta knärot.png", "A 33758-2021")</f>
        <v/>
      </c>
      <c r="V471">
        <f>HYPERLINK("https://klasma.github.io/Logging_1784/klagomål/A 33758-2021 FSC-klagomål.docx", "A 33758-2021")</f>
        <v/>
      </c>
      <c r="W471">
        <f>HYPERLINK("https://klasma.github.io/Logging_1784/klagomålsmail/A 33758-2021 FSC-klagomål mail.docx", "A 33758-2021")</f>
        <v/>
      </c>
      <c r="X471">
        <f>HYPERLINK("https://klasma.github.io/Logging_1784/tillsyn/A 33758-2021 tillsynsbegäran.docx", "A 33758-2021")</f>
        <v/>
      </c>
      <c r="Y471">
        <f>HYPERLINK("https://klasma.github.io/Logging_1784/tillsynsmail/A 33758-2021 tillsynsbegäran mail.docx", "A 33758-2021")</f>
        <v/>
      </c>
    </row>
    <row r="472" ht="15" customHeight="1">
      <c r="A472" t="inlineStr">
        <is>
          <t>A 34188-2021</t>
        </is>
      </c>
      <c r="B472" s="1" t="n">
        <v>44379</v>
      </c>
      <c r="C472" s="1" t="n">
        <v>45810</v>
      </c>
      <c r="D472" t="inlineStr">
        <is>
          <t>VÄRMLANDS LÄN</t>
        </is>
      </c>
      <c r="E472" t="inlineStr">
        <is>
          <t>ÅRJÄNG</t>
        </is>
      </c>
      <c r="G472" t="n">
        <v>5.5</v>
      </c>
      <c r="H472" t="n">
        <v>1</v>
      </c>
      <c r="I472" t="n">
        <v>0</v>
      </c>
      <c r="J472" t="n">
        <v>1</v>
      </c>
      <c r="K472" t="n">
        <v>0</v>
      </c>
      <c r="L472" t="n">
        <v>0</v>
      </c>
      <c r="M472" t="n">
        <v>0</v>
      </c>
      <c r="N472" t="n">
        <v>0</v>
      </c>
      <c r="O472" t="n">
        <v>1</v>
      </c>
      <c r="P472" t="n">
        <v>0</v>
      </c>
      <c r="Q472" t="n">
        <v>1</v>
      </c>
      <c r="R472" s="2" t="inlineStr">
        <is>
          <t>Järpe</t>
        </is>
      </c>
      <c r="S472">
        <f>HYPERLINK("https://klasma.github.io/Logging_1765/artfynd/A 34188-2021 artfynd.xlsx", "A 34188-2021")</f>
        <v/>
      </c>
      <c r="T472">
        <f>HYPERLINK("https://klasma.github.io/Logging_1765/kartor/A 34188-2021 karta.png", "A 34188-2021")</f>
        <v/>
      </c>
      <c r="V472">
        <f>HYPERLINK("https://klasma.github.io/Logging_1765/klagomål/A 34188-2021 FSC-klagomål.docx", "A 34188-2021")</f>
        <v/>
      </c>
      <c r="W472">
        <f>HYPERLINK("https://klasma.github.io/Logging_1765/klagomålsmail/A 34188-2021 FSC-klagomål mail.docx", "A 34188-2021")</f>
        <v/>
      </c>
      <c r="X472">
        <f>HYPERLINK("https://klasma.github.io/Logging_1765/tillsyn/A 34188-2021 tillsynsbegäran.docx", "A 34188-2021")</f>
        <v/>
      </c>
      <c r="Y472">
        <f>HYPERLINK("https://klasma.github.io/Logging_1765/tillsynsmail/A 34188-2021 tillsynsbegäran mail.docx", "A 34188-2021")</f>
        <v/>
      </c>
      <c r="Z472">
        <f>HYPERLINK("https://klasma.github.io/Logging_1765/fåglar/A 34188-2021 prioriterade fågelarter.docx", "A 34188-2021")</f>
        <v/>
      </c>
    </row>
    <row r="473" ht="15" customHeight="1">
      <c r="A473" t="inlineStr">
        <is>
          <t>A 34876-2021</t>
        </is>
      </c>
      <c r="B473" s="1" t="n">
        <v>44383</v>
      </c>
      <c r="C473" s="1" t="n">
        <v>45810</v>
      </c>
      <c r="D473" t="inlineStr">
        <is>
          <t>VÄRMLANDS LÄN</t>
        </is>
      </c>
      <c r="E473" t="inlineStr">
        <is>
          <t>TORSBY</t>
        </is>
      </c>
      <c r="G473" t="n">
        <v>4.7</v>
      </c>
      <c r="H473" t="n">
        <v>0</v>
      </c>
      <c r="I473" t="n">
        <v>0</v>
      </c>
      <c r="J473" t="n">
        <v>1</v>
      </c>
      <c r="K473" t="n">
        <v>0</v>
      </c>
      <c r="L473" t="n">
        <v>0</v>
      </c>
      <c r="M473" t="n">
        <v>0</v>
      </c>
      <c r="N473" t="n">
        <v>0</v>
      </c>
      <c r="O473" t="n">
        <v>1</v>
      </c>
      <c r="P473" t="n">
        <v>0</v>
      </c>
      <c r="Q473" t="n">
        <v>1</v>
      </c>
      <c r="R473" s="2" t="inlineStr">
        <is>
          <t>Doftskinn</t>
        </is>
      </c>
      <c r="S473">
        <f>HYPERLINK("https://klasma.github.io/Logging_1737/artfynd/A 34876-2021 artfynd.xlsx", "A 34876-2021")</f>
        <v/>
      </c>
      <c r="T473">
        <f>HYPERLINK("https://klasma.github.io/Logging_1737/kartor/A 34876-2021 karta.png", "A 34876-2021")</f>
        <v/>
      </c>
      <c r="V473">
        <f>HYPERLINK("https://klasma.github.io/Logging_1737/klagomål/A 34876-2021 FSC-klagomål.docx", "A 34876-2021")</f>
        <v/>
      </c>
      <c r="W473">
        <f>HYPERLINK("https://klasma.github.io/Logging_1737/klagomålsmail/A 34876-2021 FSC-klagomål mail.docx", "A 34876-2021")</f>
        <v/>
      </c>
      <c r="X473">
        <f>HYPERLINK("https://klasma.github.io/Logging_1737/tillsyn/A 34876-2021 tillsynsbegäran.docx", "A 34876-2021")</f>
        <v/>
      </c>
      <c r="Y473">
        <f>HYPERLINK("https://klasma.github.io/Logging_1737/tillsynsmail/A 34876-2021 tillsynsbegäran mail.docx", "A 34876-2021")</f>
        <v/>
      </c>
    </row>
    <row r="474" ht="15" customHeight="1">
      <c r="A474" t="inlineStr">
        <is>
          <t>A 34853-2021</t>
        </is>
      </c>
      <c r="B474" s="1" t="n">
        <v>44383</v>
      </c>
      <c r="C474" s="1" t="n">
        <v>45810</v>
      </c>
      <c r="D474" t="inlineStr">
        <is>
          <t>VÄRMLANDS LÄN</t>
        </is>
      </c>
      <c r="E474" t="inlineStr">
        <is>
          <t>TORSBY</t>
        </is>
      </c>
      <c r="G474" t="n">
        <v>14.8</v>
      </c>
      <c r="H474" t="n">
        <v>1</v>
      </c>
      <c r="I474" t="n">
        <v>0</v>
      </c>
      <c r="J474" t="n">
        <v>1</v>
      </c>
      <c r="K474" t="n">
        <v>0</v>
      </c>
      <c r="L474" t="n">
        <v>0</v>
      </c>
      <c r="M474" t="n">
        <v>0</v>
      </c>
      <c r="N474" t="n">
        <v>0</v>
      </c>
      <c r="O474" t="n">
        <v>1</v>
      </c>
      <c r="P474" t="n">
        <v>0</v>
      </c>
      <c r="Q474" t="n">
        <v>1</v>
      </c>
      <c r="R474" s="2" t="inlineStr">
        <is>
          <t>Talltita</t>
        </is>
      </c>
      <c r="S474">
        <f>HYPERLINK("https://klasma.github.io/Logging_1737/artfynd/A 34853-2021 artfynd.xlsx", "A 34853-2021")</f>
        <v/>
      </c>
      <c r="T474">
        <f>HYPERLINK("https://klasma.github.io/Logging_1737/kartor/A 34853-2021 karta.png", "A 34853-2021")</f>
        <v/>
      </c>
      <c r="V474">
        <f>HYPERLINK("https://klasma.github.io/Logging_1737/klagomål/A 34853-2021 FSC-klagomål.docx", "A 34853-2021")</f>
        <v/>
      </c>
      <c r="W474">
        <f>HYPERLINK("https://klasma.github.io/Logging_1737/klagomålsmail/A 34853-2021 FSC-klagomål mail.docx", "A 34853-2021")</f>
        <v/>
      </c>
      <c r="X474">
        <f>HYPERLINK("https://klasma.github.io/Logging_1737/tillsyn/A 34853-2021 tillsynsbegäran.docx", "A 34853-2021")</f>
        <v/>
      </c>
      <c r="Y474">
        <f>HYPERLINK("https://klasma.github.io/Logging_1737/tillsynsmail/A 34853-2021 tillsynsbegäran mail.docx", "A 34853-2021")</f>
        <v/>
      </c>
      <c r="Z474">
        <f>HYPERLINK("https://klasma.github.io/Logging_1737/fåglar/A 34853-2021 prioriterade fågelarter.docx", "A 34853-2021")</f>
        <v/>
      </c>
    </row>
    <row r="475" ht="15" customHeight="1">
      <c r="A475" t="inlineStr">
        <is>
          <t>A 36792-2021</t>
        </is>
      </c>
      <c r="B475" s="1" t="n">
        <v>44392</v>
      </c>
      <c r="C475" s="1" t="n">
        <v>45810</v>
      </c>
      <c r="D475" t="inlineStr">
        <is>
          <t>VÄRMLANDS LÄN</t>
        </is>
      </c>
      <c r="E475" t="inlineStr">
        <is>
          <t>SÄFFLE</t>
        </is>
      </c>
      <c r="G475" t="n">
        <v>4.5</v>
      </c>
      <c r="H475" t="n">
        <v>1</v>
      </c>
      <c r="I475" t="n">
        <v>0</v>
      </c>
      <c r="J475" t="n">
        <v>0</v>
      </c>
      <c r="K475" t="n">
        <v>0</v>
      </c>
      <c r="L475" t="n">
        <v>0</v>
      </c>
      <c r="M475" t="n">
        <v>0</v>
      </c>
      <c r="N475" t="n">
        <v>0</v>
      </c>
      <c r="O475" t="n">
        <v>0</v>
      </c>
      <c r="P475" t="n">
        <v>0</v>
      </c>
      <c r="Q475" t="n">
        <v>1</v>
      </c>
      <c r="R475" s="2" t="inlineStr">
        <is>
          <t>Grönvit nattviol</t>
        </is>
      </c>
      <c r="S475">
        <f>HYPERLINK("https://klasma.github.io/Logging_1785/artfynd/A 36792-2021 artfynd.xlsx", "A 36792-2021")</f>
        <v/>
      </c>
      <c r="T475">
        <f>HYPERLINK("https://klasma.github.io/Logging_1785/kartor/A 36792-2021 karta.png", "A 36792-2021")</f>
        <v/>
      </c>
      <c r="V475">
        <f>HYPERLINK("https://klasma.github.io/Logging_1785/klagomål/A 36792-2021 FSC-klagomål.docx", "A 36792-2021")</f>
        <v/>
      </c>
      <c r="W475">
        <f>HYPERLINK("https://klasma.github.io/Logging_1785/klagomålsmail/A 36792-2021 FSC-klagomål mail.docx", "A 36792-2021")</f>
        <v/>
      </c>
      <c r="X475">
        <f>HYPERLINK("https://klasma.github.io/Logging_1785/tillsyn/A 36792-2021 tillsynsbegäran.docx", "A 36792-2021")</f>
        <v/>
      </c>
      <c r="Y475">
        <f>HYPERLINK("https://klasma.github.io/Logging_1785/tillsynsmail/A 36792-2021 tillsynsbegäran mail.docx", "A 36792-2021")</f>
        <v/>
      </c>
    </row>
    <row r="476" ht="15" customHeight="1">
      <c r="A476" t="inlineStr">
        <is>
          <t>A 37342-2021</t>
        </is>
      </c>
      <c r="B476" s="1" t="n">
        <v>44397</v>
      </c>
      <c r="C476" s="1" t="n">
        <v>45810</v>
      </c>
      <c r="D476" t="inlineStr">
        <is>
          <t>VÄRMLANDS LÄN</t>
        </is>
      </c>
      <c r="E476" t="inlineStr">
        <is>
          <t>ARVIKA</t>
        </is>
      </c>
      <c r="G476" t="n">
        <v>3.5</v>
      </c>
      <c r="H476" t="n">
        <v>1</v>
      </c>
      <c r="I476" t="n">
        <v>0</v>
      </c>
      <c r="J476" t="n">
        <v>0</v>
      </c>
      <c r="K476" t="n">
        <v>1</v>
      </c>
      <c r="L476" t="n">
        <v>0</v>
      </c>
      <c r="M476" t="n">
        <v>0</v>
      </c>
      <c r="N476" t="n">
        <v>0</v>
      </c>
      <c r="O476" t="n">
        <v>1</v>
      </c>
      <c r="P476" t="n">
        <v>1</v>
      </c>
      <c r="Q476" t="n">
        <v>1</v>
      </c>
      <c r="R476" s="2" t="inlineStr">
        <is>
          <t>Knärot</t>
        </is>
      </c>
      <c r="S476">
        <f>HYPERLINK("https://klasma.github.io/Logging_1784/artfynd/A 37342-2021 artfynd.xlsx", "A 37342-2021")</f>
        <v/>
      </c>
      <c r="T476">
        <f>HYPERLINK("https://klasma.github.io/Logging_1784/kartor/A 37342-2021 karta.png", "A 37342-2021")</f>
        <v/>
      </c>
      <c r="U476">
        <f>HYPERLINK("https://klasma.github.io/Logging_1784/knärot/A 37342-2021 karta knärot.png", "A 37342-2021")</f>
        <v/>
      </c>
      <c r="V476">
        <f>HYPERLINK("https://klasma.github.io/Logging_1784/klagomål/A 37342-2021 FSC-klagomål.docx", "A 37342-2021")</f>
        <v/>
      </c>
      <c r="W476">
        <f>HYPERLINK("https://klasma.github.io/Logging_1784/klagomålsmail/A 37342-2021 FSC-klagomål mail.docx", "A 37342-2021")</f>
        <v/>
      </c>
      <c r="X476">
        <f>HYPERLINK("https://klasma.github.io/Logging_1784/tillsyn/A 37342-2021 tillsynsbegäran.docx", "A 37342-2021")</f>
        <v/>
      </c>
      <c r="Y476">
        <f>HYPERLINK("https://klasma.github.io/Logging_1784/tillsynsmail/A 37342-2021 tillsynsbegäran mail.docx", "A 37342-2021")</f>
        <v/>
      </c>
    </row>
    <row r="477" ht="15" customHeight="1">
      <c r="A477" t="inlineStr">
        <is>
          <t>A 38857-2021</t>
        </is>
      </c>
      <c r="B477" s="1" t="n">
        <v>44411</v>
      </c>
      <c r="C477" s="1" t="n">
        <v>45810</v>
      </c>
      <c r="D477" t="inlineStr">
        <is>
          <t>VÄRMLANDS LÄN</t>
        </is>
      </c>
      <c r="E477" t="inlineStr">
        <is>
          <t>FORSHAGA</t>
        </is>
      </c>
      <c r="F477" t="inlineStr">
        <is>
          <t>Bergvik skog väst AB</t>
        </is>
      </c>
      <c r="G477" t="n">
        <v>20.6</v>
      </c>
      <c r="H477" t="n">
        <v>0</v>
      </c>
      <c r="I477" t="n">
        <v>0</v>
      </c>
      <c r="J477" t="n">
        <v>1</v>
      </c>
      <c r="K477" t="n">
        <v>0</v>
      </c>
      <c r="L477" t="n">
        <v>0</v>
      </c>
      <c r="M477" t="n">
        <v>0</v>
      </c>
      <c r="N477" t="n">
        <v>0</v>
      </c>
      <c r="O477" t="n">
        <v>1</v>
      </c>
      <c r="P477" t="n">
        <v>0</v>
      </c>
      <c r="Q477" t="n">
        <v>1</v>
      </c>
      <c r="R477" s="2" t="inlineStr">
        <is>
          <t>Skogsklocka</t>
        </is>
      </c>
      <c r="S477">
        <f>HYPERLINK("https://klasma.github.io/Logging_1763/artfynd/A 38857-2021 artfynd.xlsx", "A 38857-2021")</f>
        <v/>
      </c>
      <c r="T477">
        <f>HYPERLINK("https://klasma.github.io/Logging_1763/kartor/A 38857-2021 karta.png", "A 38857-2021")</f>
        <v/>
      </c>
      <c r="V477">
        <f>HYPERLINK("https://klasma.github.io/Logging_1763/klagomål/A 38857-2021 FSC-klagomål.docx", "A 38857-2021")</f>
        <v/>
      </c>
      <c r="W477">
        <f>HYPERLINK("https://klasma.github.io/Logging_1763/klagomålsmail/A 38857-2021 FSC-klagomål mail.docx", "A 38857-2021")</f>
        <v/>
      </c>
      <c r="X477">
        <f>HYPERLINK("https://klasma.github.io/Logging_1763/tillsyn/A 38857-2021 tillsynsbegäran.docx", "A 38857-2021")</f>
        <v/>
      </c>
      <c r="Y477">
        <f>HYPERLINK("https://klasma.github.io/Logging_1763/tillsynsmail/A 38857-2021 tillsynsbegäran mail.docx", "A 38857-2021")</f>
        <v/>
      </c>
    </row>
    <row r="478" ht="15" customHeight="1">
      <c r="A478" t="inlineStr">
        <is>
          <t>A 40265-2021</t>
        </is>
      </c>
      <c r="B478" s="1" t="n">
        <v>44419</v>
      </c>
      <c r="C478" s="1" t="n">
        <v>45810</v>
      </c>
      <c r="D478" t="inlineStr">
        <is>
          <t>VÄRMLANDS LÄN</t>
        </is>
      </c>
      <c r="E478" t="inlineStr">
        <is>
          <t>TORSBY</t>
        </is>
      </c>
      <c r="F478" t="inlineStr">
        <is>
          <t>Bergvik skog väst AB</t>
        </is>
      </c>
      <c r="G478" t="n">
        <v>5.7</v>
      </c>
      <c r="H478" t="n">
        <v>1</v>
      </c>
      <c r="I478" t="n">
        <v>0</v>
      </c>
      <c r="J478" t="n">
        <v>1</v>
      </c>
      <c r="K478" t="n">
        <v>0</v>
      </c>
      <c r="L478" t="n">
        <v>0</v>
      </c>
      <c r="M478" t="n">
        <v>0</v>
      </c>
      <c r="N478" t="n">
        <v>0</v>
      </c>
      <c r="O478" t="n">
        <v>1</v>
      </c>
      <c r="P478" t="n">
        <v>0</v>
      </c>
      <c r="Q478" t="n">
        <v>1</v>
      </c>
      <c r="R478" s="2" t="inlineStr">
        <is>
          <t>Nordfladdermus</t>
        </is>
      </c>
      <c r="S478">
        <f>HYPERLINK("https://klasma.github.io/Logging_1737/artfynd/A 40265-2021 artfynd.xlsx", "A 40265-2021")</f>
        <v/>
      </c>
      <c r="T478">
        <f>HYPERLINK("https://klasma.github.io/Logging_1737/kartor/A 40265-2021 karta.png", "A 40265-2021")</f>
        <v/>
      </c>
      <c r="V478">
        <f>HYPERLINK("https://klasma.github.io/Logging_1737/klagomål/A 40265-2021 FSC-klagomål.docx", "A 40265-2021")</f>
        <v/>
      </c>
      <c r="W478">
        <f>HYPERLINK("https://klasma.github.io/Logging_1737/klagomålsmail/A 40265-2021 FSC-klagomål mail.docx", "A 40265-2021")</f>
        <v/>
      </c>
      <c r="X478">
        <f>HYPERLINK("https://klasma.github.io/Logging_1737/tillsyn/A 40265-2021 tillsynsbegäran.docx", "A 40265-2021")</f>
        <v/>
      </c>
      <c r="Y478">
        <f>HYPERLINK("https://klasma.github.io/Logging_1737/tillsynsmail/A 40265-2021 tillsynsbegäran mail.docx", "A 40265-2021")</f>
        <v/>
      </c>
    </row>
    <row r="479" ht="15" customHeight="1">
      <c r="A479" t="inlineStr">
        <is>
          <t>A 42209-2021</t>
        </is>
      </c>
      <c r="B479" s="1" t="n">
        <v>44426</v>
      </c>
      <c r="C479" s="1" t="n">
        <v>45810</v>
      </c>
      <c r="D479" t="inlineStr">
        <is>
          <t>VÄRMLANDS LÄN</t>
        </is>
      </c>
      <c r="E479" t="inlineStr">
        <is>
          <t>KIL</t>
        </is>
      </c>
      <c r="G479" t="n">
        <v>8.300000000000001</v>
      </c>
      <c r="H479" t="n">
        <v>0</v>
      </c>
      <c r="I479" t="n">
        <v>0</v>
      </c>
      <c r="J479" t="n">
        <v>1</v>
      </c>
      <c r="K479" t="n">
        <v>0</v>
      </c>
      <c r="L479" t="n">
        <v>0</v>
      </c>
      <c r="M479" t="n">
        <v>0</v>
      </c>
      <c r="N479" t="n">
        <v>0</v>
      </c>
      <c r="O479" t="n">
        <v>1</v>
      </c>
      <c r="P479" t="n">
        <v>0</v>
      </c>
      <c r="Q479" t="n">
        <v>1</v>
      </c>
      <c r="R479" s="2" t="inlineStr">
        <is>
          <t>Tallticka</t>
        </is>
      </c>
      <c r="S479">
        <f>HYPERLINK("https://klasma.github.io/Logging_1715/artfynd/A 42209-2021 artfynd.xlsx", "A 42209-2021")</f>
        <v/>
      </c>
      <c r="T479">
        <f>HYPERLINK("https://klasma.github.io/Logging_1715/kartor/A 42209-2021 karta.png", "A 42209-2021")</f>
        <v/>
      </c>
      <c r="V479">
        <f>HYPERLINK("https://klasma.github.io/Logging_1715/klagomål/A 42209-2021 FSC-klagomål.docx", "A 42209-2021")</f>
        <v/>
      </c>
      <c r="W479">
        <f>HYPERLINK("https://klasma.github.io/Logging_1715/klagomålsmail/A 42209-2021 FSC-klagomål mail.docx", "A 42209-2021")</f>
        <v/>
      </c>
      <c r="X479">
        <f>HYPERLINK("https://klasma.github.io/Logging_1715/tillsyn/A 42209-2021 tillsynsbegäran.docx", "A 42209-2021")</f>
        <v/>
      </c>
      <c r="Y479">
        <f>HYPERLINK("https://klasma.github.io/Logging_1715/tillsynsmail/A 42209-2021 tillsynsbegäran mail.docx", "A 42209-2021")</f>
        <v/>
      </c>
    </row>
    <row r="480" ht="15" customHeight="1">
      <c r="A480" t="inlineStr">
        <is>
          <t>A 43784-2021</t>
        </is>
      </c>
      <c r="B480" s="1" t="n">
        <v>44433</v>
      </c>
      <c r="C480" s="1" t="n">
        <v>45810</v>
      </c>
      <c r="D480" t="inlineStr">
        <is>
          <t>VÄRMLANDS LÄN</t>
        </is>
      </c>
      <c r="E480" t="inlineStr">
        <is>
          <t>TORSBY</t>
        </is>
      </c>
      <c r="G480" t="n">
        <v>5.2</v>
      </c>
      <c r="H480" t="n">
        <v>1</v>
      </c>
      <c r="I480" t="n">
        <v>0</v>
      </c>
      <c r="J480" t="n">
        <v>0</v>
      </c>
      <c r="K480" t="n">
        <v>0</v>
      </c>
      <c r="L480" t="n">
        <v>0</v>
      </c>
      <c r="M480" t="n">
        <v>0</v>
      </c>
      <c r="N480" t="n">
        <v>0</v>
      </c>
      <c r="O480" t="n">
        <v>0</v>
      </c>
      <c r="P480" t="n">
        <v>0</v>
      </c>
      <c r="Q480" t="n">
        <v>1</v>
      </c>
      <c r="R480" s="2" t="inlineStr">
        <is>
          <t>Kopparödla</t>
        </is>
      </c>
      <c r="S480">
        <f>HYPERLINK("https://klasma.github.io/Logging_1737/artfynd/A 43784-2021 artfynd.xlsx", "A 43784-2021")</f>
        <v/>
      </c>
      <c r="T480">
        <f>HYPERLINK("https://klasma.github.io/Logging_1737/kartor/A 43784-2021 karta.png", "A 43784-2021")</f>
        <v/>
      </c>
      <c r="V480">
        <f>HYPERLINK("https://klasma.github.io/Logging_1737/klagomål/A 43784-2021 FSC-klagomål.docx", "A 43784-2021")</f>
        <v/>
      </c>
      <c r="W480">
        <f>HYPERLINK("https://klasma.github.io/Logging_1737/klagomålsmail/A 43784-2021 FSC-klagomål mail.docx", "A 43784-2021")</f>
        <v/>
      </c>
      <c r="X480">
        <f>HYPERLINK("https://klasma.github.io/Logging_1737/tillsyn/A 43784-2021 tillsynsbegäran.docx", "A 43784-2021")</f>
        <v/>
      </c>
      <c r="Y480">
        <f>HYPERLINK("https://klasma.github.io/Logging_1737/tillsynsmail/A 43784-2021 tillsynsbegäran mail.docx", "A 43784-2021")</f>
        <v/>
      </c>
    </row>
    <row r="481" ht="15" customHeight="1">
      <c r="A481" t="inlineStr">
        <is>
          <t>A 45073-2021</t>
        </is>
      </c>
      <c r="B481" s="1" t="n">
        <v>44438</v>
      </c>
      <c r="C481" s="1" t="n">
        <v>45810</v>
      </c>
      <c r="D481" t="inlineStr">
        <is>
          <t>VÄRMLANDS LÄN</t>
        </is>
      </c>
      <c r="E481" t="inlineStr">
        <is>
          <t>HAGFORS</t>
        </is>
      </c>
      <c r="F481" t="inlineStr">
        <is>
          <t>Kyrkan</t>
        </is>
      </c>
      <c r="G481" t="n">
        <v>0.6</v>
      </c>
      <c r="H481" t="n">
        <v>0</v>
      </c>
      <c r="I481" t="n">
        <v>1</v>
      </c>
      <c r="J481" t="n">
        <v>0</v>
      </c>
      <c r="K481" t="n">
        <v>0</v>
      </c>
      <c r="L481" t="n">
        <v>0</v>
      </c>
      <c r="M481" t="n">
        <v>0</v>
      </c>
      <c r="N481" t="n">
        <v>0</v>
      </c>
      <c r="O481" t="n">
        <v>0</v>
      </c>
      <c r="P481" t="n">
        <v>0</v>
      </c>
      <c r="Q481" t="n">
        <v>1</v>
      </c>
      <c r="R481" s="2" t="inlineStr">
        <is>
          <t>Vedticka</t>
        </is>
      </c>
      <c r="S481">
        <f>HYPERLINK("https://klasma.github.io/Logging_1783/artfynd/A 45073-2021 artfynd.xlsx", "A 45073-2021")</f>
        <v/>
      </c>
      <c r="T481">
        <f>HYPERLINK("https://klasma.github.io/Logging_1783/kartor/A 45073-2021 karta.png", "A 45073-2021")</f>
        <v/>
      </c>
      <c r="V481">
        <f>HYPERLINK("https://klasma.github.io/Logging_1783/klagomål/A 45073-2021 FSC-klagomål.docx", "A 45073-2021")</f>
        <v/>
      </c>
      <c r="W481">
        <f>HYPERLINK("https://klasma.github.io/Logging_1783/klagomålsmail/A 45073-2021 FSC-klagomål mail.docx", "A 45073-2021")</f>
        <v/>
      </c>
      <c r="X481">
        <f>HYPERLINK("https://klasma.github.io/Logging_1783/tillsyn/A 45073-2021 tillsynsbegäran.docx", "A 45073-2021")</f>
        <v/>
      </c>
      <c r="Y481">
        <f>HYPERLINK("https://klasma.github.io/Logging_1783/tillsynsmail/A 45073-2021 tillsynsbegäran mail.docx", "A 45073-2021")</f>
        <v/>
      </c>
    </row>
    <row r="482" ht="15" customHeight="1">
      <c r="A482" t="inlineStr">
        <is>
          <t>A 46893-2021</t>
        </is>
      </c>
      <c r="B482" s="1" t="n">
        <v>44446</v>
      </c>
      <c r="C482" s="1" t="n">
        <v>45810</v>
      </c>
      <c r="D482" t="inlineStr">
        <is>
          <t>VÄRMLANDS LÄN</t>
        </is>
      </c>
      <c r="E482" t="inlineStr">
        <is>
          <t>SÄFFLE</t>
        </is>
      </c>
      <c r="G482" t="n">
        <v>5.4</v>
      </c>
      <c r="H482" t="n">
        <v>0</v>
      </c>
      <c r="I482" t="n">
        <v>0</v>
      </c>
      <c r="J482" t="n">
        <v>0</v>
      </c>
      <c r="K482" t="n">
        <v>1</v>
      </c>
      <c r="L482" t="n">
        <v>0</v>
      </c>
      <c r="M482" t="n">
        <v>0</v>
      </c>
      <c r="N482" t="n">
        <v>0</v>
      </c>
      <c r="O482" t="n">
        <v>1</v>
      </c>
      <c r="P482" t="n">
        <v>1</v>
      </c>
      <c r="Q482" t="n">
        <v>1</v>
      </c>
      <c r="R482" s="2" t="inlineStr">
        <is>
          <t>Slåttergubbe</t>
        </is>
      </c>
      <c r="S482">
        <f>HYPERLINK("https://klasma.github.io/Logging_1785/artfynd/A 46893-2021 artfynd.xlsx", "A 46893-2021")</f>
        <v/>
      </c>
      <c r="T482">
        <f>HYPERLINK("https://klasma.github.io/Logging_1785/kartor/A 46893-2021 karta.png", "A 46893-2021")</f>
        <v/>
      </c>
      <c r="V482">
        <f>HYPERLINK("https://klasma.github.io/Logging_1785/klagomål/A 46893-2021 FSC-klagomål.docx", "A 46893-2021")</f>
        <v/>
      </c>
      <c r="W482">
        <f>HYPERLINK("https://klasma.github.io/Logging_1785/klagomålsmail/A 46893-2021 FSC-klagomål mail.docx", "A 46893-2021")</f>
        <v/>
      </c>
      <c r="X482">
        <f>HYPERLINK("https://klasma.github.io/Logging_1785/tillsyn/A 46893-2021 tillsynsbegäran.docx", "A 46893-2021")</f>
        <v/>
      </c>
      <c r="Y482">
        <f>HYPERLINK("https://klasma.github.io/Logging_1785/tillsynsmail/A 46893-2021 tillsynsbegäran mail.docx", "A 46893-2021")</f>
        <v/>
      </c>
    </row>
    <row r="483" ht="15" customHeight="1">
      <c r="A483" t="inlineStr">
        <is>
          <t>A 48327-2021</t>
        </is>
      </c>
      <c r="B483" s="1" t="n">
        <v>44450</v>
      </c>
      <c r="C483" s="1" t="n">
        <v>45810</v>
      </c>
      <c r="D483" t="inlineStr">
        <is>
          <t>VÄRMLANDS LÄN</t>
        </is>
      </c>
      <c r="E483" t="inlineStr">
        <is>
          <t>SÄFFLE</t>
        </is>
      </c>
      <c r="G483" t="n">
        <v>2.2</v>
      </c>
      <c r="H483" t="n">
        <v>0</v>
      </c>
      <c r="I483" t="n">
        <v>0</v>
      </c>
      <c r="J483" t="n">
        <v>1</v>
      </c>
      <c r="K483" t="n">
        <v>0</v>
      </c>
      <c r="L483" t="n">
        <v>0</v>
      </c>
      <c r="M483" t="n">
        <v>0</v>
      </c>
      <c r="N483" t="n">
        <v>0</v>
      </c>
      <c r="O483" t="n">
        <v>1</v>
      </c>
      <c r="P483" t="n">
        <v>0</v>
      </c>
      <c r="Q483" t="n">
        <v>1</v>
      </c>
      <c r="R483" s="2" t="inlineStr">
        <is>
          <t>Skogsklocka</t>
        </is>
      </c>
      <c r="S483">
        <f>HYPERLINK("https://klasma.github.io/Logging_1785/artfynd/A 48327-2021 artfynd.xlsx", "A 48327-2021")</f>
        <v/>
      </c>
      <c r="T483">
        <f>HYPERLINK("https://klasma.github.io/Logging_1785/kartor/A 48327-2021 karta.png", "A 48327-2021")</f>
        <v/>
      </c>
      <c r="V483">
        <f>HYPERLINK("https://klasma.github.io/Logging_1785/klagomål/A 48327-2021 FSC-klagomål.docx", "A 48327-2021")</f>
        <v/>
      </c>
      <c r="W483">
        <f>HYPERLINK("https://klasma.github.io/Logging_1785/klagomålsmail/A 48327-2021 FSC-klagomål mail.docx", "A 48327-2021")</f>
        <v/>
      </c>
      <c r="X483">
        <f>HYPERLINK("https://klasma.github.io/Logging_1785/tillsyn/A 48327-2021 tillsynsbegäran.docx", "A 48327-2021")</f>
        <v/>
      </c>
      <c r="Y483">
        <f>HYPERLINK("https://klasma.github.io/Logging_1785/tillsynsmail/A 48327-2021 tillsynsbegäran mail.docx", "A 48327-2021")</f>
        <v/>
      </c>
    </row>
    <row r="484" ht="15" customHeight="1">
      <c r="A484" t="inlineStr">
        <is>
          <t>A 48420-2021</t>
        </is>
      </c>
      <c r="B484" s="1" t="n">
        <v>44452</v>
      </c>
      <c r="C484" s="1" t="n">
        <v>45810</v>
      </c>
      <c r="D484" t="inlineStr">
        <is>
          <t>VÄRMLANDS LÄN</t>
        </is>
      </c>
      <c r="E484" t="inlineStr">
        <is>
          <t>EDA</t>
        </is>
      </c>
      <c r="G484" t="n">
        <v>21.7</v>
      </c>
      <c r="H484" t="n">
        <v>0</v>
      </c>
      <c r="I484" t="n">
        <v>1</v>
      </c>
      <c r="J484" t="n">
        <v>0</v>
      </c>
      <c r="K484" t="n">
        <v>0</v>
      </c>
      <c r="L484" t="n">
        <v>0</v>
      </c>
      <c r="M484" t="n">
        <v>0</v>
      </c>
      <c r="N484" t="n">
        <v>0</v>
      </c>
      <c r="O484" t="n">
        <v>0</v>
      </c>
      <c r="P484" t="n">
        <v>0</v>
      </c>
      <c r="Q484" t="n">
        <v>1</v>
      </c>
      <c r="R484" s="2" t="inlineStr">
        <is>
          <t>Dropptaggsvamp</t>
        </is>
      </c>
      <c r="S484">
        <f>HYPERLINK("https://klasma.github.io/Logging_1730/artfynd/A 48420-2021 artfynd.xlsx", "A 48420-2021")</f>
        <v/>
      </c>
      <c r="T484">
        <f>HYPERLINK("https://klasma.github.io/Logging_1730/kartor/A 48420-2021 karta.png", "A 48420-2021")</f>
        <v/>
      </c>
      <c r="V484">
        <f>HYPERLINK("https://klasma.github.io/Logging_1730/klagomål/A 48420-2021 FSC-klagomål.docx", "A 48420-2021")</f>
        <v/>
      </c>
      <c r="W484">
        <f>HYPERLINK("https://klasma.github.io/Logging_1730/klagomålsmail/A 48420-2021 FSC-klagomål mail.docx", "A 48420-2021")</f>
        <v/>
      </c>
      <c r="X484">
        <f>HYPERLINK("https://klasma.github.io/Logging_1730/tillsyn/A 48420-2021 tillsynsbegäran.docx", "A 48420-2021")</f>
        <v/>
      </c>
      <c r="Y484">
        <f>HYPERLINK("https://klasma.github.io/Logging_1730/tillsynsmail/A 48420-2021 tillsynsbegäran mail.docx", "A 48420-2021")</f>
        <v/>
      </c>
    </row>
    <row r="485" ht="15" customHeight="1">
      <c r="A485" t="inlineStr">
        <is>
          <t>A 48449-2021</t>
        </is>
      </c>
      <c r="B485" s="1" t="n">
        <v>44452</v>
      </c>
      <c r="C485" s="1" t="n">
        <v>45810</v>
      </c>
      <c r="D485" t="inlineStr">
        <is>
          <t>VÄRMLANDS LÄN</t>
        </is>
      </c>
      <c r="E485" t="inlineStr">
        <is>
          <t>ÅRJÄNG</t>
        </is>
      </c>
      <c r="G485" t="n">
        <v>0.9</v>
      </c>
      <c r="H485" t="n">
        <v>1</v>
      </c>
      <c r="I485" t="n">
        <v>0</v>
      </c>
      <c r="J485" t="n">
        <v>0</v>
      </c>
      <c r="K485" t="n">
        <v>1</v>
      </c>
      <c r="L485" t="n">
        <v>0</v>
      </c>
      <c r="M485" t="n">
        <v>0</v>
      </c>
      <c r="N485" t="n">
        <v>0</v>
      </c>
      <c r="O485" t="n">
        <v>1</v>
      </c>
      <c r="P485" t="n">
        <v>1</v>
      </c>
      <c r="Q485" t="n">
        <v>1</v>
      </c>
      <c r="R485" s="2" t="inlineStr">
        <is>
          <t>Knärot</t>
        </is>
      </c>
      <c r="S485">
        <f>HYPERLINK("https://klasma.github.io/Logging_1765/artfynd/A 48449-2021 artfynd.xlsx", "A 48449-2021")</f>
        <v/>
      </c>
      <c r="T485">
        <f>HYPERLINK("https://klasma.github.io/Logging_1765/kartor/A 48449-2021 karta.png", "A 48449-2021")</f>
        <v/>
      </c>
      <c r="U485">
        <f>HYPERLINK("https://klasma.github.io/Logging_1765/knärot/A 48449-2021 karta knärot.png", "A 48449-2021")</f>
        <v/>
      </c>
      <c r="V485">
        <f>HYPERLINK("https://klasma.github.io/Logging_1765/klagomål/A 48449-2021 FSC-klagomål.docx", "A 48449-2021")</f>
        <v/>
      </c>
      <c r="W485">
        <f>HYPERLINK("https://klasma.github.io/Logging_1765/klagomålsmail/A 48449-2021 FSC-klagomål mail.docx", "A 48449-2021")</f>
        <v/>
      </c>
      <c r="X485">
        <f>HYPERLINK("https://klasma.github.io/Logging_1765/tillsyn/A 48449-2021 tillsynsbegäran.docx", "A 48449-2021")</f>
        <v/>
      </c>
      <c r="Y485">
        <f>HYPERLINK("https://klasma.github.io/Logging_1765/tillsynsmail/A 48449-2021 tillsynsbegäran mail.docx", "A 48449-2021")</f>
        <v/>
      </c>
    </row>
    <row r="486" ht="15" customHeight="1">
      <c r="A486" t="inlineStr">
        <is>
          <t>A 49110-2021</t>
        </is>
      </c>
      <c r="B486" s="1" t="n">
        <v>44453</v>
      </c>
      <c r="C486" s="1" t="n">
        <v>45810</v>
      </c>
      <c r="D486" t="inlineStr">
        <is>
          <t>VÄRMLANDS LÄN</t>
        </is>
      </c>
      <c r="E486" t="inlineStr">
        <is>
          <t>TORSBY</t>
        </is>
      </c>
      <c r="G486" t="n">
        <v>33.8</v>
      </c>
      <c r="H486" t="n">
        <v>0</v>
      </c>
      <c r="I486" t="n">
        <v>1</v>
      </c>
      <c r="J486" t="n">
        <v>0</v>
      </c>
      <c r="K486" t="n">
        <v>0</v>
      </c>
      <c r="L486" t="n">
        <v>0</v>
      </c>
      <c r="M486" t="n">
        <v>0</v>
      </c>
      <c r="N486" t="n">
        <v>0</v>
      </c>
      <c r="O486" t="n">
        <v>0</v>
      </c>
      <c r="P486" t="n">
        <v>0</v>
      </c>
      <c r="Q486" t="n">
        <v>1</v>
      </c>
      <c r="R486" s="2" t="inlineStr">
        <is>
          <t>Vedticka</t>
        </is>
      </c>
      <c r="S486">
        <f>HYPERLINK("https://klasma.github.io/Logging_1737/artfynd/A 49110-2021 artfynd.xlsx", "A 49110-2021")</f>
        <v/>
      </c>
      <c r="T486">
        <f>HYPERLINK("https://klasma.github.io/Logging_1737/kartor/A 49110-2021 karta.png", "A 49110-2021")</f>
        <v/>
      </c>
      <c r="V486">
        <f>HYPERLINK("https://klasma.github.io/Logging_1737/klagomål/A 49110-2021 FSC-klagomål.docx", "A 49110-2021")</f>
        <v/>
      </c>
      <c r="W486">
        <f>HYPERLINK("https://klasma.github.io/Logging_1737/klagomålsmail/A 49110-2021 FSC-klagomål mail.docx", "A 49110-2021")</f>
        <v/>
      </c>
      <c r="X486">
        <f>HYPERLINK("https://klasma.github.io/Logging_1737/tillsyn/A 49110-2021 tillsynsbegäran.docx", "A 49110-2021")</f>
        <v/>
      </c>
      <c r="Y486">
        <f>HYPERLINK("https://klasma.github.io/Logging_1737/tillsynsmail/A 49110-2021 tillsynsbegäran mail.docx", "A 49110-2021")</f>
        <v/>
      </c>
    </row>
    <row r="487" ht="15" customHeight="1">
      <c r="A487" t="inlineStr">
        <is>
          <t>A 50825-2021</t>
        </is>
      </c>
      <c r="B487" s="1" t="n">
        <v>44460</v>
      </c>
      <c r="C487" s="1" t="n">
        <v>45810</v>
      </c>
      <c r="D487" t="inlineStr">
        <is>
          <t>VÄRMLANDS LÄN</t>
        </is>
      </c>
      <c r="E487" t="inlineStr">
        <is>
          <t>KARLSTAD</t>
        </is>
      </c>
      <c r="F487" t="inlineStr">
        <is>
          <t>Kommuner</t>
        </is>
      </c>
      <c r="G487" t="n">
        <v>0.7</v>
      </c>
      <c r="H487" t="n">
        <v>0</v>
      </c>
      <c r="I487" t="n">
        <v>0</v>
      </c>
      <c r="J487" t="n">
        <v>1</v>
      </c>
      <c r="K487" t="n">
        <v>0</v>
      </c>
      <c r="L487" t="n">
        <v>0</v>
      </c>
      <c r="M487" t="n">
        <v>0</v>
      </c>
      <c r="N487" t="n">
        <v>0</v>
      </c>
      <c r="O487" t="n">
        <v>1</v>
      </c>
      <c r="P487" t="n">
        <v>0</v>
      </c>
      <c r="Q487" t="n">
        <v>1</v>
      </c>
      <c r="R487" s="2" t="inlineStr">
        <is>
          <t>Garnlav</t>
        </is>
      </c>
      <c r="S487">
        <f>HYPERLINK("https://klasma.github.io/Logging_1780/artfynd/A 50825-2021 artfynd.xlsx", "A 50825-2021")</f>
        <v/>
      </c>
      <c r="T487">
        <f>HYPERLINK("https://klasma.github.io/Logging_1780/kartor/A 50825-2021 karta.png", "A 50825-2021")</f>
        <v/>
      </c>
      <c r="V487">
        <f>HYPERLINK("https://klasma.github.io/Logging_1780/klagomål/A 50825-2021 FSC-klagomål.docx", "A 50825-2021")</f>
        <v/>
      </c>
      <c r="W487">
        <f>HYPERLINK("https://klasma.github.io/Logging_1780/klagomålsmail/A 50825-2021 FSC-klagomål mail.docx", "A 50825-2021")</f>
        <v/>
      </c>
      <c r="X487">
        <f>HYPERLINK("https://klasma.github.io/Logging_1780/tillsyn/A 50825-2021 tillsynsbegäran.docx", "A 50825-2021")</f>
        <v/>
      </c>
      <c r="Y487">
        <f>HYPERLINK("https://klasma.github.io/Logging_1780/tillsynsmail/A 50825-2021 tillsynsbegäran mail.docx", "A 50825-2021")</f>
        <v/>
      </c>
    </row>
    <row r="488" ht="15" customHeight="1">
      <c r="A488" t="inlineStr">
        <is>
          <t>A 54982-2021</t>
        </is>
      </c>
      <c r="B488" s="1" t="n">
        <v>44469</v>
      </c>
      <c r="C488" s="1" t="n">
        <v>45810</v>
      </c>
      <c r="D488" t="inlineStr">
        <is>
          <t>VÄRMLANDS LÄN</t>
        </is>
      </c>
      <c r="E488" t="inlineStr">
        <is>
          <t>TORSBY</t>
        </is>
      </c>
      <c r="G488" t="n">
        <v>4.1</v>
      </c>
      <c r="H488" t="n">
        <v>0</v>
      </c>
      <c r="I488" t="n">
        <v>1</v>
      </c>
      <c r="J488" t="n">
        <v>0</v>
      </c>
      <c r="K488" t="n">
        <v>0</v>
      </c>
      <c r="L488" t="n">
        <v>0</v>
      </c>
      <c r="M488" t="n">
        <v>0</v>
      </c>
      <c r="N488" t="n">
        <v>0</v>
      </c>
      <c r="O488" t="n">
        <v>0</v>
      </c>
      <c r="P488" t="n">
        <v>0</v>
      </c>
      <c r="Q488" t="n">
        <v>1</v>
      </c>
      <c r="R488" s="2" t="inlineStr">
        <is>
          <t>Tibast</t>
        </is>
      </c>
      <c r="S488">
        <f>HYPERLINK("https://klasma.github.io/Logging_1737/artfynd/A 54982-2021 artfynd.xlsx", "A 54982-2021")</f>
        <v/>
      </c>
      <c r="T488">
        <f>HYPERLINK("https://klasma.github.io/Logging_1737/kartor/A 54982-2021 karta.png", "A 54982-2021")</f>
        <v/>
      </c>
      <c r="V488">
        <f>HYPERLINK("https://klasma.github.io/Logging_1737/klagomål/A 54982-2021 FSC-klagomål.docx", "A 54982-2021")</f>
        <v/>
      </c>
      <c r="W488">
        <f>HYPERLINK("https://klasma.github.io/Logging_1737/klagomålsmail/A 54982-2021 FSC-klagomål mail.docx", "A 54982-2021")</f>
        <v/>
      </c>
      <c r="X488">
        <f>HYPERLINK("https://klasma.github.io/Logging_1737/tillsyn/A 54982-2021 tillsynsbegäran.docx", "A 54982-2021")</f>
        <v/>
      </c>
      <c r="Y488">
        <f>HYPERLINK("https://klasma.github.io/Logging_1737/tillsynsmail/A 54982-2021 tillsynsbegäran mail.docx", "A 54982-2021")</f>
        <v/>
      </c>
    </row>
    <row r="489" ht="15" customHeight="1">
      <c r="A489" t="inlineStr">
        <is>
          <t>A 54042-2021</t>
        </is>
      </c>
      <c r="B489" s="1" t="n">
        <v>44470</v>
      </c>
      <c r="C489" s="1" t="n">
        <v>45810</v>
      </c>
      <c r="D489" t="inlineStr">
        <is>
          <t>VÄRMLANDS LÄN</t>
        </is>
      </c>
      <c r="E489" t="inlineStr">
        <is>
          <t>GRUMS</t>
        </is>
      </c>
      <c r="G489" t="n">
        <v>7.8</v>
      </c>
      <c r="H489" t="n">
        <v>1</v>
      </c>
      <c r="I489" t="n">
        <v>0</v>
      </c>
      <c r="J489" t="n">
        <v>1</v>
      </c>
      <c r="K489" t="n">
        <v>0</v>
      </c>
      <c r="L489" t="n">
        <v>0</v>
      </c>
      <c r="M489" t="n">
        <v>0</v>
      </c>
      <c r="N489" t="n">
        <v>0</v>
      </c>
      <c r="O489" t="n">
        <v>1</v>
      </c>
      <c r="P489" t="n">
        <v>0</v>
      </c>
      <c r="Q489" t="n">
        <v>1</v>
      </c>
      <c r="R489" s="2" t="inlineStr">
        <is>
          <t>Spillkråka</t>
        </is>
      </c>
      <c r="S489">
        <f>HYPERLINK("https://klasma.github.io/Logging_1764/artfynd/A 54042-2021 artfynd.xlsx", "A 54042-2021")</f>
        <v/>
      </c>
      <c r="T489">
        <f>HYPERLINK("https://klasma.github.io/Logging_1764/kartor/A 54042-2021 karta.png", "A 54042-2021")</f>
        <v/>
      </c>
      <c r="V489">
        <f>HYPERLINK("https://klasma.github.io/Logging_1764/klagomål/A 54042-2021 FSC-klagomål.docx", "A 54042-2021")</f>
        <v/>
      </c>
      <c r="W489">
        <f>HYPERLINK("https://klasma.github.io/Logging_1764/klagomålsmail/A 54042-2021 FSC-klagomål mail.docx", "A 54042-2021")</f>
        <v/>
      </c>
      <c r="X489">
        <f>HYPERLINK("https://klasma.github.io/Logging_1764/tillsyn/A 54042-2021 tillsynsbegäran.docx", "A 54042-2021")</f>
        <v/>
      </c>
      <c r="Y489">
        <f>HYPERLINK("https://klasma.github.io/Logging_1764/tillsynsmail/A 54042-2021 tillsynsbegäran mail.docx", "A 54042-2021")</f>
        <v/>
      </c>
      <c r="Z489">
        <f>HYPERLINK("https://klasma.github.io/Logging_1764/fåglar/A 54042-2021 prioriterade fågelarter.docx", "A 54042-2021")</f>
        <v/>
      </c>
    </row>
    <row r="490" ht="15" customHeight="1">
      <c r="A490" t="inlineStr">
        <is>
          <t>A 55264-2021</t>
        </is>
      </c>
      <c r="B490" s="1" t="n">
        <v>44475</v>
      </c>
      <c r="C490" s="1" t="n">
        <v>45810</v>
      </c>
      <c r="D490" t="inlineStr">
        <is>
          <t>VÄRMLANDS LÄN</t>
        </is>
      </c>
      <c r="E490" t="inlineStr">
        <is>
          <t>KARLSTAD</t>
        </is>
      </c>
      <c r="F490" t="inlineStr">
        <is>
          <t>Kommuner</t>
        </is>
      </c>
      <c r="G490" t="n">
        <v>4</v>
      </c>
      <c r="H490" t="n">
        <v>0</v>
      </c>
      <c r="I490" t="n">
        <v>1</v>
      </c>
      <c r="J490" t="n">
        <v>0</v>
      </c>
      <c r="K490" t="n">
        <v>0</v>
      </c>
      <c r="L490" t="n">
        <v>0</v>
      </c>
      <c r="M490" t="n">
        <v>0</v>
      </c>
      <c r="N490" t="n">
        <v>0</v>
      </c>
      <c r="O490" t="n">
        <v>0</v>
      </c>
      <c r="P490" t="n">
        <v>0</v>
      </c>
      <c r="Q490" t="n">
        <v>1</v>
      </c>
      <c r="R490" s="2" t="inlineStr">
        <is>
          <t>Vedticka</t>
        </is>
      </c>
      <c r="S490">
        <f>HYPERLINK("https://klasma.github.io/Logging_1780/artfynd/A 55264-2021 artfynd.xlsx", "A 55264-2021")</f>
        <v/>
      </c>
      <c r="T490">
        <f>HYPERLINK("https://klasma.github.io/Logging_1780/kartor/A 55264-2021 karta.png", "A 55264-2021")</f>
        <v/>
      </c>
      <c r="V490">
        <f>HYPERLINK("https://klasma.github.io/Logging_1780/klagomål/A 55264-2021 FSC-klagomål.docx", "A 55264-2021")</f>
        <v/>
      </c>
      <c r="W490">
        <f>HYPERLINK("https://klasma.github.io/Logging_1780/klagomålsmail/A 55264-2021 FSC-klagomål mail.docx", "A 55264-2021")</f>
        <v/>
      </c>
      <c r="X490">
        <f>HYPERLINK("https://klasma.github.io/Logging_1780/tillsyn/A 55264-2021 tillsynsbegäran.docx", "A 55264-2021")</f>
        <v/>
      </c>
      <c r="Y490">
        <f>HYPERLINK("https://klasma.github.io/Logging_1780/tillsynsmail/A 55264-2021 tillsynsbegäran mail.docx", "A 55264-2021")</f>
        <v/>
      </c>
    </row>
    <row r="491" ht="15" customHeight="1">
      <c r="A491" t="inlineStr">
        <is>
          <t>A 56872-2021</t>
        </is>
      </c>
      <c r="B491" s="1" t="n">
        <v>44481</v>
      </c>
      <c r="C491" s="1" t="n">
        <v>45810</v>
      </c>
      <c r="D491" t="inlineStr">
        <is>
          <t>VÄRMLANDS LÄN</t>
        </is>
      </c>
      <c r="E491" t="inlineStr">
        <is>
          <t>ARVIKA</t>
        </is>
      </c>
      <c r="G491" t="n">
        <v>1.4</v>
      </c>
      <c r="H491" t="n">
        <v>1</v>
      </c>
      <c r="I491" t="n">
        <v>0</v>
      </c>
      <c r="J491" t="n">
        <v>0</v>
      </c>
      <c r="K491" t="n">
        <v>1</v>
      </c>
      <c r="L491" t="n">
        <v>0</v>
      </c>
      <c r="M491" t="n">
        <v>0</v>
      </c>
      <c r="N491" t="n">
        <v>0</v>
      </c>
      <c r="O491" t="n">
        <v>1</v>
      </c>
      <c r="P491" t="n">
        <v>1</v>
      </c>
      <c r="Q491" t="n">
        <v>1</v>
      </c>
      <c r="R491" s="2" t="inlineStr">
        <is>
          <t>Knärot</t>
        </is>
      </c>
      <c r="S491">
        <f>HYPERLINK("https://klasma.github.io/Logging_1784/artfynd/A 56872-2021 artfynd.xlsx", "A 56872-2021")</f>
        <v/>
      </c>
      <c r="T491">
        <f>HYPERLINK("https://klasma.github.io/Logging_1784/kartor/A 56872-2021 karta.png", "A 56872-2021")</f>
        <v/>
      </c>
      <c r="U491">
        <f>HYPERLINK("https://klasma.github.io/Logging_1784/knärot/A 56872-2021 karta knärot.png", "A 56872-2021")</f>
        <v/>
      </c>
      <c r="V491">
        <f>HYPERLINK("https://klasma.github.io/Logging_1784/klagomål/A 56872-2021 FSC-klagomål.docx", "A 56872-2021")</f>
        <v/>
      </c>
      <c r="W491">
        <f>HYPERLINK("https://klasma.github.io/Logging_1784/klagomålsmail/A 56872-2021 FSC-klagomål mail.docx", "A 56872-2021")</f>
        <v/>
      </c>
      <c r="X491">
        <f>HYPERLINK("https://klasma.github.io/Logging_1784/tillsyn/A 56872-2021 tillsynsbegäran.docx", "A 56872-2021")</f>
        <v/>
      </c>
      <c r="Y491">
        <f>HYPERLINK("https://klasma.github.io/Logging_1784/tillsynsmail/A 56872-2021 tillsynsbegäran mail.docx", "A 56872-2021")</f>
        <v/>
      </c>
    </row>
    <row r="492" ht="15" customHeight="1">
      <c r="A492" t="inlineStr">
        <is>
          <t>A 58471-2021</t>
        </is>
      </c>
      <c r="B492" s="1" t="n">
        <v>44488</v>
      </c>
      <c r="C492" s="1" t="n">
        <v>45810</v>
      </c>
      <c r="D492" t="inlineStr">
        <is>
          <t>VÄRMLANDS LÄN</t>
        </is>
      </c>
      <c r="E492" t="inlineStr">
        <is>
          <t>TORSBY</t>
        </is>
      </c>
      <c r="G492" t="n">
        <v>2.5</v>
      </c>
      <c r="H492" t="n">
        <v>0</v>
      </c>
      <c r="I492" t="n">
        <v>1</v>
      </c>
      <c r="J492" t="n">
        <v>0</v>
      </c>
      <c r="K492" t="n">
        <v>0</v>
      </c>
      <c r="L492" t="n">
        <v>0</v>
      </c>
      <c r="M492" t="n">
        <v>0</v>
      </c>
      <c r="N492" t="n">
        <v>0</v>
      </c>
      <c r="O492" t="n">
        <v>0</v>
      </c>
      <c r="P492" t="n">
        <v>0</v>
      </c>
      <c r="Q492" t="n">
        <v>1</v>
      </c>
      <c r="R492" s="2" t="inlineStr">
        <is>
          <t>Korallblylav</t>
        </is>
      </c>
      <c r="S492">
        <f>HYPERLINK("https://klasma.github.io/Logging_1737/artfynd/A 58471-2021 artfynd.xlsx", "A 58471-2021")</f>
        <v/>
      </c>
      <c r="T492">
        <f>HYPERLINK("https://klasma.github.io/Logging_1737/kartor/A 58471-2021 karta.png", "A 58471-2021")</f>
        <v/>
      </c>
      <c r="V492">
        <f>HYPERLINK("https://klasma.github.io/Logging_1737/klagomål/A 58471-2021 FSC-klagomål.docx", "A 58471-2021")</f>
        <v/>
      </c>
      <c r="W492">
        <f>HYPERLINK("https://klasma.github.io/Logging_1737/klagomålsmail/A 58471-2021 FSC-klagomål mail.docx", "A 58471-2021")</f>
        <v/>
      </c>
      <c r="X492">
        <f>HYPERLINK("https://klasma.github.io/Logging_1737/tillsyn/A 58471-2021 tillsynsbegäran.docx", "A 58471-2021")</f>
        <v/>
      </c>
      <c r="Y492">
        <f>HYPERLINK("https://klasma.github.io/Logging_1737/tillsynsmail/A 58471-2021 tillsynsbegäran mail.docx", "A 58471-2021")</f>
        <v/>
      </c>
    </row>
    <row r="493" ht="15" customHeight="1">
      <c r="A493" t="inlineStr">
        <is>
          <t>A 61813-2021</t>
        </is>
      </c>
      <c r="B493" s="1" t="n">
        <v>44501</v>
      </c>
      <c r="C493" s="1" t="n">
        <v>45810</v>
      </c>
      <c r="D493" t="inlineStr">
        <is>
          <t>VÄRMLANDS LÄN</t>
        </is>
      </c>
      <c r="E493" t="inlineStr">
        <is>
          <t>TORSBY</t>
        </is>
      </c>
      <c r="G493" t="n">
        <v>4.9</v>
      </c>
      <c r="H493" t="n">
        <v>0</v>
      </c>
      <c r="I493" t="n">
        <v>0</v>
      </c>
      <c r="J493" t="n">
        <v>1</v>
      </c>
      <c r="K493" t="n">
        <v>0</v>
      </c>
      <c r="L493" t="n">
        <v>0</v>
      </c>
      <c r="M493" t="n">
        <v>0</v>
      </c>
      <c r="N493" t="n">
        <v>0</v>
      </c>
      <c r="O493" t="n">
        <v>1</v>
      </c>
      <c r="P493" t="n">
        <v>0</v>
      </c>
      <c r="Q493" t="n">
        <v>1</v>
      </c>
      <c r="R493" s="2" t="inlineStr">
        <is>
          <t>Tallticka</t>
        </is>
      </c>
      <c r="S493">
        <f>HYPERLINK("https://klasma.github.io/Logging_1737/artfynd/A 61813-2021 artfynd.xlsx", "A 61813-2021")</f>
        <v/>
      </c>
      <c r="T493">
        <f>HYPERLINK("https://klasma.github.io/Logging_1737/kartor/A 61813-2021 karta.png", "A 61813-2021")</f>
        <v/>
      </c>
      <c r="V493">
        <f>HYPERLINK("https://klasma.github.io/Logging_1737/klagomål/A 61813-2021 FSC-klagomål.docx", "A 61813-2021")</f>
        <v/>
      </c>
      <c r="W493">
        <f>HYPERLINK("https://klasma.github.io/Logging_1737/klagomålsmail/A 61813-2021 FSC-klagomål mail.docx", "A 61813-2021")</f>
        <v/>
      </c>
      <c r="X493">
        <f>HYPERLINK("https://klasma.github.io/Logging_1737/tillsyn/A 61813-2021 tillsynsbegäran.docx", "A 61813-2021")</f>
        <v/>
      </c>
      <c r="Y493">
        <f>HYPERLINK("https://klasma.github.io/Logging_1737/tillsynsmail/A 61813-2021 tillsynsbegäran mail.docx", "A 61813-2021")</f>
        <v/>
      </c>
    </row>
    <row r="494" ht="15" customHeight="1">
      <c r="A494" t="inlineStr">
        <is>
          <t>A 62572-2021</t>
        </is>
      </c>
      <c r="B494" s="1" t="n">
        <v>44503</v>
      </c>
      <c r="C494" s="1" t="n">
        <v>45810</v>
      </c>
      <c r="D494" t="inlineStr">
        <is>
          <t>VÄRMLANDS LÄN</t>
        </is>
      </c>
      <c r="E494" t="inlineStr">
        <is>
          <t>FILIPSTAD</t>
        </is>
      </c>
      <c r="F494" t="inlineStr">
        <is>
          <t>Bergvik skog väst AB</t>
        </is>
      </c>
      <c r="G494" t="n">
        <v>46.9</v>
      </c>
      <c r="H494" t="n">
        <v>0</v>
      </c>
      <c r="I494" t="n">
        <v>0</v>
      </c>
      <c r="J494" t="n">
        <v>1</v>
      </c>
      <c r="K494" t="n">
        <v>0</v>
      </c>
      <c r="L494" t="n">
        <v>0</v>
      </c>
      <c r="M494" t="n">
        <v>0</v>
      </c>
      <c r="N494" t="n">
        <v>0</v>
      </c>
      <c r="O494" t="n">
        <v>1</v>
      </c>
      <c r="P494" t="n">
        <v>0</v>
      </c>
      <c r="Q494" t="n">
        <v>1</v>
      </c>
      <c r="R494" s="2" t="inlineStr">
        <is>
          <t>Garnlav</t>
        </is>
      </c>
      <c r="S494">
        <f>HYPERLINK("https://klasma.github.io/Logging_1782/artfynd/A 62572-2021 artfynd.xlsx", "A 62572-2021")</f>
        <v/>
      </c>
      <c r="T494">
        <f>HYPERLINK("https://klasma.github.io/Logging_1782/kartor/A 62572-2021 karta.png", "A 62572-2021")</f>
        <v/>
      </c>
      <c r="V494">
        <f>HYPERLINK("https://klasma.github.io/Logging_1782/klagomål/A 62572-2021 FSC-klagomål.docx", "A 62572-2021")</f>
        <v/>
      </c>
      <c r="W494">
        <f>HYPERLINK("https://klasma.github.io/Logging_1782/klagomålsmail/A 62572-2021 FSC-klagomål mail.docx", "A 62572-2021")</f>
        <v/>
      </c>
      <c r="X494">
        <f>HYPERLINK("https://klasma.github.io/Logging_1782/tillsyn/A 62572-2021 tillsynsbegäran.docx", "A 62572-2021")</f>
        <v/>
      </c>
      <c r="Y494">
        <f>HYPERLINK("https://klasma.github.io/Logging_1782/tillsynsmail/A 62572-2021 tillsynsbegäran mail.docx", "A 62572-2021")</f>
        <v/>
      </c>
    </row>
    <row r="495" ht="15" customHeight="1">
      <c r="A495" t="inlineStr">
        <is>
          <t>A 62619-2021</t>
        </is>
      </c>
      <c r="B495" s="1" t="n">
        <v>44503</v>
      </c>
      <c r="C495" s="1" t="n">
        <v>45810</v>
      </c>
      <c r="D495" t="inlineStr">
        <is>
          <t>VÄRMLANDS LÄN</t>
        </is>
      </c>
      <c r="E495" t="inlineStr">
        <is>
          <t>ARVIKA</t>
        </is>
      </c>
      <c r="G495" t="n">
        <v>6.5</v>
      </c>
      <c r="H495" t="n">
        <v>1</v>
      </c>
      <c r="I495" t="n">
        <v>0</v>
      </c>
      <c r="J495" t="n">
        <v>1</v>
      </c>
      <c r="K495" t="n">
        <v>0</v>
      </c>
      <c r="L495" t="n">
        <v>0</v>
      </c>
      <c r="M495" t="n">
        <v>0</v>
      </c>
      <c r="N495" t="n">
        <v>0</v>
      </c>
      <c r="O495" t="n">
        <v>1</v>
      </c>
      <c r="P495" t="n">
        <v>0</v>
      </c>
      <c r="Q495" t="n">
        <v>1</v>
      </c>
      <c r="R495" s="2" t="inlineStr">
        <is>
          <t>Smålom</t>
        </is>
      </c>
      <c r="S495">
        <f>HYPERLINK("https://klasma.github.io/Logging_1784/artfynd/A 62619-2021 artfynd.xlsx", "A 62619-2021")</f>
        <v/>
      </c>
      <c r="T495">
        <f>HYPERLINK("https://klasma.github.io/Logging_1784/kartor/A 62619-2021 karta.png", "A 62619-2021")</f>
        <v/>
      </c>
      <c r="V495">
        <f>HYPERLINK("https://klasma.github.io/Logging_1784/klagomål/A 62619-2021 FSC-klagomål.docx", "A 62619-2021")</f>
        <v/>
      </c>
      <c r="W495">
        <f>HYPERLINK("https://klasma.github.io/Logging_1784/klagomålsmail/A 62619-2021 FSC-klagomål mail.docx", "A 62619-2021")</f>
        <v/>
      </c>
      <c r="X495">
        <f>HYPERLINK("https://klasma.github.io/Logging_1784/tillsyn/A 62619-2021 tillsynsbegäran.docx", "A 62619-2021")</f>
        <v/>
      </c>
      <c r="Y495">
        <f>HYPERLINK("https://klasma.github.io/Logging_1784/tillsynsmail/A 62619-2021 tillsynsbegäran mail.docx", "A 62619-2021")</f>
        <v/>
      </c>
      <c r="Z495">
        <f>HYPERLINK("https://klasma.github.io/Logging_1784/fåglar/A 62619-2021 prioriterade fågelarter.docx", "A 62619-2021")</f>
        <v/>
      </c>
    </row>
    <row r="496" ht="15" customHeight="1">
      <c r="A496" t="inlineStr">
        <is>
          <t>A 64504-2021</t>
        </is>
      </c>
      <c r="B496" s="1" t="n">
        <v>44511</v>
      </c>
      <c r="C496" s="1" t="n">
        <v>45810</v>
      </c>
      <c r="D496" t="inlineStr">
        <is>
          <t>VÄRMLANDS LÄN</t>
        </is>
      </c>
      <c r="E496" t="inlineStr">
        <is>
          <t>KIL</t>
        </is>
      </c>
      <c r="G496" t="n">
        <v>3.2</v>
      </c>
      <c r="H496" t="n">
        <v>1</v>
      </c>
      <c r="I496" t="n">
        <v>0</v>
      </c>
      <c r="J496" t="n">
        <v>0</v>
      </c>
      <c r="K496" t="n">
        <v>1</v>
      </c>
      <c r="L496" t="n">
        <v>0</v>
      </c>
      <c r="M496" t="n">
        <v>0</v>
      </c>
      <c r="N496" t="n">
        <v>0</v>
      </c>
      <c r="O496" t="n">
        <v>1</v>
      </c>
      <c r="P496" t="n">
        <v>1</v>
      </c>
      <c r="Q496" t="n">
        <v>1</v>
      </c>
      <c r="R496" s="2" t="inlineStr">
        <is>
          <t>Knärot</t>
        </is>
      </c>
      <c r="S496">
        <f>HYPERLINK("https://klasma.github.io/Logging_1715/artfynd/A 64504-2021 artfynd.xlsx", "A 64504-2021")</f>
        <v/>
      </c>
      <c r="T496">
        <f>HYPERLINK("https://klasma.github.io/Logging_1715/kartor/A 64504-2021 karta.png", "A 64504-2021")</f>
        <v/>
      </c>
      <c r="U496">
        <f>HYPERLINK("https://klasma.github.io/Logging_1715/knärot/A 64504-2021 karta knärot.png", "A 64504-2021")</f>
        <v/>
      </c>
      <c r="V496">
        <f>HYPERLINK("https://klasma.github.io/Logging_1715/klagomål/A 64504-2021 FSC-klagomål.docx", "A 64504-2021")</f>
        <v/>
      </c>
      <c r="W496">
        <f>HYPERLINK("https://klasma.github.io/Logging_1715/klagomålsmail/A 64504-2021 FSC-klagomål mail.docx", "A 64504-2021")</f>
        <v/>
      </c>
      <c r="X496">
        <f>HYPERLINK("https://klasma.github.io/Logging_1715/tillsyn/A 64504-2021 tillsynsbegäran.docx", "A 64504-2021")</f>
        <v/>
      </c>
      <c r="Y496">
        <f>HYPERLINK("https://klasma.github.io/Logging_1715/tillsynsmail/A 64504-2021 tillsynsbegäran mail.docx", "A 64504-2021")</f>
        <v/>
      </c>
    </row>
    <row r="497" ht="15" customHeight="1">
      <c r="A497" t="inlineStr">
        <is>
          <t>A 64590-2021</t>
        </is>
      </c>
      <c r="B497" s="1" t="n">
        <v>44511</v>
      </c>
      <c r="C497" s="1" t="n">
        <v>45810</v>
      </c>
      <c r="D497" t="inlineStr">
        <is>
          <t>VÄRMLANDS LÄN</t>
        </is>
      </c>
      <c r="E497" t="inlineStr">
        <is>
          <t>ARVIKA</t>
        </is>
      </c>
      <c r="G497" t="n">
        <v>4.1</v>
      </c>
      <c r="H497" t="n">
        <v>1</v>
      </c>
      <c r="I497" t="n">
        <v>0</v>
      </c>
      <c r="J497" t="n">
        <v>1</v>
      </c>
      <c r="K497" t="n">
        <v>0</v>
      </c>
      <c r="L497" t="n">
        <v>0</v>
      </c>
      <c r="M497" t="n">
        <v>0</v>
      </c>
      <c r="N497" t="n">
        <v>0</v>
      </c>
      <c r="O497" t="n">
        <v>1</v>
      </c>
      <c r="P497" t="n">
        <v>0</v>
      </c>
      <c r="Q497" t="n">
        <v>1</v>
      </c>
      <c r="R497" s="2" t="inlineStr">
        <is>
          <t>Tretåig hackspett</t>
        </is>
      </c>
      <c r="S497">
        <f>HYPERLINK("https://klasma.github.io/Logging_1784/artfynd/A 64590-2021 artfynd.xlsx", "A 64590-2021")</f>
        <v/>
      </c>
      <c r="T497">
        <f>HYPERLINK("https://klasma.github.io/Logging_1784/kartor/A 64590-2021 karta.png", "A 64590-2021")</f>
        <v/>
      </c>
      <c r="V497">
        <f>HYPERLINK("https://klasma.github.io/Logging_1784/klagomål/A 64590-2021 FSC-klagomål.docx", "A 64590-2021")</f>
        <v/>
      </c>
      <c r="W497">
        <f>HYPERLINK("https://klasma.github.io/Logging_1784/klagomålsmail/A 64590-2021 FSC-klagomål mail.docx", "A 64590-2021")</f>
        <v/>
      </c>
      <c r="X497">
        <f>HYPERLINK("https://klasma.github.io/Logging_1784/tillsyn/A 64590-2021 tillsynsbegäran.docx", "A 64590-2021")</f>
        <v/>
      </c>
      <c r="Y497">
        <f>HYPERLINK("https://klasma.github.io/Logging_1784/tillsynsmail/A 64590-2021 tillsynsbegäran mail.docx", "A 64590-2021")</f>
        <v/>
      </c>
      <c r="Z497">
        <f>HYPERLINK("https://klasma.github.io/Logging_1784/fåglar/A 64590-2021 prioriterade fågelarter.docx", "A 64590-2021")</f>
        <v/>
      </c>
    </row>
    <row r="498" ht="15" customHeight="1">
      <c r="A498" t="inlineStr">
        <is>
          <t>A 65767-2021</t>
        </is>
      </c>
      <c r="B498" s="1" t="n">
        <v>44516</v>
      </c>
      <c r="C498" s="1" t="n">
        <v>45810</v>
      </c>
      <c r="D498" t="inlineStr">
        <is>
          <t>VÄRMLANDS LÄN</t>
        </is>
      </c>
      <c r="E498" t="inlineStr">
        <is>
          <t>TORSBY</t>
        </is>
      </c>
      <c r="G498" t="n">
        <v>7.5</v>
      </c>
      <c r="H498" t="n">
        <v>0</v>
      </c>
      <c r="I498" t="n">
        <v>1</v>
      </c>
      <c r="J498" t="n">
        <v>0</v>
      </c>
      <c r="K498" t="n">
        <v>0</v>
      </c>
      <c r="L498" t="n">
        <v>0</v>
      </c>
      <c r="M498" t="n">
        <v>0</v>
      </c>
      <c r="N498" t="n">
        <v>0</v>
      </c>
      <c r="O498" t="n">
        <v>0</v>
      </c>
      <c r="P498" t="n">
        <v>0</v>
      </c>
      <c r="Q498" t="n">
        <v>1</v>
      </c>
      <c r="R498" s="2" t="inlineStr">
        <is>
          <t>Mörk husmossa</t>
        </is>
      </c>
      <c r="S498">
        <f>HYPERLINK("https://klasma.github.io/Logging_1737/artfynd/A 65767-2021 artfynd.xlsx", "A 65767-2021")</f>
        <v/>
      </c>
      <c r="T498">
        <f>HYPERLINK("https://klasma.github.io/Logging_1737/kartor/A 65767-2021 karta.png", "A 65767-2021")</f>
        <v/>
      </c>
      <c r="V498">
        <f>HYPERLINK("https://klasma.github.io/Logging_1737/klagomål/A 65767-2021 FSC-klagomål.docx", "A 65767-2021")</f>
        <v/>
      </c>
      <c r="W498">
        <f>HYPERLINK("https://klasma.github.io/Logging_1737/klagomålsmail/A 65767-2021 FSC-klagomål mail.docx", "A 65767-2021")</f>
        <v/>
      </c>
      <c r="X498">
        <f>HYPERLINK("https://klasma.github.io/Logging_1737/tillsyn/A 65767-2021 tillsynsbegäran.docx", "A 65767-2021")</f>
        <v/>
      </c>
      <c r="Y498">
        <f>HYPERLINK("https://klasma.github.io/Logging_1737/tillsynsmail/A 65767-2021 tillsynsbegäran mail.docx", "A 65767-2021")</f>
        <v/>
      </c>
    </row>
    <row r="499" ht="15" customHeight="1">
      <c r="A499" t="inlineStr">
        <is>
          <t>A 65920-2021</t>
        </is>
      </c>
      <c r="B499" s="1" t="n">
        <v>44517</v>
      </c>
      <c r="C499" s="1" t="n">
        <v>45810</v>
      </c>
      <c r="D499" t="inlineStr">
        <is>
          <t>VÄRMLANDS LÄN</t>
        </is>
      </c>
      <c r="E499" t="inlineStr">
        <is>
          <t>STORFORS</t>
        </is>
      </c>
      <c r="F499" t="inlineStr">
        <is>
          <t>Kyrkan</t>
        </is>
      </c>
      <c r="G499" t="n">
        <v>7</v>
      </c>
      <c r="H499" t="n">
        <v>0</v>
      </c>
      <c r="I499" t="n">
        <v>0</v>
      </c>
      <c r="J499" t="n">
        <v>1</v>
      </c>
      <c r="K499" t="n">
        <v>0</v>
      </c>
      <c r="L499" t="n">
        <v>0</v>
      </c>
      <c r="M499" t="n">
        <v>0</v>
      </c>
      <c r="N499" t="n">
        <v>0</v>
      </c>
      <c r="O499" t="n">
        <v>1</v>
      </c>
      <c r="P499" t="n">
        <v>0</v>
      </c>
      <c r="Q499" t="n">
        <v>1</v>
      </c>
      <c r="R499" s="2" t="inlineStr">
        <is>
          <t>Skogsklocka</t>
        </is>
      </c>
      <c r="S499">
        <f>HYPERLINK("https://klasma.github.io/Logging_1760/artfynd/A 65920-2021 artfynd.xlsx", "A 65920-2021")</f>
        <v/>
      </c>
      <c r="T499">
        <f>HYPERLINK("https://klasma.github.io/Logging_1760/kartor/A 65920-2021 karta.png", "A 65920-2021")</f>
        <v/>
      </c>
      <c r="V499">
        <f>HYPERLINK("https://klasma.github.io/Logging_1760/klagomål/A 65920-2021 FSC-klagomål.docx", "A 65920-2021")</f>
        <v/>
      </c>
      <c r="W499">
        <f>HYPERLINK("https://klasma.github.io/Logging_1760/klagomålsmail/A 65920-2021 FSC-klagomål mail.docx", "A 65920-2021")</f>
        <v/>
      </c>
      <c r="X499">
        <f>HYPERLINK("https://klasma.github.io/Logging_1760/tillsyn/A 65920-2021 tillsynsbegäran.docx", "A 65920-2021")</f>
        <v/>
      </c>
      <c r="Y499">
        <f>HYPERLINK("https://klasma.github.io/Logging_1760/tillsynsmail/A 65920-2021 tillsynsbegäran mail.docx", "A 65920-2021")</f>
        <v/>
      </c>
    </row>
    <row r="500" ht="15" customHeight="1">
      <c r="A500" t="inlineStr">
        <is>
          <t>A 66053-2021</t>
        </is>
      </c>
      <c r="B500" s="1" t="n">
        <v>44517</v>
      </c>
      <c r="C500" s="1" t="n">
        <v>45810</v>
      </c>
      <c r="D500" t="inlineStr">
        <is>
          <t>VÄRMLANDS LÄN</t>
        </is>
      </c>
      <c r="E500" t="inlineStr">
        <is>
          <t>GRUMS</t>
        </is>
      </c>
      <c r="G500" t="n">
        <v>1.4</v>
      </c>
      <c r="H500" t="n">
        <v>0</v>
      </c>
      <c r="I500" t="n">
        <v>1</v>
      </c>
      <c r="J500" t="n">
        <v>0</v>
      </c>
      <c r="K500" t="n">
        <v>0</v>
      </c>
      <c r="L500" t="n">
        <v>0</v>
      </c>
      <c r="M500" t="n">
        <v>0</v>
      </c>
      <c r="N500" t="n">
        <v>0</v>
      </c>
      <c r="O500" t="n">
        <v>0</v>
      </c>
      <c r="P500" t="n">
        <v>0</v>
      </c>
      <c r="Q500" t="n">
        <v>1</v>
      </c>
      <c r="R500" s="2" t="inlineStr">
        <is>
          <t>Björksplintborre</t>
        </is>
      </c>
      <c r="S500">
        <f>HYPERLINK("https://klasma.github.io/Logging_1764/artfynd/A 66053-2021 artfynd.xlsx", "A 66053-2021")</f>
        <v/>
      </c>
      <c r="T500">
        <f>HYPERLINK("https://klasma.github.io/Logging_1764/kartor/A 66053-2021 karta.png", "A 66053-2021")</f>
        <v/>
      </c>
      <c r="V500">
        <f>HYPERLINK("https://klasma.github.io/Logging_1764/klagomål/A 66053-2021 FSC-klagomål.docx", "A 66053-2021")</f>
        <v/>
      </c>
      <c r="W500">
        <f>HYPERLINK("https://klasma.github.io/Logging_1764/klagomålsmail/A 66053-2021 FSC-klagomål mail.docx", "A 66053-2021")</f>
        <v/>
      </c>
      <c r="X500">
        <f>HYPERLINK("https://klasma.github.io/Logging_1764/tillsyn/A 66053-2021 tillsynsbegäran.docx", "A 66053-2021")</f>
        <v/>
      </c>
      <c r="Y500">
        <f>HYPERLINK("https://klasma.github.io/Logging_1764/tillsynsmail/A 66053-2021 tillsynsbegäran mail.docx", "A 66053-2021")</f>
        <v/>
      </c>
    </row>
    <row r="501" ht="15" customHeight="1">
      <c r="A501" t="inlineStr">
        <is>
          <t>A 66274-2021</t>
        </is>
      </c>
      <c r="B501" s="1" t="n">
        <v>44518</v>
      </c>
      <c r="C501" s="1" t="n">
        <v>45810</v>
      </c>
      <c r="D501" t="inlineStr">
        <is>
          <t>VÄRMLANDS LÄN</t>
        </is>
      </c>
      <c r="E501" t="inlineStr">
        <is>
          <t>KARLSTAD</t>
        </is>
      </c>
      <c r="G501" t="n">
        <v>2.5</v>
      </c>
      <c r="H501" t="n">
        <v>1</v>
      </c>
      <c r="I501" t="n">
        <v>0</v>
      </c>
      <c r="J501" t="n">
        <v>0</v>
      </c>
      <c r="K501" t="n">
        <v>0</v>
      </c>
      <c r="L501" t="n">
        <v>0</v>
      </c>
      <c r="M501" t="n">
        <v>0</v>
      </c>
      <c r="N501" t="n">
        <v>0</v>
      </c>
      <c r="O501" t="n">
        <v>0</v>
      </c>
      <c r="P501" t="n">
        <v>0</v>
      </c>
      <c r="Q501" t="n">
        <v>1</v>
      </c>
      <c r="R501" s="2" t="inlineStr">
        <is>
          <t>Nattviol</t>
        </is>
      </c>
      <c r="S501">
        <f>HYPERLINK("https://klasma.github.io/Logging_1780/artfynd/A 66274-2021 artfynd.xlsx", "A 66274-2021")</f>
        <v/>
      </c>
      <c r="T501">
        <f>HYPERLINK("https://klasma.github.io/Logging_1780/kartor/A 66274-2021 karta.png", "A 66274-2021")</f>
        <v/>
      </c>
      <c r="V501">
        <f>HYPERLINK("https://klasma.github.io/Logging_1780/klagomål/A 66274-2021 FSC-klagomål.docx", "A 66274-2021")</f>
        <v/>
      </c>
      <c r="W501">
        <f>HYPERLINK("https://klasma.github.io/Logging_1780/klagomålsmail/A 66274-2021 FSC-klagomål mail.docx", "A 66274-2021")</f>
        <v/>
      </c>
      <c r="X501">
        <f>HYPERLINK("https://klasma.github.io/Logging_1780/tillsyn/A 66274-2021 tillsynsbegäran.docx", "A 66274-2021")</f>
        <v/>
      </c>
      <c r="Y501">
        <f>HYPERLINK("https://klasma.github.io/Logging_1780/tillsynsmail/A 66274-2021 tillsynsbegäran mail.docx", "A 66274-2021")</f>
        <v/>
      </c>
    </row>
    <row r="502" ht="15" customHeight="1">
      <c r="A502" t="inlineStr">
        <is>
          <t>A 68490-2021</t>
        </is>
      </c>
      <c r="B502" s="1" t="n">
        <v>44525</v>
      </c>
      <c r="C502" s="1" t="n">
        <v>45810</v>
      </c>
      <c r="D502" t="inlineStr">
        <is>
          <t>VÄRMLANDS LÄN</t>
        </is>
      </c>
      <c r="E502" t="inlineStr">
        <is>
          <t>KRISTINEHAMN</t>
        </is>
      </c>
      <c r="G502" t="n">
        <v>1.8</v>
      </c>
      <c r="H502" t="n">
        <v>0</v>
      </c>
      <c r="I502" t="n">
        <v>0</v>
      </c>
      <c r="J502" t="n">
        <v>1</v>
      </c>
      <c r="K502" t="n">
        <v>0</v>
      </c>
      <c r="L502" t="n">
        <v>0</v>
      </c>
      <c r="M502" t="n">
        <v>0</v>
      </c>
      <c r="N502" t="n">
        <v>0</v>
      </c>
      <c r="O502" t="n">
        <v>1</v>
      </c>
      <c r="P502" t="n">
        <v>0</v>
      </c>
      <c r="Q502" t="n">
        <v>1</v>
      </c>
      <c r="R502" s="2" t="inlineStr">
        <is>
          <t>Igelkott</t>
        </is>
      </c>
      <c r="S502">
        <f>HYPERLINK("https://klasma.github.io/Logging_1781/artfynd/A 68490-2021 artfynd.xlsx", "A 68490-2021")</f>
        <v/>
      </c>
      <c r="T502">
        <f>HYPERLINK("https://klasma.github.io/Logging_1781/kartor/A 68490-2021 karta.png", "A 68490-2021")</f>
        <v/>
      </c>
      <c r="V502">
        <f>HYPERLINK("https://klasma.github.io/Logging_1781/klagomål/A 68490-2021 FSC-klagomål.docx", "A 68490-2021")</f>
        <v/>
      </c>
      <c r="W502">
        <f>HYPERLINK("https://klasma.github.io/Logging_1781/klagomålsmail/A 68490-2021 FSC-klagomål mail.docx", "A 68490-2021")</f>
        <v/>
      </c>
      <c r="X502">
        <f>HYPERLINK("https://klasma.github.io/Logging_1781/tillsyn/A 68490-2021 tillsynsbegäran.docx", "A 68490-2021")</f>
        <v/>
      </c>
      <c r="Y502">
        <f>HYPERLINK("https://klasma.github.io/Logging_1781/tillsynsmail/A 68490-2021 tillsynsbegäran mail.docx", "A 68490-2021")</f>
        <v/>
      </c>
    </row>
    <row r="503" ht="15" customHeight="1">
      <c r="A503" t="inlineStr">
        <is>
          <t>A 69709-2021</t>
        </is>
      </c>
      <c r="B503" s="1" t="n">
        <v>44532</v>
      </c>
      <c r="C503" s="1" t="n">
        <v>45810</v>
      </c>
      <c r="D503" t="inlineStr">
        <is>
          <t>VÄRMLANDS LÄN</t>
        </is>
      </c>
      <c r="E503" t="inlineStr">
        <is>
          <t>HAGFORS</t>
        </is>
      </c>
      <c r="F503" t="inlineStr">
        <is>
          <t>Bergvik skog väst AB</t>
        </is>
      </c>
      <c r="G503" t="n">
        <v>8.9</v>
      </c>
      <c r="H503" t="n">
        <v>0</v>
      </c>
      <c r="I503" t="n">
        <v>0</v>
      </c>
      <c r="J503" t="n">
        <v>1</v>
      </c>
      <c r="K503" t="n">
        <v>0</v>
      </c>
      <c r="L503" t="n">
        <v>0</v>
      </c>
      <c r="M503" t="n">
        <v>0</v>
      </c>
      <c r="N503" t="n">
        <v>0</v>
      </c>
      <c r="O503" t="n">
        <v>1</v>
      </c>
      <c r="P503" t="n">
        <v>0</v>
      </c>
      <c r="Q503" t="n">
        <v>1</v>
      </c>
      <c r="R503" s="2" t="inlineStr">
        <is>
          <t>Svartvit taggsvamp</t>
        </is>
      </c>
      <c r="S503">
        <f>HYPERLINK("https://klasma.github.io/Logging_1783/artfynd/A 69709-2021 artfynd.xlsx", "A 69709-2021")</f>
        <v/>
      </c>
      <c r="T503">
        <f>HYPERLINK("https://klasma.github.io/Logging_1783/kartor/A 69709-2021 karta.png", "A 69709-2021")</f>
        <v/>
      </c>
      <c r="V503">
        <f>HYPERLINK("https://klasma.github.io/Logging_1783/klagomål/A 69709-2021 FSC-klagomål.docx", "A 69709-2021")</f>
        <v/>
      </c>
      <c r="W503">
        <f>HYPERLINK("https://klasma.github.io/Logging_1783/klagomålsmail/A 69709-2021 FSC-klagomål mail.docx", "A 69709-2021")</f>
        <v/>
      </c>
      <c r="X503">
        <f>HYPERLINK("https://klasma.github.io/Logging_1783/tillsyn/A 69709-2021 tillsynsbegäran.docx", "A 69709-2021")</f>
        <v/>
      </c>
      <c r="Y503">
        <f>HYPERLINK("https://klasma.github.io/Logging_1783/tillsynsmail/A 69709-2021 tillsynsbegäran mail.docx", "A 69709-2021")</f>
        <v/>
      </c>
    </row>
    <row r="504" ht="15" customHeight="1">
      <c r="A504" t="inlineStr">
        <is>
          <t>A 71594-2021</t>
        </is>
      </c>
      <c r="B504" s="1" t="n">
        <v>44541</v>
      </c>
      <c r="C504" s="1" t="n">
        <v>45810</v>
      </c>
      <c r="D504" t="inlineStr">
        <is>
          <t>VÄRMLANDS LÄN</t>
        </is>
      </c>
      <c r="E504" t="inlineStr">
        <is>
          <t>TORSBY</t>
        </is>
      </c>
      <c r="G504" t="n">
        <v>13.1</v>
      </c>
      <c r="H504" t="n">
        <v>0</v>
      </c>
      <c r="I504" t="n">
        <v>0</v>
      </c>
      <c r="J504" t="n">
        <v>1</v>
      </c>
      <c r="K504" t="n">
        <v>0</v>
      </c>
      <c r="L504" t="n">
        <v>0</v>
      </c>
      <c r="M504" t="n">
        <v>0</v>
      </c>
      <c r="N504" t="n">
        <v>0</v>
      </c>
      <c r="O504" t="n">
        <v>1</v>
      </c>
      <c r="P504" t="n">
        <v>0</v>
      </c>
      <c r="Q504" t="n">
        <v>1</v>
      </c>
      <c r="R504" s="2" t="inlineStr">
        <is>
          <t>Garnlav</t>
        </is>
      </c>
      <c r="S504">
        <f>HYPERLINK("https://klasma.github.io/Logging_1737/artfynd/A 71594-2021 artfynd.xlsx", "A 71594-2021")</f>
        <v/>
      </c>
      <c r="T504">
        <f>HYPERLINK("https://klasma.github.io/Logging_1737/kartor/A 71594-2021 karta.png", "A 71594-2021")</f>
        <v/>
      </c>
      <c r="V504">
        <f>HYPERLINK("https://klasma.github.io/Logging_1737/klagomål/A 71594-2021 FSC-klagomål.docx", "A 71594-2021")</f>
        <v/>
      </c>
      <c r="W504">
        <f>HYPERLINK("https://klasma.github.io/Logging_1737/klagomålsmail/A 71594-2021 FSC-klagomål mail.docx", "A 71594-2021")</f>
        <v/>
      </c>
      <c r="X504">
        <f>HYPERLINK("https://klasma.github.io/Logging_1737/tillsyn/A 71594-2021 tillsynsbegäran.docx", "A 71594-2021")</f>
        <v/>
      </c>
      <c r="Y504">
        <f>HYPERLINK("https://klasma.github.io/Logging_1737/tillsynsmail/A 71594-2021 tillsynsbegäran mail.docx", "A 71594-2021")</f>
        <v/>
      </c>
    </row>
    <row r="505" ht="15" customHeight="1">
      <c r="A505" t="inlineStr">
        <is>
          <t>A 72045-2021</t>
        </is>
      </c>
      <c r="B505" s="1" t="n">
        <v>44544</v>
      </c>
      <c r="C505" s="1" t="n">
        <v>45810</v>
      </c>
      <c r="D505" t="inlineStr">
        <is>
          <t>VÄRMLANDS LÄN</t>
        </is>
      </c>
      <c r="E505" t="inlineStr">
        <is>
          <t>KARLSTAD</t>
        </is>
      </c>
      <c r="F505" t="inlineStr">
        <is>
          <t>Kommuner</t>
        </is>
      </c>
      <c r="G505" t="n">
        <v>9.6</v>
      </c>
      <c r="H505" t="n">
        <v>1</v>
      </c>
      <c r="I505" t="n">
        <v>0</v>
      </c>
      <c r="J505" t="n">
        <v>0</v>
      </c>
      <c r="K505" t="n">
        <v>0</v>
      </c>
      <c r="L505" t="n">
        <v>0</v>
      </c>
      <c r="M505" t="n">
        <v>0</v>
      </c>
      <c r="N505" t="n">
        <v>0</v>
      </c>
      <c r="O505" t="n">
        <v>0</v>
      </c>
      <c r="P505" t="n">
        <v>0</v>
      </c>
      <c r="Q505" t="n">
        <v>1</v>
      </c>
      <c r="R505" s="2" t="inlineStr">
        <is>
          <t>Åkergroda</t>
        </is>
      </c>
      <c r="S505">
        <f>HYPERLINK("https://klasma.github.io/Logging_1780/artfynd/A 72045-2021 artfynd.xlsx", "A 72045-2021")</f>
        <v/>
      </c>
      <c r="T505">
        <f>HYPERLINK("https://klasma.github.io/Logging_1780/kartor/A 72045-2021 karta.png", "A 72045-2021")</f>
        <v/>
      </c>
      <c r="V505">
        <f>HYPERLINK("https://klasma.github.io/Logging_1780/klagomål/A 72045-2021 FSC-klagomål.docx", "A 72045-2021")</f>
        <v/>
      </c>
      <c r="W505">
        <f>HYPERLINK("https://klasma.github.io/Logging_1780/klagomålsmail/A 72045-2021 FSC-klagomål mail.docx", "A 72045-2021")</f>
        <v/>
      </c>
      <c r="X505">
        <f>HYPERLINK("https://klasma.github.io/Logging_1780/tillsyn/A 72045-2021 tillsynsbegäran.docx", "A 72045-2021")</f>
        <v/>
      </c>
      <c r="Y505">
        <f>HYPERLINK("https://klasma.github.io/Logging_1780/tillsynsmail/A 72045-2021 tillsynsbegäran mail.docx", "A 72045-2021")</f>
        <v/>
      </c>
    </row>
    <row r="506" ht="15" customHeight="1">
      <c r="A506" t="inlineStr">
        <is>
          <t>A 72222-2021</t>
        </is>
      </c>
      <c r="B506" s="1" t="n">
        <v>44544</v>
      </c>
      <c r="C506" s="1" t="n">
        <v>45810</v>
      </c>
      <c r="D506" t="inlineStr">
        <is>
          <t>VÄRMLANDS LÄN</t>
        </is>
      </c>
      <c r="E506" t="inlineStr">
        <is>
          <t>ARVIKA</t>
        </is>
      </c>
      <c r="G506" t="n">
        <v>2.1</v>
      </c>
      <c r="H506" t="n">
        <v>1</v>
      </c>
      <c r="I506" t="n">
        <v>0</v>
      </c>
      <c r="J506" t="n">
        <v>0</v>
      </c>
      <c r="K506" t="n">
        <v>1</v>
      </c>
      <c r="L506" t="n">
        <v>0</v>
      </c>
      <c r="M506" t="n">
        <v>0</v>
      </c>
      <c r="N506" t="n">
        <v>0</v>
      </c>
      <c r="O506" t="n">
        <v>1</v>
      </c>
      <c r="P506" t="n">
        <v>1</v>
      </c>
      <c r="Q506" t="n">
        <v>1</v>
      </c>
      <c r="R506" s="2" t="inlineStr">
        <is>
          <t>Knärot</t>
        </is>
      </c>
      <c r="S506">
        <f>HYPERLINK("https://klasma.github.io/Logging_1784/artfynd/A 72222-2021 artfynd.xlsx", "A 72222-2021")</f>
        <v/>
      </c>
      <c r="T506">
        <f>HYPERLINK("https://klasma.github.io/Logging_1784/kartor/A 72222-2021 karta.png", "A 72222-2021")</f>
        <v/>
      </c>
      <c r="U506">
        <f>HYPERLINK("https://klasma.github.io/Logging_1784/knärot/A 72222-2021 karta knärot.png", "A 72222-2021")</f>
        <v/>
      </c>
      <c r="V506">
        <f>HYPERLINK("https://klasma.github.io/Logging_1784/klagomål/A 72222-2021 FSC-klagomål.docx", "A 72222-2021")</f>
        <v/>
      </c>
      <c r="W506">
        <f>HYPERLINK("https://klasma.github.io/Logging_1784/klagomålsmail/A 72222-2021 FSC-klagomål mail.docx", "A 72222-2021")</f>
        <v/>
      </c>
      <c r="X506">
        <f>HYPERLINK("https://klasma.github.io/Logging_1784/tillsyn/A 72222-2021 tillsynsbegäran.docx", "A 72222-2021")</f>
        <v/>
      </c>
      <c r="Y506">
        <f>HYPERLINK("https://klasma.github.io/Logging_1784/tillsynsmail/A 72222-2021 tillsynsbegäran mail.docx", "A 72222-2021")</f>
        <v/>
      </c>
    </row>
    <row r="507" ht="15" customHeight="1">
      <c r="A507" t="inlineStr">
        <is>
          <t>A 72829-2021</t>
        </is>
      </c>
      <c r="B507" s="1" t="n">
        <v>44547</v>
      </c>
      <c r="C507" s="1" t="n">
        <v>45810</v>
      </c>
      <c r="D507" t="inlineStr">
        <is>
          <t>VÄRMLANDS LÄN</t>
        </is>
      </c>
      <c r="E507" t="inlineStr">
        <is>
          <t>ARVIKA</t>
        </is>
      </c>
      <c r="G507" t="n">
        <v>5.9</v>
      </c>
      <c r="H507" t="n">
        <v>1</v>
      </c>
      <c r="I507" t="n">
        <v>0</v>
      </c>
      <c r="J507" t="n">
        <v>0</v>
      </c>
      <c r="K507" t="n">
        <v>1</v>
      </c>
      <c r="L507" t="n">
        <v>0</v>
      </c>
      <c r="M507" t="n">
        <v>0</v>
      </c>
      <c r="N507" t="n">
        <v>0</v>
      </c>
      <c r="O507" t="n">
        <v>1</v>
      </c>
      <c r="P507" t="n">
        <v>1</v>
      </c>
      <c r="Q507" t="n">
        <v>1</v>
      </c>
      <c r="R507" s="2" t="inlineStr">
        <is>
          <t>Knärot</t>
        </is>
      </c>
      <c r="S507">
        <f>HYPERLINK("https://klasma.github.io/Logging_1784/artfynd/A 72829-2021 artfynd.xlsx", "A 72829-2021")</f>
        <v/>
      </c>
      <c r="T507">
        <f>HYPERLINK("https://klasma.github.io/Logging_1784/kartor/A 72829-2021 karta.png", "A 72829-2021")</f>
        <v/>
      </c>
      <c r="U507">
        <f>HYPERLINK("https://klasma.github.io/Logging_1784/knärot/A 72829-2021 karta knärot.png", "A 72829-2021")</f>
        <v/>
      </c>
      <c r="V507">
        <f>HYPERLINK("https://klasma.github.io/Logging_1784/klagomål/A 72829-2021 FSC-klagomål.docx", "A 72829-2021")</f>
        <v/>
      </c>
      <c r="W507">
        <f>HYPERLINK("https://klasma.github.io/Logging_1784/klagomålsmail/A 72829-2021 FSC-klagomål mail.docx", "A 72829-2021")</f>
        <v/>
      </c>
      <c r="X507">
        <f>HYPERLINK("https://klasma.github.io/Logging_1784/tillsyn/A 72829-2021 tillsynsbegäran.docx", "A 72829-2021")</f>
        <v/>
      </c>
      <c r="Y507">
        <f>HYPERLINK("https://klasma.github.io/Logging_1784/tillsynsmail/A 72829-2021 tillsynsbegäran mail.docx", "A 72829-2021")</f>
        <v/>
      </c>
    </row>
    <row r="508" ht="15" customHeight="1">
      <c r="A508" t="inlineStr">
        <is>
          <t>A 73999-2021</t>
        </is>
      </c>
      <c r="B508" s="1" t="n">
        <v>44557</v>
      </c>
      <c r="C508" s="1" t="n">
        <v>45810</v>
      </c>
      <c r="D508" t="inlineStr">
        <is>
          <t>VÄRMLANDS LÄN</t>
        </is>
      </c>
      <c r="E508" t="inlineStr">
        <is>
          <t>ARVIKA</t>
        </is>
      </c>
      <c r="G508" t="n">
        <v>2.2</v>
      </c>
      <c r="H508" t="n">
        <v>1</v>
      </c>
      <c r="I508" t="n">
        <v>0</v>
      </c>
      <c r="J508" t="n">
        <v>0</v>
      </c>
      <c r="K508" t="n">
        <v>1</v>
      </c>
      <c r="L508" t="n">
        <v>0</v>
      </c>
      <c r="M508" t="n">
        <v>0</v>
      </c>
      <c r="N508" t="n">
        <v>0</v>
      </c>
      <c r="O508" t="n">
        <v>1</v>
      </c>
      <c r="P508" t="n">
        <v>1</v>
      </c>
      <c r="Q508" t="n">
        <v>1</v>
      </c>
      <c r="R508" s="2" t="inlineStr">
        <is>
          <t>Knärot</t>
        </is>
      </c>
      <c r="S508">
        <f>HYPERLINK("https://klasma.github.io/Logging_1784/artfynd/A 73999-2021 artfynd.xlsx", "A 73999-2021")</f>
        <v/>
      </c>
      <c r="T508">
        <f>HYPERLINK("https://klasma.github.io/Logging_1784/kartor/A 73999-2021 karta.png", "A 73999-2021")</f>
        <v/>
      </c>
      <c r="U508">
        <f>HYPERLINK("https://klasma.github.io/Logging_1784/knärot/A 73999-2021 karta knärot.png", "A 73999-2021")</f>
        <v/>
      </c>
      <c r="V508">
        <f>HYPERLINK("https://klasma.github.io/Logging_1784/klagomål/A 73999-2021 FSC-klagomål.docx", "A 73999-2021")</f>
        <v/>
      </c>
      <c r="W508">
        <f>HYPERLINK("https://klasma.github.io/Logging_1784/klagomålsmail/A 73999-2021 FSC-klagomål mail.docx", "A 73999-2021")</f>
        <v/>
      </c>
      <c r="X508">
        <f>HYPERLINK("https://klasma.github.io/Logging_1784/tillsyn/A 73999-2021 tillsynsbegäran.docx", "A 73999-2021")</f>
        <v/>
      </c>
      <c r="Y508">
        <f>HYPERLINK("https://klasma.github.io/Logging_1784/tillsynsmail/A 73999-2021 tillsynsbegäran mail.docx", "A 73999-2021")</f>
        <v/>
      </c>
    </row>
    <row r="509" ht="15" customHeight="1">
      <c r="A509" t="inlineStr">
        <is>
          <t>A 74218-2021</t>
        </is>
      </c>
      <c r="B509" s="1" t="n">
        <v>44558</v>
      </c>
      <c r="C509" s="1" t="n">
        <v>45810</v>
      </c>
      <c r="D509" t="inlineStr">
        <is>
          <t>VÄRMLANDS LÄN</t>
        </is>
      </c>
      <c r="E509" t="inlineStr">
        <is>
          <t>ARVIKA</t>
        </is>
      </c>
      <c r="G509" t="n">
        <v>10</v>
      </c>
      <c r="H509" t="n">
        <v>1</v>
      </c>
      <c r="I509" t="n">
        <v>0</v>
      </c>
      <c r="J509" t="n">
        <v>1</v>
      </c>
      <c r="K509" t="n">
        <v>0</v>
      </c>
      <c r="L509" t="n">
        <v>0</v>
      </c>
      <c r="M509" t="n">
        <v>0</v>
      </c>
      <c r="N509" t="n">
        <v>0</v>
      </c>
      <c r="O509" t="n">
        <v>1</v>
      </c>
      <c r="P509" t="n">
        <v>0</v>
      </c>
      <c r="Q509" t="n">
        <v>1</v>
      </c>
      <c r="R509" s="2" t="inlineStr">
        <is>
          <t>Talltita</t>
        </is>
      </c>
      <c r="S509">
        <f>HYPERLINK("https://klasma.github.io/Logging_1784/artfynd/A 74218-2021 artfynd.xlsx", "A 74218-2021")</f>
        <v/>
      </c>
      <c r="T509">
        <f>HYPERLINK("https://klasma.github.io/Logging_1784/kartor/A 74218-2021 karta.png", "A 74218-2021")</f>
        <v/>
      </c>
      <c r="V509">
        <f>HYPERLINK("https://klasma.github.io/Logging_1784/klagomål/A 74218-2021 FSC-klagomål.docx", "A 74218-2021")</f>
        <v/>
      </c>
      <c r="W509">
        <f>HYPERLINK("https://klasma.github.io/Logging_1784/klagomålsmail/A 74218-2021 FSC-klagomål mail.docx", "A 74218-2021")</f>
        <v/>
      </c>
      <c r="X509">
        <f>HYPERLINK("https://klasma.github.io/Logging_1784/tillsyn/A 74218-2021 tillsynsbegäran.docx", "A 74218-2021")</f>
        <v/>
      </c>
      <c r="Y509">
        <f>HYPERLINK("https://klasma.github.io/Logging_1784/tillsynsmail/A 74218-2021 tillsynsbegäran mail.docx", "A 74218-2021")</f>
        <v/>
      </c>
      <c r="Z509">
        <f>HYPERLINK("https://klasma.github.io/Logging_1784/fåglar/A 74218-2021 prioriterade fågelarter.docx", "A 74218-2021")</f>
        <v/>
      </c>
    </row>
    <row r="510" ht="15" customHeight="1">
      <c r="A510" t="inlineStr">
        <is>
          <t>A 1734-2022</t>
        </is>
      </c>
      <c r="B510" s="1" t="n">
        <v>44574</v>
      </c>
      <c r="C510" s="1" t="n">
        <v>45810</v>
      </c>
      <c r="D510" t="inlineStr">
        <is>
          <t>VÄRMLANDS LÄN</t>
        </is>
      </c>
      <c r="E510" t="inlineStr">
        <is>
          <t>KRISTINEHAMN</t>
        </is>
      </c>
      <c r="G510" t="n">
        <v>4</v>
      </c>
      <c r="H510" t="n">
        <v>1</v>
      </c>
      <c r="I510" t="n">
        <v>0</v>
      </c>
      <c r="J510" t="n">
        <v>0</v>
      </c>
      <c r="K510" t="n">
        <v>0</v>
      </c>
      <c r="L510" t="n">
        <v>0</v>
      </c>
      <c r="M510" t="n">
        <v>0</v>
      </c>
      <c r="N510" t="n">
        <v>0</v>
      </c>
      <c r="O510" t="n">
        <v>0</v>
      </c>
      <c r="P510" t="n">
        <v>0</v>
      </c>
      <c r="Q510" t="n">
        <v>1</v>
      </c>
      <c r="R510" s="2" t="inlineStr">
        <is>
          <t>Hasselmus</t>
        </is>
      </c>
      <c r="S510">
        <f>HYPERLINK("https://klasma.github.io/Logging_1781/artfynd/A 1734-2022 artfynd.xlsx", "A 1734-2022")</f>
        <v/>
      </c>
      <c r="T510">
        <f>HYPERLINK("https://klasma.github.io/Logging_1781/kartor/A 1734-2022 karta.png", "A 1734-2022")</f>
        <v/>
      </c>
      <c r="V510">
        <f>HYPERLINK("https://klasma.github.io/Logging_1781/klagomål/A 1734-2022 FSC-klagomål.docx", "A 1734-2022")</f>
        <v/>
      </c>
      <c r="W510">
        <f>HYPERLINK("https://klasma.github.io/Logging_1781/klagomålsmail/A 1734-2022 FSC-klagomål mail.docx", "A 1734-2022")</f>
        <v/>
      </c>
      <c r="X510">
        <f>HYPERLINK("https://klasma.github.io/Logging_1781/tillsyn/A 1734-2022 tillsynsbegäran.docx", "A 1734-2022")</f>
        <v/>
      </c>
      <c r="Y510">
        <f>HYPERLINK("https://klasma.github.io/Logging_1781/tillsynsmail/A 1734-2022 tillsynsbegäran mail.docx", "A 1734-2022")</f>
        <v/>
      </c>
    </row>
    <row r="511" ht="15" customHeight="1">
      <c r="A511" t="inlineStr">
        <is>
          <t>A 3404-2022</t>
        </is>
      </c>
      <c r="B511" s="1" t="n">
        <v>44585</v>
      </c>
      <c r="C511" s="1" t="n">
        <v>45810</v>
      </c>
      <c r="D511" t="inlineStr">
        <is>
          <t>VÄRMLANDS LÄN</t>
        </is>
      </c>
      <c r="E511" t="inlineStr">
        <is>
          <t>TORSBY</t>
        </is>
      </c>
      <c r="G511" t="n">
        <v>1</v>
      </c>
      <c r="H511" t="n">
        <v>0</v>
      </c>
      <c r="I511" t="n">
        <v>0</v>
      </c>
      <c r="J511" t="n">
        <v>1</v>
      </c>
      <c r="K511" t="n">
        <v>0</v>
      </c>
      <c r="L511" t="n">
        <v>0</v>
      </c>
      <c r="M511" t="n">
        <v>0</v>
      </c>
      <c r="N511" t="n">
        <v>0</v>
      </c>
      <c r="O511" t="n">
        <v>1</v>
      </c>
      <c r="P511" t="n">
        <v>0</v>
      </c>
      <c r="Q511" t="n">
        <v>1</v>
      </c>
      <c r="R511" s="2" t="inlineStr">
        <is>
          <t>Vedtrappmossa</t>
        </is>
      </c>
      <c r="S511">
        <f>HYPERLINK("https://klasma.github.io/Logging_1737/artfynd/A 3404-2022 artfynd.xlsx", "A 3404-2022")</f>
        <v/>
      </c>
      <c r="T511">
        <f>HYPERLINK("https://klasma.github.io/Logging_1737/kartor/A 3404-2022 karta.png", "A 3404-2022")</f>
        <v/>
      </c>
      <c r="V511">
        <f>HYPERLINK("https://klasma.github.io/Logging_1737/klagomål/A 3404-2022 FSC-klagomål.docx", "A 3404-2022")</f>
        <v/>
      </c>
      <c r="W511">
        <f>HYPERLINK("https://klasma.github.io/Logging_1737/klagomålsmail/A 3404-2022 FSC-klagomål mail.docx", "A 3404-2022")</f>
        <v/>
      </c>
      <c r="X511">
        <f>HYPERLINK("https://klasma.github.io/Logging_1737/tillsyn/A 3404-2022 tillsynsbegäran.docx", "A 3404-2022")</f>
        <v/>
      </c>
      <c r="Y511">
        <f>HYPERLINK("https://klasma.github.io/Logging_1737/tillsynsmail/A 3404-2022 tillsynsbegäran mail.docx", "A 3404-2022")</f>
        <v/>
      </c>
    </row>
    <row r="512" ht="15" customHeight="1">
      <c r="A512" t="inlineStr">
        <is>
          <t>A 4394-2022</t>
        </is>
      </c>
      <c r="B512" s="1" t="n">
        <v>44589</v>
      </c>
      <c r="C512" s="1" t="n">
        <v>45810</v>
      </c>
      <c r="D512" t="inlineStr">
        <is>
          <t>VÄRMLANDS LÄN</t>
        </is>
      </c>
      <c r="E512" t="inlineStr">
        <is>
          <t>SÄFFLE</t>
        </is>
      </c>
      <c r="G512" t="n">
        <v>2.2</v>
      </c>
      <c r="H512" t="n">
        <v>0</v>
      </c>
      <c r="I512" t="n">
        <v>1</v>
      </c>
      <c r="J512" t="n">
        <v>0</v>
      </c>
      <c r="K512" t="n">
        <v>0</v>
      </c>
      <c r="L512" t="n">
        <v>0</v>
      </c>
      <c r="M512" t="n">
        <v>0</v>
      </c>
      <c r="N512" t="n">
        <v>0</v>
      </c>
      <c r="O512" t="n">
        <v>0</v>
      </c>
      <c r="P512" t="n">
        <v>0</v>
      </c>
      <c r="Q512" t="n">
        <v>1</v>
      </c>
      <c r="R512" s="2" t="inlineStr">
        <is>
          <t>Vätteros</t>
        </is>
      </c>
      <c r="S512">
        <f>HYPERLINK("https://klasma.github.io/Logging_1785/artfynd/A 4394-2022 artfynd.xlsx", "A 4394-2022")</f>
        <v/>
      </c>
      <c r="T512">
        <f>HYPERLINK("https://klasma.github.io/Logging_1785/kartor/A 4394-2022 karta.png", "A 4394-2022")</f>
        <v/>
      </c>
      <c r="V512">
        <f>HYPERLINK("https://klasma.github.io/Logging_1785/klagomål/A 4394-2022 FSC-klagomål.docx", "A 4394-2022")</f>
        <v/>
      </c>
      <c r="W512">
        <f>HYPERLINK("https://klasma.github.io/Logging_1785/klagomålsmail/A 4394-2022 FSC-klagomål mail.docx", "A 4394-2022")</f>
        <v/>
      </c>
      <c r="X512">
        <f>HYPERLINK("https://klasma.github.io/Logging_1785/tillsyn/A 4394-2022 tillsynsbegäran.docx", "A 4394-2022")</f>
        <v/>
      </c>
      <c r="Y512">
        <f>HYPERLINK("https://klasma.github.io/Logging_1785/tillsynsmail/A 4394-2022 tillsynsbegäran mail.docx", "A 4394-2022")</f>
        <v/>
      </c>
    </row>
    <row r="513" ht="15" customHeight="1">
      <c r="A513" t="inlineStr">
        <is>
          <t>A 4664-2022</t>
        </is>
      </c>
      <c r="B513" s="1" t="n">
        <v>44592</v>
      </c>
      <c r="C513" s="1" t="n">
        <v>45810</v>
      </c>
      <c r="D513" t="inlineStr">
        <is>
          <t>VÄRMLANDS LÄN</t>
        </is>
      </c>
      <c r="E513" t="inlineStr">
        <is>
          <t>KARLSTAD</t>
        </is>
      </c>
      <c r="F513" t="inlineStr">
        <is>
          <t>Kommuner</t>
        </is>
      </c>
      <c r="G513" t="n">
        <v>2.3</v>
      </c>
      <c r="H513" t="n">
        <v>0</v>
      </c>
      <c r="I513" t="n">
        <v>0</v>
      </c>
      <c r="J513" t="n">
        <v>1</v>
      </c>
      <c r="K513" t="n">
        <v>0</v>
      </c>
      <c r="L513" t="n">
        <v>0</v>
      </c>
      <c r="M513" t="n">
        <v>0</v>
      </c>
      <c r="N513" t="n">
        <v>0</v>
      </c>
      <c r="O513" t="n">
        <v>1</v>
      </c>
      <c r="P513" t="n">
        <v>0</v>
      </c>
      <c r="Q513" t="n">
        <v>1</v>
      </c>
      <c r="R513" s="2" t="inlineStr">
        <is>
          <t>Vedskivlav</t>
        </is>
      </c>
      <c r="S513">
        <f>HYPERLINK("https://klasma.github.io/Logging_1780/artfynd/A 4664-2022 artfynd.xlsx", "A 4664-2022")</f>
        <v/>
      </c>
      <c r="T513">
        <f>HYPERLINK("https://klasma.github.io/Logging_1780/kartor/A 4664-2022 karta.png", "A 4664-2022")</f>
        <v/>
      </c>
      <c r="V513">
        <f>HYPERLINK("https://klasma.github.io/Logging_1780/klagomål/A 4664-2022 FSC-klagomål.docx", "A 4664-2022")</f>
        <v/>
      </c>
      <c r="W513">
        <f>HYPERLINK("https://klasma.github.io/Logging_1780/klagomålsmail/A 4664-2022 FSC-klagomål mail.docx", "A 4664-2022")</f>
        <v/>
      </c>
      <c r="X513">
        <f>HYPERLINK("https://klasma.github.io/Logging_1780/tillsyn/A 4664-2022 tillsynsbegäran.docx", "A 4664-2022")</f>
        <v/>
      </c>
      <c r="Y513">
        <f>HYPERLINK("https://klasma.github.io/Logging_1780/tillsynsmail/A 4664-2022 tillsynsbegäran mail.docx", "A 4664-2022")</f>
        <v/>
      </c>
    </row>
    <row r="514" ht="15" customHeight="1">
      <c r="A514" t="inlineStr">
        <is>
          <t>A 6294-2022</t>
        </is>
      </c>
      <c r="B514" s="1" t="n">
        <v>44601</v>
      </c>
      <c r="C514" s="1" t="n">
        <v>45810</v>
      </c>
      <c r="D514" t="inlineStr">
        <is>
          <t>VÄRMLANDS LÄN</t>
        </is>
      </c>
      <c r="E514" t="inlineStr">
        <is>
          <t>FORSHAGA</t>
        </is>
      </c>
      <c r="G514" t="n">
        <v>3.2</v>
      </c>
      <c r="H514" t="n">
        <v>1</v>
      </c>
      <c r="I514" t="n">
        <v>0</v>
      </c>
      <c r="J514" t="n">
        <v>1</v>
      </c>
      <c r="K514" t="n">
        <v>0</v>
      </c>
      <c r="L514" t="n">
        <v>0</v>
      </c>
      <c r="M514" t="n">
        <v>0</v>
      </c>
      <c r="N514" t="n">
        <v>0</v>
      </c>
      <c r="O514" t="n">
        <v>1</v>
      </c>
      <c r="P514" t="n">
        <v>0</v>
      </c>
      <c r="Q514" t="n">
        <v>1</v>
      </c>
      <c r="R514" s="2" t="inlineStr">
        <is>
          <t>Spillkråka</t>
        </is>
      </c>
      <c r="S514">
        <f>HYPERLINK("https://klasma.github.io/Logging_1763/artfynd/A 6294-2022 artfynd.xlsx", "A 6294-2022")</f>
        <v/>
      </c>
      <c r="T514">
        <f>HYPERLINK("https://klasma.github.io/Logging_1763/kartor/A 6294-2022 karta.png", "A 6294-2022")</f>
        <v/>
      </c>
      <c r="V514">
        <f>HYPERLINK("https://klasma.github.io/Logging_1763/klagomål/A 6294-2022 FSC-klagomål.docx", "A 6294-2022")</f>
        <v/>
      </c>
      <c r="W514">
        <f>HYPERLINK("https://klasma.github.io/Logging_1763/klagomålsmail/A 6294-2022 FSC-klagomål mail.docx", "A 6294-2022")</f>
        <v/>
      </c>
      <c r="X514">
        <f>HYPERLINK("https://klasma.github.io/Logging_1763/tillsyn/A 6294-2022 tillsynsbegäran.docx", "A 6294-2022")</f>
        <v/>
      </c>
      <c r="Y514">
        <f>HYPERLINK("https://klasma.github.io/Logging_1763/tillsynsmail/A 6294-2022 tillsynsbegäran mail.docx", "A 6294-2022")</f>
        <v/>
      </c>
      <c r="Z514">
        <f>HYPERLINK("https://klasma.github.io/Logging_1763/fåglar/A 6294-2022 prioriterade fågelarter.docx", "A 6294-2022")</f>
        <v/>
      </c>
    </row>
    <row r="515" ht="15" customHeight="1">
      <c r="A515" t="inlineStr">
        <is>
          <t>A 6814-2022</t>
        </is>
      </c>
      <c r="B515" s="1" t="n">
        <v>44602</v>
      </c>
      <c r="C515" s="1" t="n">
        <v>45810</v>
      </c>
      <c r="D515" t="inlineStr">
        <is>
          <t>VÄRMLANDS LÄN</t>
        </is>
      </c>
      <c r="E515" t="inlineStr">
        <is>
          <t>ARVIKA</t>
        </is>
      </c>
      <c r="F515" t="inlineStr">
        <is>
          <t>Bergvik skog väst AB</t>
        </is>
      </c>
      <c r="G515" t="n">
        <v>12.2</v>
      </c>
      <c r="H515" t="n">
        <v>0</v>
      </c>
      <c r="I515" t="n">
        <v>0</v>
      </c>
      <c r="J515" t="n">
        <v>1</v>
      </c>
      <c r="K515" t="n">
        <v>0</v>
      </c>
      <c r="L515" t="n">
        <v>0</v>
      </c>
      <c r="M515" t="n">
        <v>0</v>
      </c>
      <c r="N515" t="n">
        <v>0</v>
      </c>
      <c r="O515" t="n">
        <v>1</v>
      </c>
      <c r="P515" t="n">
        <v>0</v>
      </c>
      <c r="Q515" t="n">
        <v>1</v>
      </c>
      <c r="R515" s="2" t="inlineStr">
        <is>
          <t>Skogsklocka</t>
        </is>
      </c>
      <c r="S515">
        <f>HYPERLINK("https://klasma.github.io/Logging_1784/artfynd/A 6814-2022 artfynd.xlsx", "A 6814-2022")</f>
        <v/>
      </c>
      <c r="T515">
        <f>HYPERLINK("https://klasma.github.io/Logging_1784/kartor/A 6814-2022 karta.png", "A 6814-2022")</f>
        <v/>
      </c>
      <c r="V515">
        <f>HYPERLINK("https://klasma.github.io/Logging_1784/klagomål/A 6814-2022 FSC-klagomål.docx", "A 6814-2022")</f>
        <v/>
      </c>
      <c r="W515">
        <f>HYPERLINK("https://klasma.github.io/Logging_1784/klagomålsmail/A 6814-2022 FSC-klagomål mail.docx", "A 6814-2022")</f>
        <v/>
      </c>
      <c r="X515">
        <f>HYPERLINK("https://klasma.github.io/Logging_1784/tillsyn/A 6814-2022 tillsynsbegäran.docx", "A 6814-2022")</f>
        <v/>
      </c>
      <c r="Y515">
        <f>HYPERLINK("https://klasma.github.io/Logging_1784/tillsynsmail/A 6814-2022 tillsynsbegäran mail.docx", "A 6814-2022")</f>
        <v/>
      </c>
    </row>
    <row r="516" ht="15" customHeight="1">
      <c r="A516" t="inlineStr">
        <is>
          <t>A 6986-2022</t>
        </is>
      </c>
      <c r="B516" s="1" t="n">
        <v>44603</v>
      </c>
      <c r="C516" s="1" t="n">
        <v>45810</v>
      </c>
      <c r="D516" t="inlineStr">
        <is>
          <t>VÄRMLANDS LÄN</t>
        </is>
      </c>
      <c r="E516" t="inlineStr">
        <is>
          <t>HAGFORS</t>
        </is>
      </c>
      <c r="G516" t="n">
        <v>2</v>
      </c>
      <c r="H516" t="n">
        <v>0</v>
      </c>
      <c r="I516" t="n">
        <v>1</v>
      </c>
      <c r="J516" t="n">
        <v>0</v>
      </c>
      <c r="K516" t="n">
        <v>0</v>
      </c>
      <c r="L516" t="n">
        <v>0</v>
      </c>
      <c r="M516" t="n">
        <v>0</v>
      </c>
      <c r="N516" t="n">
        <v>0</v>
      </c>
      <c r="O516" t="n">
        <v>0</v>
      </c>
      <c r="P516" t="n">
        <v>0</v>
      </c>
      <c r="Q516" t="n">
        <v>1</v>
      </c>
      <c r="R516" s="2" t="inlineStr">
        <is>
          <t>Vedticka</t>
        </is>
      </c>
      <c r="S516">
        <f>HYPERLINK("https://klasma.github.io/Logging_1783/artfynd/A 6986-2022 artfynd.xlsx", "A 6986-2022")</f>
        <v/>
      </c>
      <c r="T516">
        <f>HYPERLINK("https://klasma.github.io/Logging_1783/kartor/A 6986-2022 karta.png", "A 6986-2022")</f>
        <v/>
      </c>
      <c r="V516">
        <f>HYPERLINK("https://klasma.github.io/Logging_1783/klagomål/A 6986-2022 FSC-klagomål.docx", "A 6986-2022")</f>
        <v/>
      </c>
      <c r="W516">
        <f>HYPERLINK("https://klasma.github.io/Logging_1783/klagomålsmail/A 6986-2022 FSC-klagomål mail.docx", "A 6986-2022")</f>
        <v/>
      </c>
      <c r="X516">
        <f>HYPERLINK("https://klasma.github.io/Logging_1783/tillsyn/A 6986-2022 tillsynsbegäran.docx", "A 6986-2022")</f>
        <v/>
      </c>
      <c r="Y516">
        <f>HYPERLINK("https://klasma.github.io/Logging_1783/tillsynsmail/A 6986-2022 tillsynsbegäran mail.docx", "A 6986-2022")</f>
        <v/>
      </c>
    </row>
    <row r="517" ht="15" customHeight="1">
      <c r="A517" t="inlineStr">
        <is>
          <t>A 8846-2022</t>
        </is>
      </c>
      <c r="B517" s="1" t="n">
        <v>44614</v>
      </c>
      <c r="C517" s="1" t="n">
        <v>45810</v>
      </c>
      <c r="D517" t="inlineStr">
        <is>
          <t>VÄRMLANDS LÄN</t>
        </is>
      </c>
      <c r="E517" t="inlineStr">
        <is>
          <t>ARVIKA</t>
        </is>
      </c>
      <c r="G517" t="n">
        <v>8.6</v>
      </c>
      <c r="H517" t="n">
        <v>0</v>
      </c>
      <c r="I517" t="n">
        <v>1</v>
      </c>
      <c r="J517" t="n">
        <v>0</v>
      </c>
      <c r="K517" t="n">
        <v>0</v>
      </c>
      <c r="L517" t="n">
        <v>0</v>
      </c>
      <c r="M517" t="n">
        <v>0</v>
      </c>
      <c r="N517" t="n">
        <v>0</v>
      </c>
      <c r="O517" t="n">
        <v>0</v>
      </c>
      <c r="P517" t="n">
        <v>0</v>
      </c>
      <c r="Q517" t="n">
        <v>1</v>
      </c>
      <c r="R517" s="2" t="inlineStr">
        <is>
          <t>Tibast</t>
        </is>
      </c>
      <c r="S517">
        <f>HYPERLINK("https://klasma.github.io/Logging_1784/artfynd/A 8846-2022 artfynd.xlsx", "A 8846-2022")</f>
        <v/>
      </c>
      <c r="T517">
        <f>HYPERLINK("https://klasma.github.io/Logging_1784/kartor/A 8846-2022 karta.png", "A 8846-2022")</f>
        <v/>
      </c>
      <c r="V517">
        <f>HYPERLINK("https://klasma.github.io/Logging_1784/klagomål/A 8846-2022 FSC-klagomål.docx", "A 8846-2022")</f>
        <v/>
      </c>
      <c r="W517">
        <f>HYPERLINK("https://klasma.github.io/Logging_1784/klagomålsmail/A 8846-2022 FSC-klagomål mail.docx", "A 8846-2022")</f>
        <v/>
      </c>
      <c r="X517">
        <f>HYPERLINK("https://klasma.github.io/Logging_1784/tillsyn/A 8846-2022 tillsynsbegäran.docx", "A 8846-2022")</f>
        <v/>
      </c>
      <c r="Y517">
        <f>HYPERLINK("https://klasma.github.io/Logging_1784/tillsynsmail/A 8846-2022 tillsynsbegäran mail.docx", "A 8846-2022")</f>
        <v/>
      </c>
    </row>
    <row r="518" ht="15" customHeight="1">
      <c r="A518" t="inlineStr">
        <is>
          <t>A 8985-2022</t>
        </is>
      </c>
      <c r="B518" s="1" t="n">
        <v>44615</v>
      </c>
      <c r="C518" s="1" t="n">
        <v>45810</v>
      </c>
      <c r="D518" t="inlineStr">
        <is>
          <t>VÄRMLANDS LÄN</t>
        </is>
      </c>
      <c r="E518" t="inlineStr">
        <is>
          <t>SUNNE</t>
        </is>
      </c>
      <c r="F518" t="inlineStr">
        <is>
          <t>Bergvik skog väst AB</t>
        </is>
      </c>
      <c r="G518" t="n">
        <v>11.3</v>
      </c>
      <c r="H518" t="n">
        <v>1</v>
      </c>
      <c r="I518" t="n">
        <v>0</v>
      </c>
      <c r="J518" t="n">
        <v>0</v>
      </c>
      <c r="K518" t="n">
        <v>0</v>
      </c>
      <c r="L518" t="n">
        <v>0</v>
      </c>
      <c r="M518" t="n">
        <v>0</v>
      </c>
      <c r="N518" t="n">
        <v>0</v>
      </c>
      <c r="O518" t="n">
        <v>0</v>
      </c>
      <c r="P518" t="n">
        <v>0</v>
      </c>
      <c r="Q518" t="n">
        <v>1</v>
      </c>
      <c r="R518" s="2" t="inlineStr">
        <is>
          <t>Göktyta</t>
        </is>
      </c>
      <c r="S518">
        <f>HYPERLINK("https://klasma.github.io/Logging_1766/artfynd/A 8985-2022 artfynd.xlsx", "A 8985-2022")</f>
        <v/>
      </c>
      <c r="T518">
        <f>HYPERLINK("https://klasma.github.io/Logging_1766/kartor/A 8985-2022 karta.png", "A 8985-2022")</f>
        <v/>
      </c>
      <c r="V518">
        <f>HYPERLINK("https://klasma.github.io/Logging_1766/klagomål/A 8985-2022 FSC-klagomål.docx", "A 8985-2022")</f>
        <v/>
      </c>
      <c r="W518">
        <f>HYPERLINK("https://klasma.github.io/Logging_1766/klagomålsmail/A 8985-2022 FSC-klagomål mail.docx", "A 8985-2022")</f>
        <v/>
      </c>
      <c r="X518">
        <f>HYPERLINK("https://klasma.github.io/Logging_1766/tillsyn/A 8985-2022 tillsynsbegäran.docx", "A 8985-2022")</f>
        <v/>
      </c>
      <c r="Y518">
        <f>HYPERLINK("https://klasma.github.io/Logging_1766/tillsynsmail/A 8985-2022 tillsynsbegäran mail.docx", "A 8985-2022")</f>
        <v/>
      </c>
      <c r="Z518">
        <f>HYPERLINK("https://klasma.github.io/Logging_1766/fåglar/A 8985-2022 prioriterade fågelarter.docx", "A 8985-2022")</f>
        <v/>
      </c>
    </row>
    <row r="519" ht="15" customHeight="1">
      <c r="A519" t="inlineStr">
        <is>
          <t>A 11682-2022</t>
        </is>
      </c>
      <c r="B519" s="1" t="n">
        <v>44631</v>
      </c>
      <c r="C519" s="1" t="n">
        <v>45810</v>
      </c>
      <c r="D519" t="inlineStr">
        <is>
          <t>VÄRMLANDS LÄN</t>
        </is>
      </c>
      <c r="E519" t="inlineStr">
        <is>
          <t>ÅRJÄNG</t>
        </is>
      </c>
      <c r="G519" t="n">
        <v>19.9</v>
      </c>
      <c r="H519" t="n">
        <v>0</v>
      </c>
      <c r="I519" t="n">
        <v>0</v>
      </c>
      <c r="J519" t="n">
        <v>1</v>
      </c>
      <c r="K519" t="n">
        <v>0</v>
      </c>
      <c r="L519" t="n">
        <v>0</v>
      </c>
      <c r="M519" t="n">
        <v>0</v>
      </c>
      <c r="N519" t="n">
        <v>0</v>
      </c>
      <c r="O519" t="n">
        <v>1</v>
      </c>
      <c r="P519" t="n">
        <v>0</v>
      </c>
      <c r="Q519" t="n">
        <v>1</v>
      </c>
      <c r="R519" s="2" t="inlineStr">
        <is>
          <t>Skogsklocka</t>
        </is>
      </c>
      <c r="S519">
        <f>HYPERLINK("https://klasma.github.io/Logging_1765/artfynd/A 11682-2022 artfynd.xlsx", "A 11682-2022")</f>
        <v/>
      </c>
      <c r="T519">
        <f>HYPERLINK("https://klasma.github.io/Logging_1765/kartor/A 11682-2022 karta.png", "A 11682-2022")</f>
        <v/>
      </c>
      <c r="V519">
        <f>HYPERLINK("https://klasma.github.io/Logging_1765/klagomål/A 11682-2022 FSC-klagomål.docx", "A 11682-2022")</f>
        <v/>
      </c>
      <c r="W519">
        <f>HYPERLINK("https://klasma.github.io/Logging_1765/klagomålsmail/A 11682-2022 FSC-klagomål mail.docx", "A 11682-2022")</f>
        <v/>
      </c>
      <c r="X519">
        <f>HYPERLINK("https://klasma.github.io/Logging_1765/tillsyn/A 11682-2022 tillsynsbegäran.docx", "A 11682-2022")</f>
        <v/>
      </c>
      <c r="Y519">
        <f>HYPERLINK("https://klasma.github.io/Logging_1765/tillsynsmail/A 11682-2022 tillsynsbegäran mail.docx", "A 11682-2022")</f>
        <v/>
      </c>
    </row>
    <row r="520" ht="15" customHeight="1">
      <c r="A520" t="inlineStr">
        <is>
          <t>A 14002-2022</t>
        </is>
      </c>
      <c r="B520" s="1" t="n">
        <v>44650</v>
      </c>
      <c r="C520" s="1" t="n">
        <v>45810</v>
      </c>
      <c r="D520" t="inlineStr">
        <is>
          <t>VÄRMLANDS LÄN</t>
        </is>
      </c>
      <c r="E520" t="inlineStr">
        <is>
          <t>KARLSTAD</t>
        </is>
      </c>
      <c r="G520" t="n">
        <v>2.3</v>
      </c>
      <c r="H520" t="n">
        <v>1</v>
      </c>
      <c r="I520" t="n">
        <v>0</v>
      </c>
      <c r="J520" t="n">
        <v>0</v>
      </c>
      <c r="K520" t="n">
        <v>1</v>
      </c>
      <c r="L520" t="n">
        <v>0</v>
      </c>
      <c r="M520" t="n">
        <v>0</v>
      </c>
      <c r="N520" t="n">
        <v>0</v>
      </c>
      <c r="O520" t="n">
        <v>1</v>
      </c>
      <c r="P520" t="n">
        <v>1</v>
      </c>
      <c r="Q520" t="n">
        <v>1</v>
      </c>
      <c r="R520" s="2" t="inlineStr">
        <is>
          <t>Knärot</t>
        </is>
      </c>
      <c r="S520">
        <f>HYPERLINK("https://klasma.github.io/Logging_1780/artfynd/A 14002-2022 artfynd.xlsx", "A 14002-2022")</f>
        <v/>
      </c>
      <c r="T520">
        <f>HYPERLINK("https://klasma.github.io/Logging_1780/kartor/A 14002-2022 karta.png", "A 14002-2022")</f>
        <v/>
      </c>
      <c r="U520">
        <f>HYPERLINK("https://klasma.github.io/Logging_1780/knärot/A 14002-2022 karta knärot.png", "A 14002-2022")</f>
        <v/>
      </c>
      <c r="V520">
        <f>HYPERLINK("https://klasma.github.io/Logging_1780/klagomål/A 14002-2022 FSC-klagomål.docx", "A 14002-2022")</f>
        <v/>
      </c>
      <c r="W520">
        <f>HYPERLINK("https://klasma.github.io/Logging_1780/klagomålsmail/A 14002-2022 FSC-klagomål mail.docx", "A 14002-2022")</f>
        <v/>
      </c>
      <c r="X520">
        <f>HYPERLINK("https://klasma.github.io/Logging_1780/tillsyn/A 14002-2022 tillsynsbegäran.docx", "A 14002-2022")</f>
        <v/>
      </c>
      <c r="Y520">
        <f>HYPERLINK("https://klasma.github.io/Logging_1780/tillsynsmail/A 14002-2022 tillsynsbegäran mail.docx", "A 14002-2022")</f>
        <v/>
      </c>
    </row>
    <row r="521" ht="15" customHeight="1">
      <c r="A521" t="inlineStr">
        <is>
          <t>A 14114-2022</t>
        </is>
      </c>
      <c r="B521" s="1" t="n">
        <v>44651</v>
      </c>
      <c r="C521" s="1" t="n">
        <v>45810</v>
      </c>
      <c r="D521" t="inlineStr">
        <is>
          <t>VÄRMLANDS LÄN</t>
        </is>
      </c>
      <c r="E521" t="inlineStr">
        <is>
          <t>FORSHAGA</t>
        </is>
      </c>
      <c r="F521" t="inlineStr">
        <is>
          <t>Bergvik skog väst AB</t>
        </is>
      </c>
      <c r="G521" t="n">
        <v>25.1</v>
      </c>
      <c r="H521" t="n">
        <v>0</v>
      </c>
      <c r="I521" t="n">
        <v>0</v>
      </c>
      <c r="J521" t="n">
        <v>1</v>
      </c>
      <c r="K521" t="n">
        <v>0</v>
      </c>
      <c r="L521" t="n">
        <v>0</v>
      </c>
      <c r="M521" t="n">
        <v>0</v>
      </c>
      <c r="N521" t="n">
        <v>0</v>
      </c>
      <c r="O521" t="n">
        <v>1</v>
      </c>
      <c r="P521" t="n">
        <v>0</v>
      </c>
      <c r="Q521" t="n">
        <v>1</v>
      </c>
      <c r="R521" s="2" t="inlineStr">
        <is>
          <t>Sotnätfjäril</t>
        </is>
      </c>
      <c r="S521">
        <f>HYPERLINK("https://klasma.github.io/Logging_1763/artfynd/A 14114-2022 artfynd.xlsx", "A 14114-2022")</f>
        <v/>
      </c>
      <c r="T521">
        <f>HYPERLINK("https://klasma.github.io/Logging_1763/kartor/A 14114-2022 karta.png", "A 14114-2022")</f>
        <v/>
      </c>
      <c r="V521">
        <f>HYPERLINK("https://klasma.github.io/Logging_1763/klagomål/A 14114-2022 FSC-klagomål.docx", "A 14114-2022")</f>
        <v/>
      </c>
      <c r="W521">
        <f>HYPERLINK("https://klasma.github.io/Logging_1763/klagomålsmail/A 14114-2022 FSC-klagomål mail.docx", "A 14114-2022")</f>
        <v/>
      </c>
      <c r="X521">
        <f>HYPERLINK("https://klasma.github.io/Logging_1763/tillsyn/A 14114-2022 tillsynsbegäran.docx", "A 14114-2022")</f>
        <v/>
      </c>
      <c r="Y521">
        <f>HYPERLINK("https://klasma.github.io/Logging_1763/tillsynsmail/A 14114-2022 tillsynsbegäran mail.docx", "A 14114-2022")</f>
        <v/>
      </c>
    </row>
    <row r="522" ht="15" customHeight="1">
      <c r="A522" t="inlineStr">
        <is>
          <t>A 14594-2022</t>
        </is>
      </c>
      <c r="B522" s="1" t="n">
        <v>44655</v>
      </c>
      <c r="C522" s="1" t="n">
        <v>45810</v>
      </c>
      <c r="D522" t="inlineStr">
        <is>
          <t>VÄRMLANDS LÄN</t>
        </is>
      </c>
      <c r="E522" t="inlineStr">
        <is>
          <t>KARLSTAD</t>
        </is>
      </c>
      <c r="F522" t="inlineStr">
        <is>
          <t>Kommuner</t>
        </is>
      </c>
      <c r="G522" t="n">
        <v>11.2</v>
      </c>
      <c r="H522" t="n">
        <v>1</v>
      </c>
      <c r="I522" t="n">
        <v>0</v>
      </c>
      <c r="J522" t="n">
        <v>1</v>
      </c>
      <c r="K522" t="n">
        <v>0</v>
      </c>
      <c r="L522" t="n">
        <v>0</v>
      </c>
      <c r="M522" t="n">
        <v>0</v>
      </c>
      <c r="N522" t="n">
        <v>0</v>
      </c>
      <c r="O522" t="n">
        <v>1</v>
      </c>
      <c r="P522" t="n">
        <v>0</v>
      </c>
      <c r="Q522" t="n">
        <v>1</v>
      </c>
      <c r="R522" s="2" t="inlineStr">
        <is>
          <t>Mindre hackspett</t>
        </is>
      </c>
      <c r="S522">
        <f>HYPERLINK("https://klasma.github.io/Logging_1780/artfynd/A 14594-2022 artfynd.xlsx", "A 14594-2022")</f>
        <v/>
      </c>
      <c r="T522">
        <f>HYPERLINK("https://klasma.github.io/Logging_1780/kartor/A 14594-2022 karta.png", "A 14594-2022")</f>
        <v/>
      </c>
      <c r="V522">
        <f>HYPERLINK("https://klasma.github.io/Logging_1780/klagomål/A 14594-2022 FSC-klagomål.docx", "A 14594-2022")</f>
        <v/>
      </c>
      <c r="W522">
        <f>HYPERLINK("https://klasma.github.io/Logging_1780/klagomålsmail/A 14594-2022 FSC-klagomål mail.docx", "A 14594-2022")</f>
        <v/>
      </c>
      <c r="X522">
        <f>HYPERLINK("https://klasma.github.io/Logging_1780/tillsyn/A 14594-2022 tillsynsbegäran.docx", "A 14594-2022")</f>
        <v/>
      </c>
      <c r="Y522">
        <f>HYPERLINK("https://klasma.github.io/Logging_1780/tillsynsmail/A 14594-2022 tillsynsbegäran mail.docx", "A 14594-2022")</f>
        <v/>
      </c>
      <c r="Z522">
        <f>HYPERLINK("https://klasma.github.io/Logging_1780/fåglar/A 14594-2022 prioriterade fågelarter.docx", "A 14594-2022")</f>
        <v/>
      </c>
    </row>
    <row r="523" ht="15" customHeight="1">
      <c r="A523" t="inlineStr">
        <is>
          <t>A 16572-2022</t>
        </is>
      </c>
      <c r="B523" s="1" t="n">
        <v>44672</v>
      </c>
      <c r="C523" s="1" t="n">
        <v>45810</v>
      </c>
      <c r="D523" t="inlineStr">
        <is>
          <t>VÄRMLANDS LÄN</t>
        </is>
      </c>
      <c r="E523" t="inlineStr">
        <is>
          <t>TORSBY</t>
        </is>
      </c>
      <c r="G523" t="n">
        <v>2.6</v>
      </c>
      <c r="H523" t="n">
        <v>0</v>
      </c>
      <c r="I523" t="n">
        <v>0</v>
      </c>
      <c r="J523" t="n">
        <v>1</v>
      </c>
      <c r="K523" t="n">
        <v>0</v>
      </c>
      <c r="L523" t="n">
        <v>0</v>
      </c>
      <c r="M523" t="n">
        <v>0</v>
      </c>
      <c r="N523" t="n">
        <v>0</v>
      </c>
      <c r="O523" t="n">
        <v>1</v>
      </c>
      <c r="P523" t="n">
        <v>0</v>
      </c>
      <c r="Q523" t="n">
        <v>1</v>
      </c>
      <c r="R523" s="2" t="inlineStr">
        <is>
          <t>Skogsklocka</t>
        </is>
      </c>
      <c r="S523">
        <f>HYPERLINK("https://klasma.github.io/Logging_1737/artfynd/A 16572-2022 artfynd.xlsx", "A 16572-2022")</f>
        <v/>
      </c>
      <c r="T523">
        <f>HYPERLINK("https://klasma.github.io/Logging_1737/kartor/A 16572-2022 karta.png", "A 16572-2022")</f>
        <v/>
      </c>
      <c r="V523">
        <f>HYPERLINK("https://klasma.github.io/Logging_1737/klagomål/A 16572-2022 FSC-klagomål.docx", "A 16572-2022")</f>
        <v/>
      </c>
      <c r="W523">
        <f>HYPERLINK("https://klasma.github.io/Logging_1737/klagomålsmail/A 16572-2022 FSC-klagomål mail.docx", "A 16572-2022")</f>
        <v/>
      </c>
      <c r="X523">
        <f>HYPERLINK("https://klasma.github.io/Logging_1737/tillsyn/A 16572-2022 tillsynsbegäran.docx", "A 16572-2022")</f>
        <v/>
      </c>
      <c r="Y523">
        <f>HYPERLINK("https://klasma.github.io/Logging_1737/tillsynsmail/A 16572-2022 tillsynsbegäran mail.docx", "A 16572-2022")</f>
        <v/>
      </c>
    </row>
    <row r="524" ht="15" customHeight="1">
      <c r="A524" t="inlineStr">
        <is>
          <t>A 17504-2022</t>
        </is>
      </c>
      <c r="B524" s="1" t="n">
        <v>44679</v>
      </c>
      <c r="C524" s="1" t="n">
        <v>45810</v>
      </c>
      <c r="D524" t="inlineStr">
        <is>
          <t>VÄRMLANDS LÄN</t>
        </is>
      </c>
      <c r="E524" t="inlineStr">
        <is>
          <t>HAGFORS</t>
        </is>
      </c>
      <c r="F524" t="inlineStr">
        <is>
          <t>Bergvik skog väst AB</t>
        </is>
      </c>
      <c r="G524" t="n">
        <v>4.4</v>
      </c>
      <c r="H524" t="n">
        <v>1</v>
      </c>
      <c r="I524" t="n">
        <v>0</v>
      </c>
      <c r="J524" t="n">
        <v>0</v>
      </c>
      <c r="K524" t="n">
        <v>0</v>
      </c>
      <c r="L524" t="n">
        <v>0</v>
      </c>
      <c r="M524" t="n">
        <v>0</v>
      </c>
      <c r="N524" t="n">
        <v>0</v>
      </c>
      <c r="O524" t="n">
        <v>0</v>
      </c>
      <c r="P524" t="n">
        <v>0</v>
      </c>
      <c r="Q524" t="n">
        <v>1</v>
      </c>
      <c r="R524" s="2" t="inlineStr">
        <is>
          <t>Trädlärka</t>
        </is>
      </c>
      <c r="S524">
        <f>HYPERLINK("https://klasma.github.io/Logging_1783/artfynd/A 17504-2022 artfynd.xlsx", "A 17504-2022")</f>
        <v/>
      </c>
      <c r="T524">
        <f>HYPERLINK("https://klasma.github.io/Logging_1783/kartor/A 17504-2022 karta.png", "A 17504-2022")</f>
        <v/>
      </c>
      <c r="V524">
        <f>HYPERLINK("https://klasma.github.io/Logging_1783/klagomål/A 17504-2022 FSC-klagomål.docx", "A 17504-2022")</f>
        <v/>
      </c>
      <c r="W524">
        <f>HYPERLINK("https://klasma.github.io/Logging_1783/klagomålsmail/A 17504-2022 FSC-klagomål mail.docx", "A 17504-2022")</f>
        <v/>
      </c>
      <c r="X524">
        <f>HYPERLINK("https://klasma.github.io/Logging_1783/tillsyn/A 17504-2022 tillsynsbegäran.docx", "A 17504-2022")</f>
        <v/>
      </c>
      <c r="Y524">
        <f>HYPERLINK("https://klasma.github.io/Logging_1783/tillsynsmail/A 17504-2022 tillsynsbegäran mail.docx", "A 17504-2022")</f>
        <v/>
      </c>
      <c r="Z524">
        <f>HYPERLINK("https://klasma.github.io/Logging_1783/fåglar/A 17504-2022 prioriterade fågelarter.docx", "A 17504-2022")</f>
        <v/>
      </c>
    </row>
    <row r="525" ht="15" customHeight="1">
      <c r="A525" t="inlineStr">
        <is>
          <t>A 19831-2022</t>
        </is>
      </c>
      <c r="B525" s="1" t="n">
        <v>44695</v>
      </c>
      <c r="C525" s="1" t="n">
        <v>45810</v>
      </c>
      <c r="D525" t="inlineStr">
        <is>
          <t>VÄRMLANDS LÄN</t>
        </is>
      </c>
      <c r="E525" t="inlineStr">
        <is>
          <t>SUNNE</t>
        </is>
      </c>
      <c r="G525" t="n">
        <v>0.7</v>
      </c>
      <c r="H525" t="n">
        <v>0</v>
      </c>
      <c r="I525" t="n">
        <v>1</v>
      </c>
      <c r="J525" t="n">
        <v>0</v>
      </c>
      <c r="K525" t="n">
        <v>0</v>
      </c>
      <c r="L525" t="n">
        <v>0</v>
      </c>
      <c r="M525" t="n">
        <v>0</v>
      </c>
      <c r="N525" t="n">
        <v>0</v>
      </c>
      <c r="O525" t="n">
        <v>0</v>
      </c>
      <c r="P525" t="n">
        <v>0</v>
      </c>
      <c r="Q525" t="n">
        <v>1</v>
      </c>
      <c r="R525" s="2" t="inlineStr">
        <is>
          <t>Vågbandad barkbock</t>
        </is>
      </c>
      <c r="S525">
        <f>HYPERLINK("https://klasma.github.io/Logging_1766/artfynd/A 19831-2022 artfynd.xlsx", "A 19831-2022")</f>
        <v/>
      </c>
      <c r="T525">
        <f>HYPERLINK("https://klasma.github.io/Logging_1766/kartor/A 19831-2022 karta.png", "A 19831-2022")</f>
        <v/>
      </c>
      <c r="V525">
        <f>HYPERLINK("https://klasma.github.io/Logging_1766/klagomål/A 19831-2022 FSC-klagomål.docx", "A 19831-2022")</f>
        <v/>
      </c>
      <c r="W525">
        <f>HYPERLINK("https://klasma.github.io/Logging_1766/klagomålsmail/A 19831-2022 FSC-klagomål mail.docx", "A 19831-2022")</f>
        <v/>
      </c>
      <c r="X525">
        <f>HYPERLINK("https://klasma.github.io/Logging_1766/tillsyn/A 19831-2022 tillsynsbegäran.docx", "A 19831-2022")</f>
        <v/>
      </c>
      <c r="Y525">
        <f>HYPERLINK("https://klasma.github.io/Logging_1766/tillsynsmail/A 19831-2022 tillsynsbegäran mail.docx", "A 19831-2022")</f>
        <v/>
      </c>
    </row>
    <row r="526" ht="15" customHeight="1">
      <c r="A526" t="inlineStr">
        <is>
          <t>A 20754-2022</t>
        </is>
      </c>
      <c r="B526" s="1" t="n">
        <v>44701</v>
      </c>
      <c r="C526" s="1" t="n">
        <v>45810</v>
      </c>
      <c r="D526" t="inlineStr">
        <is>
          <t>VÄRMLANDS LÄN</t>
        </is>
      </c>
      <c r="E526" t="inlineStr">
        <is>
          <t>FILIPSTAD</t>
        </is>
      </c>
      <c r="F526" t="inlineStr">
        <is>
          <t>Bergvik skog väst AB</t>
        </is>
      </c>
      <c r="G526" t="n">
        <v>13.6</v>
      </c>
      <c r="H526" t="n">
        <v>1</v>
      </c>
      <c r="I526" t="n">
        <v>0</v>
      </c>
      <c r="J526" t="n">
        <v>0</v>
      </c>
      <c r="K526" t="n">
        <v>0</v>
      </c>
      <c r="L526" t="n">
        <v>0</v>
      </c>
      <c r="M526" t="n">
        <v>0</v>
      </c>
      <c r="N526" t="n">
        <v>0</v>
      </c>
      <c r="O526" t="n">
        <v>0</v>
      </c>
      <c r="P526" t="n">
        <v>0</v>
      </c>
      <c r="Q526" t="n">
        <v>1</v>
      </c>
      <c r="R526" s="2" t="inlineStr">
        <is>
          <t>Mattlummer</t>
        </is>
      </c>
      <c r="S526">
        <f>HYPERLINK("https://klasma.github.io/Logging_1782/artfynd/A 20754-2022 artfynd.xlsx", "A 20754-2022")</f>
        <v/>
      </c>
      <c r="T526">
        <f>HYPERLINK("https://klasma.github.io/Logging_1782/kartor/A 20754-2022 karta.png", "A 20754-2022")</f>
        <v/>
      </c>
      <c r="V526">
        <f>HYPERLINK("https://klasma.github.io/Logging_1782/klagomål/A 20754-2022 FSC-klagomål.docx", "A 20754-2022")</f>
        <v/>
      </c>
      <c r="W526">
        <f>HYPERLINK("https://klasma.github.io/Logging_1782/klagomålsmail/A 20754-2022 FSC-klagomål mail.docx", "A 20754-2022")</f>
        <v/>
      </c>
      <c r="X526">
        <f>HYPERLINK("https://klasma.github.io/Logging_1782/tillsyn/A 20754-2022 tillsynsbegäran.docx", "A 20754-2022")</f>
        <v/>
      </c>
      <c r="Y526">
        <f>HYPERLINK("https://klasma.github.io/Logging_1782/tillsynsmail/A 20754-2022 tillsynsbegäran mail.docx", "A 20754-2022")</f>
        <v/>
      </c>
    </row>
    <row r="527" ht="15" customHeight="1">
      <c r="A527" t="inlineStr">
        <is>
          <t>A 23486-2022</t>
        </is>
      </c>
      <c r="B527" s="1" t="n">
        <v>44721</v>
      </c>
      <c r="C527" s="1" t="n">
        <v>45810</v>
      </c>
      <c r="D527" t="inlineStr">
        <is>
          <t>VÄRMLANDS LÄN</t>
        </is>
      </c>
      <c r="E527" t="inlineStr">
        <is>
          <t>TORSBY</t>
        </is>
      </c>
      <c r="G527" t="n">
        <v>1</v>
      </c>
      <c r="H527" t="n">
        <v>0</v>
      </c>
      <c r="I527" t="n">
        <v>0</v>
      </c>
      <c r="J527" t="n">
        <v>1</v>
      </c>
      <c r="K527" t="n">
        <v>0</v>
      </c>
      <c r="L527" t="n">
        <v>0</v>
      </c>
      <c r="M527" t="n">
        <v>0</v>
      </c>
      <c r="N527" t="n">
        <v>0</v>
      </c>
      <c r="O527" t="n">
        <v>1</v>
      </c>
      <c r="P527" t="n">
        <v>0</v>
      </c>
      <c r="Q527" t="n">
        <v>1</v>
      </c>
      <c r="R527" s="2" t="inlineStr">
        <is>
          <t>Tallriska</t>
        </is>
      </c>
      <c r="S527">
        <f>HYPERLINK("https://klasma.github.io/Logging_1737/artfynd/A 23486-2022 artfynd.xlsx", "A 23486-2022")</f>
        <v/>
      </c>
      <c r="T527">
        <f>HYPERLINK("https://klasma.github.io/Logging_1737/kartor/A 23486-2022 karta.png", "A 23486-2022")</f>
        <v/>
      </c>
      <c r="V527">
        <f>HYPERLINK("https://klasma.github.io/Logging_1737/klagomål/A 23486-2022 FSC-klagomål.docx", "A 23486-2022")</f>
        <v/>
      </c>
      <c r="W527">
        <f>HYPERLINK("https://klasma.github.io/Logging_1737/klagomålsmail/A 23486-2022 FSC-klagomål mail.docx", "A 23486-2022")</f>
        <v/>
      </c>
      <c r="X527">
        <f>HYPERLINK("https://klasma.github.io/Logging_1737/tillsyn/A 23486-2022 tillsynsbegäran.docx", "A 23486-2022")</f>
        <v/>
      </c>
      <c r="Y527">
        <f>HYPERLINK("https://klasma.github.io/Logging_1737/tillsynsmail/A 23486-2022 tillsynsbegäran mail.docx", "A 23486-2022")</f>
        <v/>
      </c>
    </row>
    <row r="528" ht="15" customHeight="1">
      <c r="A528" t="inlineStr">
        <is>
          <t>A 24618-2022</t>
        </is>
      </c>
      <c r="B528" s="1" t="n">
        <v>44727</v>
      </c>
      <c r="C528" s="1" t="n">
        <v>45810</v>
      </c>
      <c r="D528" t="inlineStr">
        <is>
          <t>VÄRMLANDS LÄN</t>
        </is>
      </c>
      <c r="E528" t="inlineStr">
        <is>
          <t>HAMMARÖ</t>
        </is>
      </c>
      <c r="F528" t="inlineStr">
        <is>
          <t>Kommuner</t>
        </is>
      </c>
      <c r="G528" t="n">
        <v>4.6</v>
      </c>
      <c r="H528" t="n">
        <v>1</v>
      </c>
      <c r="I528" t="n">
        <v>0</v>
      </c>
      <c r="J528" t="n">
        <v>0</v>
      </c>
      <c r="K528" t="n">
        <v>1</v>
      </c>
      <c r="L528" t="n">
        <v>0</v>
      </c>
      <c r="M528" t="n">
        <v>0</v>
      </c>
      <c r="N528" t="n">
        <v>0</v>
      </c>
      <c r="O528" t="n">
        <v>1</v>
      </c>
      <c r="P528" t="n">
        <v>1</v>
      </c>
      <c r="Q528" t="n">
        <v>1</v>
      </c>
      <c r="R528" s="2" t="inlineStr">
        <is>
          <t>Knärot</t>
        </is>
      </c>
      <c r="S528">
        <f>HYPERLINK("https://klasma.github.io/Logging_1761/artfynd/A 24618-2022 artfynd.xlsx", "A 24618-2022")</f>
        <v/>
      </c>
      <c r="T528">
        <f>HYPERLINK("https://klasma.github.io/Logging_1761/kartor/A 24618-2022 karta.png", "A 24618-2022")</f>
        <v/>
      </c>
      <c r="U528">
        <f>HYPERLINK("https://klasma.github.io/Logging_1761/knärot/A 24618-2022 karta knärot.png", "A 24618-2022")</f>
        <v/>
      </c>
      <c r="V528">
        <f>HYPERLINK("https://klasma.github.io/Logging_1761/klagomål/A 24618-2022 FSC-klagomål.docx", "A 24618-2022")</f>
        <v/>
      </c>
      <c r="W528">
        <f>HYPERLINK("https://klasma.github.io/Logging_1761/klagomålsmail/A 24618-2022 FSC-klagomål mail.docx", "A 24618-2022")</f>
        <v/>
      </c>
      <c r="X528">
        <f>HYPERLINK("https://klasma.github.io/Logging_1761/tillsyn/A 24618-2022 tillsynsbegäran.docx", "A 24618-2022")</f>
        <v/>
      </c>
      <c r="Y528">
        <f>HYPERLINK("https://klasma.github.io/Logging_1761/tillsynsmail/A 24618-2022 tillsynsbegäran mail.docx", "A 24618-2022")</f>
        <v/>
      </c>
    </row>
    <row r="529" ht="15" customHeight="1">
      <c r="A529" t="inlineStr">
        <is>
          <t>A 24756-2022</t>
        </is>
      </c>
      <c r="B529" s="1" t="n">
        <v>44728</v>
      </c>
      <c r="C529" s="1" t="n">
        <v>45810</v>
      </c>
      <c r="D529" t="inlineStr">
        <is>
          <t>VÄRMLANDS LÄN</t>
        </is>
      </c>
      <c r="E529" t="inlineStr">
        <is>
          <t>ARVIKA</t>
        </is>
      </c>
      <c r="F529" t="inlineStr">
        <is>
          <t>Bergvik skog väst AB</t>
        </is>
      </c>
      <c r="G529" t="n">
        <v>18.2</v>
      </c>
      <c r="H529" t="n">
        <v>1</v>
      </c>
      <c r="I529" t="n">
        <v>0</v>
      </c>
      <c r="J529" t="n">
        <v>1</v>
      </c>
      <c r="K529" t="n">
        <v>0</v>
      </c>
      <c r="L529" t="n">
        <v>0</v>
      </c>
      <c r="M529" t="n">
        <v>0</v>
      </c>
      <c r="N529" t="n">
        <v>0</v>
      </c>
      <c r="O529" t="n">
        <v>1</v>
      </c>
      <c r="P529" t="n">
        <v>0</v>
      </c>
      <c r="Q529" t="n">
        <v>1</v>
      </c>
      <c r="R529" s="2" t="inlineStr">
        <is>
          <t>Havsörn</t>
        </is>
      </c>
      <c r="S529">
        <f>HYPERLINK("https://klasma.github.io/Logging_1784/artfynd/A 24756-2022 artfynd.xlsx", "A 24756-2022")</f>
        <v/>
      </c>
      <c r="T529">
        <f>HYPERLINK("https://klasma.github.io/Logging_1784/kartor/A 24756-2022 karta.png", "A 24756-2022")</f>
        <v/>
      </c>
      <c r="V529">
        <f>HYPERLINK("https://klasma.github.io/Logging_1784/klagomål/A 24756-2022 FSC-klagomål.docx", "A 24756-2022")</f>
        <v/>
      </c>
      <c r="W529">
        <f>HYPERLINK("https://klasma.github.io/Logging_1784/klagomålsmail/A 24756-2022 FSC-klagomål mail.docx", "A 24756-2022")</f>
        <v/>
      </c>
      <c r="X529">
        <f>HYPERLINK("https://klasma.github.io/Logging_1784/tillsyn/A 24756-2022 tillsynsbegäran.docx", "A 24756-2022")</f>
        <v/>
      </c>
      <c r="Y529">
        <f>HYPERLINK("https://klasma.github.io/Logging_1784/tillsynsmail/A 24756-2022 tillsynsbegäran mail.docx", "A 24756-2022")</f>
        <v/>
      </c>
      <c r="Z529">
        <f>HYPERLINK("https://klasma.github.io/Logging_1784/fåglar/A 24756-2022 prioriterade fågelarter.docx", "A 24756-2022")</f>
        <v/>
      </c>
    </row>
    <row r="530" ht="15" customHeight="1">
      <c r="A530" t="inlineStr">
        <is>
          <t>A 25999-2022</t>
        </is>
      </c>
      <c r="B530" s="1" t="n">
        <v>44734</v>
      </c>
      <c r="C530" s="1" t="n">
        <v>45810</v>
      </c>
      <c r="D530" t="inlineStr">
        <is>
          <t>VÄRMLANDS LÄN</t>
        </is>
      </c>
      <c r="E530" t="inlineStr">
        <is>
          <t>TORSBY</t>
        </is>
      </c>
      <c r="G530" t="n">
        <v>0.6</v>
      </c>
      <c r="H530" t="n">
        <v>0</v>
      </c>
      <c r="I530" t="n">
        <v>1</v>
      </c>
      <c r="J530" t="n">
        <v>0</v>
      </c>
      <c r="K530" t="n">
        <v>0</v>
      </c>
      <c r="L530" t="n">
        <v>0</v>
      </c>
      <c r="M530" t="n">
        <v>0</v>
      </c>
      <c r="N530" t="n">
        <v>0</v>
      </c>
      <c r="O530" t="n">
        <v>0</v>
      </c>
      <c r="P530" t="n">
        <v>0</v>
      </c>
      <c r="Q530" t="n">
        <v>1</v>
      </c>
      <c r="R530" s="2" t="inlineStr">
        <is>
          <t>Korallblylav</t>
        </is>
      </c>
      <c r="S530">
        <f>HYPERLINK("https://klasma.github.io/Logging_1737/artfynd/A 25999-2022 artfynd.xlsx", "A 25999-2022")</f>
        <v/>
      </c>
      <c r="T530">
        <f>HYPERLINK("https://klasma.github.io/Logging_1737/kartor/A 25999-2022 karta.png", "A 25999-2022")</f>
        <v/>
      </c>
      <c r="V530">
        <f>HYPERLINK("https://klasma.github.io/Logging_1737/klagomål/A 25999-2022 FSC-klagomål.docx", "A 25999-2022")</f>
        <v/>
      </c>
      <c r="W530">
        <f>HYPERLINK("https://klasma.github.io/Logging_1737/klagomålsmail/A 25999-2022 FSC-klagomål mail.docx", "A 25999-2022")</f>
        <v/>
      </c>
      <c r="X530">
        <f>HYPERLINK("https://klasma.github.io/Logging_1737/tillsyn/A 25999-2022 tillsynsbegäran.docx", "A 25999-2022")</f>
        <v/>
      </c>
      <c r="Y530">
        <f>HYPERLINK("https://klasma.github.io/Logging_1737/tillsynsmail/A 25999-2022 tillsynsbegäran mail.docx", "A 25999-2022")</f>
        <v/>
      </c>
    </row>
    <row r="531" ht="15" customHeight="1">
      <c r="A531" t="inlineStr">
        <is>
          <t>A 26233-2022</t>
        </is>
      </c>
      <c r="B531" s="1" t="n">
        <v>44735</v>
      </c>
      <c r="C531" s="1" t="n">
        <v>45810</v>
      </c>
      <c r="D531" t="inlineStr">
        <is>
          <t>VÄRMLANDS LÄN</t>
        </is>
      </c>
      <c r="E531" t="inlineStr">
        <is>
          <t>FORSHAGA</t>
        </is>
      </c>
      <c r="F531" t="inlineStr">
        <is>
          <t>Bergvik skog väst AB</t>
        </is>
      </c>
      <c r="G531" t="n">
        <v>9.6</v>
      </c>
      <c r="H531" t="n">
        <v>1</v>
      </c>
      <c r="I531" t="n">
        <v>0</v>
      </c>
      <c r="J531" t="n">
        <v>0</v>
      </c>
      <c r="K531" t="n">
        <v>0</v>
      </c>
      <c r="L531" t="n">
        <v>0</v>
      </c>
      <c r="M531" t="n">
        <v>0</v>
      </c>
      <c r="N531" t="n">
        <v>0</v>
      </c>
      <c r="O531" t="n">
        <v>0</v>
      </c>
      <c r="P531" t="n">
        <v>0</v>
      </c>
      <c r="Q531" t="n">
        <v>1</v>
      </c>
      <c r="R531" s="2" t="inlineStr">
        <is>
          <t>Buskmus</t>
        </is>
      </c>
      <c r="S531">
        <f>HYPERLINK("https://klasma.github.io/Logging_1763/artfynd/A 26233-2022 artfynd.xlsx", "A 26233-2022")</f>
        <v/>
      </c>
      <c r="T531">
        <f>HYPERLINK("https://klasma.github.io/Logging_1763/kartor/A 26233-2022 karta.png", "A 26233-2022")</f>
        <v/>
      </c>
      <c r="V531">
        <f>HYPERLINK("https://klasma.github.io/Logging_1763/klagomål/A 26233-2022 FSC-klagomål.docx", "A 26233-2022")</f>
        <v/>
      </c>
      <c r="W531">
        <f>HYPERLINK("https://klasma.github.io/Logging_1763/klagomålsmail/A 26233-2022 FSC-klagomål mail.docx", "A 26233-2022")</f>
        <v/>
      </c>
      <c r="X531">
        <f>HYPERLINK("https://klasma.github.io/Logging_1763/tillsyn/A 26233-2022 tillsynsbegäran.docx", "A 26233-2022")</f>
        <v/>
      </c>
      <c r="Y531">
        <f>HYPERLINK("https://klasma.github.io/Logging_1763/tillsynsmail/A 26233-2022 tillsynsbegäran mail.docx", "A 26233-2022")</f>
        <v/>
      </c>
    </row>
    <row r="532" ht="15" customHeight="1">
      <c r="A532" t="inlineStr">
        <is>
          <t>A 27105-2022</t>
        </is>
      </c>
      <c r="B532" s="1" t="n">
        <v>44741</v>
      </c>
      <c r="C532" s="1" t="n">
        <v>45810</v>
      </c>
      <c r="D532" t="inlineStr">
        <is>
          <t>VÄRMLANDS LÄN</t>
        </is>
      </c>
      <c r="E532" t="inlineStr">
        <is>
          <t>FILIPSTAD</t>
        </is>
      </c>
      <c r="F532" t="inlineStr">
        <is>
          <t>Bergvik skog väst AB</t>
        </is>
      </c>
      <c r="G532" t="n">
        <v>7</v>
      </c>
      <c r="H532" t="n">
        <v>1</v>
      </c>
      <c r="I532" t="n">
        <v>0</v>
      </c>
      <c r="J532" t="n">
        <v>0</v>
      </c>
      <c r="K532" t="n">
        <v>0</v>
      </c>
      <c r="L532" t="n">
        <v>0</v>
      </c>
      <c r="M532" t="n">
        <v>0</v>
      </c>
      <c r="N532" t="n">
        <v>0</v>
      </c>
      <c r="O532" t="n">
        <v>0</v>
      </c>
      <c r="P532" t="n">
        <v>0</v>
      </c>
      <c r="Q532" t="n">
        <v>1</v>
      </c>
      <c r="R532" s="2" t="inlineStr">
        <is>
          <t>Mattlummer</t>
        </is>
      </c>
      <c r="S532">
        <f>HYPERLINK("https://klasma.github.io/Logging_1782/artfynd/A 27105-2022 artfynd.xlsx", "A 27105-2022")</f>
        <v/>
      </c>
      <c r="T532">
        <f>HYPERLINK("https://klasma.github.io/Logging_1782/kartor/A 27105-2022 karta.png", "A 27105-2022")</f>
        <v/>
      </c>
      <c r="V532">
        <f>HYPERLINK("https://klasma.github.io/Logging_1782/klagomål/A 27105-2022 FSC-klagomål.docx", "A 27105-2022")</f>
        <v/>
      </c>
      <c r="W532">
        <f>HYPERLINK("https://klasma.github.io/Logging_1782/klagomålsmail/A 27105-2022 FSC-klagomål mail.docx", "A 27105-2022")</f>
        <v/>
      </c>
      <c r="X532">
        <f>HYPERLINK("https://klasma.github.io/Logging_1782/tillsyn/A 27105-2022 tillsynsbegäran.docx", "A 27105-2022")</f>
        <v/>
      </c>
      <c r="Y532">
        <f>HYPERLINK("https://klasma.github.io/Logging_1782/tillsynsmail/A 27105-2022 tillsynsbegäran mail.docx", "A 27105-2022")</f>
        <v/>
      </c>
    </row>
    <row r="533" ht="15" customHeight="1">
      <c r="A533" t="inlineStr">
        <is>
          <t>A 29742-2022</t>
        </is>
      </c>
      <c r="B533" s="1" t="n">
        <v>44755</v>
      </c>
      <c r="C533" s="1" t="n">
        <v>45810</v>
      </c>
      <c r="D533" t="inlineStr">
        <is>
          <t>VÄRMLANDS LÄN</t>
        </is>
      </c>
      <c r="E533" t="inlineStr">
        <is>
          <t>SÄFFLE</t>
        </is>
      </c>
      <c r="F533" t="inlineStr">
        <is>
          <t>Bergvik skog väst AB</t>
        </is>
      </c>
      <c r="G533" t="n">
        <v>7.9</v>
      </c>
      <c r="H533" t="n">
        <v>0</v>
      </c>
      <c r="I533" t="n">
        <v>1</v>
      </c>
      <c r="J533" t="n">
        <v>0</v>
      </c>
      <c r="K533" t="n">
        <v>0</v>
      </c>
      <c r="L533" t="n">
        <v>0</v>
      </c>
      <c r="M533" t="n">
        <v>0</v>
      </c>
      <c r="N533" t="n">
        <v>0</v>
      </c>
      <c r="O533" t="n">
        <v>0</v>
      </c>
      <c r="P533" t="n">
        <v>0</v>
      </c>
      <c r="Q533" t="n">
        <v>1</v>
      </c>
      <c r="R533" s="2" t="inlineStr">
        <is>
          <t>Vätteros</t>
        </is>
      </c>
      <c r="S533">
        <f>HYPERLINK("https://klasma.github.io/Logging_1785/artfynd/A 29742-2022 artfynd.xlsx", "A 29742-2022")</f>
        <v/>
      </c>
      <c r="T533">
        <f>HYPERLINK("https://klasma.github.io/Logging_1785/kartor/A 29742-2022 karta.png", "A 29742-2022")</f>
        <v/>
      </c>
      <c r="V533">
        <f>HYPERLINK("https://klasma.github.io/Logging_1785/klagomål/A 29742-2022 FSC-klagomål.docx", "A 29742-2022")</f>
        <v/>
      </c>
      <c r="W533">
        <f>HYPERLINK("https://klasma.github.io/Logging_1785/klagomålsmail/A 29742-2022 FSC-klagomål mail.docx", "A 29742-2022")</f>
        <v/>
      </c>
      <c r="X533">
        <f>HYPERLINK("https://klasma.github.io/Logging_1785/tillsyn/A 29742-2022 tillsynsbegäran.docx", "A 29742-2022")</f>
        <v/>
      </c>
      <c r="Y533">
        <f>HYPERLINK("https://klasma.github.io/Logging_1785/tillsynsmail/A 29742-2022 tillsynsbegäran mail.docx", "A 29742-2022")</f>
        <v/>
      </c>
    </row>
    <row r="534" ht="15" customHeight="1">
      <c r="A534" t="inlineStr">
        <is>
          <t>A 30596-2022</t>
        </is>
      </c>
      <c r="B534" s="1" t="n">
        <v>44762</v>
      </c>
      <c r="C534" s="1" t="n">
        <v>45810</v>
      </c>
      <c r="D534" t="inlineStr">
        <is>
          <t>VÄRMLANDS LÄN</t>
        </is>
      </c>
      <c r="E534" t="inlineStr">
        <is>
          <t>SÄFFLE</t>
        </is>
      </c>
      <c r="G534" t="n">
        <v>2.1</v>
      </c>
      <c r="H534" t="n">
        <v>0</v>
      </c>
      <c r="I534" t="n">
        <v>0</v>
      </c>
      <c r="J534" t="n">
        <v>1</v>
      </c>
      <c r="K534" t="n">
        <v>0</v>
      </c>
      <c r="L534" t="n">
        <v>0</v>
      </c>
      <c r="M534" t="n">
        <v>0</v>
      </c>
      <c r="N534" t="n">
        <v>0</v>
      </c>
      <c r="O534" t="n">
        <v>1</v>
      </c>
      <c r="P534" t="n">
        <v>0</v>
      </c>
      <c r="Q534" t="n">
        <v>1</v>
      </c>
      <c r="R534" s="2" t="inlineStr">
        <is>
          <t>Skogsklocka</t>
        </is>
      </c>
      <c r="S534">
        <f>HYPERLINK("https://klasma.github.io/Logging_1785/artfynd/A 30596-2022 artfynd.xlsx", "A 30596-2022")</f>
        <v/>
      </c>
      <c r="T534">
        <f>HYPERLINK("https://klasma.github.io/Logging_1785/kartor/A 30596-2022 karta.png", "A 30596-2022")</f>
        <v/>
      </c>
      <c r="V534">
        <f>HYPERLINK("https://klasma.github.io/Logging_1785/klagomål/A 30596-2022 FSC-klagomål.docx", "A 30596-2022")</f>
        <v/>
      </c>
      <c r="W534">
        <f>HYPERLINK("https://klasma.github.io/Logging_1785/klagomålsmail/A 30596-2022 FSC-klagomål mail.docx", "A 30596-2022")</f>
        <v/>
      </c>
      <c r="X534">
        <f>HYPERLINK("https://klasma.github.io/Logging_1785/tillsyn/A 30596-2022 tillsynsbegäran.docx", "A 30596-2022")</f>
        <v/>
      </c>
      <c r="Y534">
        <f>HYPERLINK("https://klasma.github.io/Logging_1785/tillsynsmail/A 30596-2022 tillsynsbegäran mail.docx", "A 30596-2022")</f>
        <v/>
      </c>
    </row>
    <row r="535" ht="15" customHeight="1">
      <c r="A535" t="inlineStr">
        <is>
          <t>A 34357-2022</t>
        </is>
      </c>
      <c r="B535" s="1" t="n">
        <v>44792</v>
      </c>
      <c r="C535" s="1" t="n">
        <v>45810</v>
      </c>
      <c r="D535" t="inlineStr">
        <is>
          <t>VÄRMLANDS LÄN</t>
        </is>
      </c>
      <c r="E535" t="inlineStr">
        <is>
          <t>GRUMS</t>
        </is>
      </c>
      <c r="G535" t="n">
        <v>15.3</v>
      </c>
      <c r="H535" t="n">
        <v>0</v>
      </c>
      <c r="I535" t="n">
        <v>0</v>
      </c>
      <c r="J535" t="n">
        <v>1</v>
      </c>
      <c r="K535" t="n">
        <v>0</v>
      </c>
      <c r="L535" t="n">
        <v>0</v>
      </c>
      <c r="M535" t="n">
        <v>0</v>
      </c>
      <c r="N535" t="n">
        <v>0</v>
      </c>
      <c r="O535" t="n">
        <v>1</v>
      </c>
      <c r="P535" t="n">
        <v>0</v>
      </c>
      <c r="Q535" t="n">
        <v>1</v>
      </c>
      <c r="R535" s="2" t="inlineStr">
        <is>
          <t>Skogsklocka</t>
        </is>
      </c>
      <c r="S535">
        <f>HYPERLINK("https://klasma.github.io/Logging_1764/artfynd/A 34357-2022 artfynd.xlsx", "A 34357-2022")</f>
        <v/>
      </c>
      <c r="T535">
        <f>HYPERLINK("https://klasma.github.io/Logging_1764/kartor/A 34357-2022 karta.png", "A 34357-2022")</f>
        <v/>
      </c>
      <c r="V535">
        <f>HYPERLINK("https://klasma.github.io/Logging_1764/klagomål/A 34357-2022 FSC-klagomål.docx", "A 34357-2022")</f>
        <v/>
      </c>
      <c r="W535">
        <f>HYPERLINK("https://klasma.github.io/Logging_1764/klagomålsmail/A 34357-2022 FSC-klagomål mail.docx", "A 34357-2022")</f>
        <v/>
      </c>
      <c r="X535">
        <f>HYPERLINK("https://klasma.github.io/Logging_1764/tillsyn/A 34357-2022 tillsynsbegäran.docx", "A 34357-2022")</f>
        <v/>
      </c>
      <c r="Y535">
        <f>HYPERLINK("https://klasma.github.io/Logging_1764/tillsynsmail/A 34357-2022 tillsynsbegäran mail.docx", "A 34357-2022")</f>
        <v/>
      </c>
    </row>
    <row r="536" ht="15" customHeight="1">
      <c r="A536" t="inlineStr">
        <is>
          <t>A 35709-2022</t>
        </is>
      </c>
      <c r="B536" s="1" t="n">
        <v>44799</v>
      </c>
      <c r="C536" s="1" t="n">
        <v>45810</v>
      </c>
      <c r="D536" t="inlineStr">
        <is>
          <t>VÄRMLANDS LÄN</t>
        </is>
      </c>
      <c r="E536" t="inlineStr">
        <is>
          <t>TORSBY</t>
        </is>
      </c>
      <c r="G536" t="n">
        <v>4.4</v>
      </c>
      <c r="H536" t="n">
        <v>0</v>
      </c>
      <c r="I536" t="n">
        <v>1</v>
      </c>
      <c r="J536" t="n">
        <v>0</v>
      </c>
      <c r="K536" t="n">
        <v>0</v>
      </c>
      <c r="L536" t="n">
        <v>0</v>
      </c>
      <c r="M536" t="n">
        <v>0</v>
      </c>
      <c r="N536" t="n">
        <v>0</v>
      </c>
      <c r="O536" t="n">
        <v>0</v>
      </c>
      <c r="P536" t="n">
        <v>0</v>
      </c>
      <c r="Q536" t="n">
        <v>1</v>
      </c>
      <c r="R536" s="2" t="inlineStr">
        <is>
          <t>Dropptaggsvamp</t>
        </is>
      </c>
      <c r="S536">
        <f>HYPERLINK("https://klasma.github.io/Logging_1737/artfynd/A 35709-2022 artfynd.xlsx", "A 35709-2022")</f>
        <v/>
      </c>
      <c r="T536">
        <f>HYPERLINK("https://klasma.github.io/Logging_1737/kartor/A 35709-2022 karta.png", "A 35709-2022")</f>
        <v/>
      </c>
      <c r="V536">
        <f>HYPERLINK("https://klasma.github.io/Logging_1737/klagomål/A 35709-2022 FSC-klagomål.docx", "A 35709-2022")</f>
        <v/>
      </c>
      <c r="W536">
        <f>HYPERLINK("https://klasma.github.io/Logging_1737/klagomålsmail/A 35709-2022 FSC-klagomål mail.docx", "A 35709-2022")</f>
        <v/>
      </c>
      <c r="X536">
        <f>HYPERLINK("https://klasma.github.io/Logging_1737/tillsyn/A 35709-2022 tillsynsbegäran.docx", "A 35709-2022")</f>
        <v/>
      </c>
      <c r="Y536">
        <f>HYPERLINK("https://klasma.github.io/Logging_1737/tillsynsmail/A 35709-2022 tillsynsbegäran mail.docx", "A 35709-2022")</f>
        <v/>
      </c>
    </row>
    <row r="537" ht="15" customHeight="1">
      <c r="A537" t="inlineStr">
        <is>
          <t>A 36885-2022</t>
        </is>
      </c>
      <c r="B537" s="1" t="n">
        <v>44805</v>
      </c>
      <c r="C537" s="1" t="n">
        <v>45810</v>
      </c>
      <c r="D537" t="inlineStr">
        <is>
          <t>VÄRMLANDS LÄN</t>
        </is>
      </c>
      <c r="E537" t="inlineStr">
        <is>
          <t>SÄFFLE</t>
        </is>
      </c>
      <c r="F537" t="inlineStr">
        <is>
          <t>Kyrkan</t>
        </is>
      </c>
      <c r="G537" t="n">
        <v>5.1</v>
      </c>
      <c r="H537" t="n">
        <v>0</v>
      </c>
      <c r="I537" t="n">
        <v>0</v>
      </c>
      <c r="J537" t="n">
        <v>0</v>
      </c>
      <c r="K537" t="n">
        <v>1</v>
      </c>
      <c r="L537" t="n">
        <v>0</v>
      </c>
      <c r="M537" t="n">
        <v>0</v>
      </c>
      <c r="N537" t="n">
        <v>0</v>
      </c>
      <c r="O537" t="n">
        <v>1</v>
      </c>
      <c r="P537" t="n">
        <v>1</v>
      </c>
      <c r="Q537" t="n">
        <v>1</v>
      </c>
      <c r="R537" s="2" t="inlineStr">
        <is>
          <t>Grangråticka</t>
        </is>
      </c>
      <c r="S537">
        <f>HYPERLINK("https://klasma.github.io/Logging_1785/artfynd/A 36885-2022 artfynd.xlsx", "A 36885-2022")</f>
        <v/>
      </c>
      <c r="T537">
        <f>HYPERLINK("https://klasma.github.io/Logging_1785/kartor/A 36885-2022 karta.png", "A 36885-2022")</f>
        <v/>
      </c>
      <c r="V537">
        <f>HYPERLINK("https://klasma.github.io/Logging_1785/klagomål/A 36885-2022 FSC-klagomål.docx", "A 36885-2022")</f>
        <v/>
      </c>
      <c r="W537">
        <f>HYPERLINK("https://klasma.github.io/Logging_1785/klagomålsmail/A 36885-2022 FSC-klagomål mail.docx", "A 36885-2022")</f>
        <v/>
      </c>
      <c r="X537">
        <f>HYPERLINK("https://klasma.github.io/Logging_1785/tillsyn/A 36885-2022 tillsynsbegäran.docx", "A 36885-2022")</f>
        <v/>
      </c>
      <c r="Y537">
        <f>HYPERLINK("https://klasma.github.io/Logging_1785/tillsynsmail/A 36885-2022 tillsynsbegäran mail.docx", "A 36885-2022")</f>
        <v/>
      </c>
    </row>
    <row r="538" ht="15" customHeight="1">
      <c r="A538" t="inlineStr">
        <is>
          <t>A 37299-2022</t>
        </is>
      </c>
      <c r="B538" s="1" t="n">
        <v>44808</v>
      </c>
      <c r="C538" s="1" t="n">
        <v>45810</v>
      </c>
      <c r="D538" t="inlineStr">
        <is>
          <t>VÄRMLANDS LÄN</t>
        </is>
      </c>
      <c r="E538" t="inlineStr">
        <is>
          <t>KARLSTAD</t>
        </is>
      </c>
      <c r="G538" t="n">
        <v>14</v>
      </c>
      <c r="H538" t="n">
        <v>1</v>
      </c>
      <c r="I538" t="n">
        <v>0</v>
      </c>
      <c r="J538" t="n">
        <v>1</v>
      </c>
      <c r="K538" t="n">
        <v>0</v>
      </c>
      <c r="L538" t="n">
        <v>0</v>
      </c>
      <c r="M538" t="n">
        <v>0</v>
      </c>
      <c r="N538" t="n">
        <v>0</v>
      </c>
      <c r="O538" t="n">
        <v>1</v>
      </c>
      <c r="P538" t="n">
        <v>0</v>
      </c>
      <c r="Q538" t="n">
        <v>1</v>
      </c>
      <c r="R538" s="2" t="inlineStr">
        <is>
          <t>Talltita</t>
        </is>
      </c>
      <c r="S538">
        <f>HYPERLINK("https://klasma.github.io/Logging_1780/artfynd/A 37299-2022 artfynd.xlsx", "A 37299-2022")</f>
        <v/>
      </c>
      <c r="T538">
        <f>HYPERLINK("https://klasma.github.io/Logging_1780/kartor/A 37299-2022 karta.png", "A 37299-2022")</f>
        <v/>
      </c>
      <c r="V538">
        <f>HYPERLINK("https://klasma.github.io/Logging_1780/klagomål/A 37299-2022 FSC-klagomål.docx", "A 37299-2022")</f>
        <v/>
      </c>
      <c r="W538">
        <f>HYPERLINK("https://klasma.github.io/Logging_1780/klagomålsmail/A 37299-2022 FSC-klagomål mail.docx", "A 37299-2022")</f>
        <v/>
      </c>
      <c r="X538">
        <f>HYPERLINK("https://klasma.github.io/Logging_1780/tillsyn/A 37299-2022 tillsynsbegäran.docx", "A 37299-2022")</f>
        <v/>
      </c>
      <c r="Y538">
        <f>HYPERLINK("https://klasma.github.io/Logging_1780/tillsynsmail/A 37299-2022 tillsynsbegäran mail.docx", "A 37299-2022")</f>
        <v/>
      </c>
      <c r="Z538">
        <f>HYPERLINK("https://klasma.github.io/Logging_1780/fåglar/A 37299-2022 prioriterade fågelarter.docx", "A 37299-2022")</f>
        <v/>
      </c>
    </row>
    <row r="539" ht="15" customHeight="1">
      <c r="A539" t="inlineStr">
        <is>
          <t>A 37408-2022</t>
        </is>
      </c>
      <c r="B539" s="1" t="n">
        <v>44809</v>
      </c>
      <c r="C539" s="1" t="n">
        <v>45810</v>
      </c>
      <c r="D539" t="inlineStr">
        <is>
          <t>VÄRMLANDS LÄN</t>
        </is>
      </c>
      <c r="E539" t="inlineStr">
        <is>
          <t>KIL</t>
        </is>
      </c>
      <c r="G539" t="n">
        <v>2.6</v>
      </c>
      <c r="H539" t="n">
        <v>0</v>
      </c>
      <c r="I539" t="n">
        <v>1</v>
      </c>
      <c r="J539" t="n">
        <v>0</v>
      </c>
      <c r="K539" t="n">
        <v>0</v>
      </c>
      <c r="L539" t="n">
        <v>0</v>
      </c>
      <c r="M539" t="n">
        <v>0</v>
      </c>
      <c r="N539" t="n">
        <v>0</v>
      </c>
      <c r="O539" t="n">
        <v>0</v>
      </c>
      <c r="P539" t="n">
        <v>0</v>
      </c>
      <c r="Q539" t="n">
        <v>1</v>
      </c>
      <c r="R539" s="2" t="inlineStr">
        <is>
          <t>Dropptaggsvamp</t>
        </is>
      </c>
      <c r="S539">
        <f>HYPERLINK("https://klasma.github.io/Logging_1715/artfynd/A 37408-2022 artfynd.xlsx", "A 37408-2022")</f>
        <v/>
      </c>
      <c r="T539">
        <f>HYPERLINK("https://klasma.github.io/Logging_1715/kartor/A 37408-2022 karta.png", "A 37408-2022")</f>
        <v/>
      </c>
      <c r="V539">
        <f>HYPERLINK("https://klasma.github.io/Logging_1715/klagomål/A 37408-2022 FSC-klagomål.docx", "A 37408-2022")</f>
        <v/>
      </c>
      <c r="W539">
        <f>HYPERLINK("https://klasma.github.io/Logging_1715/klagomålsmail/A 37408-2022 FSC-klagomål mail.docx", "A 37408-2022")</f>
        <v/>
      </c>
      <c r="X539">
        <f>HYPERLINK("https://klasma.github.io/Logging_1715/tillsyn/A 37408-2022 tillsynsbegäran.docx", "A 37408-2022")</f>
        <v/>
      </c>
      <c r="Y539">
        <f>HYPERLINK("https://klasma.github.io/Logging_1715/tillsynsmail/A 37408-2022 tillsynsbegäran mail.docx", "A 37408-2022")</f>
        <v/>
      </c>
    </row>
    <row r="540" ht="15" customHeight="1">
      <c r="A540" t="inlineStr">
        <is>
          <t>A 38477-2022</t>
        </is>
      </c>
      <c r="B540" s="1" t="n">
        <v>44813</v>
      </c>
      <c r="C540" s="1" t="n">
        <v>45810</v>
      </c>
      <c r="D540" t="inlineStr">
        <is>
          <t>VÄRMLANDS LÄN</t>
        </is>
      </c>
      <c r="E540" t="inlineStr">
        <is>
          <t>SÄFFLE</t>
        </is>
      </c>
      <c r="G540" t="n">
        <v>2.6</v>
      </c>
      <c r="H540" t="n">
        <v>0</v>
      </c>
      <c r="I540" t="n">
        <v>0</v>
      </c>
      <c r="J540" t="n">
        <v>1</v>
      </c>
      <c r="K540" t="n">
        <v>0</v>
      </c>
      <c r="L540" t="n">
        <v>0</v>
      </c>
      <c r="M540" t="n">
        <v>0</v>
      </c>
      <c r="N540" t="n">
        <v>0</v>
      </c>
      <c r="O540" t="n">
        <v>1</v>
      </c>
      <c r="P540" t="n">
        <v>0</v>
      </c>
      <c r="Q540" t="n">
        <v>1</v>
      </c>
      <c r="R540" s="2" t="inlineStr">
        <is>
          <t>Dofttaggsvamp</t>
        </is>
      </c>
      <c r="S540">
        <f>HYPERLINK("https://klasma.github.io/Logging_1785/artfynd/A 38477-2022 artfynd.xlsx", "A 38477-2022")</f>
        <v/>
      </c>
      <c r="T540">
        <f>HYPERLINK("https://klasma.github.io/Logging_1785/kartor/A 38477-2022 karta.png", "A 38477-2022")</f>
        <v/>
      </c>
      <c r="V540">
        <f>HYPERLINK("https://klasma.github.io/Logging_1785/klagomål/A 38477-2022 FSC-klagomål.docx", "A 38477-2022")</f>
        <v/>
      </c>
      <c r="W540">
        <f>HYPERLINK("https://klasma.github.io/Logging_1785/klagomålsmail/A 38477-2022 FSC-klagomål mail.docx", "A 38477-2022")</f>
        <v/>
      </c>
      <c r="X540">
        <f>HYPERLINK("https://klasma.github.io/Logging_1785/tillsyn/A 38477-2022 tillsynsbegäran.docx", "A 38477-2022")</f>
        <v/>
      </c>
      <c r="Y540">
        <f>HYPERLINK("https://klasma.github.io/Logging_1785/tillsynsmail/A 38477-2022 tillsynsbegäran mail.docx", "A 38477-2022")</f>
        <v/>
      </c>
    </row>
    <row r="541" ht="15" customHeight="1">
      <c r="A541" t="inlineStr">
        <is>
          <t>A 40441-2022</t>
        </is>
      </c>
      <c r="B541" s="1" t="n">
        <v>44819</v>
      </c>
      <c r="C541" s="1" t="n">
        <v>45810</v>
      </c>
      <c r="D541" t="inlineStr">
        <is>
          <t>VÄRMLANDS LÄN</t>
        </is>
      </c>
      <c r="E541" t="inlineStr">
        <is>
          <t>GRUMS</t>
        </is>
      </c>
      <c r="F541" t="inlineStr">
        <is>
          <t>Bergvik skog väst AB</t>
        </is>
      </c>
      <c r="G541" t="n">
        <v>9.199999999999999</v>
      </c>
      <c r="H541" t="n">
        <v>1</v>
      </c>
      <c r="I541" t="n">
        <v>0</v>
      </c>
      <c r="J541" t="n">
        <v>0</v>
      </c>
      <c r="K541" t="n">
        <v>0</v>
      </c>
      <c r="L541" t="n">
        <v>0</v>
      </c>
      <c r="M541" t="n">
        <v>0</v>
      </c>
      <c r="N541" t="n">
        <v>0</v>
      </c>
      <c r="O541" t="n">
        <v>0</v>
      </c>
      <c r="P541" t="n">
        <v>0</v>
      </c>
      <c r="Q541" t="n">
        <v>1</v>
      </c>
      <c r="R541" s="2" t="inlineStr">
        <is>
          <t>Tjäder</t>
        </is>
      </c>
      <c r="S541">
        <f>HYPERLINK("https://klasma.github.io/Logging_1764/artfynd/A 40441-2022 artfynd.xlsx", "A 40441-2022")</f>
        <v/>
      </c>
      <c r="T541">
        <f>HYPERLINK("https://klasma.github.io/Logging_1764/kartor/A 40441-2022 karta.png", "A 40441-2022")</f>
        <v/>
      </c>
      <c r="V541">
        <f>HYPERLINK("https://klasma.github.io/Logging_1764/klagomål/A 40441-2022 FSC-klagomål.docx", "A 40441-2022")</f>
        <v/>
      </c>
      <c r="W541">
        <f>HYPERLINK("https://klasma.github.io/Logging_1764/klagomålsmail/A 40441-2022 FSC-klagomål mail.docx", "A 40441-2022")</f>
        <v/>
      </c>
      <c r="X541">
        <f>HYPERLINK("https://klasma.github.io/Logging_1764/tillsyn/A 40441-2022 tillsynsbegäran.docx", "A 40441-2022")</f>
        <v/>
      </c>
      <c r="Y541">
        <f>HYPERLINK("https://klasma.github.io/Logging_1764/tillsynsmail/A 40441-2022 tillsynsbegäran mail.docx", "A 40441-2022")</f>
        <v/>
      </c>
      <c r="Z541">
        <f>HYPERLINK("https://klasma.github.io/Logging_1764/fåglar/A 40441-2022 prioriterade fågelarter.docx", "A 40441-2022")</f>
        <v/>
      </c>
    </row>
    <row r="542" ht="15" customHeight="1">
      <c r="A542" t="inlineStr">
        <is>
          <t>A 42500-2022</t>
        </is>
      </c>
      <c r="B542" s="1" t="n">
        <v>44831</v>
      </c>
      <c r="C542" s="1" t="n">
        <v>45810</v>
      </c>
      <c r="D542" t="inlineStr">
        <is>
          <t>VÄRMLANDS LÄN</t>
        </is>
      </c>
      <c r="E542" t="inlineStr">
        <is>
          <t>TORSBY</t>
        </is>
      </c>
      <c r="F542" t="inlineStr">
        <is>
          <t>Kommuner</t>
        </is>
      </c>
      <c r="G542" t="n">
        <v>2.3</v>
      </c>
      <c r="H542" t="n">
        <v>0</v>
      </c>
      <c r="I542" t="n">
        <v>0</v>
      </c>
      <c r="J542" t="n">
        <v>1</v>
      </c>
      <c r="K542" t="n">
        <v>0</v>
      </c>
      <c r="L542" t="n">
        <v>0</v>
      </c>
      <c r="M542" t="n">
        <v>0</v>
      </c>
      <c r="N542" t="n">
        <v>0</v>
      </c>
      <c r="O542" t="n">
        <v>1</v>
      </c>
      <c r="P542" t="n">
        <v>0</v>
      </c>
      <c r="Q542" t="n">
        <v>1</v>
      </c>
      <c r="R542" s="2" t="inlineStr">
        <is>
          <t>Violettgrå tagellav</t>
        </is>
      </c>
      <c r="S542">
        <f>HYPERLINK("https://klasma.github.io/Logging_1737/artfynd/A 42500-2022 artfynd.xlsx", "A 42500-2022")</f>
        <v/>
      </c>
      <c r="T542">
        <f>HYPERLINK("https://klasma.github.io/Logging_1737/kartor/A 42500-2022 karta.png", "A 42500-2022")</f>
        <v/>
      </c>
      <c r="U542">
        <f>HYPERLINK("https://klasma.github.io/Logging_1737/knärot/A 42500-2022 karta knärot.png", "A 42500-2022")</f>
        <v/>
      </c>
      <c r="V542">
        <f>HYPERLINK("https://klasma.github.io/Logging_1737/klagomål/A 42500-2022 FSC-klagomål.docx", "A 42500-2022")</f>
        <v/>
      </c>
      <c r="W542">
        <f>HYPERLINK("https://klasma.github.io/Logging_1737/klagomålsmail/A 42500-2022 FSC-klagomål mail.docx", "A 42500-2022")</f>
        <v/>
      </c>
      <c r="X542">
        <f>HYPERLINK("https://klasma.github.io/Logging_1737/tillsyn/A 42500-2022 tillsynsbegäran.docx", "A 42500-2022")</f>
        <v/>
      </c>
      <c r="Y542">
        <f>HYPERLINK("https://klasma.github.io/Logging_1737/tillsynsmail/A 42500-2022 tillsynsbegäran mail.docx", "A 42500-2022")</f>
        <v/>
      </c>
    </row>
    <row r="543" ht="15" customHeight="1">
      <c r="A543" t="inlineStr">
        <is>
          <t>A 44007-2022</t>
        </is>
      </c>
      <c r="B543" s="1" t="n">
        <v>44838</v>
      </c>
      <c r="C543" s="1" t="n">
        <v>45810</v>
      </c>
      <c r="D543" t="inlineStr">
        <is>
          <t>VÄRMLANDS LÄN</t>
        </is>
      </c>
      <c r="E543" t="inlineStr">
        <is>
          <t>TORSBY</t>
        </is>
      </c>
      <c r="F543" t="inlineStr">
        <is>
          <t>Bergvik skog väst AB</t>
        </is>
      </c>
      <c r="G543" t="n">
        <v>8</v>
      </c>
      <c r="H543" t="n">
        <v>1</v>
      </c>
      <c r="I543" t="n">
        <v>0</v>
      </c>
      <c r="J543" t="n">
        <v>1</v>
      </c>
      <c r="K543" t="n">
        <v>0</v>
      </c>
      <c r="L543" t="n">
        <v>0</v>
      </c>
      <c r="M543" t="n">
        <v>0</v>
      </c>
      <c r="N543" t="n">
        <v>0</v>
      </c>
      <c r="O543" t="n">
        <v>1</v>
      </c>
      <c r="P543" t="n">
        <v>0</v>
      </c>
      <c r="Q543" t="n">
        <v>1</v>
      </c>
      <c r="R543" s="2" t="inlineStr">
        <is>
          <t>Utter</t>
        </is>
      </c>
      <c r="S543">
        <f>HYPERLINK("https://klasma.github.io/Logging_1737/artfynd/A 44007-2022 artfynd.xlsx", "A 44007-2022")</f>
        <v/>
      </c>
      <c r="T543">
        <f>HYPERLINK("https://klasma.github.io/Logging_1737/kartor/A 44007-2022 karta.png", "A 44007-2022")</f>
        <v/>
      </c>
      <c r="V543">
        <f>HYPERLINK("https://klasma.github.io/Logging_1737/klagomål/A 44007-2022 FSC-klagomål.docx", "A 44007-2022")</f>
        <v/>
      </c>
      <c r="W543">
        <f>HYPERLINK("https://klasma.github.io/Logging_1737/klagomålsmail/A 44007-2022 FSC-klagomål mail.docx", "A 44007-2022")</f>
        <v/>
      </c>
      <c r="X543">
        <f>HYPERLINK("https://klasma.github.io/Logging_1737/tillsyn/A 44007-2022 tillsynsbegäran.docx", "A 44007-2022")</f>
        <v/>
      </c>
      <c r="Y543">
        <f>HYPERLINK("https://klasma.github.io/Logging_1737/tillsynsmail/A 44007-2022 tillsynsbegäran mail.docx", "A 44007-2022")</f>
        <v/>
      </c>
    </row>
    <row r="544" ht="15" customHeight="1">
      <c r="A544" t="inlineStr">
        <is>
          <t>A 45293-2022</t>
        </is>
      </c>
      <c r="B544" s="1" t="n">
        <v>44840</v>
      </c>
      <c r="C544" s="1" t="n">
        <v>45810</v>
      </c>
      <c r="D544" t="inlineStr">
        <is>
          <t>VÄRMLANDS LÄN</t>
        </is>
      </c>
      <c r="E544" t="inlineStr">
        <is>
          <t>SUNNE</t>
        </is>
      </c>
      <c r="G544" t="n">
        <v>1.4</v>
      </c>
      <c r="H544" t="n">
        <v>0</v>
      </c>
      <c r="I544" t="n">
        <v>1</v>
      </c>
      <c r="J544" t="n">
        <v>0</v>
      </c>
      <c r="K544" t="n">
        <v>0</v>
      </c>
      <c r="L544" t="n">
        <v>0</v>
      </c>
      <c r="M544" t="n">
        <v>0</v>
      </c>
      <c r="N544" t="n">
        <v>0</v>
      </c>
      <c r="O544" t="n">
        <v>0</v>
      </c>
      <c r="P544" t="n">
        <v>0</v>
      </c>
      <c r="Q544" t="n">
        <v>1</v>
      </c>
      <c r="R544" s="2" t="inlineStr">
        <is>
          <t>Bronshjon</t>
        </is>
      </c>
      <c r="S544">
        <f>HYPERLINK("https://klasma.github.io/Logging_1766/artfynd/A 45293-2022 artfynd.xlsx", "A 45293-2022")</f>
        <v/>
      </c>
      <c r="T544">
        <f>HYPERLINK("https://klasma.github.io/Logging_1766/kartor/A 45293-2022 karta.png", "A 45293-2022")</f>
        <v/>
      </c>
      <c r="V544">
        <f>HYPERLINK("https://klasma.github.io/Logging_1766/klagomål/A 45293-2022 FSC-klagomål.docx", "A 45293-2022")</f>
        <v/>
      </c>
      <c r="W544">
        <f>HYPERLINK("https://klasma.github.io/Logging_1766/klagomålsmail/A 45293-2022 FSC-klagomål mail.docx", "A 45293-2022")</f>
        <v/>
      </c>
      <c r="X544">
        <f>HYPERLINK("https://klasma.github.io/Logging_1766/tillsyn/A 45293-2022 tillsynsbegäran.docx", "A 45293-2022")</f>
        <v/>
      </c>
      <c r="Y544">
        <f>HYPERLINK("https://klasma.github.io/Logging_1766/tillsynsmail/A 45293-2022 tillsynsbegäran mail.docx", "A 45293-2022")</f>
        <v/>
      </c>
    </row>
    <row r="545" ht="15" customHeight="1">
      <c r="A545" t="inlineStr">
        <is>
          <t>A 45938-2022</t>
        </is>
      </c>
      <c r="B545" s="1" t="n">
        <v>44846</v>
      </c>
      <c r="C545" s="1" t="n">
        <v>45810</v>
      </c>
      <c r="D545" t="inlineStr">
        <is>
          <t>VÄRMLANDS LÄN</t>
        </is>
      </c>
      <c r="E545" t="inlineStr">
        <is>
          <t>ÅRJÄNG</t>
        </is>
      </c>
      <c r="G545" t="n">
        <v>4.4</v>
      </c>
      <c r="H545" t="n">
        <v>1</v>
      </c>
      <c r="I545" t="n">
        <v>0</v>
      </c>
      <c r="J545" t="n">
        <v>0</v>
      </c>
      <c r="K545" t="n">
        <v>1</v>
      </c>
      <c r="L545" t="n">
        <v>0</v>
      </c>
      <c r="M545" t="n">
        <v>0</v>
      </c>
      <c r="N545" t="n">
        <v>0</v>
      </c>
      <c r="O545" t="n">
        <v>1</v>
      </c>
      <c r="P545" t="n">
        <v>1</v>
      </c>
      <c r="Q545" t="n">
        <v>1</v>
      </c>
      <c r="R545" s="2" t="inlineStr">
        <is>
          <t>Knärot</t>
        </is>
      </c>
      <c r="S545">
        <f>HYPERLINK("https://klasma.github.io/Logging_1765/artfynd/A 45938-2022 artfynd.xlsx", "A 45938-2022")</f>
        <v/>
      </c>
      <c r="T545">
        <f>HYPERLINK("https://klasma.github.io/Logging_1765/kartor/A 45938-2022 karta.png", "A 45938-2022")</f>
        <v/>
      </c>
      <c r="U545">
        <f>HYPERLINK("https://klasma.github.io/Logging_1765/knärot/A 45938-2022 karta knärot.png", "A 45938-2022")</f>
        <v/>
      </c>
      <c r="V545">
        <f>HYPERLINK("https://klasma.github.io/Logging_1765/klagomål/A 45938-2022 FSC-klagomål.docx", "A 45938-2022")</f>
        <v/>
      </c>
      <c r="W545">
        <f>HYPERLINK("https://klasma.github.io/Logging_1765/klagomålsmail/A 45938-2022 FSC-klagomål mail.docx", "A 45938-2022")</f>
        <v/>
      </c>
      <c r="X545">
        <f>HYPERLINK("https://klasma.github.io/Logging_1765/tillsyn/A 45938-2022 tillsynsbegäran.docx", "A 45938-2022")</f>
        <v/>
      </c>
      <c r="Y545">
        <f>HYPERLINK("https://klasma.github.io/Logging_1765/tillsynsmail/A 45938-2022 tillsynsbegäran mail.docx", "A 45938-2022")</f>
        <v/>
      </c>
    </row>
    <row r="546" ht="15" customHeight="1">
      <c r="A546" t="inlineStr">
        <is>
          <t>A 46927-2022</t>
        </is>
      </c>
      <c r="B546" s="1" t="n">
        <v>44851</v>
      </c>
      <c r="C546" s="1" t="n">
        <v>45810</v>
      </c>
      <c r="D546" t="inlineStr">
        <is>
          <t>VÄRMLANDS LÄN</t>
        </is>
      </c>
      <c r="E546" t="inlineStr">
        <is>
          <t>ARVIKA</t>
        </is>
      </c>
      <c r="G546" t="n">
        <v>9.800000000000001</v>
      </c>
      <c r="H546" t="n">
        <v>1</v>
      </c>
      <c r="I546" t="n">
        <v>0</v>
      </c>
      <c r="J546" t="n">
        <v>0</v>
      </c>
      <c r="K546" t="n">
        <v>1</v>
      </c>
      <c r="L546" t="n">
        <v>0</v>
      </c>
      <c r="M546" t="n">
        <v>0</v>
      </c>
      <c r="N546" t="n">
        <v>0</v>
      </c>
      <c r="O546" t="n">
        <v>1</v>
      </c>
      <c r="P546" t="n">
        <v>1</v>
      </c>
      <c r="Q546" t="n">
        <v>1</v>
      </c>
      <c r="R546" s="2" t="inlineStr">
        <is>
          <t>Knärot</t>
        </is>
      </c>
      <c r="S546">
        <f>HYPERLINK("https://klasma.github.io/Logging_1784/artfynd/A 46927-2022 artfynd.xlsx", "A 46927-2022")</f>
        <v/>
      </c>
      <c r="T546">
        <f>HYPERLINK("https://klasma.github.io/Logging_1784/kartor/A 46927-2022 karta.png", "A 46927-2022")</f>
        <v/>
      </c>
      <c r="U546">
        <f>HYPERLINK("https://klasma.github.io/Logging_1784/knärot/A 46927-2022 karta knärot.png", "A 46927-2022")</f>
        <v/>
      </c>
      <c r="V546">
        <f>HYPERLINK("https://klasma.github.io/Logging_1784/klagomål/A 46927-2022 FSC-klagomål.docx", "A 46927-2022")</f>
        <v/>
      </c>
      <c r="W546">
        <f>HYPERLINK("https://klasma.github.io/Logging_1784/klagomålsmail/A 46927-2022 FSC-klagomål mail.docx", "A 46927-2022")</f>
        <v/>
      </c>
      <c r="X546">
        <f>HYPERLINK("https://klasma.github.io/Logging_1784/tillsyn/A 46927-2022 tillsynsbegäran.docx", "A 46927-2022")</f>
        <v/>
      </c>
      <c r="Y546">
        <f>HYPERLINK("https://klasma.github.io/Logging_1784/tillsynsmail/A 46927-2022 tillsynsbegäran mail.docx", "A 46927-2022")</f>
        <v/>
      </c>
    </row>
    <row r="547" ht="15" customHeight="1">
      <c r="A547" t="inlineStr">
        <is>
          <t>A 47699-2022</t>
        </is>
      </c>
      <c r="B547" s="1" t="n">
        <v>44854</v>
      </c>
      <c r="C547" s="1" t="n">
        <v>45810</v>
      </c>
      <c r="D547" t="inlineStr">
        <is>
          <t>VÄRMLANDS LÄN</t>
        </is>
      </c>
      <c r="E547" t="inlineStr">
        <is>
          <t>ARVIKA</t>
        </is>
      </c>
      <c r="G547" t="n">
        <v>20</v>
      </c>
      <c r="H547" t="n">
        <v>1</v>
      </c>
      <c r="I547" t="n">
        <v>0</v>
      </c>
      <c r="J547" t="n">
        <v>0</v>
      </c>
      <c r="K547" t="n">
        <v>0</v>
      </c>
      <c r="L547" t="n">
        <v>0</v>
      </c>
      <c r="M547" t="n">
        <v>0</v>
      </c>
      <c r="N547" t="n">
        <v>0</v>
      </c>
      <c r="O547" t="n">
        <v>0</v>
      </c>
      <c r="P547" t="n">
        <v>0</v>
      </c>
      <c r="Q547" t="n">
        <v>1</v>
      </c>
      <c r="R547" s="2" t="inlineStr">
        <is>
          <t>Blåsippa</t>
        </is>
      </c>
      <c r="S547">
        <f>HYPERLINK("https://klasma.github.io/Logging_1784/artfynd/A 47699-2022 artfynd.xlsx", "A 47699-2022")</f>
        <v/>
      </c>
      <c r="T547">
        <f>HYPERLINK("https://klasma.github.io/Logging_1784/kartor/A 47699-2022 karta.png", "A 47699-2022")</f>
        <v/>
      </c>
      <c r="V547">
        <f>HYPERLINK("https://klasma.github.io/Logging_1784/klagomål/A 47699-2022 FSC-klagomål.docx", "A 47699-2022")</f>
        <v/>
      </c>
      <c r="W547">
        <f>HYPERLINK("https://klasma.github.io/Logging_1784/klagomålsmail/A 47699-2022 FSC-klagomål mail.docx", "A 47699-2022")</f>
        <v/>
      </c>
      <c r="X547">
        <f>HYPERLINK("https://klasma.github.io/Logging_1784/tillsyn/A 47699-2022 tillsynsbegäran.docx", "A 47699-2022")</f>
        <v/>
      </c>
      <c r="Y547">
        <f>HYPERLINK("https://klasma.github.io/Logging_1784/tillsynsmail/A 47699-2022 tillsynsbegäran mail.docx", "A 47699-2022")</f>
        <v/>
      </c>
    </row>
    <row r="548" ht="15" customHeight="1">
      <c r="A548" t="inlineStr">
        <is>
          <t>A 48243-2022</t>
        </is>
      </c>
      <c r="B548" s="1" t="n">
        <v>44858</v>
      </c>
      <c r="C548" s="1" t="n">
        <v>45810</v>
      </c>
      <c r="D548" t="inlineStr">
        <is>
          <t>VÄRMLANDS LÄN</t>
        </is>
      </c>
      <c r="E548" t="inlineStr">
        <is>
          <t>STORFORS</t>
        </is>
      </c>
      <c r="F548" t="inlineStr">
        <is>
          <t>Kyrkan</t>
        </is>
      </c>
      <c r="G548" t="n">
        <v>20.9</v>
      </c>
      <c r="H548" t="n">
        <v>0</v>
      </c>
      <c r="I548" t="n">
        <v>1</v>
      </c>
      <c r="J548" t="n">
        <v>0</v>
      </c>
      <c r="K548" t="n">
        <v>0</v>
      </c>
      <c r="L548" t="n">
        <v>0</v>
      </c>
      <c r="M548" t="n">
        <v>0</v>
      </c>
      <c r="N548" t="n">
        <v>0</v>
      </c>
      <c r="O548" t="n">
        <v>0</v>
      </c>
      <c r="P548" t="n">
        <v>0</v>
      </c>
      <c r="Q548" t="n">
        <v>1</v>
      </c>
      <c r="R548" s="2" t="inlineStr">
        <is>
          <t>Svart trolldruva</t>
        </is>
      </c>
      <c r="S548">
        <f>HYPERLINK("https://klasma.github.io/Logging_1760/artfynd/A 48243-2022 artfynd.xlsx", "A 48243-2022")</f>
        <v/>
      </c>
      <c r="T548">
        <f>HYPERLINK("https://klasma.github.io/Logging_1760/kartor/A 48243-2022 karta.png", "A 48243-2022")</f>
        <v/>
      </c>
      <c r="V548">
        <f>HYPERLINK("https://klasma.github.io/Logging_1760/klagomål/A 48243-2022 FSC-klagomål.docx", "A 48243-2022")</f>
        <v/>
      </c>
      <c r="W548">
        <f>HYPERLINK("https://klasma.github.io/Logging_1760/klagomålsmail/A 48243-2022 FSC-klagomål mail.docx", "A 48243-2022")</f>
        <v/>
      </c>
      <c r="X548">
        <f>HYPERLINK("https://klasma.github.io/Logging_1760/tillsyn/A 48243-2022 tillsynsbegäran.docx", "A 48243-2022")</f>
        <v/>
      </c>
      <c r="Y548">
        <f>HYPERLINK("https://klasma.github.io/Logging_1760/tillsynsmail/A 48243-2022 tillsynsbegäran mail.docx", "A 48243-2022")</f>
        <v/>
      </c>
    </row>
    <row r="549" ht="15" customHeight="1">
      <c r="A549" t="inlineStr">
        <is>
          <t>A 50236-2022</t>
        </is>
      </c>
      <c r="B549" s="1" t="n">
        <v>44865</v>
      </c>
      <c r="C549" s="1" t="n">
        <v>45810</v>
      </c>
      <c r="D549" t="inlineStr">
        <is>
          <t>VÄRMLANDS LÄN</t>
        </is>
      </c>
      <c r="E549" t="inlineStr">
        <is>
          <t>TORSBY</t>
        </is>
      </c>
      <c r="G549" t="n">
        <v>2.3</v>
      </c>
      <c r="H549" t="n">
        <v>0</v>
      </c>
      <c r="I549" t="n">
        <v>0</v>
      </c>
      <c r="J549" t="n">
        <v>1</v>
      </c>
      <c r="K549" t="n">
        <v>0</v>
      </c>
      <c r="L549" t="n">
        <v>0</v>
      </c>
      <c r="M549" t="n">
        <v>0</v>
      </c>
      <c r="N549" t="n">
        <v>0</v>
      </c>
      <c r="O549" t="n">
        <v>1</v>
      </c>
      <c r="P549" t="n">
        <v>0</v>
      </c>
      <c r="Q549" t="n">
        <v>1</v>
      </c>
      <c r="R549" s="2" t="inlineStr">
        <is>
          <t>Garnlav</t>
        </is>
      </c>
      <c r="S549">
        <f>HYPERLINK("https://klasma.github.io/Logging_1737/artfynd/A 50236-2022 artfynd.xlsx", "A 50236-2022")</f>
        <v/>
      </c>
      <c r="T549">
        <f>HYPERLINK("https://klasma.github.io/Logging_1737/kartor/A 50236-2022 karta.png", "A 50236-2022")</f>
        <v/>
      </c>
      <c r="V549">
        <f>HYPERLINK("https://klasma.github.io/Logging_1737/klagomål/A 50236-2022 FSC-klagomål.docx", "A 50236-2022")</f>
        <v/>
      </c>
      <c r="W549">
        <f>HYPERLINK("https://klasma.github.io/Logging_1737/klagomålsmail/A 50236-2022 FSC-klagomål mail.docx", "A 50236-2022")</f>
        <v/>
      </c>
      <c r="X549">
        <f>HYPERLINK("https://klasma.github.io/Logging_1737/tillsyn/A 50236-2022 tillsynsbegäran.docx", "A 50236-2022")</f>
        <v/>
      </c>
      <c r="Y549">
        <f>HYPERLINK("https://klasma.github.io/Logging_1737/tillsynsmail/A 50236-2022 tillsynsbegäran mail.docx", "A 50236-2022")</f>
        <v/>
      </c>
    </row>
    <row r="550" ht="15" customHeight="1">
      <c r="A550" t="inlineStr">
        <is>
          <t>A 51288-2022</t>
        </is>
      </c>
      <c r="B550" s="1" t="n">
        <v>44868</v>
      </c>
      <c r="C550" s="1" t="n">
        <v>45810</v>
      </c>
      <c r="D550" t="inlineStr">
        <is>
          <t>VÄRMLANDS LÄN</t>
        </is>
      </c>
      <c r="E550" t="inlineStr">
        <is>
          <t>TORSBY</t>
        </is>
      </c>
      <c r="G550" t="n">
        <v>1.9</v>
      </c>
      <c r="H550" t="n">
        <v>1</v>
      </c>
      <c r="I550" t="n">
        <v>0</v>
      </c>
      <c r="J550" t="n">
        <v>0</v>
      </c>
      <c r="K550" t="n">
        <v>1</v>
      </c>
      <c r="L550" t="n">
        <v>0</v>
      </c>
      <c r="M550" t="n">
        <v>0</v>
      </c>
      <c r="N550" t="n">
        <v>0</v>
      </c>
      <c r="O550" t="n">
        <v>1</v>
      </c>
      <c r="P550" t="n">
        <v>1</v>
      </c>
      <c r="Q550" t="n">
        <v>1</v>
      </c>
      <c r="R550" s="2" t="inlineStr">
        <is>
          <t>Bombmurkla</t>
        </is>
      </c>
      <c r="S550">
        <f>HYPERLINK("https://klasma.github.io/Logging_1737/artfynd/A 51288-2022 artfynd.xlsx", "A 51288-2022")</f>
        <v/>
      </c>
      <c r="T550">
        <f>HYPERLINK("https://klasma.github.io/Logging_1737/kartor/A 51288-2022 karta.png", "A 51288-2022")</f>
        <v/>
      </c>
      <c r="V550">
        <f>HYPERLINK("https://klasma.github.io/Logging_1737/klagomål/A 51288-2022 FSC-klagomål.docx", "A 51288-2022")</f>
        <v/>
      </c>
      <c r="W550">
        <f>HYPERLINK("https://klasma.github.io/Logging_1737/klagomålsmail/A 51288-2022 FSC-klagomål mail.docx", "A 51288-2022")</f>
        <v/>
      </c>
      <c r="X550">
        <f>HYPERLINK("https://klasma.github.io/Logging_1737/tillsyn/A 51288-2022 tillsynsbegäran.docx", "A 51288-2022")</f>
        <v/>
      </c>
      <c r="Y550">
        <f>HYPERLINK("https://klasma.github.io/Logging_1737/tillsynsmail/A 51288-2022 tillsynsbegäran mail.docx", "A 51288-2022")</f>
        <v/>
      </c>
    </row>
    <row r="551" ht="15" customHeight="1">
      <c r="A551" t="inlineStr">
        <is>
          <t>A 51522-2022</t>
        </is>
      </c>
      <c r="B551" s="1" t="n">
        <v>44869</v>
      </c>
      <c r="C551" s="1" t="n">
        <v>45810</v>
      </c>
      <c r="D551" t="inlineStr">
        <is>
          <t>VÄRMLANDS LÄN</t>
        </is>
      </c>
      <c r="E551" t="inlineStr">
        <is>
          <t>FILIPSTAD</t>
        </is>
      </c>
      <c r="G551" t="n">
        <v>4.1</v>
      </c>
      <c r="H551" t="n">
        <v>0</v>
      </c>
      <c r="I551" t="n">
        <v>1</v>
      </c>
      <c r="J551" t="n">
        <v>0</v>
      </c>
      <c r="K551" t="n">
        <v>0</v>
      </c>
      <c r="L551" t="n">
        <v>0</v>
      </c>
      <c r="M551" t="n">
        <v>0</v>
      </c>
      <c r="N551" t="n">
        <v>0</v>
      </c>
      <c r="O551" t="n">
        <v>0</v>
      </c>
      <c r="P551" t="n">
        <v>0</v>
      </c>
      <c r="Q551" t="n">
        <v>1</v>
      </c>
      <c r="R551" s="2" t="inlineStr">
        <is>
          <t>Tibast</t>
        </is>
      </c>
      <c r="S551">
        <f>HYPERLINK("https://klasma.github.io/Logging_1782/artfynd/A 51522-2022 artfynd.xlsx", "A 51522-2022")</f>
        <v/>
      </c>
      <c r="T551">
        <f>HYPERLINK("https://klasma.github.io/Logging_1782/kartor/A 51522-2022 karta.png", "A 51522-2022")</f>
        <v/>
      </c>
      <c r="V551">
        <f>HYPERLINK("https://klasma.github.io/Logging_1782/klagomål/A 51522-2022 FSC-klagomål.docx", "A 51522-2022")</f>
        <v/>
      </c>
      <c r="W551">
        <f>HYPERLINK("https://klasma.github.io/Logging_1782/klagomålsmail/A 51522-2022 FSC-klagomål mail.docx", "A 51522-2022")</f>
        <v/>
      </c>
      <c r="X551">
        <f>HYPERLINK("https://klasma.github.io/Logging_1782/tillsyn/A 51522-2022 tillsynsbegäran.docx", "A 51522-2022")</f>
        <v/>
      </c>
      <c r="Y551">
        <f>HYPERLINK("https://klasma.github.io/Logging_1782/tillsynsmail/A 51522-2022 tillsynsbegäran mail.docx", "A 51522-2022")</f>
        <v/>
      </c>
    </row>
    <row r="552" ht="15" customHeight="1">
      <c r="A552" t="inlineStr">
        <is>
          <t>A 52166-2022</t>
        </is>
      </c>
      <c r="B552" s="1" t="n">
        <v>44873</v>
      </c>
      <c r="C552" s="1" t="n">
        <v>45810</v>
      </c>
      <c r="D552" t="inlineStr">
        <is>
          <t>VÄRMLANDS LÄN</t>
        </is>
      </c>
      <c r="E552" t="inlineStr">
        <is>
          <t>ÅRJÄNG</t>
        </is>
      </c>
      <c r="G552" t="n">
        <v>12.9</v>
      </c>
      <c r="H552" t="n">
        <v>1</v>
      </c>
      <c r="I552" t="n">
        <v>0</v>
      </c>
      <c r="J552" t="n">
        <v>0</v>
      </c>
      <c r="K552" t="n">
        <v>0</v>
      </c>
      <c r="L552" t="n">
        <v>0</v>
      </c>
      <c r="M552" t="n">
        <v>0</v>
      </c>
      <c r="N552" t="n">
        <v>0</v>
      </c>
      <c r="O552" t="n">
        <v>0</v>
      </c>
      <c r="P552" t="n">
        <v>0</v>
      </c>
      <c r="Q552" t="n">
        <v>1</v>
      </c>
      <c r="R552" s="2" t="inlineStr">
        <is>
          <t>Blåsippa</t>
        </is>
      </c>
      <c r="S552">
        <f>HYPERLINK("https://klasma.github.io/Logging_1765/artfynd/A 52166-2022 artfynd.xlsx", "A 52166-2022")</f>
        <v/>
      </c>
      <c r="T552">
        <f>HYPERLINK("https://klasma.github.io/Logging_1765/kartor/A 52166-2022 karta.png", "A 52166-2022")</f>
        <v/>
      </c>
      <c r="V552">
        <f>HYPERLINK("https://klasma.github.io/Logging_1765/klagomål/A 52166-2022 FSC-klagomål.docx", "A 52166-2022")</f>
        <v/>
      </c>
      <c r="W552">
        <f>HYPERLINK("https://klasma.github.io/Logging_1765/klagomålsmail/A 52166-2022 FSC-klagomål mail.docx", "A 52166-2022")</f>
        <v/>
      </c>
      <c r="X552">
        <f>HYPERLINK("https://klasma.github.io/Logging_1765/tillsyn/A 52166-2022 tillsynsbegäran.docx", "A 52166-2022")</f>
        <v/>
      </c>
      <c r="Y552">
        <f>HYPERLINK("https://klasma.github.io/Logging_1765/tillsynsmail/A 52166-2022 tillsynsbegäran mail.docx", "A 52166-2022")</f>
        <v/>
      </c>
    </row>
    <row r="553" ht="15" customHeight="1">
      <c r="A553" t="inlineStr">
        <is>
          <t>A 54957-2022</t>
        </is>
      </c>
      <c r="B553" s="1" t="n">
        <v>44886</v>
      </c>
      <c r="C553" s="1" t="n">
        <v>45810</v>
      </c>
      <c r="D553" t="inlineStr">
        <is>
          <t>VÄRMLANDS LÄN</t>
        </is>
      </c>
      <c r="E553" t="inlineStr">
        <is>
          <t>SÄFFLE</t>
        </is>
      </c>
      <c r="G553" t="n">
        <v>3.6</v>
      </c>
      <c r="H553" t="n">
        <v>0</v>
      </c>
      <c r="I553" t="n">
        <v>1</v>
      </c>
      <c r="J553" t="n">
        <v>0</v>
      </c>
      <c r="K553" t="n">
        <v>0</v>
      </c>
      <c r="L553" t="n">
        <v>0</v>
      </c>
      <c r="M553" t="n">
        <v>0</v>
      </c>
      <c r="N553" t="n">
        <v>0</v>
      </c>
      <c r="O553" t="n">
        <v>0</v>
      </c>
      <c r="P553" t="n">
        <v>0</v>
      </c>
      <c r="Q553" t="n">
        <v>1</v>
      </c>
      <c r="R553" s="2" t="inlineStr">
        <is>
          <t>Vätteros</t>
        </is>
      </c>
      <c r="S553">
        <f>HYPERLINK("https://klasma.github.io/Logging_1785/artfynd/A 54957-2022 artfynd.xlsx", "A 54957-2022")</f>
        <v/>
      </c>
      <c r="T553">
        <f>HYPERLINK("https://klasma.github.io/Logging_1785/kartor/A 54957-2022 karta.png", "A 54957-2022")</f>
        <v/>
      </c>
      <c r="V553">
        <f>HYPERLINK("https://klasma.github.io/Logging_1785/klagomål/A 54957-2022 FSC-klagomål.docx", "A 54957-2022")</f>
        <v/>
      </c>
      <c r="W553">
        <f>HYPERLINK("https://klasma.github.io/Logging_1785/klagomålsmail/A 54957-2022 FSC-klagomål mail.docx", "A 54957-2022")</f>
        <v/>
      </c>
      <c r="X553">
        <f>HYPERLINK("https://klasma.github.io/Logging_1785/tillsyn/A 54957-2022 tillsynsbegäran.docx", "A 54957-2022")</f>
        <v/>
      </c>
      <c r="Y553">
        <f>HYPERLINK("https://klasma.github.io/Logging_1785/tillsynsmail/A 54957-2022 tillsynsbegäran mail.docx", "A 54957-2022")</f>
        <v/>
      </c>
    </row>
    <row r="554" ht="15" customHeight="1">
      <c r="A554" t="inlineStr">
        <is>
          <t>A 56083-2022</t>
        </is>
      </c>
      <c r="B554" s="1" t="n">
        <v>44889</v>
      </c>
      <c r="C554" s="1" t="n">
        <v>45810</v>
      </c>
      <c r="D554" t="inlineStr">
        <is>
          <t>VÄRMLANDS LÄN</t>
        </is>
      </c>
      <c r="E554" t="inlineStr">
        <is>
          <t>HAGFORS</t>
        </is>
      </c>
      <c r="F554" t="inlineStr">
        <is>
          <t>Bergvik skog väst AB</t>
        </is>
      </c>
      <c r="G554" t="n">
        <v>19.1</v>
      </c>
      <c r="H554" t="n">
        <v>0</v>
      </c>
      <c r="I554" t="n">
        <v>1</v>
      </c>
      <c r="J554" t="n">
        <v>0</v>
      </c>
      <c r="K554" t="n">
        <v>0</v>
      </c>
      <c r="L554" t="n">
        <v>0</v>
      </c>
      <c r="M554" t="n">
        <v>0</v>
      </c>
      <c r="N554" t="n">
        <v>0</v>
      </c>
      <c r="O554" t="n">
        <v>0</v>
      </c>
      <c r="P554" t="n">
        <v>0</v>
      </c>
      <c r="Q554" t="n">
        <v>1</v>
      </c>
      <c r="R554" s="2" t="inlineStr">
        <is>
          <t>Dropptaggsvamp</t>
        </is>
      </c>
      <c r="S554">
        <f>HYPERLINK("https://klasma.github.io/Logging_1783/artfynd/A 56083-2022 artfynd.xlsx", "A 56083-2022")</f>
        <v/>
      </c>
      <c r="T554">
        <f>HYPERLINK("https://klasma.github.io/Logging_1783/kartor/A 56083-2022 karta.png", "A 56083-2022")</f>
        <v/>
      </c>
      <c r="V554">
        <f>HYPERLINK("https://klasma.github.io/Logging_1783/klagomål/A 56083-2022 FSC-klagomål.docx", "A 56083-2022")</f>
        <v/>
      </c>
      <c r="W554">
        <f>HYPERLINK("https://klasma.github.io/Logging_1783/klagomålsmail/A 56083-2022 FSC-klagomål mail.docx", "A 56083-2022")</f>
        <v/>
      </c>
      <c r="X554">
        <f>HYPERLINK("https://klasma.github.io/Logging_1783/tillsyn/A 56083-2022 tillsynsbegäran.docx", "A 56083-2022")</f>
        <v/>
      </c>
      <c r="Y554">
        <f>HYPERLINK("https://klasma.github.io/Logging_1783/tillsynsmail/A 56083-2022 tillsynsbegäran mail.docx", "A 56083-2022")</f>
        <v/>
      </c>
    </row>
    <row r="555" ht="15" customHeight="1">
      <c r="A555" t="inlineStr">
        <is>
          <t>A 56676-2022</t>
        </is>
      </c>
      <c r="B555" s="1" t="n">
        <v>44893</v>
      </c>
      <c r="C555" s="1" t="n">
        <v>45810</v>
      </c>
      <c r="D555" t="inlineStr">
        <is>
          <t>VÄRMLANDS LÄN</t>
        </is>
      </c>
      <c r="E555" t="inlineStr">
        <is>
          <t>ARVIKA</t>
        </is>
      </c>
      <c r="F555" t="inlineStr">
        <is>
          <t>Övriga Aktiebolag</t>
        </is>
      </c>
      <c r="G555" t="n">
        <v>5.2</v>
      </c>
      <c r="H555" t="n">
        <v>1</v>
      </c>
      <c r="I555" t="n">
        <v>0</v>
      </c>
      <c r="J555" t="n">
        <v>0</v>
      </c>
      <c r="K555" t="n">
        <v>1</v>
      </c>
      <c r="L555" t="n">
        <v>0</v>
      </c>
      <c r="M555" t="n">
        <v>0</v>
      </c>
      <c r="N555" t="n">
        <v>0</v>
      </c>
      <c r="O555" t="n">
        <v>1</v>
      </c>
      <c r="P555" t="n">
        <v>1</v>
      </c>
      <c r="Q555" t="n">
        <v>1</v>
      </c>
      <c r="R555" s="2" t="inlineStr">
        <is>
          <t>Knärot</t>
        </is>
      </c>
      <c r="S555">
        <f>HYPERLINK("https://klasma.github.io/Logging_1784/artfynd/A 56676-2022 artfynd.xlsx", "A 56676-2022")</f>
        <v/>
      </c>
      <c r="T555">
        <f>HYPERLINK("https://klasma.github.io/Logging_1784/kartor/A 56676-2022 karta.png", "A 56676-2022")</f>
        <v/>
      </c>
      <c r="U555">
        <f>HYPERLINK("https://klasma.github.io/Logging_1784/knärot/A 56676-2022 karta knärot.png", "A 56676-2022")</f>
        <v/>
      </c>
      <c r="V555">
        <f>HYPERLINK("https://klasma.github.io/Logging_1784/klagomål/A 56676-2022 FSC-klagomål.docx", "A 56676-2022")</f>
        <v/>
      </c>
      <c r="W555">
        <f>HYPERLINK("https://klasma.github.io/Logging_1784/klagomålsmail/A 56676-2022 FSC-klagomål mail.docx", "A 56676-2022")</f>
        <v/>
      </c>
      <c r="X555">
        <f>HYPERLINK("https://klasma.github.io/Logging_1784/tillsyn/A 56676-2022 tillsynsbegäran.docx", "A 56676-2022")</f>
        <v/>
      </c>
      <c r="Y555">
        <f>HYPERLINK("https://klasma.github.io/Logging_1784/tillsynsmail/A 56676-2022 tillsynsbegäran mail.docx", "A 56676-2022")</f>
        <v/>
      </c>
    </row>
    <row r="556" ht="15" customHeight="1">
      <c r="A556" t="inlineStr">
        <is>
          <t>A 56590-2022</t>
        </is>
      </c>
      <c r="B556" s="1" t="n">
        <v>44893</v>
      </c>
      <c r="C556" s="1" t="n">
        <v>45810</v>
      </c>
      <c r="D556" t="inlineStr">
        <is>
          <t>VÄRMLANDS LÄN</t>
        </is>
      </c>
      <c r="E556" t="inlineStr">
        <is>
          <t>KRISTINEHAMN</t>
        </is>
      </c>
      <c r="F556" t="inlineStr">
        <is>
          <t>Sveaskog</t>
        </is>
      </c>
      <c r="G556" t="n">
        <v>3.6</v>
      </c>
      <c r="H556" t="n">
        <v>1</v>
      </c>
      <c r="I556" t="n">
        <v>0</v>
      </c>
      <c r="J556" t="n">
        <v>0</v>
      </c>
      <c r="K556" t="n">
        <v>0</v>
      </c>
      <c r="L556" t="n">
        <v>0</v>
      </c>
      <c r="M556" t="n">
        <v>0</v>
      </c>
      <c r="N556" t="n">
        <v>0</v>
      </c>
      <c r="O556" t="n">
        <v>0</v>
      </c>
      <c r="P556" t="n">
        <v>0</v>
      </c>
      <c r="Q556" t="n">
        <v>1</v>
      </c>
      <c r="R556" s="2" t="inlineStr">
        <is>
          <t>Kopparödla</t>
        </is>
      </c>
      <c r="S556">
        <f>HYPERLINK("https://klasma.github.io/Logging_1781/artfynd/A 56590-2022 artfynd.xlsx", "A 56590-2022")</f>
        <v/>
      </c>
      <c r="T556">
        <f>HYPERLINK("https://klasma.github.io/Logging_1781/kartor/A 56590-2022 karta.png", "A 56590-2022")</f>
        <v/>
      </c>
      <c r="V556">
        <f>HYPERLINK("https://klasma.github.io/Logging_1781/klagomål/A 56590-2022 FSC-klagomål.docx", "A 56590-2022")</f>
        <v/>
      </c>
      <c r="W556">
        <f>HYPERLINK("https://klasma.github.io/Logging_1781/klagomålsmail/A 56590-2022 FSC-klagomål mail.docx", "A 56590-2022")</f>
        <v/>
      </c>
      <c r="X556">
        <f>HYPERLINK("https://klasma.github.io/Logging_1781/tillsyn/A 56590-2022 tillsynsbegäran.docx", "A 56590-2022")</f>
        <v/>
      </c>
      <c r="Y556">
        <f>HYPERLINK("https://klasma.github.io/Logging_1781/tillsynsmail/A 56590-2022 tillsynsbegäran mail.docx", "A 56590-2022")</f>
        <v/>
      </c>
    </row>
    <row r="557" ht="15" customHeight="1">
      <c r="A557" t="inlineStr">
        <is>
          <t>A 56642-2022</t>
        </is>
      </c>
      <c r="B557" s="1" t="n">
        <v>44893</v>
      </c>
      <c r="C557" s="1" t="n">
        <v>45810</v>
      </c>
      <c r="D557" t="inlineStr">
        <is>
          <t>VÄRMLANDS LÄN</t>
        </is>
      </c>
      <c r="E557" t="inlineStr">
        <is>
          <t>KIL</t>
        </is>
      </c>
      <c r="F557" t="inlineStr">
        <is>
          <t>Bergvik skog väst AB</t>
        </is>
      </c>
      <c r="G557" t="n">
        <v>2.5</v>
      </c>
      <c r="H557" t="n">
        <v>0</v>
      </c>
      <c r="I557" t="n">
        <v>1</v>
      </c>
      <c r="J557" t="n">
        <v>0</v>
      </c>
      <c r="K557" t="n">
        <v>0</v>
      </c>
      <c r="L557" t="n">
        <v>0</v>
      </c>
      <c r="M557" t="n">
        <v>0</v>
      </c>
      <c r="N557" t="n">
        <v>0</v>
      </c>
      <c r="O557" t="n">
        <v>0</v>
      </c>
      <c r="P557" t="n">
        <v>0</v>
      </c>
      <c r="Q557" t="n">
        <v>1</v>
      </c>
      <c r="R557" s="2" t="inlineStr">
        <is>
          <t>Svart trolldruva</t>
        </is>
      </c>
      <c r="S557">
        <f>HYPERLINK("https://klasma.github.io/Logging_1715/artfynd/A 56642-2022 artfynd.xlsx", "A 56642-2022")</f>
        <v/>
      </c>
      <c r="T557">
        <f>HYPERLINK("https://klasma.github.io/Logging_1715/kartor/A 56642-2022 karta.png", "A 56642-2022")</f>
        <v/>
      </c>
      <c r="V557">
        <f>HYPERLINK("https://klasma.github.io/Logging_1715/klagomål/A 56642-2022 FSC-klagomål.docx", "A 56642-2022")</f>
        <v/>
      </c>
      <c r="W557">
        <f>HYPERLINK("https://klasma.github.io/Logging_1715/klagomålsmail/A 56642-2022 FSC-klagomål mail.docx", "A 56642-2022")</f>
        <v/>
      </c>
      <c r="X557">
        <f>HYPERLINK("https://klasma.github.io/Logging_1715/tillsyn/A 56642-2022 tillsynsbegäran.docx", "A 56642-2022")</f>
        <v/>
      </c>
      <c r="Y557">
        <f>HYPERLINK("https://klasma.github.io/Logging_1715/tillsynsmail/A 56642-2022 tillsynsbegäran mail.docx", "A 56642-2022")</f>
        <v/>
      </c>
    </row>
    <row r="558" ht="15" customHeight="1">
      <c r="A558" t="inlineStr">
        <is>
          <t>A 56794-2022</t>
        </is>
      </c>
      <c r="B558" s="1" t="n">
        <v>44894</v>
      </c>
      <c r="C558" s="1" t="n">
        <v>45810</v>
      </c>
      <c r="D558" t="inlineStr">
        <is>
          <t>VÄRMLANDS LÄN</t>
        </is>
      </c>
      <c r="E558" t="inlineStr">
        <is>
          <t>SÄFFLE</t>
        </is>
      </c>
      <c r="F558" t="inlineStr">
        <is>
          <t>Bergvik skog väst AB</t>
        </is>
      </c>
      <c r="G558" t="n">
        <v>21.8</v>
      </c>
      <c r="H558" t="n">
        <v>0</v>
      </c>
      <c r="I558" t="n">
        <v>0</v>
      </c>
      <c r="J558" t="n">
        <v>1</v>
      </c>
      <c r="K558" t="n">
        <v>0</v>
      </c>
      <c r="L558" t="n">
        <v>0</v>
      </c>
      <c r="M558" t="n">
        <v>0</v>
      </c>
      <c r="N558" t="n">
        <v>0</v>
      </c>
      <c r="O558" t="n">
        <v>1</v>
      </c>
      <c r="P558" t="n">
        <v>0</v>
      </c>
      <c r="Q558" t="n">
        <v>1</v>
      </c>
      <c r="R558" s="2" t="inlineStr">
        <is>
          <t>Skogsklocka</t>
        </is>
      </c>
      <c r="S558">
        <f>HYPERLINK("https://klasma.github.io/Logging_1785/artfynd/A 56794-2022 artfynd.xlsx", "A 56794-2022")</f>
        <v/>
      </c>
      <c r="T558">
        <f>HYPERLINK("https://klasma.github.io/Logging_1785/kartor/A 56794-2022 karta.png", "A 56794-2022")</f>
        <v/>
      </c>
      <c r="V558">
        <f>HYPERLINK("https://klasma.github.io/Logging_1785/klagomål/A 56794-2022 FSC-klagomål.docx", "A 56794-2022")</f>
        <v/>
      </c>
      <c r="W558">
        <f>HYPERLINK("https://klasma.github.io/Logging_1785/klagomålsmail/A 56794-2022 FSC-klagomål mail.docx", "A 56794-2022")</f>
        <v/>
      </c>
      <c r="X558">
        <f>HYPERLINK("https://klasma.github.io/Logging_1785/tillsyn/A 56794-2022 tillsynsbegäran.docx", "A 56794-2022")</f>
        <v/>
      </c>
      <c r="Y558">
        <f>HYPERLINK("https://klasma.github.io/Logging_1785/tillsynsmail/A 56794-2022 tillsynsbegäran mail.docx", "A 56794-2022")</f>
        <v/>
      </c>
    </row>
    <row r="559" ht="15" customHeight="1">
      <c r="A559" t="inlineStr">
        <is>
          <t>A 59323-2022</t>
        </is>
      </c>
      <c r="B559" s="1" t="n">
        <v>44904</v>
      </c>
      <c r="C559" s="1" t="n">
        <v>45810</v>
      </c>
      <c r="D559" t="inlineStr">
        <is>
          <t>VÄRMLANDS LÄN</t>
        </is>
      </c>
      <c r="E559" t="inlineStr">
        <is>
          <t>SUNNE</t>
        </is>
      </c>
      <c r="G559" t="n">
        <v>1.6</v>
      </c>
      <c r="H559" t="n">
        <v>1</v>
      </c>
      <c r="I559" t="n">
        <v>0</v>
      </c>
      <c r="J559" t="n">
        <v>1</v>
      </c>
      <c r="K559" t="n">
        <v>0</v>
      </c>
      <c r="L559" t="n">
        <v>0</v>
      </c>
      <c r="M559" t="n">
        <v>0</v>
      </c>
      <c r="N559" t="n">
        <v>0</v>
      </c>
      <c r="O559" t="n">
        <v>1</v>
      </c>
      <c r="P559" t="n">
        <v>0</v>
      </c>
      <c r="Q559" t="n">
        <v>1</v>
      </c>
      <c r="R559" s="2" t="inlineStr">
        <is>
          <t>Tretåig hackspett</t>
        </is>
      </c>
      <c r="S559">
        <f>HYPERLINK("https://klasma.github.io/Logging_1766/artfynd/A 59323-2022 artfynd.xlsx", "A 59323-2022")</f>
        <v/>
      </c>
      <c r="T559">
        <f>HYPERLINK("https://klasma.github.io/Logging_1766/kartor/A 59323-2022 karta.png", "A 59323-2022")</f>
        <v/>
      </c>
      <c r="V559">
        <f>HYPERLINK("https://klasma.github.io/Logging_1766/klagomål/A 59323-2022 FSC-klagomål.docx", "A 59323-2022")</f>
        <v/>
      </c>
      <c r="W559">
        <f>HYPERLINK("https://klasma.github.io/Logging_1766/klagomålsmail/A 59323-2022 FSC-klagomål mail.docx", "A 59323-2022")</f>
        <v/>
      </c>
      <c r="X559">
        <f>HYPERLINK("https://klasma.github.io/Logging_1766/tillsyn/A 59323-2022 tillsynsbegäran.docx", "A 59323-2022")</f>
        <v/>
      </c>
      <c r="Y559">
        <f>HYPERLINK("https://klasma.github.io/Logging_1766/tillsynsmail/A 59323-2022 tillsynsbegäran mail.docx", "A 59323-2022")</f>
        <v/>
      </c>
      <c r="Z559">
        <f>HYPERLINK("https://klasma.github.io/Logging_1766/fåglar/A 59323-2022 prioriterade fågelarter.docx", "A 59323-2022")</f>
        <v/>
      </c>
    </row>
    <row r="560" ht="15" customHeight="1">
      <c r="A560" t="inlineStr">
        <is>
          <t>A 60602-2022</t>
        </is>
      </c>
      <c r="B560" s="1" t="n">
        <v>44911</v>
      </c>
      <c r="C560" s="1" t="n">
        <v>45810</v>
      </c>
      <c r="D560" t="inlineStr">
        <is>
          <t>VÄRMLANDS LÄN</t>
        </is>
      </c>
      <c r="E560" t="inlineStr">
        <is>
          <t>ARVIKA</t>
        </is>
      </c>
      <c r="F560" t="inlineStr">
        <is>
          <t>Bergvik skog väst AB</t>
        </is>
      </c>
      <c r="G560" t="n">
        <v>23.3</v>
      </c>
      <c r="H560" t="n">
        <v>1</v>
      </c>
      <c r="I560" t="n">
        <v>0</v>
      </c>
      <c r="J560" t="n">
        <v>0</v>
      </c>
      <c r="K560" t="n">
        <v>0</v>
      </c>
      <c r="L560" t="n">
        <v>0</v>
      </c>
      <c r="M560" t="n">
        <v>0</v>
      </c>
      <c r="N560" t="n">
        <v>0</v>
      </c>
      <c r="O560" t="n">
        <v>0</v>
      </c>
      <c r="P560" t="n">
        <v>0</v>
      </c>
      <c r="Q560" t="n">
        <v>1</v>
      </c>
      <c r="R560" s="2" t="inlineStr">
        <is>
          <t>Gråspett</t>
        </is>
      </c>
      <c r="S560">
        <f>HYPERLINK("https://klasma.github.io/Logging_1784/artfynd/A 60602-2022 artfynd.xlsx", "A 60602-2022")</f>
        <v/>
      </c>
      <c r="T560">
        <f>HYPERLINK("https://klasma.github.io/Logging_1784/kartor/A 60602-2022 karta.png", "A 60602-2022")</f>
        <v/>
      </c>
      <c r="V560">
        <f>HYPERLINK("https://klasma.github.io/Logging_1784/klagomål/A 60602-2022 FSC-klagomål.docx", "A 60602-2022")</f>
        <v/>
      </c>
      <c r="W560">
        <f>HYPERLINK("https://klasma.github.io/Logging_1784/klagomålsmail/A 60602-2022 FSC-klagomål mail.docx", "A 60602-2022")</f>
        <v/>
      </c>
      <c r="X560">
        <f>HYPERLINK("https://klasma.github.io/Logging_1784/tillsyn/A 60602-2022 tillsynsbegäran.docx", "A 60602-2022")</f>
        <v/>
      </c>
      <c r="Y560">
        <f>HYPERLINK("https://klasma.github.io/Logging_1784/tillsynsmail/A 60602-2022 tillsynsbegäran mail.docx", "A 60602-2022")</f>
        <v/>
      </c>
      <c r="Z560">
        <f>HYPERLINK("https://klasma.github.io/Logging_1784/fåglar/A 60602-2022 prioriterade fågelarter.docx", "A 60602-2022")</f>
        <v/>
      </c>
    </row>
    <row r="561" ht="15" customHeight="1">
      <c r="A561" t="inlineStr">
        <is>
          <t>A 60736-2022</t>
        </is>
      </c>
      <c r="B561" s="1" t="n">
        <v>44913</v>
      </c>
      <c r="C561" s="1" t="n">
        <v>45810</v>
      </c>
      <c r="D561" t="inlineStr">
        <is>
          <t>VÄRMLANDS LÄN</t>
        </is>
      </c>
      <c r="E561" t="inlineStr">
        <is>
          <t>FORSHAGA</t>
        </is>
      </c>
      <c r="G561" t="n">
        <v>1.1</v>
      </c>
      <c r="H561" t="n">
        <v>1</v>
      </c>
      <c r="I561" t="n">
        <v>0</v>
      </c>
      <c r="J561" t="n">
        <v>1</v>
      </c>
      <c r="K561" t="n">
        <v>0</v>
      </c>
      <c r="L561" t="n">
        <v>0</v>
      </c>
      <c r="M561" t="n">
        <v>0</v>
      </c>
      <c r="N561" t="n">
        <v>0</v>
      </c>
      <c r="O561" t="n">
        <v>1</v>
      </c>
      <c r="P561" t="n">
        <v>0</v>
      </c>
      <c r="Q561" t="n">
        <v>1</v>
      </c>
      <c r="R561" s="2" t="inlineStr">
        <is>
          <t>Mindre hackspett</t>
        </is>
      </c>
      <c r="S561">
        <f>HYPERLINK("https://klasma.github.io/Logging_1763/artfynd/A 60736-2022 artfynd.xlsx", "A 60736-2022")</f>
        <v/>
      </c>
      <c r="T561">
        <f>HYPERLINK("https://klasma.github.io/Logging_1763/kartor/A 60736-2022 karta.png", "A 60736-2022")</f>
        <v/>
      </c>
      <c r="V561">
        <f>HYPERLINK("https://klasma.github.io/Logging_1763/klagomål/A 60736-2022 FSC-klagomål.docx", "A 60736-2022")</f>
        <v/>
      </c>
      <c r="W561">
        <f>HYPERLINK("https://klasma.github.io/Logging_1763/klagomålsmail/A 60736-2022 FSC-klagomål mail.docx", "A 60736-2022")</f>
        <v/>
      </c>
      <c r="X561">
        <f>HYPERLINK("https://klasma.github.io/Logging_1763/tillsyn/A 60736-2022 tillsynsbegäran.docx", "A 60736-2022")</f>
        <v/>
      </c>
      <c r="Y561">
        <f>HYPERLINK("https://klasma.github.io/Logging_1763/tillsynsmail/A 60736-2022 tillsynsbegäran mail.docx", "A 60736-2022")</f>
        <v/>
      </c>
      <c r="Z561">
        <f>HYPERLINK("https://klasma.github.io/Logging_1763/fåglar/A 60736-2022 prioriterade fågelarter.docx", "A 60736-2022")</f>
        <v/>
      </c>
    </row>
    <row r="562" ht="15" customHeight="1">
      <c r="A562" t="inlineStr">
        <is>
          <t>A 62010-2022</t>
        </is>
      </c>
      <c r="B562" s="1" t="n">
        <v>44914</v>
      </c>
      <c r="C562" s="1" t="n">
        <v>45810</v>
      </c>
      <c r="D562" t="inlineStr">
        <is>
          <t>VÄRMLANDS LÄN</t>
        </is>
      </c>
      <c r="E562" t="inlineStr">
        <is>
          <t>KIL</t>
        </is>
      </c>
      <c r="G562" t="n">
        <v>7.8</v>
      </c>
      <c r="H562" t="n">
        <v>0</v>
      </c>
      <c r="I562" t="n">
        <v>1</v>
      </c>
      <c r="J562" t="n">
        <v>0</v>
      </c>
      <c r="K562" t="n">
        <v>0</v>
      </c>
      <c r="L562" t="n">
        <v>0</v>
      </c>
      <c r="M562" t="n">
        <v>0</v>
      </c>
      <c r="N562" t="n">
        <v>0</v>
      </c>
      <c r="O562" t="n">
        <v>0</v>
      </c>
      <c r="P562" t="n">
        <v>0</v>
      </c>
      <c r="Q562" t="n">
        <v>1</v>
      </c>
      <c r="R562" s="2" t="inlineStr">
        <is>
          <t>Ögonpyrola</t>
        </is>
      </c>
      <c r="S562">
        <f>HYPERLINK("https://klasma.github.io/Logging_1715/artfynd/A 62010-2022 artfynd.xlsx", "A 62010-2022")</f>
        <v/>
      </c>
      <c r="T562">
        <f>HYPERLINK("https://klasma.github.io/Logging_1715/kartor/A 62010-2022 karta.png", "A 62010-2022")</f>
        <v/>
      </c>
      <c r="V562">
        <f>HYPERLINK("https://klasma.github.io/Logging_1715/klagomål/A 62010-2022 FSC-klagomål.docx", "A 62010-2022")</f>
        <v/>
      </c>
      <c r="W562">
        <f>HYPERLINK("https://klasma.github.io/Logging_1715/klagomålsmail/A 62010-2022 FSC-klagomål mail.docx", "A 62010-2022")</f>
        <v/>
      </c>
      <c r="X562">
        <f>HYPERLINK("https://klasma.github.io/Logging_1715/tillsyn/A 62010-2022 tillsynsbegäran.docx", "A 62010-2022")</f>
        <v/>
      </c>
      <c r="Y562">
        <f>HYPERLINK("https://klasma.github.io/Logging_1715/tillsynsmail/A 62010-2022 tillsynsbegäran mail.docx", "A 62010-2022")</f>
        <v/>
      </c>
    </row>
    <row r="563" ht="15" customHeight="1">
      <c r="A563" t="inlineStr">
        <is>
          <t>A 1717-2023</t>
        </is>
      </c>
      <c r="B563" s="1" t="n">
        <v>44936</v>
      </c>
      <c r="C563" s="1" t="n">
        <v>45810</v>
      </c>
      <c r="D563" t="inlineStr">
        <is>
          <t>VÄRMLANDS LÄN</t>
        </is>
      </c>
      <c r="E563" t="inlineStr">
        <is>
          <t>SÄFFLE</t>
        </is>
      </c>
      <c r="G563" t="n">
        <v>0.7</v>
      </c>
      <c r="H563" t="n">
        <v>1</v>
      </c>
      <c r="I563" t="n">
        <v>0</v>
      </c>
      <c r="J563" t="n">
        <v>0</v>
      </c>
      <c r="K563" t="n">
        <v>0</v>
      </c>
      <c r="L563" t="n">
        <v>0</v>
      </c>
      <c r="M563" t="n">
        <v>0</v>
      </c>
      <c r="N563" t="n">
        <v>0</v>
      </c>
      <c r="O563" t="n">
        <v>0</v>
      </c>
      <c r="P563" t="n">
        <v>0</v>
      </c>
      <c r="Q563" t="n">
        <v>1</v>
      </c>
      <c r="R563" s="2" t="inlineStr">
        <is>
          <t>Fläcknycklar</t>
        </is>
      </c>
      <c r="S563">
        <f>HYPERLINK("https://klasma.github.io/Logging_1785/artfynd/A 1717-2023 artfynd.xlsx", "A 1717-2023")</f>
        <v/>
      </c>
      <c r="T563">
        <f>HYPERLINK("https://klasma.github.io/Logging_1785/kartor/A 1717-2023 karta.png", "A 1717-2023")</f>
        <v/>
      </c>
      <c r="V563">
        <f>HYPERLINK("https://klasma.github.io/Logging_1785/klagomål/A 1717-2023 FSC-klagomål.docx", "A 1717-2023")</f>
        <v/>
      </c>
      <c r="W563">
        <f>HYPERLINK("https://klasma.github.io/Logging_1785/klagomålsmail/A 1717-2023 FSC-klagomål mail.docx", "A 1717-2023")</f>
        <v/>
      </c>
      <c r="X563">
        <f>HYPERLINK("https://klasma.github.io/Logging_1785/tillsyn/A 1717-2023 tillsynsbegäran.docx", "A 1717-2023")</f>
        <v/>
      </c>
      <c r="Y563">
        <f>HYPERLINK("https://klasma.github.io/Logging_1785/tillsynsmail/A 1717-2023 tillsynsbegäran mail.docx", "A 1717-2023")</f>
        <v/>
      </c>
    </row>
    <row r="564" ht="15" customHeight="1">
      <c r="A564" t="inlineStr">
        <is>
          <t>A 1823-2023</t>
        </is>
      </c>
      <c r="B564" s="1" t="n">
        <v>44938</v>
      </c>
      <c r="C564" s="1" t="n">
        <v>45810</v>
      </c>
      <c r="D564" t="inlineStr">
        <is>
          <t>VÄRMLANDS LÄN</t>
        </is>
      </c>
      <c r="E564" t="inlineStr">
        <is>
          <t>SÄFFLE</t>
        </is>
      </c>
      <c r="G564" t="n">
        <v>4.4</v>
      </c>
      <c r="H564" t="n">
        <v>0</v>
      </c>
      <c r="I564" t="n">
        <v>0</v>
      </c>
      <c r="J564" t="n">
        <v>1</v>
      </c>
      <c r="K564" t="n">
        <v>0</v>
      </c>
      <c r="L564" t="n">
        <v>0</v>
      </c>
      <c r="M564" t="n">
        <v>0</v>
      </c>
      <c r="N564" t="n">
        <v>0</v>
      </c>
      <c r="O564" t="n">
        <v>1</v>
      </c>
      <c r="P564" t="n">
        <v>0</v>
      </c>
      <c r="Q564" t="n">
        <v>1</v>
      </c>
      <c r="R564" s="2" t="inlineStr">
        <is>
          <t>Skogsklocka</t>
        </is>
      </c>
      <c r="S564">
        <f>HYPERLINK("https://klasma.github.io/Logging_1785/artfynd/A 1823-2023 artfynd.xlsx", "A 1823-2023")</f>
        <v/>
      </c>
      <c r="T564">
        <f>HYPERLINK("https://klasma.github.io/Logging_1785/kartor/A 1823-2023 karta.png", "A 1823-2023")</f>
        <v/>
      </c>
      <c r="V564">
        <f>HYPERLINK("https://klasma.github.io/Logging_1785/klagomål/A 1823-2023 FSC-klagomål.docx", "A 1823-2023")</f>
        <v/>
      </c>
      <c r="W564">
        <f>HYPERLINK("https://klasma.github.io/Logging_1785/klagomålsmail/A 1823-2023 FSC-klagomål mail.docx", "A 1823-2023")</f>
        <v/>
      </c>
      <c r="X564">
        <f>HYPERLINK("https://klasma.github.io/Logging_1785/tillsyn/A 1823-2023 tillsynsbegäran.docx", "A 1823-2023")</f>
        <v/>
      </c>
      <c r="Y564">
        <f>HYPERLINK("https://klasma.github.io/Logging_1785/tillsynsmail/A 1823-2023 tillsynsbegäran mail.docx", "A 1823-2023")</f>
        <v/>
      </c>
    </row>
    <row r="565" ht="15" customHeight="1">
      <c r="A565" t="inlineStr">
        <is>
          <t>A 3127-2023</t>
        </is>
      </c>
      <c r="B565" s="1" t="n">
        <v>44946</v>
      </c>
      <c r="C565" s="1" t="n">
        <v>45810</v>
      </c>
      <c r="D565" t="inlineStr">
        <is>
          <t>VÄRMLANDS LÄN</t>
        </is>
      </c>
      <c r="E565" t="inlineStr">
        <is>
          <t>HAGFORS</t>
        </is>
      </c>
      <c r="F565" t="inlineStr">
        <is>
          <t>Bergvik skog väst AB</t>
        </is>
      </c>
      <c r="G565" t="n">
        <v>14.2</v>
      </c>
      <c r="H565" t="n">
        <v>1</v>
      </c>
      <c r="I565" t="n">
        <v>0</v>
      </c>
      <c r="J565" t="n">
        <v>1</v>
      </c>
      <c r="K565" t="n">
        <v>0</v>
      </c>
      <c r="L565" t="n">
        <v>0</v>
      </c>
      <c r="M565" t="n">
        <v>0</v>
      </c>
      <c r="N565" t="n">
        <v>0</v>
      </c>
      <c r="O565" t="n">
        <v>1</v>
      </c>
      <c r="P565" t="n">
        <v>0</v>
      </c>
      <c r="Q565" t="n">
        <v>1</v>
      </c>
      <c r="R565" s="2" t="inlineStr">
        <is>
          <t>Stenfalk</t>
        </is>
      </c>
      <c r="S565">
        <f>HYPERLINK("https://klasma.github.io/Logging_1783/artfynd/A 3127-2023 artfynd.xlsx", "A 3127-2023")</f>
        <v/>
      </c>
      <c r="T565">
        <f>HYPERLINK("https://klasma.github.io/Logging_1783/kartor/A 3127-2023 karta.png", "A 3127-2023")</f>
        <v/>
      </c>
      <c r="V565">
        <f>HYPERLINK("https://klasma.github.io/Logging_1783/klagomål/A 3127-2023 FSC-klagomål.docx", "A 3127-2023")</f>
        <v/>
      </c>
      <c r="W565">
        <f>HYPERLINK("https://klasma.github.io/Logging_1783/klagomålsmail/A 3127-2023 FSC-klagomål mail.docx", "A 3127-2023")</f>
        <v/>
      </c>
      <c r="X565">
        <f>HYPERLINK("https://klasma.github.io/Logging_1783/tillsyn/A 3127-2023 tillsynsbegäran.docx", "A 3127-2023")</f>
        <v/>
      </c>
      <c r="Y565">
        <f>HYPERLINK("https://klasma.github.io/Logging_1783/tillsynsmail/A 3127-2023 tillsynsbegäran mail.docx", "A 3127-2023")</f>
        <v/>
      </c>
      <c r="Z565">
        <f>HYPERLINK("https://klasma.github.io/Logging_1783/fåglar/A 3127-2023 prioriterade fågelarter.docx", "A 3127-2023")</f>
        <v/>
      </c>
    </row>
    <row r="566" ht="15" customHeight="1">
      <c r="A566" t="inlineStr">
        <is>
          <t>A 5220-2023</t>
        </is>
      </c>
      <c r="B566" s="1" t="n">
        <v>44956</v>
      </c>
      <c r="C566" s="1" t="n">
        <v>45810</v>
      </c>
      <c r="D566" t="inlineStr">
        <is>
          <t>VÄRMLANDS LÄN</t>
        </is>
      </c>
      <c r="E566" t="inlineStr">
        <is>
          <t>GRUMS</t>
        </is>
      </c>
      <c r="G566" t="n">
        <v>9.300000000000001</v>
      </c>
      <c r="H566" t="n">
        <v>0</v>
      </c>
      <c r="I566" t="n">
        <v>0</v>
      </c>
      <c r="J566" t="n">
        <v>1</v>
      </c>
      <c r="K566" t="n">
        <v>0</v>
      </c>
      <c r="L566" t="n">
        <v>0</v>
      </c>
      <c r="M566" t="n">
        <v>0</v>
      </c>
      <c r="N566" t="n">
        <v>0</v>
      </c>
      <c r="O566" t="n">
        <v>1</v>
      </c>
      <c r="P566" t="n">
        <v>0</v>
      </c>
      <c r="Q566" t="n">
        <v>1</v>
      </c>
      <c r="R566" s="2" t="inlineStr">
        <is>
          <t>Skogsklocka</t>
        </is>
      </c>
      <c r="S566">
        <f>HYPERLINK("https://klasma.github.io/Logging_1764/artfynd/A 5220-2023 artfynd.xlsx", "A 5220-2023")</f>
        <v/>
      </c>
      <c r="T566">
        <f>HYPERLINK("https://klasma.github.io/Logging_1764/kartor/A 5220-2023 karta.png", "A 5220-2023")</f>
        <v/>
      </c>
      <c r="V566">
        <f>HYPERLINK("https://klasma.github.io/Logging_1764/klagomål/A 5220-2023 FSC-klagomål.docx", "A 5220-2023")</f>
        <v/>
      </c>
      <c r="W566">
        <f>HYPERLINK("https://klasma.github.io/Logging_1764/klagomålsmail/A 5220-2023 FSC-klagomål mail.docx", "A 5220-2023")</f>
        <v/>
      </c>
      <c r="X566">
        <f>HYPERLINK("https://klasma.github.io/Logging_1764/tillsyn/A 5220-2023 tillsynsbegäran.docx", "A 5220-2023")</f>
        <v/>
      </c>
      <c r="Y566">
        <f>HYPERLINK("https://klasma.github.io/Logging_1764/tillsynsmail/A 5220-2023 tillsynsbegäran mail.docx", "A 5220-2023")</f>
        <v/>
      </c>
    </row>
    <row r="567" ht="15" customHeight="1">
      <c r="A567" t="inlineStr">
        <is>
          <t>A 6661-2023</t>
        </is>
      </c>
      <c r="B567" s="1" t="n">
        <v>44963</v>
      </c>
      <c r="C567" s="1" t="n">
        <v>45810</v>
      </c>
      <c r="D567" t="inlineStr">
        <is>
          <t>VÄRMLANDS LÄN</t>
        </is>
      </c>
      <c r="E567" t="inlineStr">
        <is>
          <t>SUNNE</t>
        </is>
      </c>
      <c r="G567" t="n">
        <v>8.800000000000001</v>
      </c>
      <c r="H567" t="n">
        <v>0</v>
      </c>
      <c r="I567" t="n">
        <v>1</v>
      </c>
      <c r="J567" t="n">
        <v>0</v>
      </c>
      <c r="K567" t="n">
        <v>0</v>
      </c>
      <c r="L567" t="n">
        <v>0</v>
      </c>
      <c r="M567" t="n">
        <v>0</v>
      </c>
      <c r="N567" t="n">
        <v>0</v>
      </c>
      <c r="O567" t="n">
        <v>0</v>
      </c>
      <c r="P567" t="n">
        <v>0</v>
      </c>
      <c r="Q567" t="n">
        <v>1</v>
      </c>
      <c r="R567" s="2" t="inlineStr">
        <is>
          <t>Bronshjon</t>
        </is>
      </c>
      <c r="S567">
        <f>HYPERLINK("https://klasma.github.io/Logging_1766/artfynd/A 6661-2023 artfynd.xlsx", "A 6661-2023")</f>
        <v/>
      </c>
      <c r="T567">
        <f>HYPERLINK("https://klasma.github.io/Logging_1766/kartor/A 6661-2023 karta.png", "A 6661-2023")</f>
        <v/>
      </c>
      <c r="V567">
        <f>HYPERLINK("https://klasma.github.io/Logging_1766/klagomål/A 6661-2023 FSC-klagomål.docx", "A 6661-2023")</f>
        <v/>
      </c>
      <c r="W567">
        <f>HYPERLINK("https://klasma.github.io/Logging_1766/klagomålsmail/A 6661-2023 FSC-klagomål mail.docx", "A 6661-2023")</f>
        <v/>
      </c>
      <c r="X567">
        <f>HYPERLINK("https://klasma.github.io/Logging_1766/tillsyn/A 6661-2023 tillsynsbegäran.docx", "A 6661-2023")</f>
        <v/>
      </c>
      <c r="Y567">
        <f>HYPERLINK("https://klasma.github.io/Logging_1766/tillsynsmail/A 6661-2023 tillsynsbegäran mail.docx", "A 6661-2023")</f>
        <v/>
      </c>
    </row>
    <row r="568" ht="15" customHeight="1">
      <c r="A568" t="inlineStr">
        <is>
          <t>A 7240-2023</t>
        </is>
      </c>
      <c r="B568" s="1" t="n">
        <v>44970</v>
      </c>
      <c r="C568" s="1" t="n">
        <v>45810</v>
      </c>
      <c r="D568" t="inlineStr">
        <is>
          <t>VÄRMLANDS LÄN</t>
        </is>
      </c>
      <c r="E568" t="inlineStr">
        <is>
          <t>EDA</t>
        </is>
      </c>
      <c r="G568" t="n">
        <v>17.4</v>
      </c>
      <c r="H568" t="n">
        <v>0</v>
      </c>
      <c r="I568" t="n">
        <v>1</v>
      </c>
      <c r="J568" t="n">
        <v>0</v>
      </c>
      <c r="K568" t="n">
        <v>0</v>
      </c>
      <c r="L568" t="n">
        <v>0</v>
      </c>
      <c r="M568" t="n">
        <v>0</v>
      </c>
      <c r="N568" t="n">
        <v>0</v>
      </c>
      <c r="O568" t="n">
        <v>0</v>
      </c>
      <c r="P568" t="n">
        <v>0</v>
      </c>
      <c r="Q568" t="n">
        <v>1</v>
      </c>
      <c r="R568" s="2" t="inlineStr">
        <is>
          <t>Sotriska</t>
        </is>
      </c>
      <c r="S568">
        <f>HYPERLINK("https://klasma.github.io/Logging_1730/artfynd/A 7240-2023 artfynd.xlsx", "A 7240-2023")</f>
        <v/>
      </c>
      <c r="T568">
        <f>HYPERLINK("https://klasma.github.io/Logging_1730/kartor/A 7240-2023 karta.png", "A 7240-2023")</f>
        <v/>
      </c>
      <c r="V568">
        <f>HYPERLINK("https://klasma.github.io/Logging_1730/klagomål/A 7240-2023 FSC-klagomål.docx", "A 7240-2023")</f>
        <v/>
      </c>
      <c r="W568">
        <f>HYPERLINK("https://klasma.github.io/Logging_1730/klagomålsmail/A 7240-2023 FSC-klagomål mail.docx", "A 7240-2023")</f>
        <v/>
      </c>
      <c r="X568">
        <f>HYPERLINK("https://klasma.github.io/Logging_1730/tillsyn/A 7240-2023 tillsynsbegäran.docx", "A 7240-2023")</f>
        <v/>
      </c>
      <c r="Y568">
        <f>HYPERLINK("https://klasma.github.io/Logging_1730/tillsynsmail/A 7240-2023 tillsynsbegäran mail.docx", "A 7240-2023")</f>
        <v/>
      </c>
    </row>
    <row r="569" ht="15" customHeight="1">
      <c r="A569" t="inlineStr">
        <is>
          <t>A 8525-2023</t>
        </is>
      </c>
      <c r="B569" s="1" t="n">
        <v>44977</v>
      </c>
      <c r="C569" s="1" t="n">
        <v>45810</v>
      </c>
      <c r="D569" t="inlineStr">
        <is>
          <t>VÄRMLANDS LÄN</t>
        </is>
      </c>
      <c r="E569" t="inlineStr">
        <is>
          <t>ARVIKA</t>
        </is>
      </c>
      <c r="G569" t="n">
        <v>2.2</v>
      </c>
      <c r="H569" t="n">
        <v>1</v>
      </c>
      <c r="I569" t="n">
        <v>0</v>
      </c>
      <c r="J569" t="n">
        <v>0</v>
      </c>
      <c r="K569" t="n">
        <v>1</v>
      </c>
      <c r="L569" t="n">
        <v>0</v>
      </c>
      <c r="M569" t="n">
        <v>0</v>
      </c>
      <c r="N569" t="n">
        <v>0</v>
      </c>
      <c r="O569" t="n">
        <v>1</v>
      </c>
      <c r="P569" t="n">
        <v>1</v>
      </c>
      <c r="Q569" t="n">
        <v>1</v>
      </c>
      <c r="R569" s="2" t="inlineStr">
        <is>
          <t>Knärot</t>
        </is>
      </c>
      <c r="S569">
        <f>HYPERLINK("https://klasma.github.io/Logging_1784/artfynd/A 8525-2023 artfynd.xlsx", "A 8525-2023")</f>
        <v/>
      </c>
      <c r="T569">
        <f>HYPERLINK("https://klasma.github.io/Logging_1784/kartor/A 8525-2023 karta.png", "A 8525-2023")</f>
        <v/>
      </c>
      <c r="U569">
        <f>HYPERLINK("https://klasma.github.io/Logging_1784/knärot/A 8525-2023 karta knärot.png", "A 8525-2023")</f>
        <v/>
      </c>
      <c r="V569">
        <f>HYPERLINK("https://klasma.github.io/Logging_1784/klagomål/A 8525-2023 FSC-klagomål.docx", "A 8525-2023")</f>
        <v/>
      </c>
      <c r="W569">
        <f>HYPERLINK("https://klasma.github.io/Logging_1784/klagomålsmail/A 8525-2023 FSC-klagomål mail.docx", "A 8525-2023")</f>
        <v/>
      </c>
      <c r="X569">
        <f>HYPERLINK("https://klasma.github.io/Logging_1784/tillsyn/A 8525-2023 tillsynsbegäran.docx", "A 8525-2023")</f>
        <v/>
      </c>
      <c r="Y569">
        <f>HYPERLINK("https://klasma.github.io/Logging_1784/tillsynsmail/A 8525-2023 tillsynsbegäran mail.docx", "A 8525-2023")</f>
        <v/>
      </c>
    </row>
    <row r="570" ht="15" customHeight="1">
      <c r="A570" t="inlineStr">
        <is>
          <t>A 9737-2023</t>
        </is>
      </c>
      <c r="B570" s="1" t="n">
        <v>44984</v>
      </c>
      <c r="C570" s="1" t="n">
        <v>45810</v>
      </c>
      <c r="D570" t="inlineStr">
        <is>
          <t>VÄRMLANDS LÄN</t>
        </is>
      </c>
      <c r="E570" t="inlineStr">
        <is>
          <t>KARLSTAD</t>
        </is>
      </c>
      <c r="G570" t="n">
        <v>2.6</v>
      </c>
      <c r="H570" t="n">
        <v>0</v>
      </c>
      <c r="I570" t="n">
        <v>0</v>
      </c>
      <c r="J570" t="n">
        <v>1</v>
      </c>
      <c r="K570" t="n">
        <v>0</v>
      </c>
      <c r="L570" t="n">
        <v>0</v>
      </c>
      <c r="M570" t="n">
        <v>0</v>
      </c>
      <c r="N570" t="n">
        <v>0</v>
      </c>
      <c r="O570" t="n">
        <v>1</v>
      </c>
      <c r="P570" t="n">
        <v>0</v>
      </c>
      <c r="Q570" t="n">
        <v>1</v>
      </c>
      <c r="R570" s="2" t="inlineStr">
        <is>
          <t>Ullticka</t>
        </is>
      </c>
      <c r="S570">
        <f>HYPERLINK("https://klasma.github.io/Logging_1780/artfynd/A 9737-2023 artfynd.xlsx", "A 9737-2023")</f>
        <v/>
      </c>
      <c r="T570">
        <f>HYPERLINK("https://klasma.github.io/Logging_1780/kartor/A 9737-2023 karta.png", "A 9737-2023")</f>
        <v/>
      </c>
      <c r="V570">
        <f>HYPERLINK("https://klasma.github.io/Logging_1780/klagomål/A 9737-2023 FSC-klagomål.docx", "A 9737-2023")</f>
        <v/>
      </c>
      <c r="W570">
        <f>HYPERLINK("https://klasma.github.io/Logging_1780/klagomålsmail/A 9737-2023 FSC-klagomål mail.docx", "A 9737-2023")</f>
        <v/>
      </c>
      <c r="X570">
        <f>HYPERLINK("https://klasma.github.io/Logging_1780/tillsyn/A 9737-2023 tillsynsbegäran.docx", "A 9737-2023")</f>
        <v/>
      </c>
      <c r="Y570">
        <f>HYPERLINK("https://klasma.github.io/Logging_1780/tillsynsmail/A 9737-2023 tillsynsbegäran mail.docx", "A 9737-2023")</f>
        <v/>
      </c>
    </row>
    <row r="571" ht="15" customHeight="1">
      <c r="A571" t="inlineStr">
        <is>
          <t>A 10279-2023</t>
        </is>
      </c>
      <c r="B571" s="1" t="n">
        <v>44986</v>
      </c>
      <c r="C571" s="1" t="n">
        <v>45810</v>
      </c>
      <c r="D571" t="inlineStr">
        <is>
          <t>VÄRMLANDS LÄN</t>
        </is>
      </c>
      <c r="E571" t="inlineStr">
        <is>
          <t>SUNNE</t>
        </is>
      </c>
      <c r="G571" t="n">
        <v>7.1</v>
      </c>
      <c r="H571" t="n">
        <v>0</v>
      </c>
      <c r="I571" t="n">
        <v>1</v>
      </c>
      <c r="J571" t="n">
        <v>0</v>
      </c>
      <c r="K571" t="n">
        <v>0</v>
      </c>
      <c r="L571" t="n">
        <v>0</v>
      </c>
      <c r="M571" t="n">
        <v>0</v>
      </c>
      <c r="N571" t="n">
        <v>0</v>
      </c>
      <c r="O571" t="n">
        <v>0</v>
      </c>
      <c r="P571" t="n">
        <v>0</v>
      </c>
      <c r="Q571" t="n">
        <v>1</v>
      </c>
      <c r="R571" s="2" t="inlineStr">
        <is>
          <t>Bronshjon</t>
        </is>
      </c>
      <c r="S571">
        <f>HYPERLINK("https://klasma.github.io/Logging_1766/artfynd/A 10279-2023 artfynd.xlsx", "A 10279-2023")</f>
        <v/>
      </c>
      <c r="T571">
        <f>HYPERLINK("https://klasma.github.io/Logging_1766/kartor/A 10279-2023 karta.png", "A 10279-2023")</f>
        <v/>
      </c>
      <c r="V571">
        <f>HYPERLINK("https://klasma.github.io/Logging_1766/klagomål/A 10279-2023 FSC-klagomål.docx", "A 10279-2023")</f>
        <v/>
      </c>
      <c r="W571">
        <f>HYPERLINK("https://klasma.github.io/Logging_1766/klagomålsmail/A 10279-2023 FSC-klagomål mail.docx", "A 10279-2023")</f>
        <v/>
      </c>
      <c r="X571">
        <f>HYPERLINK("https://klasma.github.io/Logging_1766/tillsyn/A 10279-2023 tillsynsbegäran.docx", "A 10279-2023")</f>
        <v/>
      </c>
      <c r="Y571">
        <f>HYPERLINK("https://klasma.github.io/Logging_1766/tillsynsmail/A 10279-2023 tillsynsbegäran mail.docx", "A 10279-2023")</f>
        <v/>
      </c>
    </row>
    <row r="572" ht="15" customHeight="1">
      <c r="A572" t="inlineStr">
        <is>
          <t>A 10814-2023</t>
        </is>
      </c>
      <c r="B572" s="1" t="n">
        <v>44990</v>
      </c>
      <c r="C572" s="1" t="n">
        <v>45810</v>
      </c>
      <c r="D572" t="inlineStr">
        <is>
          <t>VÄRMLANDS LÄN</t>
        </is>
      </c>
      <c r="E572" t="inlineStr">
        <is>
          <t>ARVIKA</t>
        </is>
      </c>
      <c r="G572" t="n">
        <v>5.6</v>
      </c>
      <c r="H572" t="n">
        <v>0</v>
      </c>
      <c r="I572" t="n">
        <v>0</v>
      </c>
      <c r="J572" t="n">
        <v>0</v>
      </c>
      <c r="K572" t="n">
        <v>0</v>
      </c>
      <c r="L572" t="n">
        <v>1</v>
      </c>
      <c r="M572" t="n">
        <v>0</v>
      </c>
      <c r="N572" t="n">
        <v>0</v>
      </c>
      <c r="O572" t="n">
        <v>1</v>
      </c>
      <c r="P572" t="n">
        <v>1</v>
      </c>
      <c r="Q572" t="n">
        <v>1</v>
      </c>
      <c r="R572" s="2" t="inlineStr">
        <is>
          <t>Ryl</t>
        </is>
      </c>
      <c r="S572">
        <f>HYPERLINK("https://klasma.github.io/Logging_1784/artfynd/A 10814-2023 artfynd.xlsx", "A 10814-2023")</f>
        <v/>
      </c>
      <c r="T572">
        <f>HYPERLINK("https://klasma.github.io/Logging_1784/kartor/A 10814-2023 karta.png", "A 10814-2023")</f>
        <v/>
      </c>
      <c r="V572">
        <f>HYPERLINK("https://klasma.github.io/Logging_1784/klagomål/A 10814-2023 FSC-klagomål.docx", "A 10814-2023")</f>
        <v/>
      </c>
      <c r="W572">
        <f>HYPERLINK("https://klasma.github.io/Logging_1784/klagomålsmail/A 10814-2023 FSC-klagomål mail.docx", "A 10814-2023")</f>
        <v/>
      </c>
      <c r="X572">
        <f>HYPERLINK("https://klasma.github.io/Logging_1784/tillsyn/A 10814-2023 tillsynsbegäran.docx", "A 10814-2023")</f>
        <v/>
      </c>
      <c r="Y572">
        <f>HYPERLINK("https://klasma.github.io/Logging_1784/tillsynsmail/A 10814-2023 tillsynsbegäran mail.docx", "A 10814-2023")</f>
        <v/>
      </c>
    </row>
    <row r="573" ht="15" customHeight="1">
      <c r="A573" t="inlineStr">
        <is>
          <t>A 11019-2023</t>
        </is>
      </c>
      <c r="B573" s="1" t="n">
        <v>44991</v>
      </c>
      <c r="C573" s="1" t="n">
        <v>45810</v>
      </c>
      <c r="D573" t="inlineStr">
        <is>
          <t>VÄRMLANDS LÄN</t>
        </is>
      </c>
      <c r="E573" t="inlineStr">
        <is>
          <t>KRISTINEHAMN</t>
        </is>
      </c>
      <c r="G573" t="n">
        <v>2.6</v>
      </c>
      <c r="H573" t="n">
        <v>1</v>
      </c>
      <c r="I573" t="n">
        <v>0</v>
      </c>
      <c r="J573" t="n">
        <v>0</v>
      </c>
      <c r="K573" t="n">
        <v>0</v>
      </c>
      <c r="L573" t="n">
        <v>0</v>
      </c>
      <c r="M573" t="n">
        <v>0</v>
      </c>
      <c r="N573" t="n">
        <v>0</v>
      </c>
      <c r="O573" t="n">
        <v>0</v>
      </c>
      <c r="P573" t="n">
        <v>0</v>
      </c>
      <c r="Q573" t="n">
        <v>1</v>
      </c>
      <c r="R573" s="2" t="inlineStr">
        <is>
          <t>Gröngöling</t>
        </is>
      </c>
      <c r="S573">
        <f>HYPERLINK("https://klasma.github.io/Logging_1781/artfynd/A 11019-2023 artfynd.xlsx", "A 11019-2023")</f>
        <v/>
      </c>
      <c r="T573">
        <f>HYPERLINK("https://klasma.github.io/Logging_1781/kartor/A 11019-2023 karta.png", "A 11019-2023")</f>
        <v/>
      </c>
      <c r="V573">
        <f>HYPERLINK("https://klasma.github.io/Logging_1781/klagomål/A 11019-2023 FSC-klagomål.docx", "A 11019-2023")</f>
        <v/>
      </c>
      <c r="W573">
        <f>HYPERLINK("https://klasma.github.io/Logging_1781/klagomålsmail/A 11019-2023 FSC-klagomål mail.docx", "A 11019-2023")</f>
        <v/>
      </c>
      <c r="X573">
        <f>HYPERLINK("https://klasma.github.io/Logging_1781/tillsyn/A 11019-2023 tillsynsbegäran.docx", "A 11019-2023")</f>
        <v/>
      </c>
      <c r="Y573">
        <f>HYPERLINK("https://klasma.github.io/Logging_1781/tillsynsmail/A 11019-2023 tillsynsbegäran mail.docx", "A 11019-2023")</f>
        <v/>
      </c>
      <c r="Z573">
        <f>HYPERLINK("https://klasma.github.io/Logging_1781/fåglar/A 11019-2023 prioriterade fågelarter.docx", "A 11019-2023")</f>
        <v/>
      </c>
    </row>
    <row r="574" ht="15" customHeight="1">
      <c r="A574" t="inlineStr">
        <is>
          <t>A 13025-2023</t>
        </is>
      </c>
      <c r="B574" s="1" t="n">
        <v>45002</v>
      </c>
      <c r="C574" s="1" t="n">
        <v>45810</v>
      </c>
      <c r="D574" t="inlineStr">
        <is>
          <t>VÄRMLANDS LÄN</t>
        </is>
      </c>
      <c r="E574" t="inlineStr">
        <is>
          <t>KRISTINEHAMN</t>
        </is>
      </c>
      <c r="G574" t="n">
        <v>5</v>
      </c>
      <c r="H574" t="n">
        <v>0</v>
      </c>
      <c r="I574" t="n">
        <v>1</v>
      </c>
      <c r="J574" t="n">
        <v>0</v>
      </c>
      <c r="K574" t="n">
        <v>0</v>
      </c>
      <c r="L574" t="n">
        <v>0</v>
      </c>
      <c r="M574" t="n">
        <v>0</v>
      </c>
      <c r="N574" t="n">
        <v>0</v>
      </c>
      <c r="O574" t="n">
        <v>0</v>
      </c>
      <c r="P574" t="n">
        <v>0</v>
      </c>
      <c r="Q574" t="n">
        <v>1</v>
      </c>
      <c r="R574" s="2" t="inlineStr">
        <is>
          <t>Kamjordstjärna</t>
        </is>
      </c>
      <c r="S574">
        <f>HYPERLINK("https://klasma.github.io/Logging_1781/artfynd/A 13025-2023 artfynd.xlsx", "A 13025-2023")</f>
        <v/>
      </c>
      <c r="T574">
        <f>HYPERLINK("https://klasma.github.io/Logging_1781/kartor/A 13025-2023 karta.png", "A 13025-2023")</f>
        <v/>
      </c>
      <c r="V574">
        <f>HYPERLINK("https://klasma.github.io/Logging_1781/klagomål/A 13025-2023 FSC-klagomål.docx", "A 13025-2023")</f>
        <v/>
      </c>
      <c r="W574">
        <f>HYPERLINK("https://klasma.github.io/Logging_1781/klagomålsmail/A 13025-2023 FSC-klagomål mail.docx", "A 13025-2023")</f>
        <v/>
      </c>
      <c r="X574">
        <f>HYPERLINK("https://klasma.github.io/Logging_1781/tillsyn/A 13025-2023 tillsynsbegäran.docx", "A 13025-2023")</f>
        <v/>
      </c>
      <c r="Y574">
        <f>HYPERLINK("https://klasma.github.io/Logging_1781/tillsynsmail/A 13025-2023 tillsynsbegäran mail.docx", "A 13025-2023")</f>
        <v/>
      </c>
    </row>
    <row r="575" ht="15" customHeight="1">
      <c r="A575" t="inlineStr">
        <is>
          <t>A 13361-2023</t>
        </is>
      </c>
      <c r="B575" s="1" t="n">
        <v>45005</v>
      </c>
      <c r="C575" s="1" t="n">
        <v>45810</v>
      </c>
      <c r="D575" t="inlineStr">
        <is>
          <t>VÄRMLANDS LÄN</t>
        </is>
      </c>
      <c r="E575" t="inlineStr">
        <is>
          <t>TORSBY</t>
        </is>
      </c>
      <c r="G575" t="n">
        <v>8.5</v>
      </c>
      <c r="H575" t="n">
        <v>0</v>
      </c>
      <c r="I575" t="n">
        <v>1</v>
      </c>
      <c r="J575" t="n">
        <v>0</v>
      </c>
      <c r="K575" t="n">
        <v>0</v>
      </c>
      <c r="L575" t="n">
        <v>0</v>
      </c>
      <c r="M575" t="n">
        <v>0</v>
      </c>
      <c r="N575" t="n">
        <v>0</v>
      </c>
      <c r="O575" t="n">
        <v>0</v>
      </c>
      <c r="P575" t="n">
        <v>0</v>
      </c>
      <c r="Q575" t="n">
        <v>1</v>
      </c>
      <c r="R575" s="2" t="inlineStr">
        <is>
          <t>Dropptaggsvamp</t>
        </is>
      </c>
      <c r="S575">
        <f>HYPERLINK("https://klasma.github.io/Logging_1737/artfynd/A 13361-2023 artfynd.xlsx", "A 13361-2023")</f>
        <v/>
      </c>
      <c r="T575">
        <f>HYPERLINK("https://klasma.github.io/Logging_1737/kartor/A 13361-2023 karta.png", "A 13361-2023")</f>
        <v/>
      </c>
      <c r="V575">
        <f>HYPERLINK("https://klasma.github.io/Logging_1737/klagomål/A 13361-2023 FSC-klagomål.docx", "A 13361-2023")</f>
        <v/>
      </c>
      <c r="W575">
        <f>HYPERLINK("https://klasma.github.io/Logging_1737/klagomålsmail/A 13361-2023 FSC-klagomål mail.docx", "A 13361-2023")</f>
        <v/>
      </c>
      <c r="X575">
        <f>HYPERLINK("https://klasma.github.io/Logging_1737/tillsyn/A 13361-2023 tillsynsbegäran.docx", "A 13361-2023")</f>
        <v/>
      </c>
      <c r="Y575">
        <f>HYPERLINK("https://klasma.github.io/Logging_1737/tillsynsmail/A 13361-2023 tillsynsbegäran mail.docx", "A 13361-2023")</f>
        <v/>
      </c>
    </row>
    <row r="576" ht="15" customHeight="1">
      <c r="A576" t="inlineStr">
        <is>
          <t>A 13359-2023</t>
        </is>
      </c>
      <c r="B576" s="1" t="n">
        <v>45005</v>
      </c>
      <c r="C576" s="1" t="n">
        <v>45810</v>
      </c>
      <c r="D576" t="inlineStr">
        <is>
          <t>VÄRMLANDS LÄN</t>
        </is>
      </c>
      <c r="E576" t="inlineStr">
        <is>
          <t>TORSBY</t>
        </is>
      </c>
      <c r="G576" t="n">
        <v>12.9</v>
      </c>
      <c r="H576" t="n">
        <v>0</v>
      </c>
      <c r="I576" t="n">
        <v>1</v>
      </c>
      <c r="J576" t="n">
        <v>0</v>
      </c>
      <c r="K576" t="n">
        <v>0</v>
      </c>
      <c r="L576" t="n">
        <v>0</v>
      </c>
      <c r="M576" t="n">
        <v>0</v>
      </c>
      <c r="N576" t="n">
        <v>0</v>
      </c>
      <c r="O576" t="n">
        <v>0</v>
      </c>
      <c r="P576" t="n">
        <v>0</v>
      </c>
      <c r="Q576" t="n">
        <v>1</v>
      </c>
      <c r="R576" s="2" t="inlineStr">
        <is>
          <t>Dropptaggsvamp</t>
        </is>
      </c>
      <c r="S576">
        <f>HYPERLINK("https://klasma.github.io/Logging_1737/artfynd/A 13359-2023 artfynd.xlsx", "A 13359-2023")</f>
        <v/>
      </c>
      <c r="T576">
        <f>HYPERLINK("https://klasma.github.io/Logging_1737/kartor/A 13359-2023 karta.png", "A 13359-2023")</f>
        <v/>
      </c>
      <c r="V576">
        <f>HYPERLINK("https://klasma.github.io/Logging_1737/klagomål/A 13359-2023 FSC-klagomål.docx", "A 13359-2023")</f>
        <v/>
      </c>
      <c r="W576">
        <f>HYPERLINK("https://klasma.github.io/Logging_1737/klagomålsmail/A 13359-2023 FSC-klagomål mail.docx", "A 13359-2023")</f>
        <v/>
      </c>
      <c r="X576">
        <f>HYPERLINK("https://klasma.github.io/Logging_1737/tillsyn/A 13359-2023 tillsynsbegäran.docx", "A 13359-2023")</f>
        <v/>
      </c>
      <c r="Y576">
        <f>HYPERLINK("https://klasma.github.io/Logging_1737/tillsynsmail/A 13359-2023 tillsynsbegäran mail.docx", "A 13359-2023")</f>
        <v/>
      </c>
    </row>
    <row r="577" ht="15" customHeight="1">
      <c r="A577" t="inlineStr">
        <is>
          <t>A 15109-2023</t>
        </is>
      </c>
      <c r="B577" s="1" t="n">
        <v>45016</v>
      </c>
      <c r="C577" s="1" t="n">
        <v>45810</v>
      </c>
      <c r="D577" t="inlineStr">
        <is>
          <t>VÄRMLANDS LÄN</t>
        </is>
      </c>
      <c r="E577" t="inlineStr">
        <is>
          <t>SÄFFLE</t>
        </is>
      </c>
      <c r="G577" t="n">
        <v>4.9</v>
      </c>
      <c r="H577" t="n">
        <v>0</v>
      </c>
      <c r="I577" t="n">
        <v>0</v>
      </c>
      <c r="J577" t="n">
        <v>1</v>
      </c>
      <c r="K577" t="n">
        <v>0</v>
      </c>
      <c r="L577" t="n">
        <v>0</v>
      </c>
      <c r="M577" t="n">
        <v>0</v>
      </c>
      <c r="N577" t="n">
        <v>0</v>
      </c>
      <c r="O577" t="n">
        <v>1</v>
      </c>
      <c r="P577" t="n">
        <v>0</v>
      </c>
      <c r="Q577" t="n">
        <v>1</v>
      </c>
      <c r="R577" s="2" t="inlineStr">
        <is>
          <t>Skogsklocka</t>
        </is>
      </c>
      <c r="S577">
        <f>HYPERLINK("https://klasma.github.io/Logging_1785/artfynd/A 15109-2023 artfynd.xlsx", "A 15109-2023")</f>
        <v/>
      </c>
      <c r="T577">
        <f>HYPERLINK("https://klasma.github.io/Logging_1785/kartor/A 15109-2023 karta.png", "A 15109-2023")</f>
        <v/>
      </c>
      <c r="V577">
        <f>HYPERLINK("https://klasma.github.io/Logging_1785/klagomål/A 15109-2023 FSC-klagomål.docx", "A 15109-2023")</f>
        <v/>
      </c>
      <c r="W577">
        <f>HYPERLINK("https://klasma.github.io/Logging_1785/klagomålsmail/A 15109-2023 FSC-klagomål mail.docx", "A 15109-2023")</f>
        <v/>
      </c>
      <c r="X577">
        <f>HYPERLINK("https://klasma.github.io/Logging_1785/tillsyn/A 15109-2023 tillsynsbegäran.docx", "A 15109-2023")</f>
        <v/>
      </c>
      <c r="Y577">
        <f>HYPERLINK("https://klasma.github.io/Logging_1785/tillsynsmail/A 15109-2023 tillsynsbegäran mail.docx", "A 15109-2023")</f>
        <v/>
      </c>
    </row>
    <row r="578" ht="15" customHeight="1">
      <c r="A578" t="inlineStr">
        <is>
          <t>A 15145-2023</t>
        </is>
      </c>
      <c r="B578" s="1" t="n">
        <v>45016</v>
      </c>
      <c r="C578" s="1" t="n">
        <v>45810</v>
      </c>
      <c r="D578" t="inlineStr">
        <is>
          <t>VÄRMLANDS LÄN</t>
        </is>
      </c>
      <c r="E578" t="inlineStr">
        <is>
          <t>ARVIKA</t>
        </is>
      </c>
      <c r="G578" t="n">
        <v>2.9</v>
      </c>
      <c r="H578" t="n">
        <v>1</v>
      </c>
      <c r="I578" t="n">
        <v>0</v>
      </c>
      <c r="J578" t="n">
        <v>0</v>
      </c>
      <c r="K578" t="n">
        <v>1</v>
      </c>
      <c r="L578" t="n">
        <v>0</v>
      </c>
      <c r="M578" t="n">
        <v>0</v>
      </c>
      <c r="N578" t="n">
        <v>0</v>
      </c>
      <c r="O578" t="n">
        <v>1</v>
      </c>
      <c r="P578" t="n">
        <v>1</v>
      </c>
      <c r="Q578" t="n">
        <v>1</v>
      </c>
      <c r="R578" s="2" t="inlineStr">
        <is>
          <t>Knärot</t>
        </is>
      </c>
      <c r="S578">
        <f>HYPERLINK("https://klasma.github.io/Logging_1784/artfynd/A 15145-2023 artfynd.xlsx", "A 15145-2023")</f>
        <v/>
      </c>
      <c r="T578">
        <f>HYPERLINK("https://klasma.github.io/Logging_1784/kartor/A 15145-2023 karta.png", "A 15145-2023")</f>
        <v/>
      </c>
      <c r="U578">
        <f>HYPERLINK("https://klasma.github.io/Logging_1784/knärot/A 15145-2023 karta knärot.png", "A 15145-2023")</f>
        <v/>
      </c>
      <c r="V578">
        <f>HYPERLINK("https://klasma.github.io/Logging_1784/klagomål/A 15145-2023 FSC-klagomål.docx", "A 15145-2023")</f>
        <v/>
      </c>
      <c r="W578">
        <f>HYPERLINK("https://klasma.github.io/Logging_1784/klagomålsmail/A 15145-2023 FSC-klagomål mail.docx", "A 15145-2023")</f>
        <v/>
      </c>
      <c r="X578">
        <f>HYPERLINK("https://klasma.github.io/Logging_1784/tillsyn/A 15145-2023 tillsynsbegäran.docx", "A 15145-2023")</f>
        <v/>
      </c>
      <c r="Y578">
        <f>HYPERLINK("https://klasma.github.io/Logging_1784/tillsynsmail/A 15145-2023 tillsynsbegäran mail.docx", "A 15145-2023")</f>
        <v/>
      </c>
    </row>
    <row r="579" ht="15" customHeight="1">
      <c r="A579" t="inlineStr">
        <is>
          <t>A 15321-2023</t>
        </is>
      </c>
      <c r="B579" s="1" t="n">
        <v>45019</v>
      </c>
      <c r="C579" s="1" t="n">
        <v>45810</v>
      </c>
      <c r="D579" t="inlineStr">
        <is>
          <t>VÄRMLANDS LÄN</t>
        </is>
      </c>
      <c r="E579" t="inlineStr">
        <is>
          <t>GRUMS</t>
        </is>
      </c>
      <c r="G579" t="n">
        <v>5.2</v>
      </c>
      <c r="H579" t="n">
        <v>0</v>
      </c>
      <c r="I579" t="n">
        <v>1</v>
      </c>
      <c r="J579" t="n">
        <v>0</v>
      </c>
      <c r="K579" t="n">
        <v>0</v>
      </c>
      <c r="L579" t="n">
        <v>0</v>
      </c>
      <c r="M579" t="n">
        <v>0</v>
      </c>
      <c r="N579" t="n">
        <v>0</v>
      </c>
      <c r="O579" t="n">
        <v>0</v>
      </c>
      <c r="P579" t="n">
        <v>0</v>
      </c>
      <c r="Q579" t="n">
        <v>1</v>
      </c>
      <c r="R579" s="2" t="inlineStr">
        <is>
          <t>Vätteros</t>
        </is>
      </c>
      <c r="S579">
        <f>HYPERLINK("https://klasma.github.io/Logging_1764/artfynd/A 15321-2023 artfynd.xlsx", "A 15321-2023")</f>
        <v/>
      </c>
      <c r="T579">
        <f>HYPERLINK("https://klasma.github.io/Logging_1764/kartor/A 15321-2023 karta.png", "A 15321-2023")</f>
        <v/>
      </c>
      <c r="V579">
        <f>HYPERLINK("https://klasma.github.io/Logging_1764/klagomål/A 15321-2023 FSC-klagomål.docx", "A 15321-2023")</f>
        <v/>
      </c>
      <c r="W579">
        <f>HYPERLINK("https://klasma.github.io/Logging_1764/klagomålsmail/A 15321-2023 FSC-klagomål mail.docx", "A 15321-2023")</f>
        <v/>
      </c>
      <c r="X579">
        <f>HYPERLINK("https://klasma.github.io/Logging_1764/tillsyn/A 15321-2023 tillsynsbegäran.docx", "A 15321-2023")</f>
        <v/>
      </c>
      <c r="Y579">
        <f>HYPERLINK("https://klasma.github.io/Logging_1764/tillsynsmail/A 15321-2023 tillsynsbegäran mail.docx", "A 15321-2023")</f>
        <v/>
      </c>
    </row>
    <row r="580" ht="15" customHeight="1">
      <c r="A580" t="inlineStr">
        <is>
          <t>A 15548-2023</t>
        </is>
      </c>
      <c r="B580" s="1" t="n">
        <v>45020</v>
      </c>
      <c r="C580" s="1" t="n">
        <v>45810</v>
      </c>
      <c r="D580" t="inlineStr">
        <is>
          <t>VÄRMLANDS LÄN</t>
        </is>
      </c>
      <c r="E580" t="inlineStr">
        <is>
          <t>TORSBY</t>
        </is>
      </c>
      <c r="G580" t="n">
        <v>0.6</v>
      </c>
      <c r="H580" t="n">
        <v>1</v>
      </c>
      <c r="I580" t="n">
        <v>0</v>
      </c>
      <c r="J580" t="n">
        <v>1</v>
      </c>
      <c r="K580" t="n">
        <v>0</v>
      </c>
      <c r="L580" t="n">
        <v>0</v>
      </c>
      <c r="M580" t="n">
        <v>0</v>
      </c>
      <c r="N580" t="n">
        <v>0</v>
      </c>
      <c r="O580" t="n">
        <v>1</v>
      </c>
      <c r="P580" t="n">
        <v>0</v>
      </c>
      <c r="Q580" t="n">
        <v>1</v>
      </c>
      <c r="R580" s="2" t="inlineStr">
        <is>
          <t>Spillkråka</t>
        </is>
      </c>
      <c r="S580">
        <f>HYPERLINK("https://klasma.github.io/Logging_1737/artfynd/A 15548-2023 artfynd.xlsx", "A 15548-2023")</f>
        <v/>
      </c>
      <c r="T580">
        <f>HYPERLINK("https://klasma.github.io/Logging_1737/kartor/A 15548-2023 karta.png", "A 15548-2023")</f>
        <v/>
      </c>
      <c r="V580">
        <f>HYPERLINK("https://klasma.github.io/Logging_1737/klagomål/A 15548-2023 FSC-klagomål.docx", "A 15548-2023")</f>
        <v/>
      </c>
      <c r="W580">
        <f>HYPERLINK("https://klasma.github.io/Logging_1737/klagomålsmail/A 15548-2023 FSC-klagomål mail.docx", "A 15548-2023")</f>
        <v/>
      </c>
      <c r="X580">
        <f>HYPERLINK("https://klasma.github.io/Logging_1737/tillsyn/A 15548-2023 tillsynsbegäran.docx", "A 15548-2023")</f>
        <v/>
      </c>
      <c r="Y580">
        <f>HYPERLINK("https://klasma.github.io/Logging_1737/tillsynsmail/A 15548-2023 tillsynsbegäran mail.docx", "A 15548-2023")</f>
        <v/>
      </c>
      <c r="Z580">
        <f>HYPERLINK("https://klasma.github.io/Logging_1737/fåglar/A 15548-2023 prioriterade fågelarter.docx", "A 15548-2023")</f>
        <v/>
      </c>
    </row>
    <row r="581" ht="15" customHeight="1">
      <c r="A581" t="inlineStr">
        <is>
          <t>A 16391-2023</t>
        </is>
      </c>
      <c r="B581" s="1" t="n">
        <v>45029</v>
      </c>
      <c r="C581" s="1" t="n">
        <v>45810</v>
      </c>
      <c r="D581" t="inlineStr">
        <is>
          <t>VÄRMLANDS LÄN</t>
        </is>
      </c>
      <c r="E581" t="inlineStr">
        <is>
          <t>ARVIKA</t>
        </is>
      </c>
      <c r="G581" t="n">
        <v>0.9</v>
      </c>
      <c r="H581" t="n">
        <v>0</v>
      </c>
      <c r="I581" t="n">
        <v>0</v>
      </c>
      <c r="J581" t="n">
        <v>0</v>
      </c>
      <c r="K581" t="n">
        <v>0</v>
      </c>
      <c r="L581" t="n">
        <v>1</v>
      </c>
      <c r="M581" t="n">
        <v>0</v>
      </c>
      <c r="N581" t="n">
        <v>0</v>
      </c>
      <c r="O581" t="n">
        <v>1</v>
      </c>
      <c r="P581" t="n">
        <v>1</v>
      </c>
      <c r="Q581" t="n">
        <v>1</v>
      </c>
      <c r="R581" s="2" t="inlineStr">
        <is>
          <t>Kulfibbla</t>
        </is>
      </c>
      <c r="S581">
        <f>HYPERLINK("https://klasma.github.io/Logging_1784/artfynd/A 16391-2023 artfynd.xlsx", "A 16391-2023")</f>
        <v/>
      </c>
      <c r="T581">
        <f>HYPERLINK("https://klasma.github.io/Logging_1784/kartor/A 16391-2023 karta.png", "A 16391-2023")</f>
        <v/>
      </c>
      <c r="V581">
        <f>HYPERLINK("https://klasma.github.io/Logging_1784/klagomål/A 16391-2023 FSC-klagomål.docx", "A 16391-2023")</f>
        <v/>
      </c>
      <c r="W581">
        <f>HYPERLINK("https://klasma.github.io/Logging_1784/klagomålsmail/A 16391-2023 FSC-klagomål mail.docx", "A 16391-2023")</f>
        <v/>
      </c>
      <c r="X581">
        <f>HYPERLINK("https://klasma.github.io/Logging_1784/tillsyn/A 16391-2023 tillsynsbegäran.docx", "A 16391-2023")</f>
        <v/>
      </c>
      <c r="Y581">
        <f>HYPERLINK("https://klasma.github.io/Logging_1784/tillsynsmail/A 16391-2023 tillsynsbegäran mail.docx", "A 16391-2023")</f>
        <v/>
      </c>
    </row>
    <row r="582" ht="15" customHeight="1">
      <c r="A582" t="inlineStr">
        <is>
          <t>A 18882-2023</t>
        </is>
      </c>
      <c r="B582" s="1" t="n">
        <v>45044</v>
      </c>
      <c r="C582" s="1" t="n">
        <v>45810</v>
      </c>
      <c r="D582" t="inlineStr">
        <is>
          <t>VÄRMLANDS LÄN</t>
        </is>
      </c>
      <c r="E582" t="inlineStr">
        <is>
          <t>TORSBY</t>
        </is>
      </c>
      <c r="G582" t="n">
        <v>3</v>
      </c>
      <c r="H582" t="n">
        <v>0</v>
      </c>
      <c r="I582" t="n">
        <v>0</v>
      </c>
      <c r="J582" t="n">
        <v>1</v>
      </c>
      <c r="K582" t="n">
        <v>0</v>
      </c>
      <c r="L582" t="n">
        <v>0</v>
      </c>
      <c r="M582" t="n">
        <v>0</v>
      </c>
      <c r="N582" t="n">
        <v>0</v>
      </c>
      <c r="O582" t="n">
        <v>1</v>
      </c>
      <c r="P582" t="n">
        <v>0</v>
      </c>
      <c r="Q582" t="n">
        <v>1</v>
      </c>
      <c r="R582" s="2" t="inlineStr">
        <is>
          <t>Violettgrå tagellav</t>
        </is>
      </c>
      <c r="S582">
        <f>HYPERLINK("https://klasma.github.io/Logging_1737/artfynd/A 18882-2023 artfynd.xlsx", "A 18882-2023")</f>
        <v/>
      </c>
      <c r="T582">
        <f>HYPERLINK("https://klasma.github.io/Logging_1737/kartor/A 18882-2023 karta.png", "A 18882-2023")</f>
        <v/>
      </c>
      <c r="V582">
        <f>HYPERLINK("https://klasma.github.io/Logging_1737/klagomål/A 18882-2023 FSC-klagomål.docx", "A 18882-2023")</f>
        <v/>
      </c>
      <c r="W582">
        <f>HYPERLINK("https://klasma.github.io/Logging_1737/klagomålsmail/A 18882-2023 FSC-klagomål mail.docx", "A 18882-2023")</f>
        <v/>
      </c>
      <c r="X582">
        <f>HYPERLINK("https://klasma.github.io/Logging_1737/tillsyn/A 18882-2023 tillsynsbegäran.docx", "A 18882-2023")</f>
        <v/>
      </c>
      <c r="Y582">
        <f>HYPERLINK("https://klasma.github.io/Logging_1737/tillsynsmail/A 18882-2023 tillsynsbegäran mail.docx", "A 18882-2023")</f>
        <v/>
      </c>
    </row>
    <row r="583" ht="15" customHeight="1">
      <c r="A583" t="inlineStr">
        <is>
          <t>A 19669-2023</t>
        </is>
      </c>
      <c r="B583" s="1" t="n">
        <v>45051</v>
      </c>
      <c r="C583" s="1" t="n">
        <v>45810</v>
      </c>
      <c r="D583" t="inlineStr">
        <is>
          <t>VÄRMLANDS LÄN</t>
        </is>
      </c>
      <c r="E583" t="inlineStr">
        <is>
          <t>TORSBY</t>
        </is>
      </c>
      <c r="F583" t="inlineStr">
        <is>
          <t>Kyrkan</t>
        </is>
      </c>
      <c r="G583" t="n">
        <v>5.2</v>
      </c>
      <c r="H583" t="n">
        <v>1</v>
      </c>
      <c r="I583" t="n">
        <v>0</v>
      </c>
      <c r="J583" t="n">
        <v>1</v>
      </c>
      <c r="K583" t="n">
        <v>0</v>
      </c>
      <c r="L583" t="n">
        <v>0</v>
      </c>
      <c r="M583" t="n">
        <v>0</v>
      </c>
      <c r="N583" t="n">
        <v>0</v>
      </c>
      <c r="O583" t="n">
        <v>1</v>
      </c>
      <c r="P583" t="n">
        <v>0</v>
      </c>
      <c r="Q583" t="n">
        <v>1</v>
      </c>
      <c r="R583" s="2" t="inlineStr">
        <is>
          <t>Utter</t>
        </is>
      </c>
      <c r="S583">
        <f>HYPERLINK("https://klasma.github.io/Logging_1737/artfynd/A 19669-2023 artfynd.xlsx", "A 19669-2023")</f>
        <v/>
      </c>
      <c r="T583">
        <f>HYPERLINK("https://klasma.github.io/Logging_1737/kartor/A 19669-2023 karta.png", "A 19669-2023")</f>
        <v/>
      </c>
      <c r="V583">
        <f>HYPERLINK("https://klasma.github.io/Logging_1737/klagomål/A 19669-2023 FSC-klagomål.docx", "A 19669-2023")</f>
        <v/>
      </c>
      <c r="W583">
        <f>HYPERLINK("https://klasma.github.io/Logging_1737/klagomålsmail/A 19669-2023 FSC-klagomål mail.docx", "A 19669-2023")</f>
        <v/>
      </c>
      <c r="X583">
        <f>HYPERLINK("https://klasma.github.io/Logging_1737/tillsyn/A 19669-2023 tillsynsbegäran.docx", "A 19669-2023")</f>
        <v/>
      </c>
      <c r="Y583">
        <f>HYPERLINK("https://klasma.github.io/Logging_1737/tillsynsmail/A 19669-2023 tillsynsbegäran mail.docx", "A 19669-2023")</f>
        <v/>
      </c>
    </row>
    <row r="584" ht="15" customHeight="1">
      <c r="A584" t="inlineStr">
        <is>
          <t>A 21934-2023</t>
        </is>
      </c>
      <c r="B584" s="1" t="n">
        <v>45068</v>
      </c>
      <c r="C584" s="1" t="n">
        <v>45810</v>
      </c>
      <c r="D584" t="inlineStr">
        <is>
          <t>VÄRMLANDS LÄN</t>
        </is>
      </c>
      <c r="E584" t="inlineStr">
        <is>
          <t>KARLSTAD</t>
        </is>
      </c>
      <c r="G584" t="n">
        <v>1.7</v>
      </c>
      <c r="H584" t="n">
        <v>1</v>
      </c>
      <c r="I584" t="n">
        <v>0</v>
      </c>
      <c r="J584" t="n">
        <v>0</v>
      </c>
      <c r="K584" t="n">
        <v>0</v>
      </c>
      <c r="L584" t="n">
        <v>0</v>
      </c>
      <c r="M584" t="n">
        <v>0</v>
      </c>
      <c r="N584" t="n">
        <v>0</v>
      </c>
      <c r="O584" t="n">
        <v>0</v>
      </c>
      <c r="P584" t="n">
        <v>0</v>
      </c>
      <c r="Q584" t="n">
        <v>1</v>
      </c>
      <c r="R584" s="2" t="inlineStr">
        <is>
          <t>Revlummer</t>
        </is>
      </c>
      <c r="S584">
        <f>HYPERLINK("https://klasma.github.io/Logging_1780/artfynd/A 21934-2023 artfynd.xlsx", "A 21934-2023")</f>
        <v/>
      </c>
      <c r="T584">
        <f>HYPERLINK("https://klasma.github.io/Logging_1780/kartor/A 21934-2023 karta.png", "A 21934-2023")</f>
        <v/>
      </c>
      <c r="V584">
        <f>HYPERLINK("https://klasma.github.io/Logging_1780/klagomål/A 21934-2023 FSC-klagomål.docx", "A 21934-2023")</f>
        <v/>
      </c>
      <c r="W584">
        <f>HYPERLINK("https://klasma.github.io/Logging_1780/klagomålsmail/A 21934-2023 FSC-klagomål mail.docx", "A 21934-2023")</f>
        <v/>
      </c>
      <c r="X584">
        <f>HYPERLINK("https://klasma.github.io/Logging_1780/tillsyn/A 21934-2023 tillsynsbegäran.docx", "A 21934-2023")</f>
        <v/>
      </c>
      <c r="Y584">
        <f>HYPERLINK("https://klasma.github.io/Logging_1780/tillsynsmail/A 21934-2023 tillsynsbegäran mail.docx", "A 21934-2023")</f>
        <v/>
      </c>
    </row>
    <row r="585" ht="15" customHeight="1">
      <c r="A585" t="inlineStr">
        <is>
          <t>A 21919-2023</t>
        </is>
      </c>
      <c r="B585" s="1" t="n">
        <v>45068</v>
      </c>
      <c r="C585" s="1" t="n">
        <v>45810</v>
      </c>
      <c r="D585" t="inlineStr">
        <is>
          <t>VÄRMLANDS LÄN</t>
        </is>
      </c>
      <c r="E585" t="inlineStr">
        <is>
          <t>KARLSTAD</t>
        </is>
      </c>
      <c r="G585" t="n">
        <v>2.5</v>
      </c>
      <c r="H585" t="n">
        <v>1</v>
      </c>
      <c r="I585" t="n">
        <v>0</v>
      </c>
      <c r="J585" t="n">
        <v>0</v>
      </c>
      <c r="K585" t="n">
        <v>0</v>
      </c>
      <c r="L585" t="n">
        <v>0</v>
      </c>
      <c r="M585" t="n">
        <v>0</v>
      </c>
      <c r="N585" t="n">
        <v>0</v>
      </c>
      <c r="O585" t="n">
        <v>0</v>
      </c>
      <c r="P585" t="n">
        <v>0</v>
      </c>
      <c r="Q585" t="n">
        <v>1</v>
      </c>
      <c r="R585" s="2" t="inlineStr">
        <is>
          <t>Revlummer</t>
        </is>
      </c>
      <c r="S585">
        <f>HYPERLINK("https://klasma.github.io/Logging_1780/artfynd/A 21919-2023 artfynd.xlsx", "A 21919-2023")</f>
        <v/>
      </c>
      <c r="T585">
        <f>HYPERLINK("https://klasma.github.io/Logging_1780/kartor/A 21919-2023 karta.png", "A 21919-2023")</f>
        <v/>
      </c>
      <c r="V585">
        <f>HYPERLINK("https://klasma.github.io/Logging_1780/klagomål/A 21919-2023 FSC-klagomål.docx", "A 21919-2023")</f>
        <v/>
      </c>
      <c r="W585">
        <f>HYPERLINK("https://klasma.github.io/Logging_1780/klagomålsmail/A 21919-2023 FSC-klagomål mail.docx", "A 21919-2023")</f>
        <v/>
      </c>
      <c r="X585">
        <f>HYPERLINK("https://klasma.github.io/Logging_1780/tillsyn/A 21919-2023 tillsynsbegäran.docx", "A 21919-2023")</f>
        <v/>
      </c>
      <c r="Y585">
        <f>HYPERLINK("https://klasma.github.io/Logging_1780/tillsynsmail/A 21919-2023 tillsynsbegäran mail.docx", "A 21919-2023")</f>
        <v/>
      </c>
    </row>
    <row r="586" ht="15" customHeight="1">
      <c r="A586" t="inlineStr">
        <is>
          <t>A 23860-2023</t>
        </is>
      </c>
      <c r="B586" s="1" t="n">
        <v>45078</v>
      </c>
      <c r="C586" s="1" t="n">
        <v>45810</v>
      </c>
      <c r="D586" t="inlineStr">
        <is>
          <t>VÄRMLANDS LÄN</t>
        </is>
      </c>
      <c r="E586" t="inlineStr">
        <is>
          <t>GRUMS</t>
        </is>
      </c>
      <c r="G586" t="n">
        <v>3.5</v>
      </c>
      <c r="H586" t="n">
        <v>1</v>
      </c>
      <c r="I586" t="n">
        <v>0</v>
      </c>
      <c r="J586" t="n">
        <v>1</v>
      </c>
      <c r="K586" t="n">
        <v>0</v>
      </c>
      <c r="L586" t="n">
        <v>0</v>
      </c>
      <c r="M586" t="n">
        <v>0</v>
      </c>
      <c r="N586" t="n">
        <v>0</v>
      </c>
      <c r="O586" t="n">
        <v>1</v>
      </c>
      <c r="P586" t="n">
        <v>0</v>
      </c>
      <c r="Q586" t="n">
        <v>1</v>
      </c>
      <c r="R586" s="2" t="inlineStr">
        <is>
          <t>Gulsparv</t>
        </is>
      </c>
      <c r="S586">
        <f>HYPERLINK("https://klasma.github.io/Logging_1764/artfynd/A 23860-2023 artfynd.xlsx", "A 23860-2023")</f>
        <v/>
      </c>
      <c r="T586">
        <f>HYPERLINK("https://klasma.github.io/Logging_1764/kartor/A 23860-2023 karta.png", "A 23860-2023")</f>
        <v/>
      </c>
      <c r="V586">
        <f>HYPERLINK("https://klasma.github.io/Logging_1764/klagomål/A 23860-2023 FSC-klagomål.docx", "A 23860-2023")</f>
        <v/>
      </c>
      <c r="W586">
        <f>HYPERLINK("https://klasma.github.io/Logging_1764/klagomålsmail/A 23860-2023 FSC-klagomål mail.docx", "A 23860-2023")</f>
        <v/>
      </c>
      <c r="X586">
        <f>HYPERLINK("https://klasma.github.io/Logging_1764/tillsyn/A 23860-2023 tillsynsbegäran.docx", "A 23860-2023")</f>
        <v/>
      </c>
      <c r="Y586">
        <f>HYPERLINK("https://klasma.github.io/Logging_1764/tillsynsmail/A 23860-2023 tillsynsbegäran mail.docx", "A 23860-2023")</f>
        <v/>
      </c>
      <c r="Z586">
        <f>HYPERLINK("https://klasma.github.io/Logging_1764/fåglar/A 23860-2023 prioriterade fågelarter.docx", "A 23860-2023")</f>
        <v/>
      </c>
    </row>
    <row r="587" ht="15" customHeight="1">
      <c r="A587" t="inlineStr">
        <is>
          <t>A 24239-2023</t>
        </is>
      </c>
      <c r="B587" s="1" t="n">
        <v>45079</v>
      </c>
      <c r="C587" s="1" t="n">
        <v>45810</v>
      </c>
      <c r="D587" t="inlineStr">
        <is>
          <t>VÄRMLANDS LÄN</t>
        </is>
      </c>
      <c r="E587" t="inlineStr">
        <is>
          <t>ARVIKA</t>
        </is>
      </c>
      <c r="G587" t="n">
        <v>0.9</v>
      </c>
      <c r="H587" t="n">
        <v>1</v>
      </c>
      <c r="I587" t="n">
        <v>0</v>
      </c>
      <c r="J587" t="n">
        <v>0</v>
      </c>
      <c r="K587" t="n">
        <v>1</v>
      </c>
      <c r="L587" t="n">
        <v>0</v>
      </c>
      <c r="M587" t="n">
        <v>0</v>
      </c>
      <c r="N587" t="n">
        <v>0</v>
      </c>
      <c r="O587" t="n">
        <v>1</v>
      </c>
      <c r="P587" t="n">
        <v>1</v>
      </c>
      <c r="Q587" t="n">
        <v>1</v>
      </c>
      <c r="R587" s="2" t="inlineStr">
        <is>
          <t>Knärot</t>
        </is>
      </c>
      <c r="S587">
        <f>HYPERLINK("https://klasma.github.io/Logging_1784/artfynd/A 24239-2023 artfynd.xlsx", "A 24239-2023")</f>
        <v/>
      </c>
      <c r="T587">
        <f>HYPERLINK("https://klasma.github.io/Logging_1784/kartor/A 24239-2023 karta.png", "A 24239-2023")</f>
        <v/>
      </c>
      <c r="U587">
        <f>HYPERLINK("https://klasma.github.io/Logging_1784/knärot/A 24239-2023 karta knärot.png", "A 24239-2023")</f>
        <v/>
      </c>
      <c r="V587">
        <f>HYPERLINK("https://klasma.github.io/Logging_1784/klagomål/A 24239-2023 FSC-klagomål.docx", "A 24239-2023")</f>
        <v/>
      </c>
      <c r="W587">
        <f>HYPERLINK("https://klasma.github.io/Logging_1784/klagomålsmail/A 24239-2023 FSC-klagomål mail.docx", "A 24239-2023")</f>
        <v/>
      </c>
      <c r="X587">
        <f>HYPERLINK("https://klasma.github.io/Logging_1784/tillsyn/A 24239-2023 tillsynsbegäran.docx", "A 24239-2023")</f>
        <v/>
      </c>
      <c r="Y587">
        <f>HYPERLINK("https://klasma.github.io/Logging_1784/tillsynsmail/A 24239-2023 tillsynsbegäran mail.docx", "A 24239-2023")</f>
        <v/>
      </c>
    </row>
    <row r="588" ht="15" customHeight="1">
      <c r="A588" t="inlineStr">
        <is>
          <t>A 25144-2023</t>
        </is>
      </c>
      <c r="B588" s="1" t="n">
        <v>45086</v>
      </c>
      <c r="C588" s="1" t="n">
        <v>45810</v>
      </c>
      <c r="D588" t="inlineStr">
        <is>
          <t>VÄRMLANDS LÄN</t>
        </is>
      </c>
      <c r="E588" t="inlineStr">
        <is>
          <t>KARLSTAD</t>
        </is>
      </c>
      <c r="F588" t="inlineStr">
        <is>
          <t>Kyrkan</t>
        </is>
      </c>
      <c r="G588" t="n">
        <v>7.6</v>
      </c>
      <c r="H588" t="n">
        <v>1</v>
      </c>
      <c r="I588" t="n">
        <v>0</v>
      </c>
      <c r="J588" t="n">
        <v>0</v>
      </c>
      <c r="K588" t="n">
        <v>0</v>
      </c>
      <c r="L588" t="n">
        <v>0</v>
      </c>
      <c r="M588" t="n">
        <v>0</v>
      </c>
      <c r="N588" t="n">
        <v>0</v>
      </c>
      <c r="O588" t="n">
        <v>0</v>
      </c>
      <c r="P588" t="n">
        <v>0</v>
      </c>
      <c r="Q588" t="n">
        <v>1</v>
      </c>
      <c r="R588" s="2" t="inlineStr">
        <is>
          <t>Nattviol</t>
        </is>
      </c>
      <c r="S588">
        <f>HYPERLINK("https://klasma.github.io/Logging_1780/artfynd/A 25144-2023 artfynd.xlsx", "A 25144-2023")</f>
        <v/>
      </c>
      <c r="T588">
        <f>HYPERLINK("https://klasma.github.io/Logging_1780/kartor/A 25144-2023 karta.png", "A 25144-2023")</f>
        <v/>
      </c>
      <c r="V588">
        <f>HYPERLINK("https://klasma.github.io/Logging_1780/klagomål/A 25144-2023 FSC-klagomål.docx", "A 25144-2023")</f>
        <v/>
      </c>
      <c r="W588">
        <f>HYPERLINK("https://klasma.github.io/Logging_1780/klagomålsmail/A 25144-2023 FSC-klagomål mail.docx", "A 25144-2023")</f>
        <v/>
      </c>
      <c r="X588">
        <f>HYPERLINK("https://klasma.github.io/Logging_1780/tillsyn/A 25144-2023 tillsynsbegäran.docx", "A 25144-2023")</f>
        <v/>
      </c>
      <c r="Y588">
        <f>HYPERLINK("https://klasma.github.io/Logging_1780/tillsynsmail/A 25144-2023 tillsynsbegäran mail.docx", "A 25144-2023")</f>
        <v/>
      </c>
    </row>
    <row r="589" ht="15" customHeight="1">
      <c r="A589" t="inlineStr">
        <is>
          <t>A 25913-2023</t>
        </is>
      </c>
      <c r="B589" s="1" t="n">
        <v>45090</v>
      </c>
      <c r="C589" s="1" t="n">
        <v>45810</v>
      </c>
      <c r="D589" t="inlineStr">
        <is>
          <t>VÄRMLANDS LÄN</t>
        </is>
      </c>
      <c r="E589" t="inlineStr">
        <is>
          <t>ARVIKA</t>
        </is>
      </c>
      <c r="G589" t="n">
        <v>4.3</v>
      </c>
      <c r="H589" t="n">
        <v>1</v>
      </c>
      <c r="I589" t="n">
        <v>0</v>
      </c>
      <c r="J589" t="n">
        <v>0</v>
      </c>
      <c r="K589" t="n">
        <v>0</v>
      </c>
      <c r="L589" t="n">
        <v>0</v>
      </c>
      <c r="M589" t="n">
        <v>0</v>
      </c>
      <c r="N589" t="n">
        <v>0</v>
      </c>
      <c r="O589" t="n">
        <v>0</v>
      </c>
      <c r="P589" t="n">
        <v>0</v>
      </c>
      <c r="Q589" t="n">
        <v>1</v>
      </c>
      <c r="R589" s="2" t="inlineStr">
        <is>
          <t>Gråspett</t>
        </is>
      </c>
      <c r="S589">
        <f>HYPERLINK("https://klasma.github.io/Logging_1784/artfynd/A 25913-2023 artfynd.xlsx", "A 25913-2023")</f>
        <v/>
      </c>
      <c r="T589">
        <f>HYPERLINK("https://klasma.github.io/Logging_1784/kartor/A 25913-2023 karta.png", "A 25913-2023")</f>
        <v/>
      </c>
      <c r="V589">
        <f>HYPERLINK("https://klasma.github.io/Logging_1784/klagomål/A 25913-2023 FSC-klagomål.docx", "A 25913-2023")</f>
        <v/>
      </c>
      <c r="W589">
        <f>HYPERLINK("https://klasma.github.io/Logging_1784/klagomålsmail/A 25913-2023 FSC-klagomål mail.docx", "A 25913-2023")</f>
        <v/>
      </c>
      <c r="X589">
        <f>HYPERLINK("https://klasma.github.io/Logging_1784/tillsyn/A 25913-2023 tillsynsbegäran.docx", "A 25913-2023")</f>
        <v/>
      </c>
      <c r="Y589">
        <f>HYPERLINK("https://klasma.github.io/Logging_1784/tillsynsmail/A 25913-2023 tillsynsbegäran mail.docx", "A 25913-2023")</f>
        <v/>
      </c>
      <c r="Z589">
        <f>HYPERLINK("https://klasma.github.io/Logging_1784/fåglar/A 25913-2023 prioriterade fågelarter.docx", "A 25913-2023")</f>
        <v/>
      </c>
    </row>
    <row r="590" ht="15" customHeight="1">
      <c r="A590" t="inlineStr">
        <is>
          <t>A 26747-2023</t>
        </is>
      </c>
      <c r="B590" s="1" t="n">
        <v>45090</v>
      </c>
      <c r="C590" s="1" t="n">
        <v>45810</v>
      </c>
      <c r="D590" t="inlineStr">
        <is>
          <t>VÄRMLANDS LÄN</t>
        </is>
      </c>
      <c r="E590" t="inlineStr">
        <is>
          <t>TORSBY</t>
        </is>
      </c>
      <c r="F590" t="inlineStr">
        <is>
          <t>Övriga statliga verk och myndigheter</t>
        </is>
      </c>
      <c r="G590" t="n">
        <v>4.5</v>
      </c>
      <c r="H590" t="n">
        <v>0</v>
      </c>
      <c r="I590" t="n">
        <v>0</v>
      </c>
      <c r="J590" t="n">
        <v>1</v>
      </c>
      <c r="K590" t="n">
        <v>0</v>
      </c>
      <c r="L590" t="n">
        <v>0</v>
      </c>
      <c r="M590" t="n">
        <v>0</v>
      </c>
      <c r="N590" t="n">
        <v>0</v>
      </c>
      <c r="O590" t="n">
        <v>1</v>
      </c>
      <c r="P590" t="n">
        <v>0</v>
      </c>
      <c r="Q590" t="n">
        <v>1</v>
      </c>
      <c r="R590" s="2" t="inlineStr">
        <is>
          <t>Garnlav</t>
        </is>
      </c>
      <c r="S590">
        <f>HYPERLINK("https://klasma.github.io/Logging_1737/artfynd/A 26747-2023 artfynd.xlsx", "A 26747-2023")</f>
        <v/>
      </c>
      <c r="T590">
        <f>HYPERLINK("https://klasma.github.io/Logging_1737/kartor/A 26747-2023 karta.png", "A 26747-2023")</f>
        <v/>
      </c>
      <c r="V590">
        <f>HYPERLINK("https://klasma.github.io/Logging_1737/klagomål/A 26747-2023 FSC-klagomål.docx", "A 26747-2023")</f>
        <v/>
      </c>
      <c r="W590">
        <f>HYPERLINK("https://klasma.github.io/Logging_1737/klagomålsmail/A 26747-2023 FSC-klagomål mail.docx", "A 26747-2023")</f>
        <v/>
      </c>
      <c r="X590">
        <f>HYPERLINK("https://klasma.github.io/Logging_1737/tillsyn/A 26747-2023 tillsynsbegäran.docx", "A 26747-2023")</f>
        <v/>
      </c>
      <c r="Y590">
        <f>HYPERLINK("https://klasma.github.io/Logging_1737/tillsynsmail/A 26747-2023 tillsynsbegäran mail.docx", "A 26747-2023")</f>
        <v/>
      </c>
    </row>
    <row r="591" ht="15" customHeight="1">
      <c r="A591" t="inlineStr">
        <is>
          <t>A 30202-2023</t>
        </is>
      </c>
      <c r="B591" s="1" t="n">
        <v>45110</v>
      </c>
      <c r="C591" s="1" t="n">
        <v>45810</v>
      </c>
      <c r="D591" t="inlineStr">
        <is>
          <t>VÄRMLANDS LÄN</t>
        </is>
      </c>
      <c r="E591" t="inlineStr">
        <is>
          <t>KRISTINEHAMN</t>
        </is>
      </c>
      <c r="F591" t="inlineStr">
        <is>
          <t>Bergvik skog väst AB</t>
        </is>
      </c>
      <c r="G591" t="n">
        <v>9.4</v>
      </c>
      <c r="H591" t="n">
        <v>1</v>
      </c>
      <c r="I591" t="n">
        <v>0</v>
      </c>
      <c r="J591" t="n">
        <v>0</v>
      </c>
      <c r="K591" t="n">
        <v>0</v>
      </c>
      <c r="L591" t="n">
        <v>0</v>
      </c>
      <c r="M591" t="n">
        <v>0</v>
      </c>
      <c r="N591" t="n">
        <v>0</v>
      </c>
      <c r="O591" t="n">
        <v>0</v>
      </c>
      <c r="P591" t="n">
        <v>0</v>
      </c>
      <c r="Q591" t="n">
        <v>1</v>
      </c>
      <c r="R591" s="2" t="inlineStr">
        <is>
          <t>Glimmerört</t>
        </is>
      </c>
      <c r="S591">
        <f>HYPERLINK("https://klasma.github.io/Logging_1781/artfynd/A 30202-2023 artfynd.xlsx", "A 30202-2023")</f>
        <v/>
      </c>
      <c r="T591">
        <f>HYPERLINK("https://klasma.github.io/Logging_1781/kartor/A 30202-2023 karta.png", "A 30202-2023")</f>
        <v/>
      </c>
      <c r="V591">
        <f>HYPERLINK("https://klasma.github.io/Logging_1781/klagomål/A 30202-2023 FSC-klagomål.docx", "A 30202-2023")</f>
        <v/>
      </c>
      <c r="W591">
        <f>HYPERLINK("https://klasma.github.io/Logging_1781/klagomålsmail/A 30202-2023 FSC-klagomål mail.docx", "A 30202-2023")</f>
        <v/>
      </c>
      <c r="X591">
        <f>HYPERLINK("https://klasma.github.io/Logging_1781/tillsyn/A 30202-2023 tillsynsbegäran.docx", "A 30202-2023")</f>
        <v/>
      </c>
      <c r="Y591">
        <f>HYPERLINK("https://klasma.github.io/Logging_1781/tillsynsmail/A 30202-2023 tillsynsbegäran mail.docx", "A 30202-2023")</f>
        <v/>
      </c>
    </row>
    <row r="592" ht="15" customHeight="1">
      <c r="A592" t="inlineStr">
        <is>
          <t>A 30550-2023</t>
        </is>
      </c>
      <c r="B592" s="1" t="n">
        <v>45111</v>
      </c>
      <c r="C592" s="1" t="n">
        <v>45810</v>
      </c>
      <c r="D592" t="inlineStr">
        <is>
          <t>VÄRMLANDS LÄN</t>
        </is>
      </c>
      <c r="E592" t="inlineStr">
        <is>
          <t>ÅRJÄNG</t>
        </is>
      </c>
      <c r="G592" t="n">
        <v>3</v>
      </c>
      <c r="H592" t="n">
        <v>0</v>
      </c>
      <c r="I592" t="n">
        <v>0</v>
      </c>
      <c r="J592" t="n">
        <v>1</v>
      </c>
      <c r="K592" t="n">
        <v>0</v>
      </c>
      <c r="L592" t="n">
        <v>0</v>
      </c>
      <c r="M592" t="n">
        <v>0</v>
      </c>
      <c r="N592" t="n">
        <v>0</v>
      </c>
      <c r="O592" t="n">
        <v>1</v>
      </c>
      <c r="P592" t="n">
        <v>0</v>
      </c>
      <c r="Q592" t="n">
        <v>1</v>
      </c>
      <c r="R592" s="2" t="inlineStr">
        <is>
          <t>Lunglav</t>
        </is>
      </c>
      <c r="S592">
        <f>HYPERLINK("https://klasma.github.io/Logging_1765/artfynd/A 30550-2023 artfynd.xlsx", "A 30550-2023")</f>
        <v/>
      </c>
      <c r="T592">
        <f>HYPERLINK("https://klasma.github.io/Logging_1765/kartor/A 30550-2023 karta.png", "A 30550-2023")</f>
        <v/>
      </c>
      <c r="V592">
        <f>HYPERLINK("https://klasma.github.io/Logging_1765/klagomål/A 30550-2023 FSC-klagomål.docx", "A 30550-2023")</f>
        <v/>
      </c>
      <c r="W592">
        <f>HYPERLINK("https://klasma.github.io/Logging_1765/klagomålsmail/A 30550-2023 FSC-klagomål mail.docx", "A 30550-2023")</f>
        <v/>
      </c>
      <c r="X592">
        <f>HYPERLINK("https://klasma.github.io/Logging_1765/tillsyn/A 30550-2023 tillsynsbegäran.docx", "A 30550-2023")</f>
        <v/>
      </c>
      <c r="Y592">
        <f>HYPERLINK("https://klasma.github.io/Logging_1765/tillsynsmail/A 30550-2023 tillsynsbegäran mail.docx", "A 30550-2023")</f>
        <v/>
      </c>
    </row>
    <row r="593" ht="15" customHeight="1">
      <c r="A593" t="inlineStr">
        <is>
          <t>A 32877-2023</t>
        </is>
      </c>
      <c r="B593" s="1" t="n">
        <v>45124</v>
      </c>
      <c r="C593" s="1" t="n">
        <v>45810</v>
      </c>
      <c r="D593" t="inlineStr">
        <is>
          <t>VÄRMLANDS LÄN</t>
        </is>
      </c>
      <c r="E593" t="inlineStr">
        <is>
          <t>ARVIKA</t>
        </is>
      </c>
      <c r="G593" t="n">
        <v>1.1</v>
      </c>
      <c r="H593" t="n">
        <v>0</v>
      </c>
      <c r="I593" t="n">
        <v>0</v>
      </c>
      <c r="J593" t="n">
        <v>1</v>
      </c>
      <c r="K593" t="n">
        <v>0</v>
      </c>
      <c r="L593" t="n">
        <v>0</v>
      </c>
      <c r="M593" t="n">
        <v>0</v>
      </c>
      <c r="N593" t="n">
        <v>0</v>
      </c>
      <c r="O593" t="n">
        <v>1</v>
      </c>
      <c r="P593" t="n">
        <v>0</v>
      </c>
      <c r="Q593" t="n">
        <v>1</v>
      </c>
      <c r="R593" s="2" t="inlineStr">
        <is>
          <t>Gultoppig fingersvamp</t>
        </is>
      </c>
      <c r="S593">
        <f>HYPERLINK("https://klasma.github.io/Logging_1784/artfynd/A 32877-2023 artfynd.xlsx", "A 32877-2023")</f>
        <v/>
      </c>
      <c r="T593">
        <f>HYPERLINK("https://klasma.github.io/Logging_1784/kartor/A 32877-2023 karta.png", "A 32877-2023")</f>
        <v/>
      </c>
      <c r="U593">
        <f>HYPERLINK("https://klasma.github.io/Logging_1784/knärot/A 32877-2023 karta knärot.png", "A 32877-2023")</f>
        <v/>
      </c>
      <c r="V593">
        <f>HYPERLINK("https://klasma.github.io/Logging_1784/klagomål/A 32877-2023 FSC-klagomål.docx", "A 32877-2023")</f>
        <v/>
      </c>
      <c r="W593">
        <f>HYPERLINK("https://klasma.github.io/Logging_1784/klagomålsmail/A 32877-2023 FSC-klagomål mail.docx", "A 32877-2023")</f>
        <v/>
      </c>
      <c r="X593">
        <f>HYPERLINK("https://klasma.github.io/Logging_1784/tillsyn/A 32877-2023 tillsynsbegäran.docx", "A 32877-2023")</f>
        <v/>
      </c>
      <c r="Y593">
        <f>HYPERLINK("https://klasma.github.io/Logging_1784/tillsynsmail/A 32877-2023 tillsynsbegäran mail.docx", "A 32877-2023")</f>
        <v/>
      </c>
    </row>
    <row r="594" ht="15" customHeight="1">
      <c r="A594" t="inlineStr">
        <is>
          <t>A 33835-2023</t>
        </is>
      </c>
      <c r="B594" s="1" t="n">
        <v>45133</v>
      </c>
      <c r="C594" s="1" t="n">
        <v>45810</v>
      </c>
      <c r="D594" t="inlineStr">
        <is>
          <t>VÄRMLANDS LÄN</t>
        </is>
      </c>
      <c r="E594" t="inlineStr">
        <is>
          <t>TORSBY</t>
        </is>
      </c>
      <c r="F594" t="inlineStr">
        <is>
          <t>Bergvik skog väst AB</t>
        </is>
      </c>
      <c r="G594" t="n">
        <v>17.3</v>
      </c>
      <c r="H594" t="n">
        <v>1</v>
      </c>
      <c r="I594" t="n">
        <v>0</v>
      </c>
      <c r="J594" t="n">
        <v>0</v>
      </c>
      <c r="K594" t="n">
        <v>0</v>
      </c>
      <c r="L594" t="n">
        <v>0</v>
      </c>
      <c r="M594" t="n">
        <v>0</v>
      </c>
      <c r="N594" t="n">
        <v>0</v>
      </c>
      <c r="O594" t="n">
        <v>0</v>
      </c>
      <c r="P594" t="n">
        <v>0</v>
      </c>
      <c r="Q594" t="n">
        <v>1</v>
      </c>
      <c r="R594" s="2" t="inlineStr">
        <is>
          <t>Sparvuggla</t>
        </is>
      </c>
      <c r="S594">
        <f>HYPERLINK("https://klasma.github.io/Logging_1737/artfynd/A 33835-2023 artfynd.xlsx", "A 33835-2023")</f>
        <v/>
      </c>
      <c r="T594">
        <f>HYPERLINK("https://klasma.github.io/Logging_1737/kartor/A 33835-2023 karta.png", "A 33835-2023")</f>
        <v/>
      </c>
      <c r="V594">
        <f>HYPERLINK("https://klasma.github.io/Logging_1737/klagomål/A 33835-2023 FSC-klagomål.docx", "A 33835-2023")</f>
        <v/>
      </c>
      <c r="W594">
        <f>HYPERLINK("https://klasma.github.io/Logging_1737/klagomålsmail/A 33835-2023 FSC-klagomål mail.docx", "A 33835-2023")</f>
        <v/>
      </c>
      <c r="X594">
        <f>HYPERLINK("https://klasma.github.io/Logging_1737/tillsyn/A 33835-2023 tillsynsbegäran.docx", "A 33835-2023")</f>
        <v/>
      </c>
      <c r="Y594">
        <f>HYPERLINK("https://klasma.github.io/Logging_1737/tillsynsmail/A 33835-2023 tillsynsbegäran mail.docx", "A 33835-2023")</f>
        <v/>
      </c>
      <c r="Z594">
        <f>HYPERLINK("https://klasma.github.io/Logging_1737/fåglar/A 33835-2023 prioriterade fågelarter.docx", "A 33835-2023")</f>
        <v/>
      </c>
    </row>
    <row r="595" ht="15" customHeight="1">
      <c r="A595" t="inlineStr">
        <is>
          <t>A 35809-2023</t>
        </is>
      </c>
      <c r="B595" s="1" t="n">
        <v>45147</v>
      </c>
      <c r="C595" s="1" t="n">
        <v>45810</v>
      </c>
      <c r="D595" t="inlineStr">
        <is>
          <t>VÄRMLANDS LÄN</t>
        </is>
      </c>
      <c r="E595" t="inlineStr">
        <is>
          <t>TORSBY</t>
        </is>
      </c>
      <c r="F595" t="inlineStr">
        <is>
          <t>Övriga statliga verk och myndigheter</t>
        </is>
      </c>
      <c r="G595" t="n">
        <v>7.2</v>
      </c>
      <c r="H595" t="n">
        <v>1</v>
      </c>
      <c r="I595" t="n">
        <v>0</v>
      </c>
      <c r="J595" t="n">
        <v>0</v>
      </c>
      <c r="K595" t="n">
        <v>0</v>
      </c>
      <c r="L595" t="n">
        <v>0</v>
      </c>
      <c r="M595" t="n">
        <v>0</v>
      </c>
      <c r="N595" t="n">
        <v>0</v>
      </c>
      <c r="O595" t="n">
        <v>0</v>
      </c>
      <c r="P595" t="n">
        <v>0</v>
      </c>
      <c r="Q595" t="n">
        <v>1</v>
      </c>
      <c r="R595" s="2" t="inlineStr">
        <is>
          <t>Fläcknycklar</t>
        </is>
      </c>
      <c r="S595">
        <f>HYPERLINK("https://klasma.github.io/Logging_1737/artfynd/A 35809-2023 artfynd.xlsx", "A 35809-2023")</f>
        <v/>
      </c>
      <c r="T595">
        <f>HYPERLINK("https://klasma.github.io/Logging_1737/kartor/A 35809-2023 karta.png", "A 35809-2023")</f>
        <v/>
      </c>
      <c r="V595">
        <f>HYPERLINK("https://klasma.github.io/Logging_1737/klagomål/A 35809-2023 FSC-klagomål.docx", "A 35809-2023")</f>
        <v/>
      </c>
      <c r="W595">
        <f>HYPERLINK("https://klasma.github.io/Logging_1737/klagomålsmail/A 35809-2023 FSC-klagomål mail.docx", "A 35809-2023")</f>
        <v/>
      </c>
      <c r="X595">
        <f>HYPERLINK("https://klasma.github.io/Logging_1737/tillsyn/A 35809-2023 tillsynsbegäran.docx", "A 35809-2023")</f>
        <v/>
      </c>
      <c r="Y595">
        <f>HYPERLINK("https://klasma.github.io/Logging_1737/tillsynsmail/A 35809-2023 tillsynsbegäran mail.docx", "A 35809-2023")</f>
        <v/>
      </c>
    </row>
    <row r="596" ht="15" customHeight="1">
      <c r="A596" t="inlineStr">
        <is>
          <t>A 36666-2023</t>
        </is>
      </c>
      <c r="B596" s="1" t="n">
        <v>45153</v>
      </c>
      <c r="C596" s="1" t="n">
        <v>45810</v>
      </c>
      <c r="D596" t="inlineStr">
        <is>
          <t>VÄRMLANDS LÄN</t>
        </is>
      </c>
      <c r="E596" t="inlineStr">
        <is>
          <t>SUNNE</t>
        </is>
      </c>
      <c r="G596" t="n">
        <v>5.6</v>
      </c>
      <c r="H596" t="n">
        <v>0</v>
      </c>
      <c r="I596" t="n">
        <v>0</v>
      </c>
      <c r="J596" t="n">
        <v>1</v>
      </c>
      <c r="K596" t="n">
        <v>0</v>
      </c>
      <c r="L596" t="n">
        <v>0</v>
      </c>
      <c r="M596" t="n">
        <v>0</v>
      </c>
      <c r="N596" t="n">
        <v>0</v>
      </c>
      <c r="O596" t="n">
        <v>1</v>
      </c>
      <c r="P596" t="n">
        <v>0</v>
      </c>
      <c r="Q596" t="n">
        <v>1</v>
      </c>
      <c r="R596" s="2" t="inlineStr">
        <is>
          <t>Garnlav</t>
        </is>
      </c>
      <c r="S596">
        <f>HYPERLINK("https://klasma.github.io/Logging_1766/artfynd/A 36666-2023 artfynd.xlsx", "A 36666-2023")</f>
        <v/>
      </c>
      <c r="T596">
        <f>HYPERLINK("https://klasma.github.io/Logging_1766/kartor/A 36666-2023 karta.png", "A 36666-2023")</f>
        <v/>
      </c>
      <c r="V596">
        <f>HYPERLINK("https://klasma.github.io/Logging_1766/klagomål/A 36666-2023 FSC-klagomål.docx", "A 36666-2023")</f>
        <v/>
      </c>
      <c r="W596">
        <f>HYPERLINK("https://klasma.github.io/Logging_1766/klagomålsmail/A 36666-2023 FSC-klagomål mail.docx", "A 36666-2023")</f>
        <v/>
      </c>
      <c r="X596">
        <f>HYPERLINK("https://klasma.github.io/Logging_1766/tillsyn/A 36666-2023 tillsynsbegäran.docx", "A 36666-2023")</f>
        <v/>
      </c>
      <c r="Y596">
        <f>HYPERLINK("https://klasma.github.io/Logging_1766/tillsynsmail/A 36666-2023 tillsynsbegäran mail.docx", "A 36666-2023")</f>
        <v/>
      </c>
    </row>
    <row r="597" ht="15" customHeight="1">
      <c r="A597" t="inlineStr">
        <is>
          <t>A 37427-2023</t>
        </is>
      </c>
      <c r="B597" s="1" t="n">
        <v>45156</v>
      </c>
      <c r="C597" s="1" t="n">
        <v>45810</v>
      </c>
      <c r="D597" t="inlineStr">
        <is>
          <t>VÄRMLANDS LÄN</t>
        </is>
      </c>
      <c r="E597" t="inlineStr">
        <is>
          <t>FILIPSTAD</t>
        </is>
      </c>
      <c r="F597" t="inlineStr">
        <is>
          <t>Bergvik skog väst AB</t>
        </is>
      </c>
      <c r="G597" t="n">
        <v>2.7</v>
      </c>
      <c r="H597" t="n">
        <v>1</v>
      </c>
      <c r="I597" t="n">
        <v>1</v>
      </c>
      <c r="J597" t="n">
        <v>0</v>
      </c>
      <c r="K597" t="n">
        <v>0</v>
      </c>
      <c r="L597" t="n">
        <v>0</v>
      </c>
      <c r="M597" t="n">
        <v>0</v>
      </c>
      <c r="N597" t="n">
        <v>0</v>
      </c>
      <c r="O597" t="n">
        <v>0</v>
      </c>
      <c r="P597" t="n">
        <v>0</v>
      </c>
      <c r="Q597" t="n">
        <v>1</v>
      </c>
      <c r="R597" s="2" t="inlineStr">
        <is>
          <t>Purpurknipprot</t>
        </is>
      </c>
      <c r="S597">
        <f>HYPERLINK("https://klasma.github.io/Logging_1782/artfynd/A 37427-2023 artfynd.xlsx", "A 37427-2023")</f>
        <v/>
      </c>
      <c r="T597">
        <f>HYPERLINK("https://klasma.github.io/Logging_1782/kartor/A 37427-2023 karta.png", "A 37427-2023")</f>
        <v/>
      </c>
      <c r="V597">
        <f>HYPERLINK("https://klasma.github.io/Logging_1782/klagomål/A 37427-2023 FSC-klagomål.docx", "A 37427-2023")</f>
        <v/>
      </c>
      <c r="W597">
        <f>HYPERLINK("https://klasma.github.io/Logging_1782/klagomålsmail/A 37427-2023 FSC-klagomål mail.docx", "A 37427-2023")</f>
        <v/>
      </c>
      <c r="X597">
        <f>HYPERLINK("https://klasma.github.io/Logging_1782/tillsyn/A 37427-2023 tillsynsbegäran.docx", "A 37427-2023")</f>
        <v/>
      </c>
      <c r="Y597">
        <f>HYPERLINK("https://klasma.github.io/Logging_1782/tillsynsmail/A 37427-2023 tillsynsbegäran mail.docx", "A 37427-2023")</f>
        <v/>
      </c>
    </row>
    <row r="598" ht="15" customHeight="1">
      <c r="A598" t="inlineStr">
        <is>
          <t>A 39681-2023</t>
        </is>
      </c>
      <c r="B598" s="1" t="n">
        <v>45167</v>
      </c>
      <c r="C598" s="1" t="n">
        <v>45810</v>
      </c>
      <c r="D598" t="inlineStr">
        <is>
          <t>VÄRMLANDS LÄN</t>
        </is>
      </c>
      <c r="E598" t="inlineStr">
        <is>
          <t>TORSBY</t>
        </is>
      </c>
      <c r="G598" t="n">
        <v>5.2</v>
      </c>
      <c r="H598" t="n">
        <v>0</v>
      </c>
      <c r="I598" t="n">
        <v>0</v>
      </c>
      <c r="J598" t="n">
        <v>1</v>
      </c>
      <c r="K598" t="n">
        <v>0</v>
      </c>
      <c r="L598" t="n">
        <v>0</v>
      </c>
      <c r="M598" t="n">
        <v>0</v>
      </c>
      <c r="N598" t="n">
        <v>0</v>
      </c>
      <c r="O598" t="n">
        <v>1</v>
      </c>
      <c r="P598" t="n">
        <v>0</v>
      </c>
      <c r="Q598" t="n">
        <v>1</v>
      </c>
      <c r="R598" s="2" t="inlineStr">
        <is>
          <t>Garnlav</t>
        </is>
      </c>
      <c r="S598">
        <f>HYPERLINK("https://klasma.github.io/Logging_1737/artfynd/A 39681-2023 artfynd.xlsx", "A 39681-2023")</f>
        <v/>
      </c>
      <c r="T598">
        <f>HYPERLINK("https://klasma.github.io/Logging_1737/kartor/A 39681-2023 karta.png", "A 39681-2023")</f>
        <v/>
      </c>
      <c r="V598">
        <f>HYPERLINK("https://klasma.github.io/Logging_1737/klagomål/A 39681-2023 FSC-klagomål.docx", "A 39681-2023")</f>
        <v/>
      </c>
      <c r="W598">
        <f>HYPERLINK("https://klasma.github.io/Logging_1737/klagomålsmail/A 39681-2023 FSC-klagomål mail.docx", "A 39681-2023")</f>
        <v/>
      </c>
      <c r="X598">
        <f>HYPERLINK("https://klasma.github.io/Logging_1737/tillsyn/A 39681-2023 tillsynsbegäran.docx", "A 39681-2023")</f>
        <v/>
      </c>
      <c r="Y598">
        <f>HYPERLINK("https://klasma.github.io/Logging_1737/tillsynsmail/A 39681-2023 tillsynsbegäran mail.docx", "A 39681-2023")</f>
        <v/>
      </c>
    </row>
    <row r="599" ht="15" customHeight="1">
      <c r="A599" t="inlineStr">
        <is>
          <t>A 39983-2023</t>
        </is>
      </c>
      <c r="B599" s="1" t="n">
        <v>45168</v>
      </c>
      <c r="C599" s="1" t="n">
        <v>45810</v>
      </c>
      <c r="D599" t="inlineStr">
        <is>
          <t>VÄRMLANDS LÄN</t>
        </is>
      </c>
      <c r="E599" t="inlineStr">
        <is>
          <t>TORSBY</t>
        </is>
      </c>
      <c r="G599" t="n">
        <v>17.2</v>
      </c>
      <c r="H599" t="n">
        <v>1</v>
      </c>
      <c r="I599" t="n">
        <v>0</v>
      </c>
      <c r="J599" t="n">
        <v>1</v>
      </c>
      <c r="K599" t="n">
        <v>0</v>
      </c>
      <c r="L599" t="n">
        <v>0</v>
      </c>
      <c r="M599" t="n">
        <v>0</v>
      </c>
      <c r="N599" t="n">
        <v>0</v>
      </c>
      <c r="O599" t="n">
        <v>1</v>
      </c>
      <c r="P599" t="n">
        <v>0</v>
      </c>
      <c r="Q599" t="n">
        <v>1</v>
      </c>
      <c r="R599" s="2" t="inlineStr">
        <is>
          <t>Kråka</t>
        </is>
      </c>
      <c r="S599">
        <f>HYPERLINK("https://klasma.github.io/Logging_1737/artfynd/A 39983-2023 artfynd.xlsx", "A 39983-2023")</f>
        <v/>
      </c>
      <c r="T599">
        <f>HYPERLINK("https://klasma.github.io/Logging_1737/kartor/A 39983-2023 karta.png", "A 39983-2023")</f>
        <v/>
      </c>
      <c r="V599">
        <f>HYPERLINK("https://klasma.github.io/Logging_1737/klagomål/A 39983-2023 FSC-klagomål.docx", "A 39983-2023")</f>
        <v/>
      </c>
      <c r="W599">
        <f>HYPERLINK("https://klasma.github.io/Logging_1737/klagomålsmail/A 39983-2023 FSC-klagomål mail.docx", "A 39983-2023")</f>
        <v/>
      </c>
      <c r="X599">
        <f>HYPERLINK("https://klasma.github.io/Logging_1737/tillsyn/A 39983-2023 tillsynsbegäran.docx", "A 39983-2023")</f>
        <v/>
      </c>
      <c r="Y599">
        <f>HYPERLINK("https://klasma.github.io/Logging_1737/tillsynsmail/A 39983-2023 tillsynsbegäran mail.docx", "A 39983-2023")</f>
        <v/>
      </c>
      <c r="Z599">
        <f>HYPERLINK("https://klasma.github.io/Logging_1737/fåglar/A 39983-2023 prioriterade fågelarter.docx", "A 39983-2023")</f>
        <v/>
      </c>
    </row>
    <row r="600" ht="15" customHeight="1">
      <c r="A600" t="inlineStr">
        <is>
          <t>A 41484-2023</t>
        </is>
      </c>
      <c r="B600" s="1" t="n">
        <v>45175</v>
      </c>
      <c r="C600" s="1" t="n">
        <v>45810</v>
      </c>
      <c r="D600" t="inlineStr">
        <is>
          <t>VÄRMLANDS LÄN</t>
        </is>
      </c>
      <c r="E600" t="inlineStr">
        <is>
          <t>KARLSTAD</t>
        </is>
      </c>
      <c r="G600" t="n">
        <v>8.699999999999999</v>
      </c>
      <c r="H600" t="n">
        <v>1</v>
      </c>
      <c r="I600" t="n">
        <v>0</v>
      </c>
      <c r="J600" t="n">
        <v>1</v>
      </c>
      <c r="K600" t="n">
        <v>0</v>
      </c>
      <c r="L600" t="n">
        <v>0</v>
      </c>
      <c r="M600" t="n">
        <v>0</v>
      </c>
      <c r="N600" t="n">
        <v>0</v>
      </c>
      <c r="O600" t="n">
        <v>1</v>
      </c>
      <c r="P600" t="n">
        <v>0</v>
      </c>
      <c r="Q600" t="n">
        <v>1</v>
      </c>
      <c r="R600" s="2" t="inlineStr">
        <is>
          <t>Spillkråka</t>
        </is>
      </c>
      <c r="S600">
        <f>HYPERLINK("https://klasma.github.io/Logging_1780/artfynd/A 41484-2023 artfynd.xlsx", "A 41484-2023")</f>
        <v/>
      </c>
      <c r="T600">
        <f>HYPERLINK("https://klasma.github.io/Logging_1780/kartor/A 41484-2023 karta.png", "A 41484-2023")</f>
        <v/>
      </c>
      <c r="V600">
        <f>HYPERLINK("https://klasma.github.io/Logging_1780/klagomål/A 41484-2023 FSC-klagomål.docx", "A 41484-2023")</f>
        <v/>
      </c>
      <c r="W600">
        <f>HYPERLINK("https://klasma.github.io/Logging_1780/klagomålsmail/A 41484-2023 FSC-klagomål mail.docx", "A 41484-2023")</f>
        <v/>
      </c>
      <c r="X600">
        <f>HYPERLINK("https://klasma.github.io/Logging_1780/tillsyn/A 41484-2023 tillsynsbegäran.docx", "A 41484-2023")</f>
        <v/>
      </c>
      <c r="Y600">
        <f>HYPERLINK("https://klasma.github.io/Logging_1780/tillsynsmail/A 41484-2023 tillsynsbegäran mail.docx", "A 41484-2023")</f>
        <v/>
      </c>
      <c r="Z600">
        <f>HYPERLINK("https://klasma.github.io/Logging_1780/fåglar/A 41484-2023 prioriterade fågelarter.docx", "A 41484-2023")</f>
        <v/>
      </c>
    </row>
    <row r="601" ht="15" customHeight="1">
      <c r="A601" t="inlineStr">
        <is>
          <t>A 41526-2023</t>
        </is>
      </c>
      <c r="B601" s="1" t="n">
        <v>45175</v>
      </c>
      <c r="C601" s="1" t="n">
        <v>45810</v>
      </c>
      <c r="D601" t="inlineStr">
        <is>
          <t>VÄRMLANDS LÄN</t>
        </is>
      </c>
      <c r="E601" t="inlineStr">
        <is>
          <t>KIL</t>
        </is>
      </c>
      <c r="F601" t="inlineStr">
        <is>
          <t>Kyrkan</t>
        </is>
      </c>
      <c r="G601" t="n">
        <v>1.1</v>
      </c>
      <c r="H601" t="n">
        <v>1</v>
      </c>
      <c r="I601" t="n">
        <v>0</v>
      </c>
      <c r="J601" t="n">
        <v>0</v>
      </c>
      <c r="K601" t="n">
        <v>0</v>
      </c>
      <c r="L601" t="n">
        <v>0</v>
      </c>
      <c r="M601" t="n">
        <v>0</v>
      </c>
      <c r="N601" t="n">
        <v>0</v>
      </c>
      <c r="O601" t="n">
        <v>0</v>
      </c>
      <c r="P601" t="n">
        <v>0</v>
      </c>
      <c r="Q601" t="n">
        <v>1</v>
      </c>
      <c r="R601" s="2" t="inlineStr">
        <is>
          <t>Hökuggla</t>
        </is>
      </c>
      <c r="S601">
        <f>HYPERLINK("https://klasma.github.io/Logging_1715/artfynd/A 41526-2023 artfynd.xlsx", "A 41526-2023")</f>
        <v/>
      </c>
      <c r="T601">
        <f>HYPERLINK("https://klasma.github.io/Logging_1715/kartor/A 41526-2023 karta.png", "A 41526-2023")</f>
        <v/>
      </c>
      <c r="V601">
        <f>HYPERLINK("https://klasma.github.io/Logging_1715/klagomål/A 41526-2023 FSC-klagomål.docx", "A 41526-2023")</f>
        <v/>
      </c>
      <c r="W601">
        <f>HYPERLINK("https://klasma.github.io/Logging_1715/klagomålsmail/A 41526-2023 FSC-klagomål mail.docx", "A 41526-2023")</f>
        <v/>
      </c>
      <c r="X601">
        <f>HYPERLINK("https://klasma.github.io/Logging_1715/tillsyn/A 41526-2023 tillsynsbegäran.docx", "A 41526-2023")</f>
        <v/>
      </c>
      <c r="Y601">
        <f>HYPERLINK("https://klasma.github.io/Logging_1715/tillsynsmail/A 41526-2023 tillsynsbegäran mail.docx", "A 41526-2023")</f>
        <v/>
      </c>
      <c r="Z601">
        <f>HYPERLINK("https://klasma.github.io/Logging_1715/fåglar/A 41526-2023 prioriterade fågelarter.docx", "A 41526-2023")</f>
        <v/>
      </c>
    </row>
    <row r="602" ht="15" customHeight="1">
      <c r="A602" t="inlineStr">
        <is>
          <t>A 41803-2023</t>
        </is>
      </c>
      <c r="B602" s="1" t="n">
        <v>45176</v>
      </c>
      <c r="C602" s="1" t="n">
        <v>45810</v>
      </c>
      <c r="D602" t="inlineStr">
        <is>
          <t>VÄRMLANDS LÄN</t>
        </is>
      </c>
      <c r="E602" t="inlineStr">
        <is>
          <t>HAMMARÖ</t>
        </is>
      </c>
      <c r="F602" t="inlineStr">
        <is>
          <t>Övriga Aktiebolag</t>
        </is>
      </c>
      <c r="G602" t="n">
        <v>1.2</v>
      </c>
      <c r="H602" t="n">
        <v>1</v>
      </c>
      <c r="I602" t="n">
        <v>0</v>
      </c>
      <c r="J602" t="n">
        <v>1</v>
      </c>
      <c r="K602" t="n">
        <v>0</v>
      </c>
      <c r="L602" t="n">
        <v>0</v>
      </c>
      <c r="M602" t="n">
        <v>0</v>
      </c>
      <c r="N602" t="n">
        <v>0</v>
      </c>
      <c r="O602" t="n">
        <v>1</v>
      </c>
      <c r="P602" t="n">
        <v>0</v>
      </c>
      <c r="Q602" t="n">
        <v>1</v>
      </c>
      <c r="R602" s="2" t="inlineStr">
        <is>
          <t>Spillkråka</t>
        </is>
      </c>
      <c r="S602">
        <f>HYPERLINK("https://klasma.github.io/Logging_1761/artfynd/A 41803-2023 artfynd.xlsx", "A 41803-2023")</f>
        <v/>
      </c>
      <c r="T602">
        <f>HYPERLINK("https://klasma.github.io/Logging_1761/kartor/A 41803-2023 karta.png", "A 41803-2023")</f>
        <v/>
      </c>
      <c r="V602">
        <f>HYPERLINK("https://klasma.github.io/Logging_1761/klagomål/A 41803-2023 FSC-klagomål.docx", "A 41803-2023")</f>
        <v/>
      </c>
      <c r="W602">
        <f>HYPERLINK("https://klasma.github.io/Logging_1761/klagomålsmail/A 41803-2023 FSC-klagomål mail.docx", "A 41803-2023")</f>
        <v/>
      </c>
      <c r="X602">
        <f>HYPERLINK("https://klasma.github.io/Logging_1761/tillsyn/A 41803-2023 tillsynsbegäran.docx", "A 41803-2023")</f>
        <v/>
      </c>
      <c r="Y602">
        <f>HYPERLINK("https://klasma.github.io/Logging_1761/tillsynsmail/A 41803-2023 tillsynsbegäran mail.docx", "A 41803-2023")</f>
        <v/>
      </c>
      <c r="Z602">
        <f>HYPERLINK("https://klasma.github.io/Logging_1761/fåglar/A 41803-2023 prioriterade fågelarter.docx", "A 41803-2023")</f>
        <v/>
      </c>
    </row>
    <row r="603" ht="15" customHeight="1">
      <c r="A603" t="inlineStr">
        <is>
          <t>A 42303-2023</t>
        </is>
      </c>
      <c r="B603" s="1" t="n">
        <v>45180</v>
      </c>
      <c r="C603" s="1" t="n">
        <v>45810</v>
      </c>
      <c r="D603" t="inlineStr">
        <is>
          <t>VÄRMLANDS LÄN</t>
        </is>
      </c>
      <c r="E603" t="inlineStr">
        <is>
          <t>HAMMARÖ</t>
        </is>
      </c>
      <c r="G603" t="n">
        <v>2</v>
      </c>
      <c r="H603" t="n">
        <v>1</v>
      </c>
      <c r="I603" t="n">
        <v>0</v>
      </c>
      <c r="J603" t="n">
        <v>0</v>
      </c>
      <c r="K603" t="n">
        <v>0</v>
      </c>
      <c r="L603" t="n">
        <v>0</v>
      </c>
      <c r="M603" t="n">
        <v>0</v>
      </c>
      <c r="N603" t="n">
        <v>0</v>
      </c>
      <c r="O603" t="n">
        <v>0</v>
      </c>
      <c r="P603" t="n">
        <v>0</v>
      </c>
      <c r="Q603" t="n">
        <v>1</v>
      </c>
      <c r="R603" s="2" t="inlineStr">
        <is>
          <t>Mindre flugsnappare</t>
        </is>
      </c>
      <c r="S603">
        <f>HYPERLINK("https://klasma.github.io/Logging_1761/artfynd/A 42303-2023 artfynd.xlsx", "A 42303-2023")</f>
        <v/>
      </c>
      <c r="T603">
        <f>HYPERLINK("https://klasma.github.io/Logging_1761/kartor/A 42303-2023 karta.png", "A 42303-2023")</f>
        <v/>
      </c>
      <c r="V603">
        <f>HYPERLINK("https://klasma.github.io/Logging_1761/klagomål/A 42303-2023 FSC-klagomål.docx", "A 42303-2023")</f>
        <v/>
      </c>
      <c r="W603">
        <f>HYPERLINK("https://klasma.github.io/Logging_1761/klagomålsmail/A 42303-2023 FSC-klagomål mail.docx", "A 42303-2023")</f>
        <v/>
      </c>
      <c r="X603">
        <f>HYPERLINK("https://klasma.github.io/Logging_1761/tillsyn/A 42303-2023 tillsynsbegäran.docx", "A 42303-2023")</f>
        <v/>
      </c>
      <c r="Y603">
        <f>HYPERLINK("https://klasma.github.io/Logging_1761/tillsynsmail/A 42303-2023 tillsynsbegäran mail.docx", "A 42303-2023")</f>
        <v/>
      </c>
      <c r="Z603">
        <f>HYPERLINK("https://klasma.github.io/Logging_1761/fåglar/A 42303-2023 prioriterade fågelarter.docx", "A 42303-2023")</f>
        <v/>
      </c>
    </row>
    <row r="604" ht="15" customHeight="1">
      <c r="A604" t="inlineStr">
        <is>
          <t>A 42337-2023</t>
        </is>
      </c>
      <c r="B604" s="1" t="n">
        <v>45180</v>
      </c>
      <c r="C604" s="1" t="n">
        <v>45810</v>
      </c>
      <c r="D604" t="inlineStr">
        <is>
          <t>VÄRMLANDS LÄN</t>
        </is>
      </c>
      <c r="E604" t="inlineStr">
        <is>
          <t>HAMMARÖ</t>
        </is>
      </c>
      <c r="F604" t="inlineStr">
        <is>
          <t>Övriga Aktiebolag</t>
        </is>
      </c>
      <c r="G604" t="n">
        <v>9.6</v>
      </c>
      <c r="H604" t="n">
        <v>1</v>
      </c>
      <c r="I604" t="n">
        <v>0</v>
      </c>
      <c r="J604" t="n">
        <v>0</v>
      </c>
      <c r="K604" t="n">
        <v>0</v>
      </c>
      <c r="L604" t="n">
        <v>0</v>
      </c>
      <c r="M604" t="n">
        <v>0</v>
      </c>
      <c r="N604" t="n">
        <v>0</v>
      </c>
      <c r="O604" t="n">
        <v>0</v>
      </c>
      <c r="P604" t="n">
        <v>0</v>
      </c>
      <c r="Q604" t="n">
        <v>1</v>
      </c>
      <c r="R604" s="2" t="inlineStr">
        <is>
          <t>Mindre flugsnappare</t>
        </is>
      </c>
      <c r="S604">
        <f>HYPERLINK("https://klasma.github.io/Logging_1761/artfynd/A 42337-2023 artfynd.xlsx", "A 42337-2023")</f>
        <v/>
      </c>
      <c r="T604">
        <f>HYPERLINK("https://klasma.github.io/Logging_1761/kartor/A 42337-2023 karta.png", "A 42337-2023")</f>
        <v/>
      </c>
      <c r="V604">
        <f>HYPERLINK("https://klasma.github.io/Logging_1761/klagomål/A 42337-2023 FSC-klagomål.docx", "A 42337-2023")</f>
        <v/>
      </c>
      <c r="W604">
        <f>HYPERLINK("https://klasma.github.io/Logging_1761/klagomålsmail/A 42337-2023 FSC-klagomål mail.docx", "A 42337-2023")</f>
        <v/>
      </c>
      <c r="X604">
        <f>HYPERLINK("https://klasma.github.io/Logging_1761/tillsyn/A 42337-2023 tillsynsbegäran.docx", "A 42337-2023")</f>
        <v/>
      </c>
      <c r="Y604">
        <f>HYPERLINK("https://klasma.github.io/Logging_1761/tillsynsmail/A 42337-2023 tillsynsbegäran mail.docx", "A 42337-2023")</f>
        <v/>
      </c>
      <c r="Z604">
        <f>HYPERLINK("https://klasma.github.io/Logging_1761/fåglar/A 42337-2023 prioriterade fågelarter.docx", "A 42337-2023")</f>
        <v/>
      </c>
    </row>
    <row r="605" ht="15" customHeight="1">
      <c r="A605" t="inlineStr">
        <is>
          <t>A 42339-2023</t>
        </is>
      </c>
      <c r="B605" s="1" t="n">
        <v>45180</v>
      </c>
      <c r="C605" s="1" t="n">
        <v>45810</v>
      </c>
      <c r="D605" t="inlineStr">
        <is>
          <t>VÄRMLANDS LÄN</t>
        </is>
      </c>
      <c r="E605" t="inlineStr">
        <is>
          <t>HAMMARÖ</t>
        </is>
      </c>
      <c r="F605" t="inlineStr">
        <is>
          <t>Övriga Aktiebolag</t>
        </is>
      </c>
      <c r="G605" t="n">
        <v>4.3</v>
      </c>
      <c r="H605" t="n">
        <v>1</v>
      </c>
      <c r="I605" t="n">
        <v>0</v>
      </c>
      <c r="J605" t="n">
        <v>1</v>
      </c>
      <c r="K605" t="n">
        <v>0</v>
      </c>
      <c r="L605" t="n">
        <v>0</v>
      </c>
      <c r="M605" t="n">
        <v>0</v>
      </c>
      <c r="N605" t="n">
        <v>0</v>
      </c>
      <c r="O605" t="n">
        <v>1</v>
      </c>
      <c r="P605" t="n">
        <v>0</v>
      </c>
      <c r="Q605" t="n">
        <v>1</v>
      </c>
      <c r="R605" s="2" t="inlineStr">
        <is>
          <t>Grönsångare</t>
        </is>
      </c>
      <c r="S605">
        <f>HYPERLINK("https://klasma.github.io/Logging_1761/artfynd/A 42339-2023 artfynd.xlsx", "A 42339-2023")</f>
        <v/>
      </c>
      <c r="T605">
        <f>HYPERLINK("https://klasma.github.io/Logging_1761/kartor/A 42339-2023 karta.png", "A 42339-2023")</f>
        <v/>
      </c>
      <c r="V605">
        <f>HYPERLINK("https://klasma.github.io/Logging_1761/klagomål/A 42339-2023 FSC-klagomål.docx", "A 42339-2023")</f>
        <v/>
      </c>
      <c r="W605">
        <f>HYPERLINK("https://klasma.github.io/Logging_1761/klagomålsmail/A 42339-2023 FSC-klagomål mail.docx", "A 42339-2023")</f>
        <v/>
      </c>
      <c r="X605">
        <f>HYPERLINK("https://klasma.github.io/Logging_1761/tillsyn/A 42339-2023 tillsynsbegäran.docx", "A 42339-2023")</f>
        <v/>
      </c>
      <c r="Y605">
        <f>HYPERLINK("https://klasma.github.io/Logging_1761/tillsynsmail/A 42339-2023 tillsynsbegäran mail.docx", "A 42339-2023")</f>
        <v/>
      </c>
      <c r="Z605">
        <f>HYPERLINK("https://klasma.github.io/Logging_1761/fåglar/A 42339-2023 prioriterade fågelarter.docx", "A 42339-2023")</f>
        <v/>
      </c>
    </row>
    <row r="606" ht="15" customHeight="1">
      <c r="A606" t="inlineStr">
        <is>
          <t>A 43333-2023</t>
        </is>
      </c>
      <c r="B606" s="1" t="n">
        <v>45183</v>
      </c>
      <c r="C606" s="1" t="n">
        <v>45810</v>
      </c>
      <c r="D606" t="inlineStr">
        <is>
          <t>VÄRMLANDS LÄN</t>
        </is>
      </c>
      <c r="E606" t="inlineStr">
        <is>
          <t>FILIPSTAD</t>
        </is>
      </c>
      <c r="F606" t="inlineStr">
        <is>
          <t>Bergvik skog väst AB</t>
        </is>
      </c>
      <c r="G606" t="n">
        <v>19.4</v>
      </c>
      <c r="H606" t="n">
        <v>1</v>
      </c>
      <c r="I606" t="n">
        <v>1</v>
      </c>
      <c r="J606" t="n">
        <v>0</v>
      </c>
      <c r="K606" t="n">
        <v>0</v>
      </c>
      <c r="L606" t="n">
        <v>0</v>
      </c>
      <c r="M606" t="n">
        <v>0</v>
      </c>
      <c r="N606" t="n">
        <v>0</v>
      </c>
      <c r="O606" t="n">
        <v>0</v>
      </c>
      <c r="P606" t="n">
        <v>0</v>
      </c>
      <c r="Q606" t="n">
        <v>1</v>
      </c>
      <c r="R606" s="2" t="inlineStr">
        <is>
          <t>Grön sköldmossa</t>
        </is>
      </c>
      <c r="S606">
        <f>HYPERLINK("https://klasma.github.io/Logging_1782/artfynd/A 43333-2023 artfynd.xlsx", "A 43333-2023")</f>
        <v/>
      </c>
      <c r="T606">
        <f>HYPERLINK("https://klasma.github.io/Logging_1782/kartor/A 43333-2023 karta.png", "A 43333-2023")</f>
        <v/>
      </c>
      <c r="V606">
        <f>HYPERLINK("https://klasma.github.io/Logging_1782/klagomål/A 43333-2023 FSC-klagomål.docx", "A 43333-2023")</f>
        <v/>
      </c>
      <c r="W606">
        <f>HYPERLINK("https://klasma.github.io/Logging_1782/klagomålsmail/A 43333-2023 FSC-klagomål mail.docx", "A 43333-2023")</f>
        <v/>
      </c>
      <c r="X606">
        <f>HYPERLINK("https://klasma.github.io/Logging_1782/tillsyn/A 43333-2023 tillsynsbegäran.docx", "A 43333-2023")</f>
        <v/>
      </c>
      <c r="Y606">
        <f>HYPERLINK("https://klasma.github.io/Logging_1782/tillsynsmail/A 43333-2023 tillsynsbegäran mail.docx", "A 43333-2023")</f>
        <v/>
      </c>
    </row>
    <row r="607" ht="15" customHeight="1">
      <c r="A607" t="inlineStr">
        <is>
          <t>A 43388-2023</t>
        </is>
      </c>
      <c r="B607" s="1" t="n">
        <v>45183</v>
      </c>
      <c r="C607" s="1" t="n">
        <v>45810</v>
      </c>
      <c r="D607" t="inlineStr">
        <is>
          <t>VÄRMLANDS LÄN</t>
        </is>
      </c>
      <c r="E607" t="inlineStr">
        <is>
          <t>ARVIKA</t>
        </is>
      </c>
      <c r="G607" t="n">
        <v>0.7</v>
      </c>
      <c r="H607" t="n">
        <v>1</v>
      </c>
      <c r="I607" t="n">
        <v>0</v>
      </c>
      <c r="J607" t="n">
        <v>0</v>
      </c>
      <c r="K607" t="n">
        <v>1</v>
      </c>
      <c r="L607" t="n">
        <v>0</v>
      </c>
      <c r="M607" t="n">
        <v>0</v>
      </c>
      <c r="N607" t="n">
        <v>0</v>
      </c>
      <c r="O607" t="n">
        <v>1</v>
      </c>
      <c r="P607" t="n">
        <v>1</v>
      </c>
      <c r="Q607" t="n">
        <v>1</v>
      </c>
      <c r="R607" s="2" t="inlineStr">
        <is>
          <t>Knärot</t>
        </is>
      </c>
      <c r="S607">
        <f>HYPERLINK("https://klasma.github.io/Logging_1784/artfynd/A 43388-2023 artfynd.xlsx", "A 43388-2023")</f>
        <v/>
      </c>
      <c r="T607">
        <f>HYPERLINK("https://klasma.github.io/Logging_1784/kartor/A 43388-2023 karta.png", "A 43388-2023")</f>
        <v/>
      </c>
      <c r="U607">
        <f>HYPERLINK("https://klasma.github.io/Logging_1784/knärot/A 43388-2023 karta knärot.png", "A 43388-2023")</f>
        <v/>
      </c>
      <c r="V607">
        <f>HYPERLINK("https://klasma.github.io/Logging_1784/klagomål/A 43388-2023 FSC-klagomål.docx", "A 43388-2023")</f>
        <v/>
      </c>
      <c r="W607">
        <f>HYPERLINK("https://klasma.github.io/Logging_1784/klagomålsmail/A 43388-2023 FSC-klagomål mail.docx", "A 43388-2023")</f>
        <v/>
      </c>
      <c r="X607">
        <f>HYPERLINK("https://klasma.github.io/Logging_1784/tillsyn/A 43388-2023 tillsynsbegäran.docx", "A 43388-2023")</f>
        <v/>
      </c>
      <c r="Y607">
        <f>HYPERLINK("https://klasma.github.io/Logging_1784/tillsynsmail/A 43388-2023 tillsynsbegäran mail.docx", "A 43388-2023")</f>
        <v/>
      </c>
    </row>
    <row r="608" ht="15" customHeight="1">
      <c r="A608" t="inlineStr">
        <is>
          <t>A 44095-2023</t>
        </is>
      </c>
      <c r="B608" s="1" t="n">
        <v>45188</v>
      </c>
      <c r="C608" s="1" t="n">
        <v>45810</v>
      </c>
      <c r="D608" t="inlineStr">
        <is>
          <t>VÄRMLANDS LÄN</t>
        </is>
      </c>
      <c r="E608" t="inlineStr">
        <is>
          <t>HAGFORS</t>
        </is>
      </c>
      <c r="G608" t="n">
        <v>3.6</v>
      </c>
      <c r="H608" t="n">
        <v>1</v>
      </c>
      <c r="I608" t="n">
        <v>0</v>
      </c>
      <c r="J608" t="n">
        <v>1</v>
      </c>
      <c r="K608" t="n">
        <v>0</v>
      </c>
      <c r="L608" t="n">
        <v>0</v>
      </c>
      <c r="M608" t="n">
        <v>0</v>
      </c>
      <c r="N608" t="n">
        <v>0</v>
      </c>
      <c r="O608" t="n">
        <v>1</v>
      </c>
      <c r="P608" t="n">
        <v>0</v>
      </c>
      <c r="Q608" t="n">
        <v>1</v>
      </c>
      <c r="R608" s="2" t="inlineStr">
        <is>
          <t>Utter</t>
        </is>
      </c>
      <c r="S608">
        <f>HYPERLINK("https://klasma.github.io/Logging_1783/artfynd/A 44095-2023 artfynd.xlsx", "A 44095-2023")</f>
        <v/>
      </c>
      <c r="T608">
        <f>HYPERLINK("https://klasma.github.io/Logging_1783/kartor/A 44095-2023 karta.png", "A 44095-2023")</f>
        <v/>
      </c>
      <c r="V608">
        <f>HYPERLINK("https://klasma.github.io/Logging_1783/klagomål/A 44095-2023 FSC-klagomål.docx", "A 44095-2023")</f>
        <v/>
      </c>
      <c r="W608">
        <f>HYPERLINK("https://klasma.github.io/Logging_1783/klagomålsmail/A 44095-2023 FSC-klagomål mail.docx", "A 44095-2023")</f>
        <v/>
      </c>
      <c r="X608">
        <f>HYPERLINK("https://klasma.github.io/Logging_1783/tillsyn/A 44095-2023 tillsynsbegäran.docx", "A 44095-2023")</f>
        <v/>
      </c>
      <c r="Y608">
        <f>HYPERLINK("https://klasma.github.io/Logging_1783/tillsynsmail/A 44095-2023 tillsynsbegäran mail.docx", "A 44095-2023")</f>
        <v/>
      </c>
    </row>
    <row r="609" ht="15" customHeight="1">
      <c r="A609" t="inlineStr">
        <is>
          <t>A 44111-2023</t>
        </is>
      </c>
      <c r="B609" s="1" t="n">
        <v>45188</v>
      </c>
      <c r="C609" s="1" t="n">
        <v>45810</v>
      </c>
      <c r="D609" t="inlineStr">
        <is>
          <t>VÄRMLANDS LÄN</t>
        </is>
      </c>
      <c r="E609" t="inlineStr">
        <is>
          <t>MUNKFORS</t>
        </is>
      </c>
      <c r="G609" t="n">
        <v>7</v>
      </c>
      <c r="H609" t="n">
        <v>0</v>
      </c>
      <c r="I609" t="n">
        <v>0</v>
      </c>
      <c r="J609" t="n">
        <v>1</v>
      </c>
      <c r="K609" t="n">
        <v>0</v>
      </c>
      <c r="L609" t="n">
        <v>0</v>
      </c>
      <c r="M609" t="n">
        <v>0</v>
      </c>
      <c r="N609" t="n">
        <v>0</v>
      </c>
      <c r="O609" t="n">
        <v>1</v>
      </c>
      <c r="P609" t="n">
        <v>0</v>
      </c>
      <c r="Q609" t="n">
        <v>1</v>
      </c>
      <c r="R609" s="2" t="inlineStr">
        <is>
          <t>Bågsäv</t>
        </is>
      </c>
      <c r="S609">
        <f>HYPERLINK("https://klasma.github.io/Logging_1762/artfynd/A 44111-2023 artfynd.xlsx", "A 44111-2023")</f>
        <v/>
      </c>
      <c r="T609">
        <f>HYPERLINK("https://klasma.github.io/Logging_1762/kartor/A 44111-2023 karta.png", "A 44111-2023")</f>
        <v/>
      </c>
      <c r="V609">
        <f>HYPERLINK("https://klasma.github.io/Logging_1762/klagomål/A 44111-2023 FSC-klagomål.docx", "A 44111-2023")</f>
        <v/>
      </c>
      <c r="W609">
        <f>HYPERLINK("https://klasma.github.io/Logging_1762/klagomålsmail/A 44111-2023 FSC-klagomål mail.docx", "A 44111-2023")</f>
        <v/>
      </c>
      <c r="X609">
        <f>HYPERLINK("https://klasma.github.io/Logging_1762/tillsyn/A 44111-2023 tillsynsbegäran.docx", "A 44111-2023")</f>
        <v/>
      </c>
      <c r="Y609">
        <f>HYPERLINK("https://klasma.github.io/Logging_1762/tillsynsmail/A 44111-2023 tillsynsbegäran mail.docx", "A 44111-2023")</f>
        <v/>
      </c>
    </row>
    <row r="610" ht="15" customHeight="1">
      <c r="A610" t="inlineStr">
        <is>
          <t>A 45484-2023</t>
        </is>
      </c>
      <c r="B610" s="1" t="n">
        <v>45188</v>
      </c>
      <c r="C610" s="1" t="n">
        <v>45810</v>
      </c>
      <c r="D610" t="inlineStr">
        <is>
          <t>VÄRMLANDS LÄN</t>
        </is>
      </c>
      <c r="E610" t="inlineStr">
        <is>
          <t>FORSHAGA</t>
        </is>
      </c>
      <c r="G610" t="n">
        <v>2.7</v>
      </c>
      <c r="H610" t="n">
        <v>0</v>
      </c>
      <c r="I610" t="n">
        <v>1</v>
      </c>
      <c r="J610" t="n">
        <v>0</v>
      </c>
      <c r="K610" t="n">
        <v>0</v>
      </c>
      <c r="L610" t="n">
        <v>0</v>
      </c>
      <c r="M610" t="n">
        <v>0</v>
      </c>
      <c r="N610" t="n">
        <v>0</v>
      </c>
      <c r="O610" t="n">
        <v>0</v>
      </c>
      <c r="P610" t="n">
        <v>0</v>
      </c>
      <c r="Q610" t="n">
        <v>1</v>
      </c>
      <c r="R610" s="2" t="inlineStr">
        <is>
          <t>Scharlakansvårskål agg.</t>
        </is>
      </c>
      <c r="S610">
        <f>HYPERLINK("https://klasma.github.io/Logging_1763/artfynd/A 45484-2023 artfynd.xlsx", "A 45484-2023")</f>
        <v/>
      </c>
      <c r="T610">
        <f>HYPERLINK("https://klasma.github.io/Logging_1763/kartor/A 45484-2023 karta.png", "A 45484-2023")</f>
        <v/>
      </c>
      <c r="V610">
        <f>HYPERLINK("https://klasma.github.io/Logging_1763/klagomål/A 45484-2023 FSC-klagomål.docx", "A 45484-2023")</f>
        <v/>
      </c>
      <c r="W610">
        <f>HYPERLINK("https://klasma.github.io/Logging_1763/klagomålsmail/A 45484-2023 FSC-klagomål mail.docx", "A 45484-2023")</f>
        <v/>
      </c>
      <c r="X610">
        <f>HYPERLINK("https://klasma.github.io/Logging_1763/tillsyn/A 45484-2023 tillsynsbegäran.docx", "A 45484-2023")</f>
        <v/>
      </c>
      <c r="Y610">
        <f>HYPERLINK("https://klasma.github.io/Logging_1763/tillsynsmail/A 45484-2023 tillsynsbegäran mail.docx", "A 45484-2023")</f>
        <v/>
      </c>
    </row>
    <row r="611" ht="15" customHeight="1">
      <c r="A611" t="inlineStr">
        <is>
          <t>A 46099-2023</t>
        </is>
      </c>
      <c r="B611" s="1" t="n">
        <v>45196</v>
      </c>
      <c r="C611" s="1" t="n">
        <v>45810</v>
      </c>
      <c r="D611" t="inlineStr">
        <is>
          <t>VÄRMLANDS LÄN</t>
        </is>
      </c>
      <c r="E611" t="inlineStr">
        <is>
          <t>TORSBY</t>
        </is>
      </c>
      <c r="G611" t="n">
        <v>8.4</v>
      </c>
      <c r="H611" t="n">
        <v>0</v>
      </c>
      <c r="I611" t="n">
        <v>0</v>
      </c>
      <c r="J611" t="n">
        <v>1</v>
      </c>
      <c r="K611" t="n">
        <v>0</v>
      </c>
      <c r="L611" t="n">
        <v>0</v>
      </c>
      <c r="M611" t="n">
        <v>0</v>
      </c>
      <c r="N611" t="n">
        <v>0</v>
      </c>
      <c r="O611" t="n">
        <v>1</v>
      </c>
      <c r="P611" t="n">
        <v>0</v>
      </c>
      <c r="Q611" t="n">
        <v>1</v>
      </c>
      <c r="R611" s="2" t="inlineStr">
        <is>
          <t>Gammelgransskål</t>
        </is>
      </c>
      <c r="S611">
        <f>HYPERLINK("https://klasma.github.io/Logging_1737/artfynd/A 46099-2023 artfynd.xlsx", "A 46099-2023")</f>
        <v/>
      </c>
      <c r="T611">
        <f>HYPERLINK("https://klasma.github.io/Logging_1737/kartor/A 46099-2023 karta.png", "A 46099-2023")</f>
        <v/>
      </c>
      <c r="V611">
        <f>HYPERLINK("https://klasma.github.io/Logging_1737/klagomål/A 46099-2023 FSC-klagomål.docx", "A 46099-2023")</f>
        <v/>
      </c>
      <c r="W611">
        <f>HYPERLINK("https://klasma.github.io/Logging_1737/klagomålsmail/A 46099-2023 FSC-klagomål mail.docx", "A 46099-2023")</f>
        <v/>
      </c>
      <c r="X611">
        <f>HYPERLINK("https://klasma.github.io/Logging_1737/tillsyn/A 46099-2023 tillsynsbegäran.docx", "A 46099-2023")</f>
        <v/>
      </c>
      <c r="Y611">
        <f>HYPERLINK("https://klasma.github.io/Logging_1737/tillsynsmail/A 46099-2023 tillsynsbegäran mail.docx", "A 46099-2023")</f>
        <v/>
      </c>
    </row>
    <row r="612" ht="15" customHeight="1">
      <c r="A612" t="inlineStr">
        <is>
          <t>A 47561-2023</t>
        </is>
      </c>
      <c r="B612" s="1" t="n">
        <v>45197</v>
      </c>
      <c r="C612" s="1" t="n">
        <v>45810</v>
      </c>
      <c r="D612" t="inlineStr">
        <is>
          <t>VÄRMLANDS LÄN</t>
        </is>
      </c>
      <c r="E612" t="inlineStr">
        <is>
          <t>KARLSTAD</t>
        </is>
      </c>
      <c r="G612" t="n">
        <v>3.2</v>
      </c>
      <c r="H612" t="n">
        <v>1</v>
      </c>
      <c r="I612" t="n">
        <v>0</v>
      </c>
      <c r="J612" t="n">
        <v>0</v>
      </c>
      <c r="K612" t="n">
        <v>0</v>
      </c>
      <c r="L612" t="n">
        <v>0</v>
      </c>
      <c r="M612" t="n">
        <v>0</v>
      </c>
      <c r="N612" t="n">
        <v>0</v>
      </c>
      <c r="O612" t="n">
        <v>0</v>
      </c>
      <c r="P612" t="n">
        <v>0</v>
      </c>
      <c r="Q612" t="n">
        <v>1</v>
      </c>
      <c r="R612" s="2" t="inlineStr">
        <is>
          <t>Gröngöling</t>
        </is>
      </c>
      <c r="S612">
        <f>HYPERLINK("https://klasma.github.io/Logging_1780/artfynd/A 47561-2023 artfynd.xlsx", "A 47561-2023")</f>
        <v/>
      </c>
      <c r="T612">
        <f>HYPERLINK("https://klasma.github.io/Logging_1780/kartor/A 47561-2023 karta.png", "A 47561-2023")</f>
        <v/>
      </c>
      <c r="V612">
        <f>HYPERLINK("https://klasma.github.io/Logging_1780/klagomål/A 47561-2023 FSC-klagomål.docx", "A 47561-2023")</f>
        <v/>
      </c>
      <c r="W612">
        <f>HYPERLINK("https://klasma.github.io/Logging_1780/klagomålsmail/A 47561-2023 FSC-klagomål mail.docx", "A 47561-2023")</f>
        <v/>
      </c>
      <c r="X612">
        <f>HYPERLINK("https://klasma.github.io/Logging_1780/tillsyn/A 47561-2023 tillsynsbegäran.docx", "A 47561-2023")</f>
        <v/>
      </c>
      <c r="Y612">
        <f>HYPERLINK("https://klasma.github.io/Logging_1780/tillsynsmail/A 47561-2023 tillsynsbegäran mail.docx", "A 47561-2023")</f>
        <v/>
      </c>
      <c r="Z612">
        <f>HYPERLINK("https://klasma.github.io/Logging_1780/fåglar/A 47561-2023 prioriterade fågelarter.docx", "A 47561-2023")</f>
        <v/>
      </c>
    </row>
    <row r="613" ht="15" customHeight="1">
      <c r="A613" t="inlineStr">
        <is>
          <t>A 47141-2023</t>
        </is>
      </c>
      <c r="B613" s="1" t="n">
        <v>45201</v>
      </c>
      <c r="C613" s="1" t="n">
        <v>45810</v>
      </c>
      <c r="D613" t="inlineStr">
        <is>
          <t>VÄRMLANDS LÄN</t>
        </is>
      </c>
      <c r="E613" t="inlineStr">
        <is>
          <t>ARVIKA</t>
        </is>
      </c>
      <c r="G613" t="n">
        <v>3.7</v>
      </c>
      <c r="H613" t="n">
        <v>1</v>
      </c>
      <c r="I613" t="n">
        <v>0</v>
      </c>
      <c r="J613" t="n">
        <v>0</v>
      </c>
      <c r="K613" t="n">
        <v>1</v>
      </c>
      <c r="L613" t="n">
        <v>0</v>
      </c>
      <c r="M613" t="n">
        <v>0</v>
      </c>
      <c r="N613" t="n">
        <v>0</v>
      </c>
      <c r="O613" t="n">
        <v>1</v>
      </c>
      <c r="P613" t="n">
        <v>1</v>
      </c>
      <c r="Q613" t="n">
        <v>1</v>
      </c>
      <c r="R613" s="2" t="inlineStr">
        <is>
          <t>Knärot</t>
        </is>
      </c>
      <c r="S613">
        <f>HYPERLINK("https://klasma.github.io/Logging_1784/artfynd/A 47141-2023 artfynd.xlsx", "A 47141-2023")</f>
        <v/>
      </c>
      <c r="T613">
        <f>HYPERLINK("https://klasma.github.io/Logging_1784/kartor/A 47141-2023 karta.png", "A 47141-2023")</f>
        <v/>
      </c>
      <c r="U613">
        <f>HYPERLINK("https://klasma.github.io/Logging_1784/knärot/A 47141-2023 karta knärot.png", "A 47141-2023")</f>
        <v/>
      </c>
      <c r="V613">
        <f>HYPERLINK("https://klasma.github.io/Logging_1784/klagomål/A 47141-2023 FSC-klagomål.docx", "A 47141-2023")</f>
        <v/>
      </c>
      <c r="W613">
        <f>HYPERLINK("https://klasma.github.io/Logging_1784/klagomålsmail/A 47141-2023 FSC-klagomål mail.docx", "A 47141-2023")</f>
        <v/>
      </c>
      <c r="X613">
        <f>HYPERLINK("https://klasma.github.io/Logging_1784/tillsyn/A 47141-2023 tillsynsbegäran.docx", "A 47141-2023")</f>
        <v/>
      </c>
      <c r="Y613">
        <f>HYPERLINK("https://klasma.github.io/Logging_1784/tillsynsmail/A 47141-2023 tillsynsbegäran mail.docx", "A 47141-2023")</f>
        <v/>
      </c>
    </row>
    <row r="614" ht="15" customHeight="1">
      <c r="A614" t="inlineStr">
        <is>
          <t>A 48464-2023</t>
        </is>
      </c>
      <c r="B614" s="1" t="n">
        <v>45206</v>
      </c>
      <c r="C614" s="1" t="n">
        <v>45810</v>
      </c>
      <c r="D614" t="inlineStr">
        <is>
          <t>VÄRMLANDS LÄN</t>
        </is>
      </c>
      <c r="E614" t="inlineStr">
        <is>
          <t>ARVIKA</t>
        </is>
      </c>
      <c r="G614" t="n">
        <v>7.9</v>
      </c>
      <c r="H614" t="n">
        <v>1</v>
      </c>
      <c r="I614" t="n">
        <v>0</v>
      </c>
      <c r="J614" t="n">
        <v>0</v>
      </c>
      <c r="K614" t="n">
        <v>1</v>
      </c>
      <c r="L614" t="n">
        <v>0</v>
      </c>
      <c r="M614" t="n">
        <v>0</v>
      </c>
      <c r="N614" t="n">
        <v>0</v>
      </c>
      <c r="O614" t="n">
        <v>1</v>
      </c>
      <c r="P614" t="n">
        <v>1</v>
      </c>
      <c r="Q614" t="n">
        <v>1</v>
      </c>
      <c r="R614" s="2" t="inlineStr">
        <is>
          <t>Knärot</t>
        </is>
      </c>
      <c r="S614">
        <f>HYPERLINK("https://klasma.github.io/Logging_1784/artfynd/A 48464-2023 artfynd.xlsx", "A 48464-2023")</f>
        <v/>
      </c>
      <c r="T614">
        <f>HYPERLINK("https://klasma.github.io/Logging_1784/kartor/A 48464-2023 karta.png", "A 48464-2023")</f>
        <v/>
      </c>
      <c r="U614">
        <f>HYPERLINK("https://klasma.github.io/Logging_1784/knärot/A 48464-2023 karta knärot.png", "A 48464-2023")</f>
        <v/>
      </c>
      <c r="V614">
        <f>HYPERLINK("https://klasma.github.io/Logging_1784/klagomål/A 48464-2023 FSC-klagomål.docx", "A 48464-2023")</f>
        <v/>
      </c>
      <c r="W614">
        <f>HYPERLINK("https://klasma.github.io/Logging_1784/klagomålsmail/A 48464-2023 FSC-klagomål mail.docx", "A 48464-2023")</f>
        <v/>
      </c>
      <c r="X614">
        <f>HYPERLINK("https://klasma.github.io/Logging_1784/tillsyn/A 48464-2023 tillsynsbegäran.docx", "A 48464-2023")</f>
        <v/>
      </c>
      <c r="Y614">
        <f>HYPERLINK("https://klasma.github.io/Logging_1784/tillsynsmail/A 48464-2023 tillsynsbegäran mail.docx", "A 48464-2023")</f>
        <v/>
      </c>
    </row>
    <row r="615" ht="15" customHeight="1">
      <c r="A615" t="inlineStr">
        <is>
          <t>A 49724-2023</t>
        </is>
      </c>
      <c r="B615" s="1" t="n">
        <v>45208</v>
      </c>
      <c r="C615" s="1" t="n">
        <v>45810</v>
      </c>
      <c r="D615" t="inlineStr">
        <is>
          <t>VÄRMLANDS LÄN</t>
        </is>
      </c>
      <c r="E615" t="inlineStr">
        <is>
          <t>TORSBY</t>
        </is>
      </c>
      <c r="G615" t="n">
        <v>2.6</v>
      </c>
      <c r="H615" t="n">
        <v>0</v>
      </c>
      <c r="I615" t="n">
        <v>0</v>
      </c>
      <c r="J615" t="n">
        <v>1</v>
      </c>
      <c r="K615" t="n">
        <v>0</v>
      </c>
      <c r="L615" t="n">
        <v>0</v>
      </c>
      <c r="M615" t="n">
        <v>0</v>
      </c>
      <c r="N615" t="n">
        <v>0</v>
      </c>
      <c r="O615" t="n">
        <v>1</v>
      </c>
      <c r="P615" t="n">
        <v>0</v>
      </c>
      <c r="Q615" t="n">
        <v>1</v>
      </c>
      <c r="R615" s="2" t="inlineStr">
        <is>
          <t>Garnlav</t>
        </is>
      </c>
      <c r="S615">
        <f>HYPERLINK("https://klasma.github.io/Logging_1737/artfynd/A 49724-2023 artfynd.xlsx", "A 49724-2023")</f>
        <v/>
      </c>
      <c r="T615">
        <f>HYPERLINK("https://klasma.github.io/Logging_1737/kartor/A 49724-2023 karta.png", "A 49724-2023")</f>
        <v/>
      </c>
      <c r="V615">
        <f>HYPERLINK("https://klasma.github.io/Logging_1737/klagomål/A 49724-2023 FSC-klagomål.docx", "A 49724-2023")</f>
        <v/>
      </c>
      <c r="W615">
        <f>HYPERLINK("https://klasma.github.io/Logging_1737/klagomålsmail/A 49724-2023 FSC-klagomål mail.docx", "A 49724-2023")</f>
        <v/>
      </c>
      <c r="X615">
        <f>HYPERLINK("https://klasma.github.io/Logging_1737/tillsyn/A 49724-2023 tillsynsbegäran.docx", "A 49724-2023")</f>
        <v/>
      </c>
      <c r="Y615">
        <f>HYPERLINK("https://klasma.github.io/Logging_1737/tillsynsmail/A 49724-2023 tillsynsbegäran mail.docx", "A 49724-2023")</f>
        <v/>
      </c>
    </row>
    <row r="616" ht="15" customHeight="1">
      <c r="A616" t="inlineStr">
        <is>
          <t>A 53276-2023</t>
        </is>
      </c>
      <c r="B616" s="1" t="n">
        <v>45229</v>
      </c>
      <c r="C616" s="1" t="n">
        <v>45810</v>
      </c>
      <c r="D616" t="inlineStr">
        <is>
          <t>VÄRMLANDS LÄN</t>
        </is>
      </c>
      <c r="E616" t="inlineStr">
        <is>
          <t>HAMMARÖ</t>
        </is>
      </c>
      <c r="F616" t="inlineStr">
        <is>
          <t>Övriga Aktiebolag</t>
        </is>
      </c>
      <c r="G616" t="n">
        <v>0.3</v>
      </c>
      <c r="H616" t="n">
        <v>1</v>
      </c>
      <c r="I616" t="n">
        <v>0</v>
      </c>
      <c r="J616" t="n">
        <v>0</v>
      </c>
      <c r="K616" t="n">
        <v>0</v>
      </c>
      <c r="L616" t="n">
        <v>0</v>
      </c>
      <c r="M616" t="n">
        <v>0</v>
      </c>
      <c r="N616" t="n">
        <v>0</v>
      </c>
      <c r="O616" t="n">
        <v>0</v>
      </c>
      <c r="P616" t="n">
        <v>0</v>
      </c>
      <c r="Q616" t="n">
        <v>1</v>
      </c>
      <c r="R616" s="2" t="inlineStr">
        <is>
          <t>Mindre flugsnappare</t>
        </is>
      </c>
      <c r="S616">
        <f>HYPERLINK("https://klasma.github.io/Logging_1761/artfynd/A 53276-2023 artfynd.xlsx", "A 53276-2023")</f>
        <v/>
      </c>
      <c r="T616">
        <f>HYPERLINK("https://klasma.github.io/Logging_1761/kartor/A 53276-2023 karta.png", "A 53276-2023")</f>
        <v/>
      </c>
      <c r="V616">
        <f>HYPERLINK("https://klasma.github.io/Logging_1761/klagomål/A 53276-2023 FSC-klagomål.docx", "A 53276-2023")</f>
        <v/>
      </c>
      <c r="W616">
        <f>HYPERLINK("https://klasma.github.io/Logging_1761/klagomålsmail/A 53276-2023 FSC-klagomål mail.docx", "A 53276-2023")</f>
        <v/>
      </c>
      <c r="X616">
        <f>HYPERLINK("https://klasma.github.io/Logging_1761/tillsyn/A 53276-2023 tillsynsbegäran.docx", "A 53276-2023")</f>
        <v/>
      </c>
      <c r="Y616">
        <f>HYPERLINK("https://klasma.github.io/Logging_1761/tillsynsmail/A 53276-2023 tillsynsbegäran mail.docx", "A 53276-2023")</f>
        <v/>
      </c>
      <c r="Z616">
        <f>HYPERLINK("https://klasma.github.io/Logging_1761/fåglar/A 53276-2023 prioriterade fågelarter.docx", "A 53276-2023")</f>
        <v/>
      </c>
    </row>
    <row r="617" ht="15" customHeight="1">
      <c r="A617" t="inlineStr">
        <is>
          <t>A 53630-2023</t>
        </is>
      </c>
      <c r="B617" s="1" t="n">
        <v>45230</v>
      </c>
      <c r="C617" s="1" t="n">
        <v>45810</v>
      </c>
      <c r="D617" t="inlineStr">
        <is>
          <t>VÄRMLANDS LÄN</t>
        </is>
      </c>
      <c r="E617" t="inlineStr">
        <is>
          <t>ARVIKA</t>
        </is>
      </c>
      <c r="G617" t="n">
        <v>3.2</v>
      </c>
      <c r="H617" t="n">
        <v>0</v>
      </c>
      <c r="I617" t="n">
        <v>0</v>
      </c>
      <c r="J617" t="n">
        <v>1</v>
      </c>
      <c r="K617" t="n">
        <v>0</v>
      </c>
      <c r="L617" t="n">
        <v>0</v>
      </c>
      <c r="M617" t="n">
        <v>0</v>
      </c>
      <c r="N617" t="n">
        <v>0</v>
      </c>
      <c r="O617" t="n">
        <v>1</v>
      </c>
      <c r="P617" t="n">
        <v>0</v>
      </c>
      <c r="Q617" t="n">
        <v>1</v>
      </c>
      <c r="R617" s="2" t="inlineStr">
        <is>
          <t>Lunglav</t>
        </is>
      </c>
      <c r="S617">
        <f>HYPERLINK("https://klasma.github.io/Logging_1784/artfynd/A 53630-2023 artfynd.xlsx", "A 53630-2023")</f>
        <v/>
      </c>
      <c r="T617">
        <f>HYPERLINK("https://klasma.github.io/Logging_1784/kartor/A 53630-2023 karta.png", "A 53630-2023")</f>
        <v/>
      </c>
      <c r="V617">
        <f>HYPERLINK("https://klasma.github.io/Logging_1784/klagomål/A 53630-2023 FSC-klagomål.docx", "A 53630-2023")</f>
        <v/>
      </c>
      <c r="W617">
        <f>HYPERLINK("https://klasma.github.io/Logging_1784/klagomålsmail/A 53630-2023 FSC-klagomål mail.docx", "A 53630-2023")</f>
        <v/>
      </c>
      <c r="X617">
        <f>HYPERLINK("https://klasma.github.io/Logging_1784/tillsyn/A 53630-2023 tillsynsbegäran.docx", "A 53630-2023")</f>
        <v/>
      </c>
      <c r="Y617">
        <f>HYPERLINK("https://klasma.github.io/Logging_1784/tillsynsmail/A 53630-2023 tillsynsbegäran mail.docx", "A 53630-2023")</f>
        <v/>
      </c>
    </row>
    <row r="618" ht="15" customHeight="1">
      <c r="A618" t="inlineStr">
        <is>
          <t>A 55068-2023</t>
        </is>
      </c>
      <c r="B618" s="1" t="n">
        <v>45237</v>
      </c>
      <c r="C618" s="1" t="n">
        <v>45810</v>
      </c>
      <c r="D618" t="inlineStr">
        <is>
          <t>VÄRMLANDS LÄN</t>
        </is>
      </c>
      <c r="E618" t="inlineStr">
        <is>
          <t>HAMMARÖ</t>
        </is>
      </c>
      <c r="F618" t="inlineStr">
        <is>
          <t>Kommuner</t>
        </is>
      </c>
      <c r="G618" t="n">
        <v>2.4</v>
      </c>
      <c r="H618" t="n">
        <v>0</v>
      </c>
      <c r="I618" t="n">
        <v>0</v>
      </c>
      <c r="J618" t="n">
        <v>1</v>
      </c>
      <c r="K618" t="n">
        <v>0</v>
      </c>
      <c r="L618" t="n">
        <v>0</v>
      </c>
      <c r="M618" t="n">
        <v>0</v>
      </c>
      <c r="N618" t="n">
        <v>0</v>
      </c>
      <c r="O618" t="n">
        <v>1</v>
      </c>
      <c r="P618" t="n">
        <v>0</v>
      </c>
      <c r="Q618" t="n">
        <v>1</v>
      </c>
      <c r="R618" s="2" t="inlineStr">
        <is>
          <t>Motaggsvamp</t>
        </is>
      </c>
      <c r="S618">
        <f>HYPERLINK("https://klasma.github.io/Logging_1761/artfynd/A 55068-2023 artfynd.xlsx", "A 55068-2023")</f>
        <v/>
      </c>
      <c r="T618">
        <f>HYPERLINK("https://klasma.github.io/Logging_1761/kartor/A 55068-2023 karta.png", "A 55068-2023")</f>
        <v/>
      </c>
      <c r="V618">
        <f>HYPERLINK("https://klasma.github.io/Logging_1761/klagomål/A 55068-2023 FSC-klagomål.docx", "A 55068-2023")</f>
        <v/>
      </c>
      <c r="W618">
        <f>HYPERLINK("https://klasma.github.io/Logging_1761/klagomålsmail/A 55068-2023 FSC-klagomål mail.docx", "A 55068-2023")</f>
        <v/>
      </c>
      <c r="X618">
        <f>HYPERLINK("https://klasma.github.io/Logging_1761/tillsyn/A 55068-2023 tillsynsbegäran.docx", "A 55068-2023")</f>
        <v/>
      </c>
      <c r="Y618">
        <f>HYPERLINK("https://klasma.github.io/Logging_1761/tillsynsmail/A 55068-2023 tillsynsbegäran mail.docx", "A 55068-2023")</f>
        <v/>
      </c>
    </row>
    <row r="619" ht="15" customHeight="1">
      <c r="A619" t="inlineStr">
        <is>
          <t>A 56489-2023</t>
        </is>
      </c>
      <c r="B619" s="1" t="n">
        <v>45237</v>
      </c>
      <c r="C619" s="1" t="n">
        <v>45810</v>
      </c>
      <c r="D619" t="inlineStr">
        <is>
          <t>VÄRMLANDS LÄN</t>
        </is>
      </c>
      <c r="E619" t="inlineStr">
        <is>
          <t>SÄFFLE</t>
        </is>
      </c>
      <c r="G619" t="n">
        <v>2.7</v>
      </c>
      <c r="H619" t="n">
        <v>1</v>
      </c>
      <c r="I619" t="n">
        <v>0</v>
      </c>
      <c r="J619" t="n">
        <v>1</v>
      </c>
      <c r="K619" t="n">
        <v>0</v>
      </c>
      <c r="L619" t="n">
        <v>0</v>
      </c>
      <c r="M619" t="n">
        <v>0</v>
      </c>
      <c r="N619" t="n">
        <v>0</v>
      </c>
      <c r="O619" t="n">
        <v>1</v>
      </c>
      <c r="P619" t="n">
        <v>0</v>
      </c>
      <c r="Q619" t="n">
        <v>1</v>
      </c>
      <c r="R619" s="2" t="inlineStr">
        <is>
          <t>Havsörn</t>
        </is>
      </c>
      <c r="S619">
        <f>HYPERLINK("https://klasma.github.io/Logging_1785/artfynd/A 56489-2023 artfynd.xlsx", "A 56489-2023")</f>
        <v/>
      </c>
      <c r="T619">
        <f>HYPERLINK("https://klasma.github.io/Logging_1785/kartor/A 56489-2023 karta.png", "A 56489-2023")</f>
        <v/>
      </c>
      <c r="V619">
        <f>HYPERLINK("https://klasma.github.io/Logging_1785/klagomål/A 56489-2023 FSC-klagomål.docx", "A 56489-2023")</f>
        <v/>
      </c>
      <c r="W619">
        <f>HYPERLINK("https://klasma.github.io/Logging_1785/klagomålsmail/A 56489-2023 FSC-klagomål mail.docx", "A 56489-2023")</f>
        <v/>
      </c>
      <c r="X619">
        <f>HYPERLINK("https://klasma.github.io/Logging_1785/tillsyn/A 56489-2023 tillsynsbegäran.docx", "A 56489-2023")</f>
        <v/>
      </c>
      <c r="Y619">
        <f>HYPERLINK("https://klasma.github.io/Logging_1785/tillsynsmail/A 56489-2023 tillsynsbegäran mail.docx", "A 56489-2023")</f>
        <v/>
      </c>
      <c r="Z619">
        <f>HYPERLINK("https://klasma.github.io/Logging_1785/fåglar/A 56489-2023 prioriterade fågelarter.docx", "A 56489-2023")</f>
        <v/>
      </c>
    </row>
    <row r="620" ht="15" customHeight="1">
      <c r="A620" t="inlineStr">
        <is>
          <t>A 56492-2023</t>
        </is>
      </c>
      <c r="B620" s="1" t="n">
        <v>45243</v>
      </c>
      <c r="C620" s="1" t="n">
        <v>45810</v>
      </c>
      <c r="D620" t="inlineStr">
        <is>
          <t>VÄRMLANDS LÄN</t>
        </is>
      </c>
      <c r="E620" t="inlineStr">
        <is>
          <t>EDA</t>
        </is>
      </c>
      <c r="G620" t="n">
        <v>3.5</v>
      </c>
      <c r="H620" t="n">
        <v>0</v>
      </c>
      <c r="I620" t="n">
        <v>0</v>
      </c>
      <c r="J620" t="n">
        <v>1</v>
      </c>
      <c r="K620" t="n">
        <v>0</v>
      </c>
      <c r="L620" t="n">
        <v>0</v>
      </c>
      <c r="M620" t="n">
        <v>0</v>
      </c>
      <c r="N620" t="n">
        <v>0</v>
      </c>
      <c r="O620" t="n">
        <v>1</v>
      </c>
      <c r="P620" t="n">
        <v>0</v>
      </c>
      <c r="Q620" t="n">
        <v>1</v>
      </c>
      <c r="R620" s="2" t="inlineStr">
        <is>
          <t>Vedtrappmossa</t>
        </is>
      </c>
      <c r="S620">
        <f>HYPERLINK("https://klasma.github.io/Logging_1730/artfynd/A 56492-2023 artfynd.xlsx", "A 56492-2023")</f>
        <v/>
      </c>
      <c r="T620">
        <f>HYPERLINK("https://klasma.github.io/Logging_1730/kartor/A 56492-2023 karta.png", "A 56492-2023")</f>
        <v/>
      </c>
      <c r="V620">
        <f>HYPERLINK("https://klasma.github.io/Logging_1730/klagomål/A 56492-2023 FSC-klagomål.docx", "A 56492-2023")</f>
        <v/>
      </c>
      <c r="W620">
        <f>HYPERLINK("https://klasma.github.io/Logging_1730/klagomålsmail/A 56492-2023 FSC-klagomål mail.docx", "A 56492-2023")</f>
        <v/>
      </c>
      <c r="X620">
        <f>HYPERLINK("https://klasma.github.io/Logging_1730/tillsyn/A 56492-2023 tillsynsbegäran.docx", "A 56492-2023")</f>
        <v/>
      </c>
      <c r="Y620">
        <f>HYPERLINK("https://klasma.github.io/Logging_1730/tillsynsmail/A 56492-2023 tillsynsbegäran mail.docx", "A 56492-2023")</f>
        <v/>
      </c>
    </row>
    <row r="621" ht="15" customHeight="1">
      <c r="A621" t="inlineStr">
        <is>
          <t>A 57523-2023</t>
        </is>
      </c>
      <c r="B621" s="1" t="n">
        <v>45246</v>
      </c>
      <c r="C621" s="1" t="n">
        <v>45810</v>
      </c>
      <c r="D621" t="inlineStr">
        <is>
          <t>VÄRMLANDS LÄN</t>
        </is>
      </c>
      <c r="E621" t="inlineStr">
        <is>
          <t>EDA</t>
        </is>
      </c>
      <c r="F621" t="inlineStr">
        <is>
          <t>Bergvik skog väst AB</t>
        </is>
      </c>
      <c r="G621" t="n">
        <v>12.6</v>
      </c>
      <c r="H621" t="n">
        <v>1</v>
      </c>
      <c r="I621" t="n">
        <v>0</v>
      </c>
      <c r="J621" t="n">
        <v>1</v>
      </c>
      <c r="K621" t="n">
        <v>0</v>
      </c>
      <c r="L621" t="n">
        <v>0</v>
      </c>
      <c r="M621" t="n">
        <v>0</v>
      </c>
      <c r="N621" t="n">
        <v>0</v>
      </c>
      <c r="O621" t="n">
        <v>1</v>
      </c>
      <c r="P621" t="n">
        <v>0</v>
      </c>
      <c r="Q621" t="n">
        <v>1</v>
      </c>
      <c r="R621" s="2" t="inlineStr">
        <is>
          <t>Talltita</t>
        </is>
      </c>
      <c r="S621">
        <f>HYPERLINK("https://klasma.github.io/Logging_1730/artfynd/A 57523-2023 artfynd.xlsx", "A 57523-2023")</f>
        <v/>
      </c>
      <c r="T621">
        <f>HYPERLINK("https://klasma.github.io/Logging_1730/kartor/A 57523-2023 karta.png", "A 57523-2023")</f>
        <v/>
      </c>
      <c r="V621">
        <f>HYPERLINK("https://klasma.github.io/Logging_1730/klagomål/A 57523-2023 FSC-klagomål.docx", "A 57523-2023")</f>
        <v/>
      </c>
      <c r="W621">
        <f>HYPERLINK("https://klasma.github.io/Logging_1730/klagomålsmail/A 57523-2023 FSC-klagomål mail.docx", "A 57523-2023")</f>
        <v/>
      </c>
      <c r="X621">
        <f>HYPERLINK("https://klasma.github.io/Logging_1730/tillsyn/A 57523-2023 tillsynsbegäran.docx", "A 57523-2023")</f>
        <v/>
      </c>
      <c r="Y621">
        <f>HYPERLINK("https://klasma.github.io/Logging_1730/tillsynsmail/A 57523-2023 tillsynsbegäran mail.docx", "A 57523-2023")</f>
        <v/>
      </c>
      <c r="Z621">
        <f>HYPERLINK("https://klasma.github.io/Logging_1730/fåglar/A 57523-2023 prioriterade fågelarter.docx", "A 57523-2023")</f>
        <v/>
      </c>
    </row>
    <row r="622" ht="15" customHeight="1">
      <c r="A622" t="inlineStr">
        <is>
          <t>A 57971-2023</t>
        </is>
      </c>
      <c r="B622" s="1" t="n">
        <v>45247</v>
      </c>
      <c r="C622" s="1" t="n">
        <v>45810</v>
      </c>
      <c r="D622" t="inlineStr">
        <is>
          <t>VÄRMLANDS LÄN</t>
        </is>
      </c>
      <c r="E622" t="inlineStr">
        <is>
          <t>TORSBY</t>
        </is>
      </c>
      <c r="G622" t="n">
        <v>12.4</v>
      </c>
      <c r="H622" t="n">
        <v>0</v>
      </c>
      <c r="I622" t="n">
        <v>0</v>
      </c>
      <c r="J622" t="n">
        <v>1</v>
      </c>
      <c r="K622" t="n">
        <v>0</v>
      </c>
      <c r="L622" t="n">
        <v>0</v>
      </c>
      <c r="M622" t="n">
        <v>0</v>
      </c>
      <c r="N622" t="n">
        <v>0</v>
      </c>
      <c r="O622" t="n">
        <v>1</v>
      </c>
      <c r="P622" t="n">
        <v>0</v>
      </c>
      <c r="Q622" t="n">
        <v>1</v>
      </c>
      <c r="R622" s="2" t="inlineStr">
        <is>
          <t>Garnlav</t>
        </is>
      </c>
      <c r="S622">
        <f>HYPERLINK("https://klasma.github.io/Logging_1737/artfynd/A 57971-2023 artfynd.xlsx", "A 57971-2023")</f>
        <v/>
      </c>
      <c r="T622">
        <f>HYPERLINK("https://klasma.github.io/Logging_1737/kartor/A 57971-2023 karta.png", "A 57971-2023")</f>
        <v/>
      </c>
      <c r="V622">
        <f>HYPERLINK("https://klasma.github.io/Logging_1737/klagomål/A 57971-2023 FSC-klagomål.docx", "A 57971-2023")</f>
        <v/>
      </c>
      <c r="W622">
        <f>HYPERLINK("https://klasma.github.io/Logging_1737/klagomålsmail/A 57971-2023 FSC-klagomål mail.docx", "A 57971-2023")</f>
        <v/>
      </c>
      <c r="X622">
        <f>HYPERLINK("https://klasma.github.io/Logging_1737/tillsyn/A 57971-2023 tillsynsbegäran.docx", "A 57971-2023")</f>
        <v/>
      </c>
      <c r="Y622">
        <f>HYPERLINK("https://klasma.github.io/Logging_1737/tillsynsmail/A 57971-2023 tillsynsbegäran mail.docx", "A 57971-2023")</f>
        <v/>
      </c>
    </row>
    <row r="623" ht="15" customHeight="1">
      <c r="A623" t="inlineStr">
        <is>
          <t>A 59055-2023</t>
        </is>
      </c>
      <c r="B623" s="1" t="n">
        <v>45252</v>
      </c>
      <c r="C623" s="1" t="n">
        <v>45810</v>
      </c>
      <c r="D623" t="inlineStr">
        <is>
          <t>VÄRMLANDS LÄN</t>
        </is>
      </c>
      <c r="E623" t="inlineStr">
        <is>
          <t>KARLSTAD</t>
        </is>
      </c>
      <c r="G623" t="n">
        <v>2.3</v>
      </c>
      <c r="H623" t="n">
        <v>1</v>
      </c>
      <c r="I623" t="n">
        <v>0</v>
      </c>
      <c r="J623" t="n">
        <v>1</v>
      </c>
      <c r="K623" t="n">
        <v>0</v>
      </c>
      <c r="L623" t="n">
        <v>0</v>
      </c>
      <c r="M623" t="n">
        <v>0</v>
      </c>
      <c r="N623" t="n">
        <v>0</v>
      </c>
      <c r="O623" t="n">
        <v>1</v>
      </c>
      <c r="P623" t="n">
        <v>0</v>
      </c>
      <c r="Q623" t="n">
        <v>1</v>
      </c>
      <c r="R623" s="2" t="inlineStr">
        <is>
          <t>Mindre hackspett</t>
        </is>
      </c>
      <c r="S623">
        <f>HYPERLINK("https://klasma.github.io/Logging_1780/artfynd/A 59055-2023 artfynd.xlsx", "A 59055-2023")</f>
        <v/>
      </c>
      <c r="T623">
        <f>HYPERLINK("https://klasma.github.io/Logging_1780/kartor/A 59055-2023 karta.png", "A 59055-2023")</f>
        <v/>
      </c>
      <c r="V623">
        <f>HYPERLINK("https://klasma.github.io/Logging_1780/klagomål/A 59055-2023 FSC-klagomål.docx", "A 59055-2023")</f>
        <v/>
      </c>
      <c r="W623">
        <f>HYPERLINK("https://klasma.github.io/Logging_1780/klagomålsmail/A 59055-2023 FSC-klagomål mail.docx", "A 59055-2023")</f>
        <v/>
      </c>
      <c r="X623">
        <f>HYPERLINK("https://klasma.github.io/Logging_1780/tillsyn/A 59055-2023 tillsynsbegäran.docx", "A 59055-2023")</f>
        <v/>
      </c>
      <c r="Y623">
        <f>HYPERLINK("https://klasma.github.io/Logging_1780/tillsynsmail/A 59055-2023 tillsynsbegäran mail.docx", "A 59055-2023")</f>
        <v/>
      </c>
      <c r="Z623">
        <f>HYPERLINK("https://klasma.github.io/Logging_1780/fåglar/A 59055-2023 prioriterade fågelarter.docx", "A 59055-2023")</f>
        <v/>
      </c>
    </row>
    <row r="624" ht="15" customHeight="1">
      <c r="A624" t="inlineStr">
        <is>
          <t>A 61004-2023</t>
        </is>
      </c>
      <c r="B624" s="1" t="n">
        <v>45261</v>
      </c>
      <c r="C624" s="1" t="n">
        <v>45810</v>
      </c>
      <c r="D624" t="inlineStr">
        <is>
          <t>VÄRMLANDS LÄN</t>
        </is>
      </c>
      <c r="E624" t="inlineStr">
        <is>
          <t>ARVIKA</t>
        </is>
      </c>
      <c r="G624" t="n">
        <v>3.6</v>
      </c>
      <c r="H624" t="n">
        <v>1</v>
      </c>
      <c r="I624" t="n">
        <v>0</v>
      </c>
      <c r="J624" t="n">
        <v>0</v>
      </c>
      <c r="K624" t="n">
        <v>1</v>
      </c>
      <c r="L624" t="n">
        <v>0</v>
      </c>
      <c r="M624" t="n">
        <v>0</v>
      </c>
      <c r="N624" t="n">
        <v>0</v>
      </c>
      <c r="O624" t="n">
        <v>1</v>
      </c>
      <c r="P624" t="n">
        <v>1</v>
      </c>
      <c r="Q624" t="n">
        <v>1</v>
      </c>
      <c r="R624" s="2" t="inlineStr">
        <is>
          <t>Knärot</t>
        </is>
      </c>
      <c r="S624">
        <f>HYPERLINK("https://klasma.github.io/Logging_1784/artfynd/A 61004-2023 artfynd.xlsx", "A 61004-2023")</f>
        <v/>
      </c>
      <c r="T624">
        <f>HYPERLINK("https://klasma.github.io/Logging_1784/kartor/A 61004-2023 karta.png", "A 61004-2023")</f>
        <v/>
      </c>
      <c r="U624">
        <f>HYPERLINK("https://klasma.github.io/Logging_1784/knärot/A 61004-2023 karta knärot.png", "A 61004-2023")</f>
        <v/>
      </c>
      <c r="V624">
        <f>HYPERLINK("https://klasma.github.io/Logging_1784/klagomål/A 61004-2023 FSC-klagomål.docx", "A 61004-2023")</f>
        <v/>
      </c>
      <c r="W624">
        <f>HYPERLINK("https://klasma.github.io/Logging_1784/klagomålsmail/A 61004-2023 FSC-klagomål mail.docx", "A 61004-2023")</f>
        <v/>
      </c>
      <c r="X624">
        <f>HYPERLINK("https://klasma.github.io/Logging_1784/tillsyn/A 61004-2023 tillsynsbegäran.docx", "A 61004-2023")</f>
        <v/>
      </c>
      <c r="Y624">
        <f>HYPERLINK("https://klasma.github.io/Logging_1784/tillsynsmail/A 61004-2023 tillsynsbegäran mail.docx", "A 61004-2023")</f>
        <v/>
      </c>
    </row>
    <row r="625" ht="15" customHeight="1">
      <c r="A625" t="inlineStr">
        <is>
          <t>A 61650-2023</t>
        </is>
      </c>
      <c r="B625" s="1" t="n">
        <v>45265</v>
      </c>
      <c r="C625" s="1" t="n">
        <v>45810</v>
      </c>
      <c r="D625" t="inlineStr">
        <is>
          <t>VÄRMLANDS LÄN</t>
        </is>
      </c>
      <c r="E625" t="inlineStr">
        <is>
          <t>KARLSTAD</t>
        </is>
      </c>
      <c r="G625" t="n">
        <v>4.4</v>
      </c>
      <c r="H625" t="n">
        <v>1</v>
      </c>
      <c r="I625" t="n">
        <v>0</v>
      </c>
      <c r="J625" t="n">
        <v>1</v>
      </c>
      <c r="K625" t="n">
        <v>0</v>
      </c>
      <c r="L625" t="n">
        <v>0</v>
      </c>
      <c r="M625" t="n">
        <v>0</v>
      </c>
      <c r="N625" t="n">
        <v>0</v>
      </c>
      <c r="O625" t="n">
        <v>1</v>
      </c>
      <c r="P625" t="n">
        <v>0</v>
      </c>
      <c r="Q625" t="n">
        <v>1</v>
      </c>
      <c r="R625" s="2" t="inlineStr">
        <is>
          <t>Spillkråka</t>
        </is>
      </c>
      <c r="S625">
        <f>HYPERLINK("https://klasma.github.io/Logging_1780/artfynd/A 61650-2023 artfynd.xlsx", "A 61650-2023")</f>
        <v/>
      </c>
      <c r="T625">
        <f>HYPERLINK("https://klasma.github.io/Logging_1780/kartor/A 61650-2023 karta.png", "A 61650-2023")</f>
        <v/>
      </c>
      <c r="V625">
        <f>HYPERLINK("https://klasma.github.io/Logging_1780/klagomål/A 61650-2023 FSC-klagomål.docx", "A 61650-2023")</f>
        <v/>
      </c>
      <c r="W625">
        <f>HYPERLINK("https://klasma.github.io/Logging_1780/klagomålsmail/A 61650-2023 FSC-klagomål mail.docx", "A 61650-2023")</f>
        <v/>
      </c>
      <c r="X625">
        <f>HYPERLINK("https://klasma.github.io/Logging_1780/tillsyn/A 61650-2023 tillsynsbegäran.docx", "A 61650-2023")</f>
        <v/>
      </c>
      <c r="Y625">
        <f>HYPERLINK("https://klasma.github.io/Logging_1780/tillsynsmail/A 61650-2023 tillsynsbegäran mail.docx", "A 61650-2023")</f>
        <v/>
      </c>
      <c r="Z625">
        <f>HYPERLINK("https://klasma.github.io/Logging_1780/fåglar/A 61650-2023 prioriterade fågelarter.docx", "A 61650-2023")</f>
        <v/>
      </c>
    </row>
    <row r="626" ht="15" customHeight="1">
      <c r="A626" t="inlineStr">
        <is>
          <t>A 61654-2023</t>
        </is>
      </c>
      <c r="B626" s="1" t="n">
        <v>45265</v>
      </c>
      <c r="C626" s="1" t="n">
        <v>45810</v>
      </c>
      <c r="D626" t="inlineStr">
        <is>
          <t>VÄRMLANDS LÄN</t>
        </is>
      </c>
      <c r="E626" t="inlineStr">
        <is>
          <t>KARLSTAD</t>
        </is>
      </c>
      <c r="G626" t="n">
        <v>0.7</v>
      </c>
      <c r="H626" t="n">
        <v>1</v>
      </c>
      <c r="I626" t="n">
        <v>0</v>
      </c>
      <c r="J626" t="n">
        <v>0</v>
      </c>
      <c r="K626" t="n">
        <v>0</v>
      </c>
      <c r="L626" t="n">
        <v>0</v>
      </c>
      <c r="M626" t="n">
        <v>0</v>
      </c>
      <c r="N626" t="n">
        <v>0</v>
      </c>
      <c r="O626" t="n">
        <v>0</v>
      </c>
      <c r="P626" t="n">
        <v>0</v>
      </c>
      <c r="Q626" t="n">
        <v>1</v>
      </c>
      <c r="R626" s="2" t="inlineStr">
        <is>
          <t>Gråkråka</t>
        </is>
      </c>
      <c r="S626">
        <f>HYPERLINK("https://klasma.github.io/Logging_1780/artfynd/A 61654-2023 artfynd.xlsx", "A 61654-2023")</f>
        <v/>
      </c>
      <c r="T626">
        <f>HYPERLINK("https://klasma.github.io/Logging_1780/kartor/A 61654-2023 karta.png", "A 61654-2023")</f>
        <v/>
      </c>
      <c r="V626">
        <f>HYPERLINK("https://klasma.github.io/Logging_1780/klagomål/A 61654-2023 FSC-klagomål.docx", "A 61654-2023")</f>
        <v/>
      </c>
      <c r="W626">
        <f>HYPERLINK("https://klasma.github.io/Logging_1780/klagomålsmail/A 61654-2023 FSC-klagomål mail.docx", "A 61654-2023")</f>
        <v/>
      </c>
      <c r="X626">
        <f>HYPERLINK("https://klasma.github.io/Logging_1780/tillsyn/A 61654-2023 tillsynsbegäran.docx", "A 61654-2023")</f>
        <v/>
      </c>
      <c r="Y626">
        <f>HYPERLINK("https://klasma.github.io/Logging_1780/tillsynsmail/A 61654-2023 tillsynsbegäran mail.docx", "A 61654-2023")</f>
        <v/>
      </c>
    </row>
    <row r="627" ht="15" customHeight="1">
      <c r="A627" t="inlineStr">
        <is>
          <t>A 61939-2023</t>
        </is>
      </c>
      <c r="B627" s="1" t="n">
        <v>45266</v>
      </c>
      <c r="C627" s="1" t="n">
        <v>45810</v>
      </c>
      <c r="D627" t="inlineStr">
        <is>
          <t>VÄRMLANDS LÄN</t>
        </is>
      </c>
      <c r="E627" t="inlineStr">
        <is>
          <t>FILIPSTAD</t>
        </is>
      </c>
      <c r="F627" t="inlineStr">
        <is>
          <t>Bergvik skog väst AB</t>
        </is>
      </c>
      <c r="G627" t="n">
        <v>3.5</v>
      </c>
      <c r="H627" t="n">
        <v>1</v>
      </c>
      <c r="I627" t="n">
        <v>0</v>
      </c>
      <c r="J627" t="n">
        <v>0</v>
      </c>
      <c r="K627" t="n">
        <v>0</v>
      </c>
      <c r="L627" t="n">
        <v>0</v>
      </c>
      <c r="M627" t="n">
        <v>0</v>
      </c>
      <c r="N627" t="n">
        <v>0</v>
      </c>
      <c r="O627" t="n">
        <v>0</v>
      </c>
      <c r="P627" t="n">
        <v>0</v>
      </c>
      <c r="Q627" t="n">
        <v>1</v>
      </c>
      <c r="R627" s="2" t="inlineStr">
        <is>
          <t>Nattviol</t>
        </is>
      </c>
      <c r="S627">
        <f>HYPERLINK("https://klasma.github.io/Logging_1782/artfynd/A 61939-2023 artfynd.xlsx", "A 61939-2023")</f>
        <v/>
      </c>
      <c r="T627">
        <f>HYPERLINK("https://klasma.github.io/Logging_1782/kartor/A 61939-2023 karta.png", "A 61939-2023")</f>
        <v/>
      </c>
      <c r="V627">
        <f>HYPERLINK("https://klasma.github.io/Logging_1782/klagomål/A 61939-2023 FSC-klagomål.docx", "A 61939-2023")</f>
        <v/>
      </c>
      <c r="W627">
        <f>HYPERLINK("https://klasma.github.io/Logging_1782/klagomålsmail/A 61939-2023 FSC-klagomål mail.docx", "A 61939-2023")</f>
        <v/>
      </c>
      <c r="X627">
        <f>HYPERLINK("https://klasma.github.io/Logging_1782/tillsyn/A 61939-2023 tillsynsbegäran.docx", "A 61939-2023")</f>
        <v/>
      </c>
      <c r="Y627">
        <f>HYPERLINK("https://klasma.github.io/Logging_1782/tillsynsmail/A 61939-2023 tillsynsbegäran mail.docx", "A 61939-2023")</f>
        <v/>
      </c>
    </row>
    <row r="628" ht="15" customHeight="1">
      <c r="A628" t="inlineStr">
        <is>
          <t>A 61911-2023</t>
        </is>
      </c>
      <c r="B628" s="1" t="n">
        <v>45266</v>
      </c>
      <c r="C628" s="1" t="n">
        <v>45810</v>
      </c>
      <c r="D628" t="inlineStr">
        <is>
          <t>VÄRMLANDS LÄN</t>
        </is>
      </c>
      <c r="E628" t="inlineStr">
        <is>
          <t>TORSBY</t>
        </is>
      </c>
      <c r="F628" t="inlineStr">
        <is>
          <t>Kommuner</t>
        </is>
      </c>
      <c r="G628" t="n">
        <v>9.1</v>
      </c>
      <c r="H628" t="n">
        <v>0</v>
      </c>
      <c r="I628" t="n">
        <v>0</v>
      </c>
      <c r="J628" t="n">
        <v>1</v>
      </c>
      <c r="K628" t="n">
        <v>0</v>
      </c>
      <c r="L628" t="n">
        <v>0</v>
      </c>
      <c r="M628" t="n">
        <v>0</v>
      </c>
      <c r="N628" t="n">
        <v>0</v>
      </c>
      <c r="O628" t="n">
        <v>1</v>
      </c>
      <c r="P628" t="n">
        <v>0</v>
      </c>
      <c r="Q628" t="n">
        <v>1</v>
      </c>
      <c r="R628" s="2" t="inlineStr">
        <is>
          <t>Dvärgbägarlav</t>
        </is>
      </c>
      <c r="S628">
        <f>HYPERLINK("https://klasma.github.io/Logging_1737/artfynd/A 61911-2023 artfynd.xlsx", "A 61911-2023")</f>
        <v/>
      </c>
      <c r="T628">
        <f>HYPERLINK("https://klasma.github.io/Logging_1737/kartor/A 61911-2023 karta.png", "A 61911-2023")</f>
        <v/>
      </c>
      <c r="V628">
        <f>HYPERLINK("https://klasma.github.io/Logging_1737/klagomål/A 61911-2023 FSC-klagomål.docx", "A 61911-2023")</f>
        <v/>
      </c>
      <c r="W628">
        <f>HYPERLINK("https://klasma.github.io/Logging_1737/klagomålsmail/A 61911-2023 FSC-klagomål mail.docx", "A 61911-2023")</f>
        <v/>
      </c>
      <c r="X628">
        <f>HYPERLINK("https://klasma.github.io/Logging_1737/tillsyn/A 61911-2023 tillsynsbegäran.docx", "A 61911-2023")</f>
        <v/>
      </c>
      <c r="Y628">
        <f>HYPERLINK("https://klasma.github.io/Logging_1737/tillsynsmail/A 61911-2023 tillsynsbegäran mail.docx", "A 61911-2023")</f>
        <v/>
      </c>
    </row>
    <row r="629" ht="15" customHeight="1">
      <c r="A629" t="inlineStr">
        <is>
          <t>A 500-2024</t>
        </is>
      </c>
      <c r="B629" s="1" t="n">
        <v>45299</v>
      </c>
      <c r="C629" s="1" t="n">
        <v>45810</v>
      </c>
      <c r="D629" t="inlineStr">
        <is>
          <t>VÄRMLANDS LÄN</t>
        </is>
      </c>
      <c r="E629" t="inlineStr">
        <is>
          <t>ÅRJÄNG</t>
        </is>
      </c>
      <c r="F629" t="inlineStr">
        <is>
          <t>Kyrkan</t>
        </is>
      </c>
      <c r="G629" t="n">
        <v>5.4</v>
      </c>
      <c r="H629" t="n">
        <v>0</v>
      </c>
      <c r="I629" t="n">
        <v>0</v>
      </c>
      <c r="J629" t="n">
        <v>1</v>
      </c>
      <c r="K629" t="n">
        <v>0</v>
      </c>
      <c r="L629" t="n">
        <v>0</v>
      </c>
      <c r="M629" t="n">
        <v>0</v>
      </c>
      <c r="N629" t="n">
        <v>0</v>
      </c>
      <c r="O629" t="n">
        <v>1</v>
      </c>
      <c r="P629" t="n">
        <v>0</v>
      </c>
      <c r="Q629" t="n">
        <v>1</v>
      </c>
      <c r="R629" s="2" t="inlineStr">
        <is>
          <t>Skogsklocka</t>
        </is>
      </c>
      <c r="S629">
        <f>HYPERLINK("https://klasma.github.io/Logging_1765/artfynd/A 500-2024 artfynd.xlsx", "A 500-2024")</f>
        <v/>
      </c>
      <c r="T629">
        <f>HYPERLINK("https://klasma.github.io/Logging_1765/kartor/A 500-2024 karta.png", "A 500-2024")</f>
        <v/>
      </c>
      <c r="V629">
        <f>HYPERLINK("https://klasma.github.io/Logging_1765/klagomål/A 500-2024 FSC-klagomål.docx", "A 500-2024")</f>
        <v/>
      </c>
      <c r="W629">
        <f>HYPERLINK("https://klasma.github.io/Logging_1765/klagomålsmail/A 500-2024 FSC-klagomål mail.docx", "A 500-2024")</f>
        <v/>
      </c>
      <c r="X629">
        <f>HYPERLINK("https://klasma.github.io/Logging_1765/tillsyn/A 500-2024 tillsynsbegäran.docx", "A 500-2024")</f>
        <v/>
      </c>
      <c r="Y629">
        <f>HYPERLINK("https://klasma.github.io/Logging_1765/tillsynsmail/A 500-2024 tillsynsbegäran mail.docx", "A 500-2024")</f>
        <v/>
      </c>
    </row>
    <row r="630" ht="15" customHeight="1">
      <c r="A630" t="inlineStr">
        <is>
          <t>A 538-2024</t>
        </is>
      </c>
      <c r="B630" s="1" t="n">
        <v>45299</v>
      </c>
      <c r="C630" s="1" t="n">
        <v>45810</v>
      </c>
      <c r="D630" t="inlineStr">
        <is>
          <t>VÄRMLANDS LÄN</t>
        </is>
      </c>
      <c r="E630" t="inlineStr">
        <is>
          <t>SUNNE</t>
        </is>
      </c>
      <c r="G630" t="n">
        <v>3.1</v>
      </c>
      <c r="H630" t="n">
        <v>0</v>
      </c>
      <c r="I630" t="n">
        <v>0</v>
      </c>
      <c r="J630" t="n">
        <v>1</v>
      </c>
      <c r="K630" t="n">
        <v>0</v>
      </c>
      <c r="L630" t="n">
        <v>0</v>
      </c>
      <c r="M630" t="n">
        <v>0</v>
      </c>
      <c r="N630" t="n">
        <v>0</v>
      </c>
      <c r="O630" t="n">
        <v>1</v>
      </c>
      <c r="P630" t="n">
        <v>0</v>
      </c>
      <c r="Q630" t="n">
        <v>1</v>
      </c>
      <c r="R630" s="2" t="inlineStr">
        <is>
          <t>Garnlav</t>
        </is>
      </c>
      <c r="S630">
        <f>HYPERLINK("https://klasma.github.io/Logging_1766/artfynd/A 538-2024 artfynd.xlsx", "A 538-2024")</f>
        <v/>
      </c>
      <c r="T630">
        <f>HYPERLINK("https://klasma.github.io/Logging_1766/kartor/A 538-2024 karta.png", "A 538-2024")</f>
        <v/>
      </c>
      <c r="V630">
        <f>HYPERLINK("https://klasma.github.io/Logging_1766/klagomål/A 538-2024 FSC-klagomål.docx", "A 538-2024")</f>
        <v/>
      </c>
      <c r="W630">
        <f>HYPERLINK("https://klasma.github.io/Logging_1766/klagomålsmail/A 538-2024 FSC-klagomål mail.docx", "A 538-2024")</f>
        <v/>
      </c>
      <c r="X630">
        <f>HYPERLINK("https://klasma.github.io/Logging_1766/tillsyn/A 538-2024 tillsynsbegäran.docx", "A 538-2024")</f>
        <v/>
      </c>
      <c r="Y630">
        <f>HYPERLINK("https://klasma.github.io/Logging_1766/tillsynsmail/A 538-2024 tillsynsbegäran mail.docx", "A 538-2024")</f>
        <v/>
      </c>
    </row>
    <row r="631" ht="15" customHeight="1">
      <c r="A631" t="inlineStr">
        <is>
          <t>A 1387-2024</t>
        </is>
      </c>
      <c r="B631" s="1" t="n">
        <v>45303</v>
      </c>
      <c r="C631" s="1" t="n">
        <v>45810</v>
      </c>
      <c r="D631" t="inlineStr">
        <is>
          <t>VÄRMLANDS LÄN</t>
        </is>
      </c>
      <c r="E631" t="inlineStr">
        <is>
          <t>HAGFORS</t>
        </is>
      </c>
      <c r="F631" t="inlineStr">
        <is>
          <t>Bergvik skog väst AB</t>
        </is>
      </c>
      <c r="G631" t="n">
        <v>64.90000000000001</v>
      </c>
      <c r="H631" t="n">
        <v>1</v>
      </c>
      <c r="I631" t="n">
        <v>0</v>
      </c>
      <c r="J631" t="n">
        <v>0</v>
      </c>
      <c r="K631" t="n">
        <v>0</v>
      </c>
      <c r="L631" t="n">
        <v>0</v>
      </c>
      <c r="M631" t="n">
        <v>0</v>
      </c>
      <c r="N631" t="n">
        <v>0</v>
      </c>
      <c r="O631" t="n">
        <v>0</v>
      </c>
      <c r="P631" t="n">
        <v>0</v>
      </c>
      <c r="Q631" t="n">
        <v>1</v>
      </c>
      <c r="R631" s="2" t="inlineStr">
        <is>
          <t>Trana</t>
        </is>
      </c>
      <c r="S631">
        <f>HYPERLINK("https://klasma.github.io/Logging_1783/artfynd/A 1387-2024 artfynd.xlsx", "A 1387-2024")</f>
        <v/>
      </c>
      <c r="T631">
        <f>HYPERLINK("https://klasma.github.io/Logging_1783/kartor/A 1387-2024 karta.png", "A 1387-2024")</f>
        <v/>
      </c>
      <c r="V631">
        <f>HYPERLINK("https://klasma.github.io/Logging_1783/klagomål/A 1387-2024 FSC-klagomål.docx", "A 1387-2024")</f>
        <v/>
      </c>
      <c r="W631">
        <f>HYPERLINK("https://klasma.github.io/Logging_1783/klagomålsmail/A 1387-2024 FSC-klagomål mail.docx", "A 1387-2024")</f>
        <v/>
      </c>
      <c r="X631">
        <f>HYPERLINK("https://klasma.github.io/Logging_1783/tillsyn/A 1387-2024 tillsynsbegäran.docx", "A 1387-2024")</f>
        <v/>
      </c>
      <c r="Y631">
        <f>HYPERLINK("https://klasma.github.io/Logging_1783/tillsynsmail/A 1387-2024 tillsynsbegäran mail.docx", "A 1387-2024")</f>
        <v/>
      </c>
      <c r="Z631">
        <f>HYPERLINK("https://klasma.github.io/Logging_1783/fåglar/A 1387-2024 prioriterade fågelarter.docx", "A 1387-2024")</f>
        <v/>
      </c>
    </row>
    <row r="632" ht="15" customHeight="1">
      <c r="A632" t="inlineStr">
        <is>
          <t>A 1811-2024</t>
        </is>
      </c>
      <c r="B632" s="1" t="n">
        <v>45307</v>
      </c>
      <c r="C632" s="1" t="n">
        <v>45810</v>
      </c>
      <c r="D632" t="inlineStr">
        <is>
          <t>VÄRMLANDS LÄN</t>
        </is>
      </c>
      <c r="E632" t="inlineStr">
        <is>
          <t>TORSBY</t>
        </is>
      </c>
      <c r="G632" t="n">
        <v>12.1</v>
      </c>
      <c r="H632" t="n">
        <v>1</v>
      </c>
      <c r="I632" t="n">
        <v>0</v>
      </c>
      <c r="J632" t="n">
        <v>0</v>
      </c>
      <c r="K632" t="n">
        <v>0</v>
      </c>
      <c r="L632" t="n">
        <v>0</v>
      </c>
      <c r="M632" t="n">
        <v>0</v>
      </c>
      <c r="N632" t="n">
        <v>0</v>
      </c>
      <c r="O632" t="n">
        <v>0</v>
      </c>
      <c r="P632" t="n">
        <v>0</v>
      </c>
      <c r="Q632" t="n">
        <v>1</v>
      </c>
      <c r="R632" s="2" t="inlineStr">
        <is>
          <t>Revlummer</t>
        </is>
      </c>
      <c r="S632">
        <f>HYPERLINK("https://klasma.github.io/Logging_1737/artfynd/A 1811-2024 artfynd.xlsx", "A 1811-2024")</f>
        <v/>
      </c>
      <c r="T632">
        <f>HYPERLINK("https://klasma.github.io/Logging_1737/kartor/A 1811-2024 karta.png", "A 1811-2024")</f>
        <v/>
      </c>
      <c r="V632">
        <f>HYPERLINK("https://klasma.github.io/Logging_1737/klagomål/A 1811-2024 FSC-klagomål.docx", "A 1811-2024")</f>
        <v/>
      </c>
      <c r="W632">
        <f>HYPERLINK("https://klasma.github.io/Logging_1737/klagomålsmail/A 1811-2024 FSC-klagomål mail.docx", "A 1811-2024")</f>
        <v/>
      </c>
      <c r="X632">
        <f>HYPERLINK("https://klasma.github.io/Logging_1737/tillsyn/A 1811-2024 tillsynsbegäran.docx", "A 1811-2024")</f>
        <v/>
      </c>
      <c r="Y632">
        <f>HYPERLINK("https://klasma.github.io/Logging_1737/tillsynsmail/A 1811-2024 tillsynsbegäran mail.docx", "A 1811-2024")</f>
        <v/>
      </c>
    </row>
    <row r="633" ht="15" customHeight="1">
      <c r="A633" t="inlineStr">
        <is>
          <t>A 2039-2024</t>
        </is>
      </c>
      <c r="B633" s="1" t="n">
        <v>45308</v>
      </c>
      <c r="C633" s="1" t="n">
        <v>45810</v>
      </c>
      <c r="D633" t="inlineStr">
        <is>
          <t>VÄRMLANDS LÄN</t>
        </is>
      </c>
      <c r="E633" t="inlineStr">
        <is>
          <t>TORSBY</t>
        </is>
      </c>
      <c r="G633" t="n">
        <v>6.4</v>
      </c>
      <c r="H633" t="n">
        <v>1</v>
      </c>
      <c r="I633" t="n">
        <v>0</v>
      </c>
      <c r="J633" t="n">
        <v>1</v>
      </c>
      <c r="K633" t="n">
        <v>0</v>
      </c>
      <c r="L633" t="n">
        <v>0</v>
      </c>
      <c r="M633" t="n">
        <v>0</v>
      </c>
      <c r="N633" t="n">
        <v>0</v>
      </c>
      <c r="O633" t="n">
        <v>1</v>
      </c>
      <c r="P633" t="n">
        <v>0</v>
      </c>
      <c r="Q633" t="n">
        <v>1</v>
      </c>
      <c r="R633" s="2" t="inlineStr">
        <is>
          <t>Kungsörn</t>
        </is>
      </c>
      <c r="S633">
        <f>HYPERLINK("https://klasma.github.io/Logging_1737/artfynd/A 2039-2024 artfynd.xlsx", "A 2039-2024")</f>
        <v/>
      </c>
      <c r="T633">
        <f>HYPERLINK("https://klasma.github.io/Logging_1737/kartor/A 2039-2024 karta.png", "A 2039-2024")</f>
        <v/>
      </c>
      <c r="V633">
        <f>HYPERLINK("https://klasma.github.io/Logging_1737/klagomål/A 2039-2024 FSC-klagomål.docx", "A 2039-2024")</f>
        <v/>
      </c>
      <c r="W633">
        <f>HYPERLINK("https://klasma.github.io/Logging_1737/klagomålsmail/A 2039-2024 FSC-klagomål mail.docx", "A 2039-2024")</f>
        <v/>
      </c>
      <c r="X633">
        <f>HYPERLINK("https://klasma.github.io/Logging_1737/tillsyn/A 2039-2024 tillsynsbegäran.docx", "A 2039-2024")</f>
        <v/>
      </c>
      <c r="Y633">
        <f>HYPERLINK("https://klasma.github.io/Logging_1737/tillsynsmail/A 2039-2024 tillsynsbegäran mail.docx", "A 2039-2024")</f>
        <v/>
      </c>
      <c r="Z633">
        <f>HYPERLINK("https://klasma.github.io/Logging_1737/fåglar/A 2039-2024 prioriterade fågelarter.docx", "A 2039-2024")</f>
        <v/>
      </c>
    </row>
    <row r="634" ht="15" customHeight="1">
      <c r="A634" t="inlineStr">
        <is>
          <t>A 2383-2024</t>
        </is>
      </c>
      <c r="B634" s="1" t="n">
        <v>45310</v>
      </c>
      <c r="C634" s="1" t="n">
        <v>45810</v>
      </c>
      <c r="D634" t="inlineStr">
        <is>
          <t>VÄRMLANDS LÄN</t>
        </is>
      </c>
      <c r="E634" t="inlineStr">
        <is>
          <t>EDA</t>
        </is>
      </c>
      <c r="G634" t="n">
        <v>2.2</v>
      </c>
      <c r="H634" t="n">
        <v>1</v>
      </c>
      <c r="I634" t="n">
        <v>0</v>
      </c>
      <c r="J634" t="n">
        <v>0</v>
      </c>
      <c r="K634" t="n">
        <v>0</v>
      </c>
      <c r="L634" t="n">
        <v>0</v>
      </c>
      <c r="M634" t="n">
        <v>0</v>
      </c>
      <c r="N634" t="n">
        <v>0</v>
      </c>
      <c r="O634" t="n">
        <v>0</v>
      </c>
      <c r="P634" t="n">
        <v>0</v>
      </c>
      <c r="Q634" t="n">
        <v>1</v>
      </c>
      <c r="R634" s="2" t="inlineStr">
        <is>
          <t>Blåsippa</t>
        </is>
      </c>
      <c r="S634">
        <f>HYPERLINK("https://klasma.github.io/Logging_1730/artfynd/A 2383-2024 artfynd.xlsx", "A 2383-2024")</f>
        <v/>
      </c>
      <c r="T634">
        <f>HYPERLINK("https://klasma.github.io/Logging_1730/kartor/A 2383-2024 karta.png", "A 2383-2024")</f>
        <v/>
      </c>
      <c r="U634">
        <f>HYPERLINK("https://klasma.github.io/Logging_1730/knärot/A 2383-2024 karta knärot.png", "A 2383-2024")</f>
        <v/>
      </c>
      <c r="V634">
        <f>HYPERLINK("https://klasma.github.io/Logging_1730/klagomål/A 2383-2024 FSC-klagomål.docx", "A 2383-2024")</f>
        <v/>
      </c>
      <c r="W634">
        <f>HYPERLINK("https://klasma.github.io/Logging_1730/klagomålsmail/A 2383-2024 FSC-klagomål mail.docx", "A 2383-2024")</f>
        <v/>
      </c>
      <c r="X634">
        <f>HYPERLINK("https://klasma.github.io/Logging_1730/tillsyn/A 2383-2024 tillsynsbegäran.docx", "A 2383-2024")</f>
        <v/>
      </c>
      <c r="Y634">
        <f>HYPERLINK("https://klasma.github.io/Logging_1730/tillsynsmail/A 2383-2024 tillsynsbegäran mail.docx", "A 2383-2024")</f>
        <v/>
      </c>
    </row>
    <row r="635" ht="15" customHeight="1">
      <c r="A635" t="inlineStr">
        <is>
          <t>A 4134-2024</t>
        </is>
      </c>
      <c r="B635" s="1" t="n">
        <v>45323</v>
      </c>
      <c r="C635" s="1" t="n">
        <v>45810</v>
      </c>
      <c r="D635" t="inlineStr">
        <is>
          <t>VÄRMLANDS LÄN</t>
        </is>
      </c>
      <c r="E635" t="inlineStr">
        <is>
          <t>SÄFFLE</t>
        </is>
      </c>
      <c r="G635" t="n">
        <v>4.1</v>
      </c>
      <c r="H635" t="n">
        <v>0</v>
      </c>
      <c r="I635" t="n">
        <v>0</v>
      </c>
      <c r="J635" t="n">
        <v>0</v>
      </c>
      <c r="K635" t="n">
        <v>0</v>
      </c>
      <c r="L635" t="n">
        <v>1</v>
      </c>
      <c r="M635" t="n">
        <v>0</v>
      </c>
      <c r="N635" t="n">
        <v>0</v>
      </c>
      <c r="O635" t="n">
        <v>1</v>
      </c>
      <c r="P635" t="n">
        <v>1</v>
      </c>
      <c r="Q635" t="n">
        <v>1</v>
      </c>
      <c r="R635" s="2" t="inlineStr">
        <is>
          <t>Ryl</t>
        </is>
      </c>
      <c r="S635">
        <f>HYPERLINK("https://klasma.github.io/Logging_1785/artfynd/A 4134-2024 artfynd.xlsx", "A 4134-2024")</f>
        <v/>
      </c>
      <c r="T635">
        <f>HYPERLINK("https://klasma.github.io/Logging_1785/kartor/A 4134-2024 karta.png", "A 4134-2024")</f>
        <v/>
      </c>
      <c r="V635">
        <f>HYPERLINK("https://klasma.github.io/Logging_1785/klagomål/A 4134-2024 FSC-klagomål.docx", "A 4134-2024")</f>
        <v/>
      </c>
      <c r="W635">
        <f>HYPERLINK("https://klasma.github.io/Logging_1785/klagomålsmail/A 4134-2024 FSC-klagomål mail.docx", "A 4134-2024")</f>
        <v/>
      </c>
      <c r="X635">
        <f>HYPERLINK("https://klasma.github.io/Logging_1785/tillsyn/A 4134-2024 tillsynsbegäran.docx", "A 4134-2024")</f>
        <v/>
      </c>
      <c r="Y635">
        <f>HYPERLINK("https://klasma.github.io/Logging_1785/tillsynsmail/A 4134-2024 tillsynsbegäran mail.docx", "A 4134-2024")</f>
        <v/>
      </c>
    </row>
    <row r="636" ht="15" customHeight="1">
      <c r="A636" t="inlineStr">
        <is>
          <t>A 4985-2024</t>
        </is>
      </c>
      <c r="B636" s="1" t="n">
        <v>45329</v>
      </c>
      <c r="C636" s="1" t="n">
        <v>45810</v>
      </c>
      <c r="D636" t="inlineStr">
        <is>
          <t>VÄRMLANDS LÄN</t>
        </is>
      </c>
      <c r="E636" t="inlineStr">
        <is>
          <t>TORSBY</t>
        </is>
      </c>
      <c r="G636" t="n">
        <v>4.9</v>
      </c>
      <c r="H636" t="n">
        <v>0</v>
      </c>
      <c r="I636" t="n">
        <v>0</v>
      </c>
      <c r="J636" t="n">
        <v>1</v>
      </c>
      <c r="K636" t="n">
        <v>0</v>
      </c>
      <c r="L636" t="n">
        <v>0</v>
      </c>
      <c r="M636" t="n">
        <v>0</v>
      </c>
      <c r="N636" t="n">
        <v>0</v>
      </c>
      <c r="O636" t="n">
        <v>1</v>
      </c>
      <c r="P636" t="n">
        <v>0</v>
      </c>
      <c r="Q636" t="n">
        <v>1</v>
      </c>
      <c r="R636" s="2" t="inlineStr">
        <is>
          <t>Garnlav</t>
        </is>
      </c>
      <c r="S636">
        <f>HYPERLINK("https://klasma.github.io/Logging_1737/artfynd/A 4985-2024 artfynd.xlsx", "A 4985-2024")</f>
        <v/>
      </c>
      <c r="T636">
        <f>HYPERLINK("https://klasma.github.io/Logging_1737/kartor/A 4985-2024 karta.png", "A 4985-2024")</f>
        <v/>
      </c>
      <c r="V636">
        <f>HYPERLINK("https://klasma.github.io/Logging_1737/klagomål/A 4985-2024 FSC-klagomål.docx", "A 4985-2024")</f>
        <v/>
      </c>
      <c r="W636">
        <f>HYPERLINK("https://klasma.github.io/Logging_1737/klagomålsmail/A 4985-2024 FSC-klagomål mail.docx", "A 4985-2024")</f>
        <v/>
      </c>
      <c r="X636">
        <f>HYPERLINK("https://klasma.github.io/Logging_1737/tillsyn/A 4985-2024 tillsynsbegäran.docx", "A 4985-2024")</f>
        <v/>
      </c>
      <c r="Y636">
        <f>HYPERLINK("https://klasma.github.io/Logging_1737/tillsynsmail/A 4985-2024 tillsynsbegäran mail.docx", "A 4985-2024")</f>
        <v/>
      </c>
    </row>
    <row r="637" ht="15" customHeight="1">
      <c r="A637" t="inlineStr">
        <is>
          <t>A 5806-2024</t>
        </is>
      </c>
      <c r="B637" s="1" t="n">
        <v>45335</v>
      </c>
      <c r="C637" s="1" t="n">
        <v>45810</v>
      </c>
      <c r="D637" t="inlineStr">
        <is>
          <t>VÄRMLANDS LÄN</t>
        </is>
      </c>
      <c r="E637" t="inlineStr">
        <is>
          <t>ÅRJÄNG</t>
        </is>
      </c>
      <c r="G637" t="n">
        <v>1.5</v>
      </c>
      <c r="H637" t="n">
        <v>1</v>
      </c>
      <c r="I637" t="n">
        <v>0</v>
      </c>
      <c r="J637" t="n">
        <v>0</v>
      </c>
      <c r="K637" t="n">
        <v>0</v>
      </c>
      <c r="L637" t="n">
        <v>0</v>
      </c>
      <c r="M637" t="n">
        <v>0</v>
      </c>
      <c r="N637" t="n">
        <v>0</v>
      </c>
      <c r="O637" t="n">
        <v>0</v>
      </c>
      <c r="P637" t="n">
        <v>0</v>
      </c>
      <c r="Q637" t="n">
        <v>1</v>
      </c>
      <c r="R637" s="2" t="inlineStr">
        <is>
          <t>Mattlummer</t>
        </is>
      </c>
      <c r="S637">
        <f>HYPERLINK("https://klasma.github.io/Logging_1765/artfynd/A 5806-2024 artfynd.xlsx", "A 5806-2024")</f>
        <v/>
      </c>
      <c r="T637">
        <f>HYPERLINK("https://klasma.github.io/Logging_1765/kartor/A 5806-2024 karta.png", "A 5806-2024")</f>
        <v/>
      </c>
      <c r="V637">
        <f>HYPERLINK("https://klasma.github.io/Logging_1765/klagomål/A 5806-2024 FSC-klagomål.docx", "A 5806-2024")</f>
        <v/>
      </c>
      <c r="W637">
        <f>HYPERLINK("https://klasma.github.io/Logging_1765/klagomålsmail/A 5806-2024 FSC-klagomål mail.docx", "A 5806-2024")</f>
        <v/>
      </c>
      <c r="X637">
        <f>HYPERLINK("https://klasma.github.io/Logging_1765/tillsyn/A 5806-2024 tillsynsbegäran.docx", "A 5806-2024")</f>
        <v/>
      </c>
      <c r="Y637">
        <f>HYPERLINK("https://klasma.github.io/Logging_1765/tillsynsmail/A 5806-2024 tillsynsbegäran mail.docx", "A 5806-2024")</f>
        <v/>
      </c>
    </row>
    <row r="638" ht="15" customHeight="1">
      <c r="A638" t="inlineStr">
        <is>
          <t>A 6132-2024</t>
        </is>
      </c>
      <c r="B638" s="1" t="n">
        <v>45337</v>
      </c>
      <c r="C638" s="1" t="n">
        <v>45810</v>
      </c>
      <c r="D638" t="inlineStr">
        <is>
          <t>VÄRMLANDS LÄN</t>
        </is>
      </c>
      <c r="E638" t="inlineStr">
        <is>
          <t>HAGFORS</t>
        </is>
      </c>
      <c r="G638" t="n">
        <v>3.6</v>
      </c>
      <c r="H638" t="n">
        <v>0</v>
      </c>
      <c r="I638" t="n">
        <v>1</v>
      </c>
      <c r="J638" t="n">
        <v>0</v>
      </c>
      <c r="K638" t="n">
        <v>0</v>
      </c>
      <c r="L638" t="n">
        <v>0</v>
      </c>
      <c r="M638" t="n">
        <v>0</v>
      </c>
      <c r="N638" t="n">
        <v>0</v>
      </c>
      <c r="O638" t="n">
        <v>0</v>
      </c>
      <c r="P638" t="n">
        <v>0</v>
      </c>
      <c r="Q638" t="n">
        <v>1</v>
      </c>
      <c r="R638" s="2" t="inlineStr">
        <is>
          <t>Mindre märgborre</t>
        </is>
      </c>
      <c r="S638">
        <f>HYPERLINK("https://klasma.github.io/Logging_1783/artfynd/A 6132-2024 artfynd.xlsx", "A 6132-2024")</f>
        <v/>
      </c>
      <c r="T638">
        <f>HYPERLINK("https://klasma.github.io/Logging_1783/kartor/A 6132-2024 karta.png", "A 6132-2024")</f>
        <v/>
      </c>
      <c r="V638">
        <f>HYPERLINK("https://klasma.github.io/Logging_1783/klagomål/A 6132-2024 FSC-klagomål.docx", "A 6132-2024")</f>
        <v/>
      </c>
      <c r="W638">
        <f>HYPERLINK("https://klasma.github.io/Logging_1783/klagomålsmail/A 6132-2024 FSC-klagomål mail.docx", "A 6132-2024")</f>
        <v/>
      </c>
      <c r="X638">
        <f>HYPERLINK("https://klasma.github.io/Logging_1783/tillsyn/A 6132-2024 tillsynsbegäran.docx", "A 6132-2024")</f>
        <v/>
      </c>
      <c r="Y638">
        <f>HYPERLINK("https://klasma.github.io/Logging_1783/tillsynsmail/A 6132-2024 tillsynsbegäran mail.docx", "A 6132-2024")</f>
        <v/>
      </c>
    </row>
    <row r="639" ht="15" customHeight="1">
      <c r="A639" t="inlineStr">
        <is>
          <t>A 6145-2024</t>
        </is>
      </c>
      <c r="B639" s="1" t="n">
        <v>45337</v>
      </c>
      <c r="C639" s="1" t="n">
        <v>45810</v>
      </c>
      <c r="D639" t="inlineStr">
        <is>
          <t>VÄRMLANDS LÄN</t>
        </is>
      </c>
      <c r="E639" t="inlineStr">
        <is>
          <t>FORSHAGA</t>
        </is>
      </c>
      <c r="G639" t="n">
        <v>0.9</v>
      </c>
      <c r="H639" t="n">
        <v>1</v>
      </c>
      <c r="I639" t="n">
        <v>0</v>
      </c>
      <c r="J639" t="n">
        <v>0</v>
      </c>
      <c r="K639" t="n">
        <v>0</v>
      </c>
      <c r="L639" t="n">
        <v>0</v>
      </c>
      <c r="M639" t="n">
        <v>0</v>
      </c>
      <c r="N639" t="n">
        <v>0</v>
      </c>
      <c r="O639" t="n">
        <v>0</v>
      </c>
      <c r="P639" t="n">
        <v>0</v>
      </c>
      <c r="Q639" t="n">
        <v>1</v>
      </c>
      <c r="R639" s="2" t="inlineStr">
        <is>
          <t>Trana</t>
        </is>
      </c>
      <c r="S639">
        <f>HYPERLINK("https://klasma.github.io/Logging_1763/artfynd/A 6145-2024 artfynd.xlsx", "A 6145-2024")</f>
        <v/>
      </c>
      <c r="T639">
        <f>HYPERLINK("https://klasma.github.io/Logging_1763/kartor/A 6145-2024 karta.png", "A 6145-2024")</f>
        <v/>
      </c>
      <c r="V639">
        <f>HYPERLINK("https://klasma.github.io/Logging_1763/klagomål/A 6145-2024 FSC-klagomål.docx", "A 6145-2024")</f>
        <v/>
      </c>
      <c r="W639">
        <f>HYPERLINK("https://klasma.github.io/Logging_1763/klagomålsmail/A 6145-2024 FSC-klagomål mail.docx", "A 6145-2024")</f>
        <v/>
      </c>
      <c r="X639">
        <f>HYPERLINK("https://klasma.github.io/Logging_1763/tillsyn/A 6145-2024 tillsynsbegäran.docx", "A 6145-2024")</f>
        <v/>
      </c>
      <c r="Y639">
        <f>HYPERLINK("https://klasma.github.io/Logging_1763/tillsynsmail/A 6145-2024 tillsynsbegäran mail.docx", "A 6145-2024")</f>
        <v/>
      </c>
      <c r="Z639">
        <f>HYPERLINK("https://klasma.github.io/Logging_1763/fåglar/A 6145-2024 prioriterade fågelarter.docx", "A 6145-2024")</f>
        <v/>
      </c>
    </row>
    <row r="640" ht="15" customHeight="1">
      <c r="A640" t="inlineStr">
        <is>
          <t>A 7447-2024</t>
        </is>
      </c>
      <c r="B640" s="1" t="n">
        <v>45345</v>
      </c>
      <c r="C640" s="1" t="n">
        <v>45810</v>
      </c>
      <c r="D640" t="inlineStr">
        <is>
          <t>VÄRMLANDS LÄN</t>
        </is>
      </c>
      <c r="E640" t="inlineStr">
        <is>
          <t>ÅRJÄNG</t>
        </is>
      </c>
      <c r="G640" t="n">
        <v>1.3</v>
      </c>
      <c r="H640" t="n">
        <v>1</v>
      </c>
      <c r="I640" t="n">
        <v>0</v>
      </c>
      <c r="J640" t="n">
        <v>0</v>
      </c>
      <c r="K640" t="n">
        <v>0</v>
      </c>
      <c r="L640" t="n">
        <v>0</v>
      </c>
      <c r="M640" t="n">
        <v>0</v>
      </c>
      <c r="N640" t="n">
        <v>0</v>
      </c>
      <c r="O640" t="n">
        <v>0</v>
      </c>
      <c r="P640" t="n">
        <v>0</v>
      </c>
      <c r="Q640" t="n">
        <v>1</v>
      </c>
      <c r="R640" s="2" t="inlineStr">
        <is>
          <t>Tjäder</t>
        </is>
      </c>
      <c r="S640">
        <f>HYPERLINK("https://klasma.github.io/Logging_1765/artfynd/A 7447-2024 artfynd.xlsx", "A 7447-2024")</f>
        <v/>
      </c>
      <c r="T640">
        <f>HYPERLINK("https://klasma.github.io/Logging_1765/kartor/A 7447-2024 karta.png", "A 7447-2024")</f>
        <v/>
      </c>
      <c r="V640">
        <f>HYPERLINK("https://klasma.github.io/Logging_1765/klagomål/A 7447-2024 FSC-klagomål.docx", "A 7447-2024")</f>
        <v/>
      </c>
      <c r="W640">
        <f>HYPERLINK("https://klasma.github.io/Logging_1765/klagomålsmail/A 7447-2024 FSC-klagomål mail.docx", "A 7447-2024")</f>
        <v/>
      </c>
      <c r="X640">
        <f>HYPERLINK("https://klasma.github.io/Logging_1765/tillsyn/A 7447-2024 tillsynsbegäran.docx", "A 7447-2024")</f>
        <v/>
      </c>
      <c r="Y640">
        <f>HYPERLINK("https://klasma.github.io/Logging_1765/tillsynsmail/A 7447-2024 tillsynsbegäran mail.docx", "A 7447-2024")</f>
        <v/>
      </c>
      <c r="Z640">
        <f>HYPERLINK("https://klasma.github.io/Logging_1765/fåglar/A 7447-2024 prioriterade fågelarter.docx", "A 7447-2024")</f>
        <v/>
      </c>
    </row>
    <row r="641" ht="15" customHeight="1">
      <c r="A641" t="inlineStr">
        <is>
          <t>A 8665-2024</t>
        </is>
      </c>
      <c r="B641" s="1" t="n">
        <v>45352</v>
      </c>
      <c r="C641" s="1" t="n">
        <v>45810</v>
      </c>
      <c r="D641" t="inlineStr">
        <is>
          <t>VÄRMLANDS LÄN</t>
        </is>
      </c>
      <c r="E641" t="inlineStr">
        <is>
          <t>GRUMS</t>
        </is>
      </c>
      <c r="F641" t="inlineStr">
        <is>
          <t>Bergvik skog väst AB</t>
        </is>
      </c>
      <c r="G641" t="n">
        <v>3</v>
      </c>
      <c r="H641" t="n">
        <v>0</v>
      </c>
      <c r="I641" t="n">
        <v>0</v>
      </c>
      <c r="J641" t="n">
        <v>1</v>
      </c>
      <c r="K641" t="n">
        <v>0</v>
      </c>
      <c r="L641" t="n">
        <v>0</v>
      </c>
      <c r="M641" t="n">
        <v>0</v>
      </c>
      <c r="N641" t="n">
        <v>0</v>
      </c>
      <c r="O641" t="n">
        <v>1</v>
      </c>
      <c r="P641" t="n">
        <v>0</v>
      </c>
      <c r="Q641" t="n">
        <v>1</v>
      </c>
      <c r="R641" s="2" t="inlineStr">
        <is>
          <t>Skogsklocka</t>
        </is>
      </c>
      <c r="S641">
        <f>HYPERLINK("https://klasma.github.io/Logging_1764/artfynd/A 8665-2024 artfynd.xlsx", "A 8665-2024")</f>
        <v/>
      </c>
      <c r="T641">
        <f>HYPERLINK("https://klasma.github.io/Logging_1764/kartor/A 8665-2024 karta.png", "A 8665-2024")</f>
        <v/>
      </c>
      <c r="V641">
        <f>HYPERLINK("https://klasma.github.io/Logging_1764/klagomål/A 8665-2024 FSC-klagomål.docx", "A 8665-2024")</f>
        <v/>
      </c>
      <c r="W641">
        <f>HYPERLINK("https://klasma.github.io/Logging_1764/klagomålsmail/A 8665-2024 FSC-klagomål mail.docx", "A 8665-2024")</f>
        <v/>
      </c>
      <c r="X641">
        <f>HYPERLINK("https://klasma.github.io/Logging_1764/tillsyn/A 8665-2024 tillsynsbegäran.docx", "A 8665-2024")</f>
        <v/>
      </c>
      <c r="Y641">
        <f>HYPERLINK("https://klasma.github.io/Logging_1764/tillsynsmail/A 8665-2024 tillsynsbegäran mail.docx", "A 8665-2024")</f>
        <v/>
      </c>
    </row>
    <row r="642" ht="15" customHeight="1">
      <c r="A642" t="inlineStr">
        <is>
          <t>A 8674-2024</t>
        </is>
      </c>
      <c r="B642" s="1" t="n">
        <v>45354</v>
      </c>
      <c r="C642" s="1" t="n">
        <v>45810</v>
      </c>
      <c r="D642" t="inlineStr">
        <is>
          <t>VÄRMLANDS LÄN</t>
        </is>
      </c>
      <c r="E642" t="inlineStr">
        <is>
          <t>KARLSTAD</t>
        </is>
      </c>
      <c r="G642" t="n">
        <v>0.7</v>
      </c>
      <c r="H642" t="n">
        <v>0</v>
      </c>
      <c r="I642" t="n">
        <v>1</v>
      </c>
      <c r="J642" t="n">
        <v>0</v>
      </c>
      <c r="K642" t="n">
        <v>0</v>
      </c>
      <c r="L642" t="n">
        <v>0</v>
      </c>
      <c r="M642" t="n">
        <v>0</v>
      </c>
      <c r="N642" t="n">
        <v>0</v>
      </c>
      <c r="O642" t="n">
        <v>0</v>
      </c>
      <c r="P642" t="n">
        <v>0</v>
      </c>
      <c r="Q642" t="n">
        <v>1</v>
      </c>
      <c r="R642" s="2" t="inlineStr">
        <is>
          <t>Källpraktmossa</t>
        </is>
      </c>
      <c r="S642">
        <f>HYPERLINK("https://klasma.github.io/Logging_1780/artfynd/A 8674-2024 artfynd.xlsx", "A 8674-2024")</f>
        <v/>
      </c>
      <c r="T642">
        <f>HYPERLINK("https://klasma.github.io/Logging_1780/kartor/A 8674-2024 karta.png", "A 8674-2024")</f>
        <v/>
      </c>
      <c r="V642">
        <f>HYPERLINK("https://klasma.github.io/Logging_1780/klagomål/A 8674-2024 FSC-klagomål.docx", "A 8674-2024")</f>
        <v/>
      </c>
      <c r="W642">
        <f>HYPERLINK("https://klasma.github.io/Logging_1780/klagomålsmail/A 8674-2024 FSC-klagomål mail.docx", "A 8674-2024")</f>
        <v/>
      </c>
      <c r="X642">
        <f>HYPERLINK("https://klasma.github.io/Logging_1780/tillsyn/A 8674-2024 tillsynsbegäran.docx", "A 8674-2024")</f>
        <v/>
      </c>
      <c r="Y642">
        <f>HYPERLINK("https://klasma.github.io/Logging_1780/tillsynsmail/A 8674-2024 tillsynsbegäran mail.docx", "A 8674-2024")</f>
        <v/>
      </c>
    </row>
    <row r="643" ht="15" customHeight="1">
      <c r="A643" t="inlineStr">
        <is>
          <t>A 8714-2024</t>
        </is>
      </c>
      <c r="B643" s="1" t="n">
        <v>45356</v>
      </c>
      <c r="C643" s="1" t="n">
        <v>45810</v>
      </c>
      <c r="D643" t="inlineStr">
        <is>
          <t>VÄRMLANDS LÄN</t>
        </is>
      </c>
      <c r="E643" t="inlineStr">
        <is>
          <t>KRISTINEHAMN</t>
        </is>
      </c>
      <c r="G643" t="n">
        <v>0.5</v>
      </c>
      <c r="H643" t="n">
        <v>1</v>
      </c>
      <c r="I643" t="n">
        <v>0</v>
      </c>
      <c r="J643" t="n">
        <v>0</v>
      </c>
      <c r="K643" t="n">
        <v>1</v>
      </c>
      <c r="L643" t="n">
        <v>0</v>
      </c>
      <c r="M643" t="n">
        <v>0</v>
      </c>
      <c r="N643" t="n">
        <v>0</v>
      </c>
      <c r="O643" t="n">
        <v>1</v>
      </c>
      <c r="P643" t="n">
        <v>1</v>
      </c>
      <c r="Q643" t="n">
        <v>1</v>
      </c>
      <c r="R643" s="2" t="inlineStr">
        <is>
          <t>Bombmurkla</t>
        </is>
      </c>
      <c r="S643">
        <f>HYPERLINK("https://klasma.github.io/Logging_1781/artfynd/A 8714-2024 artfynd.xlsx", "A 8714-2024")</f>
        <v/>
      </c>
      <c r="T643">
        <f>HYPERLINK("https://klasma.github.io/Logging_1781/kartor/A 8714-2024 karta.png", "A 8714-2024")</f>
        <v/>
      </c>
      <c r="V643">
        <f>HYPERLINK("https://klasma.github.io/Logging_1781/klagomål/A 8714-2024 FSC-klagomål.docx", "A 8714-2024")</f>
        <v/>
      </c>
      <c r="W643">
        <f>HYPERLINK("https://klasma.github.io/Logging_1781/klagomålsmail/A 8714-2024 FSC-klagomål mail.docx", "A 8714-2024")</f>
        <v/>
      </c>
      <c r="X643">
        <f>HYPERLINK("https://klasma.github.io/Logging_1781/tillsyn/A 8714-2024 tillsynsbegäran.docx", "A 8714-2024")</f>
        <v/>
      </c>
      <c r="Y643">
        <f>HYPERLINK("https://klasma.github.io/Logging_1781/tillsynsmail/A 8714-2024 tillsynsbegäran mail.docx", "A 8714-2024")</f>
        <v/>
      </c>
    </row>
    <row r="644" ht="15" customHeight="1">
      <c r="A644" t="inlineStr">
        <is>
          <t>A 9629-2024</t>
        </is>
      </c>
      <c r="B644" s="1" t="n">
        <v>45362</v>
      </c>
      <c r="C644" s="1" t="n">
        <v>45810</v>
      </c>
      <c r="D644" t="inlineStr">
        <is>
          <t>VÄRMLANDS LÄN</t>
        </is>
      </c>
      <c r="E644" t="inlineStr">
        <is>
          <t>ARVIKA</t>
        </is>
      </c>
      <c r="G644" t="n">
        <v>0.9</v>
      </c>
      <c r="H644" t="n">
        <v>1</v>
      </c>
      <c r="I644" t="n">
        <v>0</v>
      </c>
      <c r="J644" t="n">
        <v>1</v>
      </c>
      <c r="K644" t="n">
        <v>0</v>
      </c>
      <c r="L644" t="n">
        <v>0</v>
      </c>
      <c r="M644" t="n">
        <v>0</v>
      </c>
      <c r="N644" t="n">
        <v>0</v>
      </c>
      <c r="O644" t="n">
        <v>1</v>
      </c>
      <c r="P644" t="n">
        <v>0</v>
      </c>
      <c r="Q644" t="n">
        <v>1</v>
      </c>
      <c r="R644" s="2" t="inlineStr">
        <is>
          <t>Spillkråka</t>
        </is>
      </c>
      <c r="S644">
        <f>HYPERLINK("https://klasma.github.io/Logging_1784/artfynd/A 9629-2024 artfynd.xlsx", "A 9629-2024")</f>
        <v/>
      </c>
      <c r="T644">
        <f>HYPERLINK("https://klasma.github.io/Logging_1784/kartor/A 9629-2024 karta.png", "A 9629-2024")</f>
        <v/>
      </c>
      <c r="V644">
        <f>HYPERLINK("https://klasma.github.io/Logging_1784/klagomål/A 9629-2024 FSC-klagomål.docx", "A 9629-2024")</f>
        <v/>
      </c>
      <c r="W644">
        <f>HYPERLINK("https://klasma.github.io/Logging_1784/klagomålsmail/A 9629-2024 FSC-klagomål mail.docx", "A 9629-2024")</f>
        <v/>
      </c>
      <c r="X644">
        <f>HYPERLINK("https://klasma.github.io/Logging_1784/tillsyn/A 9629-2024 tillsynsbegäran.docx", "A 9629-2024")</f>
        <v/>
      </c>
      <c r="Y644">
        <f>HYPERLINK("https://klasma.github.io/Logging_1784/tillsynsmail/A 9629-2024 tillsynsbegäran mail.docx", "A 9629-2024")</f>
        <v/>
      </c>
      <c r="Z644">
        <f>HYPERLINK("https://klasma.github.io/Logging_1784/fåglar/A 9629-2024 prioriterade fågelarter.docx", "A 9629-2024")</f>
        <v/>
      </c>
    </row>
    <row r="645" ht="15" customHeight="1">
      <c r="A645" t="inlineStr">
        <is>
          <t>A 9628-2024</t>
        </is>
      </c>
      <c r="B645" s="1" t="n">
        <v>45362</v>
      </c>
      <c r="C645" s="1" t="n">
        <v>45810</v>
      </c>
      <c r="D645" t="inlineStr">
        <is>
          <t>VÄRMLANDS LÄN</t>
        </is>
      </c>
      <c r="E645" t="inlineStr">
        <is>
          <t>ARVIKA</t>
        </is>
      </c>
      <c r="G645" t="n">
        <v>2.1</v>
      </c>
      <c r="H645" t="n">
        <v>1</v>
      </c>
      <c r="I645" t="n">
        <v>0</v>
      </c>
      <c r="J645" t="n">
        <v>1</v>
      </c>
      <c r="K645" t="n">
        <v>0</v>
      </c>
      <c r="L645" t="n">
        <v>0</v>
      </c>
      <c r="M645" t="n">
        <v>0</v>
      </c>
      <c r="N645" t="n">
        <v>0</v>
      </c>
      <c r="O645" t="n">
        <v>1</v>
      </c>
      <c r="P645" t="n">
        <v>0</v>
      </c>
      <c r="Q645" t="n">
        <v>1</v>
      </c>
      <c r="R645" s="2" t="inlineStr">
        <is>
          <t>Spillkråka</t>
        </is>
      </c>
      <c r="S645">
        <f>HYPERLINK("https://klasma.github.io/Logging_1784/artfynd/A 9628-2024 artfynd.xlsx", "A 9628-2024")</f>
        <v/>
      </c>
      <c r="T645">
        <f>HYPERLINK("https://klasma.github.io/Logging_1784/kartor/A 9628-2024 karta.png", "A 9628-2024")</f>
        <v/>
      </c>
      <c r="V645">
        <f>HYPERLINK("https://klasma.github.io/Logging_1784/klagomål/A 9628-2024 FSC-klagomål.docx", "A 9628-2024")</f>
        <v/>
      </c>
      <c r="W645">
        <f>HYPERLINK("https://klasma.github.io/Logging_1784/klagomålsmail/A 9628-2024 FSC-klagomål mail.docx", "A 9628-2024")</f>
        <v/>
      </c>
      <c r="X645">
        <f>HYPERLINK("https://klasma.github.io/Logging_1784/tillsyn/A 9628-2024 tillsynsbegäran.docx", "A 9628-2024")</f>
        <v/>
      </c>
      <c r="Y645">
        <f>HYPERLINK("https://klasma.github.io/Logging_1784/tillsynsmail/A 9628-2024 tillsynsbegäran mail.docx", "A 9628-2024")</f>
        <v/>
      </c>
      <c r="Z645">
        <f>HYPERLINK("https://klasma.github.io/Logging_1784/fåglar/A 9628-2024 prioriterade fågelarter.docx", "A 9628-2024")</f>
        <v/>
      </c>
    </row>
    <row r="646" ht="15" customHeight="1">
      <c r="A646" t="inlineStr">
        <is>
          <t>A 10093-2024</t>
        </is>
      </c>
      <c r="B646" s="1" t="n">
        <v>45364</v>
      </c>
      <c r="C646" s="1" t="n">
        <v>45810</v>
      </c>
      <c r="D646" t="inlineStr">
        <is>
          <t>VÄRMLANDS LÄN</t>
        </is>
      </c>
      <c r="E646" t="inlineStr">
        <is>
          <t>SUNNE</t>
        </is>
      </c>
      <c r="G646" t="n">
        <v>2.3</v>
      </c>
      <c r="H646" t="n">
        <v>0</v>
      </c>
      <c r="I646" t="n">
        <v>0</v>
      </c>
      <c r="J646" t="n">
        <v>1</v>
      </c>
      <c r="K646" t="n">
        <v>0</v>
      </c>
      <c r="L646" t="n">
        <v>0</v>
      </c>
      <c r="M646" t="n">
        <v>0</v>
      </c>
      <c r="N646" t="n">
        <v>0</v>
      </c>
      <c r="O646" t="n">
        <v>1</v>
      </c>
      <c r="P646" t="n">
        <v>0</v>
      </c>
      <c r="Q646" t="n">
        <v>1</v>
      </c>
      <c r="R646" s="2" t="inlineStr">
        <is>
          <t>Garnlav</t>
        </is>
      </c>
      <c r="S646">
        <f>HYPERLINK("https://klasma.github.io/Logging_1766/artfynd/A 10093-2024 artfynd.xlsx", "A 10093-2024")</f>
        <v/>
      </c>
      <c r="T646">
        <f>HYPERLINK("https://klasma.github.io/Logging_1766/kartor/A 10093-2024 karta.png", "A 10093-2024")</f>
        <v/>
      </c>
      <c r="V646">
        <f>HYPERLINK("https://klasma.github.io/Logging_1766/klagomål/A 10093-2024 FSC-klagomål.docx", "A 10093-2024")</f>
        <v/>
      </c>
      <c r="W646">
        <f>HYPERLINK("https://klasma.github.io/Logging_1766/klagomålsmail/A 10093-2024 FSC-klagomål mail.docx", "A 10093-2024")</f>
        <v/>
      </c>
      <c r="X646">
        <f>HYPERLINK("https://klasma.github.io/Logging_1766/tillsyn/A 10093-2024 tillsynsbegäran.docx", "A 10093-2024")</f>
        <v/>
      </c>
      <c r="Y646">
        <f>HYPERLINK("https://klasma.github.io/Logging_1766/tillsynsmail/A 10093-2024 tillsynsbegäran mail.docx", "A 10093-2024")</f>
        <v/>
      </c>
    </row>
    <row r="647" ht="15" customHeight="1">
      <c r="A647" t="inlineStr">
        <is>
          <t>A 10471-2024</t>
        </is>
      </c>
      <c r="B647" s="1" t="n">
        <v>45366</v>
      </c>
      <c r="C647" s="1" t="n">
        <v>45810</v>
      </c>
      <c r="D647" t="inlineStr">
        <is>
          <t>VÄRMLANDS LÄN</t>
        </is>
      </c>
      <c r="E647" t="inlineStr">
        <is>
          <t>KIL</t>
        </is>
      </c>
      <c r="G647" t="n">
        <v>4.1</v>
      </c>
      <c r="H647" t="n">
        <v>0</v>
      </c>
      <c r="I647" t="n">
        <v>0</v>
      </c>
      <c r="J647" t="n">
        <v>1</v>
      </c>
      <c r="K647" t="n">
        <v>0</v>
      </c>
      <c r="L647" t="n">
        <v>0</v>
      </c>
      <c r="M647" t="n">
        <v>0</v>
      </c>
      <c r="N647" t="n">
        <v>0</v>
      </c>
      <c r="O647" t="n">
        <v>1</v>
      </c>
      <c r="P647" t="n">
        <v>0</v>
      </c>
      <c r="Q647" t="n">
        <v>1</v>
      </c>
      <c r="R647" s="2" t="inlineStr">
        <is>
          <t>Vedskivlav</t>
        </is>
      </c>
      <c r="S647">
        <f>HYPERLINK("https://klasma.github.io/Logging_1715/artfynd/A 10471-2024 artfynd.xlsx", "A 10471-2024")</f>
        <v/>
      </c>
      <c r="T647">
        <f>HYPERLINK("https://klasma.github.io/Logging_1715/kartor/A 10471-2024 karta.png", "A 10471-2024")</f>
        <v/>
      </c>
      <c r="V647">
        <f>HYPERLINK("https://klasma.github.io/Logging_1715/klagomål/A 10471-2024 FSC-klagomål.docx", "A 10471-2024")</f>
        <v/>
      </c>
      <c r="W647">
        <f>HYPERLINK("https://klasma.github.io/Logging_1715/klagomålsmail/A 10471-2024 FSC-klagomål mail.docx", "A 10471-2024")</f>
        <v/>
      </c>
      <c r="X647">
        <f>HYPERLINK("https://klasma.github.io/Logging_1715/tillsyn/A 10471-2024 tillsynsbegäran.docx", "A 10471-2024")</f>
        <v/>
      </c>
      <c r="Y647">
        <f>HYPERLINK("https://klasma.github.io/Logging_1715/tillsynsmail/A 10471-2024 tillsynsbegäran mail.docx", "A 10471-2024")</f>
        <v/>
      </c>
    </row>
    <row r="648" ht="15" customHeight="1">
      <c r="A648" t="inlineStr">
        <is>
          <t>A 10554-2024</t>
        </is>
      </c>
      <c r="B648" s="1" t="n">
        <v>45366</v>
      </c>
      <c r="C648" s="1" t="n">
        <v>45810</v>
      </c>
      <c r="D648" t="inlineStr">
        <is>
          <t>VÄRMLANDS LÄN</t>
        </is>
      </c>
      <c r="E648" t="inlineStr">
        <is>
          <t>ÅRJÄNG</t>
        </is>
      </c>
      <c r="G648" t="n">
        <v>7.4</v>
      </c>
      <c r="H648" t="n">
        <v>0</v>
      </c>
      <c r="I648" t="n">
        <v>0</v>
      </c>
      <c r="J648" t="n">
        <v>1</v>
      </c>
      <c r="K648" t="n">
        <v>0</v>
      </c>
      <c r="L648" t="n">
        <v>0</v>
      </c>
      <c r="M648" t="n">
        <v>0</v>
      </c>
      <c r="N648" t="n">
        <v>0</v>
      </c>
      <c r="O648" t="n">
        <v>1</v>
      </c>
      <c r="P648" t="n">
        <v>0</v>
      </c>
      <c r="Q648" t="n">
        <v>1</v>
      </c>
      <c r="R648" s="2" t="inlineStr">
        <is>
          <t>Skogsklocka</t>
        </is>
      </c>
      <c r="S648">
        <f>HYPERLINK("https://klasma.github.io/Logging_1765/artfynd/A 10554-2024 artfynd.xlsx", "A 10554-2024")</f>
        <v/>
      </c>
      <c r="T648">
        <f>HYPERLINK("https://klasma.github.io/Logging_1765/kartor/A 10554-2024 karta.png", "A 10554-2024")</f>
        <v/>
      </c>
      <c r="V648">
        <f>HYPERLINK("https://klasma.github.io/Logging_1765/klagomål/A 10554-2024 FSC-klagomål.docx", "A 10554-2024")</f>
        <v/>
      </c>
      <c r="W648">
        <f>HYPERLINK("https://klasma.github.io/Logging_1765/klagomålsmail/A 10554-2024 FSC-klagomål mail.docx", "A 10554-2024")</f>
        <v/>
      </c>
      <c r="X648">
        <f>HYPERLINK("https://klasma.github.io/Logging_1765/tillsyn/A 10554-2024 tillsynsbegäran.docx", "A 10554-2024")</f>
        <v/>
      </c>
      <c r="Y648">
        <f>HYPERLINK("https://klasma.github.io/Logging_1765/tillsynsmail/A 10554-2024 tillsynsbegäran mail.docx", "A 10554-2024")</f>
        <v/>
      </c>
    </row>
    <row r="649" ht="15" customHeight="1">
      <c r="A649" t="inlineStr">
        <is>
          <t>A 10812-2024</t>
        </is>
      </c>
      <c r="B649" s="1" t="n">
        <v>45369</v>
      </c>
      <c r="C649" s="1" t="n">
        <v>45810</v>
      </c>
      <c r="D649" t="inlineStr">
        <is>
          <t>VÄRMLANDS LÄN</t>
        </is>
      </c>
      <c r="E649" t="inlineStr">
        <is>
          <t>FILIPSTAD</t>
        </is>
      </c>
      <c r="G649" t="n">
        <v>2.2</v>
      </c>
      <c r="H649" t="n">
        <v>1</v>
      </c>
      <c r="I649" t="n">
        <v>0</v>
      </c>
      <c r="J649" t="n">
        <v>0</v>
      </c>
      <c r="K649" t="n">
        <v>0</v>
      </c>
      <c r="L649" t="n">
        <v>0</v>
      </c>
      <c r="M649" t="n">
        <v>0</v>
      </c>
      <c r="N649" t="n">
        <v>0</v>
      </c>
      <c r="O649" t="n">
        <v>0</v>
      </c>
      <c r="P649" t="n">
        <v>0</v>
      </c>
      <c r="Q649" t="n">
        <v>1</v>
      </c>
      <c r="R649" s="2" t="inlineStr">
        <is>
          <t>Vanlig snok</t>
        </is>
      </c>
      <c r="S649">
        <f>HYPERLINK("https://klasma.github.io/Logging_1782/artfynd/A 10812-2024 artfynd.xlsx", "A 10812-2024")</f>
        <v/>
      </c>
      <c r="T649">
        <f>HYPERLINK("https://klasma.github.io/Logging_1782/kartor/A 10812-2024 karta.png", "A 10812-2024")</f>
        <v/>
      </c>
      <c r="V649">
        <f>HYPERLINK("https://klasma.github.io/Logging_1782/klagomål/A 10812-2024 FSC-klagomål.docx", "A 10812-2024")</f>
        <v/>
      </c>
      <c r="W649">
        <f>HYPERLINK("https://klasma.github.io/Logging_1782/klagomålsmail/A 10812-2024 FSC-klagomål mail.docx", "A 10812-2024")</f>
        <v/>
      </c>
      <c r="X649">
        <f>HYPERLINK("https://klasma.github.io/Logging_1782/tillsyn/A 10812-2024 tillsynsbegäran.docx", "A 10812-2024")</f>
        <v/>
      </c>
      <c r="Y649">
        <f>HYPERLINK("https://klasma.github.io/Logging_1782/tillsynsmail/A 10812-2024 tillsynsbegäran mail.docx", "A 10812-2024")</f>
        <v/>
      </c>
    </row>
    <row r="650" ht="15" customHeight="1">
      <c r="A650" t="inlineStr">
        <is>
          <t>A 11151-2024</t>
        </is>
      </c>
      <c r="B650" s="1" t="n">
        <v>45371</v>
      </c>
      <c r="C650" s="1" t="n">
        <v>45810</v>
      </c>
      <c r="D650" t="inlineStr">
        <is>
          <t>VÄRMLANDS LÄN</t>
        </is>
      </c>
      <c r="E650" t="inlineStr">
        <is>
          <t>ÅRJÄNG</t>
        </is>
      </c>
      <c r="G650" t="n">
        <v>10.1</v>
      </c>
      <c r="H650" t="n">
        <v>1</v>
      </c>
      <c r="I650" t="n">
        <v>0</v>
      </c>
      <c r="J650" t="n">
        <v>1</v>
      </c>
      <c r="K650" t="n">
        <v>0</v>
      </c>
      <c r="L650" t="n">
        <v>0</v>
      </c>
      <c r="M650" t="n">
        <v>0</v>
      </c>
      <c r="N650" t="n">
        <v>0</v>
      </c>
      <c r="O650" t="n">
        <v>1</v>
      </c>
      <c r="P650" t="n">
        <v>0</v>
      </c>
      <c r="Q650" t="n">
        <v>1</v>
      </c>
      <c r="R650" s="2" t="inlineStr">
        <is>
          <t>Spillkråka</t>
        </is>
      </c>
      <c r="S650">
        <f>HYPERLINK("https://klasma.github.io/Logging_1765/artfynd/A 11151-2024 artfynd.xlsx", "A 11151-2024")</f>
        <v/>
      </c>
      <c r="T650">
        <f>HYPERLINK("https://klasma.github.io/Logging_1765/kartor/A 11151-2024 karta.png", "A 11151-2024")</f>
        <v/>
      </c>
      <c r="V650">
        <f>HYPERLINK("https://klasma.github.io/Logging_1765/klagomål/A 11151-2024 FSC-klagomål.docx", "A 11151-2024")</f>
        <v/>
      </c>
      <c r="W650">
        <f>HYPERLINK("https://klasma.github.io/Logging_1765/klagomålsmail/A 11151-2024 FSC-klagomål mail.docx", "A 11151-2024")</f>
        <v/>
      </c>
      <c r="X650">
        <f>HYPERLINK("https://klasma.github.io/Logging_1765/tillsyn/A 11151-2024 tillsynsbegäran.docx", "A 11151-2024")</f>
        <v/>
      </c>
      <c r="Y650">
        <f>HYPERLINK("https://klasma.github.io/Logging_1765/tillsynsmail/A 11151-2024 tillsynsbegäran mail.docx", "A 11151-2024")</f>
        <v/>
      </c>
      <c r="Z650">
        <f>HYPERLINK("https://klasma.github.io/Logging_1765/fåglar/A 11151-2024 prioriterade fågelarter.docx", "A 11151-2024")</f>
        <v/>
      </c>
    </row>
    <row r="651" ht="15" customHeight="1">
      <c r="A651" t="inlineStr">
        <is>
          <t>A 11909-2024</t>
        </is>
      </c>
      <c r="B651" s="1" t="n">
        <v>45376</v>
      </c>
      <c r="C651" s="1" t="n">
        <v>45810</v>
      </c>
      <c r="D651" t="inlineStr">
        <is>
          <t>VÄRMLANDS LÄN</t>
        </is>
      </c>
      <c r="E651" t="inlineStr">
        <is>
          <t>EDA</t>
        </is>
      </c>
      <c r="G651" t="n">
        <v>5</v>
      </c>
      <c r="H651" t="n">
        <v>0</v>
      </c>
      <c r="I651" t="n">
        <v>0</v>
      </c>
      <c r="J651" t="n">
        <v>0</v>
      </c>
      <c r="K651" t="n">
        <v>1</v>
      </c>
      <c r="L651" t="n">
        <v>0</v>
      </c>
      <c r="M651" t="n">
        <v>0</v>
      </c>
      <c r="N651" t="n">
        <v>0</v>
      </c>
      <c r="O651" t="n">
        <v>1</v>
      </c>
      <c r="P651" t="n">
        <v>1</v>
      </c>
      <c r="Q651" t="n">
        <v>1</v>
      </c>
      <c r="R651" s="2" t="inlineStr">
        <is>
          <t>Slåttergubbe</t>
        </is>
      </c>
      <c r="S651">
        <f>HYPERLINK("https://klasma.github.io/Logging_1730/artfynd/A 11909-2024 artfynd.xlsx", "A 11909-2024")</f>
        <v/>
      </c>
      <c r="T651">
        <f>HYPERLINK("https://klasma.github.io/Logging_1730/kartor/A 11909-2024 karta.png", "A 11909-2024")</f>
        <v/>
      </c>
      <c r="V651">
        <f>HYPERLINK("https://klasma.github.io/Logging_1730/klagomål/A 11909-2024 FSC-klagomål.docx", "A 11909-2024")</f>
        <v/>
      </c>
      <c r="W651">
        <f>HYPERLINK("https://klasma.github.io/Logging_1730/klagomålsmail/A 11909-2024 FSC-klagomål mail.docx", "A 11909-2024")</f>
        <v/>
      </c>
      <c r="X651">
        <f>HYPERLINK("https://klasma.github.io/Logging_1730/tillsyn/A 11909-2024 tillsynsbegäran.docx", "A 11909-2024")</f>
        <v/>
      </c>
      <c r="Y651">
        <f>HYPERLINK("https://klasma.github.io/Logging_1730/tillsynsmail/A 11909-2024 tillsynsbegäran mail.docx", "A 11909-2024")</f>
        <v/>
      </c>
    </row>
    <row r="652" ht="15" customHeight="1">
      <c r="A652" t="inlineStr">
        <is>
          <t>A 11921-2024</t>
        </is>
      </c>
      <c r="B652" s="1" t="n">
        <v>45376</v>
      </c>
      <c r="C652" s="1" t="n">
        <v>45810</v>
      </c>
      <c r="D652" t="inlineStr">
        <is>
          <t>VÄRMLANDS LÄN</t>
        </is>
      </c>
      <c r="E652" t="inlineStr">
        <is>
          <t>FILIPSTAD</t>
        </is>
      </c>
      <c r="F652" t="inlineStr">
        <is>
          <t>Bergvik skog väst AB</t>
        </is>
      </c>
      <c r="G652" t="n">
        <v>3.3</v>
      </c>
      <c r="H652" t="n">
        <v>0</v>
      </c>
      <c r="I652" t="n">
        <v>1</v>
      </c>
      <c r="J652" t="n">
        <v>0</v>
      </c>
      <c r="K652" t="n">
        <v>0</v>
      </c>
      <c r="L652" t="n">
        <v>0</v>
      </c>
      <c r="M652" t="n">
        <v>0</v>
      </c>
      <c r="N652" t="n">
        <v>0</v>
      </c>
      <c r="O652" t="n">
        <v>0</v>
      </c>
      <c r="P652" t="n">
        <v>0</v>
      </c>
      <c r="Q652" t="n">
        <v>1</v>
      </c>
      <c r="R652" s="2" t="inlineStr">
        <is>
          <t>Grönpyrola</t>
        </is>
      </c>
      <c r="S652">
        <f>HYPERLINK("https://klasma.github.io/Logging_1782/artfynd/A 11921-2024 artfynd.xlsx", "A 11921-2024")</f>
        <v/>
      </c>
      <c r="T652">
        <f>HYPERLINK("https://klasma.github.io/Logging_1782/kartor/A 11921-2024 karta.png", "A 11921-2024")</f>
        <v/>
      </c>
      <c r="V652">
        <f>HYPERLINK("https://klasma.github.io/Logging_1782/klagomål/A 11921-2024 FSC-klagomål.docx", "A 11921-2024")</f>
        <v/>
      </c>
      <c r="W652">
        <f>HYPERLINK("https://klasma.github.io/Logging_1782/klagomålsmail/A 11921-2024 FSC-klagomål mail.docx", "A 11921-2024")</f>
        <v/>
      </c>
      <c r="X652">
        <f>HYPERLINK("https://klasma.github.io/Logging_1782/tillsyn/A 11921-2024 tillsynsbegäran.docx", "A 11921-2024")</f>
        <v/>
      </c>
      <c r="Y652">
        <f>HYPERLINK("https://klasma.github.io/Logging_1782/tillsynsmail/A 11921-2024 tillsynsbegäran mail.docx", "A 11921-2024")</f>
        <v/>
      </c>
    </row>
    <row r="653" ht="15" customHeight="1">
      <c r="A653" t="inlineStr">
        <is>
          <t>A 11923-2024</t>
        </is>
      </c>
      <c r="B653" s="1" t="n">
        <v>45376</v>
      </c>
      <c r="C653" s="1" t="n">
        <v>45810</v>
      </c>
      <c r="D653" t="inlineStr">
        <is>
          <t>VÄRMLANDS LÄN</t>
        </is>
      </c>
      <c r="E653" t="inlineStr">
        <is>
          <t>EDA</t>
        </is>
      </c>
      <c r="G653" t="n">
        <v>4.3</v>
      </c>
      <c r="H653" t="n">
        <v>1</v>
      </c>
      <c r="I653" t="n">
        <v>0</v>
      </c>
      <c r="J653" t="n">
        <v>1</v>
      </c>
      <c r="K653" t="n">
        <v>0</v>
      </c>
      <c r="L653" t="n">
        <v>0</v>
      </c>
      <c r="M653" t="n">
        <v>0</v>
      </c>
      <c r="N653" t="n">
        <v>0</v>
      </c>
      <c r="O653" t="n">
        <v>1</v>
      </c>
      <c r="P653" t="n">
        <v>0</v>
      </c>
      <c r="Q653" t="n">
        <v>1</v>
      </c>
      <c r="R653" s="2" t="inlineStr">
        <is>
          <t>Tretåig hackspett</t>
        </is>
      </c>
      <c r="S653">
        <f>HYPERLINK("https://klasma.github.io/Logging_1730/artfynd/A 11923-2024 artfynd.xlsx", "A 11923-2024")</f>
        <v/>
      </c>
      <c r="T653">
        <f>HYPERLINK("https://klasma.github.io/Logging_1730/kartor/A 11923-2024 karta.png", "A 11923-2024")</f>
        <v/>
      </c>
      <c r="V653">
        <f>HYPERLINK("https://klasma.github.io/Logging_1730/klagomål/A 11923-2024 FSC-klagomål.docx", "A 11923-2024")</f>
        <v/>
      </c>
      <c r="W653">
        <f>HYPERLINK("https://klasma.github.io/Logging_1730/klagomålsmail/A 11923-2024 FSC-klagomål mail.docx", "A 11923-2024")</f>
        <v/>
      </c>
      <c r="X653">
        <f>HYPERLINK("https://klasma.github.io/Logging_1730/tillsyn/A 11923-2024 tillsynsbegäran.docx", "A 11923-2024")</f>
        <v/>
      </c>
      <c r="Y653">
        <f>HYPERLINK("https://klasma.github.io/Logging_1730/tillsynsmail/A 11923-2024 tillsynsbegäran mail.docx", "A 11923-2024")</f>
        <v/>
      </c>
      <c r="Z653">
        <f>HYPERLINK("https://klasma.github.io/Logging_1730/fåglar/A 11923-2024 prioriterade fågelarter.docx", "A 11923-2024")</f>
        <v/>
      </c>
    </row>
    <row r="654" ht="15" customHeight="1">
      <c r="A654" t="inlineStr">
        <is>
          <t>A 12257-2024</t>
        </is>
      </c>
      <c r="B654" s="1" t="n">
        <v>45378</v>
      </c>
      <c r="C654" s="1" t="n">
        <v>45810</v>
      </c>
      <c r="D654" t="inlineStr">
        <is>
          <t>VÄRMLANDS LÄN</t>
        </is>
      </c>
      <c r="E654" t="inlineStr">
        <is>
          <t>ÅRJÄNG</t>
        </is>
      </c>
      <c r="G654" t="n">
        <v>1.5</v>
      </c>
      <c r="H654" t="n">
        <v>0</v>
      </c>
      <c r="I654" t="n">
        <v>1</v>
      </c>
      <c r="J654" t="n">
        <v>0</v>
      </c>
      <c r="K654" t="n">
        <v>0</v>
      </c>
      <c r="L654" t="n">
        <v>0</v>
      </c>
      <c r="M654" t="n">
        <v>0</v>
      </c>
      <c r="N654" t="n">
        <v>0</v>
      </c>
      <c r="O654" t="n">
        <v>0</v>
      </c>
      <c r="P654" t="n">
        <v>0</v>
      </c>
      <c r="Q654" t="n">
        <v>1</v>
      </c>
      <c r="R654" s="2" t="inlineStr">
        <is>
          <t>Kattfotslav</t>
        </is>
      </c>
      <c r="S654">
        <f>HYPERLINK("https://klasma.github.io/Logging_1765/artfynd/A 12257-2024 artfynd.xlsx", "A 12257-2024")</f>
        <v/>
      </c>
      <c r="T654">
        <f>HYPERLINK("https://klasma.github.io/Logging_1765/kartor/A 12257-2024 karta.png", "A 12257-2024")</f>
        <v/>
      </c>
      <c r="V654">
        <f>HYPERLINK("https://klasma.github.io/Logging_1765/klagomål/A 12257-2024 FSC-klagomål.docx", "A 12257-2024")</f>
        <v/>
      </c>
      <c r="W654">
        <f>HYPERLINK("https://klasma.github.io/Logging_1765/klagomålsmail/A 12257-2024 FSC-klagomål mail.docx", "A 12257-2024")</f>
        <v/>
      </c>
      <c r="X654">
        <f>HYPERLINK("https://klasma.github.io/Logging_1765/tillsyn/A 12257-2024 tillsynsbegäran.docx", "A 12257-2024")</f>
        <v/>
      </c>
      <c r="Y654">
        <f>HYPERLINK("https://klasma.github.io/Logging_1765/tillsynsmail/A 12257-2024 tillsynsbegäran mail.docx", "A 12257-2024")</f>
        <v/>
      </c>
    </row>
    <row r="655" ht="15" customHeight="1">
      <c r="A655" t="inlineStr">
        <is>
          <t>A 12465-2024</t>
        </is>
      </c>
      <c r="B655" s="1" t="n">
        <v>45379</v>
      </c>
      <c r="C655" s="1" t="n">
        <v>45810</v>
      </c>
      <c r="D655" t="inlineStr">
        <is>
          <t>VÄRMLANDS LÄN</t>
        </is>
      </c>
      <c r="E655" t="inlineStr">
        <is>
          <t>EDA</t>
        </is>
      </c>
      <c r="G655" t="n">
        <v>0.7</v>
      </c>
      <c r="H655" t="n">
        <v>0</v>
      </c>
      <c r="I655" t="n">
        <v>0</v>
      </c>
      <c r="J655" t="n">
        <v>1</v>
      </c>
      <c r="K655" t="n">
        <v>0</v>
      </c>
      <c r="L655" t="n">
        <v>0</v>
      </c>
      <c r="M655" t="n">
        <v>0</v>
      </c>
      <c r="N655" t="n">
        <v>0</v>
      </c>
      <c r="O655" t="n">
        <v>1</v>
      </c>
      <c r="P655" t="n">
        <v>0</v>
      </c>
      <c r="Q655" t="n">
        <v>1</v>
      </c>
      <c r="R655" s="2" t="inlineStr">
        <is>
          <t>Desmeknopp</t>
        </is>
      </c>
      <c r="S655">
        <f>HYPERLINK("https://klasma.github.io/Logging_1730/artfynd/A 12465-2024 artfynd.xlsx", "A 12465-2024")</f>
        <v/>
      </c>
      <c r="T655">
        <f>HYPERLINK("https://klasma.github.io/Logging_1730/kartor/A 12465-2024 karta.png", "A 12465-2024")</f>
        <v/>
      </c>
      <c r="V655">
        <f>HYPERLINK("https://klasma.github.io/Logging_1730/klagomål/A 12465-2024 FSC-klagomål.docx", "A 12465-2024")</f>
        <v/>
      </c>
      <c r="W655">
        <f>HYPERLINK("https://klasma.github.io/Logging_1730/klagomålsmail/A 12465-2024 FSC-klagomål mail.docx", "A 12465-2024")</f>
        <v/>
      </c>
      <c r="X655">
        <f>HYPERLINK("https://klasma.github.io/Logging_1730/tillsyn/A 12465-2024 tillsynsbegäran.docx", "A 12465-2024")</f>
        <v/>
      </c>
      <c r="Y655">
        <f>HYPERLINK("https://klasma.github.io/Logging_1730/tillsynsmail/A 12465-2024 tillsynsbegäran mail.docx", "A 12465-2024")</f>
        <v/>
      </c>
    </row>
    <row r="656" ht="15" customHeight="1">
      <c r="A656" t="inlineStr">
        <is>
          <t>A 12593-2024</t>
        </is>
      </c>
      <c r="B656" s="1" t="n">
        <v>45380</v>
      </c>
      <c r="C656" s="1" t="n">
        <v>45810</v>
      </c>
      <c r="D656" t="inlineStr">
        <is>
          <t>VÄRMLANDS LÄN</t>
        </is>
      </c>
      <c r="E656" t="inlineStr">
        <is>
          <t>KRISTINEHAMN</t>
        </is>
      </c>
      <c r="G656" t="n">
        <v>5.9</v>
      </c>
      <c r="H656" t="n">
        <v>1</v>
      </c>
      <c r="I656" t="n">
        <v>0</v>
      </c>
      <c r="J656" t="n">
        <v>0</v>
      </c>
      <c r="K656" t="n">
        <v>1</v>
      </c>
      <c r="L656" t="n">
        <v>0</v>
      </c>
      <c r="M656" t="n">
        <v>0</v>
      </c>
      <c r="N656" t="n">
        <v>0</v>
      </c>
      <c r="O656" t="n">
        <v>1</v>
      </c>
      <c r="P656" t="n">
        <v>1</v>
      </c>
      <c r="Q656" t="n">
        <v>1</v>
      </c>
      <c r="R656" s="2" t="inlineStr">
        <is>
          <t>Bombmurkla</t>
        </is>
      </c>
      <c r="S656">
        <f>HYPERLINK("https://klasma.github.io/Logging_1781/artfynd/A 12593-2024 artfynd.xlsx", "A 12593-2024")</f>
        <v/>
      </c>
      <c r="T656">
        <f>HYPERLINK("https://klasma.github.io/Logging_1781/kartor/A 12593-2024 karta.png", "A 12593-2024")</f>
        <v/>
      </c>
      <c r="V656">
        <f>HYPERLINK("https://klasma.github.io/Logging_1781/klagomål/A 12593-2024 FSC-klagomål.docx", "A 12593-2024")</f>
        <v/>
      </c>
      <c r="W656">
        <f>HYPERLINK("https://klasma.github.io/Logging_1781/klagomålsmail/A 12593-2024 FSC-klagomål mail.docx", "A 12593-2024")</f>
        <v/>
      </c>
      <c r="X656">
        <f>HYPERLINK("https://klasma.github.io/Logging_1781/tillsyn/A 12593-2024 tillsynsbegäran.docx", "A 12593-2024")</f>
        <v/>
      </c>
      <c r="Y656">
        <f>HYPERLINK("https://klasma.github.io/Logging_1781/tillsynsmail/A 12593-2024 tillsynsbegäran mail.docx", "A 12593-2024")</f>
        <v/>
      </c>
    </row>
    <row r="657" ht="15" customHeight="1">
      <c r="A657" t="inlineStr">
        <is>
          <t>A 12740-2024</t>
        </is>
      </c>
      <c r="B657" s="1" t="n">
        <v>45384</v>
      </c>
      <c r="C657" s="1" t="n">
        <v>45810</v>
      </c>
      <c r="D657" t="inlineStr">
        <is>
          <t>VÄRMLANDS LÄN</t>
        </is>
      </c>
      <c r="E657" t="inlineStr">
        <is>
          <t>SÄFFLE</t>
        </is>
      </c>
      <c r="G657" t="n">
        <v>3.7</v>
      </c>
      <c r="H657" t="n">
        <v>0</v>
      </c>
      <c r="I657" t="n">
        <v>0</v>
      </c>
      <c r="J657" t="n">
        <v>1</v>
      </c>
      <c r="K657" t="n">
        <v>0</v>
      </c>
      <c r="L657" t="n">
        <v>0</v>
      </c>
      <c r="M657" t="n">
        <v>0</v>
      </c>
      <c r="N657" t="n">
        <v>0</v>
      </c>
      <c r="O657" t="n">
        <v>1</v>
      </c>
      <c r="P657" t="n">
        <v>0</v>
      </c>
      <c r="Q657" t="n">
        <v>1</v>
      </c>
      <c r="R657" s="2" t="inlineStr">
        <is>
          <t>Gullklöver</t>
        </is>
      </c>
      <c r="S657">
        <f>HYPERLINK("https://klasma.github.io/Logging_1785/artfynd/A 12740-2024 artfynd.xlsx", "A 12740-2024")</f>
        <v/>
      </c>
      <c r="T657">
        <f>HYPERLINK("https://klasma.github.io/Logging_1785/kartor/A 12740-2024 karta.png", "A 12740-2024")</f>
        <v/>
      </c>
      <c r="V657">
        <f>HYPERLINK("https://klasma.github.io/Logging_1785/klagomål/A 12740-2024 FSC-klagomål.docx", "A 12740-2024")</f>
        <v/>
      </c>
      <c r="W657">
        <f>HYPERLINK("https://klasma.github.io/Logging_1785/klagomålsmail/A 12740-2024 FSC-klagomål mail.docx", "A 12740-2024")</f>
        <v/>
      </c>
      <c r="X657">
        <f>HYPERLINK("https://klasma.github.io/Logging_1785/tillsyn/A 12740-2024 tillsynsbegäran.docx", "A 12740-2024")</f>
        <v/>
      </c>
      <c r="Y657">
        <f>HYPERLINK("https://klasma.github.io/Logging_1785/tillsynsmail/A 12740-2024 tillsynsbegäran mail.docx", "A 12740-2024")</f>
        <v/>
      </c>
    </row>
    <row r="658" ht="15" customHeight="1">
      <c r="A658" t="inlineStr">
        <is>
          <t>A 14030-2024</t>
        </is>
      </c>
      <c r="B658" s="1" t="n">
        <v>45392</v>
      </c>
      <c r="C658" s="1" t="n">
        <v>45810</v>
      </c>
      <c r="D658" t="inlineStr">
        <is>
          <t>VÄRMLANDS LÄN</t>
        </is>
      </c>
      <c r="E658" t="inlineStr">
        <is>
          <t>ARVIKA</t>
        </is>
      </c>
      <c r="F658" t="inlineStr">
        <is>
          <t>Kyrkan</t>
        </is>
      </c>
      <c r="G658" t="n">
        <v>32.2</v>
      </c>
      <c r="H658" t="n">
        <v>1</v>
      </c>
      <c r="I658" t="n">
        <v>0</v>
      </c>
      <c r="J658" t="n">
        <v>0</v>
      </c>
      <c r="K658" t="n">
        <v>1</v>
      </c>
      <c r="L658" t="n">
        <v>0</v>
      </c>
      <c r="M658" t="n">
        <v>0</v>
      </c>
      <c r="N658" t="n">
        <v>0</v>
      </c>
      <c r="O658" t="n">
        <v>1</v>
      </c>
      <c r="P658" t="n">
        <v>1</v>
      </c>
      <c r="Q658" t="n">
        <v>1</v>
      </c>
      <c r="R658" s="2" t="inlineStr">
        <is>
          <t>Knärot</t>
        </is>
      </c>
      <c r="S658">
        <f>HYPERLINK("https://klasma.github.io/Logging_1784/artfynd/A 14030-2024 artfynd.xlsx", "A 14030-2024")</f>
        <v/>
      </c>
      <c r="T658">
        <f>HYPERLINK("https://klasma.github.io/Logging_1784/kartor/A 14030-2024 karta.png", "A 14030-2024")</f>
        <v/>
      </c>
      <c r="U658">
        <f>HYPERLINK("https://klasma.github.io/Logging_1784/knärot/A 14030-2024 karta knärot.png", "A 14030-2024")</f>
        <v/>
      </c>
      <c r="V658">
        <f>HYPERLINK("https://klasma.github.io/Logging_1784/klagomål/A 14030-2024 FSC-klagomål.docx", "A 14030-2024")</f>
        <v/>
      </c>
      <c r="W658">
        <f>HYPERLINK("https://klasma.github.io/Logging_1784/klagomålsmail/A 14030-2024 FSC-klagomål mail.docx", "A 14030-2024")</f>
        <v/>
      </c>
      <c r="X658">
        <f>HYPERLINK("https://klasma.github.io/Logging_1784/tillsyn/A 14030-2024 tillsynsbegäran.docx", "A 14030-2024")</f>
        <v/>
      </c>
      <c r="Y658">
        <f>HYPERLINK("https://klasma.github.io/Logging_1784/tillsynsmail/A 14030-2024 tillsynsbegäran mail.docx", "A 14030-2024")</f>
        <v/>
      </c>
    </row>
    <row r="659" ht="15" customHeight="1">
      <c r="A659" t="inlineStr">
        <is>
          <t>A 14738-2024</t>
        </is>
      </c>
      <c r="B659" s="1" t="n">
        <v>45397</v>
      </c>
      <c r="C659" s="1" t="n">
        <v>45810</v>
      </c>
      <c r="D659" t="inlineStr">
        <is>
          <t>VÄRMLANDS LÄN</t>
        </is>
      </c>
      <c r="E659" t="inlineStr">
        <is>
          <t>SÄFFLE</t>
        </is>
      </c>
      <c r="G659" t="n">
        <v>3.7</v>
      </c>
      <c r="H659" t="n">
        <v>0</v>
      </c>
      <c r="I659" t="n">
        <v>0</v>
      </c>
      <c r="J659" t="n">
        <v>1</v>
      </c>
      <c r="K659" t="n">
        <v>0</v>
      </c>
      <c r="L659" t="n">
        <v>0</v>
      </c>
      <c r="M659" t="n">
        <v>0</v>
      </c>
      <c r="N659" t="n">
        <v>0</v>
      </c>
      <c r="O659" t="n">
        <v>1</v>
      </c>
      <c r="P659" t="n">
        <v>0</v>
      </c>
      <c r="Q659" t="n">
        <v>1</v>
      </c>
      <c r="R659" s="2" t="inlineStr">
        <is>
          <t>Kortskaftad ärgspik</t>
        </is>
      </c>
      <c r="S659">
        <f>HYPERLINK("https://klasma.github.io/Logging_1785/artfynd/A 14738-2024 artfynd.xlsx", "A 14738-2024")</f>
        <v/>
      </c>
      <c r="T659">
        <f>HYPERLINK("https://klasma.github.io/Logging_1785/kartor/A 14738-2024 karta.png", "A 14738-2024")</f>
        <v/>
      </c>
      <c r="V659">
        <f>HYPERLINK("https://klasma.github.io/Logging_1785/klagomål/A 14738-2024 FSC-klagomål.docx", "A 14738-2024")</f>
        <v/>
      </c>
      <c r="W659">
        <f>HYPERLINK("https://klasma.github.io/Logging_1785/klagomålsmail/A 14738-2024 FSC-klagomål mail.docx", "A 14738-2024")</f>
        <v/>
      </c>
      <c r="X659">
        <f>HYPERLINK("https://klasma.github.io/Logging_1785/tillsyn/A 14738-2024 tillsynsbegäran.docx", "A 14738-2024")</f>
        <v/>
      </c>
      <c r="Y659">
        <f>HYPERLINK("https://klasma.github.io/Logging_1785/tillsynsmail/A 14738-2024 tillsynsbegäran mail.docx", "A 14738-2024")</f>
        <v/>
      </c>
    </row>
    <row r="660" ht="15" customHeight="1">
      <c r="A660" t="inlineStr">
        <is>
          <t>A 16317-2024</t>
        </is>
      </c>
      <c r="B660" s="1" t="n">
        <v>45407</v>
      </c>
      <c r="C660" s="1" t="n">
        <v>45810</v>
      </c>
      <c r="D660" t="inlineStr">
        <is>
          <t>VÄRMLANDS LÄN</t>
        </is>
      </c>
      <c r="E660" t="inlineStr">
        <is>
          <t>FILIPSTAD</t>
        </is>
      </c>
      <c r="G660" t="n">
        <v>6.8</v>
      </c>
      <c r="H660" t="n">
        <v>0</v>
      </c>
      <c r="I660" t="n">
        <v>1</v>
      </c>
      <c r="J660" t="n">
        <v>0</v>
      </c>
      <c r="K660" t="n">
        <v>0</v>
      </c>
      <c r="L660" t="n">
        <v>0</v>
      </c>
      <c r="M660" t="n">
        <v>0</v>
      </c>
      <c r="N660" t="n">
        <v>0</v>
      </c>
      <c r="O660" t="n">
        <v>0</v>
      </c>
      <c r="P660" t="n">
        <v>0</v>
      </c>
      <c r="Q660" t="n">
        <v>1</v>
      </c>
      <c r="R660" s="2" t="inlineStr">
        <is>
          <t>Skuggblåslav</t>
        </is>
      </c>
      <c r="S660">
        <f>HYPERLINK("https://klasma.github.io/Logging_1782/artfynd/A 16317-2024 artfynd.xlsx", "A 16317-2024")</f>
        <v/>
      </c>
      <c r="T660">
        <f>HYPERLINK("https://klasma.github.io/Logging_1782/kartor/A 16317-2024 karta.png", "A 16317-2024")</f>
        <v/>
      </c>
      <c r="V660">
        <f>HYPERLINK("https://klasma.github.io/Logging_1782/klagomål/A 16317-2024 FSC-klagomål.docx", "A 16317-2024")</f>
        <v/>
      </c>
      <c r="W660">
        <f>HYPERLINK("https://klasma.github.io/Logging_1782/klagomålsmail/A 16317-2024 FSC-klagomål mail.docx", "A 16317-2024")</f>
        <v/>
      </c>
      <c r="X660">
        <f>HYPERLINK("https://klasma.github.io/Logging_1782/tillsyn/A 16317-2024 tillsynsbegäran.docx", "A 16317-2024")</f>
        <v/>
      </c>
      <c r="Y660">
        <f>HYPERLINK("https://klasma.github.io/Logging_1782/tillsynsmail/A 16317-2024 tillsynsbegäran mail.docx", "A 16317-2024")</f>
        <v/>
      </c>
    </row>
    <row r="661" ht="15" customHeight="1">
      <c r="A661" t="inlineStr">
        <is>
          <t>A 17095-2024</t>
        </is>
      </c>
      <c r="B661" s="1" t="n">
        <v>45412</v>
      </c>
      <c r="C661" s="1" t="n">
        <v>45810</v>
      </c>
      <c r="D661" t="inlineStr">
        <is>
          <t>VÄRMLANDS LÄN</t>
        </is>
      </c>
      <c r="E661" t="inlineStr">
        <is>
          <t>HAGFORS</t>
        </is>
      </c>
      <c r="F661" t="inlineStr">
        <is>
          <t>Bergvik skog väst AB</t>
        </is>
      </c>
      <c r="G661" t="n">
        <v>8.300000000000001</v>
      </c>
      <c r="H661" t="n">
        <v>0</v>
      </c>
      <c r="I661" t="n">
        <v>0</v>
      </c>
      <c r="J661" t="n">
        <v>1</v>
      </c>
      <c r="K661" t="n">
        <v>0</v>
      </c>
      <c r="L661" t="n">
        <v>0</v>
      </c>
      <c r="M661" t="n">
        <v>0</v>
      </c>
      <c r="N661" t="n">
        <v>0</v>
      </c>
      <c r="O661" t="n">
        <v>1</v>
      </c>
      <c r="P661" t="n">
        <v>0</v>
      </c>
      <c r="Q661" t="n">
        <v>1</v>
      </c>
      <c r="R661" s="2" t="inlineStr">
        <is>
          <t>Garnlav</t>
        </is>
      </c>
      <c r="S661">
        <f>HYPERLINK("https://klasma.github.io/Logging_1783/artfynd/A 17095-2024 artfynd.xlsx", "A 17095-2024")</f>
        <v/>
      </c>
      <c r="T661">
        <f>HYPERLINK("https://klasma.github.io/Logging_1783/kartor/A 17095-2024 karta.png", "A 17095-2024")</f>
        <v/>
      </c>
      <c r="V661">
        <f>HYPERLINK("https://klasma.github.io/Logging_1783/klagomål/A 17095-2024 FSC-klagomål.docx", "A 17095-2024")</f>
        <v/>
      </c>
      <c r="W661">
        <f>HYPERLINK("https://klasma.github.io/Logging_1783/klagomålsmail/A 17095-2024 FSC-klagomål mail.docx", "A 17095-2024")</f>
        <v/>
      </c>
      <c r="X661">
        <f>HYPERLINK("https://klasma.github.io/Logging_1783/tillsyn/A 17095-2024 tillsynsbegäran.docx", "A 17095-2024")</f>
        <v/>
      </c>
      <c r="Y661">
        <f>HYPERLINK("https://klasma.github.io/Logging_1783/tillsynsmail/A 17095-2024 tillsynsbegäran mail.docx", "A 17095-2024")</f>
        <v/>
      </c>
    </row>
    <row r="662" ht="15" customHeight="1">
      <c r="A662" t="inlineStr">
        <is>
          <t>A 17084-2024</t>
        </is>
      </c>
      <c r="B662" s="1" t="n">
        <v>45412</v>
      </c>
      <c r="C662" s="1" t="n">
        <v>45810</v>
      </c>
      <c r="D662" t="inlineStr">
        <is>
          <t>VÄRMLANDS LÄN</t>
        </is>
      </c>
      <c r="E662" t="inlineStr">
        <is>
          <t>STORFORS</t>
        </is>
      </c>
      <c r="F662" t="inlineStr">
        <is>
          <t>Kyrkan</t>
        </is>
      </c>
      <c r="G662" t="n">
        <v>1.2</v>
      </c>
      <c r="H662" t="n">
        <v>1</v>
      </c>
      <c r="I662" t="n">
        <v>0</v>
      </c>
      <c r="J662" t="n">
        <v>1</v>
      </c>
      <c r="K662" t="n">
        <v>0</v>
      </c>
      <c r="L662" t="n">
        <v>0</v>
      </c>
      <c r="M662" t="n">
        <v>0</v>
      </c>
      <c r="N662" t="n">
        <v>0</v>
      </c>
      <c r="O662" t="n">
        <v>1</v>
      </c>
      <c r="P662" t="n">
        <v>0</v>
      </c>
      <c r="Q662" t="n">
        <v>1</v>
      </c>
      <c r="R662" s="2" t="inlineStr">
        <is>
          <t>Gulsparv</t>
        </is>
      </c>
      <c r="S662">
        <f>HYPERLINK("https://klasma.github.io/Logging_1760/artfynd/A 17084-2024 artfynd.xlsx", "A 17084-2024")</f>
        <v/>
      </c>
      <c r="T662">
        <f>HYPERLINK("https://klasma.github.io/Logging_1760/kartor/A 17084-2024 karta.png", "A 17084-2024")</f>
        <v/>
      </c>
      <c r="V662">
        <f>HYPERLINK("https://klasma.github.io/Logging_1760/klagomål/A 17084-2024 FSC-klagomål.docx", "A 17084-2024")</f>
        <v/>
      </c>
      <c r="W662">
        <f>HYPERLINK("https://klasma.github.io/Logging_1760/klagomålsmail/A 17084-2024 FSC-klagomål mail.docx", "A 17084-2024")</f>
        <v/>
      </c>
      <c r="X662">
        <f>HYPERLINK("https://klasma.github.io/Logging_1760/tillsyn/A 17084-2024 tillsynsbegäran.docx", "A 17084-2024")</f>
        <v/>
      </c>
      <c r="Y662">
        <f>HYPERLINK("https://klasma.github.io/Logging_1760/tillsynsmail/A 17084-2024 tillsynsbegäran mail.docx", "A 17084-2024")</f>
        <v/>
      </c>
      <c r="Z662">
        <f>HYPERLINK("https://klasma.github.io/Logging_1760/fåglar/A 17084-2024 prioriterade fågelarter.docx", "A 17084-2024")</f>
        <v/>
      </c>
    </row>
    <row r="663" ht="15" customHeight="1">
      <c r="A663" t="inlineStr">
        <is>
          <t>A 17888-2024</t>
        </is>
      </c>
      <c r="B663" s="1" t="n">
        <v>45419</v>
      </c>
      <c r="C663" s="1" t="n">
        <v>45810</v>
      </c>
      <c r="D663" t="inlineStr">
        <is>
          <t>VÄRMLANDS LÄN</t>
        </is>
      </c>
      <c r="E663" t="inlineStr">
        <is>
          <t>SÄFFLE</t>
        </is>
      </c>
      <c r="F663" t="inlineStr">
        <is>
          <t>Bergvik skog väst AB</t>
        </is>
      </c>
      <c r="G663" t="n">
        <v>5</v>
      </c>
      <c r="H663" t="n">
        <v>0</v>
      </c>
      <c r="I663" t="n">
        <v>0</v>
      </c>
      <c r="J663" t="n">
        <v>1</v>
      </c>
      <c r="K663" t="n">
        <v>0</v>
      </c>
      <c r="L663" t="n">
        <v>0</v>
      </c>
      <c r="M663" t="n">
        <v>0</v>
      </c>
      <c r="N663" t="n">
        <v>0</v>
      </c>
      <c r="O663" t="n">
        <v>1</v>
      </c>
      <c r="P663" t="n">
        <v>0</v>
      </c>
      <c r="Q663" t="n">
        <v>1</v>
      </c>
      <c r="R663" s="2" t="inlineStr">
        <is>
          <t>Skogsklocka</t>
        </is>
      </c>
      <c r="S663">
        <f>HYPERLINK("https://klasma.github.io/Logging_1785/artfynd/A 17888-2024 artfynd.xlsx", "A 17888-2024")</f>
        <v/>
      </c>
      <c r="T663">
        <f>HYPERLINK("https://klasma.github.io/Logging_1785/kartor/A 17888-2024 karta.png", "A 17888-2024")</f>
        <v/>
      </c>
      <c r="V663">
        <f>HYPERLINK("https://klasma.github.io/Logging_1785/klagomål/A 17888-2024 FSC-klagomål.docx", "A 17888-2024")</f>
        <v/>
      </c>
      <c r="W663">
        <f>HYPERLINK("https://klasma.github.io/Logging_1785/klagomålsmail/A 17888-2024 FSC-klagomål mail.docx", "A 17888-2024")</f>
        <v/>
      </c>
      <c r="X663">
        <f>HYPERLINK("https://klasma.github.io/Logging_1785/tillsyn/A 17888-2024 tillsynsbegäran.docx", "A 17888-2024")</f>
        <v/>
      </c>
      <c r="Y663">
        <f>HYPERLINK("https://klasma.github.io/Logging_1785/tillsynsmail/A 17888-2024 tillsynsbegäran mail.docx", "A 17888-2024")</f>
        <v/>
      </c>
    </row>
    <row r="664" ht="15" customHeight="1">
      <c r="A664" t="inlineStr">
        <is>
          <t>A 17928-2024</t>
        </is>
      </c>
      <c r="B664" s="1" t="n">
        <v>45419</v>
      </c>
      <c r="C664" s="1" t="n">
        <v>45810</v>
      </c>
      <c r="D664" t="inlineStr">
        <is>
          <t>VÄRMLANDS LÄN</t>
        </is>
      </c>
      <c r="E664" t="inlineStr">
        <is>
          <t>ARVIKA</t>
        </is>
      </c>
      <c r="G664" t="n">
        <v>6.7</v>
      </c>
      <c r="H664" t="n">
        <v>0</v>
      </c>
      <c r="I664" t="n">
        <v>1</v>
      </c>
      <c r="J664" t="n">
        <v>0</v>
      </c>
      <c r="K664" t="n">
        <v>0</v>
      </c>
      <c r="L664" t="n">
        <v>0</v>
      </c>
      <c r="M664" t="n">
        <v>0</v>
      </c>
      <c r="N664" t="n">
        <v>0</v>
      </c>
      <c r="O664" t="n">
        <v>0</v>
      </c>
      <c r="P664" t="n">
        <v>0</v>
      </c>
      <c r="Q664" t="n">
        <v>1</v>
      </c>
      <c r="R664" s="2" t="inlineStr">
        <is>
          <t>Bårdlav</t>
        </is>
      </c>
      <c r="S664">
        <f>HYPERLINK("https://klasma.github.io/Logging_1784/artfynd/A 17928-2024 artfynd.xlsx", "A 17928-2024")</f>
        <v/>
      </c>
      <c r="T664">
        <f>HYPERLINK("https://klasma.github.io/Logging_1784/kartor/A 17928-2024 karta.png", "A 17928-2024")</f>
        <v/>
      </c>
      <c r="V664">
        <f>HYPERLINK("https://klasma.github.io/Logging_1784/klagomål/A 17928-2024 FSC-klagomål.docx", "A 17928-2024")</f>
        <v/>
      </c>
      <c r="W664">
        <f>HYPERLINK("https://klasma.github.io/Logging_1784/klagomålsmail/A 17928-2024 FSC-klagomål mail.docx", "A 17928-2024")</f>
        <v/>
      </c>
      <c r="X664">
        <f>HYPERLINK("https://klasma.github.io/Logging_1784/tillsyn/A 17928-2024 tillsynsbegäran.docx", "A 17928-2024")</f>
        <v/>
      </c>
      <c r="Y664">
        <f>HYPERLINK("https://klasma.github.io/Logging_1784/tillsynsmail/A 17928-2024 tillsynsbegäran mail.docx", "A 17928-2024")</f>
        <v/>
      </c>
    </row>
    <row r="665" ht="15" customHeight="1">
      <c r="A665" t="inlineStr">
        <is>
          <t>A 19026-2024</t>
        </is>
      </c>
      <c r="B665" s="1" t="n">
        <v>45427</v>
      </c>
      <c r="C665" s="1" t="n">
        <v>45810</v>
      </c>
      <c r="D665" t="inlineStr">
        <is>
          <t>VÄRMLANDS LÄN</t>
        </is>
      </c>
      <c r="E665" t="inlineStr">
        <is>
          <t>ARVIKA</t>
        </is>
      </c>
      <c r="F665" t="inlineStr">
        <is>
          <t>Bergvik skog väst AB</t>
        </is>
      </c>
      <c r="G665" t="n">
        <v>1.1</v>
      </c>
      <c r="H665" t="n">
        <v>0</v>
      </c>
      <c r="I665" t="n">
        <v>1</v>
      </c>
      <c r="J665" t="n">
        <v>0</v>
      </c>
      <c r="K665" t="n">
        <v>0</v>
      </c>
      <c r="L665" t="n">
        <v>0</v>
      </c>
      <c r="M665" t="n">
        <v>0</v>
      </c>
      <c r="N665" t="n">
        <v>0</v>
      </c>
      <c r="O665" t="n">
        <v>0</v>
      </c>
      <c r="P665" t="n">
        <v>0</v>
      </c>
      <c r="Q665" t="n">
        <v>1</v>
      </c>
      <c r="R665" s="2" t="inlineStr">
        <is>
          <t>Blomkålssvamp</t>
        </is>
      </c>
      <c r="S665">
        <f>HYPERLINK("https://klasma.github.io/Logging_1784/artfynd/A 19026-2024 artfynd.xlsx", "A 19026-2024")</f>
        <v/>
      </c>
      <c r="T665">
        <f>HYPERLINK("https://klasma.github.io/Logging_1784/kartor/A 19026-2024 karta.png", "A 19026-2024")</f>
        <v/>
      </c>
      <c r="V665">
        <f>HYPERLINK("https://klasma.github.io/Logging_1784/klagomål/A 19026-2024 FSC-klagomål.docx", "A 19026-2024")</f>
        <v/>
      </c>
      <c r="W665">
        <f>HYPERLINK("https://klasma.github.io/Logging_1784/klagomålsmail/A 19026-2024 FSC-klagomål mail.docx", "A 19026-2024")</f>
        <v/>
      </c>
      <c r="X665">
        <f>HYPERLINK("https://klasma.github.io/Logging_1784/tillsyn/A 19026-2024 tillsynsbegäran.docx", "A 19026-2024")</f>
        <v/>
      </c>
      <c r="Y665">
        <f>HYPERLINK("https://klasma.github.io/Logging_1784/tillsynsmail/A 19026-2024 tillsynsbegäran mail.docx", "A 19026-2024")</f>
        <v/>
      </c>
    </row>
    <row r="666" ht="15" customHeight="1">
      <c r="A666" t="inlineStr">
        <is>
          <t>A 19446-2024</t>
        </is>
      </c>
      <c r="B666" s="1" t="n">
        <v>45429</v>
      </c>
      <c r="C666" s="1" t="n">
        <v>45810</v>
      </c>
      <c r="D666" t="inlineStr">
        <is>
          <t>VÄRMLANDS LÄN</t>
        </is>
      </c>
      <c r="E666" t="inlineStr">
        <is>
          <t>KIL</t>
        </is>
      </c>
      <c r="G666" t="n">
        <v>4.1</v>
      </c>
      <c r="H666" t="n">
        <v>1</v>
      </c>
      <c r="I666" t="n">
        <v>0</v>
      </c>
      <c r="J666" t="n">
        <v>0</v>
      </c>
      <c r="K666" t="n">
        <v>0</v>
      </c>
      <c r="L666" t="n">
        <v>0</v>
      </c>
      <c r="M666" t="n">
        <v>0</v>
      </c>
      <c r="N666" t="n">
        <v>0</v>
      </c>
      <c r="O666" t="n">
        <v>0</v>
      </c>
      <c r="P666" t="n">
        <v>0</v>
      </c>
      <c r="Q666" t="n">
        <v>1</v>
      </c>
      <c r="R666" s="2" t="inlineStr">
        <is>
          <t>Mattlummer</t>
        </is>
      </c>
      <c r="S666">
        <f>HYPERLINK("https://klasma.github.io/Logging_1715/artfynd/A 19446-2024 artfynd.xlsx", "A 19446-2024")</f>
        <v/>
      </c>
      <c r="T666">
        <f>HYPERLINK("https://klasma.github.io/Logging_1715/kartor/A 19446-2024 karta.png", "A 19446-2024")</f>
        <v/>
      </c>
      <c r="V666">
        <f>HYPERLINK("https://klasma.github.io/Logging_1715/klagomål/A 19446-2024 FSC-klagomål.docx", "A 19446-2024")</f>
        <v/>
      </c>
      <c r="W666">
        <f>HYPERLINK("https://klasma.github.io/Logging_1715/klagomålsmail/A 19446-2024 FSC-klagomål mail.docx", "A 19446-2024")</f>
        <v/>
      </c>
      <c r="X666">
        <f>HYPERLINK("https://klasma.github.io/Logging_1715/tillsyn/A 19446-2024 tillsynsbegäran.docx", "A 19446-2024")</f>
        <v/>
      </c>
      <c r="Y666">
        <f>HYPERLINK("https://klasma.github.io/Logging_1715/tillsynsmail/A 19446-2024 tillsynsbegäran mail.docx", "A 19446-2024")</f>
        <v/>
      </c>
    </row>
    <row r="667" ht="15" customHeight="1">
      <c r="A667" t="inlineStr">
        <is>
          <t>A 19760-2024</t>
        </is>
      </c>
      <c r="B667" s="1" t="n">
        <v>45432</v>
      </c>
      <c r="C667" s="1" t="n">
        <v>45810</v>
      </c>
      <c r="D667" t="inlineStr">
        <is>
          <t>VÄRMLANDS LÄN</t>
        </is>
      </c>
      <c r="E667" t="inlineStr">
        <is>
          <t>TORSBY</t>
        </is>
      </c>
      <c r="F667" t="inlineStr">
        <is>
          <t>Bergvik skog väst AB</t>
        </is>
      </c>
      <c r="G667" t="n">
        <v>7.9</v>
      </c>
      <c r="H667" t="n">
        <v>1</v>
      </c>
      <c r="I667" t="n">
        <v>0</v>
      </c>
      <c r="J667" t="n">
        <v>1</v>
      </c>
      <c r="K667" t="n">
        <v>0</v>
      </c>
      <c r="L667" t="n">
        <v>0</v>
      </c>
      <c r="M667" t="n">
        <v>0</v>
      </c>
      <c r="N667" t="n">
        <v>0</v>
      </c>
      <c r="O667" t="n">
        <v>1</v>
      </c>
      <c r="P667" t="n">
        <v>0</v>
      </c>
      <c r="Q667" t="n">
        <v>1</v>
      </c>
      <c r="R667" s="2" t="inlineStr">
        <is>
          <t>Utter</t>
        </is>
      </c>
      <c r="S667">
        <f>HYPERLINK("https://klasma.github.io/Logging_1737/artfynd/A 19760-2024 artfynd.xlsx", "A 19760-2024")</f>
        <v/>
      </c>
      <c r="T667">
        <f>HYPERLINK("https://klasma.github.io/Logging_1737/kartor/A 19760-2024 karta.png", "A 19760-2024")</f>
        <v/>
      </c>
      <c r="V667">
        <f>HYPERLINK("https://klasma.github.io/Logging_1737/klagomål/A 19760-2024 FSC-klagomål.docx", "A 19760-2024")</f>
        <v/>
      </c>
      <c r="W667">
        <f>HYPERLINK("https://klasma.github.io/Logging_1737/klagomålsmail/A 19760-2024 FSC-klagomål mail.docx", "A 19760-2024")</f>
        <v/>
      </c>
      <c r="X667">
        <f>HYPERLINK("https://klasma.github.io/Logging_1737/tillsyn/A 19760-2024 tillsynsbegäran.docx", "A 19760-2024")</f>
        <v/>
      </c>
      <c r="Y667">
        <f>HYPERLINK("https://klasma.github.io/Logging_1737/tillsynsmail/A 19760-2024 tillsynsbegäran mail.docx", "A 19760-2024")</f>
        <v/>
      </c>
    </row>
    <row r="668" ht="15" customHeight="1">
      <c r="A668" t="inlineStr">
        <is>
          <t>A 20951-2024</t>
        </is>
      </c>
      <c r="B668" s="1" t="n">
        <v>45439</v>
      </c>
      <c r="C668" s="1" t="n">
        <v>45810</v>
      </c>
      <c r="D668" t="inlineStr">
        <is>
          <t>VÄRMLANDS LÄN</t>
        </is>
      </c>
      <c r="E668" t="inlineStr">
        <is>
          <t>SUNNE</t>
        </is>
      </c>
      <c r="F668" t="inlineStr">
        <is>
          <t>Bergvik skog väst AB</t>
        </is>
      </c>
      <c r="G668" t="n">
        <v>1.1</v>
      </c>
      <c r="H668" t="n">
        <v>1</v>
      </c>
      <c r="I668" t="n">
        <v>0</v>
      </c>
      <c r="J668" t="n">
        <v>1</v>
      </c>
      <c r="K668" t="n">
        <v>0</v>
      </c>
      <c r="L668" t="n">
        <v>0</v>
      </c>
      <c r="M668" t="n">
        <v>0</v>
      </c>
      <c r="N668" t="n">
        <v>0</v>
      </c>
      <c r="O668" t="n">
        <v>1</v>
      </c>
      <c r="P668" t="n">
        <v>0</v>
      </c>
      <c r="Q668" t="n">
        <v>1</v>
      </c>
      <c r="R668" s="2" t="inlineStr">
        <is>
          <t>Spillkråka</t>
        </is>
      </c>
      <c r="S668">
        <f>HYPERLINK("https://klasma.github.io/Logging_1766/artfynd/A 20951-2024 artfynd.xlsx", "A 20951-2024")</f>
        <v/>
      </c>
      <c r="T668">
        <f>HYPERLINK("https://klasma.github.io/Logging_1766/kartor/A 20951-2024 karta.png", "A 20951-2024")</f>
        <v/>
      </c>
      <c r="V668">
        <f>HYPERLINK("https://klasma.github.io/Logging_1766/klagomål/A 20951-2024 FSC-klagomål.docx", "A 20951-2024")</f>
        <v/>
      </c>
      <c r="W668">
        <f>HYPERLINK("https://klasma.github.io/Logging_1766/klagomålsmail/A 20951-2024 FSC-klagomål mail.docx", "A 20951-2024")</f>
        <v/>
      </c>
      <c r="X668">
        <f>HYPERLINK("https://klasma.github.io/Logging_1766/tillsyn/A 20951-2024 tillsynsbegäran.docx", "A 20951-2024")</f>
        <v/>
      </c>
      <c r="Y668">
        <f>HYPERLINK("https://klasma.github.io/Logging_1766/tillsynsmail/A 20951-2024 tillsynsbegäran mail.docx", "A 20951-2024")</f>
        <v/>
      </c>
      <c r="Z668">
        <f>HYPERLINK("https://klasma.github.io/Logging_1766/fåglar/A 20951-2024 prioriterade fågelarter.docx", "A 20951-2024")</f>
        <v/>
      </c>
    </row>
    <row r="669" ht="15" customHeight="1">
      <c r="A669" t="inlineStr">
        <is>
          <t>A 21252-2024</t>
        </is>
      </c>
      <c r="B669" s="1" t="n">
        <v>45440</v>
      </c>
      <c r="C669" s="1" t="n">
        <v>45810</v>
      </c>
      <c r="D669" t="inlineStr">
        <is>
          <t>VÄRMLANDS LÄN</t>
        </is>
      </c>
      <c r="E669" t="inlineStr">
        <is>
          <t>ARVIKA</t>
        </is>
      </c>
      <c r="F669" t="inlineStr">
        <is>
          <t>Bergvik skog väst AB</t>
        </is>
      </c>
      <c r="G669" t="n">
        <v>0.7</v>
      </c>
      <c r="H669" t="n">
        <v>1</v>
      </c>
      <c r="I669" t="n">
        <v>0</v>
      </c>
      <c r="J669" t="n">
        <v>0</v>
      </c>
      <c r="K669" t="n">
        <v>1</v>
      </c>
      <c r="L669" t="n">
        <v>0</v>
      </c>
      <c r="M669" t="n">
        <v>0</v>
      </c>
      <c r="N669" t="n">
        <v>0</v>
      </c>
      <c r="O669" t="n">
        <v>1</v>
      </c>
      <c r="P669" t="n">
        <v>1</v>
      </c>
      <c r="Q669" t="n">
        <v>1</v>
      </c>
      <c r="R669" s="2" t="inlineStr">
        <is>
          <t>Knärot</t>
        </is>
      </c>
      <c r="S669">
        <f>HYPERLINK("https://klasma.github.io/Logging_1784/artfynd/A 21252-2024 artfynd.xlsx", "A 21252-2024")</f>
        <v/>
      </c>
      <c r="T669">
        <f>HYPERLINK("https://klasma.github.io/Logging_1784/kartor/A 21252-2024 karta.png", "A 21252-2024")</f>
        <v/>
      </c>
      <c r="U669">
        <f>HYPERLINK("https://klasma.github.io/Logging_1784/knärot/A 21252-2024 karta knärot.png", "A 21252-2024")</f>
        <v/>
      </c>
      <c r="V669">
        <f>HYPERLINK("https://klasma.github.io/Logging_1784/klagomål/A 21252-2024 FSC-klagomål.docx", "A 21252-2024")</f>
        <v/>
      </c>
      <c r="W669">
        <f>HYPERLINK("https://klasma.github.io/Logging_1784/klagomålsmail/A 21252-2024 FSC-klagomål mail.docx", "A 21252-2024")</f>
        <v/>
      </c>
      <c r="X669">
        <f>HYPERLINK("https://klasma.github.io/Logging_1784/tillsyn/A 21252-2024 tillsynsbegäran.docx", "A 21252-2024")</f>
        <v/>
      </c>
      <c r="Y669">
        <f>HYPERLINK("https://klasma.github.io/Logging_1784/tillsynsmail/A 21252-2024 tillsynsbegäran mail.docx", "A 21252-2024")</f>
        <v/>
      </c>
    </row>
    <row r="670" ht="15" customHeight="1">
      <c r="A670" t="inlineStr">
        <is>
          <t>A 23083-2024</t>
        </is>
      </c>
      <c r="B670" s="1" t="n">
        <v>45450</v>
      </c>
      <c r="C670" s="1" t="n">
        <v>45810</v>
      </c>
      <c r="D670" t="inlineStr">
        <is>
          <t>VÄRMLANDS LÄN</t>
        </is>
      </c>
      <c r="E670" t="inlineStr">
        <is>
          <t>ARVIKA</t>
        </is>
      </c>
      <c r="F670" t="inlineStr">
        <is>
          <t>Bergvik skog väst AB</t>
        </is>
      </c>
      <c r="G670" t="n">
        <v>1.2</v>
      </c>
      <c r="H670" t="n">
        <v>1</v>
      </c>
      <c r="I670" t="n">
        <v>0</v>
      </c>
      <c r="J670" t="n">
        <v>0</v>
      </c>
      <c r="K670" t="n">
        <v>1</v>
      </c>
      <c r="L670" t="n">
        <v>0</v>
      </c>
      <c r="M670" t="n">
        <v>0</v>
      </c>
      <c r="N670" t="n">
        <v>0</v>
      </c>
      <c r="O670" t="n">
        <v>1</v>
      </c>
      <c r="P670" t="n">
        <v>1</v>
      </c>
      <c r="Q670" t="n">
        <v>1</v>
      </c>
      <c r="R670" s="2" t="inlineStr">
        <is>
          <t>Knärot</t>
        </is>
      </c>
      <c r="S670">
        <f>HYPERLINK("https://klasma.github.io/Logging_1784/artfynd/A 23083-2024 artfynd.xlsx", "A 23083-2024")</f>
        <v/>
      </c>
      <c r="T670">
        <f>HYPERLINK("https://klasma.github.io/Logging_1784/kartor/A 23083-2024 karta.png", "A 23083-2024")</f>
        <v/>
      </c>
      <c r="U670">
        <f>HYPERLINK("https://klasma.github.io/Logging_1784/knärot/A 23083-2024 karta knärot.png", "A 23083-2024")</f>
        <v/>
      </c>
      <c r="V670">
        <f>HYPERLINK("https://klasma.github.io/Logging_1784/klagomål/A 23083-2024 FSC-klagomål.docx", "A 23083-2024")</f>
        <v/>
      </c>
      <c r="W670">
        <f>HYPERLINK("https://klasma.github.io/Logging_1784/klagomålsmail/A 23083-2024 FSC-klagomål mail.docx", "A 23083-2024")</f>
        <v/>
      </c>
      <c r="X670">
        <f>HYPERLINK("https://klasma.github.io/Logging_1784/tillsyn/A 23083-2024 tillsynsbegäran.docx", "A 23083-2024")</f>
        <v/>
      </c>
      <c r="Y670">
        <f>HYPERLINK("https://klasma.github.io/Logging_1784/tillsynsmail/A 23083-2024 tillsynsbegäran mail.docx", "A 23083-2024")</f>
        <v/>
      </c>
    </row>
    <row r="671" ht="15" customHeight="1">
      <c r="A671" t="inlineStr">
        <is>
          <t>A 23338-2024</t>
        </is>
      </c>
      <c r="B671" s="1" t="n">
        <v>45453</v>
      </c>
      <c r="C671" s="1" t="n">
        <v>45810</v>
      </c>
      <c r="D671" t="inlineStr">
        <is>
          <t>VÄRMLANDS LÄN</t>
        </is>
      </c>
      <c r="E671" t="inlineStr">
        <is>
          <t>KARLSTAD</t>
        </is>
      </c>
      <c r="G671" t="n">
        <v>1.5</v>
      </c>
      <c r="H671" t="n">
        <v>1</v>
      </c>
      <c r="I671" t="n">
        <v>0</v>
      </c>
      <c r="J671" t="n">
        <v>0</v>
      </c>
      <c r="K671" t="n">
        <v>0</v>
      </c>
      <c r="L671" t="n">
        <v>0</v>
      </c>
      <c r="M671" t="n">
        <v>0</v>
      </c>
      <c r="N671" t="n">
        <v>0</v>
      </c>
      <c r="O671" t="n">
        <v>0</v>
      </c>
      <c r="P671" t="n">
        <v>0</v>
      </c>
      <c r="Q671" t="n">
        <v>1</v>
      </c>
      <c r="R671" s="2" t="inlineStr">
        <is>
          <t>Blåsippa</t>
        </is>
      </c>
      <c r="S671">
        <f>HYPERLINK("https://klasma.github.io/Logging_1780/artfynd/A 23338-2024 artfynd.xlsx", "A 23338-2024")</f>
        <v/>
      </c>
      <c r="T671">
        <f>HYPERLINK("https://klasma.github.io/Logging_1780/kartor/A 23338-2024 karta.png", "A 23338-2024")</f>
        <v/>
      </c>
      <c r="V671">
        <f>HYPERLINK("https://klasma.github.io/Logging_1780/klagomål/A 23338-2024 FSC-klagomål.docx", "A 23338-2024")</f>
        <v/>
      </c>
      <c r="W671">
        <f>HYPERLINK("https://klasma.github.io/Logging_1780/klagomålsmail/A 23338-2024 FSC-klagomål mail.docx", "A 23338-2024")</f>
        <v/>
      </c>
      <c r="X671">
        <f>HYPERLINK("https://klasma.github.io/Logging_1780/tillsyn/A 23338-2024 tillsynsbegäran.docx", "A 23338-2024")</f>
        <v/>
      </c>
      <c r="Y671">
        <f>HYPERLINK("https://klasma.github.io/Logging_1780/tillsynsmail/A 23338-2024 tillsynsbegäran mail.docx", "A 23338-2024")</f>
        <v/>
      </c>
    </row>
    <row r="672" ht="15" customHeight="1">
      <c r="A672" t="inlineStr">
        <is>
          <t>A 23377-2024</t>
        </is>
      </c>
      <c r="B672" s="1" t="n">
        <v>45453</v>
      </c>
      <c r="C672" s="1" t="n">
        <v>45810</v>
      </c>
      <c r="D672" t="inlineStr">
        <is>
          <t>VÄRMLANDS LÄN</t>
        </is>
      </c>
      <c r="E672" t="inlineStr">
        <is>
          <t>FILIPSTAD</t>
        </is>
      </c>
      <c r="F672" t="inlineStr">
        <is>
          <t>Bergvik skog väst AB</t>
        </is>
      </c>
      <c r="G672" t="n">
        <v>5.1</v>
      </c>
      <c r="H672" t="n">
        <v>1</v>
      </c>
      <c r="I672" t="n">
        <v>0</v>
      </c>
      <c r="J672" t="n">
        <v>0</v>
      </c>
      <c r="K672" t="n">
        <v>1</v>
      </c>
      <c r="L672" t="n">
        <v>0</v>
      </c>
      <c r="M672" t="n">
        <v>0</v>
      </c>
      <c r="N672" t="n">
        <v>0</v>
      </c>
      <c r="O672" t="n">
        <v>1</v>
      </c>
      <c r="P672" t="n">
        <v>1</v>
      </c>
      <c r="Q672" t="n">
        <v>1</v>
      </c>
      <c r="R672" s="2" t="inlineStr">
        <is>
          <t>Tallbit</t>
        </is>
      </c>
      <c r="S672">
        <f>HYPERLINK("https://klasma.github.io/Logging_1782/artfynd/A 23377-2024 artfynd.xlsx", "A 23377-2024")</f>
        <v/>
      </c>
      <c r="T672">
        <f>HYPERLINK("https://klasma.github.io/Logging_1782/kartor/A 23377-2024 karta.png", "A 23377-2024")</f>
        <v/>
      </c>
      <c r="V672">
        <f>HYPERLINK("https://klasma.github.io/Logging_1782/klagomål/A 23377-2024 FSC-klagomål.docx", "A 23377-2024")</f>
        <v/>
      </c>
      <c r="W672">
        <f>HYPERLINK("https://klasma.github.io/Logging_1782/klagomålsmail/A 23377-2024 FSC-klagomål mail.docx", "A 23377-2024")</f>
        <v/>
      </c>
      <c r="X672">
        <f>HYPERLINK("https://klasma.github.io/Logging_1782/tillsyn/A 23377-2024 tillsynsbegäran.docx", "A 23377-2024")</f>
        <v/>
      </c>
      <c r="Y672">
        <f>HYPERLINK("https://klasma.github.io/Logging_1782/tillsynsmail/A 23377-2024 tillsynsbegäran mail.docx", "A 23377-2024")</f>
        <v/>
      </c>
      <c r="Z672">
        <f>HYPERLINK("https://klasma.github.io/Logging_1782/fåglar/A 23377-2024 prioriterade fågelarter.docx", "A 23377-2024")</f>
        <v/>
      </c>
    </row>
    <row r="673" ht="15" customHeight="1">
      <c r="A673" t="inlineStr">
        <is>
          <t>A 25789-2024</t>
        </is>
      </c>
      <c r="B673" s="1" t="n">
        <v>45467</v>
      </c>
      <c r="C673" s="1" t="n">
        <v>45810</v>
      </c>
      <c r="D673" t="inlineStr">
        <is>
          <t>VÄRMLANDS LÄN</t>
        </is>
      </c>
      <c r="E673" t="inlineStr">
        <is>
          <t>TORSBY</t>
        </is>
      </c>
      <c r="F673" t="inlineStr">
        <is>
          <t>Bergvik skog väst AB</t>
        </is>
      </c>
      <c r="G673" t="n">
        <v>9</v>
      </c>
      <c r="H673" t="n">
        <v>1</v>
      </c>
      <c r="I673" t="n">
        <v>0</v>
      </c>
      <c r="J673" t="n">
        <v>1</v>
      </c>
      <c r="K673" t="n">
        <v>0</v>
      </c>
      <c r="L673" t="n">
        <v>0</v>
      </c>
      <c r="M673" t="n">
        <v>0</v>
      </c>
      <c r="N673" t="n">
        <v>0</v>
      </c>
      <c r="O673" t="n">
        <v>1</v>
      </c>
      <c r="P673" t="n">
        <v>0</v>
      </c>
      <c r="Q673" t="n">
        <v>1</v>
      </c>
      <c r="R673" s="2" t="inlineStr">
        <is>
          <t>Järpe</t>
        </is>
      </c>
      <c r="S673">
        <f>HYPERLINK("https://klasma.github.io/Logging_1737/artfynd/A 25789-2024 artfynd.xlsx", "A 25789-2024")</f>
        <v/>
      </c>
      <c r="T673">
        <f>HYPERLINK("https://klasma.github.io/Logging_1737/kartor/A 25789-2024 karta.png", "A 25789-2024")</f>
        <v/>
      </c>
      <c r="V673">
        <f>HYPERLINK("https://klasma.github.io/Logging_1737/klagomål/A 25789-2024 FSC-klagomål.docx", "A 25789-2024")</f>
        <v/>
      </c>
      <c r="W673">
        <f>HYPERLINK("https://klasma.github.io/Logging_1737/klagomålsmail/A 25789-2024 FSC-klagomål mail.docx", "A 25789-2024")</f>
        <v/>
      </c>
      <c r="X673">
        <f>HYPERLINK("https://klasma.github.io/Logging_1737/tillsyn/A 25789-2024 tillsynsbegäran.docx", "A 25789-2024")</f>
        <v/>
      </c>
      <c r="Y673">
        <f>HYPERLINK("https://klasma.github.io/Logging_1737/tillsynsmail/A 25789-2024 tillsynsbegäran mail.docx", "A 25789-2024")</f>
        <v/>
      </c>
      <c r="Z673">
        <f>HYPERLINK("https://klasma.github.io/Logging_1737/fåglar/A 25789-2024 prioriterade fågelarter.docx", "A 25789-2024")</f>
        <v/>
      </c>
    </row>
    <row r="674" ht="15" customHeight="1">
      <c r="A674" t="inlineStr">
        <is>
          <t>A 27726-2024</t>
        </is>
      </c>
      <c r="B674" s="1" t="n">
        <v>45475</v>
      </c>
      <c r="C674" s="1" t="n">
        <v>45810</v>
      </c>
      <c r="D674" t="inlineStr">
        <is>
          <t>VÄRMLANDS LÄN</t>
        </is>
      </c>
      <c r="E674" t="inlineStr">
        <is>
          <t>ÅRJÄNG</t>
        </is>
      </c>
      <c r="G674" t="n">
        <v>4.6</v>
      </c>
      <c r="H674" t="n">
        <v>0</v>
      </c>
      <c r="I674" t="n">
        <v>0</v>
      </c>
      <c r="J674" t="n">
        <v>0</v>
      </c>
      <c r="K674" t="n">
        <v>1</v>
      </c>
      <c r="L674" t="n">
        <v>0</v>
      </c>
      <c r="M674" t="n">
        <v>0</v>
      </c>
      <c r="N674" t="n">
        <v>0</v>
      </c>
      <c r="O674" t="n">
        <v>1</v>
      </c>
      <c r="P674" t="n">
        <v>1</v>
      </c>
      <c r="Q674" t="n">
        <v>1</v>
      </c>
      <c r="R674" s="2" t="inlineStr">
        <is>
          <t>Slåttergubbe</t>
        </is>
      </c>
      <c r="S674">
        <f>HYPERLINK("https://klasma.github.io/Logging_1765/artfynd/A 27726-2024 artfynd.xlsx", "A 27726-2024")</f>
        <v/>
      </c>
      <c r="T674">
        <f>HYPERLINK("https://klasma.github.io/Logging_1765/kartor/A 27726-2024 karta.png", "A 27726-2024")</f>
        <v/>
      </c>
      <c r="V674">
        <f>HYPERLINK("https://klasma.github.io/Logging_1765/klagomål/A 27726-2024 FSC-klagomål.docx", "A 27726-2024")</f>
        <v/>
      </c>
      <c r="W674">
        <f>HYPERLINK("https://klasma.github.io/Logging_1765/klagomålsmail/A 27726-2024 FSC-klagomål mail.docx", "A 27726-2024")</f>
        <v/>
      </c>
      <c r="X674">
        <f>HYPERLINK("https://klasma.github.io/Logging_1765/tillsyn/A 27726-2024 tillsynsbegäran.docx", "A 27726-2024")</f>
        <v/>
      </c>
      <c r="Y674">
        <f>HYPERLINK("https://klasma.github.io/Logging_1765/tillsynsmail/A 27726-2024 tillsynsbegäran mail.docx", "A 27726-2024")</f>
        <v/>
      </c>
    </row>
    <row r="675" ht="15" customHeight="1">
      <c r="A675" t="inlineStr">
        <is>
          <t>A 28237-2024</t>
        </is>
      </c>
      <c r="B675" s="1" t="n">
        <v>45477</v>
      </c>
      <c r="C675" s="1" t="n">
        <v>45810</v>
      </c>
      <c r="D675" t="inlineStr">
        <is>
          <t>VÄRMLANDS LÄN</t>
        </is>
      </c>
      <c r="E675" t="inlineStr">
        <is>
          <t>GRUMS</t>
        </is>
      </c>
      <c r="G675" t="n">
        <v>10.7</v>
      </c>
      <c r="H675" t="n">
        <v>0</v>
      </c>
      <c r="I675" t="n">
        <v>1</v>
      </c>
      <c r="J675" t="n">
        <v>0</v>
      </c>
      <c r="K675" t="n">
        <v>0</v>
      </c>
      <c r="L675" t="n">
        <v>0</v>
      </c>
      <c r="M675" t="n">
        <v>0</v>
      </c>
      <c r="N675" t="n">
        <v>0</v>
      </c>
      <c r="O675" t="n">
        <v>0</v>
      </c>
      <c r="P675" t="n">
        <v>0</v>
      </c>
      <c r="Q675" t="n">
        <v>1</v>
      </c>
      <c r="R675" s="2" t="inlineStr">
        <is>
          <t>Vågbandad barkbock</t>
        </is>
      </c>
      <c r="S675">
        <f>HYPERLINK("https://klasma.github.io/Logging_1764/artfynd/A 28237-2024 artfynd.xlsx", "A 28237-2024")</f>
        <v/>
      </c>
      <c r="T675">
        <f>HYPERLINK("https://klasma.github.io/Logging_1764/kartor/A 28237-2024 karta.png", "A 28237-2024")</f>
        <v/>
      </c>
      <c r="V675">
        <f>HYPERLINK("https://klasma.github.io/Logging_1764/klagomål/A 28237-2024 FSC-klagomål.docx", "A 28237-2024")</f>
        <v/>
      </c>
      <c r="W675">
        <f>HYPERLINK("https://klasma.github.io/Logging_1764/klagomålsmail/A 28237-2024 FSC-klagomål mail.docx", "A 28237-2024")</f>
        <v/>
      </c>
      <c r="X675">
        <f>HYPERLINK("https://klasma.github.io/Logging_1764/tillsyn/A 28237-2024 tillsynsbegäran.docx", "A 28237-2024")</f>
        <v/>
      </c>
      <c r="Y675">
        <f>HYPERLINK("https://klasma.github.io/Logging_1764/tillsynsmail/A 28237-2024 tillsynsbegäran mail.docx", "A 28237-2024")</f>
        <v/>
      </c>
    </row>
    <row r="676" ht="15" customHeight="1">
      <c r="A676" t="inlineStr">
        <is>
          <t>A 28792-2024</t>
        </is>
      </c>
      <c r="B676" s="1" t="n">
        <v>45478</v>
      </c>
      <c r="C676" s="1" t="n">
        <v>45810</v>
      </c>
      <c r="D676" t="inlineStr">
        <is>
          <t>VÄRMLANDS LÄN</t>
        </is>
      </c>
      <c r="E676" t="inlineStr">
        <is>
          <t>ÅRJÄNG</t>
        </is>
      </c>
      <c r="F676" t="inlineStr">
        <is>
          <t>Bergvik skog väst AB</t>
        </is>
      </c>
      <c r="G676" t="n">
        <v>3.5</v>
      </c>
      <c r="H676" t="n">
        <v>1</v>
      </c>
      <c r="I676" t="n">
        <v>0</v>
      </c>
      <c r="J676" t="n">
        <v>1</v>
      </c>
      <c r="K676" t="n">
        <v>0</v>
      </c>
      <c r="L676" t="n">
        <v>0</v>
      </c>
      <c r="M676" t="n">
        <v>0</v>
      </c>
      <c r="N676" t="n">
        <v>0</v>
      </c>
      <c r="O676" t="n">
        <v>1</v>
      </c>
      <c r="P676" t="n">
        <v>0</v>
      </c>
      <c r="Q676" t="n">
        <v>1</v>
      </c>
      <c r="R676" s="2" t="inlineStr">
        <is>
          <t>Utter</t>
        </is>
      </c>
      <c r="S676">
        <f>HYPERLINK("https://klasma.github.io/Logging_1765/artfynd/A 28792-2024 artfynd.xlsx", "A 28792-2024")</f>
        <v/>
      </c>
      <c r="T676">
        <f>HYPERLINK("https://klasma.github.io/Logging_1765/kartor/A 28792-2024 karta.png", "A 28792-2024")</f>
        <v/>
      </c>
      <c r="V676">
        <f>HYPERLINK("https://klasma.github.io/Logging_1765/klagomål/A 28792-2024 FSC-klagomål.docx", "A 28792-2024")</f>
        <v/>
      </c>
      <c r="W676">
        <f>HYPERLINK("https://klasma.github.io/Logging_1765/klagomålsmail/A 28792-2024 FSC-klagomål mail.docx", "A 28792-2024")</f>
        <v/>
      </c>
      <c r="X676">
        <f>HYPERLINK("https://klasma.github.io/Logging_1765/tillsyn/A 28792-2024 tillsynsbegäran.docx", "A 28792-2024")</f>
        <v/>
      </c>
      <c r="Y676">
        <f>HYPERLINK("https://klasma.github.io/Logging_1765/tillsynsmail/A 28792-2024 tillsynsbegäran mail.docx", "A 28792-2024")</f>
        <v/>
      </c>
    </row>
    <row r="677" ht="15" customHeight="1">
      <c r="A677" t="inlineStr">
        <is>
          <t>A 30828-2024</t>
        </is>
      </c>
      <c r="B677" s="1" t="n">
        <v>45497</v>
      </c>
      <c r="C677" s="1" t="n">
        <v>45810</v>
      </c>
      <c r="D677" t="inlineStr">
        <is>
          <t>VÄRMLANDS LÄN</t>
        </is>
      </c>
      <c r="E677" t="inlineStr">
        <is>
          <t>GRUMS</t>
        </is>
      </c>
      <c r="G677" t="n">
        <v>2.8</v>
      </c>
      <c r="H677" t="n">
        <v>1</v>
      </c>
      <c r="I677" t="n">
        <v>0</v>
      </c>
      <c r="J677" t="n">
        <v>0</v>
      </c>
      <c r="K677" t="n">
        <v>0</v>
      </c>
      <c r="L677" t="n">
        <v>0</v>
      </c>
      <c r="M677" t="n">
        <v>0</v>
      </c>
      <c r="N677" t="n">
        <v>0</v>
      </c>
      <c r="O677" t="n">
        <v>0</v>
      </c>
      <c r="P677" t="n">
        <v>0</v>
      </c>
      <c r="Q677" t="n">
        <v>1</v>
      </c>
      <c r="R677" s="2" t="inlineStr">
        <is>
          <t>Mattlummer</t>
        </is>
      </c>
      <c r="S677">
        <f>HYPERLINK("https://klasma.github.io/Logging_1764/artfynd/A 30828-2024 artfynd.xlsx", "A 30828-2024")</f>
        <v/>
      </c>
      <c r="T677">
        <f>HYPERLINK("https://klasma.github.io/Logging_1764/kartor/A 30828-2024 karta.png", "A 30828-2024")</f>
        <v/>
      </c>
      <c r="V677">
        <f>HYPERLINK("https://klasma.github.io/Logging_1764/klagomål/A 30828-2024 FSC-klagomål.docx", "A 30828-2024")</f>
        <v/>
      </c>
      <c r="W677">
        <f>HYPERLINK("https://klasma.github.io/Logging_1764/klagomålsmail/A 30828-2024 FSC-klagomål mail.docx", "A 30828-2024")</f>
        <v/>
      </c>
      <c r="X677">
        <f>HYPERLINK("https://klasma.github.io/Logging_1764/tillsyn/A 30828-2024 tillsynsbegäran.docx", "A 30828-2024")</f>
        <v/>
      </c>
      <c r="Y677">
        <f>HYPERLINK("https://klasma.github.io/Logging_1764/tillsynsmail/A 30828-2024 tillsynsbegäran mail.docx", "A 30828-2024")</f>
        <v/>
      </c>
    </row>
    <row r="678" ht="15" customHeight="1">
      <c r="A678" t="inlineStr">
        <is>
          <t>A 33494-2024</t>
        </is>
      </c>
      <c r="B678" s="1" t="n">
        <v>45519</v>
      </c>
      <c r="C678" s="1" t="n">
        <v>45810</v>
      </c>
      <c r="D678" t="inlineStr">
        <is>
          <t>VÄRMLANDS LÄN</t>
        </is>
      </c>
      <c r="E678" t="inlineStr">
        <is>
          <t>SUNNE</t>
        </is>
      </c>
      <c r="F678" t="inlineStr">
        <is>
          <t>Bergvik skog väst AB</t>
        </is>
      </c>
      <c r="G678" t="n">
        <v>5.9</v>
      </c>
      <c r="H678" t="n">
        <v>1</v>
      </c>
      <c r="I678" t="n">
        <v>0</v>
      </c>
      <c r="J678" t="n">
        <v>0</v>
      </c>
      <c r="K678" t="n">
        <v>0</v>
      </c>
      <c r="L678" t="n">
        <v>0</v>
      </c>
      <c r="M678" t="n">
        <v>0</v>
      </c>
      <c r="N678" t="n">
        <v>0</v>
      </c>
      <c r="O678" t="n">
        <v>0</v>
      </c>
      <c r="P678" t="n">
        <v>0</v>
      </c>
      <c r="Q678" t="n">
        <v>1</v>
      </c>
      <c r="R678" s="2" t="inlineStr">
        <is>
          <t>Sparvuggla</t>
        </is>
      </c>
      <c r="S678">
        <f>HYPERLINK("https://klasma.github.io/Logging_1766/artfynd/A 33494-2024 artfynd.xlsx", "A 33494-2024")</f>
        <v/>
      </c>
      <c r="T678">
        <f>HYPERLINK("https://klasma.github.io/Logging_1766/kartor/A 33494-2024 karta.png", "A 33494-2024")</f>
        <v/>
      </c>
      <c r="V678">
        <f>HYPERLINK("https://klasma.github.io/Logging_1766/klagomål/A 33494-2024 FSC-klagomål.docx", "A 33494-2024")</f>
        <v/>
      </c>
      <c r="W678">
        <f>HYPERLINK("https://klasma.github.io/Logging_1766/klagomålsmail/A 33494-2024 FSC-klagomål mail.docx", "A 33494-2024")</f>
        <v/>
      </c>
      <c r="X678">
        <f>HYPERLINK("https://klasma.github.io/Logging_1766/tillsyn/A 33494-2024 tillsynsbegäran.docx", "A 33494-2024")</f>
        <v/>
      </c>
      <c r="Y678">
        <f>HYPERLINK("https://klasma.github.io/Logging_1766/tillsynsmail/A 33494-2024 tillsynsbegäran mail.docx", "A 33494-2024")</f>
        <v/>
      </c>
      <c r="Z678">
        <f>HYPERLINK("https://klasma.github.io/Logging_1766/fåglar/A 33494-2024 prioriterade fågelarter.docx", "A 33494-2024")</f>
        <v/>
      </c>
    </row>
    <row r="679" ht="15" customHeight="1">
      <c r="A679" t="inlineStr">
        <is>
          <t>A 34186-2024</t>
        </is>
      </c>
      <c r="B679" s="1" t="n">
        <v>45524</v>
      </c>
      <c r="C679" s="1" t="n">
        <v>45810</v>
      </c>
      <c r="D679" t="inlineStr">
        <is>
          <t>VÄRMLANDS LÄN</t>
        </is>
      </c>
      <c r="E679" t="inlineStr">
        <is>
          <t>EDA</t>
        </is>
      </c>
      <c r="G679" t="n">
        <v>1.3</v>
      </c>
      <c r="H679" t="n">
        <v>0</v>
      </c>
      <c r="I679" t="n">
        <v>1</v>
      </c>
      <c r="J679" t="n">
        <v>0</v>
      </c>
      <c r="K679" t="n">
        <v>0</v>
      </c>
      <c r="L679" t="n">
        <v>0</v>
      </c>
      <c r="M679" t="n">
        <v>0</v>
      </c>
      <c r="N679" t="n">
        <v>0</v>
      </c>
      <c r="O679" t="n">
        <v>0</v>
      </c>
      <c r="P679" t="n">
        <v>0</v>
      </c>
      <c r="Q679" t="n">
        <v>1</v>
      </c>
      <c r="R679" s="2" t="inlineStr">
        <is>
          <t>Bårdlav</t>
        </is>
      </c>
      <c r="S679">
        <f>HYPERLINK("https://klasma.github.io/Logging_1730/artfynd/A 34186-2024 artfynd.xlsx", "A 34186-2024")</f>
        <v/>
      </c>
      <c r="T679">
        <f>HYPERLINK("https://klasma.github.io/Logging_1730/kartor/A 34186-2024 karta.png", "A 34186-2024")</f>
        <v/>
      </c>
      <c r="V679">
        <f>HYPERLINK("https://klasma.github.io/Logging_1730/klagomål/A 34186-2024 FSC-klagomål.docx", "A 34186-2024")</f>
        <v/>
      </c>
      <c r="W679">
        <f>HYPERLINK("https://klasma.github.io/Logging_1730/klagomålsmail/A 34186-2024 FSC-klagomål mail.docx", "A 34186-2024")</f>
        <v/>
      </c>
      <c r="X679">
        <f>HYPERLINK("https://klasma.github.io/Logging_1730/tillsyn/A 34186-2024 tillsynsbegäran.docx", "A 34186-2024")</f>
        <v/>
      </c>
      <c r="Y679">
        <f>HYPERLINK("https://klasma.github.io/Logging_1730/tillsynsmail/A 34186-2024 tillsynsbegäran mail.docx", "A 34186-2024")</f>
        <v/>
      </c>
    </row>
    <row r="680" ht="15" customHeight="1">
      <c r="A680" t="inlineStr">
        <is>
          <t>A 35077-2024</t>
        </is>
      </c>
      <c r="B680" s="1" t="n">
        <v>45527</v>
      </c>
      <c r="C680" s="1" t="n">
        <v>45810</v>
      </c>
      <c r="D680" t="inlineStr">
        <is>
          <t>VÄRMLANDS LÄN</t>
        </is>
      </c>
      <c r="E680" t="inlineStr">
        <is>
          <t>GRUMS</t>
        </is>
      </c>
      <c r="G680" t="n">
        <v>2.1</v>
      </c>
      <c r="H680" t="n">
        <v>1</v>
      </c>
      <c r="I680" t="n">
        <v>0</v>
      </c>
      <c r="J680" t="n">
        <v>0</v>
      </c>
      <c r="K680" t="n">
        <v>1</v>
      </c>
      <c r="L680" t="n">
        <v>0</v>
      </c>
      <c r="M680" t="n">
        <v>0</v>
      </c>
      <c r="N680" t="n">
        <v>0</v>
      </c>
      <c r="O680" t="n">
        <v>1</v>
      </c>
      <c r="P680" t="n">
        <v>1</v>
      </c>
      <c r="Q680" t="n">
        <v>1</v>
      </c>
      <c r="R680" s="2" t="inlineStr">
        <is>
          <t>Knärot</t>
        </is>
      </c>
      <c r="S680">
        <f>HYPERLINK("https://klasma.github.io/Logging_1764/artfynd/A 35077-2024 artfynd.xlsx", "A 35077-2024")</f>
        <v/>
      </c>
      <c r="T680">
        <f>HYPERLINK("https://klasma.github.io/Logging_1764/kartor/A 35077-2024 karta.png", "A 35077-2024")</f>
        <v/>
      </c>
      <c r="U680">
        <f>HYPERLINK("https://klasma.github.io/Logging_1764/knärot/A 35077-2024 karta knärot.png", "A 35077-2024")</f>
        <v/>
      </c>
      <c r="V680">
        <f>HYPERLINK("https://klasma.github.io/Logging_1764/klagomål/A 35077-2024 FSC-klagomål.docx", "A 35077-2024")</f>
        <v/>
      </c>
      <c r="W680">
        <f>HYPERLINK("https://klasma.github.io/Logging_1764/klagomålsmail/A 35077-2024 FSC-klagomål mail.docx", "A 35077-2024")</f>
        <v/>
      </c>
      <c r="X680">
        <f>HYPERLINK("https://klasma.github.io/Logging_1764/tillsyn/A 35077-2024 tillsynsbegäran.docx", "A 35077-2024")</f>
        <v/>
      </c>
      <c r="Y680">
        <f>HYPERLINK("https://klasma.github.io/Logging_1764/tillsynsmail/A 35077-2024 tillsynsbegäran mail.docx", "A 35077-2024")</f>
        <v/>
      </c>
    </row>
    <row r="681" ht="15" customHeight="1">
      <c r="A681" t="inlineStr">
        <is>
          <t>A 35334-2024</t>
        </is>
      </c>
      <c r="B681" s="1" t="n">
        <v>45530</v>
      </c>
      <c r="C681" s="1" t="n">
        <v>45810</v>
      </c>
      <c r="D681" t="inlineStr">
        <is>
          <t>VÄRMLANDS LÄN</t>
        </is>
      </c>
      <c r="E681" t="inlineStr">
        <is>
          <t>FORSHAGA</t>
        </is>
      </c>
      <c r="F681" t="inlineStr">
        <is>
          <t>Kommuner</t>
        </is>
      </c>
      <c r="G681" t="n">
        <v>3.2</v>
      </c>
      <c r="H681" t="n">
        <v>1</v>
      </c>
      <c r="I681" t="n">
        <v>0</v>
      </c>
      <c r="J681" t="n">
        <v>0</v>
      </c>
      <c r="K681" t="n">
        <v>0</v>
      </c>
      <c r="L681" t="n">
        <v>0</v>
      </c>
      <c r="M681" t="n">
        <v>0</v>
      </c>
      <c r="N681" t="n">
        <v>0</v>
      </c>
      <c r="O681" t="n">
        <v>0</v>
      </c>
      <c r="P681" t="n">
        <v>0</v>
      </c>
      <c r="Q681" t="n">
        <v>1</v>
      </c>
      <c r="R681" s="2" t="inlineStr">
        <is>
          <t>Nattviol</t>
        </is>
      </c>
      <c r="S681">
        <f>HYPERLINK("https://klasma.github.io/Logging_1763/artfynd/A 35334-2024 artfynd.xlsx", "A 35334-2024")</f>
        <v/>
      </c>
      <c r="T681">
        <f>HYPERLINK("https://klasma.github.io/Logging_1763/kartor/A 35334-2024 karta.png", "A 35334-2024")</f>
        <v/>
      </c>
      <c r="V681">
        <f>HYPERLINK("https://klasma.github.io/Logging_1763/klagomål/A 35334-2024 FSC-klagomål.docx", "A 35334-2024")</f>
        <v/>
      </c>
      <c r="W681">
        <f>HYPERLINK("https://klasma.github.io/Logging_1763/klagomålsmail/A 35334-2024 FSC-klagomål mail.docx", "A 35334-2024")</f>
        <v/>
      </c>
      <c r="X681">
        <f>HYPERLINK("https://klasma.github.io/Logging_1763/tillsyn/A 35334-2024 tillsynsbegäran.docx", "A 35334-2024")</f>
        <v/>
      </c>
      <c r="Y681">
        <f>HYPERLINK("https://klasma.github.io/Logging_1763/tillsynsmail/A 35334-2024 tillsynsbegäran mail.docx", "A 35334-2024")</f>
        <v/>
      </c>
    </row>
    <row r="682" ht="15" customHeight="1">
      <c r="A682" t="inlineStr">
        <is>
          <t>A 35717-2024</t>
        </is>
      </c>
      <c r="B682" s="1" t="n">
        <v>45532</v>
      </c>
      <c r="C682" s="1" t="n">
        <v>45810</v>
      </c>
      <c r="D682" t="inlineStr">
        <is>
          <t>VÄRMLANDS LÄN</t>
        </is>
      </c>
      <c r="E682" t="inlineStr">
        <is>
          <t>SUNNE</t>
        </is>
      </c>
      <c r="G682" t="n">
        <v>4.5</v>
      </c>
      <c r="H682" t="n">
        <v>0</v>
      </c>
      <c r="I682" t="n">
        <v>1</v>
      </c>
      <c r="J682" t="n">
        <v>0</v>
      </c>
      <c r="K682" t="n">
        <v>0</v>
      </c>
      <c r="L682" t="n">
        <v>0</v>
      </c>
      <c r="M682" t="n">
        <v>0</v>
      </c>
      <c r="N682" t="n">
        <v>0</v>
      </c>
      <c r="O682" t="n">
        <v>0</v>
      </c>
      <c r="P682" t="n">
        <v>0</v>
      </c>
      <c r="Q682" t="n">
        <v>1</v>
      </c>
      <c r="R682" s="2" t="inlineStr">
        <is>
          <t>Stor revmossa</t>
        </is>
      </c>
      <c r="S682">
        <f>HYPERLINK("https://klasma.github.io/Logging_1766/artfynd/A 35717-2024 artfynd.xlsx", "A 35717-2024")</f>
        <v/>
      </c>
      <c r="T682">
        <f>HYPERLINK("https://klasma.github.io/Logging_1766/kartor/A 35717-2024 karta.png", "A 35717-2024")</f>
        <v/>
      </c>
      <c r="V682">
        <f>HYPERLINK("https://klasma.github.io/Logging_1766/klagomål/A 35717-2024 FSC-klagomål.docx", "A 35717-2024")</f>
        <v/>
      </c>
      <c r="W682">
        <f>HYPERLINK("https://klasma.github.io/Logging_1766/klagomålsmail/A 35717-2024 FSC-klagomål mail.docx", "A 35717-2024")</f>
        <v/>
      </c>
      <c r="X682">
        <f>HYPERLINK("https://klasma.github.io/Logging_1766/tillsyn/A 35717-2024 tillsynsbegäran.docx", "A 35717-2024")</f>
        <v/>
      </c>
      <c r="Y682">
        <f>HYPERLINK("https://klasma.github.io/Logging_1766/tillsynsmail/A 35717-2024 tillsynsbegäran mail.docx", "A 35717-2024")</f>
        <v/>
      </c>
    </row>
    <row r="683" ht="15" customHeight="1">
      <c r="A683" t="inlineStr">
        <is>
          <t>A 35926-2024</t>
        </is>
      </c>
      <c r="B683" s="1" t="n">
        <v>45533</v>
      </c>
      <c r="C683" s="1" t="n">
        <v>45810</v>
      </c>
      <c r="D683" t="inlineStr">
        <is>
          <t>VÄRMLANDS LÄN</t>
        </is>
      </c>
      <c r="E683" t="inlineStr">
        <is>
          <t>SUNNE</t>
        </is>
      </c>
      <c r="G683" t="n">
        <v>2.1</v>
      </c>
      <c r="H683" t="n">
        <v>0</v>
      </c>
      <c r="I683" t="n">
        <v>1</v>
      </c>
      <c r="J683" t="n">
        <v>0</v>
      </c>
      <c r="K683" t="n">
        <v>0</v>
      </c>
      <c r="L683" t="n">
        <v>0</v>
      </c>
      <c r="M683" t="n">
        <v>0</v>
      </c>
      <c r="N683" t="n">
        <v>0</v>
      </c>
      <c r="O683" t="n">
        <v>0</v>
      </c>
      <c r="P683" t="n">
        <v>0</v>
      </c>
      <c r="Q683" t="n">
        <v>1</v>
      </c>
      <c r="R683" s="2" t="inlineStr">
        <is>
          <t>Vågbandad barkbock</t>
        </is>
      </c>
      <c r="S683">
        <f>HYPERLINK("https://klasma.github.io/Logging_1766/artfynd/A 35926-2024 artfynd.xlsx", "A 35926-2024")</f>
        <v/>
      </c>
      <c r="T683">
        <f>HYPERLINK("https://klasma.github.io/Logging_1766/kartor/A 35926-2024 karta.png", "A 35926-2024")</f>
        <v/>
      </c>
      <c r="V683">
        <f>HYPERLINK("https://klasma.github.io/Logging_1766/klagomål/A 35926-2024 FSC-klagomål.docx", "A 35926-2024")</f>
        <v/>
      </c>
      <c r="W683">
        <f>HYPERLINK("https://klasma.github.io/Logging_1766/klagomålsmail/A 35926-2024 FSC-klagomål mail.docx", "A 35926-2024")</f>
        <v/>
      </c>
      <c r="X683">
        <f>HYPERLINK("https://klasma.github.io/Logging_1766/tillsyn/A 35926-2024 tillsynsbegäran.docx", "A 35926-2024")</f>
        <v/>
      </c>
      <c r="Y683">
        <f>HYPERLINK("https://klasma.github.io/Logging_1766/tillsynsmail/A 35926-2024 tillsynsbegäran mail.docx", "A 35926-2024")</f>
        <v/>
      </c>
    </row>
    <row r="684" ht="15" customHeight="1">
      <c r="A684" t="inlineStr">
        <is>
          <t>A 36273-2024</t>
        </is>
      </c>
      <c r="B684" s="1" t="n">
        <v>45534</v>
      </c>
      <c r="C684" s="1" t="n">
        <v>45810</v>
      </c>
      <c r="D684" t="inlineStr">
        <is>
          <t>VÄRMLANDS LÄN</t>
        </is>
      </c>
      <c r="E684" t="inlineStr">
        <is>
          <t>SÄFFLE</t>
        </is>
      </c>
      <c r="G684" t="n">
        <v>4.8</v>
      </c>
      <c r="H684" t="n">
        <v>0</v>
      </c>
      <c r="I684" t="n">
        <v>1</v>
      </c>
      <c r="J684" t="n">
        <v>0</v>
      </c>
      <c r="K684" t="n">
        <v>0</v>
      </c>
      <c r="L684" t="n">
        <v>0</v>
      </c>
      <c r="M684" t="n">
        <v>0</v>
      </c>
      <c r="N684" t="n">
        <v>0</v>
      </c>
      <c r="O684" t="n">
        <v>0</v>
      </c>
      <c r="P684" t="n">
        <v>0</v>
      </c>
      <c r="Q684" t="n">
        <v>1</v>
      </c>
      <c r="R684" s="2" t="inlineStr">
        <is>
          <t>Vätteros</t>
        </is>
      </c>
      <c r="S684">
        <f>HYPERLINK("https://klasma.github.io/Logging_1785/artfynd/A 36273-2024 artfynd.xlsx", "A 36273-2024")</f>
        <v/>
      </c>
      <c r="T684">
        <f>HYPERLINK("https://klasma.github.io/Logging_1785/kartor/A 36273-2024 karta.png", "A 36273-2024")</f>
        <v/>
      </c>
      <c r="V684">
        <f>HYPERLINK("https://klasma.github.io/Logging_1785/klagomål/A 36273-2024 FSC-klagomål.docx", "A 36273-2024")</f>
        <v/>
      </c>
      <c r="W684">
        <f>HYPERLINK("https://klasma.github.io/Logging_1785/klagomålsmail/A 36273-2024 FSC-klagomål mail.docx", "A 36273-2024")</f>
        <v/>
      </c>
      <c r="X684">
        <f>HYPERLINK("https://klasma.github.io/Logging_1785/tillsyn/A 36273-2024 tillsynsbegäran.docx", "A 36273-2024")</f>
        <v/>
      </c>
      <c r="Y684">
        <f>HYPERLINK("https://klasma.github.io/Logging_1785/tillsynsmail/A 36273-2024 tillsynsbegäran mail.docx", "A 36273-2024")</f>
        <v/>
      </c>
    </row>
    <row r="685" ht="15" customHeight="1">
      <c r="A685" t="inlineStr">
        <is>
          <t>A 36475-2024</t>
        </is>
      </c>
      <c r="B685" s="1" t="n">
        <v>45537</v>
      </c>
      <c r="C685" s="1" t="n">
        <v>45810</v>
      </c>
      <c r="D685" t="inlineStr">
        <is>
          <t>VÄRMLANDS LÄN</t>
        </is>
      </c>
      <c r="E685" t="inlineStr">
        <is>
          <t>ARVIKA</t>
        </is>
      </c>
      <c r="F685" t="inlineStr">
        <is>
          <t>Kommuner</t>
        </is>
      </c>
      <c r="G685" t="n">
        <v>2.2</v>
      </c>
      <c r="H685" t="n">
        <v>0</v>
      </c>
      <c r="I685" t="n">
        <v>0</v>
      </c>
      <c r="J685" t="n">
        <v>0</v>
      </c>
      <c r="K685" t="n">
        <v>1</v>
      </c>
      <c r="L685" t="n">
        <v>0</v>
      </c>
      <c r="M685" t="n">
        <v>0</v>
      </c>
      <c r="N685" t="n">
        <v>0</v>
      </c>
      <c r="O685" t="n">
        <v>1</v>
      </c>
      <c r="P685" t="n">
        <v>1</v>
      </c>
      <c r="Q685" t="n">
        <v>1</v>
      </c>
      <c r="R685" s="2" t="inlineStr">
        <is>
          <t>Slåttergubbemal</t>
        </is>
      </c>
      <c r="S685">
        <f>HYPERLINK("https://klasma.github.io/Logging_1784/artfynd/A 36475-2024 artfynd.xlsx", "A 36475-2024")</f>
        <v/>
      </c>
      <c r="T685">
        <f>HYPERLINK("https://klasma.github.io/Logging_1784/kartor/A 36475-2024 karta.png", "A 36475-2024")</f>
        <v/>
      </c>
      <c r="V685">
        <f>HYPERLINK("https://klasma.github.io/Logging_1784/klagomål/A 36475-2024 FSC-klagomål.docx", "A 36475-2024")</f>
        <v/>
      </c>
      <c r="W685">
        <f>HYPERLINK("https://klasma.github.io/Logging_1784/klagomålsmail/A 36475-2024 FSC-klagomål mail.docx", "A 36475-2024")</f>
        <v/>
      </c>
      <c r="X685">
        <f>HYPERLINK("https://klasma.github.io/Logging_1784/tillsyn/A 36475-2024 tillsynsbegäran.docx", "A 36475-2024")</f>
        <v/>
      </c>
      <c r="Y685">
        <f>HYPERLINK("https://klasma.github.io/Logging_1784/tillsynsmail/A 36475-2024 tillsynsbegäran mail.docx", "A 36475-2024")</f>
        <v/>
      </c>
    </row>
    <row r="686" ht="15" customHeight="1">
      <c r="A686" t="inlineStr">
        <is>
          <t>A 36962-2024</t>
        </is>
      </c>
      <c r="B686" s="1" t="n">
        <v>45538</v>
      </c>
      <c r="C686" s="1" t="n">
        <v>45810</v>
      </c>
      <c r="D686" t="inlineStr">
        <is>
          <t>VÄRMLANDS LÄN</t>
        </is>
      </c>
      <c r="E686" t="inlineStr">
        <is>
          <t>TORSBY</t>
        </is>
      </c>
      <c r="G686" t="n">
        <v>17</v>
      </c>
      <c r="H686" t="n">
        <v>0</v>
      </c>
      <c r="I686" t="n">
        <v>1</v>
      </c>
      <c r="J686" t="n">
        <v>0</v>
      </c>
      <c r="K686" t="n">
        <v>0</v>
      </c>
      <c r="L686" t="n">
        <v>0</v>
      </c>
      <c r="M686" t="n">
        <v>0</v>
      </c>
      <c r="N686" t="n">
        <v>0</v>
      </c>
      <c r="O686" t="n">
        <v>0</v>
      </c>
      <c r="P686" t="n">
        <v>0</v>
      </c>
      <c r="Q686" t="n">
        <v>1</v>
      </c>
      <c r="R686" s="2" t="inlineStr">
        <is>
          <t>Dropptaggsvamp</t>
        </is>
      </c>
      <c r="S686">
        <f>HYPERLINK("https://klasma.github.io/Logging_1737/artfynd/A 36962-2024 artfynd.xlsx", "A 36962-2024")</f>
        <v/>
      </c>
      <c r="T686">
        <f>HYPERLINK("https://klasma.github.io/Logging_1737/kartor/A 36962-2024 karta.png", "A 36962-2024")</f>
        <v/>
      </c>
      <c r="V686">
        <f>HYPERLINK("https://klasma.github.io/Logging_1737/klagomål/A 36962-2024 FSC-klagomål.docx", "A 36962-2024")</f>
        <v/>
      </c>
      <c r="W686">
        <f>HYPERLINK("https://klasma.github.io/Logging_1737/klagomålsmail/A 36962-2024 FSC-klagomål mail.docx", "A 36962-2024")</f>
        <v/>
      </c>
      <c r="X686">
        <f>HYPERLINK("https://klasma.github.io/Logging_1737/tillsyn/A 36962-2024 tillsynsbegäran.docx", "A 36962-2024")</f>
        <v/>
      </c>
      <c r="Y686">
        <f>HYPERLINK("https://klasma.github.io/Logging_1737/tillsynsmail/A 36962-2024 tillsynsbegäran mail.docx", "A 36962-2024")</f>
        <v/>
      </c>
    </row>
    <row r="687" ht="15" customHeight="1">
      <c r="A687" t="inlineStr">
        <is>
          <t>A 37292-2024</t>
        </is>
      </c>
      <c r="B687" s="1" t="n">
        <v>45540</v>
      </c>
      <c r="C687" s="1" t="n">
        <v>45810</v>
      </c>
      <c r="D687" t="inlineStr">
        <is>
          <t>VÄRMLANDS LÄN</t>
        </is>
      </c>
      <c r="E687" t="inlineStr">
        <is>
          <t>TORSBY</t>
        </is>
      </c>
      <c r="G687" t="n">
        <v>5.4</v>
      </c>
      <c r="H687" t="n">
        <v>0</v>
      </c>
      <c r="I687" t="n">
        <v>0</v>
      </c>
      <c r="J687" t="n">
        <v>1</v>
      </c>
      <c r="K687" t="n">
        <v>0</v>
      </c>
      <c r="L687" t="n">
        <v>0</v>
      </c>
      <c r="M687" t="n">
        <v>0</v>
      </c>
      <c r="N687" t="n">
        <v>0</v>
      </c>
      <c r="O687" t="n">
        <v>1</v>
      </c>
      <c r="P687" t="n">
        <v>0</v>
      </c>
      <c r="Q687" t="n">
        <v>1</v>
      </c>
      <c r="R687" s="2" t="inlineStr">
        <is>
          <t>Garnlav</t>
        </is>
      </c>
      <c r="S687">
        <f>HYPERLINK("https://klasma.github.io/Logging_1737/artfynd/A 37292-2024 artfynd.xlsx", "A 37292-2024")</f>
        <v/>
      </c>
      <c r="T687">
        <f>HYPERLINK("https://klasma.github.io/Logging_1737/kartor/A 37292-2024 karta.png", "A 37292-2024")</f>
        <v/>
      </c>
      <c r="V687">
        <f>HYPERLINK("https://klasma.github.io/Logging_1737/klagomål/A 37292-2024 FSC-klagomål.docx", "A 37292-2024")</f>
        <v/>
      </c>
      <c r="W687">
        <f>HYPERLINK("https://klasma.github.io/Logging_1737/klagomålsmail/A 37292-2024 FSC-klagomål mail.docx", "A 37292-2024")</f>
        <v/>
      </c>
      <c r="X687">
        <f>HYPERLINK("https://klasma.github.io/Logging_1737/tillsyn/A 37292-2024 tillsynsbegäran.docx", "A 37292-2024")</f>
        <v/>
      </c>
      <c r="Y687">
        <f>HYPERLINK("https://klasma.github.io/Logging_1737/tillsynsmail/A 37292-2024 tillsynsbegäran mail.docx", "A 37292-2024")</f>
        <v/>
      </c>
    </row>
    <row r="688" ht="15" customHeight="1">
      <c r="A688" t="inlineStr">
        <is>
          <t>A 38039-2024</t>
        </is>
      </c>
      <c r="B688" s="1" t="n">
        <v>45544</v>
      </c>
      <c r="C688" s="1" t="n">
        <v>45810</v>
      </c>
      <c r="D688" t="inlineStr">
        <is>
          <t>VÄRMLANDS LÄN</t>
        </is>
      </c>
      <c r="E688" t="inlineStr">
        <is>
          <t>KIL</t>
        </is>
      </c>
      <c r="G688" t="n">
        <v>4</v>
      </c>
      <c r="H688" t="n">
        <v>0</v>
      </c>
      <c r="I688" t="n">
        <v>1</v>
      </c>
      <c r="J688" t="n">
        <v>0</v>
      </c>
      <c r="K688" t="n">
        <v>0</v>
      </c>
      <c r="L688" t="n">
        <v>0</v>
      </c>
      <c r="M688" t="n">
        <v>0</v>
      </c>
      <c r="N688" t="n">
        <v>0</v>
      </c>
      <c r="O688" t="n">
        <v>0</v>
      </c>
      <c r="P688" t="n">
        <v>0</v>
      </c>
      <c r="Q688" t="n">
        <v>1</v>
      </c>
      <c r="R688" s="2" t="inlineStr">
        <is>
          <t>Vedticka</t>
        </is>
      </c>
      <c r="S688">
        <f>HYPERLINK("https://klasma.github.io/Logging_1715/artfynd/A 38039-2024 artfynd.xlsx", "A 38039-2024")</f>
        <v/>
      </c>
      <c r="T688">
        <f>HYPERLINK("https://klasma.github.io/Logging_1715/kartor/A 38039-2024 karta.png", "A 38039-2024")</f>
        <v/>
      </c>
      <c r="V688">
        <f>HYPERLINK("https://klasma.github.io/Logging_1715/klagomål/A 38039-2024 FSC-klagomål.docx", "A 38039-2024")</f>
        <v/>
      </c>
      <c r="W688">
        <f>HYPERLINK("https://klasma.github.io/Logging_1715/klagomålsmail/A 38039-2024 FSC-klagomål mail.docx", "A 38039-2024")</f>
        <v/>
      </c>
      <c r="X688">
        <f>HYPERLINK("https://klasma.github.io/Logging_1715/tillsyn/A 38039-2024 tillsynsbegäran.docx", "A 38039-2024")</f>
        <v/>
      </c>
      <c r="Y688">
        <f>HYPERLINK("https://klasma.github.io/Logging_1715/tillsynsmail/A 38039-2024 tillsynsbegäran mail.docx", "A 38039-2024")</f>
        <v/>
      </c>
    </row>
    <row r="689" ht="15" customHeight="1">
      <c r="A689" t="inlineStr">
        <is>
          <t>A 38420-2024</t>
        </is>
      </c>
      <c r="B689" s="1" t="n">
        <v>45546</v>
      </c>
      <c r="C689" s="1" t="n">
        <v>45810</v>
      </c>
      <c r="D689" t="inlineStr">
        <is>
          <t>VÄRMLANDS LÄN</t>
        </is>
      </c>
      <c r="E689" t="inlineStr">
        <is>
          <t>GRUMS</t>
        </is>
      </c>
      <c r="F689" t="inlineStr">
        <is>
          <t>Bergvik skog väst AB</t>
        </is>
      </c>
      <c r="G689" t="n">
        <v>3</v>
      </c>
      <c r="H689" t="n">
        <v>1</v>
      </c>
      <c r="I689" t="n">
        <v>0</v>
      </c>
      <c r="J689" t="n">
        <v>0</v>
      </c>
      <c r="K689" t="n">
        <v>0</v>
      </c>
      <c r="L689" t="n">
        <v>0</v>
      </c>
      <c r="M689" t="n">
        <v>0</v>
      </c>
      <c r="N689" t="n">
        <v>0</v>
      </c>
      <c r="O689" t="n">
        <v>0</v>
      </c>
      <c r="P689" t="n">
        <v>0</v>
      </c>
      <c r="Q689" t="n">
        <v>1</v>
      </c>
      <c r="R689" s="2" t="inlineStr">
        <is>
          <t>Kopparödla</t>
        </is>
      </c>
      <c r="S689">
        <f>HYPERLINK("https://klasma.github.io/Logging_1764/artfynd/A 38420-2024 artfynd.xlsx", "A 38420-2024")</f>
        <v/>
      </c>
      <c r="T689">
        <f>HYPERLINK("https://klasma.github.io/Logging_1764/kartor/A 38420-2024 karta.png", "A 38420-2024")</f>
        <v/>
      </c>
      <c r="V689">
        <f>HYPERLINK("https://klasma.github.io/Logging_1764/klagomål/A 38420-2024 FSC-klagomål.docx", "A 38420-2024")</f>
        <v/>
      </c>
      <c r="W689">
        <f>HYPERLINK("https://klasma.github.io/Logging_1764/klagomålsmail/A 38420-2024 FSC-klagomål mail.docx", "A 38420-2024")</f>
        <v/>
      </c>
      <c r="X689">
        <f>HYPERLINK("https://klasma.github.io/Logging_1764/tillsyn/A 38420-2024 tillsynsbegäran.docx", "A 38420-2024")</f>
        <v/>
      </c>
      <c r="Y689">
        <f>HYPERLINK("https://klasma.github.io/Logging_1764/tillsynsmail/A 38420-2024 tillsynsbegäran mail.docx", "A 38420-2024")</f>
        <v/>
      </c>
    </row>
    <row r="690" ht="15" customHeight="1">
      <c r="A690" t="inlineStr">
        <is>
          <t>A 40033-2024</t>
        </is>
      </c>
      <c r="B690" s="1" t="n">
        <v>45553</v>
      </c>
      <c r="C690" s="1" t="n">
        <v>45810</v>
      </c>
      <c r="D690" t="inlineStr">
        <is>
          <t>VÄRMLANDS LÄN</t>
        </is>
      </c>
      <c r="E690" t="inlineStr">
        <is>
          <t>TORSBY</t>
        </is>
      </c>
      <c r="G690" t="n">
        <v>6.2</v>
      </c>
      <c r="H690" t="n">
        <v>0</v>
      </c>
      <c r="I690" t="n">
        <v>0</v>
      </c>
      <c r="J690" t="n">
        <v>1</v>
      </c>
      <c r="K690" t="n">
        <v>0</v>
      </c>
      <c r="L690" t="n">
        <v>0</v>
      </c>
      <c r="M690" t="n">
        <v>0</v>
      </c>
      <c r="N690" t="n">
        <v>0</v>
      </c>
      <c r="O690" t="n">
        <v>1</v>
      </c>
      <c r="P690" t="n">
        <v>0</v>
      </c>
      <c r="Q690" t="n">
        <v>1</v>
      </c>
      <c r="R690" s="2" t="inlineStr">
        <is>
          <t>Violettgrå tagellav</t>
        </is>
      </c>
      <c r="S690">
        <f>HYPERLINK("https://klasma.github.io/Logging_1737/artfynd/A 40033-2024 artfynd.xlsx", "A 40033-2024")</f>
        <v/>
      </c>
      <c r="T690">
        <f>HYPERLINK("https://klasma.github.io/Logging_1737/kartor/A 40033-2024 karta.png", "A 40033-2024")</f>
        <v/>
      </c>
      <c r="V690">
        <f>HYPERLINK("https://klasma.github.io/Logging_1737/klagomål/A 40033-2024 FSC-klagomål.docx", "A 40033-2024")</f>
        <v/>
      </c>
      <c r="W690">
        <f>HYPERLINK("https://klasma.github.io/Logging_1737/klagomålsmail/A 40033-2024 FSC-klagomål mail.docx", "A 40033-2024")</f>
        <v/>
      </c>
      <c r="X690">
        <f>HYPERLINK("https://klasma.github.io/Logging_1737/tillsyn/A 40033-2024 tillsynsbegäran.docx", "A 40033-2024")</f>
        <v/>
      </c>
      <c r="Y690">
        <f>HYPERLINK("https://klasma.github.io/Logging_1737/tillsynsmail/A 40033-2024 tillsynsbegäran mail.docx", "A 40033-2024")</f>
        <v/>
      </c>
    </row>
    <row r="691" ht="15" customHeight="1">
      <c r="A691" t="inlineStr">
        <is>
          <t>A 40934-2024</t>
        </is>
      </c>
      <c r="B691" s="1" t="n">
        <v>45558</v>
      </c>
      <c r="C691" s="1" t="n">
        <v>45810</v>
      </c>
      <c r="D691" t="inlineStr">
        <is>
          <t>VÄRMLANDS LÄN</t>
        </is>
      </c>
      <c r="E691" t="inlineStr">
        <is>
          <t>TORSBY</t>
        </is>
      </c>
      <c r="G691" t="n">
        <v>8.1</v>
      </c>
      <c r="H691" t="n">
        <v>0</v>
      </c>
      <c r="I691" t="n">
        <v>0</v>
      </c>
      <c r="J691" t="n">
        <v>1</v>
      </c>
      <c r="K691" t="n">
        <v>0</v>
      </c>
      <c r="L691" t="n">
        <v>0</v>
      </c>
      <c r="M691" t="n">
        <v>0</v>
      </c>
      <c r="N691" t="n">
        <v>0</v>
      </c>
      <c r="O691" t="n">
        <v>1</v>
      </c>
      <c r="P691" t="n">
        <v>0</v>
      </c>
      <c r="Q691" t="n">
        <v>1</v>
      </c>
      <c r="R691" s="2" t="inlineStr">
        <is>
          <t>Lunglav</t>
        </is>
      </c>
      <c r="S691">
        <f>HYPERLINK("https://klasma.github.io/Logging_1737/artfynd/A 40934-2024 artfynd.xlsx", "A 40934-2024")</f>
        <v/>
      </c>
      <c r="T691">
        <f>HYPERLINK("https://klasma.github.io/Logging_1737/kartor/A 40934-2024 karta.png", "A 40934-2024")</f>
        <v/>
      </c>
      <c r="V691">
        <f>HYPERLINK("https://klasma.github.io/Logging_1737/klagomål/A 40934-2024 FSC-klagomål.docx", "A 40934-2024")</f>
        <v/>
      </c>
      <c r="W691">
        <f>HYPERLINK("https://klasma.github.io/Logging_1737/klagomålsmail/A 40934-2024 FSC-klagomål mail.docx", "A 40934-2024")</f>
        <v/>
      </c>
      <c r="X691">
        <f>HYPERLINK("https://klasma.github.io/Logging_1737/tillsyn/A 40934-2024 tillsynsbegäran.docx", "A 40934-2024")</f>
        <v/>
      </c>
      <c r="Y691">
        <f>HYPERLINK("https://klasma.github.io/Logging_1737/tillsynsmail/A 40934-2024 tillsynsbegäran mail.docx", "A 40934-2024")</f>
        <v/>
      </c>
    </row>
    <row r="692" ht="15" customHeight="1">
      <c r="A692" t="inlineStr">
        <is>
          <t>A 41350-2024</t>
        </is>
      </c>
      <c r="B692" s="1" t="n">
        <v>45559</v>
      </c>
      <c r="C692" s="1" t="n">
        <v>45810</v>
      </c>
      <c r="D692" t="inlineStr">
        <is>
          <t>VÄRMLANDS LÄN</t>
        </is>
      </c>
      <c r="E692" t="inlineStr">
        <is>
          <t>TORSBY</t>
        </is>
      </c>
      <c r="G692" t="n">
        <v>5.5</v>
      </c>
      <c r="H692" t="n">
        <v>0</v>
      </c>
      <c r="I692" t="n">
        <v>0</v>
      </c>
      <c r="J692" t="n">
        <v>1</v>
      </c>
      <c r="K692" t="n">
        <v>0</v>
      </c>
      <c r="L692" t="n">
        <v>0</v>
      </c>
      <c r="M692" t="n">
        <v>0</v>
      </c>
      <c r="N692" t="n">
        <v>0</v>
      </c>
      <c r="O692" t="n">
        <v>1</v>
      </c>
      <c r="P692" t="n">
        <v>0</v>
      </c>
      <c r="Q692" t="n">
        <v>1</v>
      </c>
      <c r="R692" s="2" t="inlineStr">
        <is>
          <t>Garnlav</t>
        </is>
      </c>
      <c r="S692">
        <f>HYPERLINK("https://klasma.github.io/Logging_1737/artfynd/A 41350-2024 artfynd.xlsx", "A 41350-2024")</f>
        <v/>
      </c>
      <c r="T692">
        <f>HYPERLINK("https://klasma.github.io/Logging_1737/kartor/A 41350-2024 karta.png", "A 41350-2024")</f>
        <v/>
      </c>
      <c r="V692">
        <f>HYPERLINK("https://klasma.github.io/Logging_1737/klagomål/A 41350-2024 FSC-klagomål.docx", "A 41350-2024")</f>
        <v/>
      </c>
      <c r="W692">
        <f>HYPERLINK("https://klasma.github.io/Logging_1737/klagomålsmail/A 41350-2024 FSC-klagomål mail.docx", "A 41350-2024")</f>
        <v/>
      </c>
      <c r="X692">
        <f>HYPERLINK("https://klasma.github.io/Logging_1737/tillsyn/A 41350-2024 tillsynsbegäran.docx", "A 41350-2024")</f>
        <v/>
      </c>
      <c r="Y692">
        <f>HYPERLINK("https://klasma.github.io/Logging_1737/tillsynsmail/A 41350-2024 tillsynsbegäran mail.docx", "A 41350-2024")</f>
        <v/>
      </c>
    </row>
    <row r="693" ht="15" customHeight="1">
      <c r="A693" t="inlineStr">
        <is>
          <t>A 41477-2024</t>
        </is>
      </c>
      <c r="B693" s="1" t="n">
        <v>45560</v>
      </c>
      <c r="C693" s="1" t="n">
        <v>45810</v>
      </c>
      <c r="D693" t="inlineStr">
        <is>
          <t>VÄRMLANDS LÄN</t>
        </is>
      </c>
      <c r="E693" t="inlineStr">
        <is>
          <t>TORSBY</t>
        </is>
      </c>
      <c r="G693" t="n">
        <v>6.7</v>
      </c>
      <c r="H693" t="n">
        <v>0</v>
      </c>
      <c r="I693" t="n">
        <v>0</v>
      </c>
      <c r="J693" t="n">
        <v>1</v>
      </c>
      <c r="K693" t="n">
        <v>0</v>
      </c>
      <c r="L693" t="n">
        <v>0</v>
      </c>
      <c r="M693" t="n">
        <v>0</v>
      </c>
      <c r="N693" t="n">
        <v>0</v>
      </c>
      <c r="O693" t="n">
        <v>1</v>
      </c>
      <c r="P693" t="n">
        <v>0</v>
      </c>
      <c r="Q693" t="n">
        <v>1</v>
      </c>
      <c r="R693" s="2" t="inlineStr">
        <is>
          <t>Garnlav</t>
        </is>
      </c>
      <c r="S693">
        <f>HYPERLINK("https://klasma.github.io/Logging_1737/artfynd/A 41477-2024 artfynd.xlsx", "A 41477-2024")</f>
        <v/>
      </c>
      <c r="T693">
        <f>HYPERLINK("https://klasma.github.io/Logging_1737/kartor/A 41477-2024 karta.png", "A 41477-2024")</f>
        <v/>
      </c>
      <c r="V693">
        <f>HYPERLINK("https://klasma.github.io/Logging_1737/klagomål/A 41477-2024 FSC-klagomål.docx", "A 41477-2024")</f>
        <v/>
      </c>
      <c r="W693">
        <f>HYPERLINK("https://klasma.github.io/Logging_1737/klagomålsmail/A 41477-2024 FSC-klagomål mail.docx", "A 41477-2024")</f>
        <v/>
      </c>
      <c r="X693">
        <f>HYPERLINK("https://klasma.github.io/Logging_1737/tillsyn/A 41477-2024 tillsynsbegäran.docx", "A 41477-2024")</f>
        <v/>
      </c>
      <c r="Y693">
        <f>HYPERLINK("https://klasma.github.io/Logging_1737/tillsynsmail/A 41477-2024 tillsynsbegäran mail.docx", "A 41477-2024")</f>
        <v/>
      </c>
    </row>
    <row r="694" ht="15" customHeight="1">
      <c r="A694" t="inlineStr">
        <is>
          <t>A 43896-2024</t>
        </is>
      </c>
      <c r="B694" s="1" t="n">
        <v>45572</v>
      </c>
      <c r="C694" s="1" t="n">
        <v>45810</v>
      </c>
      <c r="D694" t="inlineStr">
        <is>
          <t>VÄRMLANDS LÄN</t>
        </is>
      </c>
      <c r="E694" t="inlineStr">
        <is>
          <t>SÄFFLE</t>
        </is>
      </c>
      <c r="G694" t="n">
        <v>1.1</v>
      </c>
      <c r="H694" t="n">
        <v>0</v>
      </c>
      <c r="I694" t="n">
        <v>0</v>
      </c>
      <c r="J694" t="n">
        <v>1</v>
      </c>
      <c r="K694" t="n">
        <v>0</v>
      </c>
      <c r="L694" t="n">
        <v>0</v>
      </c>
      <c r="M694" t="n">
        <v>0</v>
      </c>
      <c r="N694" t="n">
        <v>0</v>
      </c>
      <c r="O694" t="n">
        <v>1</v>
      </c>
      <c r="P694" t="n">
        <v>0</v>
      </c>
      <c r="Q694" t="n">
        <v>1</v>
      </c>
      <c r="R694" s="2" t="inlineStr">
        <is>
          <t>Trollfibbla</t>
        </is>
      </c>
      <c r="S694">
        <f>HYPERLINK("https://klasma.github.io/Logging_1785/artfynd/A 43896-2024 artfynd.xlsx", "A 43896-2024")</f>
        <v/>
      </c>
      <c r="T694">
        <f>HYPERLINK("https://klasma.github.io/Logging_1785/kartor/A 43896-2024 karta.png", "A 43896-2024")</f>
        <v/>
      </c>
      <c r="V694">
        <f>HYPERLINK("https://klasma.github.io/Logging_1785/klagomål/A 43896-2024 FSC-klagomål.docx", "A 43896-2024")</f>
        <v/>
      </c>
      <c r="W694">
        <f>HYPERLINK("https://klasma.github.io/Logging_1785/klagomålsmail/A 43896-2024 FSC-klagomål mail.docx", "A 43896-2024")</f>
        <v/>
      </c>
      <c r="X694">
        <f>HYPERLINK("https://klasma.github.io/Logging_1785/tillsyn/A 43896-2024 tillsynsbegäran.docx", "A 43896-2024")</f>
        <v/>
      </c>
      <c r="Y694">
        <f>HYPERLINK("https://klasma.github.io/Logging_1785/tillsynsmail/A 43896-2024 tillsynsbegäran mail.docx", "A 43896-2024")</f>
        <v/>
      </c>
    </row>
    <row r="695" ht="15" customHeight="1">
      <c r="A695" t="inlineStr">
        <is>
          <t>A 45088-2024</t>
        </is>
      </c>
      <c r="B695" s="1" t="n">
        <v>45575</v>
      </c>
      <c r="C695" s="1" t="n">
        <v>45810</v>
      </c>
      <c r="D695" t="inlineStr">
        <is>
          <t>VÄRMLANDS LÄN</t>
        </is>
      </c>
      <c r="E695" t="inlineStr">
        <is>
          <t>ÅRJÄNG</t>
        </is>
      </c>
      <c r="F695" t="inlineStr">
        <is>
          <t>Bergvik skog väst AB</t>
        </is>
      </c>
      <c r="G695" t="n">
        <v>0.9</v>
      </c>
      <c r="H695" t="n">
        <v>1</v>
      </c>
      <c r="I695" t="n">
        <v>0</v>
      </c>
      <c r="J695" t="n">
        <v>0</v>
      </c>
      <c r="K695" t="n">
        <v>0</v>
      </c>
      <c r="L695" t="n">
        <v>0</v>
      </c>
      <c r="M695" t="n">
        <v>0</v>
      </c>
      <c r="N695" t="n">
        <v>0</v>
      </c>
      <c r="O695" t="n">
        <v>0</v>
      </c>
      <c r="P695" t="n">
        <v>0</v>
      </c>
      <c r="Q695" t="n">
        <v>1</v>
      </c>
      <c r="R695" s="2" t="inlineStr">
        <is>
          <t>Fläcknycklar</t>
        </is>
      </c>
      <c r="S695">
        <f>HYPERLINK("https://klasma.github.io/Logging_1765/artfynd/A 45088-2024 artfynd.xlsx", "A 45088-2024")</f>
        <v/>
      </c>
      <c r="T695">
        <f>HYPERLINK("https://klasma.github.io/Logging_1765/kartor/A 45088-2024 karta.png", "A 45088-2024")</f>
        <v/>
      </c>
      <c r="V695">
        <f>HYPERLINK("https://klasma.github.io/Logging_1765/klagomål/A 45088-2024 FSC-klagomål.docx", "A 45088-2024")</f>
        <v/>
      </c>
      <c r="W695">
        <f>HYPERLINK("https://klasma.github.io/Logging_1765/klagomålsmail/A 45088-2024 FSC-klagomål mail.docx", "A 45088-2024")</f>
        <v/>
      </c>
      <c r="X695">
        <f>HYPERLINK("https://klasma.github.io/Logging_1765/tillsyn/A 45088-2024 tillsynsbegäran.docx", "A 45088-2024")</f>
        <v/>
      </c>
      <c r="Y695">
        <f>HYPERLINK("https://klasma.github.io/Logging_1765/tillsynsmail/A 45088-2024 tillsynsbegäran mail.docx", "A 45088-2024")</f>
        <v/>
      </c>
    </row>
    <row r="696" ht="15" customHeight="1">
      <c r="A696" t="inlineStr">
        <is>
          <t>A 45264-2024</t>
        </is>
      </c>
      <c r="B696" s="1" t="n">
        <v>45576</v>
      </c>
      <c r="C696" s="1" t="n">
        <v>45810</v>
      </c>
      <c r="D696" t="inlineStr">
        <is>
          <t>VÄRMLANDS LÄN</t>
        </is>
      </c>
      <c r="E696" t="inlineStr">
        <is>
          <t>HAGFORS</t>
        </is>
      </c>
      <c r="F696" t="inlineStr">
        <is>
          <t>Bergvik skog väst AB</t>
        </is>
      </c>
      <c r="G696" t="n">
        <v>3.5</v>
      </c>
      <c r="H696" t="n">
        <v>1</v>
      </c>
      <c r="I696" t="n">
        <v>0</v>
      </c>
      <c r="J696" t="n">
        <v>0</v>
      </c>
      <c r="K696" t="n">
        <v>0</v>
      </c>
      <c r="L696" t="n">
        <v>0</v>
      </c>
      <c r="M696" t="n">
        <v>0</v>
      </c>
      <c r="N696" t="n">
        <v>0</v>
      </c>
      <c r="O696" t="n">
        <v>0</v>
      </c>
      <c r="P696" t="n">
        <v>0</v>
      </c>
      <c r="Q696" t="n">
        <v>1</v>
      </c>
      <c r="R696" s="2" t="inlineStr">
        <is>
          <t>Nattviol</t>
        </is>
      </c>
      <c r="S696">
        <f>HYPERLINK("https://klasma.github.io/Logging_1783/artfynd/A 45264-2024 artfynd.xlsx", "A 45264-2024")</f>
        <v/>
      </c>
      <c r="T696">
        <f>HYPERLINK("https://klasma.github.io/Logging_1783/kartor/A 45264-2024 karta.png", "A 45264-2024")</f>
        <v/>
      </c>
      <c r="V696">
        <f>HYPERLINK("https://klasma.github.io/Logging_1783/klagomål/A 45264-2024 FSC-klagomål.docx", "A 45264-2024")</f>
        <v/>
      </c>
      <c r="W696">
        <f>HYPERLINK("https://klasma.github.io/Logging_1783/klagomålsmail/A 45264-2024 FSC-klagomål mail.docx", "A 45264-2024")</f>
        <v/>
      </c>
      <c r="X696">
        <f>HYPERLINK("https://klasma.github.io/Logging_1783/tillsyn/A 45264-2024 tillsynsbegäran.docx", "A 45264-2024")</f>
        <v/>
      </c>
      <c r="Y696">
        <f>HYPERLINK("https://klasma.github.io/Logging_1783/tillsynsmail/A 45264-2024 tillsynsbegäran mail.docx", "A 45264-2024")</f>
        <v/>
      </c>
    </row>
    <row r="697" ht="15" customHeight="1">
      <c r="A697" t="inlineStr">
        <is>
          <t>A 46668-2024</t>
        </is>
      </c>
      <c r="B697" s="1" t="n">
        <v>45583</v>
      </c>
      <c r="C697" s="1" t="n">
        <v>45810</v>
      </c>
      <c r="D697" t="inlineStr">
        <is>
          <t>VÄRMLANDS LÄN</t>
        </is>
      </c>
      <c r="E697" t="inlineStr">
        <is>
          <t>KARLSTAD</t>
        </is>
      </c>
      <c r="F697" t="inlineStr">
        <is>
          <t>Kommuner</t>
        </is>
      </c>
      <c r="G697" t="n">
        <v>1.2</v>
      </c>
      <c r="H697" t="n">
        <v>1</v>
      </c>
      <c r="I697" t="n">
        <v>0</v>
      </c>
      <c r="J697" t="n">
        <v>1</v>
      </c>
      <c r="K697" t="n">
        <v>0</v>
      </c>
      <c r="L697" t="n">
        <v>0</v>
      </c>
      <c r="M697" t="n">
        <v>0</v>
      </c>
      <c r="N697" t="n">
        <v>0</v>
      </c>
      <c r="O697" t="n">
        <v>1</v>
      </c>
      <c r="P697" t="n">
        <v>0</v>
      </c>
      <c r="Q697" t="n">
        <v>1</v>
      </c>
      <c r="R697" s="2" t="inlineStr">
        <is>
          <t>Brun gräsfjäril</t>
        </is>
      </c>
      <c r="S697">
        <f>HYPERLINK("https://klasma.github.io/Logging_1780/artfynd/A 46668-2024 artfynd.xlsx", "A 46668-2024")</f>
        <v/>
      </c>
      <c r="T697">
        <f>HYPERLINK("https://klasma.github.io/Logging_1780/kartor/A 46668-2024 karta.png", "A 46668-2024")</f>
        <v/>
      </c>
      <c r="V697">
        <f>HYPERLINK("https://klasma.github.io/Logging_1780/klagomål/A 46668-2024 FSC-klagomål.docx", "A 46668-2024")</f>
        <v/>
      </c>
      <c r="W697">
        <f>HYPERLINK("https://klasma.github.io/Logging_1780/klagomålsmail/A 46668-2024 FSC-klagomål mail.docx", "A 46668-2024")</f>
        <v/>
      </c>
      <c r="X697">
        <f>HYPERLINK("https://klasma.github.io/Logging_1780/tillsyn/A 46668-2024 tillsynsbegäran.docx", "A 46668-2024")</f>
        <v/>
      </c>
      <c r="Y697">
        <f>HYPERLINK("https://klasma.github.io/Logging_1780/tillsynsmail/A 46668-2024 tillsynsbegäran mail.docx", "A 46668-2024")</f>
        <v/>
      </c>
    </row>
    <row r="698" ht="15" customHeight="1">
      <c r="A698" t="inlineStr">
        <is>
          <t>A 46620-2024</t>
        </is>
      </c>
      <c r="B698" s="1" t="n">
        <v>45583</v>
      </c>
      <c r="C698" s="1" t="n">
        <v>45810</v>
      </c>
      <c r="D698" t="inlineStr">
        <is>
          <t>VÄRMLANDS LÄN</t>
        </is>
      </c>
      <c r="E698" t="inlineStr">
        <is>
          <t>FORSHAGA</t>
        </is>
      </c>
      <c r="G698" t="n">
        <v>2.5</v>
      </c>
      <c r="H698" t="n">
        <v>1</v>
      </c>
      <c r="I698" t="n">
        <v>0</v>
      </c>
      <c r="J698" t="n">
        <v>0</v>
      </c>
      <c r="K698" t="n">
        <v>0</v>
      </c>
      <c r="L698" t="n">
        <v>0</v>
      </c>
      <c r="M698" t="n">
        <v>0</v>
      </c>
      <c r="N698" t="n">
        <v>0</v>
      </c>
      <c r="O698" t="n">
        <v>0</v>
      </c>
      <c r="P698" t="n">
        <v>0</v>
      </c>
      <c r="Q698" t="n">
        <v>1</v>
      </c>
      <c r="R698" s="2" t="inlineStr">
        <is>
          <t>Mattlummer</t>
        </is>
      </c>
      <c r="S698">
        <f>HYPERLINK("https://klasma.github.io/Logging_1763/artfynd/A 46620-2024 artfynd.xlsx", "A 46620-2024")</f>
        <v/>
      </c>
      <c r="T698">
        <f>HYPERLINK("https://klasma.github.io/Logging_1763/kartor/A 46620-2024 karta.png", "A 46620-2024")</f>
        <v/>
      </c>
      <c r="V698">
        <f>HYPERLINK("https://klasma.github.io/Logging_1763/klagomål/A 46620-2024 FSC-klagomål.docx", "A 46620-2024")</f>
        <v/>
      </c>
      <c r="W698">
        <f>HYPERLINK("https://klasma.github.io/Logging_1763/klagomålsmail/A 46620-2024 FSC-klagomål mail.docx", "A 46620-2024")</f>
        <v/>
      </c>
      <c r="X698">
        <f>HYPERLINK("https://klasma.github.io/Logging_1763/tillsyn/A 46620-2024 tillsynsbegäran.docx", "A 46620-2024")</f>
        <v/>
      </c>
      <c r="Y698">
        <f>HYPERLINK("https://klasma.github.io/Logging_1763/tillsynsmail/A 46620-2024 tillsynsbegäran mail.docx", "A 46620-2024")</f>
        <v/>
      </c>
    </row>
    <row r="699" ht="15" customHeight="1">
      <c r="A699" t="inlineStr">
        <is>
          <t>A 47217-2024</t>
        </is>
      </c>
      <c r="B699" s="1" t="n">
        <v>45586</v>
      </c>
      <c r="C699" s="1" t="n">
        <v>45810</v>
      </c>
      <c r="D699" t="inlineStr">
        <is>
          <t>VÄRMLANDS LÄN</t>
        </is>
      </c>
      <c r="E699" t="inlineStr">
        <is>
          <t>ARVIKA</t>
        </is>
      </c>
      <c r="G699" t="n">
        <v>5.6</v>
      </c>
      <c r="H699" t="n">
        <v>1</v>
      </c>
      <c r="I699" t="n">
        <v>0</v>
      </c>
      <c r="J699" t="n">
        <v>0</v>
      </c>
      <c r="K699" t="n">
        <v>1</v>
      </c>
      <c r="L699" t="n">
        <v>0</v>
      </c>
      <c r="M699" t="n">
        <v>0</v>
      </c>
      <c r="N699" t="n">
        <v>0</v>
      </c>
      <c r="O699" t="n">
        <v>1</v>
      </c>
      <c r="P699" t="n">
        <v>1</v>
      </c>
      <c r="Q699" t="n">
        <v>1</v>
      </c>
      <c r="R699" s="2" t="inlineStr">
        <is>
          <t>Knärot</t>
        </is>
      </c>
      <c r="S699">
        <f>HYPERLINK("https://klasma.github.io/Logging_1784/artfynd/A 47217-2024 artfynd.xlsx", "A 47217-2024")</f>
        <v/>
      </c>
      <c r="T699">
        <f>HYPERLINK("https://klasma.github.io/Logging_1784/kartor/A 47217-2024 karta.png", "A 47217-2024")</f>
        <v/>
      </c>
      <c r="U699">
        <f>HYPERLINK("https://klasma.github.io/Logging_1784/knärot/A 47217-2024 karta knärot.png", "A 47217-2024")</f>
        <v/>
      </c>
      <c r="V699">
        <f>HYPERLINK("https://klasma.github.io/Logging_1784/klagomål/A 47217-2024 FSC-klagomål.docx", "A 47217-2024")</f>
        <v/>
      </c>
      <c r="W699">
        <f>HYPERLINK("https://klasma.github.io/Logging_1784/klagomålsmail/A 47217-2024 FSC-klagomål mail.docx", "A 47217-2024")</f>
        <v/>
      </c>
      <c r="X699">
        <f>HYPERLINK("https://klasma.github.io/Logging_1784/tillsyn/A 47217-2024 tillsynsbegäran.docx", "A 47217-2024")</f>
        <v/>
      </c>
      <c r="Y699">
        <f>HYPERLINK("https://klasma.github.io/Logging_1784/tillsynsmail/A 47217-2024 tillsynsbegäran mail.docx", "A 47217-2024")</f>
        <v/>
      </c>
    </row>
    <row r="700" ht="15" customHeight="1">
      <c r="A700" t="inlineStr">
        <is>
          <t>A 47689-2024</t>
        </is>
      </c>
      <c r="B700" s="1" t="n">
        <v>45588</v>
      </c>
      <c r="C700" s="1" t="n">
        <v>45810</v>
      </c>
      <c r="D700" t="inlineStr">
        <is>
          <t>VÄRMLANDS LÄN</t>
        </is>
      </c>
      <c r="E700" t="inlineStr">
        <is>
          <t>TORSBY</t>
        </is>
      </c>
      <c r="G700" t="n">
        <v>3.1</v>
      </c>
      <c r="H700" t="n">
        <v>0</v>
      </c>
      <c r="I700" t="n">
        <v>0</v>
      </c>
      <c r="J700" t="n">
        <v>1</v>
      </c>
      <c r="K700" t="n">
        <v>0</v>
      </c>
      <c r="L700" t="n">
        <v>0</v>
      </c>
      <c r="M700" t="n">
        <v>0</v>
      </c>
      <c r="N700" t="n">
        <v>0</v>
      </c>
      <c r="O700" t="n">
        <v>1</v>
      </c>
      <c r="P700" t="n">
        <v>0</v>
      </c>
      <c r="Q700" t="n">
        <v>1</v>
      </c>
      <c r="R700" s="2" t="inlineStr">
        <is>
          <t>Garnlav</t>
        </is>
      </c>
      <c r="S700">
        <f>HYPERLINK("https://klasma.github.io/Logging_1737/artfynd/A 47689-2024 artfynd.xlsx", "A 47689-2024")</f>
        <v/>
      </c>
      <c r="T700">
        <f>HYPERLINK("https://klasma.github.io/Logging_1737/kartor/A 47689-2024 karta.png", "A 47689-2024")</f>
        <v/>
      </c>
      <c r="V700">
        <f>HYPERLINK("https://klasma.github.io/Logging_1737/klagomål/A 47689-2024 FSC-klagomål.docx", "A 47689-2024")</f>
        <v/>
      </c>
      <c r="W700">
        <f>HYPERLINK("https://klasma.github.io/Logging_1737/klagomålsmail/A 47689-2024 FSC-klagomål mail.docx", "A 47689-2024")</f>
        <v/>
      </c>
      <c r="X700">
        <f>HYPERLINK("https://klasma.github.io/Logging_1737/tillsyn/A 47689-2024 tillsynsbegäran.docx", "A 47689-2024")</f>
        <v/>
      </c>
      <c r="Y700">
        <f>HYPERLINK("https://klasma.github.io/Logging_1737/tillsynsmail/A 47689-2024 tillsynsbegäran mail.docx", "A 47689-2024")</f>
        <v/>
      </c>
    </row>
    <row r="701" ht="15" customHeight="1">
      <c r="A701" t="inlineStr">
        <is>
          <t>A 48010-2024</t>
        </is>
      </c>
      <c r="B701" s="1" t="n">
        <v>45589</v>
      </c>
      <c r="C701" s="1" t="n">
        <v>45810</v>
      </c>
      <c r="D701" t="inlineStr">
        <is>
          <t>VÄRMLANDS LÄN</t>
        </is>
      </c>
      <c r="E701" t="inlineStr">
        <is>
          <t>ARVIKA</t>
        </is>
      </c>
      <c r="G701" t="n">
        <v>6.7</v>
      </c>
      <c r="H701" t="n">
        <v>1</v>
      </c>
      <c r="I701" t="n">
        <v>0</v>
      </c>
      <c r="J701" t="n">
        <v>0</v>
      </c>
      <c r="K701" t="n">
        <v>1</v>
      </c>
      <c r="L701" t="n">
        <v>0</v>
      </c>
      <c r="M701" t="n">
        <v>0</v>
      </c>
      <c r="N701" t="n">
        <v>0</v>
      </c>
      <c r="O701" t="n">
        <v>1</v>
      </c>
      <c r="P701" t="n">
        <v>1</v>
      </c>
      <c r="Q701" t="n">
        <v>1</v>
      </c>
      <c r="R701" s="2" t="inlineStr">
        <is>
          <t>Knärot</t>
        </is>
      </c>
      <c r="S701">
        <f>HYPERLINK("https://klasma.github.io/Logging_1784/artfynd/A 48010-2024 artfynd.xlsx", "A 48010-2024")</f>
        <v/>
      </c>
      <c r="T701">
        <f>HYPERLINK("https://klasma.github.io/Logging_1784/kartor/A 48010-2024 karta.png", "A 48010-2024")</f>
        <v/>
      </c>
      <c r="U701">
        <f>HYPERLINK("https://klasma.github.io/Logging_1784/knärot/A 48010-2024 karta knärot.png", "A 48010-2024")</f>
        <v/>
      </c>
      <c r="V701">
        <f>HYPERLINK("https://klasma.github.io/Logging_1784/klagomål/A 48010-2024 FSC-klagomål.docx", "A 48010-2024")</f>
        <v/>
      </c>
      <c r="W701">
        <f>HYPERLINK("https://klasma.github.io/Logging_1784/klagomålsmail/A 48010-2024 FSC-klagomål mail.docx", "A 48010-2024")</f>
        <v/>
      </c>
      <c r="X701">
        <f>HYPERLINK("https://klasma.github.io/Logging_1784/tillsyn/A 48010-2024 tillsynsbegäran.docx", "A 48010-2024")</f>
        <v/>
      </c>
      <c r="Y701">
        <f>HYPERLINK("https://klasma.github.io/Logging_1784/tillsynsmail/A 48010-2024 tillsynsbegäran mail.docx", "A 48010-2024")</f>
        <v/>
      </c>
    </row>
    <row r="702" ht="15" customHeight="1">
      <c r="A702" t="inlineStr">
        <is>
          <t>A 48842-2024</t>
        </is>
      </c>
      <c r="B702" s="1" t="n">
        <v>45593</v>
      </c>
      <c r="C702" s="1" t="n">
        <v>45810</v>
      </c>
      <c r="D702" t="inlineStr">
        <is>
          <t>VÄRMLANDS LÄN</t>
        </is>
      </c>
      <c r="E702" t="inlineStr">
        <is>
          <t>ÅRJÄNG</t>
        </is>
      </c>
      <c r="G702" t="n">
        <v>5.8</v>
      </c>
      <c r="H702" t="n">
        <v>0</v>
      </c>
      <c r="I702" t="n">
        <v>0</v>
      </c>
      <c r="J702" t="n">
        <v>0</v>
      </c>
      <c r="K702" t="n">
        <v>1</v>
      </c>
      <c r="L702" t="n">
        <v>0</v>
      </c>
      <c r="M702" t="n">
        <v>0</v>
      </c>
      <c r="N702" t="n">
        <v>0</v>
      </c>
      <c r="O702" t="n">
        <v>1</v>
      </c>
      <c r="P702" t="n">
        <v>1</v>
      </c>
      <c r="Q702" t="n">
        <v>1</v>
      </c>
      <c r="R702" s="2" t="inlineStr">
        <is>
          <t>Rotfingersvamp</t>
        </is>
      </c>
      <c r="S702">
        <f>HYPERLINK("https://klasma.github.io/Logging_1765/artfynd/A 48842-2024 artfynd.xlsx", "A 48842-2024")</f>
        <v/>
      </c>
      <c r="T702">
        <f>HYPERLINK("https://klasma.github.io/Logging_1765/kartor/A 48842-2024 karta.png", "A 48842-2024")</f>
        <v/>
      </c>
      <c r="V702">
        <f>HYPERLINK("https://klasma.github.io/Logging_1765/klagomål/A 48842-2024 FSC-klagomål.docx", "A 48842-2024")</f>
        <v/>
      </c>
      <c r="W702">
        <f>HYPERLINK("https://klasma.github.io/Logging_1765/klagomålsmail/A 48842-2024 FSC-klagomål mail.docx", "A 48842-2024")</f>
        <v/>
      </c>
      <c r="X702">
        <f>HYPERLINK("https://klasma.github.io/Logging_1765/tillsyn/A 48842-2024 tillsynsbegäran.docx", "A 48842-2024")</f>
        <v/>
      </c>
      <c r="Y702">
        <f>HYPERLINK("https://klasma.github.io/Logging_1765/tillsynsmail/A 48842-2024 tillsynsbegäran mail.docx", "A 48842-2024")</f>
        <v/>
      </c>
    </row>
    <row r="703" ht="15" customHeight="1">
      <c r="A703" t="inlineStr">
        <is>
          <t>A 50318-2024</t>
        </is>
      </c>
      <c r="B703" s="1" t="n">
        <v>45600</v>
      </c>
      <c r="C703" s="1" t="n">
        <v>45810</v>
      </c>
      <c r="D703" t="inlineStr">
        <is>
          <t>VÄRMLANDS LÄN</t>
        </is>
      </c>
      <c r="E703" t="inlineStr">
        <is>
          <t>TORSBY</t>
        </is>
      </c>
      <c r="F703" t="inlineStr">
        <is>
          <t>Bergvik skog väst AB</t>
        </is>
      </c>
      <c r="G703" t="n">
        <v>3.5</v>
      </c>
      <c r="H703" t="n">
        <v>0</v>
      </c>
      <c r="I703" t="n">
        <v>1</v>
      </c>
      <c r="J703" t="n">
        <v>0</v>
      </c>
      <c r="K703" t="n">
        <v>0</v>
      </c>
      <c r="L703" t="n">
        <v>0</v>
      </c>
      <c r="M703" t="n">
        <v>0</v>
      </c>
      <c r="N703" t="n">
        <v>0</v>
      </c>
      <c r="O703" t="n">
        <v>0</v>
      </c>
      <c r="P703" t="n">
        <v>0</v>
      </c>
      <c r="Q703" t="n">
        <v>1</v>
      </c>
      <c r="R703" s="2" t="inlineStr">
        <is>
          <t>Vedticka</t>
        </is>
      </c>
      <c r="S703">
        <f>HYPERLINK("https://klasma.github.io/Logging_1737/artfynd/A 50318-2024 artfynd.xlsx", "A 50318-2024")</f>
        <v/>
      </c>
      <c r="T703">
        <f>HYPERLINK("https://klasma.github.io/Logging_1737/kartor/A 50318-2024 karta.png", "A 50318-2024")</f>
        <v/>
      </c>
      <c r="V703">
        <f>HYPERLINK("https://klasma.github.io/Logging_1737/klagomål/A 50318-2024 FSC-klagomål.docx", "A 50318-2024")</f>
        <v/>
      </c>
      <c r="W703">
        <f>HYPERLINK("https://klasma.github.io/Logging_1737/klagomålsmail/A 50318-2024 FSC-klagomål mail.docx", "A 50318-2024")</f>
        <v/>
      </c>
      <c r="X703">
        <f>HYPERLINK("https://klasma.github.io/Logging_1737/tillsyn/A 50318-2024 tillsynsbegäran.docx", "A 50318-2024")</f>
        <v/>
      </c>
      <c r="Y703">
        <f>HYPERLINK("https://klasma.github.io/Logging_1737/tillsynsmail/A 50318-2024 tillsynsbegäran mail.docx", "A 50318-2024")</f>
        <v/>
      </c>
    </row>
    <row r="704" ht="15" customHeight="1">
      <c r="A704" t="inlineStr">
        <is>
          <t>A 51839-2024</t>
        </is>
      </c>
      <c r="B704" s="1" t="n">
        <v>45607</v>
      </c>
      <c r="C704" s="1" t="n">
        <v>45810</v>
      </c>
      <c r="D704" t="inlineStr">
        <is>
          <t>VÄRMLANDS LÄN</t>
        </is>
      </c>
      <c r="E704" t="inlineStr">
        <is>
          <t>HAGFORS</t>
        </is>
      </c>
      <c r="G704" t="n">
        <v>2.5</v>
      </c>
      <c r="H704" t="n">
        <v>0</v>
      </c>
      <c r="I704" t="n">
        <v>0</v>
      </c>
      <c r="J704" t="n">
        <v>1</v>
      </c>
      <c r="K704" t="n">
        <v>0</v>
      </c>
      <c r="L704" t="n">
        <v>0</v>
      </c>
      <c r="M704" t="n">
        <v>0</v>
      </c>
      <c r="N704" t="n">
        <v>0</v>
      </c>
      <c r="O704" t="n">
        <v>1</v>
      </c>
      <c r="P704" t="n">
        <v>0</v>
      </c>
      <c r="Q704" t="n">
        <v>1</v>
      </c>
      <c r="R704" s="2" t="inlineStr">
        <is>
          <t>Garnlav</t>
        </is>
      </c>
      <c r="S704">
        <f>HYPERLINK("https://klasma.github.io/Logging_1783/artfynd/A 51839-2024 artfynd.xlsx", "A 51839-2024")</f>
        <v/>
      </c>
      <c r="T704">
        <f>HYPERLINK("https://klasma.github.io/Logging_1783/kartor/A 51839-2024 karta.png", "A 51839-2024")</f>
        <v/>
      </c>
      <c r="V704">
        <f>HYPERLINK("https://klasma.github.io/Logging_1783/klagomål/A 51839-2024 FSC-klagomål.docx", "A 51839-2024")</f>
        <v/>
      </c>
      <c r="W704">
        <f>HYPERLINK("https://klasma.github.io/Logging_1783/klagomålsmail/A 51839-2024 FSC-klagomål mail.docx", "A 51839-2024")</f>
        <v/>
      </c>
      <c r="X704">
        <f>HYPERLINK("https://klasma.github.io/Logging_1783/tillsyn/A 51839-2024 tillsynsbegäran.docx", "A 51839-2024")</f>
        <v/>
      </c>
      <c r="Y704">
        <f>HYPERLINK("https://klasma.github.io/Logging_1783/tillsynsmail/A 51839-2024 tillsynsbegäran mail.docx", "A 51839-2024")</f>
        <v/>
      </c>
    </row>
    <row r="705" ht="15" customHeight="1">
      <c r="A705" t="inlineStr">
        <is>
          <t>A 53862-2024</t>
        </is>
      </c>
      <c r="B705" s="1" t="n">
        <v>45615</v>
      </c>
      <c r="C705" s="1" t="n">
        <v>45810</v>
      </c>
      <c r="D705" t="inlineStr">
        <is>
          <t>VÄRMLANDS LÄN</t>
        </is>
      </c>
      <c r="E705" t="inlineStr">
        <is>
          <t>TORSBY</t>
        </is>
      </c>
      <c r="G705" t="n">
        <v>3.4</v>
      </c>
      <c r="H705" t="n">
        <v>0</v>
      </c>
      <c r="I705" t="n">
        <v>0</v>
      </c>
      <c r="J705" t="n">
        <v>1</v>
      </c>
      <c r="K705" t="n">
        <v>0</v>
      </c>
      <c r="L705" t="n">
        <v>0</v>
      </c>
      <c r="M705" t="n">
        <v>0</v>
      </c>
      <c r="N705" t="n">
        <v>0</v>
      </c>
      <c r="O705" t="n">
        <v>1</v>
      </c>
      <c r="P705" t="n">
        <v>0</v>
      </c>
      <c r="Q705" t="n">
        <v>1</v>
      </c>
      <c r="R705" s="2" t="inlineStr">
        <is>
          <t>Kolflarnlav</t>
        </is>
      </c>
      <c r="S705">
        <f>HYPERLINK("https://klasma.github.io/Logging_1737/artfynd/A 53862-2024 artfynd.xlsx", "A 53862-2024")</f>
        <v/>
      </c>
      <c r="T705">
        <f>HYPERLINK("https://klasma.github.io/Logging_1737/kartor/A 53862-2024 karta.png", "A 53862-2024")</f>
        <v/>
      </c>
      <c r="V705">
        <f>HYPERLINK("https://klasma.github.io/Logging_1737/klagomål/A 53862-2024 FSC-klagomål.docx", "A 53862-2024")</f>
        <v/>
      </c>
      <c r="W705">
        <f>HYPERLINK("https://klasma.github.io/Logging_1737/klagomålsmail/A 53862-2024 FSC-klagomål mail.docx", "A 53862-2024")</f>
        <v/>
      </c>
      <c r="X705">
        <f>HYPERLINK("https://klasma.github.io/Logging_1737/tillsyn/A 53862-2024 tillsynsbegäran.docx", "A 53862-2024")</f>
        <v/>
      </c>
      <c r="Y705">
        <f>HYPERLINK("https://klasma.github.io/Logging_1737/tillsynsmail/A 53862-2024 tillsynsbegäran mail.docx", "A 53862-2024")</f>
        <v/>
      </c>
    </row>
    <row r="706" ht="15" customHeight="1">
      <c r="A706" t="inlineStr">
        <is>
          <t>A 54009-2024</t>
        </is>
      </c>
      <c r="B706" s="1" t="n">
        <v>45616</v>
      </c>
      <c r="C706" s="1" t="n">
        <v>45810</v>
      </c>
      <c r="D706" t="inlineStr">
        <is>
          <t>VÄRMLANDS LÄN</t>
        </is>
      </c>
      <c r="E706" t="inlineStr">
        <is>
          <t>TORSBY</t>
        </is>
      </c>
      <c r="F706" t="inlineStr">
        <is>
          <t>Bergvik skog väst AB</t>
        </is>
      </c>
      <c r="G706" t="n">
        <v>8.800000000000001</v>
      </c>
      <c r="H706" t="n">
        <v>1</v>
      </c>
      <c r="I706" t="n">
        <v>1</v>
      </c>
      <c r="J706" t="n">
        <v>0</v>
      </c>
      <c r="K706" t="n">
        <v>0</v>
      </c>
      <c r="L706" t="n">
        <v>0</v>
      </c>
      <c r="M706" t="n">
        <v>0</v>
      </c>
      <c r="N706" t="n">
        <v>0</v>
      </c>
      <c r="O706" t="n">
        <v>0</v>
      </c>
      <c r="P706" t="n">
        <v>0</v>
      </c>
      <c r="Q706" t="n">
        <v>1</v>
      </c>
      <c r="R706" s="2" t="inlineStr">
        <is>
          <t>Korallrot</t>
        </is>
      </c>
      <c r="S706">
        <f>HYPERLINK("https://klasma.github.io/Logging_1737/artfynd/A 54009-2024 artfynd.xlsx", "A 54009-2024")</f>
        <v/>
      </c>
      <c r="T706">
        <f>HYPERLINK("https://klasma.github.io/Logging_1737/kartor/A 54009-2024 karta.png", "A 54009-2024")</f>
        <v/>
      </c>
      <c r="V706">
        <f>HYPERLINK("https://klasma.github.io/Logging_1737/klagomål/A 54009-2024 FSC-klagomål.docx", "A 54009-2024")</f>
        <v/>
      </c>
      <c r="W706">
        <f>HYPERLINK("https://klasma.github.io/Logging_1737/klagomålsmail/A 54009-2024 FSC-klagomål mail.docx", "A 54009-2024")</f>
        <v/>
      </c>
      <c r="X706">
        <f>HYPERLINK("https://klasma.github.io/Logging_1737/tillsyn/A 54009-2024 tillsynsbegäran.docx", "A 54009-2024")</f>
        <v/>
      </c>
      <c r="Y706">
        <f>HYPERLINK("https://klasma.github.io/Logging_1737/tillsynsmail/A 54009-2024 tillsynsbegäran mail.docx", "A 54009-2024")</f>
        <v/>
      </c>
    </row>
    <row r="707" ht="15" customHeight="1">
      <c r="A707" t="inlineStr">
        <is>
          <t>A 54029-2024</t>
        </is>
      </c>
      <c r="B707" s="1" t="n">
        <v>45616</v>
      </c>
      <c r="C707" s="1" t="n">
        <v>45810</v>
      </c>
      <c r="D707" t="inlineStr">
        <is>
          <t>VÄRMLANDS LÄN</t>
        </is>
      </c>
      <c r="E707" t="inlineStr">
        <is>
          <t>TORSBY</t>
        </is>
      </c>
      <c r="G707" t="n">
        <v>10.2</v>
      </c>
      <c r="H707" t="n">
        <v>0</v>
      </c>
      <c r="I707" t="n">
        <v>1</v>
      </c>
      <c r="J707" t="n">
        <v>0</v>
      </c>
      <c r="K707" t="n">
        <v>0</v>
      </c>
      <c r="L707" t="n">
        <v>0</v>
      </c>
      <c r="M707" t="n">
        <v>0</v>
      </c>
      <c r="N707" t="n">
        <v>0</v>
      </c>
      <c r="O707" t="n">
        <v>0</v>
      </c>
      <c r="P707" t="n">
        <v>0</v>
      </c>
      <c r="Q707" t="n">
        <v>1</v>
      </c>
      <c r="R707" s="2" t="inlineStr">
        <is>
          <t>Vedticka</t>
        </is>
      </c>
      <c r="S707">
        <f>HYPERLINK("https://klasma.github.io/Logging_1737/artfynd/A 54029-2024 artfynd.xlsx", "A 54029-2024")</f>
        <v/>
      </c>
      <c r="T707">
        <f>HYPERLINK("https://klasma.github.io/Logging_1737/kartor/A 54029-2024 karta.png", "A 54029-2024")</f>
        <v/>
      </c>
      <c r="V707">
        <f>HYPERLINK("https://klasma.github.io/Logging_1737/klagomål/A 54029-2024 FSC-klagomål.docx", "A 54029-2024")</f>
        <v/>
      </c>
      <c r="W707">
        <f>HYPERLINK("https://klasma.github.io/Logging_1737/klagomålsmail/A 54029-2024 FSC-klagomål mail.docx", "A 54029-2024")</f>
        <v/>
      </c>
      <c r="X707">
        <f>HYPERLINK("https://klasma.github.io/Logging_1737/tillsyn/A 54029-2024 tillsynsbegäran.docx", "A 54029-2024")</f>
        <v/>
      </c>
      <c r="Y707">
        <f>HYPERLINK("https://klasma.github.io/Logging_1737/tillsynsmail/A 54029-2024 tillsynsbegäran mail.docx", "A 54029-2024")</f>
        <v/>
      </c>
    </row>
    <row r="708" ht="15" customHeight="1">
      <c r="A708" t="inlineStr">
        <is>
          <t>A 54544-2024</t>
        </is>
      </c>
      <c r="B708" s="1" t="n">
        <v>45617</v>
      </c>
      <c r="C708" s="1" t="n">
        <v>45810</v>
      </c>
      <c r="D708" t="inlineStr">
        <is>
          <t>VÄRMLANDS LÄN</t>
        </is>
      </c>
      <c r="E708" t="inlineStr">
        <is>
          <t>SUNNE</t>
        </is>
      </c>
      <c r="G708" t="n">
        <v>0.9</v>
      </c>
      <c r="H708" t="n">
        <v>0</v>
      </c>
      <c r="I708" t="n">
        <v>0</v>
      </c>
      <c r="J708" t="n">
        <v>1</v>
      </c>
      <c r="K708" t="n">
        <v>0</v>
      </c>
      <c r="L708" t="n">
        <v>0</v>
      </c>
      <c r="M708" t="n">
        <v>0</v>
      </c>
      <c r="N708" t="n">
        <v>0</v>
      </c>
      <c r="O708" t="n">
        <v>1</v>
      </c>
      <c r="P708" t="n">
        <v>0</v>
      </c>
      <c r="Q708" t="n">
        <v>1</v>
      </c>
      <c r="R708" s="2" t="inlineStr">
        <is>
          <t>Violettgrå tagellav</t>
        </is>
      </c>
      <c r="S708">
        <f>HYPERLINK("https://klasma.github.io/Logging_1766/artfynd/A 54544-2024 artfynd.xlsx", "A 54544-2024")</f>
        <v/>
      </c>
      <c r="T708">
        <f>HYPERLINK("https://klasma.github.io/Logging_1766/kartor/A 54544-2024 karta.png", "A 54544-2024")</f>
        <v/>
      </c>
      <c r="V708">
        <f>HYPERLINK("https://klasma.github.io/Logging_1766/klagomål/A 54544-2024 FSC-klagomål.docx", "A 54544-2024")</f>
        <v/>
      </c>
      <c r="W708">
        <f>HYPERLINK("https://klasma.github.io/Logging_1766/klagomålsmail/A 54544-2024 FSC-klagomål mail.docx", "A 54544-2024")</f>
        <v/>
      </c>
      <c r="X708">
        <f>HYPERLINK("https://klasma.github.io/Logging_1766/tillsyn/A 54544-2024 tillsynsbegäran.docx", "A 54544-2024")</f>
        <v/>
      </c>
      <c r="Y708">
        <f>HYPERLINK("https://klasma.github.io/Logging_1766/tillsynsmail/A 54544-2024 tillsynsbegäran mail.docx", "A 54544-2024")</f>
        <v/>
      </c>
    </row>
    <row r="709" ht="15" customHeight="1">
      <c r="A709" t="inlineStr">
        <is>
          <t>A 54788-2024</t>
        </is>
      </c>
      <c r="B709" s="1" t="n">
        <v>45618</v>
      </c>
      <c r="C709" s="1" t="n">
        <v>45810</v>
      </c>
      <c r="D709" t="inlineStr">
        <is>
          <t>VÄRMLANDS LÄN</t>
        </is>
      </c>
      <c r="E709" t="inlineStr">
        <is>
          <t>TORSBY</t>
        </is>
      </c>
      <c r="G709" t="n">
        <v>2.4</v>
      </c>
      <c r="H709" t="n">
        <v>0</v>
      </c>
      <c r="I709" t="n">
        <v>0</v>
      </c>
      <c r="J709" t="n">
        <v>1</v>
      </c>
      <c r="K709" t="n">
        <v>0</v>
      </c>
      <c r="L709" t="n">
        <v>0</v>
      </c>
      <c r="M709" t="n">
        <v>0</v>
      </c>
      <c r="N709" t="n">
        <v>0</v>
      </c>
      <c r="O709" t="n">
        <v>1</v>
      </c>
      <c r="P709" t="n">
        <v>0</v>
      </c>
      <c r="Q709" t="n">
        <v>1</v>
      </c>
      <c r="R709" s="2" t="inlineStr">
        <is>
          <t>Mörk kolflarnlav</t>
        </is>
      </c>
      <c r="S709">
        <f>HYPERLINK("https://klasma.github.io/Logging_1737/artfynd/A 54788-2024 artfynd.xlsx", "A 54788-2024")</f>
        <v/>
      </c>
      <c r="T709">
        <f>HYPERLINK("https://klasma.github.io/Logging_1737/kartor/A 54788-2024 karta.png", "A 54788-2024")</f>
        <v/>
      </c>
      <c r="V709">
        <f>HYPERLINK("https://klasma.github.io/Logging_1737/klagomål/A 54788-2024 FSC-klagomål.docx", "A 54788-2024")</f>
        <v/>
      </c>
      <c r="W709">
        <f>HYPERLINK("https://klasma.github.io/Logging_1737/klagomålsmail/A 54788-2024 FSC-klagomål mail.docx", "A 54788-2024")</f>
        <v/>
      </c>
      <c r="X709">
        <f>HYPERLINK("https://klasma.github.io/Logging_1737/tillsyn/A 54788-2024 tillsynsbegäran.docx", "A 54788-2024")</f>
        <v/>
      </c>
      <c r="Y709">
        <f>HYPERLINK("https://klasma.github.io/Logging_1737/tillsynsmail/A 54788-2024 tillsynsbegäran mail.docx", "A 54788-2024")</f>
        <v/>
      </c>
    </row>
    <row r="710" ht="15" customHeight="1">
      <c r="A710" t="inlineStr">
        <is>
          <t>A 54786-2024</t>
        </is>
      </c>
      <c r="B710" s="1" t="n">
        <v>45618</v>
      </c>
      <c r="C710" s="1" t="n">
        <v>45810</v>
      </c>
      <c r="D710" t="inlineStr">
        <is>
          <t>VÄRMLANDS LÄN</t>
        </is>
      </c>
      <c r="E710" t="inlineStr">
        <is>
          <t>TORSBY</t>
        </is>
      </c>
      <c r="G710" t="n">
        <v>3.8</v>
      </c>
      <c r="H710" t="n">
        <v>0</v>
      </c>
      <c r="I710" t="n">
        <v>0</v>
      </c>
      <c r="J710" t="n">
        <v>1</v>
      </c>
      <c r="K710" t="n">
        <v>0</v>
      </c>
      <c r="L710" t="n">
        <v>0</v>
      </c>
      <c r="M710" t="n">
        <v>0</v>
      </c>
      <c r="N710" t="n">
        <v>0</v>
      </c>
      <c r="O710" t="n">
        <v>1</v>
      </c>
      <c r="P710" t="n">
        <v>0</v>
      </c>
      <c r="Q710" t="n">
        <v>1</v>
      </c>
      <c r="R710" s="2" t="inlineStr">
        <is>
          <t>Dvärgbägarlav</t>
        </is>
      </c>
      <c r="S710">
        <f>HYPERLINK("https://klasma.github.io/Logging_1737/artfynd/A 54786-2024 artfynd.xlsx", "A 54786-2024")</f>
        <v/>
      </c>
      <c r="T710">
        <f>HYPERLINK("https://klasma.github.io/Logging_1737/kartor/A 54786-2024 karta.png", "A 54786-2024")</f>
        <v/>
      </c>
      <c r="V710">
        <f>HYPERLINK("https://klasma.github.io/Logging_1737/klagomål/A 54786-2024 FSC-klagomål.docx", "A 54786-2024")</f>
        <v/>
      </c>
      <c r="W710">
        <f>HYPERLINK("https://klasma.github.io/Logging_1737/klagomålsmail/A 54786-2024 FSC-klagomål mail.docx", "A 54786-2024")</f>
        <v/>
      </c>
      <c r="X710">
        <f>HYPERLINK("https://klasma.github.io/Logging_1737/tillsyn/A 54786-2024 tillsynsbegäran.docx", "A 54786-2024")</f>
        <v/>
      </c>
      <c r="Y710">
        <f>HYPERLINK("https://klasma.github.io/Logging_1737/tillsynsmail/A 54786-2024 tillsynsbegäran mail.docx", "A 54786-2024")</f>
        <v/>
      </c>
    </row>
    <row r="711" ht="15" customHeight="1">
      <c r="A711" t="inlineStr">
        <is>
          <t>A 55482-2024</t>
        </is>
      </c>
      <c r="B711" s="1" t="n">
        <v>45622</v>
      </c>
      <c r="C711" s="1" t="n">
        <v>45810</v>
      </c>
      <c r="D711" t="inlineStr">
        <is>
          <t>VÄRMLANDS LÄN</t>
        </is>
      </c>
      <c r="E711" t="inlineStr">
        <is>
          <t>SUNNE</t>
        </is>
      </c>
      <c r="G711" t="n">
        <v>4.9</v>
      </c>
      <c r="H711" t="n">
        <v>0</v>
      </c>
      <c r="I711" t="n">
        <v>0</v>
      </c>
      <c r="J711" t="n">
        <v>1</v>
      </c>
      <c r="K711" t="n">
        <v>0</v>
      </c>
      <c r="L711" t="n">
        <v>0</v>
      </c>
      <c r="M711" t="n">
        <v>0</v>
      </c>
      <c r="N711" t="n">
        <v>0</v>
      </c>
      <c r="O711" t="n">
        <v>1</v>
      </c>
      <c r="P711" t="n">
        <v>0</v>
      </c>
      <c r="Q711" t="n">
        <v>1</v>
      </c>
      <c r="R711" s="2" t="inlineStr">
        <is>
          <t>Garnlav</t>
        </is>
      </c>
      <c r="S711">
        <f>HYPERLINK("https://klasma.github.io/Logging_1766/artfynd/A 55482-2024 artfynd.xlsx", "A 55482-2024")</f>
        <v/>
      </c>
      <c r="T711">
        <f>HYPERLINK("https://klasma.github.io/Logging_1766/kartor/A 55482-2024 karta.png", "A 55482-2024")</f>
        <v/>
      </c>
      <c r="V711">
        <f>HYPERLINK("https://klasma.github.io/Logging_1766/klagomål/A 55482-2024 FSC-klagomål.docx", "A 55482-2024")</f>
        <v/>
      </c>
      <c r="W711">
        <f>HYPERLINK("https://klasma.github.io/Logging_1766/klagomålsmail/A 55482-2024 FSC-klagomål mail.docx", "A 55482-2024")</f>
        <v/>
      </c>
      <c r="X711">
        <f>HYPERLINK("https://klasma.github.io/Logging_1766/tillsyn/A 55482-2024 tillsynsbegäran.docx", "A 55482-2024")</f>
        <v/>
      </c>
      <c r="Y711">
        <f>HYPERLINK("https://klasma.github.io/Logging_1766/tillsynsmail/A 55482-2024 tillsynsbegäran mail.docx", "A 55482-2024")</f>
        <v/>
      </c>
    </row>
    <row r="712" ht="15" customHeight="1">
      <c r="A712" t="inlineStr">
        <is>
          <t>A 56071-2024</t>
        </is>
      </c>
      <c r="B712" s="1" t="n">
        <v>45624</v>
      </c>
      <c r="C712" s="1" t="n">
        <v>45810</v>
      </c>
      <c r="D712" t="inlineStr">
        <is>
          <t>VÄRMLANDS LÄN</t>
        </is>
      </c>
      <c r="E712" t="inlineStr">
        <is>
          <t>GRUMS</t>
        </is>
      </c>
      <c r="G712" t="n">
        <v>3</v>
      </c>
      <c r="H712" t="n">
        <v>0</v>
      </c>
      <c r="I712" t="n">
        <v>0</v>
      </c>
      <c r="J712" t="n">
        <v>1</v>
      </c>
      <c r="K712" t="n">
        <v>0</v>
      </c>
      <c r="L712" t="n">
        <v>0</v>
      </c>
      <c r="M712" t="n">
        <v>0</v>
      </c>
      <c r="N712" t="n">
        <v>0</v>
      </c>
      <c r="O712" t="n">
        <v>1</v>
      </c>
      <c r="P712" t="n">
        <v>0</v>
      </c>
      <c r="Q712" t="n">
        <v>1</v>
      </c>
      <c r="R712" s="2" t="inlineStr">
        <is>
          <t>Krusfrö</t>
        </is>
      </c>
      <c r="S712">
        <f>HYPERLINK("https://klasma.github.io/Logging_1764/artfynd/A 56071-2024 artfynd.xlsx", "A 56071-2024")</f>
        <v/>
      </c>
      <c r="T712">
        <f>HYPERLINK("https://klasma.github.io/Logging_1764/kartor/A 56071-2024 karta.png", "A 56071-2024")</f>
        <v/>
      </c>
      <c r="V712">
        <f>HYPERLINK("https://klasma.github.io/Logging_1764/klagomål/A 56071-2024 FSC-klagomål.docx", "A 56071-2024")</f>
        <v/>
      </c>
      <c r="W712">
        <f>HYPERLINK("https://klasma.github.io/Logging_1764/klagomålsmail/A 56071-2024 FSC-klagomål mail.docx", "A 56071-2024")</f>
        <v/>
      </c>
      <c r="X712">
        <f>HYPERLINK("https://klasma.github.io/Logging_1764/tillsyn/A 56071-2024 tillsynsbegäran.docx", "A 56071-2024")</f>
        <v/>
      </c>
      <c r="Y712">
        <f>HYPERLINK("https://klasma.github.io/Logging_1764/tillsynsmail/A 56071-2024 tillsynsbegäran mail.docx", "A 56071-2024")</f>
        <v/>
      </c>
    </row>
    <row r="713" ht="15" customHeight="1">
      <c r="A713" t="inlineStr">
        <is>
          <t>A 56133-2024</t>
        </is>
      </c>
      <c r="B713" s="1" t="n">
        <v>45624</v>
      </c>
      <c r="C713" s="1" t="n">
        <v>45810</v>
      </c>
      <c r="D713" t="inlineStr">
        <is>
          <t>VÄRMLANDS LÄN</t>
        </is>
      </c>
      <c r="E713" t="inlineStr">
        <is>
          <t>TORSBY</t>
        </is>
      </c>
      <c r="G713" t="n">
        <v>2.4</v>
      </c>
      <c r="H713" t="n">
        <v>0</v>
      </c>
      <c r="I713" t="n">
        <v>1</v>
      </c>
      <c r="J713" t="n">
        <v>0</v>
      </c>
      <c r="K713" t="n">
        <v>0</v>
      </c>
      <c r="L713" t="n">
        <v>0</v>
      </c>
      <c r="M713" t="n">
        <v>0</v>
      </c>
      <c r="N713" t="n">
        <v>0</v>
      </c>
      <c r="O713" t="n">
        <v>0</v>
      </c>
      <c r="P713" t="n">
        <v>0</v>
      </c>
      <c r="Q713" t="n">
        <v>1</v>
      </c>
      <c r="R713" s="2" t="inlineStr">
        <is>
          <t>Vedticka</t>
        </is>
      </c>
      <c r="S713">
        <f>HYPERLINK("https://klasma.github.io/Logging_1737/artfynd/A 56133-2024 artfynd.xlsx", "A 56133-2024")</f>
        <v/>
      </c>
      <c r="T713">
        <f>HYPERLINK("https://klasma.github.io/Logging_1737/kartor/A 56133-2024 karta.png", "A 56133-2024")</f>
        <v/>
      </c>
      <c r="V713">
        <f>HYPERLINK("https://klasma.github.io/Logging_1737/klagomål/A 56133-2024 FSC-klagomål.docx", "A 56133-2024")</f>
        <v/>
      </c>
      <c r="W713">
        <f>HYPERLINK("https://klasma.github.io/Logging_1737/klagomålsmail/A 56133-2024 FSC-klagomål mail.docx", "A 56133-2024")</f>
        <v/>
      </c>
      <c r="X713">
        <f>HYPERLINK("https://klasma.github.io/Logging_1737/tillsyn/A 56133-2024 tillsynsbegäran.docx", "A 56133-2024")</f>
        <v/>
      </c>
      <c r="Y713">
        <f>HYPERLINK("https://klasma.github.io/Logging_1737/tillsynsmail/A 56133-2024 tillsynsbegäran mail.docx", "A 56133-2024")</f>
        <v/>
      </c>
    </row>
    <row r="714" ht="15" customHeight="1">
      <c r="A714" t="inlineStr">
        <is>
          <t>A 56582-2024</t>
        </is>
      </c>
      <c r="B714" s="1" t="n">
        <v>45625</v>
      </c>
      <c r="C714" s="1" t="n">
        <v>45810</v>
      </c>
      <c r="D714" t="inlineStr">
        <is>
          <t>VÄRMLANDS LÄN</t>
        </is>
      </c>
      <c r="E714" t="inlineStr">
        <is>
          <t>HAGFORS</t>
        </is>
      </c>
      <c r="F714" t="inlineStr">
        <is>
          <t>Bergvik skog väst AB</t>
        </is>
      </c>
      <c r="G714" t="n">
        <v>8</v>
      </c>
      <c r="H714" t="n">
        <v>1</v>
      </c>
      <c r="I714" t="n">
        <v>0</v>
      </c>
      <c r="J714" t="n">
        <v>1</v>
      </c>
      <c r="K714" t="n">
        <v>0</v>
      </c>
      <c r="L714" t="n">
        <v>0</v>
      </c>
      <c r="M714" t="n">
        <v>0</v>
      </c>
      <c r="N714" t="n">
        <v>0</v>
      </c>
      <c r="O714" t="n">
        <v>1</v>
      </c>
      <c r="P714" t="n">
        <v>0</v>
      </c>
      <c r="Q714" t="n">
        <v>1</v>
      </c>
      <c r="R714" s="2" t="inlineStr">
        <is>
          <t>Utter</t>
        </is>
      </c>
      <c r="S714">
        <f>HYPERLINK("https://klasma.github.io/Logging_1783/artfynd/A 56582-2024 artfynd.xlsx", "A 56582-2024")</f>
        <v/>
      </c>
      <c r="T714">
        <f>HYPERLINK("https://klasma.github.io/Logging_1783/kartor/A 56582-2024 karta.png", "A 56582-2024")</f>
        <v/>
      </c>
      <c r="V714">
        <f>HYPERLINK("https://klasma.github.io/Logging_1783/klagomål/A 56582-2024 FSC-klagomål.docx", "A 56582-2024")</f>
        <v/>
      </c>
      <c r="W714">
        <f>HYPERLINK("https://klasma.github.io/Logging_1783/klagomålsmail/A 56582-2024 FSC-klagomål mail.docx", "A 56582-2024")</f>
        <v/>
      </c>
      <c r="X714">
        <f>HYPERLINK("https://klasma.github.io/Logging_1783/tillsyn/A 56582-2024 tillsynsbegäran.docx", "A 56582-2024")</f>
        <v/>
      </c>
      <c r="Y714">
        <f>HYPERLINK("https://klasma.github.io/Logging_1783/tillsynsmail/A 56582-2024 tillsynsbegäran mail.docx", "A 56582-2024")</f>
        <v/>
      </c>
    </row>
    <row r="715" ht="15" customHeight="1">
      <c r="A715" t="inlineStr">
        <is>
          <t>A 56990-2024</t>
        </is>
      </c>
      <c r="B715" s="1" t="n">
        <v>45628</v>
      </c>
      <c r="C715" s="1" t="n">
        <v>45810</v>
      </c>
      <c r="D715" t="inlineStr">
        <is>
          <t>VÄRMLANDS LÄN</t>
        </is>
      </c>
      <c r="E715" t="inlineStr">
        <is>
          <t>TORSBY</t>
        </is>
      </c>
      <c r="F715" t="inlineStr">
        <is>
          <t>Bergvik skog väst AB</t>
        </is>
      </c>
      <c r="G715" t="n">
        <v>8.699999999999999</v>
      </c>
      <c r="H715" t="n">
        <v>1</v>
      </c>
      <c r="I715" t="n">
        <v>0</v>
      </c>
      <c r="J715" t="n">
        <v>1</v>
      </c>
      <c r="K715" t="n">
        <v>0</v>
      </c>
      <c r="L715" t="n">
        <v>0</v>
      </c>
      <c r="M715" t="n">
        <v>0</v>
      </c>
      <c r="N715" t="n">
        <v>0</v>
      </c>
      <c r="O715" t="n">
        <v>1</v>
      </c>
      <c r="P715" t="n">
        <v>0</v>
      </c>
      <c r="Q715" t="n">
        <v>1</v>
      </c>
      <c r="R715" s="2" t="inlineStr">
        <is>
          <t>Grönsångare</t>
        </is>
      </c>
      <c r="S715">
        <f>HYPERLINK("https://klasma.github.io/Logging_1737/artfynd/A 56990-2024 artfynd.xlsx", "A 56990-2024")</f>
        <v/>
      </c>
      <c r="T715">
        <f>HYPERLINK("https://klasma.github.io/Logging_1737/kartor/A 56990-2024 karta.png", "A 56990-2024")</f>
        <v/>
      </c>
      <c r="V715">
        <f>HYPERLINK("https://klasma.github.io/Logging_1737/klagomål/A 56990-2024 FSC-klagomål.docx", "A 56990-2024")</f>
        <v/>
      </c>
      <c r="W715">
        <f>HYPERLINK("https://klasma.github.io/Logging_1737/klagomålsmail/A 56990-2024 FSC-klagomål mail.docx", "A 56990-2024")</f>
        <v/>
      </c>
      <c r="X715">
        <f>HYPERLINK("https://klasma.github.io/Logging_1737/tillsyn/A 56990-2024 tillsynsbegäran.docx", "A 56990-2024")</f>
        <v/>
      </c>
      <c r="Y715">
        <f>HYPERLINK("https://klasma.github.io/Logging_1737/tillsynsmail/A 56990-2024 tillsynsbegäran mail.docx", "A 56990-2024")</f>
        <v/>
      </c>
      <c r="Z715">
        <f>HYPERLINK("https://klasma.github.io/Logging_1737/fåglar/A 56990-2024 prioriterade fågelarter.docx", "A 56990-2024")</f>
        <v/>
      </c>
    </row>
    <row r="716" ht="15" customHeight="1">
      <c r="A716" t="inlineStr">
        <is>
          <t>A 57145-2024</t>
        </is>
      </c>
      <c r="B716" s="1" t="n">
        <v>45629</v>
      </c>
      <c r="C716" s="1" t="n">
        <v>45810</v>
      </c>
      <c r="D716" t="inlineStr">
        <is>
          <t>VÄRMLANDS LÄN</t>
        </is>
      </c>
      <c r="E716" t="inlineStr">
        <is>
          <t>KARLSTAD</t>
        </is>
      </c>
      <c r="G716" t="n">
        <v>16.5</v>
      </c>
      <c r="H716" t="n">
        <v>0</v>
      </c>
      <c r="I716" t="n">
        <v>1</v>
      </c>
      <c r="J716" t="n">
        <v>0</v>
      </c>
      <c r="K716" t="n">
        <v>0</v>
      </c>
      <c r="L716" t="n">
        <v>0</v>
      </c>
      <c r="M716" t="n">
        <v>0</v>
      </c>
      <c r="N716" t="n">
        <v>0</v>
      </c>
      <c r="O716" t="n">
        <v>0</v>
      </c>
      <c r="P716" t="n">
        <v>0</v>
      </c>
      <c r="Q716" t="n">
        <v>1</v>
      </c>
      <c r="R716" s="2" t="inlineStr">
        <is>
          <t>Bårdlav</t>
        </is>
      </c>
      <c r="S716">
        <f>HYPERLINK("https://klasma.github.io/Logging_1780/artfynd/A 57145-2024 artfynd.xlsx", "A 57145-2024")</f>
        <v/>
      </c>
      <c r="T716">
        <f>HYPERLINK("https://klasma.github.io/Logging_1780/kartor/A 57145-2024 karta.png", "A 57145-2024")</f>
        <v/>
      </c>
      <c r="V716">
        <f>HYPERLINK("https://klasma.github.io/Logging_1780/klagomål/A 57145-2024 FSC-klagomål.docx", "A 57145-2024")</f>
        <v/>
      </c>
      <c r="W716">
        <f>HYPERLINK("https://klasma.github.io/Logging_1780/klagomålsmail/A 57145-2024 FSC-klagomål mail.docx", "A 57145-2024")</f>
        <v/>
      </c>
      <c r="X716">
        <f>HYPERLINK("https://klasma.github.io/Logging_1780/tillsyn/A 57145-2024 tillsynsbegäran.docx", "A 57145-2024")</f>
        <v/>
      </c>
      <c r="Y716">
        <f>HYPERLINK("https://klasma.github.io/Logging_1780/tillsynsmail/A 57145-2024 tillsynsbegäran mail.docx", "A 57145-2024")</f>
        <v/>
      </c>
    </row>
    <row r="717" ht="15" customHeight="1">
      <c r="A717" t="inlineStr">
        <is>
          <t>A 57349-2024</t>
        </is>
      </c>
      <c r="B717" s="1" t="n">
        <v>45629</v>
      </c>
      <c r="C717" s="1" t="n">
        <v>45810</v>
      </c>
      <c r="D717" t="inlineStr">
        <is>
          <t>VÄRMLANDS LÄN</t>
        </is>
      </c>
      <c r="E717" t="inlineStr">
        <is>
          <t>KARLSTAD</t>
        </is>
      </c>
      <c r="G717" t="n">
        <v>2</v>
      </c>
      <c r="H717" t="n">
        <v>1</v>
      </c>
      <c r="I717" t="n">
        <v>0</v>
      </c>
      <c r="J717" t="n">
        <v>0</v>
      </c>
      <c r="K717" t="n">
        <v>1</v>
      </c>
      <c r="L717" t="n">
        <v>0</v>
      </c>
      <c r="M717" t="n">
        <v>0</v>
      </c>
      <c r="N717" t="n">
        <v>0</v>
      </c>
      <c r="O717" t="n">
        <v>1</v>
      </c>
      <c r="P717" t="n">
        <v>1</v>
      </c>
      <c r="Q717" t="n">
        <v>1</v>
      </c>
      <c r="R717" s="2" t="inlineStr">
        <is>
          <t>Bombmurkla</t>
        </is>
      </c>
      <c r="S717">
        <f>HYPERLINK("https://klasma.github.io/Logging_1780/artfynd/A 57349-2024 artfynd.xlsx", "A 57349-2024")</f>
        <v/>
      </c>
      <c r="T717">
        <f>HYPERLINK("https://klasma.github.io/Logging_1780/kartor/A 57349-2024 karta.png", "A 57349-2024")</f>
        <v/>
      </c>
      <c r="V717">
        <f>HYPERLINK("https://klasma.github.io/Logging_1780/klagomål/A 57349-2024 FSC-klagomål.docx", "A 57349-2024")</f>
        <v/>
      </c>
      <c r="W717">
        <f>HYPERLINK("https://klasma.github.io/Logging_1780/klagomålsmail/A 57349-2024 FSC-klagomål mail.docx", "A 57349-2024")</f>
        <v/>
      </c>
      <c r="X717">
        <f>HYPERLINK("https://klasma.github.io/Logging_1780/tillsyn/A 57349-2024 tillsynsbegäran.docx", "A 57349-2024")</f>
        <v/>
      </c>
      <c r="Y717">
        <f>HYPERLINK("https://klasma.github.io/Logging_1780/tillsynsmail/A 57349-2024 tillsynsbegäran mail.docx", "A 57349-2024")</f>
        <v/>
      </c>
    </row>
    <row r="718" ht="15" customHeight="1">
      <c r="A718" t="inlineStr">
        <is>
          <t>A 58014-2024</t>
        </is>
      </c>
      <c r="B718" s="1" t="n">
        <v>45631</v>
      </c>
      <c r="C718" s="1" t="n">
        <v>45810</v>
      </c>
      <c r="D718" t="inlineStr">
        <is>
          <t>VÄRMLANDS LÄN</t>
        </is>
      </c>
      <c r="E718" t="inlineStr">
        <is>
          <t>TORSBY</t>
        </is>
      </c>
      <c r="G718" t="n">
        <v>2.2</v>
      </c>
      <c r="H718" t="n">
        <v>0</v>
      </c>
      <c r="I718" t="n">
        <v>1</v>
      </c>
      <c r="J718" t="n">
        <v>0</v>
      </c>
      <c r="K718" t="n">
        <v>0</v>
      </c>
      <c r="L718" t="n">
        <v>0</v>
      </c>
      <c r="M718" t="n">
        <v>0</v>
      </c>
      <c r="N718" t="n">
        <v>0</v>
      </c>
      <c r="O718" t="n">
        <v>0</v>
      </c>
      <c r="P718" t="n">
        <v>0</v>
      </c>
      <c r="Q718" t="n">
        <v>1</v>
      </c>
      <c r="R718" s="2" t="inlineStr">
        <is>
          <t>Kattfotslav</t>
        </is>
      </c>
      <c r="S718">
        <f>HYPERLINK("https://klasma.github.io/Logging_1737/artfynd/A 58014-2024 artfynd.xlsx", "A 58014-2024")</f>
        <v/>
      </c>
      <c r="T718">
        <f>HYPERLINK("https://klasma.github.io/Logging_1737/kartor/A 58014-2024 karta.png", "A 58014-2024")</f>
        <v/>
      </c>
      <c r="V718">
        <f>HYPERLINK("https://klasma.github.io/Logging_1737/klagomål/A 58014-2024 FSC-klagomål.docx", "A 58014-2024")</f>
        <v/>
      </c>
      <c r="W718">
        <f>HYPERLINK("https://klasma.github.io/Logging_1737/klagomålsmail/A 58014-2024 FSC-klagomål mail.docx", "A 58014-2024")</f>
        <v/>
      </c>
      <c r="X718">
        <f>HYPERLINK("https://klasma.github.io/Logging_1737/tillsyn/A 58014-2024 tillsynsbegäran.docx", "A 58014-2024")</f>
        <v/>
      </c>
      <c r="Y718">
        <f>HYPERLINK("https://klasma.github.io/Logging_1737/tillsynsmail/A 58014-2024 tillsynsbegäran mail.docx", "A 58014-2024")</f>
        <v/>
      </c>
    </row>
    <row r="719" ht="15" customHeight="1">
      <c r="A719" t="inlineStr">
        <is>
          <t>A 58108-2024</t>
        </is>
      </c>
      <c r="B719" s="1" t="n">
        <v>45632</v>
      </c>
      <c r="C719" s="1" t="n">
        <v>45810</v>
      </c>
      <c r="D719" t="inlineStr">
        <is>
          <t>VÄRMLANDS LÄN</t>
        </is>
      </c>
      <c r="E719" t="inlineStr">
        <is>
          <t>ARVIKA</t>
        </is>
      </c>
      <c r="G719" t="n">
        <v>10.5</v>
      </c>
      <c r="H719" t="n">
        <v>1</v>
      </c>
      <c r="I719" t="n">
        <v>0</v>
      </c>
      <c r="J719" t="n">
        <v>0</v>
      </c>
      <c r="K719" t="n">
        <v>1</v>
      </c>
      <c r="L719" t="n">
        <v>0</v>
      </c>
      <c r="M719" t="n">
        <v>0</v>
      </c>
      <c r="N719" t="n">
        <v>0</v>
      </c>
      <c r="O719" t="n">
        <v>1</v>
      </c>
      <c r="P719" t="n">
        <v>1</v>
      </c>
      <c r="Q719" t="n">
        <v>1</v>
      </c>
      <c r="R719" s="2" t="inlineStr">
        <is>
          <t>Knärot</t>
        </is>
      </c>
      <c r="S719">
        <f>HYPERLINK("https://klasma.github.io/Logging_1784/artfynd/A 58108-2024 artfynd.xlsx", "A 58108-2024")</f>
        <v/>
      </c>
      <c r="T719">
        <f>HYPERLINK("https://klasma.github.io/Logging_1784/kartor/A 58108-2024 karta.png", "A 58108-2024")</f>
        <v/>
      </c>
      <c r="U719">
        <f>HYPERLINK("https://klasma.github.io/Logging_1784/knärot/A 58108-2024 karta knärot.png", "A 58108-2024")</f>
        <v/>
      </c>
      <c r="V719">
        <f>HYPERLINK("https://klasma.github.io/Logging_1784/klagomål/A 58108-2024 FSC-klagomål.docx", "A 58108-2024")</f>
        <v/>
      </c>
      <c r="W719">
        <f>HYPERLINK("https://klasma.github.io/Logging_1784/klagomålsmail/A 58108-2024 FSC-klagomål mail.docx", "A 58108-2024")</f>
        <v/>
      </c>
      <c r="X719">
        <f>HYPERLINK("https://klasma.github.io/Logging_1784/tillsyn/A 58108-2024 tillsynsbegäran.docx", "A 58108-2024")</f>
        <v/>
      </c>
      <c r="Y719">
        <f>HYPERLINK("https://klasma.github.io/Logging_1784/tillsynsmail/A 58108-2024 tillsynsbegäran mail.docx", "A 58108-2024")</f>
        <v/>
      </c>
    </row>
    <row r="720" ht="15" customHeight="1">
      <c r="A720" t="inlineStr">
        <is>
          <t>A 58517-2024</t>
        </is>
      </c>
      <c r="B720" s="1" t="n">
        <v>45635</v>
      </c>
      <c r="C720" s="1" t="n">
        <v>45810</v>
      </c>
      <c r="D720" t="inlineStr">
        <is>
          <t>VÄRMLANDS LÄN</t>
        </is>
      </c>
      <c r="E720" t="inlineStr">
        <is>
          <t>SUNNE</t>
        </is>
      </c>
      <c r="G720" t="n">
        <v>2.3</v>
      </c>
      <c r="H720" t="n">
        <v>0</v>
      </c>
      <c r="I720" t="n">
        <v>0</v>
      </c>
      <c r="J720" t="n">
        <v>1</v>
      </c>
      <c r="K720" t="n">
        <v>0</v>
      </c>
      <c r="L720" t="n">
        <v>0</v>
      </c>
      <c r="M720" t="n">
        <v>0</v>
      </c>
      <c r="N720" t="n">
        <v>0</v>
      </c>
      <c r="O720" t="n">
        <v>1</v>
      </c>
      <c r="P720" t="n">
        <v>0</v>
      </c>
      <c r="Q720" t="n">
        <v>1</v>
      </c>
      <c r="R720" s="2" t="inlineStr">
        <is>
          <t>Garnlav</t>
        </is>
      </c>
      <c r="S720">
        <f>HYPERLINK("https://klasma.github.io/Logging_1766/artfynd/A 58517-2024 artfynd.xlsx", "A 58517-2024")</f>
        <v/>
      </c>
      <c r="T720">
        <f>HYPERLINK("https://klasma.github.io/Logging_1766/kartor/A 58517-2024 karta.png", "A 58517-2024")</f>
        <v/>
      </c>
      <c r="V720">
        <f>HYPERLINK("https://klasma.github.io/Logging_1766/klagomål/A 58517-2024 FSC-klagomål.docx", "A 58517-2024")</f>
        <v/>
      </c>
      <c r="W720">
        <f>HYPERLINK("https://klasma.github.io/Logging_1766/klagomålsmail/A 58517-2024 FSC-klagomål mail.docx", "A 58517-2024")</f>
        <v/>
      </c>
      <c r="X720">
        <f>HYPERLINK("https://klasma.github.io/Logging_1766/tillsyn/A 58517-2024 tillsynsbegäran.docx", "A 58517-2024")</f>
        <v/>
      </c>
      <c r="Y720">
        <f>HYPERLINK("https://klasma.github.io/Logging_1766/tillsynsmail/A 58517-2024 tillsynsbegäran mail.docx", "A 58517-2024")</f>
        <v/>
      </c>
    </row>
    <row r="721" ht="15" customHeight="1">
      <c r="A721" t="inlineStr">
        <is>
          <t>A 59330-2024</t>
        </is>
      </c>
      <c r="B721" s="1" t="n">
        <v>45637</v>
      </c>
      <c r="C721" s="1" t="n">
        <v>45810</v>
      </c>
      <c r="D721" t="inlineStr">
        <is>
          <t>VÄRMLANDS LÄN</t>
        </is>
      </c>
      <c r="E721" t="inlineStr">
        <is>
          <t>HAGFORS</t>
        </is>
      </c>
      <c r="G721" t="n">
        <v>3.7</v>
      </c>
      <c r="H721" t="n">
        <v>0</v>
      </c>
      <c r="I721" t="n">
        <v>0</v>
      </c>
      <c r="J721" t="n">
        <v>1</v>
      </c>
      <c r="K721" t="n">
        <v>0</v>
      </c>
      <c r="L721" t="n">
        <v>0</v>
      </c>
      <c r="M721" t="n">
        <v>0</v>
      </c>
      <c r="N721" t="n">
        <v>0</v>
      </c>
      <c r="O721" t="n">
        <v>1</v>
      </c>
      <c r="P721" t="n">
        <v>0</v>
      </c>
      <c r="Q721" t="n">
        <v>1</v>
      </c>
      <c r="R721" s="2" t="inlineStr">
        <is>
          <t>Gränsticka</t>
        </is>
      </c>
      <c r="S721">
        <f>HYPERLINK("https://klasma.github.io/Logging_1783/artfynd/A 59330-2024 artfynd.xlsx", "A 59330-2024")</f>
        <v/>
      </c>
      <c r="T721">
        <f>HYPERLINK("https://klasma.github.io/Logging_1783/kartor/A 59330-2024 karta.png", "A 59330-2024")</f>
        <v/>
      </c>
      <c r="V721">
        <f>HYPERLINK("https://klasma.github.io/Logging_1783/klagomål/A 59330-2024 FSC-klagomål.docx", "A 59330-2024")</f>
        <v/>
      </c>
      <c r="W721">
        <f>HYPERLINK("https://klasma.github.io/Logging_1783/klagomålsmail/A 59330-2024 FSC-klagomål mail.docx", "A 59330-2024")</f>
        <v/>
      </c>
      <c r="X721">
        <f>HYPERLINK("https://klasma.github.io/Logging_1783/tillsyn/A 59330-2024 tillsynsbegäran.docx", "A 59330-2024")</f>
        <v/>
      </c>
      <c r="Y721">
        <f>HYPERLINK("https://klasma.github.io/Logging_1783/tillsynsmail/A 59330-2024 tillsynsbegäran mail.docx", "A 59330-2024")</f>
        <v/>
      </c>
    </row>
    <row r="722" ht="15" customHeight="1">
      <c r="A722" t="inlineStr">
        <is>
          <t>A 60280-2024</t>
        </is>
      </c>
      <c r="B722" s="1" t="n">
        <v>45642</v>
      </c>
      <c r="C722" s="1" t="n">
        <v>45810</v>
      </c>
      <c r="D722" t="inlineStr">
        <is>
          <t>VÄRMLANDS LÄN</t>
        </is>
      </c>
      <c r="E722" t="inlineStr">
        <is>
          <t>KARLSTAD</t>
        </is>
      </c>
      <c r="G722" t="n">
        <v>5</v>
      </c>
      <c r="H722" t="n">
        <v>1</v>
      </c>
      <c r="I722" t="n">
        <v>0</v>
      </c>
      <c r="J722" t="n">
        <v>0</v>
      </c>
      <c r="K722" t="n">
        <v>0</v>
      </c>
      <c r="L722" t="n">
        <v>1</v>
      </c>
      <c r="M722" t="n">
        <v>0</v>
      </c>
      <c r="N722" t="n">
        <v>0</v>
      </c>
      <c r="O722" t="n">
        <v>1</v>
      </c>
      <c r="P722" t="n">
        <v>1</v>
      </c>
      <c r="Q722" t="n">
        <v>1</v>
      </c>
      <c r="R722" s="2" t="inlineStr">
        <is>
          <t>Grönfink</t>
        </is>
      </c>
      <c r="S722">
        <f>HYPERLINK("https://klasma.github.io/Logging_1780/artfynd/A 60280-2024 artfynd.xlsx", "A 60280-2024")</f>
        <v/>
      </c>
      <c r="T722">
        <f>HYPERLINK("https://klasma.github.io/Logging_1780/kartor/A 60280-2024 karta.png", "A 60280-2024")</f>
        <v/>
      </c>
      <c r="V722">
        <f>HYPERLINK("https://klasma.github.io/Logging_1780/klagomål/A 60280-2024 FSC-klagomål.docx", "A 60280-2024")</f>
        <v/>
      </c>
      <c r="W722">
        <f>HYPERLINK("https://klasma.github.io/Logging_1780/klagomålsmail/A 60280-2024 FSC-klagomål mail.docx", "A 60280-2024")</f>
        <v/>
      </c>
      <c r="X722">
        <f>HYPERLINK("https://klasma.github.io/Logging_1780/tillsyn/A 60280-2024 tillsynsbegäran.docx", "A 60280-2024")</f>
        <v/>
      </c>
      <c r="Y722">
        <f>HYPERLINK("https://klasma.github.io/Logging_1780/tillsynsmail/A 60280-2024 tillsynsbegäran mail.docx", "A 60280-2024")</f>
        <v/>
      </c>
      <c r="Z722">
        <f>HYPERLINK("https://klasma.github.io/Logging_1780/fåglar/A 60280-2024 prioriterade fågelarter.docx", "A 60280-2024")</f>
        <v/>
      </c>
    </row>
    <row r="723" ht="15" customHeight="1">
      <c r="A723" t="inlineStr">
        <is>
          <t>A 865-2025</t>
        </is>
      </c>
      <c r="B723" s="1" t="n">
        <v>45665</v>
      </c>
      <c r="C723" s="1" t="n">
        <v>45810</v>
      </c>
      <c r="D723" t="inlineStr">
        <is>
          <t>VÄRMLANDS LÄN</t>
        </is>
      </c>
      <c r="E723" t="inlineStr">
        <is>
          <t>ARVIKA</t>
        </is>
      </c>
      <c r="G723" t="n">
        <v>7.7</v>
      </c>
      <c r="H723" t="n">
        <v>0</v>
      </c>
      <c r="I723" t="n">
        <v>0</v>
      </c>
      <c r="J723" t="n">
        <v>1</v>
      </c>
      <c r="K723" t="n">
        <v>0</v>
      </c>
      <c r="L723" t="n">
        <v>0</v>
      </c>
      <c r="M723" t="n">
        <v>0</v>
      </c>
      <c r="N723" t="n">
        <v>0</v>
      </c>
      <c r="O723" t="n">
        <v>1</v>
      </c>
      <c r="P723" t="n">
        <v>0</v>
      </c>
      <c r="Q723" t="n">
        <v>1</v>
      </c>
      <c r="R723" s="2" t="inlineStr">
        <is>
          <t>Skogsklocka</t>
        </is>
      </c>
      <c r="S723">
        <f>HYPERLINK("https://klasma.github.io/Logging_1784/artfynd/A 865-2025 artfynd.xlsx", "A 865-2025")</f>
        <v/>
      </c>
      <c r="T723">
        <f>HYPERLINK("https://klasma.github.io/Logging_1784/kartor/A 865-2025 karta.png", "A 865-2025")</f>
        <v/>
      </c>
      <c r="V723">
        <f>HYPERLINK("https://klasma.github.io/Logging_1784/klagomål/A 865-2025 FSC-klagomål.docx", "A 865-2025")</f>
        <v/>
      </c>
      <c r="W723">
        <f>HYPERLINK("https://klasma.github.io/Logging_1784/klagomålsmail/A 865-2025 FSC-klagomål mail.docx", "A 865-2025")</f>
        <v/>
      </c>
      <c r="X723">
        <f>HYPERLINK("https://klasma.github.io/Logging_1784/tillsyn/A 865-2025 tillsynsbegäran.docx", "A 865-2025")</f>
        <v/>
      </c>
      <c r="Y723">
        <f>HYPERLINK("https://klasma.github.io/Logging_1784/tillsynsmail/A 865-2025 tillsynsbegäran mail.docx", "A 865-2025")</f>
        <v/>
      </c>
    </row>
    <row r="724" ht="15" customHeight="1">
      <c r="A724" t="inlineStr">
        <is>
          <t>A 874-2025</t>
        </is>
      </c>
      <c r="B724" s="1" t="n">
        <v>45665</v>
      </c>
      <c r="C724" s="1" t="n">
        <v>45810</v>
      </c>
      <c r="D724" t="inlineStr">
        <is>
          <t>VÄRMLANDS LÄN</t>
        </is>
      </c>
      <c r="E724" t="inlineStr">
        <is>
          <t>FILIPSTAD</t>
        </is>
      </c>
      <c r="F724" t="inlineStr">
        <is>
          <t>Kyrkan</t>
        </is>
      </c>
      <c r="G724" t="n">
        <v>4.8</v>
      </c>
      <c r="H724" t="n">
        <v>0</v>
      </c>
      <c r="I724" t="n">
        <v>1</v>
      </c>
      <c r="J724" t="n">
        <v>0</v>
      </c>
      <c r="K724" t="n">
        <v>0</v>
      </c>
      <c r="L724" t="n">
        <v>0</v>
      </c>
      <c r="M724" t="n">
        <v>0</v>
      </c>
      <c r="N724" t="n">
        <v>0</v>
      </c>
      <c r="O724" t="n">
        <v>0</v>
      </c>
      <c r="P724" t="n">
        <v>0</v>
      </c>
      <c r="Q724" t="n">
        <v>1</v>
      </c>
      <c r="R724" s="2" t="inlineStr">
        <is>
          <t>Kamjordstjärna</t>
        </is>
      </c>
      <c r="S724">
        <f>HYPERLINK("https://klasma.github.io/Logging_1782/artfynd/A 874-2025 artfynd.xlsx", "A 874-2025")</f>
        <v/>
      </c>
      <c r="T724">
        <f>HYPERLINK("https://klasma.github.io/Logging_1782/kartor/A 874-2025 karta.png", "A 874-2025")</f>
        <v/>
      </c>
      <c r="V724">
        <f>HYPERLINK("https://klasma.github.io/Logging_1782/klagomål/A 874-2025 FSC-klagomål.docx", "A 874-2025")</f>
        <v/>
      </c>
      <c r="W724">
        <f>HYPERLINK("https://klasma.github.io/Logging_1782/klagomålsmail/A 874-2025 FSC-klagomål mail.docx", "A 874-2025")</f>
        <v/>
      </c>
      <c r="X724">
        <f>HYPERLINK("https://klasma.github.io/Logging_1782/tillsyn/A 874-2025 tillsynsbegäran.docx", "A 874-2025")</f>
        <v/>
      </c>
      <c r="Y724">
        <f>HYPERLINK("https://klasma.github.io/Logging_1782/tillsynsmail/A 874-2025 tillsynsbegäran mail.docx", "A 874-2025")</f>
        <v/>
      </c>
    </row>
    <row r="725" ht="15" customHeight="1">
      <c r="A725" t="inlineStr">
        <is>
          <t>A 2212-2025</t>
        </is>
      </c>
      <c r="B725" s="1" t="n">
        <v>45673</v>
      </c>
      <c r="C725" s="1" t="n">
        <v>45810</v>
      </c>
      <c r="D725" t="inlineStr">
        <is>
          <t>VÄRMLANDS LÄN</t>
        </is>
      </c>
      <c r="E725" t="inlineStr">
        <is>
          <t>ÅRJÄNG</t>
        </is>
      </c>
      <c r="G725" t="n">
        <v>10.7</v>
      </c>
      <c r="H725" t="n">
        <v>0</v>
      </c>
      <c r="I725" t="n">
        <v>1</v>
      </c>
      <c r="J725" t="n">
        <v>0</v>
      </c>
      <c r="K725" t="n">
        <v>0</v>
      </c>
      <c r="L725" t="n">
        <v>0</v>
      </c>
      <c r="M725" t="n">
        <v>0</v>
      </c>
      <c r="N725" t="n">
        <v>0</v>
      </c>
      <c r="O725" t="n">
        <v>0</v>
      </c>
      <c r="P725" t="n">
        <v>0</v>
      </c>
      <c r="Q725" t="n">
        <v>1</v>
      </c>
      <c r="R725" s="2" t="inlineStr">
        <is>
          <t>Bårdlav</t>
        </is>
      </c>
      <c r="S725">
        <f>HYPERLINK("https://klasma.github.io/Logging_1765/artfynd/A 2212-2025 artfynd.xlsx", "A 2212-2025")</f>
        <v/>
      </c>
      <c r="T725">
        <f>HYPERLINK("https://klasma.github.io/Logging_1765/kartor/A 2212-2025 karta.png", "A 2212-2025")</f>
        <v/>
      </c>
      <c r="V725">
        <f>HYPERLINK("https://klasma.github.io/Logging_1765/klagomål/A 2212-2025 FSC-klagomål.docx", "A 2212-2025")</f>
        <v/>
      </c>
      <c r="W725">
        <f>HYPERLINK("https://klasma.github.io/Logging_1765/klagomålsmail/A 2212-2025 FSC-klagomål mail.docx", "A 2212-2025")</f>
        <v/>
      </c>
      <c r="X725">
        <f>HYPERLINK("https://klasma.github.io/Logging_1765/tillsyn/A 2212-2025 tillsynsbegäran.docx", "A 2212-2025")</f>
        <v/>
      </c>
      <c r="Y725">
        <f>HYPERLINK("https://klasma.github.io/Logging_1765/tillsynsmail/A 2212-2025 tillsynsbegäran mail.docx", "A 2212-2025")</f>
        <v/>
      </c>
    </row>
    <row r="726" ht="15" customHeight="1">
      <c r="A726" t="inlineStr">
        <is>
          <t>A 5055-2025</t>
        </is>
      </c>
      <c r="B726" s="1" t="n">
        <v>45691</v>
      </c>
      <c r="C726" s="1" t="n">
        <v>45810</v>
      </c>
      <c r="D726" t="inlineStr">
        <is>
          <t>VÄRMLANDS LÄN</t>
        </is>
      </c>
      <c r="E726" t="inlineStr">
        <is>
          <t>KARLSTAD</t>
        </is>
      </c>
      <c r="F726" t="inlineStr">
        <is>
          <t>Kommuner</t>
        </is>
      </c>
      <c r="G726" t="n">
        <v>2</v>
      </c>
      <c r="H726" t="n">
        <v>0</v>
      </c>
      <c r="I726" t="n">
        <v>1</v>
      </c>
      <c r="J726" t="n">
        <v>0</v>
      </c>
      <c r="K726" t="n">
        <v>0</v>
      </c>
      <c r="L726" t="n">
        <v>0</v>
      </c>
      <c r="M726" t="n">
        <v>0</v>
      </c>
      <c r="N726" t="n">
        <v>0</v>
      </c>
      <c r="O726" t="n">
        <v>0</v>
      </c>
      <c r="P726" t="n">
        <v>0</v>
      </c>
      <c r="Q726" t="n">
        <v>1</v>
      </c>
      <c r="R726" s="2" t="inlineStr">
        <is>
          <t>Bronshjon</t>
        </is>
      </c>
      <c r="S726">
        <f>HYPERLINK("https://klasma.github.io/Logging_1780/artfynd/A 5055-2025 artfynd.xlsx", "A 5055-2025")</f>
        <v/>
      </c>
      <c r="T726">
        <f>HYPERLINK("https://klasma.github.io/Logging_1780/kartor/A 5055-2025 karta.png", "A 5055-2025")</f>
        <v/>
      </c>
      <c r="U726">
        <f>HYPERLINK("https://klasma.github.io/Logging_1780/knärot/A 5055-2025 karta knärot.png", "A 5055-2025")</f>
        <v/>
      </c>
      <c r="V726">
        <f>HYPERLINK("https://klasma.github.io/Logging_1780/klagomål/A 5055-2025 FSC-klagomål.docx", "A 5055-2025")</f>
        <v/>
      </c>
      <c r="W726">
        <f>HYPERLINK("https://klasma.github.io/Logging_1780/klagomålsmail/A 5055-2025 FSC-klagomål mail.docx", "A 5055-2025")</f>
        <v/>
      </c>
      <c r="X726">
        <f>HYPERLINK("https://klasma.github.io/Logging_1780/tillsyn/A 5055-2025 tillsynsbegäran.docx", "A 5055-2025")</f>
        <v/>
      </c>
      <c r="Y726">
        <f>HYPERLINK("https://klasma.github.io/Logging_1780/tillsynsmail/A 5055-2025 tillsynsbegäran mail.docx", "A 5055-2025")</f>
        <v/>
      </c>
    </row>
    <row r="727" ht="15" customHeight="1">
      <c r="A727" t="inlineStr">
        <is>
          <t>A 5779-2025</t>
        </is>
      </c>
      <c r="B727" s="1" t="n">
        <v>45694</v>
      </c>
      <c r="C727" s="1" t="n">
        <v>45810</v>
      </c>
      <c r="D727" t="inlineStr">
        <is>
          <t>VÄRMLANDS LÄN</t>
        </is>
      </c>
      <c r="E727" t="inlineStr">
        <is>
          <t>ARVIKA</t>
        </is>
      </c>
      <c r="F727" t="inlineStr">
        <is>
          <t>Bergvik skog väst AB</t>
        </is>
      </c>
      <c r="G727" t="n">
        <v>10.8</v>
      </c>
      <c r="H727" t="n">
        <v>1</v>
      </c>
      <c r="I727" t="n">
        <v>0</v>
      </c>
      <c r="J727" t="n">
        <v>0</v>
      </c>
      <c r="K727" t="n">
        <v>0</v>
      </c>
      <c r="L727" t="n">
        <v>0</v>
      </c>
      <c r="M727" t="n">
        <v>0</v>
      </c>
      <c r="N727" t="n">
        <v>0</v>
      </c>
      <c r="O727" t="n">
        <v>0</v>
      </c>
      <c r="P727" t="n">
        <v>0</v>
      </c>
      <c r="Q727" t="n">
        <v>1</v>
      </c>
      <c r="R727" s="2" t="inlineStr">
        <is>
          <t>Blåsippa</t>
        </is>
      </c>
      <c r="S727">
        <f>HYPERLINK("https://klasma.github.io/Logging_1784/artfynd/A 5779-2025 artfynd.xlsx", "A 5779-2025")</f>
        <v/>
      </c>
      <c r="T727">
        <f>HYPERLINK("https://klasma.github.io/Logging_1784/kartor/A 5779-2025 karta.png", "A 5779-2025")</f>
        <v/>
      </c>
      <c r="V727">
        <f>HYPERLINK("https://klasma.github.io/Logging_1784/klagomål/A 5779-2025 FSC-klagomål.docx", "A 5779-2025")</f>
        <v/>
      </c>
      <c r="W727">
        <f>HYPERLINK("https://klasma.github.io/Logging_1784/klagomålsmail/A 5779-2025 FSC-klagomål mail.docx", "A 5779-2025")</f>
        <v/>
      </c>
      <c r="X727">
        <f>HYPERLINK("https://klasma.github.io/Logging_1784/tillsyn/A 5779-2025 tillsynsbegäran.docx", "A 5779-2025")</f>
        <v/>
      </c>
      <c r="Y727">
        <f>HYPERLINK("https://klasma.github.io/Logging_1784/tillsynsmail/A 5779-2025 tillsynsbegäran mail.docx", "A 5779-2025")</f>
        <v/>
      </c>
    </row>
    <row r="728" ht="15" customHeight="1">
      <c r="A728" t="inlineStr">
        <is>
          <t>A 5726-2025</t>
        </is>
      </c>
      <c r="B728" s="1" t="n">
        <v>45694</v>
      </c>
      <c r="C728" s="1" t="n">
        <v>45810</v>
      </c>
      <c r="D728" t="inlineStr">
        <is>
          <t>VÄRMLANDS LÄN</t>
        </is>
      </c>
      <c r="E728" t="inlineStr">
        <is>
          <t>TORSBY</t>
        </is>
      </c>
      <c r="G728" t="n">
        <v>3.5</v>
      </c>
      <c r="H728" t="n">
        <v>0</v>
      </c>
      <c r="I728" t="n">
        <v>1</v>
      </c>
      <c r="J728" t="n">
        <v>0</v>
      </c>
      <c r="K728" t="n">
        <v>0</v>
      </c>
      <c r="L728" t="n">
        <v>0</v>
      </c>
      <c r="M728" t="n">
        <v>0</v>
      </c>
      <c r="N728" t="n">
        <v>0</v>
      </c>
      <c r="O728" t="n">
        <v>0</v>
      </c>
      <c r="P728" t="n">
        <v>0</v>
      </c>
      <c r="Q728" t="n">
        <v>1</v>
      </c>
      <c r="R728" s="2" t="inlineStr">
        <is>
          <t>Vedticka</t>
        </is>
      </c>
      <c r="S728">
        <f>HYPERLINK("https://klasma.github.io/Logging_1737/artfynd/A 5726-2025 artfynd.xlsx", "A 5726-2025")</f>
        <v/>
      </c>
      <c r="T728">
        <f>HYPERLINK("https://klasma.github.io/Logging_1737/kartor/A 5726-2025 karta.png", "A 5726-2025")</f>
        <v/>
      </c>
      <c r="V728">
        <f>HYPERLINK("https://klasma.github.io/Logging_1737/klagomål/A 5726-2025 FSC-klagomål.docx", "A 5726-2025")</f>
        <v/>
      </c>
      <c r="W728">
        <f>HYPERLINK("https://klasma.github.io/Logging_1737/klagomålsmail/A 5726-2025 FSC-klagomål mail.docx", "A 5726-2025")</f>
        <v/>
      </c>
      <c r="X728">
        <f>HYPERLINK("https://klasma.github.io/Logging_1737/tillsyn/A 5726-2025 tillsynsbegäran.docx", "A 5726-2025")</f>
        <v/>
      </c>
      <c r="Y728">
        <f>HYPERLINK("https://klasma.github.io/Logging_1737/tillsynsmail/A 5726-2025 tillsynsbegäran mail.docx", "A 5726-2025")</f>
        <v/>
      </c>
    </row>
    <row r="729" ht="15" customHeight="1">
      <c r="A729" t="inlineStr">
        <is>
          <t>A 6966-2025</t>
        </is>
      </c>
      <c r="B729" s="1" t="n">
        <v>45701</v>
      </c>
      <c r="C729" s="1" t="n">
        <v>45810</v>
      </c>
      <c r="D729" t="inlineStr">
        <is>
          <t>VÄRMLANDS LÄN</t>
        </is>
      </c>
      <c r="E729" t="inlineStr">
        <is>
          <t>ARVIKA</t>
        </is>
      </c>
      <c r="G729" t="n">
        <v>1.9</v>
      </c>
      <c r="H729" t="n">
        <v>1</v>
      </c>
      <c r="I729" t="n">
        <v>0</v>
      </c>
      <c r="J729" t="n">
        <v>0</v>
      </c>
      <c r="K729" t="n">
        <v>1</v>
      </c>
      <c r="L729" t="n">
        <v>0</v>
      </c>
      <c r="M729" t="n">
        <v>0</v>
      </c>
      <c r="N729" t="n">
        <v>0</v>
      </c>
      <c r="O729" t="n">
        <v>1</v>
      </c>
      <c r="P729" t="n">
        <v>1</v>
      </c>
      <c r="Q729" t="n">
        <v>1</v>
      </c>
      <c r="R729" s="2" t="inlineStr">
        <is>
          <t>Knärot</t>
        </is>
      </c>
      <c r="S729">
        <f>HYPERLINK("https://klasma.github.io/Logging_1784/artfynd/A 6966-2025 artfynd.xlsx", "A 6966-2025")</f>
        <v/>
      </c>
      <c r="T729">
        <f>HYPERLINK("https://klasma.github.io/Logging_1784/kartor/A 6966-2025 karta.png", "A 6966-2025")</f>
        <v/>
      </c>
      <c r="U729">
        <f>HYPERLINK("https://klasma.github.io/Logging_1784/knärot/A 6966-2025 karta knärot.png", "A 6966-2025")</f>
        <v/>
      </c>
      <c r="V729">
        <f>HYPERLINK("https://klasma.github.io/Logging_1784/klagomål/A 6966-2025 FSC-klagomål.docx", "A 6966-2025")</f>
        <v/>
      </c>
      <c r="W729">
        <f>HYPERLINK("https://klasma.github.io/Logging_1784/klagomålsmail/A 6966-2025 FSC-klagomål mail.docx", "A 6966-2025")</f>
        <v/>
      </c>
      <c r="X729">
        <f>HYPERLINK("https://klasma.github.io/Logging_1784/tillsyn/A 6966-2025 tillsynsbegäran.docx", "A 6966-2025")</f>
        <v/>
      </c>
      <c r="Y729">
        <f>HYPERLINK("https://klasma.github.io/Logging_1784/tillsynsmail/A 6966-2025 tillsynsbegäran mail.docx", "A 6966-2025")</f>
        <v/>
      </c>
    </row>
    <row r="730" ht="15" customHeight="1">
      <c r="A730" t="inlineStr">
        <is>
          <t>A 7593-2025</t>
        </is>
      </c>
      <c r="B730" s="1" t="n">
        <v>45705</v>
      </c>
      <c r="C730" s="1" t="n">
        <v>45810</v>
      </c>
      <c r="D730" t="inlineStr">
        <is>
          <t>VÄRMLANDS LÄN</t>
        </is>
      </c>
      <c r="E730" t="inlineStr">
        <is>
          <t>HAMMARÖ</t>
        </is>
      </c>
      <c r="G730" t="n">
        <v>1.3</v>
      </c>
      <c r="H730" t="n">
        <v>1</v>
      </c>
      <c r="I730" t="n">
        <v>0</v>
      </c>
      <c r="J730" t="n">
        <v>0</v>
      </c>
      <c r="K730" t="n">
        <v>0</v>
      </c>
      <c r="L730" t="n">
        <v>0</v>
      </c>
      <c r="M730" t="n">
        <v>0</v>
      </c>
      <c r="N730" t="n">
        <v>0</v>
      </c>
      <c r="O730" t="n">
        <v>0</v>
      </c>
      <c r="P730" t="n">
        <v>0</v>
      </c>
      <c r="Q730" t="n">
        <v>1</v>
      </c>
      <c r="R730" s="2" t="inlineStr">
        <is>
          <t>Trollpipistrell</t>
        </is>
      </c>
      <c r="S730">
        <f>HYPERLINK("https://klasma.github.io/Logging_1761/artfynd/A 7593-2025 artfynd.xlsx", "A 7593-2025")</f>
        <v/>
      </c>
      <c r="T730">
        <f>HYPERLINK("https://klasma.github.io/Logging_1761/kartor/A 7593-2025 karta.png", "A 7593-2025")</f>
        <v/>
      </c>
      <c r="V730">
        <f>HYPERLINK("https://klasma.github.io/Logging_1761/klagomål/A 7593-2025 FSC-klagomål.docx", "A 7593-2025")</f>
        <v/>
      </c>
      <c r="W730">
        <f>HYPERLINK("https://klasma.github.io/Logging_1761/klagomålsmail/A 7593-2025 FSC-klagomål mail.docx", "A 7593-2025")</f>
        <v/>
      </c>
      <c r="X730">
        <f>HYPERLINK("https://klasma.github.io/Logging_1761/tillsyn/A 7593-2025 tillsynsbegäran.docx", "A 7593-2025")</f>
        <v/>
      </c>
      <c r="Y730">
        <f>HYPERLINK("https://klasma.github.io/Logging_1761/tillsynsmail/A 7593-2025 tillsynsbegäran mail.docx", "A 7593-2025")</f>
        <v/>
      </c>
    </row>
    <row r="731" ht="15" customHeight="1">
      <c r="A731" t="inlineStr">
        <is>
          <t>A 8165-2025</t>
        </is>
      </c>
      <c r="B731" s="1" t="n">
        <v>45708</v>
      </c>
      <c r="C731" s="1" t="n">
        <v>45810</v>
      </c>
      <c r="D731" t="inlineStr">
        <is>
          <t>VÄRMLANDS LÄN</t>
        </is>
      </c>
      <c r="E731" t="inlineStr">
        <is>
          <t>ARVIKA</t>
        </is>
      </c>
      <c r="G731" t="n">
        <v>6.3</v>
      </c>
      <c r="H731" t="n">
        <v>1</v>
      </c>
      <c r="I731" t="n">
        <v>0</v>
      </c>
      <c r="J731" t="n">
        <v>0</v>
      </c>
      <c r="K731" t="n">
        <v>1</v>
      </c>
      <c r="L731" t="n">
        <v>0</v>
      </c>
      <c r="M731" t="n">
        <v>0</v>
      </c>
      <c r="N731" t="n">
        <v>0</v>
      </c>
      <c r="O731" t="n">
        <v>1</v>
      </c>
      <c r="P731" t="n">
        <v>1</v>
      </c>
      <c r="Q731" t="n">
        <v>1</v>
      </c>
      <c r="R731" s="2" t="inlineStr">
        <is>
          <t>Knärot</t>
        </is>
      </c>
      <c r="S731">
        <f>HYPERLINK("https://klasma.github.io/Logging_1784/artfynd/A 8165-2025 artfynd.xlsx", "A 8165-2025")</f>
        <v/>
      </c>
      <c r="T731">
        <f>HYPERLINK("https://klasma.github.io/Logging_1784/kartor/A 8165-2025 karta.png", "A 8165-2025")</f>
        <v/>
      </c>
      <c r="U731">
        <f>HYPERLINK("https://klasma.github.io/Logging_1784/knärot/A 8165-2025 karta knärot.png", "A 8165-2025")</f>
        <v/>
      </c>
      <c r="V731">
        <f>HYPERLINK("https://klasma.github.io/Logging_1784/klagomål/A 8165-2025 FSC-klagomål.docx", "A 8165-2025")</f>
        <v/>
      </c>
      <c r="W731">
        <f>HYPERLINK("https://klasma.github.io/Logging_1784/klagomålsmail/A 8165-2025 FSC-klagomål mail.docx", "A 8165-2025")</f>
        <v/>
      </c>
      <c r="X731">
        <f>HYPERLINK("https://klasma.github.io/Logging_1784/tillsyn/A 8165-2025 tillsynsbegäran.docx", "A 8165-2025")</f>
        <v/>
      </c>
      <c r="Y731">
        <f>HYPERLINK("https://klasma.github.io/Logging_1784/tillsynsmail/A 8165-2025 tillsynsbegäran mail.docx", "A 8165-2025")</f>
        <v/>
      </c>
    </row>
    <row r="732" ht="15" customHeight="1">
      <c r="A732" t="inlineStr">
        <is>
          <t>A 8363-2025</t>
        </is>
      </c>
      <c r="B732" s="1" t="n">
        <v>45708</v>
      </c>
      <c r="C732" s="1" t="n">
        <v>45810</v>
      </c>
      <c r="D732" t="inlineStr">
        <is>
          <t>VÄRMLANDS LÄN</t>
        </is>
      </c>
      <c r="E732" t="inlineStr">
        <is>
          <t>GRUMS</t>
        </is>
      </c>
      <c r="G732" t="n">
        <v>1.7</v>
      </c>
      <c r="H732" t="n">
        <v>0</v>
      </c>
      <c r="I732" t="n">
        <v>1</v>
      </c>
      <c r="J732" t="n">
        <v>0</v>
      </c>
      <c r="K732" t="n">
        <v>0</v>
      </c>
      <c r="L732" t="n">
        <v>0</v>
      </c>
      <c r="M732" t="n">
        <v>0</v>
      </c>
      <c r="N732" t="n">
        <v>0</v>
      </c>
      <c r="O732" t="n">
        <v>0</v>
      </c>
      <c r="P732" t="n">
        <v>0</v>
      </c>
      <c r="Q732" t="n">
        <v>1</v>
      </c>
      <c r="R732" s="2" t="inlineStr">
        <is>
          <t>Mandelriska</t>
        </is>
      </c>
      <c r="S732">
        <f>HYPERLINK("https://klasma.github.io/Logging_1764/artfynd/A 8363-2025 artfynd.xlsx", "A 8363-2025")</f>
        <v/>
      </c>
      <c r="T732">
        <f>HYPERLINK("https://klasma.github.io/Logging_1764/kartor/A 8363-2025 karta.png", "A 8363-2025")</f>
        <v/>
      </c>
      <c r="V732">
        <f>HYPERLINK("https://klasma.github.io/Logging_1764/klagomål/A 8363-2025 FSC-klagomål.docx", "A 8363-2025")</f>
        <v/>
      </c>
      <c r="W732">
        <f>HYPERLINK("https://klasma.github.io/Logging_1764/klagomålsmail/A 8363-2025 FSC-klagomål mail.docx", "A 8363-2025")</f>
        <v/>
      </c>
      <c r="X732">
        <f>HYPERLINK("https://klasma.github.io/Logging_1764/tillsyn/A 8363-2025 tillsynsbegäran.docx", "A 8363-2025")</f>
        <v/>
      </c>
      <c r="Y732">
        <f>HYPERLINK("https://klasma.github.io/Logging_1764/tillsynsmail/A 8363-2025 tillsynsbegäran mail.docx", "A 8363-2025")</f>
        <v/>
      </c>
    </row>
    <row r="733" ht="15" customHeight="1">
      <c r="A733" t="inlineStr">
        <is>
          <t>A 8630-2025</t>
        </is>
      </c>
      <c r="B733" s="1" t="n">
        <v>45711</v>
      </c>
      <c r="C733" s="1" t="n">
        <v>45810</v>
      </c>
      <c r="D733" t="inlineStr">
        <is>
          <t>VÄRMLANDS LÄN</t>
        </is>
      </c>
      <c r="E733" t="inlineStr">
        <is>
          <t>ÅRJÄNG</t>
        </is>
      </c>
      <c r="G733" t="n">
        <v>3.1</v>
      </c>
      <c r="H733" t="n">
        <v>0</v>
      </c>
      <c r="I733" t="n">
        <v>1</v>
      </c>
      <c r="J733" t="n">
        <v>0</v>
      </c>
      <c r="K733" t="n">
        <v>0</v>
      </c>
      <c r="L733" t="n">
        <v>0</v>
      </c>
      <c r="M733" t="n">
        <v>0</v>
      </c>
      <c r="N733" t="n">
        <v>0</v>
      </c>
      <c r="O733" t="n">
        <v>0</v>
      </c>
      <c r="P733" t="n">
        <v>0</v>
      </c>
      <c r="Q733" t="n">
        <v>1</v>
      </c>
      <c r="R733" s="2" t="inlineStr">
        <is>
          <t>Dropptaggsvamp</t>
        </is>
      </c>
      <c r="S733">
        <f>HYPERLINK("https://klasma.github.io/Logging_1765/artfynd/A 8630-2025 artfynd.xlsx", "A 8630-2025")</f>
        <v/>
      </c>
      <c r="T733">
        <f>HYPERLINK("https://klasma.github.io/Logging_1765/kartor/A 8630-2025 karta.png", "A 8630-2025")</f>
        <v/>
      </c>
      <c r="V733">
        <f>HYPERLINK("https://klasma.github.io/Logging_1765/klagomål/A 8630-2025 FSC-klagomål.docx", "A 8630-2025")</f>
        <v/>
      </c>
      <c r="W733">
        <f>HYPERLINK("https://klasma.github.io/Logging_1765/klagomålsmail/A 8630-2025 FSC-klagomål mail.docx", "A 8630-2025")</f>
        <v/>
      </c>
      <c r="X733">
        <f>HYPERLINK("https://klasma.github.io/Logging_1765/tillsyn/A 8630-2025 tillsynsbegäran.docx", "A 8630-2025")</f>
        <v/>
      </c>
      <c r="Y733">
        <f>HYPERLINK("https://klasma.github.io/Logging_1765/tillsynsmail/A 8630-2025 tillsynsbegäran mail.docx", "A 8630-2025")</f>
        <v/>
      </c>
    </row>
    <row r="734" ht="15" customHeight="1">
      <c r="A734" t="inlineStr">
        <is>
          <t>A 9055-2025</t>
        </is>
      </c>
      <c r="B734" s="1" t="n">
        <v>45713</v>
      </c>
      <c r="C734" s="1" t="n">
        <v>45810</v>
      </c>
      <c r="D734" t="inlineStr">
        <is>
          <t>VÄRMLANDS LÄN</t>
        </is>
      </c>
      <c r="E734" t="inlineStr">
        <is>
          <t>ARVIKA</t>
        </is>
      </c>
      <c r="G734" t="n">
        <v>2.4</v>
      </c>
      <c r="H734" t="n">
        <v>1</v>
      </c>
      <c r="I734" t="n">
        <v>0</v>
      </c>
      <c r="J734" t="n">
        <v>1</v>
      </c>
      <c r="K734" t="n">
        <v>0</v>
      </c>
      <c r="L734" t="n">
        <v>0</v>
      </c>
      <c r="M734" t="n">
        <v>0</v>
      </c>
      <c r="N734" t="n">
        <v>0</v>
      </c>
      <c r="O734" t="n">
        <v>1</v>
      </c>
      <c r="P734" t="n">
        <v>0</v>
      </c>
      <c r="Q734" t="n">
        <v>1</v>
      </c>
      <c r="R734" s="2" t="inlineStr">
        <is>
          <t>Spillkråka</t>
        </is>
      </c>
      <c r="S734">
        <f>HYPERLINK("https://klasma.github.io/Logging_1784/artfynd/A 9055-2025 artfynd.xlsx", "A 9055-2025")</f>
        <v/>
      </c>
      <c r="T734">
        <f>HYPERLINK("https://klasma.github.io/Logging_1784/kartor/A 9055-2025 karta.png", "A 9055-2025")</f>
        <v/>
      </c>
      <c r="V734">
        <f>HYPERLINK("https://klasma.github.io/Logging_1784/klagomål/A 9055-2025 FSC-klagomål.docx", "A 9055-2025")</f>
        <v/>
      </c>
      <c r="W734">
        <f>HYPERLINK("https://klasma.github.io/Logging_1784/klagomålsmail/A 9055-2025 FSC-klagomål mail.docx", "A 9055-2025")</f>
        <v/>
      </c>
      <c r="X734">
        <f>HYPERLINK("https://klasma.github.io/Logging_1784/tillsyn/A 9055-2025 tillsynsbegäran.docx", "A 9055-2025")</f>
        <v/>
      </c>
      <c r="Y734">
        <f>HYPERLINK("https://klasma.github.io/Logging_1784/tillsynsmail/A 9055-2025 tillsynsbegäran mail.docx", "A 9055-2025")</f>
        <v/>
      </c>
      <c r="Z734">
        <f>HYPERLINK("https://klasma.github.io/Logging_1784/fåglar/A 9055-2025 prioriterade fågelarter.docx", "A 9055-2025")</f>
        <v/>
      </c>
    </row>
    <row r="735" ht="15" customHeight="1">
      <c r="A735" t="inlineStr">
        <is>
          <t>A 9060-2025</t>
        </is>
      </c>
      <c r="B735" s="1" t="n">
        <v>45713</v>
      </c>
      <c r="C735" s="1" t="n">
        <v>45810</v>
      </c>
      <c r="D735" t="inlineStr">
        <is>
          <t>VÄRMLANDS LÄN</t>
        </is>
      </c>
      <c r="E735" t="inlineStr">
        <is>
          <t>ARVIKA</t>
        </is>
      </c>
      <c r="G735" t="n">
        <v>5.8</v>
      </c>
      <c r="H735" t="n">
        <v>1</v>
      </c>
      <c r="I735" t="n">
        <v>0</v>
      </c>
      <c r="J735" t="n">
        <v>1</v>
      </c>
      <c r="K735" t="n">
        <v>0</v>
      </c>
      <c r="L735" t="n">
        <v>0</v>
      </c>
      <c r="M735" t="n">
        <v>0</v>
      </c>
      <c r="N735" t="n">
        <v>0</v>
      </c>
      <c r="O735" t="n">
        <v>1</v>
      </c>
      <c r="P735" t="n">
        <v>0</v>
      </c>
      <c r="Q735" t="n">
        <v>1</v>
      </c>
      <c r="R735" s="2" t="inlineStr">
        <is>
          <t>Tretåig hackspett</t>
        </is>
      </c>
      <c r="S735">
        <f>HYPERLINK("https://klasma.github.io/Logging_1784/artfynd/A 9060-2025 artfynd.xlsx", "A 9060-2025")</f>
        <v/>
      </c>
      <c r="T735">
        <f>HYPERLINK("https://klasma.github.io/Logging_1784/kartor/A 9060-2025 karta.png", "A 9060-2025")</f>
        <v/>
      </c>
      <c r="V735">
        <f>HYPERLINK("https://klasma.github.io/Logging_1784/klagomål/A 9060-2025 FSC-klagomål.docx", "A 9060-2025")</f>
        <v/>
      </c>
      <c r="W735">
        <f>HYPERLINK("https://klasma.github.io/Logging_1784/klagomålsmail/A 9060-2025 FSC-klagomål mail.docx", "A 9060-2025")</f>
        <v/>
      </c>
      <c r="X735">
        <f>HYPERLINK("https://klasma.github.io/Logging_1784/tillsyn/A 9060-2025 tillsynsbegäran.docx", "A 9060-2025")</f>
        <v/>
      </c>
      <c r="Y735">
        <f>HYPERLINK("https://klasma.github.io/Logging_1784/tillsynsmail/A 9060-2025 tillsynsbegäran mail.docx", "A 9060-2025")</f>
        <v/>
      </c>
      <c r="Z735">
        <f>HYPERLINK("https://klasma.github.io/Logging_1784/fåglar/A 9060-2025 prioriterade fågelarter.docx", "A 9060-2025")</f>
        <v/>
      </c>
    </row>
    <row r="736" ht="15" customHeight="1">
      <c r="A736" t="inlineStr">
        <is>
          <t>A 8909-2025</t>
        </is>
      </c>
      <c r="B736" s="1" t="n">
        <v>45713</v>
      </c>
      <c r="C736" s="1" t="n">
        <v>45810</v>
      </c>
      <c r="D736" t="inlineStr">
        <is>
          <t>VÄRMLANDS LÄN</t>
        </is>
      </c>
      <c r="E736" t="inlineStr">
        <is>
          <t>KIL</t>
        </is>
      </c>
      <c r="G736" t="n">
        <v>22.6</v>
      </c>
      <c r="H736" t="n">
        <v>0</v>
      </c>
      <c r="I736" t="n">
        <v>0</v>
      </c>
      <c r="J736" t="n">
        <v>1</v>
      </c>
      <c r="K736" t="n">
        <v>0</v>
      </c>
      <c r="L736" t="n">
        <v>0</v>
      </c>
      <c r="M736" t="n">
        <v>0</v>
      </c>
      <c r="N736" t="n">
        <v>0</v>
      </c>
      <c r="O736" t="n">
        <v>1</v>
      </c>
      <c r="P736" t="n">
        <v>0</v>
      </c>
      <c r="Q736" t="n">
        <v>1</v>
      </c>
      <c r="R736" s="2" t="inlineStr">
        <is>
          <t>Desmeknopp</t>
        </is>
      </c>
      <c r="S736">
        <f>HYPERLINK("https://klasma.github.io/Logging_1715/artfynd/A 8909-2025 artfynd.xlsx", "A 8909-2025")</f>
        <v/>
      </c>
      <c r="T736">
        <f>HYPERLINK("https://klasma.github.io/Logging_1715/kartor/A 8909-2025 karta.png", "A 8909-2025")</f>
        <v/>
      </c>
      <c r="V736">
        <f>HYPERLINK("https://klasma.github.io/Logging_1715/klagomål/A 8909-2025 FSC-klagomål.docx", "A 8909-2025")</f>
        <v/>
      </c>
      <c r="W736">
        <f>HYPERLINK("https://klasma.github.io/Logging_1715/klagomålsmail/A 8909-2025 FSC-klagomål mail.docx", "A 8909-2025")</f>
        <v/>
      </c>
      <c r="X736">
        <f>HYPERLINK("https://klasma.github.io/Logging_1715/tillsyn/A 8909-2025 tillsynsbegäran.docx", "A 8909-2025")</f>
        <v/>
      </c>
      <c r="Y736">
        <f>HYPERLINK("https://klasma.github.io/Logging_1715/tillsynsmail/A 8909-2025 tillsynsbegäran mail.docx", "A 8909-2025")</f>
        <v/>
      </c>
    </row>
    <row r="737" ht="15" customHeight="1">
      <c r="A737" t="inlineStr">
        <is>
          <t>A 10223-2025</t>
        </is>
      </c>
      <c r="B737" s="1" t="n">
        <v>45720</v>
      </c>
      <c r="C737" s="1" t="n">
        <v>45810</v>
      </c>
      <c r="D737" t="inlineStr">
        <is>
          <t>VÄRMLANDS LÄN</t>
        </is>
      </c>
      <c r="E737" t="inlineStr">
        <is>
          <t>SÄFFLE</t>
        </is>
      </c>
      <c r="G737" t="n">
        <v>2.9</v>
      </c>
      <c r="H737" t="n">
        <v>0</v>
      </c>
      <c r="I737" t="n">
        <v>0</v>
      </c>
      <c r="J737" t="n">
        <v>1</v>
      </c>
      <c r="K737" t="n">
        <v>0</v>
      </c>
      <c r="L737" t="n">
        <v>0</v>
      </c>
      <c r="M737" t="n">
        <v>0</v>
      </c>
      <c r="N737" t="n">
        <v>0</v>
      </c>
      <c r="O737" t="n">
        <v>1</v>
      </c>
      <c r="P737" t="n">
        <v>0</v>
      </c>
      <c r="Q737" t="n">
        <v>1</v>
      </c>
      <c r="R737" s="2" t="inlineStr">
        <is>
          <t>Brunklöver</t>
        </is>
      </c>
      <c r="S737">
        <f>HYPERLINK("https://klasma.github.io/Logging_171785/artfynd/A 10223-2025 artfynd.xlsx", "A 10223-2025")</f>
        <v/>
      </c>
      <c r="T737">
        <f>HYPERLINK("https://klasma.github.io/Logging_171785/kartor/A 10223-2025 karta.png", "A 10223-2025")</f>
        <v/>
      </c>
      <c r="V737">
        <f>HYPERLINK("https://klasma.github.io/Logging_171785/klagomål/A 10223-2025 FSC-klagomål.docx", "A 10223-2025")</f>
        <v/>
      </c>
      <c r="W737">
        <f>HYPERLINK("https://klasma.github.io/Logging_171785/klagomålsmail/A 10223-2025 FSC-klagomål mail.docx", "A 10223-2025")</f>
        <v/>
      </c>
      <c r="X737">
        <f>HYPERLINK("https://klasma.github.io/Logging_171785/tillsyn/A 10223-2025 tillsynsbegäran.docx", "A 10223-2025")</f>
        <v/>
      </c>
      <c r="Y737">
        <f>HYPERLINK("https://klasma.github.io/Logging_171785/tillsynsmail/A 10223-2025 tillsynsbegäran mail.docx", "A 10223-2025")</f>
        <v/>
      </c>
    </row>
    <row r="738" ht="15" customHeight="1">
      <c r="A738" t="inlineStr">
        <is>
          <t>A 11880-2025</t>
        </is>
      </c>
      <c r="B738" s="1" t="n">
        <v>45728</v>
      </c>
      <c r="C738" s="1" t="n">
        <v>45810</v>
      </c>
      <c r="D738" t="inlineStr">
        <is>
          <t>VÄRMLANDS LÄN</t>
        </is>
      </c>
      <c r="E738" t="inlineStr">
        <is>
          <t>ÅRJÄNG</t>
        </is>
      </c>
      <c r="F738" t="inlineStr">
        <is>
          <t>Övriga Aktiebolag</t>
        </is>
      </c>
      <c r="G738" t="n">
        <v>4.8</v>
      </c>
      <c r="H738" t="n">
        <v>0</v>
      </c>
      <c r="I738" t="n">
        <v>0</v>
      </c>
      <c r="J738" t="n">
        <v>1</v>
      </c>
      <c r="K738" t="n">
        <v>0</v>
      </c>
      <c r="L738" t="n">
        <v>0</v>
      </c>
      <c r="M738" t="n">
        <v>0</v>
      </c>
      <c r="N738" t="n">
        <v>0</v>
      </c>
      <c r="O738" t="n">
        <v>1</v>
      </c>
      <c r="P738" t="n">
        <v>0</v>
      </c>
      <c r="Q738" t="n">
        <v>1</v>
      </c>
      <c r="R738" s="2" t="inlineStr">
        <is>
          <t>Lunglav</t>
        </is>
      </c>
      <c r="S738">
        <f>HYPERLINK("https://klasma.github.io/Logging_171765/artfynd/A 11880-2025 artfynd.xlsx", "A 11880-2025")</f>
        <v/>
      </c>
      <c r="T738">
        <f>HYPERLINK("https://klasma.github.io/Logging_171765/kartor/A 11880-2025 karta.png", "A 11880-2025")</f>
        <v/>
      </c>
      <c r="V738">
        <f>HYPERLINK("https://klasma.github.io/Logging_171765/klagomål/A 11880-2025 FSC-klagomål.docx", "A 11880-2025")</f>
        <v/>
      </c>
      <c r="W738">
        <f>HYPERLINK("https://klasma.github.io/Logging_171765/klagomålsmail/A 11880-2025 FSC-klagomål mail.docx", "A 11880-2025")</f>
        <v/>
      </c>
      <c r="X738">
        <f>HYPERLINK("https://klasma.github.io/Logging_171765/tillsyn/A 11880-2025 tillsynsbegäran.docx", "A 11880-2025")</f>
        <v/>
      </c>
      <c r="Y738">
        <f>HYPERLINK("https://klasma.github.io/Logging_171765/tillsynsmail/A 11880-2025 tillsynsbegäran mail.docx", "A 11880-2025")</f>
        <v/>
      </c>
    </row>
    <row r="739" ht="15" customHeight="1">
      <c r="A739" t="inlineStr">
        <is>
          <t>A 11933-2025</t>
        </is>
      </c>
      <c r="B739" s="1" t="n">
        <v>45728</v>
      </c>
      <c r="C739" s="1" t="n">
        <v>45810</v>
      </c>
      <c r="D739" t="inlineStr">
        <is>
          <t>VÄRMLANDS LÄN</t>
        </is>
      </c>
      <c r="E739" t="inlineStr">
        <is>
          <t>SÄFFLE</t>
        </is>
      </c>
      <c r="G739" t="n">
        <v>1.9</v>
      </c>
      <c r="H739" t="n">
        <v>0</v>
      </c>
      <c r="I739" t="n">
        <v>0</v>
      </c>
      <c r="J739" t="n">
        <v>1</v>
      </c>
      <c r="K739" t="n">
        <v>0</v>
      </c>
      <c r="L739" t="n">
        <v>0</v>
      </c>
      <c r="M739" t="n">
        <v>0</v>
      </c>
      <c r="N739" t="n">
        <v>0</v>
      </c>
      <c r="O739" t="n">
        <v>1</v>
      </c>
      <c r="P739" t="n">
        <v>0</v>
      </c>
      <c r="Q739" t="n">
        <v>1</v>
      </c>
      <c r="R739" s="2" t="inlineStr">
        <is>
          <t>Skogsklocka</t>
        </is>
      </c>
      <c r="S739">
        <f>HYPERLINK("https://klasma.github.io/Logging_171785/artfynd/A 11933-2025 artfynd.xlsx", "A 11933-2025")</f>
        <v/>
      </c>
      <c r="T739">
        <f>HYPERLINK("https://klasma.github.io/Logging_171785/kartor/A 11933-2025 karta.png", "A 11933-2025")</f>
        <v/>
      </c>
      <c r="V739">
        <f>HYPERLINK("https://klasma.github.io/Logging_171785/klagomål/A 11933-2025 FSC-klagomål.docx", "A 11933-2025")</f>
        <v/>
      </c>
      <c r="W739">
        <f>HYPERLINK("https://klasma.github.io/Logging_171785/klagomålsmail/A 11933-2025 FSC-klagomål mail.docx", "A 11933-2025")</f>
        <v/>
      </c>
      <c r="X739">
        <f>HYPERLINK("https://klasma.github.io/Logging_171785/tillsyn/A 11933-2025 tillsynsbegäran.docx", "A 11933-2025")</f>
        <v/>
      </c>
      <c r="Y739">
        <f>HYPERLINK("https://klasma.github.io/Logging_171785/tillsynsmail/A 11933-2025 tillsynsbegäran mail.docx", "A 11933-2025")</f>
        <v/>
      </c>
    </row>
    <row r="740" ht="15" customHeight="1">
      <c r="A740" t="inlineStr">
        <is>
          <t>A 12517-2025</t>
        </is>
      </c>
      <c r="B740" s="1" t="n">
        <v>45730</v>
      </c>
      <c r="C740" s="1" t="n">
        <v>45810</v>
      </c>
      <c r="D740" t="inlineStr">
        <is>
          <t>VÄRMLANDS LÄN</t>
        </is>
      </c>
      <c r="E740" t="inlineStr">
        <is>
          <t>TORSBY</t>
        </is>
      </c>
      <c r="F740" t="inlineStr">
        <is>
          <t>Bergvik skog väst AB</t>
        </is>
      </c>
      <c r="G740" t="n">
        <v>34</v>
      </c>
      <c r="H740" t="n">
        <v>0</v>
      </c>
      <c r="I740" t="n">
        <v>0</v>
      </c>
      <c r="J740" t="n">
        <v>1</v>
      </c>
      <c r="K740" t="n">
        <v>0</v>
      </c>
      <c r="L740" t="n">
        <v>0</v>
      </c>
      <c r="M740" t="n">
        <v>0</v>
      </c>
      <c r="N740" t="n">
        <v>0</v>
      </c>
      <c r="O740" t="n">
        <v>1</v>
      </c>
      <c r="P740" t="n">
        <v>0</v>
      </c>
      <c r="Q740" t="n">
        <v>1</v>
      </c>
      <c r="R740" s="2" t="inlineStr">
        <is>
          <t>Dvärgbägarlav</t>
        </is>
      </c>
      <c r="S740">
        <f>HYPERLINK("https://klasma.github.io/Logging_171737/artfynd/A 12517-2025 artfynd.xlsx", "A 12517-2025")</f>
        <v/>
      </c>
      <c r="T740">
        <f>HYPERLINK("https://klasma.github.io/Logging_171737/kartor/A 12517-2025 karta.png", "A 12517-2025")</f>
        <v/>
      </c>
      <c r="V740">
        <f>HYPERLINK("https://klasma.github.io/Logging_171737/klagomål/A 12517-2025 FSC-klagomål.docx", "A 12517-2025")</f>
        <v/>
      </c>
      <c r="W740">
        <f>HYPERLINK("https://klasma.github.io/Logging_171737/klagomålsmail/A 12517-2025 FSC-klagomål mail.docx", "A 12517-2025")</f>
        <v/>
      </c>
      <c r="X740">
        <f>HYPERLINK("https://klasma.github.io/Logging_171737/tillsyn/A 12517-2025 tillsynsbegäran.docx", "A 12517-2025")</f>
        <v/>
      </c>
      <c r="Y740">
        <f>HYPERLINK("https://klasma.github.io/Logging_171737/tillsynsmail/A 12517-2025 tillsynsbegäran mail.docx", "A 12517-2025")</f>
        <v/>
      </c>
    </row>
    <row r="741" ht="15" customHeight="1">
      <c r="A741" t="inlineStr">
        <is>
          <t>A 13253-2025</t>
        </is>
      </c>
      <c r="B741" s="1" t="n">
        <v>45735</v>
      </c>
      <c r="C741" s="1" t="n">
        <v>45810</v>
      </c>
      <c r="D741" t="inlineStr">
        <is>
          <t>VÄRMLANDS LÄN</t>
        </is>
      </c>
      <c r="E741" t="inlineStr">
        <is>
          <t>SÄFFLE</t>
        </is>
      </c>
      <c r="G741" t="n">
        <v>1.3</v>
      </c>
      <c r="H741" t="n">
        <v>0</v>
      </c>
      <c r="I741" t="n">
        <v>0</v>
      </c>
      <c r="J741" t="n">
        <v>1</v>
      </c>
      <c r="K741" t="n">
        <v>0</v>
      </c>
      <c r="L741" t="n">
        <v>0</v>
      </c>
      <c r="M741" t="n">
        <v>0</v>
      </c>
      <c r="N741" t="n">
        <v>0</v>
      </c>
      <c r="O741" t="n">
        <v>1</v>
      </c>
      <c r="P741" t="n">
        <v>0</v>
      </c>
      <c r="Q741" t="n">
        <v>1</v>
      </c>
      <c r="R741" s="2" t="inlineStr">
        <is>
          <t>Brunklöver</t>
        </is>
      </c>
      <c r="S741">
        <f>HYPERLINK("https://klasma.github.io/Logging_171785/artfynd/A 13253-2025 artfynd.xlsx", "A 13253-2025")</f>
        <v/>
      </c>
      <c r="T741">
        <f>HYPERLINK("https://klasma.github.io/Logging_171785/kartor/A 13253-2025 karta.png", "A 13253-2025")</f>
        <v/>
      </c>
      <c r="V741">
        <f>HYPERLINK("https://klasma.github.io/Logging_171785/klagomål/A 13253-2025 FSC-klagomål.docx", "A 13253-2025")</f>
        <v/>
      </c>
      <c r="W741">
        <f>HYPERLINK("https://klasma.github.io/Logging_171785/klagomålsmail/A 13253-2025 FSC-klagomål mail.docx", "A 13253-2025")</f>
        <v/>
      </c>
      <c r="X741">
        <f>HYPERLINK("https://klasma.github.io/Logging_171785/tillsyn/A 13253-2025 tillsynsbegäran.docx", "A 13253-2025")</f>
        <v/>
      </c>
      <c r="Y741">
        <f>HYPERLINK("https://klasma.github.io/Logging_171785/tillsynsmail/A 13253-2025 tillsynsbegäran mail.docx", "A 13253-2025")</f>
        <v/>
      </c>
    </row>
    <row r="742" ht="15" customHeight="1">
      <c r="A742" t="inlineStr">
        <is>
          <t>A 14212-2025</t>
        </is>
      </c>
      <c r="B742" s="1" t="n">
        <v>45740</v>
      </c>
      <c r="C742" s="1" t="n">
        <v>45810</v>
      </c>
      <c r="D742" t="inlineStr">
        <is>
          <t>VÄRMLANDS LÄN</t>
        </is>
      </c>
      <c r="E742" t="inlineStr">
        <is>
          <t>TORSBY</t>
        </is>
      </c>
      <c r="F742" t="inlineStr">
        <is>
          <t>Övriga statliga verk och myndigheter</t>
        </is>
      </c>
      <c r="G742" t="n">
        <v>2</v>
      </c>
      <c r="H742" t="n">
        <v>0</v>
      </c>
      <c r="I742" t="n">
        <v>0</v>
      </c>
      <c r="J742" t="n">
        <v>0</v>
      </c>
      <c r="K742" t="n">
        <v>1</v>
      </c>
      <c r="L742" t="n">
        <v>0</v>
      </c>
      <c r="M742" t="n">
        <v>0</v>
      </c>
      <c r="N742" t="n">
        <v>0</v>
      </c>
      <c r="O742" t="n">
        <v>1</v>
      </c>
      <c r="P742" t="n">
        <v>1</v>
      </c>
      <c r="Q742" t="n">
        <v>1</v>
      </c>
      <c r="R742" s="2" t="inlineStr">
        <is>
          <t>Raggbock</t>
        </is>
      </c>
      <c r="S742">
        <f>HYPERLINK("https://klasma.github.io/Logging_171737/artfynd/A 14212-2025 artfynd.xlsx", "A 14212-2025")</f>
        <v/>
      </c>
      <c r="T742">
        <f>HYPERLINK("https://klasma.github.io/Logging_171737/kartor/A 14212-2025 karta.png", "A 14212-2025")</f>
        <v/>
      </c>
      <c r="V742">
        <f>HYPERLINK("https://klasma.github.io/Logging_171737/klagomål/A 14212-2025 FSC-klagomål.docx", "A 14212-2025")</f>
        <v/>
      </c>
      <c r="W742">
        <f>HYPERLINK("https://klasma.github.io/Logging_171737/klagomålsmail/A 14212-2025 FSC-klagomål mail.docx", "A 14212-2025")</f>
        <v/>
      </c>
      <c r="X742">
        <f>HYPERLINK("https://klasma.github.io/Logging_171737/tillsyn/A 14212-2025 tillsynsbegäran.docx", "A 14212-2025")</f>
        <v/>
      </c>
      <c r="Y742">
        <f>HYPERLINK("https://klasma.github.io/Logging_171737/tillsynsmail/A 14212-2025 tillsynsbegäran mail.docx", "A 14212-2025")</f>
        <v/>
      </c>
    </row>
    <row r="743" ht="15" customHeight="1">
      <c r="A743" t="inlineStr">
        <is>
          <t>A 14898-2025</t>
        </is>
      </c>
      <c r="B743" s="1" t="n">
        <v>45743</v>
      </c>
      <c r="C743" s="1" t="n">
        <v>45810</v>
      </c>
      <c r="D743" t="inlineStr">
        <is>
          <t>VÄRMLANDS LÄN</t>
        </is>
      </c>
      <c r="E743" t="inlineStr">
        <is>
          <t>ÅRJÄNG</t>
        </is>
      </c>
      <c r="G743" t="n">
        <v>9.300000000000001</v>
      </c>
      <c r="H743" t="n">
        <v>0</v>
      </c>
      <c r="I743" t="n">
        <v>1</v>
      </c>
      <c r="J743" t="n">
        <v>0</v>
      </c>
      <c r="K743" t="n">
        <v>0</v>
      </c>
      <c r="L743" t="n">
        <v>0</v>
      </c>
      <c r="M743" t="n">
        <v>0</v>
      </c>
      <c r="N743" t="n">
        <v>0</v>
      </c>
      <c r="O743" t="n">
        <v>0</v>
      </c>
      <c r="P743" t="n">
        <v>0</v>
      </c>
      <c r="Q743" t="n">
        <v>1</v>
      </c>
      <c r="R743" s="2" t="inlineStr">
        <is>
          <t>Dropptaggsvamp</t>
        </is>
      </c>
      <c r="S743">
        <f>HYPERLINK("https://klasma.github.io/Logging_171765/artfynd/A 14898-2025 artfynd.xlsx", "A 14898-2025")</f>
        <v/>
      </c>
      <c r="T743">
        <f>HYPERLINK("https://klasma.github.io/Logging_171765/kartor/A 14898-2025 karta.png", "A 14898-2025")</f>
        <v/>
      </c>
      <c r="V743">
        <f>HYPERLINK("https://klasma.github.io/Logging_171765/klagomål/A 14898-2025 FSC-klagomål.docx", "A 14898-2025")</f>
        <v/>
      </c>
      <c r="W743">
        <f>HYPERLINK("https://klasma.github.io/Logging_171765/klagomålsmail/A 14898-2025 FSC-klagomål mail.docx", "A 14898-2025")</f>
        <v/>
      </c>
      <c r="X743">
        <f>HYPERLINK("https://klasma.github.io/Logging_171765/tillsyn/A 14898-2025 tillsynsbegäran.docx", "A 14898-2025")</f>
        <v/>
      </c>
      <c r="Y743">
        <f>HYPERLINK("https://klasma.github.io/Logging_171765/tillsynsmail/A 14898-2025 tillsynsbegäran mail.docx", "A 14898-2025")</f>
        <v/>
      </c>
    </row>
    <row r="744" ht="15" customHeight="1">
      <c r="A744" t="inlineStr">
        <is>
          <t>A 15872-2025</t>
        </is>
      </c>
      <c r="B744" s="1" t="n">
        <v>45749</v>
      </c>
      <c r="C744" s="1" t="n">
        <v>45810</v>
      </c>
      <c r="D744" t="inlineStr">
        <is>
          <t>VÄRMLANDS LÄN</t>
        </is>
      </c>
      <c r="E744" t="inlineStr">
        <is>
          <t>TORSBY</t>
        </is>
      </c>
      <c r="F744" t="inlineStr">
        <is>
          <t>Bergvik skog väst AB</t>
        </is>
      </c>
      <c r="G744" t="n">
        <v>10.8</v>
      </c>
      <c r="H744" t="n">
        <v>1</v>
      </c>
      <c r="I744" t="n">
        <v>1</v>
      </c>
      <c r="J744" t="n">
        <v>0</v>
      </c>
      <c r="K744" t="n">
        <v>0</v>
      </c>
      <c r="L744" t="n">
        <v>0</v>
      </c>
      <c r="M744" t="n">
        <v>0</v>
      </c>
      <c r="N744" t="n">
        <v>0</v>
      </c>
      <c r="O744" t="n">
        <v>0</v>
      </c>
      <c r="P744" t="n">
        <v>0</v>
      </c>
      <c r="Q744" t="n">
        <v>1</v>
      </c>
      <c r="R744" s="2" t="inlineStr">
        <is>
          <t>Korallrot</t>
        </is>
      </c>
      <c r="S744">
        <f>HYPERLINK("https://klasma.github.io/Logging_171737/artfynd/A 15872-2025 artfynd.xlsx", "A 15872-2025")</f>
        <v/>
      </c>
      <c r="T744">
        <f>HYPERLINK("https://klasma.github.io/Logging_171737/kartor/A 15872-2025 karta.png", "A 15872-2025")</f>
        <v/>
      </c>
      <c r="V744">
        <f>HYPERLINK("https://klasma.github.io/Logging_171737/klagomål/A 15872-2025 FSC-klagomål.docx", "A 15872-2025")</f>
        <v/>
      </c>
      <c r="W744">
        <f>HYPERLINK("https://klasma.github.io/Logging_171737/klagomålsmail/A 15872-2025 FSC-klagomål mail.docx", "A 15872-2025")</f>
        <v/>
      </c>
      <c r="X744">
        <f>HYPERLINK("https://klasma.github.io/Logging_171737/tillsyn/A 15872-2025 tillsynsbegäran.docx", "A 15872-2025")</f>
        <v/>
      </c>
      <c r="Y744">
        <f>HYPERLINK("https://klasma.github.io/Logging_171737/tillsynsmail/A 15872-2025 tillsynsbegäran mail.docx", "A 15872-2025")</f>
        <v/>
      </c>
    </row>
    <row r="745" ht="15" customHeight="1">
      <c r="A745" t="inlineStr">
        <is>
          <t>A 16164-2025</t>
        </is>
      </c>
      <c r="B745" s="1" t="n">
        <v>45750</v>
      </c>
      <c r="C745" s="1" t="n">
        <v>45810</v>
      </c>
      <c r="D745" t="inlineStr">
        <is>
          <t>VÄRMLANDS LÄN</t>
        </is>
      </c>
      <c r="E745" t="inlineStr">
        <is>
          <t>TORSBY</t>
        </is>
      </c>
      <c r="G745" t="n">
        <v>1.4</v>
      </c>
      <c r="H745" t="n">
        <v>0</v>
      </c>
      <c r="I745" t="n">
        <v>0</v>
      </c>
      <c r="J745" t="n">
        <v>1</v>
      </c>
      <c r="K745" t="n">
        <v>0</v>
      </c>
      <c r="L745" t="n">
        <v>0</v>
      </c>
      <c r="M745" t="n">
        <v>0</v>
      </c>
      <c r="N745" t="n">
        <v>0</v>
      </c>
      <c r="O745" t="n">
        <v>1</v>
      </c>
      <c r="P745" t="n">
        <v>0</v>
      </c>
      <c r="Q745" t="n">
        <v>1</v>
      </c>
      <c r="R745" s="2" t="inlineStr">
        <is>
          <t>Tallriska</t>
        </is>
      </c>
      <c r="S745">
        <f>HYPERLINK("https://klasma.github.io/Logging_171737/artfynd/A 16164-2025 artfynd.xlsx", "A 16164-2025")</f>
        <v/>
      </c>
      <c r="T745">
        <f>HYPERLINK("https://klasma.github.io/Logging_171737/kartor/A 16164-2025 karta.png", "A 16164-2025")</f>
        <v/>
      </c>
      <c r="V745">
        <f>HYPERLINK("https://klasma.github.io/Logging_171737/klagomål/A 16164-2025 FSC-klagomål.docx", "A 16164-2025")</f>
        <v/>
      </c>
      <c r="W745">
        <f>HYPERLINK("https://klasma.github.io/Logging_171737/klagomålsmail/A 16164-2025 FSC-klagomål mail.docx", "A 16164-2025")</f>
        <v/>
      </c>
      <c r="X745">
        <f>HYPERLINK("https://klasma.github.io/Logging_171737/tillsyn/A 16164-2025 tillsynsbegäran.docx", "A 16164-2025")</f>
        <v/>
      </c>
      <c r="Y745">
        <f>HYPERLINK("https://klasma.github.io/Logging_171737/tillsynsmail/A 16164-2025 tillsynsbegäran mail.docx", "A 16164-2025")</f>
        <v/>
      </c>
    </row>
    <row r="746" ht="15" customHeight="1">
      <c r="A746" t="inlineStr">
        <is>
          <t>A 18623-2025</t>
        </is>
      </c>
      <c r="B746" s="1" t="n">
        <v>45763</v>
      </c>
      <c r="C746" s="1" t="n">
        <v>45810</v>
      </c>
      <c r="D746" t="inlineStr">
        <is>
          <t>VÄRMLANDS LÄN</t>
        </is>
      </c>
      <c r="E746" t="inlineStr">
        <is>
          <t>HAGFORS</t>
        </is>
      </c>
      <c r="G746" t="n">
        <v>6.3</v>
      </c>
      <c r="H746" t="n">
        <v>1</v>
      </c>
      <c r="I746" t="n">
        <v>0</v>
      </c>
      <c r="J746" t="n">
        <v>0</v>
      </c>
      <c r="K746" t="n">
        <v>1</v>
      </c>
      <c r="L746" t="n">
        <v>0</v>
      </c>
      <c r="M746" t="n">
        <v>0</v>
      </c>
      <c r="N746" t="n">
        <v>0</v>
      </c>
      <c r="O746" t="n">
        <v>1</v>
      </c>
      <c r="P746" t="n">
        <v>1</v>
      </c>
      <c r="Q746" t="n">
        <v>1</v>
      </c>
      <c r="R746" s="2" t="inlineStr">
        <is>
          <t>Knärot</t>
        </is>
      </c>
      <c r="S746">
        <f>HYPERLINK("https://klasma.github.io/Logging_171783/artfynd/A 18623-2025 artfynd.xlsx", "A 18623-2025")</f>
        <v/>
      </c>
      <c r="T746">
        <f>HYPERLINK("https://klasma.github.io/Logging_171783/kartor/A 18623-2025 karta.png", "A 18623-2025")</f>
        <v/>
      </c>
      <c r="U746">
        <f>HYPERLINK("https://klasma.github.io/Logging_171783/knärot/A 18623-2025 karta knärot.png", "A 18623-2025")</f>
        <v/>
      </c>
      <c r="V746">
        <f>HYPERLINK("https://klasma.github.io/Logging_171783/klagomål/A 18623-2025 FSC-klagomål.docx", "A 18623-2025")</f>
        <v/>
      </c>
      <c r="W746">
        <f>HYPERLINK("https://klasma.github.io/Logging_171783/klagomålsmail/A 18623-2025 FSC-klagomål mail.docx", "A 18623-2025")</f>
        <v/>
      </c>
      <c r="X746">
        <f>HYPERLINK("https://klasma.github.io/Logging_171783/tillsyn/A 18623-2025 tillsynsbegäran.docx", "A 18623-2025")</f>
        <v/>
      </c>
      <c r="Y746">
        <f>HYPERLINK("https://klasma.github.io/Logging_171783/tillsynsmail/A 18623-2025 tillsynsbegäran mail.docx", "A 18623-2025")</f>
        <v/>
      </c>
    </row>
    <row r="747" ht="15" customHeight="1">
      <c r="A747" t="inlineStr">
        <is>
          <t>A 19301-2025</t>
        </is>
      </c>
      <c r="B747" s="1" t="n">
        <v>45769</v>
      </c>
      <c r="C747" s="1" t="n">
        <v>45810</v>
      </c>
      <c r="D747" t="inlineStr">
        <is>
          <t>VÄRMLANDS LÄN</t>
        </is>
      </c>
      <c r="E747" t="inlineStr">
        <is>
          <t>ARVIKA</t>
        </is>
      </c>
      <c r="F747" t="inlineStr">
        <is>
          <t>Bergvik skog väst AB</t>
        </is>
      </c>
      <c r="G747" t="n">
        <v>3.1</v>
      </c>
      <c r="H747" t="n">
        <v>1</v>
      </c>
      <c r="I747" t="n">
        <v>0</v>
      </c>
      <c r="J747" t="n">
        <v>0</v>
      </c>
      <c r="K747" t="n">
        <v>1</v>
      </c>
      <c r="L747" t="n">
        <v>0</v>
      </c>
      <c r="M747" t="n">
        <v>0</v>
      </c>
      <c r="N747" t="n">
        <v>0</v>
      </c>
      <c r="O747" t="n">
        <v>1</v>
      </c>
      <c r="P747" t="n">
        <v>1</v>
      </c>
      <c r="Q747" t="n">
        <v>1</v>
      </c>
      <c r="R747" s="2" t="inlineStr">
        <is>
          <t>Lappuggla</t>
        </is>
      </c>
      <c r="S747">
        <f>HYPERLINK("https://klasma.github.io/Logging_171784/artfynd/A 19301-2025 artfynd.xlsx", "A 19301-2025")</f>
        <v/>
      </c>
      <c r="T747">
        <f>HYPERLINK("https://klasma.github.io/Logging_171784/kartor/A 19301-2025 karta.png", "A 19301-2025")</f>
        <v/>
      </c>
      <c r="V747">
        <f>HYPERLINK("https://klasma.github.io/Logging_171784/klagomål/A 19301-2025 FSC-klagomål.docx", "A 19301-2025")</f>
        <v/>
      </c>
      <c r="W747">
        <f>HYPERLINK("https://klasma.github.io/Logging_171784/klagomålsmail/A 19301-2025 FSC-klagomål mail.docx", "A 19301-2025")</f>
        <v/>
      </c>
      <c r="X747">
        <f>HYPERLINK("https://klasma.github.io/Logging_171784/tillsyn/A 19301-2025 tillsynsbegäran.docx", "A 19301-2025")</f>
        <v/>
      </c>
      <c r="Y747">
        <f>HYPERLINK("https://klasma.github.io/Logging_171784/tillsynsmail/A 19301-2025 tillsynsbegäran mail.docx", "A 19301-2025")</f>
        <v/>
      </c>
      <c r="Z747">
        <f>HYPERLINK("https://klasma.github.io/Logging_171784/fåglar/A 19301-2025 prioriterade fågelarter.docx", "A 19301-2025")</f>
        <v/>
      </c>
    </row>
    <row r="748" ht="15" customHeight="1">
      <c r="A748" t="inlineStr">
        <is>
          <t>A 19971-2025</t>
        </is>
      </c>
      <c r="B748" s="1" t="n">
        <v>45771</v>
      </c>
      <c r="C748" s="1" t="n">
        <v>45810</v>
      </c>
      <c r="D748" t="inlineStr">
        <is>
          <t>VÄRMLANDS LÄN</t>
        </is>
      </c>
      <c r="E748" t="inlineStr">
        <is>
          <t>KRISTINEHAMN</t>
        </is>
      </c>
      <c r="G748" t="n">
        <v>3.5</v>
      </c>
      <c r="H748" t="n">
        <v>1</v>
      </c>
      <c r="I748" t="n">
        <v>0</v>
      </c>
      <c r="J748" t="n">
        <v>1</v>
      </c>
      <c r="K748" t="n">
        <v>0</v>
      </c>
      <c r="L748" t="n">
        <v>0</v>
      </c>
      <c r="M748" t="n">
        <v>0</v>
      </c>
      <c r="N748" t="n">
        <v>0</v>
      </c>
      <c r="O748" t="n">
        <v>1</v>
      </c>
      <c r="P748" t="n">
        <v>0</v>
      </c>
      <c r="Q748" t="n">
        <v>1</v>
      </c>
      <c r="R748" s="2" t="inlineStr">
        <is>
          <t>Utter</t>
        </is>
      </c>
      <c r="S748">
        <f>HYPERLINK("https://klasma.github.io/Logging_171781/artfynd/A 19971-2025 artfynd.xlsx", "A 19971-2025")</f>
        <v/>
      </c>
      <c r="T748">
        <f>HYPERLINK("https://klasma.github.io/Logging_171781/kartor/A 19971-2025 karta.png", "A 19971-2025")</f>
        <v/>
      </c>
      <c r="V748">
        <f>HYPERLINK("https://klasma.github.io/Logging_171781/klagomål/A 19971-2025 FSC-klagomål.docx", "A 19971-2025")</f>
        <v/>
      </c>
      <c r="W748">
        <f>HYPERLINK("https://klasma.github.io/Logging_171781/klagomålsmail/A 19971-2025 FSC-klagomål mail.docx", "A 19971-2025")</f>
        <v/>
      </c>
      <c r="X748">
        <f>HYPERLINK("https://klasma.github.io/Logging_171781/tillsyn/A 19971-2025 tillsynsbegäran.docx", "A 19971-2025")</f>
        <v/>
      </c>
      <c r="Y748">
        <f>HYPERLINK("https://klasma.github.io/Logging_171781/tillsynsmail/A 19971-2025 tillsynsbegäran mail.docx", "A 19971-2025")</f>
        <v/>
      </c>
    </row>
    <row r="749" ht="15" customHeight="1">
      <c r="A749" t="inlineStr">
        <is>
          <t>A 19930-2025</t>
        </is>
      </c>
      <c r="B749" s="1" t="n">
        <v>45771</v>
      </c>
      <c r="C749" s="1" t="n">
        <v>45810</v>
      </c>
      <c r="D749" t="inlineStr">
        <is>
          <t>VÄRMLANDS LÄN</t>
        </is>
      </c>
      <c r="E749" t="inlineStr">
        <is>
          <t>TORSBY</t>
        </is>
      </c>
      <c r="G749" t="n">
        <v>9.199999999999999</v>
      </c>
      <c r="H749" t="n">
        <v>0</v>
      </c>
      <c r="I749" t="n">
        <v>1</v>
      </c>
      <c r="J749" t="n">
        <v>0</v>
      </c>
      <c r="K749" t="n">
        <v>0</v>
      </c>
      <c r="L749" t="n">
        <v>0</v>
      </c>
      <c r="M749" t="n">
        <v>0</v>
      </c>
      <c r="N749" t="n">
        <v>0</v>
      </c>
      <c r="O749" t="n">
        <v>0</v>
      </c>
      <c r="P749" t="n">
        <v>0</v>
      </c>
      <c r="Q749" t="n">
        <v>1</v>
      </c>
      <c r="R749" s="2" t="inlineStr">
        <is>
          <t>Skinnlav</t>
        </is>
      </c>
      <c r="S749">
        <f>HYPERLINK("https://klasma.github.io/Logging_171737/artfynd/A 19930-2025 artfynd.xlsx", "A 19930-2025")</f>
        <v/>
      </c>
      <c r="T749">
        <f>HYPERLINK("https://klasma.github.io/Logging_171737/kartor/A 19930-2025 karta.png", "A 19930-2025")</f>
        <v/>
      </c>
      <c r="V749">
        <f>HYPERLINK("https://klasma.github.io/Logging_171737/klagomål/A 19930-2025 FSC-klagomål.docx", "A 19930-2025")</f>
        <v/>
      </c>
      <c r="W749">
        <f>HYPERLINK("https://klasma.github.io/Logging_171737/klagomålsmail/A 19930-2025 FSC-klagomål mail.docx", "A 19930-2025")</f>
        <v/>
      </c>
      <c r="X749">
        <f>HYPERLINK("https://klasma.github.io/Logging_171737/tillsyn/A 19930-2025 tillsynsbegäran.docx", "A 19930-2025")</f>
        <v/>
      </c>
      <c r="Y749">
        <f>HYPERLINK("https://klasma.github.io/Logging_171737/tillsynsmail/A 19930-2025 tillsynsbegäran mail.docx", "A 19930-2025")</f>
        <v/>
      </c>
    </row>
    <row r="750" ht="15" customHeight="1">
      <c r="A750" t="inlineStr">
        <is>
          <t>A 20898-2025</t>
        </is>
      </c>
      <c r="B750" s="1" t="n">
        <v>45777</v>
      </c>
      <c r="C750" s="1" t="n">
        <v>45810</v>
      </c>
      <c r="D750" t="inlineStr">
        <is>
          <t>VÄRMLANDS LÄN</t>
        </is>
      </c>
      <c r="E750" t="inlineStr">
        <is>
          <t>EDA</t>
        </is>
      </c>
      <c r="F750" t="inlineStr">
        <is>
          <t>Bergvik skog väst AB</t>
        </is>
      </c>
      <c r="G750" t="n">
        <v>10</v>
      </c>
      <c r="H750" t="n">
        <v>1</v>
      </c>
      <c r="I750" t="n">
        <v>0</v>
      </c>
      <c r="J750" t="n">
        <v>1</v>
      </c>
      <c r="K750" t="n">
        <v>0</v>
      </c>
      <c r="L750" t="n">
        <v>0</v>
      </c>
      <c r="M750" t="n">
        <v>0</v>
      </c>
      <c r="N750" t="n">
        <v>0</v>
      </c>
      <c r="O750" t="n">
        <v>1</v>
      </c>
      <c r="P750" t="n">
        <v>0</v>
      </c>
      <c r="Q750" t="n">
        <v>1</v>
      </c>
      <c r="R750" s="2" t="inlineStr">
        <is>
          <t>Grönsångare</t>
        </is>
      </c>
      <c r="S750">
        <f>HYPERLINK("https://klasma.github.io/Logging_171730/artfynd/A 20898-2025 artfynd.xlsx", "A 20898-2025")</f>
        <v/>
      </c>
      <c r="T750">
        <f>HYPERLINK("https://klasma.github.io/Logging_171730/kartor/A 20898-2025 karta.png", "A 20898-2025")</f>
        <v/>
      </c>
      <c r="V750">
        <f>HYPERLINK("https://klasma.github.io/Logging_171730/klagomål/A 20898-2025 FSC-klagomål.docx", "A 20898-2025")</f>
        <v/>
      </c>
      <c r="W750">
        <f>HYPERLINK("https://klasma.github.io/Logging_171730/klagomålsmail/A 20898-2025 FSC-klagomål mail.docx", "A 20898-2025")</f>
        <v/>
      </c>
      <c r="X750">
        <f>HYPERLINK("https://klasma.github.io/Logging_171730/tillsyn/A 20898-2025 tillsynsbegäran.docx", "A 20898-2025")</f>
        <v/>
      </c>
      <c r="Y750">
        <f>HYPERLINK("https://klasma.github.io/Logging_171730/tillsynsmail/A 20898-2025 tillsynsbegäran mail.docx", "A 20898-2025")</f>
        <v/>
      </c>
      <c r="Z750">
        <f>HYPERLINK("https://klasma.github.io/Logging_171730/fåglar/A 20898-2025 prioriterade fågelarter.docx", "A 20898-2025")</f>
        <v/>
      </c>
    </row>
    <row r="751" ht="15" customHeight="1">
      <c r="A751" t="inlineStr">
        <is>
          <t>A 22621-2025</t>
        </is>
      </c>
      <c r="B751" s="1" t="n">
        <v>45789</v>
      </c>
      <c r="C751" s="1" t="n">
        <v>45810</v>
      </c>
      <c r="D751" t="inlineStr">
        <is>
          <t>VÄRMLANDS LÄN</t>
        </is>
      </c>
      <c r="E751" t="inlineStr">
        <is>
          <t>TORSBY</t>
        </is>
      </c>
      <c r="G751" t="n">
        <v>17.1</v>
      </c>
      <c r="H751" t="n">
        <v>0</v>
      </c>
      <c r="I751" t="n">
        <v>0</v>
      </c>
      <c r="J751" t="n">
        <v>1</v>
      </c>
      <c r="K751" t="n">
        <v>0</v>
      </c>
      <c r="L751" t="n">
        <v>0</v>
      </c>
      <c r="M751" t="n">
        <v>0</v>
      </c>
      <c r="N751" t="n">
        <v>0</v>
      </c>
      <c r="O751" t="n">
        <v>1</v>
      </c>
      <c r="P751" t="n">
        <v>0</v>
      </c>
      <c r="Q751" t="n">
        <v>1</v>
      </c>
      <c r="R751" s="2" t="inlineStr">
        <is>
          <t>Vaddporing</t>
        </is>
      </c>
      <c r="S751">
        <f>HYPERLINK("https://klasma.github.io/Logging_171737/artfynd/A 22621-2025 artfynd.xlsx", "A 22621-2025")</f>
        <v/>
      </c>
      <c r="T751">
        <f>HYPERLINK("https://klasma.github.io/Logging_171737/kartor/A 22621-2025 karta.png", "A 22621-2025")</f>
        <v/>
      </c>
      <c r="V751">
        <f>HYPERLINK("https://klasma.github.io/Logging_171737/klagomål/A 22621-2025 FSC-klagomål.docx", "A 22621-2025")</f>
        <v/>
      </c>
      <c r="W751">
        <f>HYPERLINK("https://klasma.github.io/Logging_171737/klagomålsmail/A 22621-2025 FSC-klagomål mail.docx", "A 22621-2025")</f>
        <v/>
      </c>
      <c r="X751">
        <f>HYPERLINK("https://klasma.github.io/Logging_171737/tillsyn/A 22621-2025 tillsynsbegäran.docx", "A 22621-2025")</f>
        <v/>
      </c>
      <c r="Y751">
        <f>HYPERLINK("https://klasma.github.io/Logging_171737/tillsynsmail/A 22621-2025 tillsynsbegäran mail.docx", "A 22621-2025")</f>
        <v/>
      </c>
    </row>
    <row r="752" ht="15" customHeight="1">
      <c r="A752" t="inlineStr">
        <is>
          <t>A 23023-2025</t>
        </is>
      </c>
      <c r="B752" s="1" t="n">
        <v>45790</v>
      </c>
      <c r="C752" s="1" t="n">
        <v>45810</v>
      </c>
      <c r="D752" t="inlineStr">
        <is>
          <t>VÄRMLANDS LÄN</t>
        </is>
      </c>
      <c r="E752" t="inlineStr">
        <is>
          <t>STORFORS</t>
        </is>
      </c>
      <c r="F752" t="inlineStr">
        <is>
          <t>Bergvik skog väst AB</t>
        </is>
      </c>
      <c r="G752" t="n">
        <v>2.3</v>
      </c>
      <c r="H752" t="n">
        <v>0</v>
      </c>
      <c r="I752" t="n">
        <v>1</v>
      </c>
      <c r="J752" t="n">
        <v>0</v>
      </c>
      <c r="K752" t="n">
        <v>0</v>
      </c>
      <c r="L752" t="n">
        <v>0</v>
      </c>
      <c r="M752" t="n">
        <v>0</v>
      </c>
      <c r="N752" t="n">
        <v>0</v>
      </c>
      <c r="O752" t="n">
        <v>0</v>
      </c>
      <c r="P752" t="n">
        <v>0</v>
      </c>
      <c r="Q752" t="n">
        <v>1</v>
      </c>
      <c r="R752" s="2" t="inlineStr">
        <is>
          <t>Vedticka</t>
        </is>
      </c>
      <c r="S752">
        <f>HYPERLINK("https://klasma.github.io/Logging_171760/artfynd/A 23023-2025 artfynd.xlsx", "A 23023-2025")</f>
        <v/>
      </c>
      <c r="T752">
        <f>HYPERLINK("https://klasma.github.io/Logging_171760/kartor/A 23023-2025 karta.png", "A 23023-2025")</f>
        <v/>
      </c>
      <c r="V752">
        <f>HYPERLINK("https://klasma.github.io/Logging_171760/klagomål/A 23023-2025 FSC-klagomål.docx", "A 23023-2025")</f>
        <v/>
      </c>
      <c r="W752">
        <f>HYPERLINK("https://klasma.github.io/Logging_171760/klagomålsmail/A 23023-2025 FSC-klagomål mail.docx", "A 23023-2025")</f>
        <v/>
      </c>
      <c r="X752">
        <f>HYPERLINK("https://klasma.github.io/Logging_171760/tillsyn/A 23023-2025 tillsynsbegäran.docx", "A 23023-2025")</f>
        <v/>
      </c>
      <c r="Y752">
        <f>HYPERLINK("https://klasma.github.io/Logging_171760/tillsynsmail/A 23023-2025 tillsynsbegäran mail.docx", "A 23023-2025")</f>
        <v/>
      </c>
    </row>
    <row r="753" ht="15" customHeight="1">
      <c r="A753" t="inlineStr">
        <is>
          <t>A 23693-2025</t>
        </is>
      </c>
      <c r="B753" s="1" t="n">
        <v>45793</v>
      </c>
      <c r="C753" s="1" t="n">
        <v>45810</v>
      </c>
      <c r="D753" t="inlineStr">
        <is>
          <t>VÄRMLANDS LÄN</t>
        </is>
      </c>
      <c r="E753" t="inlineStr">
        <is>
          <t>SUNNE</t>
        </is>
      </c>
      <c r="G753" t="n">
        <v>5.3</v>
      </c>
      <c r="H753" t="n">
        <v>1</v>
      </c>
      <c r="I753" t="n">
        <v>0</v>
      </c>
      <c r="J753" t="n">
        <v>1</v>
      </c>
      <c r="K753" t="n">
        <v>0</v>
      </c>
      <c r="L753" t="n">
        <v>0</v>
      </c>
      <c r="M753" t="n">
        <v>0</v>
      </c>
      <c r="N753" t="n">
        <v>0</v>
      </c>
      <c r="O753" t="n">
        <v>1</v>
      </c>
      <c r="P753" t="n">
        <v>0</v>
      </c>
      <c r="Q753" t="n">
        <v>1</v>
      </c>
      <c r="R753" s="2" t="inlineStr">
        <is>
          <t>Utter</t>
        </is>
      </c>
      <c r="S753">
        <f>HYPERLINK("https://klasma.github.io/Logging_171766/artfynd/A 23693-2025 artfynd.xlsx", "A 23693-2025")</f>
        <v/>
      </c>
      <c r="T753">
        <f>HYPERLINK("https://klasma.github.io/Logging_171766/kartor/A 23693-2025 karta.png", "A 23693-2025")</f>
        <v/>
      </c>
      <c r="V753">
        <f>HYPERLINK("https://klasma.github.io/Logging_171766/klagomål/A 23693-2025 FSC-klagomål.docx", "A 23693-2025")</f>
        <v/>
      </c>
      <c r="W753">
        <f>HYPERLINK("https://klasma.github.io/Logging_171766/klagomålsmail/A 23693-2025 FSC-klagomål mail.docx", "A 23693-2025")</f>
        <v/>
      </c>
      <c r="X753">
        <f>HYPERLINK("https://klasma.github.io/Logging_171766/tillsyn/A 23693-2025 tillsynsbegäran.docx", "A 23693-2025")</f>
        <v/>
      </c>
      <c r="Y753">
        <f>HYPERLINK("https://klasma.github.io/Logging_171766/tillsynsmail/A 23693-2025 tillsynsbegäran mail.docx", "A 23693-2025")</f>
        <v/>
      </c>
    </row>
    <row r="754" ht="15" customHeight="1">
      <c r="A754" t="inlineStr">
        <is>
          <t>A 23770-2025</t>
        </is>
      </c>
      <c r="B754" s="1" t="n">
        <v>45793</v>
      </c>
      <c r="C754" s="1" t="n">
        <v>45810</v>
      </c>
      <c r="D754" t="inlineStr">
        <is>
          <t>VÄRMLANDS LÄN</t>
        </is>
      </c>
      <c r="E754" t="inlineStr">
        <is>
          <t>SÄFFLE</t>
        </is>
      </c>
      <c r="G754" t="n">
        <v>6.9</v>
      </c>
      <c r="H754" t="n">
        <v>1</v>
      </c>
      <c r="I754" t="n">
        <v>0</v>
      </c>
      <c r="J754" t="n">
        <v>0</v>
      </c>
      <c r="K754" t="n">
        <v>0</v>
      </c>
      <c r="L754" t="n">
        <v>0</v>
      </c>
      <c r="M754" t="n">
        <v>0</v>
      </c>
      <c r="N754" t="n">
        <v>0</v>
      </c>
      <c r="O754" t="n">
        <v>0</v>
      </c>
      <c r="P754" t="n">
        <v>0</v>
      </c>
      <c r="Q754" t="n">
        <v>1</v>
      </c>
      <c r="R754" s="2" t="inlineStr">
        <is>
          <t>Kopparödla</t>
        </is>
      </c>
      <c r="S754">
        <f>HYPERLINK("https://klasma.github.io/Logging_171785/artfynd/A 23770-2025 artfynd.xlsx", "A 23770-2025")</f>
        <v/>
      </c>
      <c r="T754">
        <f>HYPERLINK("https://klasma.github.io/Logging_171785/kartor/A 23770-2025 karta.png", "A 23770-2025")</f>
        <v/>
      </c>
      <c r="V754">
        <f>HYPERLINK("https://klasma.github.io/Logging_171785/klagomål/A 23770-2025 FSC-klagomål.docx", "A 23770-2025")</f>
        <v/>
      </c>
      <c r="W754">
        <f>HYPERLINK("https://klasma.github.io/Logging_171785/klagomålsmail/A 23770-2025 FSC-klagomål mail.docx", "A 23770-2025")</f>
        <v/>
      </c>
      <c r="X754">
        <f>HYPERLINK("https://klasma.github.io/Logging_171785/tillsyn/A 23770-2025 tillsynsbegäran.docx", "A 23770-2025")</f>
        <v/>
      </c>
      <c r="Y754">
        <f>HYPERLINK("https://klasma.github.io/Logging_171785/tillsynsmail/A 23770-2025 tillsynsbegäran mail.docx", "A 23770-2025")</f>
        <v/>
      </c>
    </row>
    <row r="755" ht="15" customHeight="1">
      <c r="A755" t="inlineStr">
        <is>
          <t>A 24885-2025</t>
        </is>
      </c>
      <c r="B755" s="1" t="n">
        <v>45799</v>
      </c>
      <c r="C755" s="1" t="n">
        <v>45810</v>
      </c>
      <c r="D755" t="inlineStr">
        <is>
          <t>VÄRMLANDS LÄN</t>
        </is>
      </c>
      <c r="E755" t="inlineStr">
        <is>
          <t>HAGFORS</t>
        </is>
      </c>
      <c r="F755" t="inlineStr">
        <is>
          <t>Bergvik skog väst AB</t>
        </is>
      </c>
      <c r="G755" t="n">
        <v>2</v>
      </c>
      <c r="H755" t="n">
        <v>0</v>
      </c>
      <c r="I755" t="n">
        <v>1</v>
      </c>
      <c r="J755" t="n">
        <v>0</v>
      </c>
      <c r="K755" t="n">
        <v>0</v>
      </c>
      <c r="L755" t="n">
        <v>0</v>
      </c>
      <c r="M755" t="n">
        <v>0</v>
      </c>
      <c r="N755" t="n">
        <v>0</v>
      </c>
      <c r="O755" t="n">
        <v>0</v>
      </c>
      <c r="P755" t="n">
        <v>0</v>
      </c>
      <c r="Q755" t="n">
        <v>1</v>
      </c>
      <c r="R755" s="2" t="inlineStr">
        <is>
          <t>Mörk husmossa</t>
        </is>
      </c>
      <c r="S755">
        <f>HYPERLINK("https://klasma.github.io/Logging_171783/artfynd/A 24885-2025 artfynd.xlsx", "A 24885-2025")</f>
        <v/>
      </c>
      <c r="T755">
        <f>HYPERLINK("https://klasma.github.io/Logging_171783/kartor/A 24885-2025 karta.png", "A 24885-2025")</f>
        <v/>
      </c>
      <c r="V755">
        <f>HYPERLINK("https://klasma.github.io/Logging_171783/klagomål/A 24885-2025 FSC-klagomål.docx", "A 24885-2025")</f>
        <v/>
      </c>
      <c r="W755">
        <f>HYPERLINK("https://klasma.github.io/Logging_171783/klagomålsmail/A 24885-2025 FSC-klagomål mail.docx", "A 24885-2025")</f>
        <v/>
      </c>
      <c r="X755">
        <f>HYPERLINK("https://klasma.github.io/Logging_171783/tillsyn/A 24885-2025 tillsynsbegäran.docx", "A 24885-2025")</f>
        <v/>
      </c>
      <c r="Y755">
        <f>HYPERLINK("https://klasma.github.io/Logging_171783/tillsynsmail/A 24885-2025 tillsynsbegäran mail.docx", "A 24885-2025")</f>
        <v/>
      </c>
    </row>
    <row r="756" ht="15" customHeight="1">
      <c r="A756" t="inlineStr">
        <is>
          <t>A 25276-2025</t>
        </is>
      </c>
      <c r="B756" s="1" t="n">
        <v>45800</v>
      </c>
      <c r="C756" s="1" t="n">
        <v>45810</v>
      </c>
      <c r="D756" t="inlineStr">
        <is>
          <t>VÄRMLANDS LÄN</t>
        </is>
      </c>
      <c r="E756" t="inlineStr">
        <is>
          <t>TORSBY</t>
        </is>
      </c>
      <c r="G756" t="n">
        <v>27.6</v>
      </c>
      <c r="H756" t="n">
        <v>0</v>
      </c>
      <c r="I756" t="n">
        <v>0</v>
      </c>
      <c r="J756" t="n">
        <v>1</v>
      </c>
      <c r="K756" t="n">
        <v>0</v>
      </c>
      <c r="L756" t="n">
        <v>0</v>
      </c>
      <c r="M756" t="n">
        <v>0</v>
      </c>
      <c r="N756" t="n">
        <v>0</v>
      </c>
      <c r="O756" t="n">
        <v>1</v>
      </c>
      <c r="P756" t="n">
        <v>0</v>
      </c>
      <c r="Q756" t="n">
        <v>1</v>
      </c>
      <c r="R756" s="2" t="inlineStr">
        <is>
          <t>Lunglav</t>
        </is>
      </c>
      <c r="S756">
        <f>HYPERLINK("https://klasma.github.io/Logging_171737/artfynd/A 25276-2025 artfynd.xlsx", "A 25276-2025")</f>
        <v/>
      </c>
      <c r="T756">
        <f>HYPERLINK("https://klasma.github.io/Logging_171737/kartor/A 25276-2025 karta.png", "A 25276-2025")</f>
        <v/>
      </c>
      <c r="V756">
        <f>HYPERLINK("https://klasma.github.io/Logging_171737/klagomål/A 25276-2025 FSC-klagomål.docx", "A 25276-2025")</f>
        <v/>
      </c>
      <c r="W756">
        <f>HYPERLINK("https://klasma.github.io/Logging_171737/klagomålsmail/A 25276-2025 FSC-klagomål mail.docx", "A 25276-2025")</f>
        <v/>
      </c>
      <c r="X756">
        <f>HYPERLINK("https://klasma.github.io/Logging_171737/tillsyn/A 25276-2025 tillsynsbegäran.docx", "A 25276-2025")</f>
        <v/>
      </c>
      <c r="Y756">
        <f>HYPERLINK("https://klasma.github.io/Logging_171737/tillsynsmail/A 25276-2025 tillsynsbegäran mail.docx", "A 25276-2025")</f>
        <v/>
      </c>
    </row>
    <row r="757" ht="15" customHeight="1">
      <c r="A757" t="inlineStr">
        <is>
          <t>A 25217-2025</t>
        </is>
      </c>
      <c r="B757" s="1" t="n">
        <v>45800</v>
      </c>
      <c r="C757" s="1" t="n">
        <v>45810</v>
      </c>
      <c r="D757" t="inlineStr">
        <is>
          <t>VÄRMLANDS LÄN</t>
        </is>
      </c>
      <c r="E757" t="inlineStr">
        <is>
          <t>TORSBY</t>
        </is>
      </c>
      <c r="G757" t="n">
        <v>10.9</v>
      </c>
      <c r="H757" t="n">
        <v>0</v>
      </c>
      <c r="I757" t="n">
        <v>0</v>
      </c>
      <c r="J757" t="n">
        <v>1</v>
      </c>
      <c r="K757" t="n">
        <v>0</v>
      </c>
      <c r="L757" t="n">
        <v>0</v>
      </c>
      <c r="M757" t="n">
        <v>0</v>
      </c>
      <c r="N757" t="n">
        <v>0</v>
      </c>
      <c r="O757" t="n">
        <v>1</v>
      </c>
      <c r="P757" t="n">
        <v>0</v>
      </c>
      <c r="Q757" t="n">
        <v>1</v>
      </c>
      <c r="R757" s="2" t="inlineStr">
        <is>
          <t>Dvärgbägarlav</t>
        </is>
      </c>
      <c r="S757">
        <f>HYPERLINK("https://klasma.github.io/Logging_171737/artfynd/A 25217-2025 artfynd.xlsx", "A 25217-2025")</f>
        <v/>
      </c>
      <c r="T757">
        <f>HYPERLINK("https://klasma.github.io/Logging_171737/kartor/A 25217-2025 karta.png", "A 25217-2025")</f>
        <v/>
      </c>
      <c r="V757">
        <f>HYPERLINK("https://klasma.github.io/Logging_171737/klagomål/A 25217-2025 FSC-klagomål.docx", "A 25217-2025")</f>
        <v/>
      </c>
      <c r="W757">
        <f>HYPERLINK("https://klasma.github.io/Logging_171737/klagomålsmail/A 25217-2025 FSC-klagomål mail.docx", "A 25217-2025")</f>
        <v/>
      </c>
      <c r="X757">
        <f>HYPERLINK("https://klasma.github.io/Logging_171737/tillsyn/A 25217-2025 tillsynsbegäran.docx", "A 25217-2025")</f>
        <v/>
      </c>
      <c r="Y757">
        <f>HYPERLINK("https://klasma.github.io/Logging_171737/tillsynsmail/A 25217-2025 tillsynsbegäran mail.docx", "A 25217-2025")</f>
        <v/>
      </c>
    </row>
    <row r="758" ht="15" customHeight="1">
      <c r="A758" t="inlineStr">
        <is>
          <t>A 25477-2025</t>
        </is>
      </c>
      <c r="B758" s="1" t="n">
        <v>45802</v>
      </c>
      <c r="C758" s="1" t="n">
        <v>45810</v>
      </c>
      <c r="D758" t="inlineStr">
        <is>
          <t>VÄRMLANDS LÄN</t>
        </is>
      </c>
      <c r="E758" t="inlineStr">
        <is>
          <t>ARVIKA</t>
        </is>
      </c>
      <c r="G758" t="n">
        <v>0.9</v>
      </c>
      <c r="H758" t="n">
        <v>0</v>
      </c>
      <c r="I758" t="n">
        <v>1</v>
      </c>
      <c r="J758" t="n">
        <v>0</v>
      </c>
      <c r="K758" t="n">
        <v>0</v>
      </c>
      <c r="L758" t="n">
        <v>0</v>
      </c>
      <c r="M758" t="n">
        <v>0</v>
      </c>
      <c r="N758" t="n">
        <v>0</v>
      </c>
      <c r="O758" t="n">
        <v>0</v>
      </c>
      <c r="P758" t="n">
        <v>0</v>
      </c>
      <c r="Q758" t="n">
        <v>1</v>
      </c>
      <c r="R758" s="2" t="inlineStr">
        <is>
          <t>Kamjordstjärna</t>
        </is>
      </c>
      <c r="S758">
        <f>HYPERLINK("https://klasma.github.io/Logging_171784/artfynd/A 25477-2025 artfynd.xlsx", "A 25477-2025")</f>
        <v/>
      </c>
      <c r="T758">
        <f>HYPERLINK("https://klasma.github.io/Logging_171784/kartor/A 25477-2025 karta.png", "A 25477-2025")</f>
        <v/>
      </c>
      <c r="V758">
        <f>HYPERLINK("https://klasma.github.io/Logging_171784/klagomål/A 25477-2025 FSC-klagomål.docx", "A 25477-2025")</f>
        <v/>
      </c>
      <c r="W758">
        <f>HYPERLINK("https://klasma.github.io/Logging_171784/klagomålsmail/A 25477-2025 FSC-klagomål mail.docx", "A 25477-2025")</f>
        <v/>
      </c>
      <c r="X758">
        <f>HYPERLINK("https://klasma.github.io/Logging_171784/tillsyn/A 25477-2025 tillsynsbegäran.docx", "A 25477-2025")</f>
        <v/>
      </c>
      <c r="Y758">
        <f>HYPERLINK("https://klasma.github.io/Logging_171784/tillsynsmail/A 25477-2025 tillsynsbegäran mail.docx", "A 25477-2025")</f>
        <v/>
      </c>
    </row>
    <row r="759" ht="15" customHeight="1">
      <c r="A759" t="inlineStr">
        <is>
          <t>A 25485-2025</t>
        </is>
      </c>
      <c r="B759" s="1" t="n">
        <v>45803</v>
      </c>
      <c r="C759" s="1" t="n">
        <v>45810</v>
      </c>
      <c r="D759" t="inlineStr">
        <is>
          <t>VÄRMLANDS LÄN</t>
        </is>
      </c>
      <c r="E759" t="inlineStr">
        <is>
          <t>SUNNE</t>
        </is>
      </c>
      <c r="G759" t="n">
        <v>14.3</v>
      </c>
      <c r="H759" t="n">
        <v>0</v>
      </c>
      <c r="I759" t="n">
        <v>0</v>
      </c>
      <c r="J759" t="n">
        <v>1</v>
      </c>
      <c r="K759" t="n">
        <v>0</v>
      </c>
      <c r="L759" t="n">
        <v>0</v>
      </c>
      <c r="M759" t="n">
        <v>0</v>
      </c>
      <c r="N759" t="n">
        <v>0</v>
      </c>
      <c r="O759" t="n">
        <v>1</v>
      </c>
      <c r="P759" t="n">
        <v>0</v>
      </c>
      <c r="Q759" t="n">
        <v>1</v>
      </c>
      <c r="R759" s="2" t="inlineStr">
        <is>
          <t>Garnlav</t>
        </is>
      </c>
      <c r="S759">
        <f>HYPERLINK("https://klasma.github.io/Logging_171766/artfynd/A 25485-2025 artfynd.xlsx", "A 25485-2025")</f>
        <v/>
      </c>
      <c r="T759">
        <f>HYPERLINK("https://klasma.github.io/Logging_171766/kartor/A 25485-2025 karta.png", "A 25485-2025")</f>
        <v/>
      </c>
      <c r="V759">
        <f>HYPERLINK("https://klasma.github.io/Logging_171766/klagomål/A 25485-2025 FSC-klagomål.docx", "A 25485-2025")</f>
        <v/>
      </c>
      <c r="W759">
        <f>HYPERLINK("https://klasma.github.io/Logging_171766/klagomålsmail/A 25485-2025 FSC-klagomål mail.docx", "A 25485-2025")</f>
        <v/>
      </c>
      <c r="X759">
        <f>HYPERLINK("https://klasma.github.io/Logging_171766/tillsyn/A 25485-2025 tillsynsbegäran.docx", "A 25485-2025")</f>
        <v/>
      </c>
      <c r="Y759">
        <f>HYPERLINK("https://klasma.github.io/Logging_171766/tillsynsmail/A 25485-2025 tillsynsbegäran mail.docx", "A 25485-2025")</f>
        <v/>
      </c>
    </row>
    <row r="760" ht="15" customHeight="1">
      <c r="A760" t="inlineStr">
        <is>
          <t>A 25802-2025</t>
        </is>
      </c>
      <c r="B760" s="1" t="n">
        <v>45804</v>
      </c>
      <c r="C760" s="1" t="n">
        <v>45810</v>
      </c>
      <c r="D760" t="inlineStr">
        <is>
          <t>VÄRMLANDS LÄN</t>
        </is>
      </c>
      <c r="E760" t="inlineStr">
        <is>
          <t>TORSBY</t>
        </is>
      </c>
      <c r="G760" t="n">
        <v>2.3</v>
      </c>
      <c r="H760" t="n">
        <v>0</v>
      </c>
      <c r="I760" t="n">
        <v>0</v>
      </c>
      <c r="J760" t="n">
        <v>1</v>
      </c>
      <c r="K760" t="n">
        <v>0</v>
      </c>
      <c r="L760" t="n">
        <v>0</v>
      </c>
      <c r="M760" t="n">
        <v>0</v>
      </c>
      <c r="N760" t="n">
        <v>0</v>
      </c>
      <c r="O760" t="n">
        <v>1</v>
      </c>
      <c r="P760" t="n">
        <v>0</v>
      </c>
      <c r="Q760" t="n">
        <v>1</v>
      </c>
      <c r="R760" s="2" t="inlineStr">
        <is>
          <t>Tallticka</t>
        </is>
      </c>
      <c r="S760">
        <f>HYPERLINK("https://klasma.github.io/Logging_171737/artfynd/A 25802-2025 artfynd.xlsx", "A 25802-2025")</f>
        <v/>
      </c>
      <c r="T760">
        <f>HYPERLINK("https://klasma.github.io/Logging_171737/kartor/A 25802-2025 karta.png", "A 25802-2025")</f>
        <v/>
      </c>
      <c r="V760">
        <f>HYPERLINK("https://klasma.github.io/Logging_171737/klagomål/A 25802-2025 FSC-klagomål.docx", "A 25802-2025")</f>
        <v/>
      </c>
      <c r="W760">
        <f>HYPERLINK("https://klasma.github.io/Logging_171737/klagomålsmail/A 25802-2025 FSC-klagomål mail.docx", "A 25802-2025")</f>
        <v/>
      </c>
      <c r="X760">
        <f>HYPERLINK("https://klasma.github.io/Logging_171737/tillsyn/A 25802-2025 tillsynsbegäran.docx", "A 25802-2025")</f>
        <v/>
      </c>
      <c r="Y760">
        <f>HYPERLINK("https://klasma.github.io/Logging_171737/tillsynsmail/A 25802-2025 tillsynsbegäran mail.docx", "A 25802-2025")</f>
        <v/>
      </c>
    </row>
    <row r="761" ht="15" customHeight="1">
      <c r="A761" t="inlineStr">
        <is>
          <t>A 25916-2025</t>
        </is>
      </c>
      <c r="B761" s="1" t="n">
        <v>45804</v>
      </c>
      <c r="C761" s="1" t="n">
        <v>45810</v>
      </c>
      <c r="D761" t="inlineStr">
        <is>
          <t>VÄRMLANDS LÄN</t>
        </is>
      </c>
      <c r="E761" t="inlineStr">
        <is>
          <t>FILIPSTAD</t>
        </is>
      </c>
      <c r="F761" t="inlineStr">
        <is>
          <t>Bergvik skog väst AB</t>
        </is>
      </c>
      <c r="G761" t="n">
        <v>26.4</v>
      </c>
      <c r="H761" t="n">
        <v>0</v>
      </c>
      <c r="I761" t="n">
        <v>0</v>
      </c>
      <c r="J761" t="n">
        <v>1</v>
      </c>
      <c r="K761" t="n">
        <v>0</v>
      </c>
      <c r="L761" t="n">
        <v>0</v>
      </c>
      <c r="M761" t="n">
        <v>0</v>
      </c>
      <c r="N761" t="n">
        <v>0</v>
      </c>
      <c r="O761" t="n">
        <v>1</v>
      </c>
      <c r="P761" t="n">
        <v>0</v>
      </c>
      <c r="Q761" t="n">
        <v>1</v>
      </c>
      <c r="R761" s="2" t="inlineStr">
        <is>
          <t>Lunglav</t>
        </is>
      </c>
      <c r="S761">
        <f>HYPERLINK("https://klasma.github.io/Logging_171782/artfynd/A 25916-2025 artfynd.xlsx", "A 25916-2025")</f>
        <v/>
      </c>
      <c r="T761">
        <f>HYPERLINK("https://klasma.github.io/Logging_171782/kartor/A 25916-2025 karta.png", "A 25916-2025")</f>
        <v/>
      </c>
      <c r="V761">
        <f>HYPERLINK("https://klasma.github.io/Logging_171782/klagomål/A 25916-2025 FSC-klagomål.docx", "A 25916-2025")</f>
        <v/>
      </c>
      <c r="W761">
        <f>HYPERLINK("https://klasma.github.io/Logging_171782/klagomålsmail/A 25916-2025 FSC-klagomål mail.docx", "A 25916-2025")</f>
        <v/>
      </c>
      <c r="X761">
        <f>HYPERLINK("https://klasma.github.io/Logging_171782/tillsyn/A 25916-2025 tillsynsbegäran.docx", "A 25916-2025")</f>
        <v/>
      </c>
      <c r="Y761">
        <f>HYPERLINK("https://klasma.github.io/Logging_171782/tillsynsmail/A 25916-2025 tillsynsbegäran mail.docx", "A 25916-2025")</f>
        <v/>
      </c>
    </row>
    <row r="762" ht="15" customHeight="1">
      <c r="A762" t="inlineStr">
        <is>
          <t>A 17779-2019</t>
        </is>
      </c>
      <c r="B762" s="1" t="n">
        <v>43556</v>
      </c>
      <c r="C762" s="1" t="n">
        <v>45810</v>
      </c>
      <c r="D762" t="inlineStr">
        <is>
          <t>VÄRMLANDS LÄN</t>
        </is>
      </c>
      <c r="E762" t="inlineStr">
        <is>
          <t>ARVIKA</t>
        </is>
      </c>
      <c r="G762" t="n">
        <v>1.7</v>
      </c>
      <c r="H762" t="n">
        <v>0</v>
      </c>
      <c r="I762" t="n">
        <v>0</v>
      </c>
      <c r="J762" t="n">
        <v>0</v>
      </c>
      <c r="K762" t="n">
        <v>0</v>
      </c>
      <c r="L762" t="n">
        <v>0</v>
      </c>
      <c r="M762" t="n">
        <v>0</v>
      </c>
      <c r="N762" t="n">
        <v>0</v>
      </c>
      <c r="O762" t="n">
        <v>0</v>
      </c>
      <c r="P762" t="n">
        <v>0</v>
      </c>
      <c r="Q762" t="n">
        <v>0</v>
      </c>
      <c r="R762" s="2" t="inlineStr"/>
    </row>
    <row r="763" ht="15" customHeight="1">
      <c r="A763" t="inlineStr">
        <is>
          <t>A 17808-2019</t>
        </is>
      </c>
      <c r="B763" s="1" t="n">
        <v>43556</v>
      </c>
      <c r="C763" s="1" t="n">
        <v>45810</v>
      </c>
      <c r="D763" t="inlineStr">
        <is>
          <t>VÄRMLANDS LÄN</t>
        </is>
      </c>
      <c r="E763" t="inlineStr">
        <is>
          <t>TORSBY</t>
        </is>
      </c>
      <c r="G763" t="n">
        <v>2.1</v>
      </c>
      <c r="H763" t="n">
        <v>0</v>
      </c>
      <c r="I763" t="n">
        <v>0</v>
      </c>
      <c r="J763" t="n">
        <v>0</v>
      </c>
      <c r="K763" t="n">
        <v>0</v>
      </c>
      <c r="L763" t="n">
        <v>0</v>
      </c>
      <c r="M763" t="n">
        <v>0</v>
      </c>
      <c r="N763" t="n">
        <v>0</v>
      </c>
      <c r="O763" t="n">
        <v>0</v>
      </c>
      <c r="P763" t="n">
        <v>0</v>
      </c>
      <c r="Q763" t="n">
        <v>0</v>
      </c>
      <c r="R763" s="2" t="inlineStr"/>
    </row>
    <row r="764" ht="15" customHeight="1">
      <c r="A764" t="inlineStr">
        <is>
          <t>A 18001-2019</t>
        </is>
      </c>
      <c r="B764" s="1" t="n">
        <v>43556</v>
      </c>
      <c r="C764" s="1" t="n">
        <v>45810</v>
      </c>
      <c r="D764" t="inlineStr">
        <is>
          <t>VÄRMLANDS LÄN</t>
        </is>
      </c>
      <c r="E764" t="inlineStr">
        <is>
          <t>ARVIKA</t>
        </is>
      </c>
      <c r="G764" t="n">
        <v>9.199999999999999</v>
      </c>
      <c r="H764" t="n">
        <v>0</v>
      </c>
      <c r="I764" t="n">
        <v>0</v>
      </c>
      <c r="J764" t="n">
        <v>0</v>
      </c>
      <c r="K764" t="n">
        <v>0</v>
      </c>
      <c r="L764" t="n">
        <v>0</v>
      </c>
      <c r="M764" t="n">
        <v>0</v>
      </c>
      <c r="N764" t="n">
        <v>0</v>
      </c>
      <c r="O764" t="n">
        <v>0</v>
      </c>
      <c r="P764" t="n">
        <v>0</v>
      </c>
      <c r="Q764" t="n">
        <v>0</v>
      </c>
      <c r="R764" s="2" t="inlineStr"/>
    </row>
    <row r="765" ht="15" customHeight="1">
      <c r="A765" t="inlineStr">
        <is>
          <t>A 18033-2019</t>
        </is>
      </c>
      <c r="B765" s="1" t="n">
        <v>43556</v>
      </c>
      <c r="C765" s="1" t="n">
        <v>45810</v>
      </c>
      <c r="D765" t="inlineStr">
        <is>
          <t>VÄRMLANDS LÄN</t>
        </is>
      </c>
      <c r="E765" t="inlineStr">
        <is>
          <t>KARLSTAD</t>
        </is>
      </c>
      <c r="G765" t="n">
        <v>16.5</v>
      </c>
      <c r="H765" t="n">
        <v>0</v>
      </c>
      <c r="I765" t="n">
        <v>0</v>
      </c>
      <c r="J765" t="n">
        <v>0</v>
      </c>
      <c r="K765" t="n">
        <v>0</v>
      </c>
      <c r="L765" t="n">
        <v>0</v>
      </c>
      <c r="M765" t="n">
        <v>0</v>
      </c>
      <c r="N765" t="n">
        <v>0</v>
      </c>
      <c r="O765" t="n">
        <v>0</v>
      </c>
      <c r="P765" t="n">
        <v>0</v>
      </c>
      <c r="Q765" t="n">
        <v>0</v>
      </c>
      <c r="R765" s="2" t="inlineStr"/>
    </row>
    <row r="766" ht="15" customHeight="1">
      <c r="A766" t="inlineStr">
        <is>
          <t>A 18104-2019</t>
        </is>
      </c>
      <c r="B766" s="1" t="n">
        <v>43556</v>
      </c>
      <c r="C766" s="1" t="n">
        <v>45810</v>
      </c>
      <c r="D766" t="inlineStr">
        <is>
          <t>VÄRMLANDS LÄN</t>
        </is>
      </c>
      <c r="E766" t="inlineStr">
        <is>
          <t>KARLSTAD</t>
        </is>
      </c>
      <c r="G766" t="n">
        <v>1.3</v>
      </c>
      <c r="H766" t="n">
        <v>0</v>
      </c>
      <c r="I766" t="n">
        <v>0</v>
      </c>
      <c r="J766" t="n">
        <v>0</v>
      </c>
      <c r="K766" t="n">
        <v>0</v>
      </c>
      <c r="L766" t="n">
        <v>0</v>
      </c>
      <c r="M766" t="n">
        <v>0</v>
      </c>
      <c r="N766" t="n">
        <v>0</v>
      </c>
      <c r="O766" t="n">
        <v>0</v>
      </c>
      <c r="P766" t="n">
        <v>0</v>
      </c>
      <c r="Q766" t="n">
        <v>0</v>
      </c>
      <c r="R766" s="2" t="inlineStr"/>
    </row>
    <row r="767" ht="15" customHeight="1">
      <c r="A767" t="inlineStr">
        <is>
          <t>A 17788-2019</t>
        </is>
      </c>
      <c r="B767" s="1" t="n">
        <v>43556</v>
      </c>
      <c r="C767" s="1" t="n">
        <v>45810</v>
      </c>
      <c r="D767" t="inlineStr">
        <is>
          <t>VÄRMLANDS LÄN</t>
        </is>
      </c>
      <c r="E767" t="inlineStr">
        <is>
          <t>TORSBY</t>
        </is>
      </c>
      <c r="G767" t="n">
        <v>2.3</v>
      </c>
      <c r="H767" t="n">
        <v>0</v>
      </c>
      <c r="I767" t="n">
        <v>0</v>
      </c>
      <c r="J767" t="n">
        <v>0</v>
      </c>
      <c r="K767" t="n">
        <v>0</v>
      </c>
      <c r="L767" t="n">
        <v>0</v>
      </c>
      <c r="M767" t="n">
        <v>0</v>
      </c>
      <c r="N767" t="n">
        <v>0</v>
      </c>
      <c r="O767" t="n">
        <v>0</v>
      </c>
      <c r="P767" t="n">
        <v>0</v>
      </c>
      <c r="Q767" t="n">
        <v>0</v>
      </c>
      <c r="R767" s="2" t="inlineStr"/>
    </row>
    <row r="768" ht="15" customHeight="1">
      <c r="A768" t="inlineStr">
        <is>
          <t>A 17652-2019</t>
        </is>
      </c>
      <c r="B768" s="1" t="n">
        <v>43556</v>
      </c>
      <c r="C768" s="1" t="n">
        <v>45810</v>
      </c>
      <c r="D768" t="inlineStr">
        <is>
          <t>VÄRMLANDS LÄN</t>
        </is>
      </c>
      <c r="E768" t="inlineStr">
        <is>
          <t>ÅRJÄNG</t>
        </is>
      </c>
      <c r="G768" t="n">
        <v>0.5</v>
      </c>
      <c r="H768" t="n">
        <v>0</v>
      </c>
      <c r="I768" t="n">
        <v>0</v>
      </c>
      <c r="J768" t="n">
        <v>0</v>
      </c>
      <c r="K768" t="n">
        <v>0</v>
      </c>
      <c r="L768" t="n">
        <v>0</v>
      </c>
      <c r="M768" t="n">
        <v>0</v>
      </c>
      <c r="N768" t="n">
        <v>0</v>
      </c>
      <c r="O768" t="n">
        <v>0</v>
      </c>
      <c r="P768" t="n">
        <v>0</v>
      </c>
      <c r="Q768" t="n">
        <v>0</v>
      </c>
      <c r="R768" s="2" t="inlineStr"/>
    </row>
    <row r="769" ht="15" customHeight="1">
      <c r="A769" t="inlineStr">
        <is>
          <t>A 17878-2019</t>
        </is>
      </c>
      <c r="B769" s="1" t="n">
        <v>43557</v>
      </c>
      <c r="C769" s="1" t="n">
        <v>45810</v>
      </c>
      <c r="D769" t="inlineStr">
        <is>
          <t>VÄRMLANDS LÄN</t>
        </is>
      </c>
      <c r="E769" t="inlineStr">
        <is>
          <t>SUNNE</t>
        </is>
      </c>
      <c r="G769" t="n">
        <v>6.3</v>
      </c>
      <c r="H769" t="n">
        <v>0</v>
      </c>
      <c r="I769" t="n">
        <v>0</v>
      </c>
      <c r="J769" t="n">
        <v>0</v>
      </c>
      <c r="K769" t="n">
        <v>0</v>
      </c>
      <c r="L769" t="n">
        <v>0</v>
      </c>
      <c r="M769" t="n">
        <v>0</v>
      </c>
      <c r="N769" t="n">
        <v>0</v>
      </c>
      <c r="O769" t="n">
        <v>0</v>
      </c>
      <c r="P769" t="n">
        <v>0</v>
      </c>
      <c r="Q769" t="n">
        <v>0</v>
      </c>
      <c r="R769" s="2" t="inlineStr"/>
    </row>
    <row r="770" ht="15" customHeight="1">
      <c r="A770" t="inlineStr">
        <is>
          <t>A 17992-2019</t>
        </is>
      </c>
      <c r="B770" s="1" t="n">
        <v>43557</v>
      </c>
      <c r="C770" s="1" t="n">
        <v>45810</v>
      </c>
      <c r="D770" t="inlineStr">
        <is>
          <t>VÄRMLANDS LÄN</t>
        </is>
      </c>
      <c r="E770" t="inlineStr">
        <is>
          <t>SUNNE</t>
        </is>
      </c>
      <c r="F770" t="inlineStr">
        <is>
          <t>Övriga Aktiebolag</t>
        </is>
      </c>
      <c r="G770" t="n">
        <v>0.9</v>
      </c>
      <c r="H770" t="n">
        <v>0</v>
      </c>
      <c r="I770" t="n">
        <v>0</v>
      </c>
      <c r="J770" t="n">
        <v>0</v>
      </c>
      <c r="K770" t="n">
        <v>0</v>
      </c>
      <c r="L770" t="n">
        <v>0</v>
      </c>
      <c r="M770" t="n">
        <v>0</v>
      </c>
      <c r="N770" t="n">
        <v>0</v>
      </c>
      <c r="O770" t="n">
        <v>0</v>
      </c>
      <c r="P770" t="n">
        <v>0</v>
      </c>
      <c r="Q770" t="n">
        <v>0</v>
      </c>
      <c r="R770" s="2" t="inlineStr"/>
    </row>
    <row r="771" ht="15" customHeight="1">
      <c r="A771" t="inlineStr">
        <is>
          <t>A 17923-2019</t>
        </is>
      </c>
      <c r="B771" s="1" t="n">
        <v>43557</v>
      </c>
      <c r="C771" s="1" t="n">
        <v>45810</v>
      </c>
      <c r="D771" t="inlineStr">
        <is>
          <t>VÄRMLANDS LÄN</t>
        </is>
      </c>
      <c r="E771" t="inlineStr">
        <is>
          <t>KARLSTAD</t>
        </is>
      </c>
      <c r="G771" t="n">
        <v>1.1</v>
      </c>
      <c r="H771" t="n">
        <v>0</v>
      </c>
      <c r="I771" t="n">
        <v>0</v>
      </c>
      <c r="J771" t="n">
        <v>0</v>
      </c>
      <c r="K771" t="n">
        <v>0</v>
      </c>
      <c r="L771" t="n">
        <v>0</v>
      </c>
      <c r="M771" t="n">
        <v>0</v>
      </c>
      <c r="N771" t="n">
        <v>0</v>
      </c>
      <c r="O771" t="n">
        <v>0</v>
      </c>
      <c r="P771" t="n">
        <v>0</v>
      </c>
      <c r="Q771" t="n">
        <v>0</v>
      </c>
      <c r="R771" s="2" t="inlineStr"/>
    </row>
    <row r="772" ht="15" customHeight="1">
      <c r="A772" t="inlineStr">
        <is>
          <t>A 17957-2019</t>
        </is>
      </c>
      <c r="B772" s="1" t="n">
        <v>43557</v>
      </c>
      <c r="C772" s="1" t="n">
        <v>45810</v>
      </c>
      <c r="D772" t="inlineStr">
        <is>
          <t>VÄRMLANDS LÄN</t>
        </is>
      </c>
      <c r="E772" t="inlineStr">
        <is>
          <t>TORSBY</t>
        </is>
      </c>
      <c r="G772" t="n">
        <v>1.6</v>
      </c>
      <c r="H772" t="n">
        <v>0</v>
      </c>
      <c r="I772" t="n">
        <v>0</v>
      </c>
      <c r="J772" t="n">
        <v>0</v>
      </c>
      <c r="K772" t="n">
        <v>0</v>
      </c>
      <c r="L772" t="n">
        <v>0</v>
      </c>
      <c r="M772" t="n">
        <v>0</v>
      </c>
      <c r="N772" t="n">
        <v>0</v>
      </c>
      <c r="O772" t="n">
        <v>0</v>
      </c>
      <c r="P772" t="n">
        <v>0</v>
      </c>
      <c r="Q772" t="n">
        <v>0</v>
      </c>
      <c r="R772" s="2" t="inlineStr"/>
    </row>
    <row r="773" ht="15" customHeight="1">
      <c r="A773" t="inlineStr">
        <is>
          <t>A 18243-2019</t>
        </is>
      </c>
      <c r="B773" s="1" t="n">
        <v>43557</v>
      </c>
      <c r="C773" s="1" t="n">
        <v>45810</v>
      </c>
      <c r="D773" t="inlineStr">
        <is>
          <t>VÄRMLANDS LÄN</t>
        </is>
      </c>
      <c r="E773" t="inlineStr">
        <is>
          <t>ARVIKA</t>
        </is>
      </c>
      <c r="G773" t="n">
        <v>14.3</v>
      </c>
      <c r="H773" t="n">
        <v>0</v>
      </c>
      <c r="I773" t="n">
        <v>0</v>
      </c>
      <c r="J773" t="n">
        <v>0</v>
      </c>
      <c r="K773" t="n">
        <v>0</v>
      </c>
      <c r="L773" t="n">
        <v>0</v>
      </c>
      <c r="M773" t="n">
        <v>0</v>
      </c>
      <c r="N773" t="n">
        <v>0</v>
      </c>
      <c r="O773" t="n">
        <v>0</v>
      </c>
      <c r="P773" t="n">
        <v>0</v>
      </c>
      <c r="Q773" t="n">
        <v>0</v>
      </c>
      <c r="R773" s="2" t="inlineStr"/>
    </row>
    <row r="774" ht="15" customHeight="1">
      <c r="A774" t="inlineStr">
        <is>
          <t>A 18273-2019</t>
        </is>
      </c>
      <c r="B774" s="1" t="n">
        <v>43557</v>
      </c>
      <c r="C774" s="1" t="n">
        <v>45810</v>
      </c>
      <c r="D774" t="inlineStr">
        <is>
          <t>VÄRMLANDS LÄN</t>
        </is>
      </c>
      <c r="E774" t="inlineStr">
        <is>
          <t>SÄFFLE</t>
        </is>
      </c>
      <c r="G774" t="n">
        <v>0.6</v>
      </c>
      <c r="H774" t="n">
        <v>0</v>
      </c>
      <c r="I774" t="n">
        <v>0</v>
      </c>
      <c r="J774" t="n">
        <v>0</v>
      </c>
      <c r="K774" t="n">
        <v>0</v>
      </c>
      <c r="L774" t="n">
        <v>0</v>
      </c>
      <c r="M774" t="n">
        <v>0</v>
      </c>
      <c r="N774" t="n">
        <v>0</v>
      </c>
      <c r="O774" t="n">
        <v>0</v>
      </c>
      <c r="P774" t="n">
        <v>0</v>
      </c>
      <c r="Q774" t="n">
        <v>0</v>
      </c>
      <c r="R774" s="2" t="inlineStr"/>
    </row>
    <row r="775" ht="15" customHeight="1">
      <c r="A775" t="inlineStr">
        <is>
          <t>A 18257-2019</t>
        </is>
      </c>
      <c r="B775" s="1" t="n">
        <v>43557</v>
      </c>
      <c r="C775" s="1" t="n">
        <v>45810</v>
      </c>
      <c r="D775" t="inlineStr">
        <is>
          <t>VÄRMLANDS LÄN</t>
        </is>
      </c>
      <c r="E775" t="inlineStr">
        <is>
          <t>KARLSTAD</t>
        </is>
      </c>
      <c r="G775" t="n">
        <v>8.4</v>
      </c>
      <c r="H775" t="n">
        <v>0</v>
      </c>
      <c r="I775" t="n">
        <v>0</v>
      </c>
      <c r="J775" t="n">
        <v>0</v>
      </c>
      <c r="K775" t="n">
        <v>0</v>
      </c>
      <c r="L775" t="n">
        <v>0</v>
      </c>
      <c r="M775" t="n">
        <v>0</v>
      </c>
      <c r="N775" t="n">
        <v>0</v>
      </c>
      <c r="O775" t="n">
        <v>0</v>
      </c>
      <c r="P775" t="n">
        <v>0</v>
      </c>
      <c r="Q775" t="n">
        <v>0</v>
      </c>
      <c r="R775" s="2" t="inlineStr"/>
    </row>
    <row r="776" ht="15" customHeight="1">
      <c r="A776" t="inlineStr">
        <is>
          <t>A 17864-2019</t>
        </is>
      </c>
      <c r="B776" s="1" t="n">
        <v>43557</v>
      </c>
      <c r="C776" s="1" t="n">
        <v>45810</v>
      </c>
      <c r="D776" t="inlineStr">
        <is>
          <t>VÄRMLANDS LÄN</t>
        </is>
      </c>
      <c r="E776" t="inlineStr">
        <is>
          <t>TORSBY</t>
        </is>
      </c>
      <c r="G776" t="n">
        <v>1.4</v>
      </c>
      <c r="H776" t="n">
        <v>0</v>
      </c>
      <c r="I776" t="n">
        <v>0</v>
      </c>
      <c r="J776" t="n">
        <v>0</v>
      </c>
      <c r="K776" t="n">
        <v>0</v>
      </c>
      <c r="L776" t="n">
        <v>0</v>
      </c>
      <c r="M776" t="n">
        <v>0</v>
      </c>
      <c r="N776" t="n">
        <v>0</v>
      </c>
      <c r="O776" t="n">
        <v>0</v>
      </c>
      <c r="P776" t="n">
        <v>0</v>
      </c>
      <c r="Q776" t="n">
        <v>0</v>
      </c>
      <c r="R776" s="2" t="inlineStr"/>
    </row>
    <row r="777" ht="15" customHeight="1">
      <c r="A777" t="inlineStr">
        <is>
          <t>A 17868-2019</t>
        </is>
      </c>
      <c r="B777" s="1" t="n">
        <v>43557</v>
      </c>
      <c r="C777" s="1" t="n">
        <v>45810</v>
      </c>
      <c r="D777" t="inlineStr">
        <is>
          <t>VÄRMLANDS LÄN</t>
        </is>
      </c>
      <c r="E777" t="inlineStr">
        <is>
          <t>GRUMS</t>
        </is>
      </c>
      <c r="G777" t="n">
        <v>5</v>
      </c>
      <c r="H777" t="n">
        <v>0</v>
      </c>
      <c r="I777" t="n">
        <v>0</v>
      </c>
      <c r="J777" t="n">
        <v>0</v>
      </c>
      <c r="K777" t="n">
        <v>0</v>
      </c>
      <c r="L777" t="n">
        <v>0</v>
      </c>
      <c r="M777" t="n">
        <v>0</v>
      </c>
      <c r="N777" t="n">
        <v>0</v>
      </c>
      <c r="O777" t="n">
        <v>0</v>
      </c>
      <c r="P777" t="n">
        <v>0</v>
      </c>
      <c r="Q777" t="n">
        <v>0</v>
      </c>
      <c r="R777" s="2" t="inlineStr"/>
    </row>
    <row r="778" ht="15" customHeight="1">
      <c r="A778" t="inlineStr">
        <is>
          <t>A 18249-2019</t>
        </is>
      </c>
      <c r="B778" s="1" t="n">
        <v>43557</v>
      </c>
      <c r="C778" s="1" t="n">
        <v>45810</v>
      </c>
      <c r="D778" t="inlineStr">
        <is>
          <t>VÄRMLANDS LÄN</t>
        </is>
      </c>
      <c r="E778" t="inlineStr">
        <is>
          <t>ARVIKA</t>
        </is>
      </c>
      <c r="G778" t="n">
        <v>3.2</v>
      </c>
      <c r="H778" t="n">
        <v>0</v>
      </c>
      <c r="I778" t="n">
        <v>0</v>
      </c>
      <c r="J778" t="n">
        <v>0</v>
      </c>
      <c r="K778" t="n">
        <v>0</v>
      </c>
      <c r="L778" t="n">
        <v>0</v>
      </c>
      <c r="M778" t="n">
        <v>0</v>
      </c>
      <c r="N778" t="n">
        <v>0</v>
      </c>
      <c r="O778" t="n">
        <v>0</v>
      </c>
      <c r="P778" t="n">
        <v>0</v>
      </c>
      <c r="Q778" t="n">
        <v>0</v>
      </c>
      <c r="R778" s="2" t="inlineStr"/>
    </row>
    <row r="779" ht="15" customHeight="1">
      <c r="A779" t="inlineStr">
        <is>
          <t>A 18009-2019</t>
        </is>
      </c>
      <c r="B779" s="1" t="n">
        <v>43557</v>
      </c>
      <c r="C779" s="1" t="n">
        <v>45810</v>
      </c>
      <c r="D779" t="inlineStr">
        <is>
          <t>VÄRMLANDS LÄN</t>
        </is>
      </c>
      <c r="E779" t="inlineStr">
        <is>
          <t>SUNNE</t>
        </is>
      </c>
      <c r="F779" t="inlineStr">
        <is>
          <t>Övriga Aktiebolag</t>
        </is>
      </c>
      <c r="G779" t="n">
        <v>5.8</v>
      </c>
      <c r="H779" t="n">
        <v>0</v>
      </c>
      <c r="I779" t="n">
        <v>0</v>
      </c>
      <c r="J779" t="n">
        <v>0</v>
      </c>
      <c r="K779" t="n">
        <v>0</v>
      </c>
      <c r="L779" t="n">
        <v>0</v>
      </c>
      <c r="M779" t="n">
        <v>0</v>
      </c>
      <c r="N779" t="n">
        <v>0</v>
      </c>
      <c r="O779" t="n">
        <v>0</v>
      </c>
      <c r="P779" t="n">
        <v>0</v>
      </c>
      <c r="Q779" t="n">
        <v>0</v>
      </c>
      <c r="R779" s="2" t="inlineStr"/>
    </row>
    <row r="780" ht="15" customHeight="1">
      <c r="A780" t="inlineStr">
        <is>
          <t>A 18270-2019</t>
        </is>
      </c>
      <c r="B780" s="1" t="n">
        <v>43557</v>
      </c>
      <c r="C780" s="1" t="n">
        <v>45810</v>
      </c>
      <c r="D780" t="inlineStr">
        <is>
          <t>VÄRMLANDS LÄN</t>
        </is>
      </c>
      <c r="E780" t="inlineStr">
        <is>
          <t>SÄFFLE</t>
        </is>
      </c>
      <c r="G780" t="n">
        <v>0.8</v>
      </c>
      <c r="H780" t="n">
        <v>0</v>
      </c>
      <c r="I780" t="n">
        <v>0</v>
      </c>
      <c r="J780" t="n">
        <v>0</v>
      </c>
      <c r="K780" t="n">
        <v>0</v>
      </c>
      <c r="L780" t="n">
        <v>0</v>
      </c>
      <c r="M780" t="n">
        <v>0</v>
      </c>
      <c r="N780" t="n">
        <v>0</v>
      </c>
      <c r="O780" t="n">
        <v>0</v>
      </c>
      <c r="P780" t="n">
        <v>0</v>
      </c>
      <c r="Q780" t="n">
        <v>0</v>
      </c>
      <c r="R780" s="2" t="inlineStr"/>
    </row>
    <row r="781" ht="15" customHeight="1">
      <c r="A781" t="inlineStr">
        <is>
          <t>A 18279-2019</t>
        </is>
      </c>
      <c r="B781" s="1" t="n">
        <v>43557</v>
      </c>
      <c r="C781" s="1" t="n">
        <v>45810</v>
      </c>
      <c r="D781" t="inlineStr">
        <is>
          <t>VÄRMLANDS LÄN</t>
        </is>
      </c>
      <c r="E781" t="inlineStr">
        <is>
          <t>SÄFFLE</t>
        </is>
      </c>
      <c r="G781" t="n">
        <v>4.9</v>
      </c>
      <c r="H781" t="n">
        <v>0</v>
      </c>
      <c r="I781" t="n">
        <v>0</v>
      </c>
      <c r="J781" t="n">
        <v>0</v>
      </c>
      <c r="K781" t="n">
        <v>0</v>
      </c>
      <c r="L781" t="n">
        <v>0</v>
      </c>
      <c r="M781" t="n">
        <v>0</v>
      </c>
      <c r="N781" t="n">
        <v>0</v>
      </c>
      <c r="O781" t="n">
        <v>0</v>
      </c>
      <c r="P781" t="n">
        <v>0</v>
      </c>
      <c r="Q781" t="n">
        <v>0</v>
      </c>
      <c r="R781" s="2" t="inlineStr"/>
    </row>
    <row r="782" ht="15" customHeight="1">
      <c r="A782" t="inlineStr">
        <is>
          <t>A 17895-2019</t>
        </is>
      </c>
      <c r="B782" s="1" t="n">
        <v>43557</v>
      </c>
      <c r="C782" s="1" t="n">
        <v>45810</v>
      </c>
      <c r="D782" t="inlineStr">
        <is>
          <t>VÄRMLANDS LÄN</t>
        </is>
      </c>
      <c r="E782" t="inlineStr">
        <is>
          <t>SUNNE</t>
        </is>
      </c>
      <c r="G782" t="n">
        <v>7.6</v>
      </c>
      <c r="H782" t="n">
        <v>0</v>
      </c>
      <c r="I782" t="n">
        <v>0</v>
      </c>
      <c r="J782" t="n">
        <v>0</v>
      </c>
      <c r="K782" t="n">
        <v>0</v>
      </c>
      <c r="L782" t="n">
        <v>0</v>
      </c>
      <c r="M782" t="n">
        <v>0</v>
      </c>
      <c r="N782" t="n">
        <v>0</v>
      </c>
      <c r="O782" t="n">
        <v>0</v>
      </c>
      <c r="P782" t="n">
        <v>0</v>
      </c>
      <c r="Q782" t="n">
        <v>0</v>
      </c>
      <c r="R782" s="2" t="inlineStr"/>
    </row>
    <row r="783" ht="15" customHeight="1">
      <c r="A783" t="inlineStr">
        <is>
          <t>A 18120-2019</t>
        </is>
      </c>
      <c r="B783" s="1" t="n">
        <v>43558</v>
      </c>
      <c r="C783" s="1" t="n">
        <v>45810</v>
      </c>
      <c r="D783" t="inlineStr">
        <is>
          <t>VÄRMLANDS LÄN</t>
        </is>
      </c>
      <c r="E783" t="inlineStr">
        <is>
          <t>KARLSTAD</t>
        </is>
      </c>
      <c r="G783" t="n">
        <v>3.8</v>
      </c>
      <c r="H783" t="n">
        <v>0</v>
      </c>
      <c r="I783" t="n">
        <v>0</v>
      </c>
      <c r="J783" t="n">
        <v>0</v>
      </c>
      <c r="K783" t="n">
        <v>0</v>
      </c>
      <c r="L783" t="n">
        <v>0</v>
      </c>
      <c r="M783" t="n">
        <v>0</v>
      </c>
      <c r="N783" t="n">
        <v>0</v>
      </c>
      <c r="O783" t="n">
        <v>0</v>
      </c>
      <c r="P783" t="n">
        <v>0</v>
      </c>
      <c r="Q783" t="n">
        <v>0</v>
      </c>
      <c r="R783" s="2" t="inlineStr"/>
    </row>
    <row r="784" ht="15" customHeight="1">
      <c r="A784" t="inlineStr">
        <is>
          <t>A 18117-2019</t>
        </is>
      </c>
      <c r="B784" s="1" t="n">
        <v>43558</v>
      </c>
      <c r="C784" s="1" t="n">
        <v>45810</v>
      </c>
      <c r="D784" t="inlineStr">
        <is>
          <t>VÄRMLANDS LÄN</t>
        </is>
      </c>
      <c r="E784" t="inlineStr">
        <is>
          <t>ARVIKA</t>
        </is>
      </c>
      <c r="G784" t="n">
        <v>1.1</v>
      </c>
      <c r="H784" t="n">
        <v>0</v>
      </c>
      <c r="I784" t="n">
        <v>0</v>
      </c>
      <c r="J784" t="n">
        <v>0</v>
      </c>
      <c r="K784" t="n">
        <v>0</v>
      </c>
      <c r="L784" t="n">
        <v>0</v>
      </c>
      <c r="M784" t="n">
        <v>0</v>
      </c>
      <c r="N784" t="n">
        <v>0</v>
      </c>
      <c r="O784" t="n">
        <v>0</v>
      </c>
      <c r="P784" t="n">
        <v>0</v>
      </c>
      <c r="Q784" t="n">
        <v>0</v>
      </c>
      <c r="R784" s="2" t="inlineStr"/>
    </row>
    <row r="785" ht="15" customHeight="1">
      <c r="A785" t="inlineStr">
        <is>
          <t>A 18093-2019</t>
        </is>
      </c>
      <c r="B785" s="1" t="n">
        <v>43558</v>
      </c>
      <c r="C785" s="1" t="n">
        <v>45810</v>
      </c>
      <c r="D785" t="inlineStr">
        <is>
          <t>VÄRMLANDS LÄN</t>
        </is>
      </c>
      <c r="E785" t="inlineStr">
        <is>
          <t>KIL</t>
        </is>
      </c>
      <c r="G785" t="n">
        <v>0.8</v>
      </c>
      <c r="H785" t="n">
        <v>0</v>
      </c>
      <c r="I785" t="n">
        <v>0</v>
      </c>
      <c r="J785" t="n">
        <v>0</v>
      </c>
      <c r="K785" t="n">
        <v>0</v>
      </c>
      <c r="L785" t="n">
        <v>0</v>
      </c>
      <c r="M785" t="n">
        <v>0</v>
      </c>
      <c r="N785" t="n">
        <v>0</v>
      </c>
      <c r="O785" t="n">
        <v>0</v>
      </c>
      <c r="P785" t="n">
        <v>0</v>
      </c>
      <c r="Q785" t="n">
        <v>0</v>
      </c>
      <c r="R785" s="2" t="inlineStr"/>
    </row>
    <row r="786" ht="15" customHeight="1">
      <c r="A786" t="inlineStr">
        <is>
          <t>A 18113-2019</t>
        </is>
      </c>
      <c r="B786" s="1" t="n">
        <v>43558</v>
      </c>
      <c r="C786" s="1" t="n">
        <v>45810</v>
      </c>
      <c r="D786" t="inlineStr">
        <is>
          <t>VÄRMLANDS LÄN</t>
        </is>
      </c>
      <c r="E786" t="inlineStr">
        <is>
          <t>FORSHAGA</t>
        </is>
      </c>
      <c r="F786" t="inlineStr">
        <is>
          <t>Bergvik skog väst AB</t>
        </is>
      </c>
      <c r="G786" t="n">
        <v>4.4</v>
      </c>
      <c r="H786" t="n">
        <v>0</v>
      </c>
      <c r="I786" t="n">
        <v>0</v>
      </c>
      <c r="J786" t="n">
        <v>0</v>
      </c>
      <c r="K786" t="n">
        <v>0</v>
      </c>
      <c r="L786" t="n">
        <v>0</v>
      </c>
      <c r="M786" t="n">
        <v>0</v>
      </c>
      <c r="N786" t="n">
        <v>0</v>
      </c>
      <c r="O786" t="n">
        <v>0</v>
      </c>
      <c r="P786" t="n">
        <v>0</v>
      </c>
      <c r="Q786" t="n">
        <v>0</v>
      </c>
      <c r="R786" s="2" t="inlineStr"/>
    </row>
    <row r="787" ht="15" customHeight="1">
      <c r="A787" t="inlineStr">
        <is>
          <t>A 18118-2019</t>
        </is>
      </c>
      <c r="B787" s="1" t="n">
        <v>43558</v>
      </c>
      <c r="C787" s="1" t="n">
        <v>45810</v>
      </c>
      <c r="D787" t="inlineStr">
        <is>
          <t>VÄRMLANDS LÄN</t>
        </is>
      </c>
      <c r="E787" t="inlineStr">
        <is>
          <t>EDA</t>
        </is>
      </c>
      <c r="F787" t="inlineStr">
        <is>
          <t>Bergvik skog väst AB</t>
        </is>
      </c>
      <c r="G787" t="n">
        <v>5.7</v>
      </c>
      <c r="H787" t="n">
        <v>0</v>
      </c>
      <c r="I787" t="n">
        <v>0</v>
      </c>
      <c r="J787" t="n">
        <v>0</v>
      </c>
      <c r="K787" t="n">
        <v>0</v>
      </c>
      <c r="L787" t="n">
        <v>0</v>
      </c>
      <c r="M787" t="n">
        <v>0</v>
      </c>
      <c r="N787" t="n">
        <v>0</v>
      </c>
      <c r="O787" t="n">
        <v>0</v>
      </c>
      <c r="P787" t="n">
        <v>0</v>
      </c>
      <c r="Q787" t="n">
        <v>0</v>
      </c>
      <c r="R787" s="2" t="inlineStr"/>
    </row>
    <row r="788" ht="15" customHeight="1">
      <c r="A788" t="inlineStr">
        <is>
          <t>A 18126-2019</t>
        </is>
      </c>
      <c r="B788" s="1" t="n">
        <v>43558</v>
      </c>
      <c r="C788" s="1" t="n">
        <v>45810</v>
      </c>
      <c r="D788" t="inlineStr">
        <is>
          <t>VÄRMLANDS LÄN</t>
        </is>
      </c>
      <c r="E788" t="inlineStr">
        <is>
          <t>KARLSTAD</t>
        </is>
      </c>
      <c r="G788" t="n">
        <v>1.4</v>
      </c>
      <c r="H788" t="n">
        <v>0</v>
      </c>
      <c r="I788" t="n">
        <v>0</v>
      </c>
      <c r="J788" t="n">
        <v>0</v>
      </c>
      <c r="K788" t="n">
        <v>0</v>
      </c>
      <c r="L788" t="n">
        <v>0</v>
      </c>
      <c r="M788" t="n">
        <v>0</v>
      </c>
      <c r="N788" t="n">
        <v>0</v>
      </c>
      <c r="O788" t="n">
        <v>0</v>
      </c>
      <c r="P788" t="n">
        <v>0</v>
      </c>
      <c r="Q788" t="n">
        <v>0</v>
      </c>
      <c r="R788" s="2" t="inlineStr"/>
    </row>
    <row r="789" ht="15" customHeight="1">
      <c r="A789" t="inlineStr">
        <is>
          <t>A 18153-2019</t>
        </is>
      </c>
      <c r="B789" s="1" t="n">
        <v>43558</v>
      </c>
      <c r="C789" s="1" t="n">
        <v>45810</v>
      </c>
      <c r="D789" t="inlineStr">
        <is>
          <t>VÄRMLANDS LÄN</t>
        </is>
      </c>
      <c r="E789" t="inlineStr">
        <is>
          <t>ARVIKA</t>
        </is>
      </c>
      <c r="G789" t="n">
        <v>1.9</v>
      </c>
      <c r="H789" t="n">
        <v>0</v>
      </c>
      <c r="I789" t="n">
        <v>0</v>
      </c>
      <c r="J789" t="n">
        <v>0</v>
      </c>
      <c r="K789" t="n">
        <v>0</v>
      </c>
      <c r="L789" t="n">
        <v>0</v>
      </c>
      <c r="M789" t="n">
        <v>0</v>
      </c>
      <c r="N789" t="n">
        <v>0</v>
      </c>
      <c r="O789" t="n">
        <v>0</v>
      </c>
      <c r="P789" t="n">
        <v>0</v>
      </c>
      <c r="Q789" t="n">
        <v>0</v>
      </c>
      <c r="R789" s="2" t="inlineStr"/>
    </row>
    <row r="790" ht="15" customHeight="1">
      <c r="A790" t="inlineStr">
        <is>
          <t>A 18281-2019</t>
        </is>
      </c>
      <c r="B790" s="1" t="n">
        <v>43558</v>
      </c>
      <c r="C790" s="1" t="n">
        <v>45810</v>
      </c>
      <c r="D790" t="inlineStr">
        <is>
          <t>VÄRMLANDS LÄN</t>
        </is>
      </c>
      <c r="E790" t="inlineStr">
        <is>
          <t>HAGFORS</t>
        </is>
      </c>
      <c r="G790" t="n">
        <v>1.4</v>
      </c>
      <c r="H790" t="n">
        <v>0</v>
      </c>
      <c r="I790" t="n">
        <v>0</v>
      </c>
      <c r="J790" t="n">
        <v>0</v>
      </c>
      <c r="K790" t="n">
        <v>0</v>
      </c>
      <c r="L790" t="n">
        <v>0</v>
      </c>
      <c r="M790" t="n">
        <v>0</v>
      </c>
      <c r="N790" t="n">
        <v>0</v>
      </c>
      <c r="O790" t="n">
        <v>0</v>
      </c>
      <c r="P790" t="n">
        <v>0</v>
      </c>
      <c r="Q790" t="n">
        <v>0</v>
      </c>
      <c r="R790" s="2" t="inlineStr"/>
    </row>
    <row r="791" ht="15" customHeight="1">
      <c r="A791" t="inlineStr">
        <is>
          <t>A 18285-2019</t>
        </is>
      </c>
      <c r="B791" s="1" t="n">
        <v>43558</v>
      </c>
      <c r="C791" s="1" t="n">
        <v>45810</v>
      </c>
      <c r="D791" t="inlineStr">
        <is>
          <t>VÄRMLANDS LÄN</t>
        </is>
      </c>
      <c r="E791" t="inlineStr">
        <is>
          <t>KARLSTAD</t>
        </is>
      </c>
      <c r="F791" t="inlineStr">
        <is>
          <t>Övriga statliga verk och myndigheter</t>
        </is>
      </c>
      <c r="G791" t="n">
        <v>9.300000000000001</v>
      </c>
      <c r="H791" t="n">
        <v>0</v>
      </c>
      <c r="I791" t="n">
        <v>0</v>
      </c>
      <c r="J791" t="n">
        <v>0</v>
      </c>
      <c r="K791" t="n">
        <v>0</v>
      </c>
      <c r="L791" t="n">
        <v>0</v>
      </c>
      <c r="M791" t="n">
        <v>0</v>
      </c>
      <c r="N791" t="n">
        <v>0</v>
      </c>
      <c r="O791" t="n">
        <v>0</v>
      </c>
      <c r="P791" t="n">
        <v>0</v>
      </c>
      <c r="Q791" t="n">
        <v>0</v>
      </c>
      <c r="R791" s="2" t="inlineStr"/>
    </row>
    <row r="792" ht="15" customHeight="1">
      <c r="A792" t="inlineStr">
        <is>
          <t>A 18385-2019</t>
        </is>
      </c>
      <c r="B792" s="1" t="n">
        <v>43558</v>
      </c>
      <c r="C792" s="1" t="n">
        <v>45810</v>
      </c>
      <c r="D792" t="inlineStr">
        <is>
          <t>VÄRMLANDS LÄN</t>
        </is>
      </c>
      <c r="E792" t="inlineStr">
        <is>
          <t>KRISTINEHAMN</t>
        </is>
      </c>
      <c r="G792" t="n">
        <v>1.4</v>
      </c>
      <c r="H792" t="n">
        <v>0</v>
      </c>
      <c r="I792" t="n">
        <v>0</v>
      </c>
      <c r="J792" t="n">
        <v>0</v>
      </c>
      <c r="K792" t="n">
        <v>0</v>
      </c>
      <c r="L792" t="n">
        <v>0</v>
      </c>
      <c r="M792" t="n">
        <v>0</v>
      </c>
      <c r="N792" t="n">
        <v>0</v>
      </c>
      <c r="O792" t="n">
        <v>0</v>
      </c>
      <c r="P792" t="n">
        <v>0</v>
      </c>
      <c r="Q792" t="n">
        <v>0</v>
      </c>
      <c r="R792" s="2" t="inlineStr"/>
    </row>
    <row r="793" ht="15" customHeight="1">
      <c r="A793" t="inlineStr">
        <is>
          <t>A 18103-2019</t>
        </is>
      </c>
      <c r="B793" s="1" t="n">
        <v>43558</v>
      </c>
      <c r="C793" s="1" t="n">
        <v>45810</v>
      </c>
      <c r="D793" t="inlineStr">
        <is>
          <t>VÄRMLANDS LÄN</t>
        </is>
      </c>
      <c r="E793" t="inlineStr">
        <is>
          <t>ÅRJÄNG</t>
        </is>
      </c>
      <c r="G793" t="n">
        <v>1</v>
      </c>
      <c r="H793" t="n">
        <v>0</v>
      </c>
      <c r="I793" t="n">
        <v>0</v>
      </c>
      <c r="J793" t="n">
        <v>0</v>
      </c>
      <c r="K793" t="n">
        <v>0</v>
      </c>
      <c r="L793" t="n">
        <v>0</v>
      </c>
      <c r="M793" t="n">
        <v>0</v>
      </c>
      <c r="N793" t="n">
        <v>0</v>
      </c>
      <c r="O793" t="n">
        <v>0</v>
      </c>
      <c r="P793" t="n">
        <v>0</v>
      </c>
      <c r="Q793" t="n">
        <v>0</v>
      </c>
      <c r="R793" s="2" t="inlineStr"/>
    </row>
    <row r="794" ht="15" customHeight="1">
      <c r="A794" t="inlineStr">
        <is>
          <t>A 18332-2019</t>
        </is>
      </c>
      <c r="B794" s="1" t="n">
        <v>43559</v>
      </c>
      <c r="C794" s="1" t="n">
        <v>45810</v>
      </c>
      <c r="D794" t="inlineStr">
        <is>
          <t>VÄRMLANDS LÄN</t>
        </is>
      </c>
      <c r="E794" t="inlineStr">
        <is>
          <t>ÅRJÄNG</t>
        </is>
      </c>
      <c r="G794" t="n">
        <v>8.199999999999999</v>
      </c>
      <c r="H794" t="n">
        <v>0</v>
      </c>
      <c r="I794" t="n">
        <v>0</v>
      </c>
      <c r="J794" t="n">
        <v>0</v>
      </c>
      <c r="K794" t="n">
        <v>0</v>
      </c>
      <c r="L794" t="n">
        <v>0</v>
      </c>
      <c r="M794" t="n">
        <v>0</v>
      </c>
      <c r="N794" t="n">
        <v>0</v>
      </c>
      <c r="O794" t="n">
        <v>0</v>
      </c>
      <c r="P794" t="n">
        <v>0</v>
      </c>
      <c r="Q794" t="n">
        <v>0</v>
      </c>
      <c r="R794" s="2" t="inlineStr"/>
    </row>
    <row r="795" ht="15" customHeight="1">
      <c r="A795" t="inlineStr">
        <is>
          <t>A 18451-2019</t>
        </is>
      </c>
      <c r="B795" s="1" t="n">
        <v>43559</v>
      </c>
      <c r="C795" s="1" t="n">
        <v>45810</v>
      </c>
      <c r="D795" t="inlineStr">
        <is>
          <t>VÄRMLANDS LÄN</t>
        </is>
      </c>
      <c r="E795" t="inlineStr">
        <is>
          <t>KIL</t>
        </is>
      </c>
      <c r="G795" t="n">
        <v>2.2</v>
      </c>
      <c r="H795" t="n">
        <v>0</v>
      </c>
      <c r="I795" t="n">
        <v>0</v>
      </c>
      <c r="J795" t="n">
        <v>0</v>
      </c>
      <c r="K795" t="n">
        <v>0</v>
      </c>
      <c r="L795" t="n">
        <v>0</v>
      </c>
      <c r="M795" t="n">
        <v>0</v>
      </c>
      <c r="N795" t="n">
        <v>0</v>
      </c>
      <c r="O795" t="n">
        <v>0</v>
      </c>
      <c r="P795" t="n">
        <v>0</v>
      </c>
      <c r="Q795" t="n">
        <v>0</v>
      </c>
      <c r="R795" s="2" t="inlineStr"/>
    </row>
    <row r="796" ht="15" customHeight="1">
      <c r="A796" t="inlineStr">
        <is>
          <t>A 18309-2019</t>
        </is>
      </c>
      <c r="B796" s="1" t="n">
        <v>43559</v>
      </c>
      <c r="C796" s="1" t="n">
        <v>45810</v>
      </c>
      <c r="D796" t="inlineStr">
        <is>
          <t>VÄRMLANDS LÄN</t>
        </is>
      </c>
      <c r="E796" t="inlineStr">
        <is>
          <t>KIL</t>
        </is>
      </c>
      <c r="G796" t="n">
        <v>2.1</v>
      </c>
      <c r="H796" t="n">
        <v>0</v>
      </c>
      <c r="I796" t="n">
        <v>0</v>
      </c>
      <c r="J796" t="n">
        <v>0</v>
      </c>
      <c r="K796" t="n">
        <v>0</v>
      </c>
      <c r="L796" t="n">
        <v>0</v>
      </c>
      <c r="M796" t="n">
        <v>0</v>
      </c>
      <c r="N796" t="n">
        <v>0</v>
      </c>
      <c r="O796" t="n">
        <v>0</v>
      </c>
      <c r="P796" t="n">
        <v>0</v>
      </c>
      <c r="Q796" t="n">
        <v>0</v>
      </c>
      <c r="R796" s="2" t="inlineStr"/>
    </row>
    <row r="797" ht="15" customHeight="1">
      <c r="A797" t="inlineStr">
        <is>
          <t>A 18308-2019</t>
        </is>
      </c>
      <c r="B797" s="1" t="n">
        <v>43559</v>
      </c>
      <c r="C797" s="1" t="n">
        <v>45810</v>
      </c>
      <c r="D797" t="inlineStr">
        <is>
          <t>VÄRMLANDS LÄN</t>
        </is>
      </c>
      <c r="E797" t="inlineStr">
        <is>
          <t>KIL</t>
        </is>
      </c>
      <c r="G797" t="n">
        <v>1</v>
      </c>
      <c r="H797" t="n">
        <v>0</v>
      </c>
      <c r="I797" t="n">
        <v>0</v>
      </c>
      <c r="J797" t="n">
        <v>0</v>
      </c>
      <c r="K797" t="n">
        <v>0</v>
      </c>
      <c r="L797" t="n">
        <v>0</v>
      </c>
      <c r="M797" t="n">
        <v>0</v>
      </c>
      <c r="N797" t="n">
        <v>0</v>
      </c>
      <c r="O797" t="n">
        <v>0</v>
      </c>
      <c r="P797" t="n">
        <v>0</v>
      </c>
      <c r="Q797" t="n">
        <v>0</v>
      </c>
      <c r="R797" s="2" t="inlineStr"/>
    </row>
    <row r="798" ht="15" customHeight="1">
      <c r="A798" t="inlineStr">
        <is>
          <t>A 18551-2019</t>
        </is>
      </c>
      <c r="B798" s="1" t="n">
        <v>43559</v>
      </c>
      <c r="C798" s="1" t="n">
        <v>45810</v>
      </c>
      <c r="D798" t="inlineStr">
        <is>
          <t>VÄRMLANDS LÄN</t>
        </is>
      </c>
      <c r="E798" t="inlineStr">
        <is>
          <t>TORSBY</t>
        </is>
      </c>
      <c r="G798" t="n">
        <v>1.5</v>
      </c>
      <c r="H798" t="n">
        <v>0</v>
      </c>
      <c r="I798" t="n">
        <v>0</v>
      </c>
      <c r="J798" t="n">
        <v>0</v>
      </c>
      <c r="K798" t="n">
        <v>0</v>
      </c>
      <c r="L798" t="n">
        <v>0</v>
      </c>
      <c r="M798" t="n">
        <v>0</v>
      </c>
      <c r="N798" t="n">
        <v>0</v>
      </c>
      <c r="O798" t="n">
        <v>0</v>
      </c>
      <c r="P798" t="n">
        <v>0</v>
      </c>
      <c r="Q798" t="n">
        <v>0</v>
      </c>
      <c r="R798" s="2" t="inlineStr"/>
    </row>
    <row r="799" ht="15" customHeight="1">
      <c r="A799" t="inlineStr">
        <is>
          <t>A 18638-2019</t>
        </is>
      </c>
      <c r="B799" s="1" t="n">
        <v>43559</v>
      </c>
      <c r="C799" s="1" t="n">
        <v>45810</v>
      </c>
      <c r="D799" t="inlineStr">
        <is>
          <t>VÄRMLANDS LÄN</t>
        </is>
      </c>
      <c r="E799" t="inlineStr">
        <is>
          <t>KRISTINEHAMN</t>
        </is>
      </c>
      <c r="G799" t="n">
        <v>1.3</v>
      </c>
      <c r="H799" t="n">
        <v>0</v>
      </c>
      <c r="I799" t="n">
        <v>0</v>
      </c>
      <c r="J799" t="n">
        <v>0</v>
      </c>
      <c r="K799" t="n">
        <v>0</v>
      </c>
      <c r="L799" t="n">
        <v>0</v>
      </c>
      <c r="M799" t="n">
        <v>0</v>
      </c>
      <c r="N799" t="n">
        <v>0</v>
      </c>
      <c r="O799" t="n">
        <v>0</v>
      </c>
      <c r="P799" t="n">
        <v>0</v>
      </c>
      <c r="Q799" t="n">
        <v>0</v>
      </c>
      <c r="R799" s="2" t="inlineStr"/>
    </row>
    <row r="800" ht="15" customHeight="1">
      <c r="A800" t="inlineStr">
        <is>
          <t>A 18549-2019</t>
        </is>
      </c>
      <c r="B800" s="1" t="n">
        <v>43559</v>
      </c>
      <c r="C800" s="1" t="n">
        <v>45810</v>
      </c>
      <c r="D800" t="inlineStr">
        <is>
          <t>VÄRMLANDS LÄN</t>
        </is>
      </c>
      <c r="E800" t="inlineStr">
        <is>
          <t>GRUMS</t>
        </is>
      </c>
      <c r="G800" t="n">
        <v>2.6</v>
      </c>
      <c r="H800" t="n">
        <v>0</v>
      </c>
      <c r="I800" t="n">
        <v>0</v>
      </c>
      <c r="J800" t="n">
        <v>0</v>
      </c>
      <c r="K800" t="n">
        <v>0</v>
      </c>
      <c r="L800" t="n">
        <v>0</v>
      </c>
      <c r="M800" t="n">
        <v>0</v>
      </c>
      <c r="N800" t="n">
        <v>0</v>
      </c>
      <c r="O800" t="n">
        <v>0</v>
      </c>
      <c r="P800" t="n">
        <v>0</v>
      </c>
      <c r="Q800" t="n">
        <v>0</v>
      </c>
      <c r="R800" s="2" t="inlineStr"/>
    </row>
    <row r="801" ht="15" customHeight="1">
      <c r="A801" t="inlineStr">
        <is>
          <t>A 18655-2019</t>
        </is>
      </c>
      <c r="B801" s="1" t="n">
        <v>43559</v>
      </c>
      <c r="C801" s="1" t="n">
        <v>45810</v>
      </c>
      <c r="D801" t="inlineStr">
        <is>
          <t>VÄRMLANDS LÄN</t>
        </is>
      </c>
      <c r="E801" t="inlineStr">
        <is>
          <t>SÄFFLE</t>
        </is>
      </c>
      <c r="F801" t="inlineStr">
        <is>
          <t>Bergvik skog väst AB</t>
        </is>
      </c>
      <c r="G801" t="n">
        <v>8.199999999999999</v>
      </c>
      <c r="H801" t="n">
        <v>0</v>
      </c>
      <c r="I801" t="n">
        <v>0</v>
      </c>
      <c r="J801" t="n">
        <v>0</v>
      </c>
      <c r="K801" t="n">
        <v>0</v>
      </c>
      <c r="L801" t="n">
        <v>0</v>
      </c>
      <c r="M801" t="n">
        <v>0</v>
      </c>
      <c r="N801" t="n">
        <v>0</v>
      </c>
      <c r="O801" t="n">
        <v>0</v>
      </c>
      <c r="P801" t="n">
        <v>0</v>
      </c>
      <c r="Q801" t="n">
        <v>0</v>
      </c>
      <c r="R801" s="2" t="inlineStr"/>
    </row>
    <row r="802" ht="15" customHeight="1">
      <c r="A802" t="inlineStr">
        <is>
          <t>A 18525-2019</t>
        </is>
      </c>
      <c r="B802" s="1" t="n">
        <v>43559</v>
      </c>
      <c r="C802" s="1" t="n">
        <v>45810</v>
      </c>
      <c r="D802" t="inlineStr">
        <is>
          <t>VÄRMLANDS LÄN</t>
        </is>
      </c>
      <c r="E802" t="inlineStr">
        <is>
          <t>KARLSTAD</t>
        </is>
      </c>
      <c r="G802" t="n">
        <v>1.5</v>
      </c>
      <c r="H802" t="n">
        <v>0</v>
      </c>
      <c r="I802" t="n">
        <v>0</v>
      </c>
      <c r="J802" t="n">
        <v>0</v>
      </c>
      <c r="K802" t="n">
        <v>0</v>
      </c>
      <c r="L802" t="n">
        <v>0</v>
      </c>
      <c r="M802" t="n">
        <v>0</v>
      </c>
      <c r="N802" t="n">
        <v>0</v>
      </c>
      <c r="O802" t="n">
        <v>0</v>
      </c>
      <c r="P802" t="n">
        <v>0</v>
      </c>
      <c r="Q802" t="n">
        <v>0</v>
      </c>
      <c r="R802" s="2" t="inlineStr"/>
    </row>
    <row r="803" ht="15" customHeight="1">
      <c r="A803" t="inlineStr">
        <is>
          <t>A 18508-2019</t>
        </is>
      </c>
      <c r="B803" s="1" t="n">
        <v>43559</v>
      </c>
      <c r="C803" s="1" t="n">
        <v>45810</v>
      </c>
      <c r="D803" t="inlineStr">
        <is>
          <t>VÄRMLANDS LÄN</t>
        </is>
      </c>
      <c r="E803" t="inlineStr">
        <is>
          <t>EDA</t>
        </is>
      </c>
      <c r="G803" t="n">
        <v>0.9</v>
      </c>
      <c r="H803" t="n">
        <v>0</v>
      </c>
      <c r="I803" t="n">
        <v>0</v>
      </c>
      <c r="J803" t="n">
        <v>0</v>
      </c>
      <c r="K803" t="n">
        <v>0</v>
      </c>
      <c r="L803" t="n">
        <v>0</v>
      </c>
      <c r="M803" t="n">
        <v>0</v>
      </c>
      <c r="N803" t="n">
        <v>0</v>
      </c>
      <c r="O803" t="n">
        <v>0</v>
      </c>
      <c r="P803" t="n">
        <v>0</v>
      </c>
      <c r="Q803" t="n">
        <v>0</v>
      </c>
      <c r="R803" s="2" t="inlineStr"/>
    </row>
    <row r="804" ht="15" customHeight="1">
      <c r="A804" t="inlineStr">
        <is>
          <t>A 18817-2019</t>
        </is>
      </c>
      <c r="B804" s="1" t="n">
        <v>43560</v>
      </c>
      <c r="C804" s="1" t="n">
        <v>45810</v>
      </c>
      <c r="D804" t="inlineStr">
        <is>
          <t>VÄRMLANDS LÄN</t>
        </is>
      </c>
      <c r="E804" t="inlineStr">
        <is>
          <t>SÄFFLE</t>
        </is>
      </c>
      <c r="G804" t="n">
        <v>2.9</v>
      </c>
      <c r="H804" t="n">
        <v>0</v>
      </c>
      <c r="I804" t="n">
        <v>0</v>
      </c>
      <c r="J804" t="n">
        <v>0</v>
      </c>
      <c r="K804" t="n">
        <v>0</v>
      </c>
      <c r="L804" t="n">
        <v>0</v>
      </c>
      <c r="M804" t="n">
        <v>0</v>
      </c>
      <c r="N804" t="n">
        <v>0</v>
      </c>
      <c r="O804" t="n">
        <v>0</v>
      </c>
      <c r="P804" t="n">
        <v>0</v>
      </c>
      <c r="Q804" t="n">
        <v>0</v>
      </c>
      <c r="R804" s="2" t="inlineStr"/>
    </row>
    <row r="805" ht="15" customHeight="1">
      <c r="A805" t="inlineStr">
        <is>
          <t>A 18676-2019</t>
        </is>
      </c>
      <c r="B805" s="1" t="n">
        <v>43560</v>
      </c>
      <c r="C805" s="1" t="n">
        <v>45810</v>
      </c>
      <c r="D805" t="inlineStr">
        <is>
          <t>VÄRMLANDS LÄN</t>
        </is>
      </c>
      <c r="E805" t="inlineStr">
        <is>
          <t>EDA</t>
        </is>
      </c>
      <c r="F805" t="inlineStr">
        <is>
          <t>Bergvik skog väst AB</t>
        </is>
      </c>
      <c r="G805" t="n">
        <v>5.7</v>
      </c>
      <c r="H805" t="n">
        <v>0</v>
      </c>
      <c r="I805" t="n">
        <v>0</v>
      </c>
      <c r="J805" t="n">
        <v>0</v>
      </c>
      <c r="K805" t="n">
        <v>0</v>
      </c>
      <c r="L805" t="n">
        <v>0</v>
      </c>
      <c r="M805" t="n">
        <v>0</v>
      </c>
      <c r="N805" t="n">
        <v>0</v>
      </c>
      <c r="O805" t="n">
        <v>0</v>
      </c>
      <c r="P805" t="n">
        <v>0</v>
      </c>
      <c r="Q805" t="n">
        <v>0</v>
      </c>
      <c r="R805" s="2" t="inlineStr"/>
    </row>
    <row r="806" ht="15" customHeight="1">
      <c r="A806" t="inlineStr">
        <is>
          <t>A 18736-2019</t>
        </is>
      </c>
      <c r="B806" s="1" t="n">
        <v>43560</v>
      </c>
      <c r="C806" s="1" t="n">
        <v>45810</v>
      </c>
      <c r="D806" t="inlineStr">
        <is>
          <t>VÄRMLANDS LÄN</t>
        </is>
      </c>
      <c r="E806" t="inlineStr">
        <is>
          <t>HAGFORS</t>
        </is>
      </c>
      <c r="G806" t="n">
        <v>1.9</v>
      </c>
      <c r="H806" t="n">
        <v>0</v>
      </c>
      <c r="I806" t="n">
        <v>0</v>
      </c>
      <c r="J806" t="n">
        <v>0</v>
      </c>
      <c r="K806" t="n">
        <v>0</v>
      </c>
      <c r="L806" t="n">
        <v>0</v>
      </c>
      <c r="M806" t="n">
        <v>0</v>
      </c>
      <c r="N806" t="n">
        <v>0</v>
      </c>
      <c r="O806" t="n">
        <v>0</v>
      </c>
      <c r="P806" t="n">
        <v>0</v>
      </c>
      <c r="Q806" t="n">
        <v>0</v>
      </c>
      <c r="R806" s="2" t="inlineStr"/>
    </row>
    <row r="807" ht="15" customHeight="1">
      <c r="A807" t="inlineStr">
        <is>
          <t>A 18750-2019</t>
        </is>
      </c>
      <c r="B807" s="1" t="n">
        <v>43560</v>
      </c>
      <c r="C807" s="1" t="n">
        <v>45810</v>
      </c>
      <c r="D807" t="inlineStr">
        <is>
          <t>VÄRMLANDS LÄN</t>
        </is>
      </c>
      <c r="E807" t="inlineStr">
        <is>
          <t>STORFORS</t>
        </is>
      </c>
      <c r="G807" t="n">
        <v>1</v>
      </c>
      <c r="H807" t="n">
        <v>0</v>
      </c>
      <c r="I807" t="n">
        <v>0</v>
      </c>
      <c r="J807" t="n">
        <v>0</v>
      </c>
      <c r="K807" t="n">
        <v>0</v>
      </c>
      <c r="L807" t="n">
        <v>0</v>
      </c>
      <c r="M807" t="n">
        <v>0</v>
      </c>
      <c r="N807" t="n">
        <v>0</v>
      </c>
      <c r="O807" t="n">
        <v>0</v>
      </c>
      <c r="P807" t="n">
        <v>0</v>
      </c>
      <c r="Q807" t="n">
        <v>0</v>
      </c>
      <c r="R807" s="2" t="inlineStr"/>
    </row>
    <row r="808" ht="15" customHeight="1">
      <c r="A808" t="inlineStr">
        <is>
          <t>A 18830-2019</t>
        </is>
      </c>
      <c r="B808" s="1" t="n">
        <v>43560</v>
      </c>
      <c r="C808" s="1" t="n">
        <v>45810</v>
      </c>
      <c r="D808" t="inlineStr">
        <is>
          <t>VÄRMLANDS LÄN</t>
        </is>
      </c>
      <c r="E808" t="inlineStr">
        <is>
          <t>ÅRJÄNG</t>
        </is>
      </c>
      <c r="G808" t="n">
        <v>10.4</v>
      </c>
      <c r="H808" t="n">
        <v>0</v>
      </c>
      <c r="I808" t="n">
        <v>0</v>
      </c>
      <c r="J808" t="n">
        <v>0</v>
      </c>
      <c r="K808" t="n">
        <v>0</v>
      </c>
      <c r="L808" t="n">
        <v>0</v>
      </c>
      <c r="M808" t="n">
        <v>0</v>
      </c>
      <c r="N808" t="n">
        <v>0</v>
      </c>
      <c r="O808" t="n">
        <v>0</v>
      </c>
      <c r="P808" t="n">
        <v>0</v>
      </c>
      <c r="Q808" t="n">
        <v>0</v>
      </c>
      <c r="R808" s="2" t="inlineStr"/>
    </row>
    <row r="809" ht="15" customHeight="1">
      <c r="A809" t="inlineStr">
        <is>
          <t>A 18574-2019</t>
        </is>
      </c>
      <c r="B809" s="1" t="n">
        <v>43560</v>
      </c>
      <c r="C809" s="1" t="n">
        <v>45810</v>
      </c>
      <c r="D809" t="inlineStr">
        <is>
          <t>VÄRMLANDS LÄN</t>
        </is>
      </c>
      <c r="E809" t="inlineStr">
        <is>
          <t>ARVIKA</t>
        </is>
      </c>
      <c r="F809" t="inlineStr">
        <is>
          <t>Bergvik skog väst AB</t>
        </is>
      </c>
      <c r="G809" t="n">
        <v>4.5</v>
      </c>
      <c r="H809" t="n">
        <v>0</v>
      </c>
      <c r="I809" t="n">
        <v>0</v>
      </c>
      <c r="J809" t="n">
        <v>0</v>
      </c>
      <c r="K809" t="n">
        <v>0</v>
      </c>
      <c r="L809" t="n">
        <v>0</v>
      </c>
      <c r="M809" t="n">
        <v>0</v>
      </c>
      <c r="N809" t="n">
        <v>0</v>
      </c>
      <c r="O809" t="n">
        <v>0</v>
      </c>
      <c r="P809" t="n">
        <v>0</v>
      </c>
      <c r="Q809" t="n">
        <v>0</v>
      </c>
      <c r="R809" s="2" t="inlineStr"/>
    </row>
    <row r="810" ht="15" customHeight="1">
      <c r="A810" t="inlineStr">
        <is>
          <t>A 18773-2019</t>
        </is>
      </c>
      <c r="B810" s="1" t="n">
        <v>43561</v>
      </c>
      <c r="C810" s="1" t="n">
        <v>45810</v>
      </c>
      <c r="D810" t="inlineStr">
        <is>
          <t>VÄRMLANDS LÄN</t>
        </is>
      </c>
      <c r="E810" t="inlineStr">
        <is>
          <t>GRUMS</t>
        </is>
      </c>
      <c r="G810" t="n">
        <v>9.5</v>
      </c>
      <c r="H810" t="n">
        <v>0</v>
      </c>
      <c r="I810" t="n">
        <v>0</v>
      </c>
      <c r="J810" t="n">
        <v>0</v>
      </c>
      <c r="K810" t="n">
        <v>0</v>
      </c>
      <c r="L810" t="n">
        <v>0</v>
      </c>
      <c r="M810" t="n">
        <v>0</v>
      </c>
      <c r="N810" t="n">
        <v>0</v>
      </c>
      <c r="O810" t="n">
        <v>0</v>
      </c>
      <c r="P810" t="n">
        <v>0</v>
      </c>
      <c r="Q810" t="n">
        <v>0</v>
      </c>
      <c r="R810" s="2" t="inlineStr"/>
    </row>
    <row r="811" ht="15" customHeight="1">
      <c r="A811" t="inlineStr">
        <is>
          <t>A 18832-2019</t>
        </is>
      </c>
      <c r="B811" s="1" t="n">
        <v>43563</v>
      </c>
      <c r="C811" s="1" t="n">
        <v>45810</v>
      </c>
      <c r="D811" t="inlineStr">
        <is>
          <t>VÄRMLANDS LÄN</t>
        </is>
      </c>
      <c r="E811" t="inlineStr">
        <is>
          <t>SÄFFLE</t>
        </is>
      </c>
      <c r="G811" t="n">
        <v>2.4</v>
      </c>
      <c r="H811" t="n">
        <v>0</v>
      </c>
      <c r="I811" t="n">
        <v>0</v>
      </c>
      <c r="J811" t="n">
        <v>0</v>
      </c>
      <c r="K811" t="n">
        <v>0</v>
      </c>
      <c r="L811" t="n">
        <v>0</v>
      </c>
      <c r="M811" t="n">
        <v>0</v>
      </c>
      <c r="N811" t="n">
        <v>0</v>
      </c>
      <c r="O811" t="n">
        <v>0</v>
      </c>
      <c r="P811" t="n">
        <v>0</v>
      </c>
      <c r="Q811" t="n">
        <v>0</v>
      </c>
      <c r="R811" s="2" t="inlineStr"/>
    </row>
    <row r="812" ht="15" customHeight="1">
      <c r="A812" t="inlineStr">
        <is>
          <t>A 18932-2019</t>
        </is>
      </c>
      <c r="B812" s="1" t="n">
        <v>43563</v>
      </c>
      <c r="C812" s="1" t="n">
        <v>45810</v>
      </c>
      <c r="D812" t="inlineStr">
        <is>
          <t>VÄRMLANDS LÄN</t>
        </is>
      </c>
      <c r="E812" t="inlineStr">
        <is>
          <t>SÄFFLE</t>
        </is>
      </c>
      <c r="G812" t="n">
        <v>6.1</v>
      </c>
      <c r="H812" t="n">
        <v>0</v>
      </c>
      <c r="I812" t="n">
        <v>0</v>
      </c>
      <c r="J812" t="n">
        <v>0</v>
      </c>
      <c r="K812" t="n">
        <v>0</v>
      </c>
      <c r="L812" t="n">
        <v>0</v>
      </c>
      <c r="M812" t="n">
        <v>0</v>
      </c>
      <c r="N812" t="n">
        <v>0</v>
      </c>
      <c r="O812" t="n">
        <v>0</v>
      </c>
      <c r="P812" t="n">
        <v>0</v>
      </c>
      <c r="Q812" t="n">
        <v>0</v>
      </c>
      <c r="R812" s="2" t="inlineStr"/>
    </row>
    <row r="813" ht="15" customHeight="1">
      <c r="A813" t="inlineStr">
        <is>
          <t>A 18852-2019</t>
        </is>
      </c>
      <c r="B813" s="1" t="n">
        <v>43563</v>
      </c>
      <c r="C813" s="1" t="n">
        <v>45810</v>
      </c>
      <c r="D813" t="inlineStr">
        <is>
          <t>VÄRMLANDS LÄN</t>
        </is>
      </c>
      <c r="E813" t="inlineStr">
        <is>
          <t>KIL</t>
        </is>
      </c>
      <c r="G813" t="n">
        <v>2.9</v>
      </c>
      <c r="H813" t="n">
        <v>0</v>
      </c>
      <c r="I813" t="n">
        <v>0</v>
      </c>
      <c r="J813" t="n">
        <v>0</v>
      </c>
      <c r="K813" t="n">
        <v>0</v>
      </c>
      <c r="L813" t="n">
        <v>0</v>
      </c>
      <c r="M813" t="n">
        <v>0</v>
      </c>
      <c r="N813" t="n">
        <v>0</v>
      </c>
      <c r="O813" t="n">
        <v>0</v>
      </c>
      <c r="P813" t="n">
        <v>0</v>
      </c>
      <c r="Q813" t="n">
        <v>0</v>
      </c>
      <c r="R813" s="2" t="inlineStr"/>
    </row>
    <row r="814" ht="15" customHeight="1">
      <c r="A814" t="inlineStr">
        <is>
          <t>A 18881-2019</t>
        </is>
      </c>
      <c r="B814" s="1" t="n">
        <v>43563</v>
      </c>
      <c r="C814" s="1" t="n">
        <v>45810</v>
      </c>
      <c r="D814" t="inlineStr">
        <is>
          <t>VÄRMLANDS LÄN</t>
        </is>
      </c>
      <c r="E814" t="inlineStr">
        <is>
          <t>GRUMS</t>
        </is>
      </c>
      <c r="G814" t="n">
        <v>0.5</v>
      </c>
      <c r="H814" t="n">
        <v>0</v>
      </c>
      <c r="I814" t="n">
        <v>0</v>
      </c>
      <c r="J814" t="n">
        <v>0</v>
      </c>
      <c r="K814" t="n">
        <v>0</v>
      </c>
      <c r="L814" t="n">
        <v>0</v>
      </c>
      <c r="M814" t="n">
        <v>0</v>
      </c>
      <c r="N814" t="n">
        <v>0</v>
      </c>
      <c r="O814" t="n">
        <v>0</v>
      </c>
      <c r="P814" t="n">
        <v>0</v>
      </c>
      <c r="Q814" t="n">
        <v>0</v>
      </c>
      <c r="R814" s="2" t="inlineStr"/>
    </row>
    <row r="815" ht="15" customHeight="1">
      <c r="A815" t="inlineStr">
        <is>
          <t>A 18917-2019</t>
        </is>
      </c>
      <c r="B815" s="1" t="n">
        <v>43563</v>
      </c>
      <c r="C815" s="1" t="n">
        <v>45810</v>
      </c>
      <c r="D815" t="inlineStr">
        <is>
          <t>VÄRMLANDS LÄN</t>
        </is>
      </c>
      <c r="E815" t="inlineStr">
        <is>
          <t>EDA</t>
        </is>
      </c>
      <c r="G815" t="n">
        <v>2</v>
      </c>
      <c r="H815" t="n">
        <v>0</v>
      </c>
      <c r="I815" t="n">
        <v>0</v>
      </c>
      <c r="J815" t="n">
        <v>0</v>
      </c>
      <c r="K815" t="n">
        <v>0</v>
      </c>
      <c r="L815" t="n">
        <v>0</v>
      </c>
      <c r="M815" t="n">
        <v>0</v>
      </c>
      <c r="N815" t="n">
        <v>0</v>
      </c>
      <c r="O815" t="n">
        <v>0</v>
      </c>
      <c r="P815" t="n">
        <v>0</v>
      </c>
      <c r="Q815" t="n">
        <v>0</v>
      </c>
      <c r="R815" s="2" t="inlineStr"/>
    </row>
    <row r="816" ht="15" customHeight="1">
      <c r="A816" t="inlineStr">
        <is>
          <t>A 18947-2019</t>
        </is>
      </c>
      <c r="B816" s="1" t="n">
        <v>43563</v>
      </c>
      <c r="C816" s="1" t="n">
        <v>45810</v>
      </c>
      <c r="D816" t="inlineStr">
        <is>
          <t>VÄRMLANDS LÄN</t>
        </is>
      </c>
      <c r="E816" t="inlineStr">
        <is>
          <t>TORSBY</t>
        </is>
      </c>
      <c r="G816" t="n">
        <v>7.6</v>
      </c>
      <c r="H816" t="n">
        <v>0</v>
      </c>
      <c r="I816" t="n">
        <v>0</v>
      </c>
      <c r="J816" t="n">
        <v>0</v>
      </c>
      <c r="K816" t="n">
        <v>0</v>
      </c>
      <c r="L816" t="n">
        <v>0</v>
      </c>
      <c r="M816" t="n">
        <v>0</v>
      </c>
      <c r="N816" t="n">
        <v>0</v>
      </c>
      <c r="O816" t="n">
        <v>0</v>
      </c>
      <c r="P816" t="n">
        <v>0</v>
      </c>
      <c r="Q816" t="n">
        <v>0</v>
      </c>
      <c r="R816" s="2" t="inlineStr"/>
    </row>
    <row r="817" ht="15" customHeight="1">
      <c r="A817" t="inlineStr">
        <is>
          <t>A 18930-2019</t>
        </is>
      </c>
      <c r="B817" s="1" t="n">
        <v>43563</v>
      </c>
      <c r="C817" s="1" t="n">
        <v>45810</v>
      </c>
      <c r="D817" t="inlineStr">
        <is>
          <t>VÄRMLANDS LÄN</t>
        </is>
      </c>
      <c r="E817" t="inlineStr">
        <is>
          <t>SUNNE</t>
        </is>
      </c>
      <c r="F817" t="inlineStr">
        <is>
          <t>Kyrkan</t>
        </is>
      </c>
      <c r="G817" t="n">
        <v>6.2</v>
      </c>
      <c r="H817" t="n">
        <v>0</v>
      </c>
      <c r="I817" t="n">
        <v>0</v>
      </c>
      <c r="J817" t="n">
        <v>0</v>
      </c>
      <c r="K817" t="n">
        <v>0</v>
      </c>
      <c r="L817" t="n">
        <v>0</v>
      </c>
      <c r="M817" t="n">
        <v>0</v>
      </c>
      <c r="N817" t="n">
        <v>0</v>
      </c>
      <c r="O817" t="n">
        <v>0</v>
      </c>
      <c r="P817" t="n">
        <v>0</v>
      </c>
      <c r="Q817" t="n">
        <v>0</v>
      </c>
      <c r="R817" s="2" t="inlineStr"/>
    </row>
    <row r="818" ht="15" customHeight="1">
      <c r="A818" t="inlineStr">
        <is>
          <t>A 19011-2019</t>
        </is>
      </c>
      <c r="B818" s="1" t="n">
        <v>43563</v>
      </c>
      <c r="C818" s="1" t="n">
        <v>45810</v>
      </c>
      <c r="D818" t="inlineStr">
        <is>
          <t>VÄRMLANDS LÄN</t>
        </is>
      </c>
      <c r="E818" t="inlineStr">
        <is>
          <t>ARVIKA</t>
        </is>
      </c>
      <c r="G818" t="n">
        <v>0.7</v>
      </c>
      <c r="H818" t="n">
        <v>0</v>
      </c>
      <c r="I818" t="n">
        <v>0</v>
      </c>
      <c r="J818" t="n">
        <v>0</v>
      </c>
      <c r="K818" t="n">
        <v>0</v>
      </c>
      <c r="L818" t="n">
        <v>0</v>
      </c>
      <c r="M818" t="n">
        <v>0</v>
      </c>
      <c r="N818" t="n">
        <v>0</v>
      </c>
      <c r="O818" t="n">
        <v>0</v>
      </c>
      <c r="P818" t="n">
        <v>0</v>
      </c>
      <c r="Q818" t="n">
        <v>0</v>
      </c>
      <c r="R818" s="2" t="inlineStr"/>
    </row>
    <row r="819" ht="15" customHeight="1">
      <c r="A819" t="inlineStr">
        <is>
          <t>A 19032-2019</t>
        </is>
      </c>
      <c r="B819" s="1" t="n">
        <v>43563</v>
      </c>
      <c r="C819" s="1" t="n">
        <v>45810</v>
      </c>
      <c r="D819" t="inlineStr">
        <is>
          <t>VÄRMLANDS LÄN</t>
        </is>
      </c>
      <c r="E819" t="inlineStr">
        <is>
          <t>ÅRJÄNG</t>
        </is>
      </c>
      <c r="G819" t="n">
        <v>2.5</v>
      </c>
      <c r="H819" t="n">
        <v>0</v>
      </c>
      <c r="I819" t="n">
        <v>0</v>
      </c>
      <c r="J819" t="n">
        <v>0</v>
      </c>
      <c r="K819" t="n">
        <v>0</v>
      </c>
      <c r="L819" t="n">
        <v>0</v>
      </c>
      <c r="M819" t="n">
        <v>0</v>
      </c>
      <c r="N819" t="n">
        <v>0</v>
      </c>
      <c r="O819" t="n">
        <v>0</v>
      </c>
      <c r="P819" t="n">
        <v>0</v>
      </c>
      <c r="Q819" t="n">
        <v>0</v>
      </c>
      <c r="R819" s="2" t="inlineStr"/>
    </row>
    <row r="820" ht="15" customHeight="1">
      <c r="A820" t="inlineStr">
        <is>
          <t>A 18977-2019</t>
        </is>
      </c>
      <c r="B820" s="1" t="n">
        <v>43563</v>
      </c>
      <c r="C820" s="1" t="n">
        <v>45810</v>
      </c>
      <c r="D820" t="inlineStr">
        <is>
          <t>VÄRMLANDS LÄN</t>
        </is>
      </c>
      <c r="E820" t="inlineStr">
        <is>
          <t>KRISTINEHAMN</t>
        </is>
      </c>
      <c r="G820" t="n">
        <v>0.2</v>
      </c>
      <c r="H820" t="n">
        <v>0</v>
      </c>
      <c r="I820" t="n">
        <v>0</v>
      </c>
      <c r="J820" t="n">
        <v>0</v>
      </c>
      <c r="K820" t="n">
        <v>0</v>
      </c>
      <c r="L820" t="n">
        <v>0</v>
      </c>
      <c r="M820" t="n">
        <v>0</v>
      </c>
      <c r="N820" t="n">
        <v>0</v>
      </c>
      <c r="O820" t="n">
        <v>0</v>
      </c>
      <c r="P820" t="n">
        <v>0</v>
      </c>
      <c r="Q820" t="n">
        <v>0</v>
      </c>
      <c r="R820" s="2" t="inlineStr"/>
    </row>
    <row r="821" ht="15" customHeight="1">
      <c r="A821" t="inlineStr">
        <is>
          <t>A 18915-2019</t>
        </is>
      </c>
      <c r="B821" s="1" t="n">
        <v>43563</v>
      </c>
      <c r="C821" s="1" t="n">
        <v>45810</v>
      </c>
      <c r="D821" t="inlineStr">
        <is>
          <t>VÄRMLANDS LÄN</t>
        </is>
      </c>
      <c r="E821" t="inlineStr">
        <is>
          <t>KRISTINEHAMN</t>
        </is>
      </c>
      <c r="G821" t="n">
        <v>0.5</v>
      </c>
      <c r="H821" t="n">
        <v>0</v>
      </c>
      <c r="I821" t="n">
        <v>0</v>
      </c>
      <c r="J821" t="n">
        <v>0</v>
      </c>
      <c r="K821" t="n">
        <v>0</v>
      </c>
      <c r="L821" t="n">
        <v>0</v>
      </c>
      <c r="M821" t="n">
        <v>0</v>
      </c>
      <c r="N821" t="n">
        <v>0</v>
      </c>
      <c r="O821" t="n">
        <v>0</v>
      </c>
      <c r="P821" t="n">
        <v>0</v>
      </c>
      <c r="Q821" t="n">
        <v>0</v>
      </c>
      <c r="R821" s="2" t="inlineStr"/>
    </row>
    <row r="822" ht="15" customHeight="1">
      <c r="A822" t="inlineStr">
        <is>
          <t>A 19037-2019</t>
        </is>
      </c>
      <c r="B822" s="1" t="n">
        <v>43563</v>
      </c>
      <c r="C822" s="1" t="n">
        <v>45810</v>
      </c>
      <c r="D822" t="inlineStr">
        <is>
          <t>VÄRMLANDS LÄN</t>
        </is>
      </c>
      <c r="E822" t="inlineStr">
        <is>
          <t>ÅRJÄNG</t>
        </is>
      </c>
      <c r="G822" t="n">
        <v>1.4</v>
      </c>
      <c r="H822" t="n">
        <v>0</v>
      </c>
      <c r="I822" t="n">
        <v>0</v>
      </c>
      <c r="J822" t="n">
        <v>0</v>
      </c>
      <c r="K822" t="n">
        <v>0</v>
      </c>
      <c r="L822" t="n">
        <v>0</v>
      </c>
      <c r="M822" t="n">
        <v>0</v>
      </c>
      <c r="N822" t="n">
        <v>0</v>
      </c>
      <c r="O822" t="n">
        <v>0</v>
      </c>
      <c r="P822" t="n">
        <v>0</v>
      </c>
      <c r="Q822" t="n">
        <v>0</v>
      </c>
      <c r="R822" s="2" t="inlineStr"/>
    </row>
    <row r="823" ht="15" customHeight="1">
      <c r="A823" t="inlineStr">
        <is>
          <t>A 19039-2019</t>
        </is>
      </c>
      <c r="B823" s="1" t="n">
        <v>43563</v>
      </c>
      <c r="C823" s="1" t="n">
        <v>45810</v>
      </c>
      <c r="D823" t="inlineStr">
        <is>
          <t>VÄRMLANDS LÄN</t>
        </is>
      </c>
      <c r="E823" t="inlineStr">
        <is>
          <t>ÅRJÄNG</t>
        </is>
      </c>
      <c r="G823" t="n">
        <v>1.6</v>
      </c>
      <c r="H823" t="n">
        <v>0</v>
      </c>
      <c r="I823" t="n">
        <v>0</v>
      </c>
      <c r="J823" t="n">
        <v>0</v>
      </c>
      <c r="K823" t="n">
        <v>0</v>
      </c>
      <c r="L823" t="n">
        <v>0</v>
      </c>
      <c r="M823" t="n">
        <v>0</v>
      </c>
      <c r="N823" t="n">
        <v>0</v>
      </c>
      <c r="O823" t="n">
        <v>0</v>
      </c>
      <c r="P823" t="n">
        <v>0</v>
      </c>
      <c r="Q823" t="n">
        <v>0</v>
      </c>
      <c r="R823" s="2" t="inlineStr"/>
    </row>
    <row r="824" ht="15" customHeight="1">
      <c r="A824" t="inlineStr">
        <is>
          <t>A 18999-2019</t>
        </is>
      </c>
      <c r="B824" s="1" t="n">
        <v>43563</v>
      </c>
      <c r="C824" s="1" t="n">
        <v>45810</v>
      </c>
      <c r="D824" t="inlineStr">
        <is>
          <t>VÄRMLANDS LÄN</t>
        </is>
      </c>
      <c r="E824" t="inlineStr">
        <is>
          <t>KRISTINEHAMN</t>
        </is>
      </c>
      <c r="G824" t="n">
        <v>1.3</v>
      </c>
      <c r="H824" t="n">
        <v>0</v>
      </c>
      <c r="I824" t="n">
        <v>0</v>
      </c>
      <c r="J824" t="n">
        <v>0</v>
      </c>
      <c r="K824" t="n">
        <v>0</v>
      </c>
      <c r="L824" t="n">
        <v>0</v>
      </c>
      <c r="M824" t="n">
        <v>0</v>
      </c>
      <c r="N824" t="n">
        <v>0</v>
      </c>
      <c r="O824" t="n">
        <v>0</v>
      </c>
      <c r="P824" t="n">
        <v>0</v>
      </c>
      <c r="Q824" t="n">
        <v>0</v>
      </c>
      <c r="R824" s="2" t="inlineStr"/>
    </row>
    <row r="825" ht="15" customHeight="1">
      <c r="A825" t="inlineStr">
        <is>
          <t>A 18899-2019</t>
        </is>
      </c>
      <c r="B825" s="1" t="n">
        <v>43563</v>
      </c>
      <c r="C825" s="1" t="n">
        <v>45810</v>
      </c>
      <c r="D825" t="inlineStr">
        <is>
          <t>VÄRMLANDS LÄN</t>
        </is>
      </c>
      <c r="E825" t="inlineStr">
        <is>
          <t>SUNNE</t>
        </is>
      </c>
      <c r="G825" t="n">
        <v>1.6</v>
      </c>
      <c r="H825" t="n">
        <v>0</v>
      </c>
      <c r="I825" t="n">
        <v>0</v>
      </c>
      <c r="J825" t="n">
        <v>0</v>
      </c>
      <c r="K825" t="n">
        <v>0</v>
      </c>
      <c r="L825" t="n">
        <v>0</v>
      </c>
      <c r="M825" t="n">
        <v>0</v>
      </c>
      <c r="N825" t="n">
        <v>0</v>
      </c>
      <c r="O825" t="n">
        <v>0</v>
      </c>
      <c r="P825" t="n">
        <v>0</v>
      </c>
      <c r="Q825" t="n">
        <v>0</v>
      </c>
      <c r="R825" s="2" t="inlineStr"/>
    </row>
    <row r="826" ht="15" customHeight="1">
      <c r="A826" t="inlineStr">
        <is>
          <t>A 18938-2019</t>
        </is>
      </c>
      <c r="B826" s="1" t="n">
        <v>43563</v>
      </c>
      <c r="C826" s="1" t="n">
        <v>45810</v>
      </c>
      <c r="D826" t="inlineStr">
        <is>
          <t>VÄRMLANDS LÄN</t>
        </is>
      </c>
      <c r="E826" t="inlineStr">
        <is>
          <t>KARLSTAD</t>
        </is>
      </c>
      <c r="G826" t="n">
        <v>2.3</v>
      </c>
      <c r="H826" t="n">
        <v>0</v>
      </c>
      <c r="I826" t="n">
        <v>0</v>
      </c>
      <c r="J826" t="n">
        <v>0</v>
      </c>
      <c r="K826" t="n">
        <v>0</v>
      </c>
      <c r="L826" t="n">
        <v>0</v>
      </c>
      <c r="M826" t="n">
        <v>0</v>
      </c>
      <c r="N826" t="n">
        <v>0</v>
      </c>
      <c r="O826" t="n">
        <v>0</v>
      </c>
      <c r="P826" t="n">
        <v>0</v>
      </c>
      <c r="Q826" t="n">
        <v>0</v>
      </c>
      <c r="R826" s="2" t="inlineStr"/>
    </row>
    <row r="827" ht="15" customHeight="1">
      <c r="A827" t="inlineStr">
        <is>
          <t>A 19020-2019</t>
        </is>
      </c>
      <c r="B827" s="1" t="n">
        <v>43563</v>
      </c>
      <c r="C827" s="1" t="n">
        <v>45810</v>
      </c>
      <c r="D827" t="inlineStr">
        <is>
          <t>VÄRMLANDS LÄN</t>
        </is>
      </c>
      <c r="E827" t="inlineStr">
        <is>
          <t>SUNNE</t>
        </is>
      </c>
      <c r="G827" t="n">
        <v>0.9</v>
      </c>
      <c r="H827" t="n">
        <v>0</v>
      </c>
      <c r="I827" t="n">
        <v>0</v>
      </c>
      <c r="J827" t="n">
        <v>0</v>
      </c>
      <c r="K827" t="n">
        <v>0</v>
      </c>
      <c r="L827" t="n">
        <v>0</v>
      </c>
      <c r="M827" t="n">
        <v>0</v>
      </c>
      <c r="N827" t="n">
        <v>0</v>
      </c>
      <c r="O827" t="n">
        <v>0</v>
      </c>
      <c r="P827" t="n">
        <v>0</v>
      </c>
      <c r="Q827" t="n">
        <v>0</v>
      </c>
      <c r="R827" s="2" t="inlineStr"/>
    </row>
    <row r="828" ht="15" customHeight="1">
      <c r="A828" t="inlineStr">
        <is>
          <t>A 18943-2019</t>
        </is>
      </c>
      <c r="B828" s="1" t="n">
        <v>43563</v>
      </c>
      <c r="C828" s="1" t="n">
        <v>45810</v>
      </c>
      <c r="D828" t="inlineStr">
        <is>
          <t>VÄRMLANDS LÄN</t>
        </is>
      </c>
      <c r="E828" t="inlineStr">
        <is>
          <t>SÄFFLE</t>
        </is>
      </c>
      <c r="G828" t="n">
        <v>2.7</v>
      </c>
      <c r="H828" t="n">
        <v>0</v>
      </c>
      <c r="I828" t="n">
        <v>0</v>
      </c>
      <c r="J828" t="n">
        <v>0</v>
      </c>
      <c r="K828" t="n">
        <v>0</v>
      </c>
      <c r="L828" t="n">
        <v>0</v>
      </c>
      <c r="M828" t="n">
        <v>0</v>
      </c>
      <c r="N828" t="n">
        <v>0</v>
      </c>
      <c r="O828" t="n">
        <v>0</v>
      </c>
      <c r="P828" t="n">
        <v>0</v>
      </c>
      <c r="Q828" t="n">
        <v>0</v>
      </c>
      <c r="R828" s="2" t="inlineStr"/>
    </row>
    <row r="829" ht="15" customHeight="1">
      <c r="A829" t="inlineStr">
        <is>
          <t>A 19148-2019</t>
        </is>
      </c>
      <c r="B829" s="1" t="n">
        <v>43564</v>
      </c>
      <c r="C829" s="1" t="n">
        <v>45810</v>
      </c>
      <c r="D829" t="inlineStr">
        <is>
          <t>VÄRMLANDS LÄN</t>
        </is>
      </c>
      <c r="E829" t="inlineStr">
        <is>
          <t>GRUMS</t>
        </is>
      </c>
      <c r="G829" t="n">
        <v>1.9</v>
      </c>
      <c r="H829" t="n">
        <v>0</v>
      </c>
      <c r="I829" t="n">
        <v>0</v>
      </c>
      <c r="J829" t="n">
        <v>0</v>
      </c>
      <c r="K829" t="n">
        <v>0</v>
      </c>
      <c r="L829" t="n">
        <v>0</v>
      </c>
      <c r="M829" t="n">
        <v>0</v>
      </c>
      <c r="N829" t="n">
        <v>0</v>
      </c>
      <c r="O829" t="n">
        <v>0</v>
      </c>
      <c r="P829" t="n">
        <v>0</v>
      </c>
      <c r="Q829" t="n">
        <v>0</v>
      </c>
      <c r="R829" s="2" t="inlineStr"/>
    </row>
    <row r="830" ht="15" customHeight="1">
      <c r="A830" t="inlineStr">
        <is>
          <t>A 19096-2019</t>
        </is>
      </c>
      <c r="B830" s="1" t="n">
        <v>43564</v>
      </c>
      <c r="C830" s="1" t="n">
        <v>45810</v>
      </c>
      <c r="D830" t="inlineStr">
        <is>
          <t>VÄRMLANDS LÄN</t>
        </is>
      </c>
      <c r="E830" t="inlineStr">
        <is>
          <t>ARVIKA</t>
        </is>
      </c>
      <c r="G830" t="n">
        <v>5.7</v>
      </c>
      <c r="H830" t="n">
        <v>0</v>
      </c>
      <c r="I830" t="n">
        <v>0</v>
      </c>
      <c r="J830" t="n">
        <v>0</v>
      </c>
      <c r="K830" t="n">
        <v>0</v>
      </c>
      <c r="L830" t="n">
        <v>0</v>
      </c>
      <c r="M830" t="n">
        <v>0</v>
      </c>
      <c r="N830" t="n">
        <v>0</v>
      </c>
      <c r="O830" t="n">
        <v>0</v>
      </c>
      <c r="P830" t="n">
        <v>0</v>
      </c>
      <c r="Q830" t="n">
        <v>0</v>
      </c>
      <c r="R830" s="2" t="inlineStr"/>
    </row>
    <row r="831" ht="15" customHeight="1">
      <c r="A831" t="inlineStr">
        <is>
          <t>A 19120-2019</t>
        </is>
      </c>
      <c r="B831" s="1" t="n">
        <v>43564</v>
      </c>
      <c r="C831" s="1" t="n">
        <v>45810</v>
      </c>
      <c r="D831" t="inlineStr">
        <is>
          <t>VÄRMLANDS LÄN</t>
        </is>
      </c>
      <c r="E831" t="inlineStr">
        <is>
          <t>KARLSTAD</t>
        </is>
      </c>
      <c r="G831" t="n">
        <v>1.5</v>
      </c>
      <c r="H831" t="n">
        <v>0</v>
      </c>
      <c r="I831" t="n">
        <v>0</v>
      </c>
      <c r="J831" t="n">
        <v>0</v>
      </c>
      <c r="K831" t="n">
        <v>0</v>
      </c>
      <c r="L831" t="n">
        <v>0</v>
      </c>
      <c r="M831" t="n">
        <v>0</v>
      </c>
      <c r="N831" t="n">
        <v>0</v>
      </c>
      <c r="O831" t="n">
        <v>0</v>
      </c>
      <c r="P831" t="n">
        <v>0</v>
      </c>
      <c r="Q831" t="n">
        <v>0</v>
      </c>
      <c r="R831" s="2" t="inlineStr"/>
    </row>
    <row r="832" ht="15" customHeight="1">
      <c r="A832" t="inlineStr">
        <is>
          <t>A 19164-2019</t>
        </is>
      </c>
      <c r="B832" s="1" t="n">
        <v>43564</v>
      </c>
      <c r="C832" s="1" t="n">
        <v>45810</v>
      </c>
      <c r="D832" t="inlineStr">
        <is>
          <t>VÄRMLANDS LÄN</t>
        </is>
      </c>
      <c r="E832" t="inlineStr">
        <is>
          <t>ARVIKA</t>
        </is>
      </c>
      <c r="G832" t="n">
        <v>0.2</v>
      </c>
      <c r="H832" t="n">
        <v>0</v>
      </c>
      <c r="I832" t="n">
        <v>0</v>
      </c>
      <c r="J832" t="n">
        <v>0</v>
      </c>
      <c r="K832" t="n">
        <v>0</v>
      </c>
      <c r="L832" t="n">
        <v>0</v>
      </c>
      <c r="M832" t="n">
        <v>0</v>
      </c>
      <c r="N832" t="n">
        <v>0</v>
      </c>
      <c r="O832" t="n">
        <v>0</v>
      </c>
      <c r="P832" t="n">
        <v>0</v>
      </c>
      <c r="Q832" t="n">
        <v>0</v>
      </c>
      <c r="R832" s="2" t="inlineStr"/>
    </row>
    <row r="833" ht="15" customHeight="1">
      <c r="A833" t="inlineStr">
        <is>
          <t>A 19226-2019</t>
        </is>
      </c>
      <c r="B833" s="1" t="n">
        <v>43564</v>
      </c>
      <c r="C833" s="1" t="n">
        <v>45810</v>
      </c>
      <c r="D833" t="inlineStr">
        <is>
          <t>VÄRMLANDS LÄN</t>
        </is>
      </c>
      <c r="E833" t="inlineStr">
        <is>
          <t>KARLSTAD</t>
        </is>
      </c>
      <c r="G833" t="n">
        <v>1.4</v>
      </c>
      <c r="H833" t="n">
        <v>0</v>
      </c>
      <c r="I833" t="n">
        <v>0</v>
      </c>
      <c r="J833" t="n">
        <v>0</v>
      </c>
      <c r="K833" t="n">
        <v>0</v>
      </c>
      <c r="L833" t="n">
        <v>0</v>
      </c>
      <c r="M833" t="n">
        <v>0</v>
      </c>
      <c r="N833" t="n">
        <v>0</v>
      </c>
      <c r="O833" t="n">
        <v>0</v>
      </c>
      <c r="P833" t="n">
        <v>0</v>
      </c>
      <c r="Q833" t="n">
        <v>0</v>
      </c>
      <c r="R833" s="2" t="inlineStr"/>
    </row>
    <row r="834" ht="15" customHeight="1">
      <c r="A834" t="inlineStr">
        <is>
          <t>A 19144-2019</t>
        </is>
      </c>
      <c r="B834" s="1" t="n">
        <v>43564</v>
      </c>
      <c r="C834" s="1" t="n">
        <v>45810</v>
      </c>
      <c r="D834" t="inlineStr">
        <is>
          <t>VÄRMLANDS LÄN</t>
        </is>
      </c>
      <c r="E834" t="inlineStr">
        <is>
          <t>GRUMS</t>
        </is>
      </c>
      <c r="G834" t="n">
        <v>7.9</v>
      </c>
      <c r="H834" t="n">
        <v>0</v>
      </c>
      <c r="I834" t="n">
        <v>0</v>
      </c>
      <c r="J834" t="n">
        <v>0</v>
      </c>
      <c r="K834" t="n">
        <v>0</v>
      </c>
      <c r="L834" t="n">
        <v>0</v>
      </c>
      <c r="M834" t="n">
        <v>0</v>
      </c>
      <c r="N834" t="n">
        <v>0</v>
      </c>
      <c r="O834" t="n">
        <v>0</v>
      </c>
      <c r="P834" t="n">
        <v>0</v>
      </c>
      <c r="Q834" t="n">
        <v>0</v>
      </c>
      <c r="R834" s="2" t="inlineStr"/>
    </row>
    <row r="835" ht="15" customHeight="1">
      <c r="A835" t="inlineStr">
        <is>
          <t>A 19974-2019</t>
        </is>
      </c>
      <c r="B835" s="1" t="n">
        <v>43564</v>
      </c>
      <c r="C835" s="1" t="n">
        <v>45810</v>
      </c>
      <c r="D835" t="inlineStr">
        <is>
          <t>VÄRMLANDS LÄN</t>
        </is>
      </c>
      <c r="E835" t="inlineStr">
        <is>
          <t>TORSBY</t>
        </is>
      </c>
      <c r="G835" t="n">
        <v>5.1</v>
      </c>
      <c r="H835" t="n">
        <v>0</v>
      </c>
      <c r="I835" t="n">
        <v>0</v>
      </c>
      <c r="J835" t="n">
        <v>0</v>
      </c>
      <c r="K835" t="n">
        <v>0</v>
      </c>
      <c r="L835" t="n">
        <v>0</v>
      </c>
      <c r="M835" t="n">
        <v>0</v>
      </c>
      <c r="N835" t="n">
        <v>0</v>
      </c>
      <c r="O835" t="n">
        <v>0</v>
      </c>
      <c r="P835" t="n">
        <v>0</v>
      </c>
      <c r="Q835" t="n">
        <v>0</v>
      </c>
      <c r="R835" s="2" t="inlineStr"/>
    </row>
    <row r="836" ht="15" customHeight="1">
      <c r="A836" t="inlineStr">
        <is>
          <t>A 19173-2019</t>
        </is>
      </c>
      <c r="B836" s="1" t="n">
        <v>43564</v>
      </c>
      <c r="C836" s="1" t="n">
        <v>45810</v>
      </c>
      <c r="D836" t="inlineStr">
        <is>
          <t>VÄRMLANDS LÄN</t>
        </is>
      </c>
      <c r="E836" t="inlineStr">
        <is>
          <t>KIL</t>
        </is>
      </c>
      <c r="G836" t="n">
        <v>0.9</v>
      </c>
      <c r="H836" t="n">
        <v>0</v>
      </c>
      <c r="I836" t="n">
        <v>0</v>
      </c>
      <c r="J836" t="n">
        <v>0</v>
      </c>
      <c r="K836" t="n">
        <v>0</v>
      </c>
      <c r="L836" t="n">
        <v>0</v>
      </c>
      <c r="M836" t="n">
        <v>0</v>
      </c>
      <c r="N836" t="n">
        <v>0</v>
      </c>
      <c r="O836" t="n">
        <v>0</v>
      </c>
      <c r="P836" t="n">
        <v>0</v>
      </c>
      <c r="Q836" t="n">
        <v>0</v>
      </c>
      <c r="R836" s="2" t="inlineStr"/>
    </row>
    <row r="837" ht="15" customHeight="1">
      <c r="A837" t="inlineStr">
        <is>
          <t>A 19133-2019</t>
        </is>
      </c>
      <c r="B837" s="1" t="n">
        <v>43564</v>
      </c>
      <c r="C837" s="1" t="n">
        <v>45810</v>
      </c>
      <c r="D837" t="inlineStr">
        <is>
          <t>VÄRMLANDS LÄN</t>
        </is>
      </c>
      <c r="E837" t="inlineStr">
        <is>
          <t>KARLSTAD</t>
        </is>
      </c>
      <c r="G837" t="n">
        <v>0.7</v>
      </c>
      <c r="H837" t="n">
        <v>0</v>
      </c>
      <c r="I837" t="n">
        <v>0</v>
      </c>
      <c r="J837" t="n">
        <v>0</v>
      </c>
      <c r="K837" t="n">
        <v>0</v>
      </c>
      <c r="L837" t="n">
        <v>0</v>
      </c>
      <c r="M837" t="n">
        <v>0</v>
      </c>
      <c r="N837" t="n">
        <v>0</v>
      </c>
      <c r="O837" t="n">
        <v>0</v>
      </c>
      <c r="P837" t="n">
        <v>0</v>
      </c>
      <c r="Q837" t="n">
        <v>0</v>
      </c>
      <c r="R837" s="2" t="inlineStr"/>
    </row>
    <row r="838" ht="15" customHeight="1">
      <c r="A838" t="inlineStr">
        <is>
          <t>A 19125-2019</t>
        </is>
      </c>
      <c r="B838" s="1" t="n">
        <v>43564</v>
      </c>
      <c r="C838" s="1" t="n">
        <v>45810</v>
      </c>
      <c r="D838" t="inlineStr">
        <is>
          <t>VÄRMLANDS LÄN</t>
        </is>
      </c>
      <c r="E838" t="inlineStr">
        <is>
          <t>TORSBY</t>
        </is>
      </c>
      <c r="G838" t="n">
        <v>18.3</v>
      </c>
      <c r="H838" t="n">
        <v>0</v>
      </c>
      <c r="I838" t="n">
        <v>0</v>
      </c>
      <c r="J838" t="n">
        <v>0</v>
      </c>
      <c r="K838" t="n">
        <v>0</v>
      </c>
      <c r="L838" t="n">
        <v>0</v>
      </c>
      <c r="M838" t="n">
        <v>0</v>
      </c>
      <c r="N838" t="n">
        <v>0</v>
      </c>
      <c r="O838" t="n">
        <v>0</v>
      </c>
      <c r="P838" t="n">
        <v>0</v>
      </c>
      <c r="Q838" t="n">
        <v>0</v>
      </c>
      <c r="R838" s="2" t="inlineStr"/>
    </row>
    <row r="839" ht="15" customHeight="1">
      <c r="A839" t="inlineStr">
        <is>
          <t>A 19402-2019</t>
        </is>
      </c>
      <c r="B839" s="1" t="n">
        <v>43565</v>
      </c>
      <c r="C839" s="1" t="n">
        <v>45810</v>
      </c>
      <c r="D839" t="inlineStr">
        <is>
          <t>VÄRMLANDS LÄN</t>
        </is>
      </c>
      <c r="E839" t="inlineStr">
        <is>
          <t>HAGFORS</t>
        </is>
      </c>
      <c r="G839" t="n">
        <v>1</v>
      </c>
      <c r="H839" t="n">
        <v>0</v>
      </c>
      <c r="I839" t="n">
        <v>0</v>
      </c>
      <c r="J839" t="n">
        <v>0</v>
      </c>
      <c r="K839" t="n">
        <v>0</v>
      </c>
      <c r="L839" t="n">
        <v>0</v>
      </c>
      <c r="M839" t="n">
        <v>0</v>
      </c>
      <c r="N839" t="n">
        <v>0</v>
      </c>
      <c r="O839" t="n">
        <v>0</v>
      </c>
      <c r="P839" t="n">
        <v>0</v>
      </c>
      <c r="Q839" t="n">
        <v>0</v>
      </c>
      <c r="R839" s="2" t="inlineStr"/>
    </row>
    <row r="840" ht="15" customHeight="1">
      <c r="A840" t="inlineStr">
        <is>
          <t>A 19491-2019</t>
        </is>
      </c>
      <c r="B840" s="1" t="n">
        <v>43565</v>
      </c>
      <c r="C840" s="1" t="n">
        <v>45810</v>
      </c>
      <c r="D840" t="inlineStr">
        <is>
          <t>VÄRMLANDS LÄN</t>
        </is>
      </c>
      <c r="E840" t="inlineStr">
        <is>
          <t>FILIPSTAD</t>
        </is>
      </c>
      <c r="G840" t="n">
        <v>1.6</v>
      </c>
      <c r="H840" t="n">
        <v>0</v>
      </c>
      <c r="I840" t="n">
        <v>0</v>
      </c>
      <c r="J840" t="n">
        <v>0</v>
      </c>
      <c r="K840" t="n">
        <v>0</v>
      </c>
      <c r="L840" t="n">
        <v>0</v>
      </c>
      <c r="M840" t="n">
        <v>0</v>
      </c>
      <c r="N840" t="n">
        <v>0</v>
      </c>
      <c r="O840" t="n">
        <v>0</v>
      </c>
      <c r="P840" t="n">
        <v>0</v>
      </c>
      <c r="Q840" t="n">
        <v>0</v>
      </c>
      <c r="R840" s="2" t="inlineStr"/>
    </row>
    <row r="841" ht="15" customHeight="1">
      <c r="A841" t="inlineStr">
        <is>
          <t>A 19412-2019</t>
        </is>
      </c>
      <c r="B841" s="1" t="n">
        <v>43565</v>
      </c>
      <c r="C841" s="1" t="n">
        <v>45810</v>
      </c>
      <c r="D841" t="inlineStr">
        <is>
          <t>VÄRMLANDS LÄN</t>
        </is>
      </c>
      <c r="E841" t="inlineStr">
        <is>
          <t>SUNNE</t>
        </is>
      </c>
      <c r="G841" t="n">
        <v>4.5</v>
      </c>
      <c r="H841" t="n">
        <v>0</v>
      </c>
      <c r="I841" t="n">
        <v>0</v>
      </c>
      <c r="J841" t="n">
        <v>0</v>
      </c>
      <c r="K841" t="n">
        <v>0</v>
      </c>
      <c r="L841" t="n">
        <v>0</v>
      </c>
      <c r="M841" t="n">
        <v>0</v>
      </c>
      <c r="N841" t="n">
        <v>0</v>
      </c>
      <c r="O841" t="n">
        <v>0</v>
      </c>
      <c r="P841" t="n">
        <v>0</v>
      </c>
      <c r="Q841" t="n">
        <v>0</v>
      </c>
      <c r="R841" s="2" t="inlineStr"/>
    </row>
    <row r="842" ht="15" customHeight="1">
      <c r="A842" t="inlineStr">
        <is>
          <t>A 19528-2019</t>
        </is>
      </c>
      <c r="B842" s="1" t="n">
        <v>43565</v>
      </c>
      <c r="C842" s="1" t="n">
        <v>45810</v>
      </c>
      <c r="D842" t="inlineStr">
        <is>
          <t>VÄRMLANDS LÄN</t>
        </is>
      </c>
      <c r="E842" t="inlineStr">
        <is>
          <t>HAGFORS</t>
        </is>
      </c>
      <c r="G842" t="n">
        <v>4.8</v>
      </c>
      <c r="H842" t="n">
        <v>0</v>
      </c>
      <c r="I842" t="n">
        <v>0</v>
      </c>
      <c r="J842" t="n">
        <v>0</v>
      </c>
      <c r="K842" t="n">
        <v>0</v>
      </c>
      <c r="L842" t="n">
        <v>0</v>
      </c>
      <c r="M842" t="n">
        <v>0</v>
      </c>
      <c r="N842" t="n">
        <v>0</v>
      </c>
      <c r="O842" t="n">
        <v>0</v>
      </c>
      <c r="P842" t="n">
        <v>0</v>
      </c>
      <c r="Q842" t="n">
        <v>0</v>
      </c>
      <c r="R842" s="2" t="inlineStr"/>
    </row>
    <row r="843" ht="15" customHeight="1">
      <c r="A843" t="inlineStr">
        <is>
          <t>A 19438-2019</t>
        </is>
      </c>
      <c r="B843" s="1" t="n">
        <v>43565</v>
      </c>
      <c r="C843" s="1" t="n">
        <v>45810</v>
      </c>
      <c r="D843" t="inlineStr">
        <is>
          <t>VÄRMLANDS LÄN</t>
        </is>
      </c>
      <c r="E843" t="inlineStr">
        <is>
          <t>EDA</t>
        </is>
      </c>
      <c r="G843" t="n">
        <v>0.5</v>
      </c>
      <c r="H843" t="n">
        <v>0</v>
      </c>
      <c r="I843" t="n">
        <v>0</v>
      </c>
      <c r="J843" t="n">
        <v>0</v>
      </c>
      <c r="K843" t="n">
        <v>0</v>
      </c>
      <c r="L843" t="n">
        <v>0</v>
      </c>
      <c r="M843" t="n">
        <v>0</v>
      </c>
      <c r="N843" t="n">
        <v>0</v>
      </c>
      <c r="O843" t="n">
        <v>0</v>
      </c>
      <c r="P843" t="n">
        <v>0</v>
      </c>
      <c r="Q843" t="n">
        <v>0</v>
      </c>
      <c r="R843" s="2" t="inlineStr"/>
    </row>
    <row r="844" ht="15" customHeight="1">
      <c r="A844" t="inlineStr">
        <is>
          <t>A 19421-2019</t>
        </is>
      </c>
      <c r="B844" s="1" t="n">
        <v>43565</v>
      </c>
      <c r="C844" s="1" t="n">
        <v>45810</v>
      </c>
      <c r="D844" t="inlineStr">
        <is>
          <t>VÄRMLANDS LÄN</t>
        </is>
      </c>
      <c r="E844" t="inlineStr">
        <is>
          <t>HAGFORS</t>
        </is>
      </c>
      <c r="G844" t="n">
        <v>1.3</v>
      </c>
      <c r="H844" t="n">
        <v>0</v>
      </c>
      <c r="I844" t="n">
        <v>0</v>
      </c>
      <c r="J844" t="n">
        <v>0</v>
      </c>
      <c r="K844" t="n">
        <v>0</v>
      </c>
      <c r="L844" t="n">
        <v>0</v>
      </c>
      <c r="M844" t="n">
        <v>0</v>
      </c>
      <c r="N844" t="n">
        <v>0</v>
      </c>
      <c r="O844" t="n">
        <v>0</v>
      </c>
      <c r="P844" t="n">
        <v>0</v>
      </c>
      <c r="Q844" t="n">
        <v>0</v>
      </c>
      <c r="R844" s="2" t="inlineStr"/>
    </row>
    <row r="845" ht="15" customHeight="1">
      <c r="A845" t="inlineStr">
        <is>
          <t>A 19487-2019</t>
        </is>
      </c>
      <c r="B845" s="1" t="n">
        <v>43565</v>
      </c>
      <c r="C845" s="1" t="n">
        <v>45810</v>
      </c>
      <c r="D845" t="inlineStr">
        <is>
          <t>VÄRMLANDS LÄN</t>
        </is>
      </c>
      <c r="E845" t="inlineStr">
        <is>
          <t>STORFORS</t>
        </is>
      </c>
      <c r="F845" t="inlineStr">
        <is>
          <t>Bergvik skog väst AB</t>
        </is>
      </c>
      <c r="G845" t="n">
        <v>2.1</v>
      </c>
      <c r="H845" t="n">
        <v>0</v>
      </c>
      <c r="I845" t="n">
        <v>0</v>
      </c>
      <c r="J845" t="n">
        <v>0</v>
      </c>
      <c r="K845" t="n">
        <v>0</v>
      </c>
      <c r="L845" t="n">
        <v>0</v>
      </c>
      <c r="M845" t="n">
        <v>0</v>
      </c>
      <c r="N845" t="n">
        <v>0</v>
      </c>
      <c r="O845" t="n">
        <v>0</v>
      </c>
      <c r="P845" t="n">
        <v>0</v>
      </c>
      <c r="Q845" t="n">
        <v>0</v>
      </c>
      <c r="R845" s="2" t="inlineStr"/>
    </row>
    <row r="846" ht="15" customHeight="1">
      <c r="A846" t="inlineStr">
        <is>
          <t>A 19507-2019</t>
        </is>
      </c>
      <c r="B846" s="1" t="n">
        <v>43565</v>
      </c>
      <c r="C846" s="1" t="n">
        <v>45810</v>
      </c>
      <c r="D846" t="inlineStr">
        <is>
          <t>VÄRMLANDS LÄN</t>
        </is>
      </c>
      <c r="E846" t="inlineStr">
        <is>
          <t>KRISTINEHAMN</t>
        </is>
      </c>
      <c r="G846" t="n">
        <v>1.5</v>
      </c>
      <c r="H846" t="n">
        <v>0</v>
      </c>
      <c r="I846" t="n">
        <v>0</v>
      </c>
      <c r="J846" t="n">
        <v>0</v>
      </c>
      <c r="K846" t="n">
        <v>0</v>
      </c>
      <c r="L846" t="n">
        <v>0</v>
      </c>
      <c r="M846" t="n">
        <v>0</v>
      </c>
      <c r="N846" t="n">
        <v>0</v>
      </c>
      <c r="O846" t="n">
        <v>0</v>
      </c>
      <c r="P846" t="n">
        <v>0</v>
      </c>
      <c r="Q846" t="n">
        <v>0</v>
      </c>
      <c r="R846" s="2" t="inlineStr"/>
    </row>
    <row r="847" ht="15" customHeight="1">
      <c r="A847" t="inlineStr">
        <is>
          <t>A 19591-2019</t>
        </is>
      </c>
      <c r="B847" s="1" t="n">
        <v>43566</v>
      </c>
      <c r="C847" s="1" t="n">
        <v>45810</v>
      </c>
      <c r="D847" t="inlineStr">
        <is>
          <t>VÄRMLANDS LÄN</t>
        </is>
      </c>
      <c r="E847" t="inlineStr">
        <is>
          <t>TORSBY</t>
        </is>
      </c>
      <c r="G847" t="n">
        <v>0.9</v>
      </c>
      <c r="H847" t="n">
        <v>0</v>
      </c>
      <c r="I847" t="n">
        <v>0</v>
      </c>
      <c r="J847" t="n">
        <v>0</v>
      </c>
      <c r="K847" t="n">
        <v>0</v>
      </c>
      <c r="L847" t="n">
        <v>0</v>
      </c>
      <c r="M847" t="n">
        <v>0</v>
      </c>
      <c r="N847" t="n">
        <v>0</v>
      </c>
      <c r="O847" t="n">
        <v>0</v>
      </c>
      <c r="P847" t="n">
        <v>0</v>
      </c>
      <c r="Q847" t="n">
        <v>0</v>
      </c>
      <c r="R847" s="2" t="inlineStr"/>
    </row>
    <row r="848" ht="15" customHeight="1">
      <c r="A848" t="inlineStr">
        <is>
          <t>A 19677-2019</t>
        </is>
      </c>
      <c r="B848" s="1" t="n">
        <v>43566</v>
      </c>
      <c r="C848" s="1" t="n">
        <v>45810</v>
      </c>
      <c r="D848" t="inlineStr">
        <is>
          <t>VÄRMLANDS LÄN</t>
        </is>
      </c>
      <c r="E848" t="inlineStr">
        <is>
          <t>SUNNE</t>
        </is>
      </c>
      <c r="G848" t="n">
        <v>4.2</v>
      </c>
      <c r="H848" t="n">
        <v>0</v>
      </c>
      <c r="I848" t="n">
        <v>0</v>
      </c>
      <c r="J848" t="n">
        <v>0</v>
      </c>
      <c r="K848" t="n">
        <v>0</v>
      </c>
      <c r="L848" t="n">
        <v>0</v>
      </c>
      <c r="M848" t="n">
        <v>0</v>
      </c>
      <c r="N848" t="n">
        <v>0</v>
      </c>
      <c r="O848" t="n">
        <v>0</v>
      </c>
      <c r="P848" t="n">
        <v>0</v>
      </c>
      <c r="Q848" t="n">
        <v>0</v>
      </c>
      <c r="R848" s="2" t="inlineStr"/>
    </row>
    <row r="849" ht="15" customHeight="1">
      <c r="A849" t="inlineStr">
        <is>
          <t>A 19828-2019</t>
        </is>
      </c>
      <c r="B849" s="1" t="n">
        <v>43566</v>
      </c>
      <c r="C849" s="1" t="n">
        <v>45810</v>
      </c>
      <c r="D849" t="inlineStr">
        <is>
          <t>VÄRMLANDS LÄN</t>
        </is>
      </c>
      <c r="E849" t="inlineStr">
        <is>
          <t>FORSHAGA</t>
        </is>
      </c>
      <c r="G849" t="n">
        <v>1.5</v>
      </c>
      <c r="H849" t="n">
        <v>0</v>
      </c>
      <c r="I849" t="n">
        <v>0</v>
      </c>
      <c r="J849" t="n">
        <v>0</v>
      </c>
      <c r="K849" t="n">
        <v>0</v>
      </c>
      <c r="L849" t="n">
        <v>0</v>
      </c>
      <c r="M849" t="n">
        <v>0</v>
      </c>
      <c r="N849" t="n">
        <v>0</v>
      </c>
      <c r="O849" t="n">
        <v>0</v>
      </c>
      <c r="P849" t="n">
        <v>0</v>
      </c>
      <c r="Q849" t="n">
        <v>0</v>
      </c>
      <c r="R849" s="2" t="inlineStr"/>
    </row>
    <row r="850" ht="15" customHeight="1">
      <c r="A850" t="inlineStr">
        <is>
          <t>A 20059-2019</t>
        </is>
      </c>
      <c r="B850" s="1" t="n">
        <v>43566</v>
      </c>
      <c r="C850" s="1" t="n">
        <v>45810</v>
      </c>
      <c r="D850" t="inlineStr">
        <is>
          <t>VÄRMLANDS LÄN</t>
        </is>
      </c>
      <c r="E850" t="inlineStr">
        <is>
          <t>SÄFFLE</t>
        </is>
      </c>
      <c r="G850" t="n">
        <v>2.2</v>
      </c>
      <c r="H850" t="n">
        <v>0</v>
      </c>
      <c r="I850" t="n">
        <v>0</v>
      </c>
      <c r="J850" t="n">
        <v>0</v>
      </c>
      <c r="K850" t="n">
        <v>0</v>
      </c>
      <c r="L850" t="n">
        <v>0</v>
      </c>
      <c r="M850" t="n">
        <v>0</v>
      </c>
      <c r="N850" t="n">
        <v>0</v>
      </c>
      <c r="O850" t="n">
        <v>0</v>
      </c>
      <c r="P850" t="n">
        <v>0</v>
      </c>
      <c r="Q850" t="n">
        <v>0</v>
      </c>
      <c r="R850" s="2" t="inlineStr"/>
    </row>
    <row r="851" ht="15" customHeight="1">
      <c r="A851" t="inlineStr">
        <is>
          <t>A 19782-2019</t>
        </is>
      </c>
      <c r="B851" s="1" t="n">
        <v>43567</v>
      </c>
      <c r="C851" s="1" t="n">
        <v>45810</v>
      </c>
      <c r="D851" t="inlineStr">
        <is>
          <t>VÄRMLANDS LÄN</t>
        </is>
      </c>
      <c r="E851" t="inlineStr">
        <is>
          <t>SUNNE</t>
        </is>
      </c>
      <c r="G851" t="n">
        <v>2.9</v>
      </c>
      <c r="H851" t="n">
        <v>0</v>
      </c>
      <c r="I851" t="n">
        <v>0</v>
      </c>
      <c r="J851" t="n">
        <v>0</v>
      </c>
      <c r="K851" t="n">
        <v>0</v>
      </c>
      <c r="L851" t="n">
        <v>0</v>
      </c>
      <c r="M851" t="n">
        <v>0</v>
      </c>
      <c r="N851" t="n">
        <v>0</v>
      </c>
      <c r="O851" t="n">
        <v>0</v>
      </c>
      <c r="P851" t="n">
        <v>0</v>
      </c>
      <c r="Q851" t="n">
        <v>0</v>
      </c>
      <c r="R851" s="2" t="inlineStr"/>
    </row>
    <row r="852" ht="15" customHeight="1">
      <c r="A852" t="inlineStr">
        <is>
          <t>A 19781-2019</t>
        </is>
      </c>
      <c r="B852" s="1" t="n">
        <v>43567</v>
      </c>
      <c r="C852" s="1" t="n">
        <v>45810</v>
      </c>
      <c r="D852" t="inlineStr">
        <is>
          <t>VÄRMLANDS LÄN</t>
        </is>
      </c>
      <c r="E852" t="inlineStr">
        <is>
          <t>ÅRJÄNG</t>
        </is>
      </c>
      <c r="G852" t="n">
        <v>5.4</v>
      </c>
      <c r="H852" t="n">
        <v>0</v>
      </c>
      <c r="I852" t="n">
        <v>0</v>
      </c>
      <c r="J852" t="n">
        <v>0</v>
      </c>
      <c r="K852" t="n">
        <v>0</v>
      </c>
      <c r="L852" t="n">
        <v>0</v>
      </c>
      <c r="M852" t="n">
        <v>0</v>
      </c>
      <c r="N852" t="n">
        <v>0</v>
      </c>
      <c r="O852" t="n">
        <v>0</v>
      </c>
      <c r="P852" t="n">
        <v>0</v>
      </c>
      <c r="Q852" t="n">
        <v>0</v>
      </c>
      <c r="R852" s="2" t="inlineStr"/>
    </row>
    <row r="853" ht="15" customHeight="1">
      <c r="A853" t="inlineStr">
        <is>
          <t>A 19868-2019</t>
        </is>
      </c>
      <c r="B853" s="1" t="n">
        <v>43567</v>
      </c>
      <c r="C853" s="1" t="n">
        <v>45810</v>
      </c>
      <c r="D853" t="inlineStr">
        <is>
          <t>VÄRMLANDS LÄN</t>
        </is>
      </c>
      <c r="E853" t="inlineStr">
        <is>
          <t>KRISTINEHAMN</t>
        </is>
      </c>
      <c r="G853" t="n">
        <v>1.9</v>
      </c>
      <c r="H853" t="n">
        <v>0</v>
      </c>
      <c r="I853" t="n">
        <v>0</v>
      </c>
      <c r="J853" t="n">
        <v>0</v>
      </c>
      <c r="K853" t="n">
        <v>0</v>
      </c>
      <c r="L853" t="n">
        <v>0</v>
      </c>
      <c r="M853" t="n">
        <v>0</v>
      </c>
      <c r="N853" t="n">
        <v>0</v>
      </c>
      <c r="O853" t="n">
        <v>0</v>
      </c>
      <c r="P853" t="n">
        <v>0</v>
      </c>
      <c r="Q853" t="n">
        <v>0</v>
      </c>
      <c r="R853" s="2" t="inlineStr"/>
    </row>
    <row r="854" ht="15" customHeight="1">
      <c r="A854" t="inlineStr">
        <is>
          <t>A 19746-2019</t>
        </is>
      </c>
      <c r="B854" s="1" t="n">
        <v>43567</v>
      </c>
      <c r="C854" s="1" t="n">
        <v>45810</v>
      </c>
      <c r="D854" t="inlineStr">
        <is>
          <t>VÄRMLANDS LÄN</t>
        </is>
      </c>
      <c r="E854" t="inlineStr">
        <is>
          <t>SUNNE</t>
        </is>
      </c>
      <c r="G854" t="n">
        <v>2.2</v>
      </c>
      <c r="H854" t="n">
        <v>0</v>
      </c>
      <c r="I854" t="n">
        <v>0</v>
      </c>
      <c r="J854" t="n">
        <v>0</v>
      </c>
      <c r="K854" t="n">
        <v>0</v>
      </c>
      <c r="L854" t="n">
        <v>0</v>
      </c>
      <c r="M854" t="n">
        <v>0</v>
      </c>
      <c r="N854" t="n">
        <v>0</v>
      </c>
      <c r="O854" t="n">
        <v>0</v>
      </c>
      <c r="P854" t="n">
        <v>0</v>
      </c>
      <c r="Q854" t="n">
        <v>0</v>
      </c>
      <c r="R854" s="2" t="inlineStr"/>
    </row>
    <row r="855" ht="15" customHeight="1">
      <c r="A855" t="inlineStr">
        <is>
          <t>A 20086-2019</t>
        </is>
      </c>
      <c r="B855" s="1" t="n">
        <v>43567</v>
      </c>
      <c r="C855" s="1" t="n">
        <v>45810</v>
      </c>
      <c r="D855" t="inlineStr">
        <is>
          <t>VÄRMLANDS LÄN</t>
        </is>
      </c>
      <c r="E855" t="inlineStr">
        <is>
          <t>SÄFFLE</t>
        </is>
      </c>
      <c r="G855" t="n">
        <v>1.7</v>
      </c>
      <c r="H855" t="n">
        <v>0</v>
      </c>
      <c r="I855" t="n">
        <v>0</v>
      </c>
      <c r="J855" t="n">
        <v>0</v>
      </c>
      <c r="K855" t="n">
        <v>0</v>
      </c>
      <c r="L855" t="n">
        <v>0</v>
      </c>
      <c r="M855" t="n">
        <v>0</v>
      </c>
      <c r="N855" t="n">
        <v>0</v>
      </c>
      <c r="O855" t="n">
        <v>0</v>
      </c>
      <c r="P855" t="n">
        <v>0</v>
      </c>
      <c r="Q855" t="n">
        <v>0</v>
      </c>
      <c r="R855" s="2" t="inlineStr"/>
    </row>
    <row r="856" ht="15" customHeight="1">
      <c r="A856" t="inlineStr">
        <is>
          <t>A 19748-2019</t>
        </is>
      </c>
      <c r="B856" s="1" t="n">
        <v>43567</v>
      </c>
      <c r="C856" s="1" t="n">
        <v>45810</v>
      </c>
      <c r="D856" t="inlineStr">
        <is>
          <t>VÄRMLANDS LÄN</t>
        </is>
      </c>
      <c r="E856" t="inlineStr">
        <is>
          <t>SUNNE</t>
        </is>
      </c>
      <c r="G856" t="n">
        <v>1.1</v>
      </c>
      <c r="H856" t="n">
        <v>0</v>
      </c>
      <c r="I856" t="n">
        <v>0</v>
      </c>
      <c r="J856" t="n">
        <v>0</v>
      </c>
      <c r="K856" t="n">
        <v>0</v>
      </c>
      <c r="L856" t="n">
        <v>0</v>
      </c>
      <c r="M856" t="n">
        <v>0</v>
      </c>
      <c r="N856" t="n">
        <v>0</v>
      </c>
      <c r="O856" t="n">
        <v>0</v>
      </c>
      <c r="P856" t="n">
        <v>0</v>
      </c>
      <c r="Q856" t="n">
        <v>0</v>
      </c>
      <c r="R856" s="2" t="inlineStr"/>
    </row>
    <row r="857" ht="15" customHeight="1">
      <c r="A857" t="inlineStr">
        <is>
          <t>A 19947-2019</t>
        </is>
      </c>
      <c r="B857" s="1" t="n">
        <v>43569</v>
      </c>
      <c r="C857" s="1" t="n">
        <v>45810</v>
      </c>
      <c r="D857" t="inlineStr">
        <is>
          <t>VÄRMLANDS LÄN</t>
        </is>
      </c>
      <c r="E857" t="inlineStr">
        <is>
          <t>ÅRJÄNG</t>
        </is>
      </c>
      <c r="G857" t="n">
        <v>2.9</v>
      </c>
      <c r="H857" t="n">
        <v>0</v>
      </c>
      <c r="I857" t="n">
        <v>0</v>
      </c>
      <c r="J857" t="n">
        <v>0</v>
      </c>
      <c r="K857" t="n">
        <v>0</v>
      </c>
      <c r="L857" t="n">
        <v>0</v>
      </c>
      <c r="M857" t="n">
        <v>0</v>
      </c>
      <c r="N857" t="n">
        <v>0</v>
      </c>
      <c r="O857" t="n">
        <v>0</v>
      </c>
      <c r="P857" t="n">
        <v>0</v>
      </c>
      <c r="Q857" t="n">
        <v>0</v>
      </c>
      <c r="R857" s="2" t="inlineStr"/>
    </row>
    <row r="858" ht="15" customHeight="1">
      <c r="A858" t="inlineStr">
        <is>
          <t>A 20047-2019</t>
        </is>
      </c>
      <c r="B858" s="1" t="n">
        <v>43570</v>
      </c>
      <c r="C858" s="1" t="n">
        <v>45810</v>
      </c>
      <c r="D858" t="inlineStr">
        <is>
          <t>VÄRMLANDS LÄN</t>
        </is>
      </c>
      <c r="E858" t="inlineStr">
        <is>
          <t>FILIPSTAD</t>
        </is>
      </c>
      <c r="G858" t="n">
        <v>0.9</v>
      </c>
      <c r="H858" t="n">
        <v>0</v>
      </c>
      <c r="I858" t="n">
        <v>0</v>
      </c>
      <c r="J858" t="n">
        <v>0</v>
      </c>
      <c r="K858" t="n">
        <v>0</v>
      </c>
      <c r="L858" t="n">
        <v>0</v>
      </c>
      <c r="M858" t="n">
        <v>0</v>
      </c>
      <c r="N858" t="n">
        <v>0</v>
      </c>
      <c r="O858" t="n">
        <v>0</v>
      </c>
      <c r="P858" t="n">
        <v>0</v>
      </c>
      <c r="Q858" t="n">
        <v>0</v>
      </c>
      <c r="R858" s="2" t="inlineStr"/>
    </row>
    <row r="859" ht="15" customHeight="1">
      <c r="A859" t="inlineStr">
        <is>
          <t>A 20167-2019</t>
        </is>
      </c>
      <c r="B859" s="1" t="n">
        <v>43570</v>
      </c>
      <c r="C859" s="1" t="n">
        <v>45810</v>
      </c>
      <c r="D859" t="inlineStr">
        <is>
          <t>VÄRMLANDS LÄN</t>
        </is>
      </c>
      <c r="E859" t="inlineStr">
        <is>
          <t>TORSBY</t>
        </is>
      </c>
      <c r="G859" t="n">
        <v>5</v>
      </c>
      <c r="H859" t="n">
        <v>0</v>
      </c>
      <c r="I859" t="n">
        <v>0</v>
      </c>
      <c r="J859" t="n">
        <v>0</v>
      </c>
      <c r="K859" t="n">
        <v>0</v>
      </c>
      <c r="L859" t="n">
        <v>0</v>
      </c>
      <c r="M859" t="n">
        <v>0</v>
      </c>
      <c r="N859" t="n">
        <v>0</v>
      </c>
      <c r="O859" t="n">
        <v>0</v>
      </c>
      <c r="P859" t="n">
        <v>0</v>
      </c>
      <c r="Q859" t="n">
        <v>0</v>
      </c>
      <c r="R859" s="2" t="inlineStr"/>
    </row>
    <row r="860" ht="15" customHeight="1">
      <c r="A860" t="inlineStr">
        <is>
          <t>A 20189-2019</t>
        </is>
      </c>
      <c r="B860" s="1" t="n">
        <v>43570</v>
      </c>
      <c r="C860" s="1" t="n">
        <v>45810</v>
      </c>
      <c r="D860" t="inlineStr">
        <is>
          <t>VÄRMLANDS LÄN</t>
        </is>
      </c>
      <c r="E860" t="inlineStr">
        <is>
          <t>ÅRJÄNG</t>
        </is>
      </c>
      <c r="G860" t="n">
        <v>9</v>
      </c>
      <c r="H860" t="n">
        <v>0</v>
      </c>
      <c r="I860" t="n">
        <v>0</v>
      </c>
      <c r="J860" t="n">
        <v>0</v>
      </c>
      <c r="K860" t="n">
        <v>0</v>
      </c>
      <c r="L860" t="n">
        <v>0</v>
      </c>
      <c r="M860" t="n">
        <v>0</v>
      </c>
      <c r="N860" t="n">
        <v>0</v>
      </c>
      <c r="O860" t="n">
        <v>0</v>
      </c>
      <c r="P860" t="n">
        <v>0</v>
      </c>
      <c r="Q860" t="n">
        <v>0</v>
      </c>
      <c r="R860" s="2" t="inlineStr"/>
    </row>
    <row r="861" ht="15" customHeight="1">
      <c r="A861" t="inlineStr">
        <is>
          <t>A 20190-2019</t>
        </is>
      </c>
      <c r="B861" s="1" t="n">
        <v>43570</v>
      </c>
      <c r="C861" s="1" t="n">
        <v>45810</v>
      </c>
      <c r="D861" t="inlineStr">
        <is>
          <t>VÄRMLANDS LÄN</t>
        </is>
      </c>
      <c r="E861" t="inlineStr">
        <is>
          <t>TORSBY</t>
        </is>
      </c>
      <c r="G861" t="n">
        <v>2.1</v>
      </c>
      <c r="H861" t="n">
        <v>0</v>
      </c>
      <c r="I861" t="n">
        <v>0</v>
      </c>
      <c r="J861" t="n">
        <v>0</v>
      </c>
      <c r="K861" t="n">
        <v>0</v>
      </c>
      <c r="L861" t="n">
        <v>0</v>
      </c>
      <c r="M861" t="n">
        <v>0</v>
      </c>
      <c r="N861" t="n">
        <v>0</v>
      </c>
      <c r="O861" t="n">
        <v>0</v>
      </c>
      <c r="P861" t="n">
        <v>0</v>
      </c>
      <c r="Q861" t="n">
        <v>0</v>
      </c>
      <c r="R861" s="2" t="inlineStr"/>
    </row>
    <row r="862" ht="15" customHeight="1">
      <c r="A862" t="inlineStr">
        <is>
          <t>A 20237-2019</t>
        </is>
      </c>
      <c r="B862" s="1" t="n">
        <v>43570</v>
      </c>
      <c r="C862" s="1" t="n">
        <v>45810</v>
      </c>
      <c r="D862" t="inlineStr">
        <is>
          <t>VÄRMLANDS LÄN</t>
        </is>
      </c>
      <c r="E862" t="inlineStr">
        <is>
          <t>SUNNE</t>
        </is>
      </c>
      <c r="G862" t="n">
        <v>2.3</v>
      </c>
      <c r="H862" t="n">
        <v>0</v>
      </c>
      <c r="I862" t="n">
        <v>0</v>
      </c>
      <c r="J862" t="n">
        <v>0</v>
      </c>
      <c r="K862" t="n">
        <v>0</v>
      </c>
      <c r="L862" t="n">
        <v>0</v>
      </c>
      <c r="M862" t="n">
        <v>0</v>
      </c>
      <c r="N862" t="n">
        <v>0</v>
      </c>
      <c r="O862" t="n">
        <v>0</v>
      </c>
      <c r="P862" t="n">
        <v>0</v>
      </c>
      <c r="Q862" t="n">
        <v>0</v>
      </c>
      <c r="R862" s="2" t="inlineStr"/>
    </row>
    <row r="863" ht="15" customHeight="1">
      <c r="A863" t="inlineStr">
        <is>
          <t>A 20301-2019</t>
        </is>
      </c>
      <c r="B863" s="1" t="n">
        <v>43570</v>
      </c>
      <c r="C863" s="1" t="n">
        <v>45810</v>
      </c>
      <c r="D863" t="inlineStr">
        <is>
          <t>VÄRMLANDS LÄN</t>
        </is>
      </c>
      <c r="E863" t="inlineStr">
        <is>
          <t>KARLSTAD</t>
        </is>
      </c>
      <c r="G863" t="n">
        <v>7.5</v>
      </c>
      <c r="H863" t="n">
        <v>0</v>
      </c>
      <c r="I863" t="n">
        <v>0</v>
      </c>
      <c r="J863" t="n">
        <v>0</v>
      </c>
      <c r="K863" t="n">
        <v>0</v>
      </c>
      <c r="L863" t="n">
        <v>0</v>
      </c>
      <c r="M863" t="n">
        <v>0</v>
      </c>
      <c r="N863" t="n">
        <v>0</v>
      </c>
      <c r="O863" t="n">
        <v>0</v>
      </c>
      <c r="P863" t="n">
        <v>0</v>
      </c>
      <c r="Q863" t="n">
        <v>0</v>
      </c>
      <c r="R863" s="2" t="inlineStr"/>
    </row>
    <row r="864" ht="15" customHeight="1">
      <c r="A864" t="inlineStr">
        <is>
          <t>A 20215-2019</t>
        </is>
      </c>
      <c r="B864" s="1" t="n">
        <v>43570</v>
      </c>
      <c r="C864" s="1" t="n">
        <v>45810</v>
      </c>
      <c r="D864" t="inlineStr">
        <is>
          <t>VÄRMLANDS LÄN</t>
        </is>
      </c>
      <c r="E864" t="inlineStr">
        <is>
          <t>EDA</t>
        </is>
      </c>
      <c r="G864" t="n">
        <v>1.5</v>
      </c>
      <c r="H864" t="n">
        <v>0</v>
      </c>
      <c r="I864" t="n">
        <v>0</v>
      </c>
      <c r="J864" t="n">
        <v>0</v>
      </c>
      <c r="K864" t="n">
        <v>0</v>
      </c>
      <c r="L864" t="n">
        <v>0</v>
      </c>
      <c r="M864" t="n">
        <v>0</v>
      </c>
      <c r="N864" t="n">
        <v>0</v>
      </c>
      <c r="O864" t="n">
        <v>0</v>
      </c>
      <c r="P864" t="n">
        <v>0</v>
      </c>
      <c r="Q864" t="n">
        <v>0</v>
      </c>
      <c r="R864" s="2" t="inlineStr"/>
    </row>
    <row r="865" ht="15" customHeight="1">
      <c r="A865" t="inlineStr">
        <is>
          <t>A 20045-2019</t>
        </is>
      </c>
      <c r="B865" s="1" t="n">
        <v>43570</v>
      </c>
      <c r="C865" s="1" t="n">
        <v>45810</v>
      </c>
      <c r="D865" t="inlineStr">
        <is>
          <t>VÄRMLANDS LÄN</t>
        </is>
      </c>
      <c r="E865" t="inlineStr">
        <is>
          <t>FILIPSTAD</t>
        </is>
      </c>
      <c r="G865" t="n">
        <v>4</v>
      </c>
      <c r="H865" t="n">
        <v>0</v>
      </c>
      <c r="I865" t="n">
        <v>0</v>
      </c>
      <c r="J865" t="n">
        <v>0</v>
      </c>
      <c r="K865" t="n">
        <v>0</v>
      </c>
      <c r="L865" t="n">
        <v>0</v>
      </c>
      <c r="M865" t="n">
        <v>0</v>
      </c>
      <c r="N865" t="n">
        <v>0</v>
      </c>
      <c r="O865" t="n">
        <v>0</v>
      </c>
      <c r="P865" t="n">
        <v>0</v>
      </c>
      <c r="Q865" t="n">
        <v>0</v>
      </c>
      <c r="R865" s="2" t="inlineStr"/>
    </row>
    <row r="866" ht="15" customHeight="1">
      <c r="A866" t="inlineStr">
        <is>
          <t>A 20307-2019</t>
        </is>
      </c>
      <c r="B866" s="1" t="n">
        <v>43570</v>
      </c>
      <c r="C866" s="1" t="n">
        <v>45810</v>
      </c>
      <c r="D866" t="inlineStr">
        <is>
          <t>VÄRMLANDS LÄN</t>
        </is>
      </c>
      <c r="E866" t="inlineStr">
        <is>
          <t>SÄFFLE</t>
        </is>
      </c>
      <c r="G866" t="n">
        <v>2.7</v>
      </c>
      <c r="H866" t="n">
        <v>0</v>
      </c>
      <c r="I866" t="n">
        <v>0</v>
      </c>
      <c r="J866" t="n">
        <v>0</v>
      </c>
      <c r="K866" t="n">
        <v>0</v>
      </c>
      <c r="L866" t="n">
        <v>0</v>
      </c>
      <c r="M866" t="n">
        <v>0</v>
      </c>
      <c r="N866" t="n">
        <v>0</v>
      </c>
      <c r="O866" t="n">
        <v>0</v>
      </c>
      <c r="P866" t="n">
        <v>0</v>
      </c>
      <c r="Q866" t="n">
        <v>0</v>
      </c>
      <c r="R866" s="2" t="inlineStr"/>
    </row>
    <row r="867" ht="15" customHeight="1">
      <c r="A867" t="inlineStr">
        <is>
          <t>A 20339-2019</t>
        </is>
      </c>
      <c r="B867" s="1" t="n">
        <v>43570</v>
      </c>
      <c r="C867" s="1" t="n">
        <v>45810</v>
      </c>
      <c r="D867" t="inlineStr">
        <is>
          <t>VÄRMLANDS LÄN</t>
        </is>
      </c>
      <c r="E867" t="inlineStr">
        <is>
          <t>KARLSTAD</t>
        </is>
      </c>
      <c r="G867" t="n">
        <v>3.3</v>
      </c>
      <c r="H867" t="n">
        <v>0</v>
      </c>
      <c r="I867" t="n">
        <v>0</v>
      </c>
      <c r="J867" t="n">
        <v>0</v>
      </c>
      <c r="K867" t="n">
        <v>0</v>
      </c>
      <c r="L867" t="n">
        <v>0</v>
      </c>
      <c r="M867" t="n">
        <v>0</v>
      </c>
      <c r="N867" t="n">
        <v>0</v>
      </c>
      <c r="O867" t="n">
        <v>0</v>
      </c>
      <c r="P867" t="n">
        <v>0</v>
      </c>
      <c r="Q867" t="n">
        <v>0</v>
      </c>
      <c r="R867" s="2" t="inlineStr"/>
    </row>
    <row r="868" ht="15" customHeight="1">
      <c r="A868" t="inlineStr">
        <is>
          <t>A 20275-2019</t>
        </is>
      </c>
      <c r="B868" s="1" t="n">
        <v>43570</v>
      </c>
      <c r="C868" s="1" t="n">
        <v>45810</v>
      </c>
      <c r="D868" t="inlineStr">
        <is>
          <t>VÄRMLANDS LÄN</t>
        </is>
      </c>
      <c r="E868" t="inlineStr">
        <is>
          <t>SÄFFLE</t>
        </is>
      </c>
      <c r="G868" t="n">
        <v>2.2</v>
      </c>
      <c r="H868" t="n">
        <v>0</v>
      </c>
      <c r="I868" t="n">
        <v>0</v>
      </c>
      <c r="J868" t="n">
        <v>0</v>
      </c>
      <c r="K868" t="n">
        <v>0</v>
      </c>
      <c r="L868" t="n">
        <v>0</v>
      </c>
      <c r="M868" t="n">
        <v>0</v>
      </c>
      <c r="N868" t="n">
        <v>0</v>
      </c>
      <c r="O868" t="n">
        <v>0</v>
      </c>
      <c r="P868" t="n">
        <v>0</v>
      </c>
      <c r="Q868" t="n">
        <v>0</v>
      </c>
      <c r="R868" s="2" t="inlineStr"/>
    </row>
    <row r="869" ht="15" customHeight="1">
      <c r="A869" t="inlineStr">
        <is>
          <t>A 20221-2019</t>
        </is>
      </c>
      <c r="B869" s="1" t="n">
        <v>43570</v>
      </c>
      <c r="C869" s="1" t="n">
        <v>45810</v>
      </c>
      <c r="D869" t="inlineStr">
        <is>
          <t>VÄRMLANDS LÄN</t>
        </is>
      </c>
      <c r="E869" t="inlineStr">
        <is>
          <t>EDA</t>
        </is>
      </c>
      <c r="G869" t="n">
        <v>4.3</v>
      </c>
      <c r="H869" t="n">
        <v>0</v>
      </c>
      <c r="I869" t="n">
        <v>0</v>
      </c>
      <c r="J869" t="n">
        <v>0</v>
      </c>
      <c r="K869" t="n">
        <v>0</v>
      </c>
      <c r="L869" t="n">
        <v>0</v>
      </c>
      <c r="M869" t="n">
        <v>0</v>
      </c>
      <c r="N869" t="n">
        <v>0</v>
      </c>
      <c r="O869" t="n">
        <v>0</v>
      </c>
      <c r="P869" t="n">
        <v>0</v>
      </c>
      <c r="Q869" t="n">
        <v>0</v>
      </c>
      <c r="R869" s="2" t="inlineStr"/>
    </row>
    <row r="870" ht="15" customHeight="1">
      <c r="A870" t="inlineStr">
        <is>
          <t>A 20244-2019</t>
        </is>
      </c>
      <c r="B870" s="1" t="n">
        <v>43571</v>
      </c>
      <c r="C870" s="1" t="n">
        <v>45810</v>
      </c>
      <c r="D870" t="inlineStr">
        <is>
          <t>VÄRMLANDS LÄN</t>
        </is>
      </c>
      <c r="E870" t="inlineStr">
        <is>
          <t>TORSBY</t>
        </is>
      </c>
      <c r="F870" t="inlineStr">
        <is>
          <t>Bergvik skog väst AB</t>
        </is>
      </c>
      <c r="G870" t="n">
        <v>1</v>
      </c>
      <c r="H870" t="n">
        <v>0</v>
      </c>
      <c r="I870" t="n">
        <v>0</v>
      </c>
      <c r="J870" t="n">
        <v>0</v>
      </c>
      <c r="K870" t="n">
        <v>0</v>
      </c>
      <c r="L870" t="n">
        <v>0</v>
      </c>
      <c r="M870" t="n">
        <v>0</v>
      </c>
      <c r="N870" t="n">
        <v>0</v>
      </c>
      <c r="O870" t="n">
        <v>0</v>
      </c>
      <c r="P870" t="n">
        <v>0</v>
      </c>
      <c r="Q870" t="n">
        <v>0</v>
      </c>
      <c r="R870" s="2" t="inlineStr"/>
    </row>
    <row r="871" ht="15" customHeight="1">
      <c r="A871" t="inlineStr">
        <is>
          <t>A 20364-2019</t>
        </is>
      </c>
      <c r="B871" s="1" t="n">
        <v>43571</v>
      </c>
      <c r="C871" s="1" t="n">
        <v>45810</v>
      </c>
      <c r="D871" t="inlineStr">
        <is>
          <t>VÄRMLANDS LÄN</t>
        </is>
      </c>
      <c r="E871" t="inlineStr">
        <is>
          <t>ARVIKA</t>
        </is>
      </c>
      <c r="G871" t="n">
        <v>0.7</v>
      </c>
      <c r="H871" t="n">
        <v>0</v>
      </c>
      <c r="I871" t="n">
        <v>0</v>
      </c>
      <c r="J871" t="n">
        <v>0</v>
      </c>
      <c r="K871" t="n">
        <v>0</v>
      </c>
      <c r="L871" t="n">
        <v>0</v>
      </c>
      <c r="M871" t="n">
        <v>0</v>
      </c>
      <c r="N871" t="n">
        <v>0</v>
      </c>
      <c r="O871" t="n">
        <v>0</v>
      </c>
      <c r="P871" t="n">
        <v>0</v>
      </c>
      <c r="Q871" t="n">
        <v>0</v>
      </c>
      <c r="R871" s="2" t="inlineStr"/>
    </row>
    <row r="872" ht="15" customHeight="1">
      <c r="A872" t="inlineStr">
        <is>
          <t>A 20329-2019</t>
        </is>
      </c>
      <c r="B872" s="1" t="n">
        <v>43571</v>
      </c>
      <c r="C872" s="1" t="n">
        <v>45810</v>
      </c>
      <c r="D872" t="inlineStr">
        <is>
          <t>VÄRMLANDS LÄN</t>
        </is>
      </c>
      <c r="E872" t="inlineStr">
        <is>
          <t>ARVIKA</t>
        </is>
      </c>
      <c r="G872" t="n">
        <v>5.8</v>
      </c>
      <c r="H872" t="n">
        <v>0</v>
      </c>
      <c r="I872" t="n">
        <v>0</v>
      </c>
      <c r="J872" t="n">
        <v>0</v>
      </c>
      <c r="K872" t="n">
        <v>0</v>
      </c>
      <c r="L872" t="n">
        <v>0</v>
      </c>
      <c r="M872" t="n">
        <v>0</v>
      </c>
      <c r="N872" t="n">
        <v>0</v>
      </c>
      <c r="O872" t="n">
        <v>0</v>
      </c>
      <c r="P872" t="n">
        <v>0</v>
      </c>
      <c r="Q872" t="n">
        <v>0</v>
      </c>
      <c r="R872" s="2" t="inlineStr"/>
    </row>
    <row r="873" ht="15" customHeight="1">
      <c r="A873" t="inlineStr">
        <is>
          <t>A 20461-2019</t>
        </is>
      </c>
      <c r="B873" s="1" t="n">
        <v>43572</v>
      </c>
      <c r="C873" s="1" t="n">
        <v>45810</v>
      </c>
      <c r="D873" t="inlineStr">
        <is>
          <t>VÄRMLANDS LÄN</t>
        </is>
      </c>
      <c r="E873" t="inlineStr">
        <is>
          <t>KARLSTAD</t>
        </is>
      </c>
      <c r="G873" t="n">
        <v>0.9</v>
      </c>
      <c r="H873" t="n">
        <v>0</v>
      </c>
      <c r="I873" t="n">
        <v>0</v>
      </c>
      <c r="J873" t="n">
        <v>0</v>
      </c>
      <c r="K873" t="n">
        <v>0</v>
      </c>
      <c r="L873" t="n">
        <v>0</v>
      </c>
      <c r="M873" t="n">
        <v>0</v>
      </c>
      <c r="N873" t="n">
        <v>0</v>
      </c>
      <c r="O873" t="n">
        <v>0</v>
      </c>
      <c r="P873" t="n">
        <v>0</v>
      </c>
      <c r="Q873" t="n">
        <v>0</v>
      </c>
      <c r="R873" s="2" t="inlineStr"/>
    </row>
    <row r="874" ht="15" customHeight="1">
      <c r="A874" t="inlineStr">
        <is>
          <t>A 20573-2019</t>
        </is>
      </c>
      <c r="B874" s="1" t="n">
        <v>43572</v>
      </c>
      <c r="C874" s="1" t="n">
        <v>45810</v>
      </c>
      <c r="D874" t="inlineStr">
        <is>
          <t>VÄRMLANDS LÄN</t>
        </is>
      </c>
      <c r="E874" t="inlineStr">
        <is>
          <t>HAGFORS</t>
        </is>
      </c>
      <c r="G874" t="n">
        <v>1.4</v>
      </c>
      <c r="H874" t="n">
        <v>0</v>
      </c>
      <c r="I874" t="n">
        <v>0</v>
      </c>
      <c r="J874" t="n">
        <v>0</v>
      </c>
      <c r="K874" t="n">
        <v>0</v>
      </c>
      <c r="L874" t="n">
        <v>0</v>
      </c>
      <c r="M874" t="n">
        <v>0</v>
      </c>
      <c r="N874" t="n">
        <v>0</v>
      </c>
      <c r="O874" t="n">
        <v>0</v>
      </c>
      <c r="P874" t="n">
        <v>0</v>
      </c>
      <c r="Q874" t="n">
        <v>0</v>
      </c>
      <c r="R874" s="2" t="inlineStr"/>
    </row>
    <row r="875" ht="15" customHeight="1">
      <c r="A875" t="inlineStr">
        <is>
          <t>A 20616-2019</t>
        </is>
      </c>
      <c r="B875" s="1" t="n">
        <v>43572</v>
      </c>
      <c r="C875" s="1" t="n">
        <v>45810</v>
      </c>
      <c r="D875" t="inlineStr">
        <is>
          <t>VÄRMLANDS LÄN</t>
        </is>
      </c>
      <c r="E875" t="inlineStr">
        <is>
          <t>TORSBY</t>
        </is>
      </c>
      <c r="G875" t="n">
        <v>0.4</v>
      </c>
      <c r="H875" t="n">
        <v>0</v>
      </c>
      <c r="I875" t="n">
        <v>0</v>
      </c>
      <c r="J875" t="n">
        <v>0</v>
      </c>
      <c r="K875" t="n">
        <v>0</v>
      </c>
      <c r="L875" t="n">
        <v>0</v>
      </c>
      <c r="M875" t="n">
        <v>0</v>
      </c>
      <c r="N875" t="n">
        <v>0</v>
      </c>
      <c r="O875" t="n">
        <v>0</v>
      </c>
      <c r="P875" t="n">
        <v>0</v>
      </c>
      <c r="Q875" t="n">
        <v>0</v>
      </c>
      <c r="R875" s="2" t="inlineStr"/>
    </row>
    <row r="876" ht="15" customHeight="1">
      <c r="A876" t="inlineStr">
        <is>
          <t>A 20468-2019</t>
        </is>
      </c>
      <c r="B876" s="1" t="n">
        <v>43572</v>
      </c>
      <c r="C876" s="1" t="n">
        <v>45810</v>
      </c>
      <c r="D876" t="inlineStr">
        <is>
          <t>VÄRMLANDS LÄN</t>
        </is>
      </c>
      <c r="E876" t="inlineStr">
        <is>
          <t>TORSBY</t>
        </is>
      </c>
      <c r="G876" t="n">
        <v>2.9</v>
      </c>
      <c r="H876" t="n">
        <v>0</v>
      </c>
      <c r="I876" t="n">
        <v>0</v>
      </c>
      <c r="J876" t="n">
        <v>0</v>
      </c>
      <c r="K876" t="n">
        <v>0</v>
      </c>
      <c r="L876" t="n">
        <v>0</v>
      </c>
      <c r="M876" t="n">
        <v>0</v>
      </c>
      <c r="N876" t="n">
        <v>0</v>
      </c>
      <c r="O876" t="n">
        <v>0</v>
      </c>
      <c r="P876" t="n">
        <v>0</v>
      </c>
      <c r="Q876" t="n">
        <v>0</v>
      </c>
      <c r="R876" s="2" t="inlineStr"/>
    </row>
    <row r="877" ht="15" customHeight="1">
      <c r="A877" t="inlineStr">
        <is>
          <t>A 20451-2019</t>
        </is>
      </c>
      <c r="B877" s="1" t="n">
        <v>43572</v>
      </c>
      <c r="C877" s="1" t="n">
        <v>45810</v>
      </c>
      <c r="D877" t="inlineStr">
        <is>
          <t>VÄRMLANDS LÄN</t>
        </is>
      </c>
      <c r="E877" t="inlineStr">
        <is>
          <t>EDA</t>
        </is>
      </c>
      <c r="G877" t="n">
        <v>1.3</v>
      </c>
      <c r="H877" t="n">
        <v>0</v>
      </c>
      <c r="I877" t="n">
        <v>0</v>
      </c>
      <c r="J877" t="n">
        <v>0</v>
      </c>
      <c r="K877" t="n">
        <v>0</v>
      </c>
      <c r="L877" t="n">
        <v>0</v>
      </c>
      <c r="M877" t="n">
        <v>0</v>
      </c>
      <c r="N877" t="n">
        <v>0</v>
      </c>
      <c r="O877" t="n">
        <v>0</v>
      </c>
      <c r="P877" t="n">
        <v>0</v>
      </c>
      <c r="Q877" t="n">
        <v>0</v>
      </c>
      <c r="R877" s="2" t="inlineStr"/>
    </row>
    <row r="878" ht="15" customHeight="1">
      <c r="A878" t="inlineStr">
        <is>
          <t>A 20610-2019</t>
        </is>
      </c>
      <c r="B878" s="1" t="n">
        <v>43572</v>
      </c>
      <c r="C878" s="1" t="n">
        <v>45810</v>
      </c>
      <c r="D878" t="inlineStr">
        <is>
          <t>VÄRMLANDS LÄN</t>
        </is>
      </c>
      <c r="E878" t="inlineStr">
        <is>
          <t>KARLSTAD</t>
        </is>
      </c>
      <c r="G878" t="n">
        <v>1.6</v>
      </c>
      <c r="H878" t="n">
        <v>0</v>
      </c>
      <c r="I878" t="n">
        <v>0</v>
      </c>
      <c r="J878" t="n">
        <v>0</v>
      </c>
      <c r="K878" t="n">
        <v>0</v>
      </c>
      <c r="L878" t="n">
        <v>0</v>
      </c>
      <c r="M878" t="n">
        <v>0</v>
      </c>
      <c r="N878" t="n">
        <v>0</v>
      </c>
      <c r="O878" t="n">
        <v>0</v>
      </c>
      <c r="P878" t="n">
        <v>0</v>
      </c>
      <c r="Q878" t="n">
        <v>0</v>
      </c>
      <c r="R878" s="2" t="inlineStr"/>
    </row>
    <row r="879" ht="15" customHeight="1">
      <c r="A879" t="inlineStr">
        <is>
          <t>A 20452-2019</t>
        </is>
      </c>
      <c r="B879" s="1" t="n">
        <v>43572</v>
      </c>
      <c r="C879" s="1" t="n">
        <v>45810</v>
      </c>
      <c r="D879" t="inlineStr">
        <is>
          <t>VÄRMLANDS LÄN</t>
        </is>
      </c>
      <c r="E879" t="inlineStr">
        <is>
          <t>EDA</t>
        </is>
      </c>
      <c r="G879" t="n">
        <v>0.7</v>
      </c>
      <c r="H879" t="n">
        <v>0</v>
      </c>
      <c r="I879" t="n">
        <v>0</v>
      </c>
      <c r="J879" t="n">
        <v>0</v>
      </c>
      <c r="K879" t="n">
        <v>0</v>
      </c>
      <c r="L879" t="n">
        <v>0</v>
      </c>
      <c r="M879" t="n">
        <v>0</v>
      </c>
      <c r="N879" t="n">
        <v>0</v>
      </c>
      <c r="O879" t="n">
        <v>0</v>
      </c>
      <c r="P879" t="n">
        <v>0</v>
      </c>
      <c r="Q879" t="n">
        <v>0</v>
      </c>
      <c r="R879" s="2" t="inlineStr"/>
    </row>
    <row r="880" ht="15" customHeight="1">
      <c r="A880" t="inlineStr">
        <is>
          <t>A 20457-2019</t>
        </is>
      </c>
      <c r="B880" s="1" t="n">
        <v>43572</v>
      </c>
      <c r="C880" s="1" t="n">
        <v>45810</v>
      </c>
      <c r="D880" t="inlineStr">
        <is>
          <t>VÄRMLANDS LÄN</t>
        </is>
      </c>
      <c r="E880" t="inlineStr">
        <is>
          <t>EDA</t>
        </is>
      </c>
      <c r="G880" t="n">
        <v>1.7</v>
      </c>
      <c r="H880" t="n">
        <v>0</v>
      </c>
      <c r="I880" t="n">
        <v>0</v>
      </c>
      <c r="J880" t="n">
        <v>0</v>
      </c>
      <c r="K880" t="n">
        <v>0</v>
      </c>
      <c r="L880" t="n">
        <v>0</v>
      </c>
      <c r="M880" t="n">
        <v>0</v>
      </c>
      <c r="N880" t="n">
        <v>0</v>
      </c>
      <c r="O880" t="n">
        <v>0</v>
      </c>
      <c r="P880" t="n">
        <v>0</v>
      </c>
      <c r="Q880" t="n">
        <v>0</v>
      </c>
      <c r="R880" s="2" t="inlineStr"/>
    </row>
    <row r="881" ht="15" customHeight="1">
      <c r="A881" t="inlineStr">
        <is>
          <t>A 20492-2019</t>
        </is>
      </c>
      <c r="B881" s="1" t="n">
        <v>43572</v>
      </c>
      <c r="C881" s="1" t="n">
        <v>45810</v>
      </c>
      <c r="D881" t="inlineStr">
        <is>
          <t>VÄRMLANDS LÄN</t>
        </is>
      </c>
      <c r="E881" t="inlineStr">
        <is>
          <t>SUNNE</t>
        </is>
      </c>
      <c r="G881" t="n">
        <v>0.9</v>
      </c>
      <c r="H881" t="n">
        <v>0</v>
      </c>
      <c r="I881" t="n">
        <v>0</v>
      </c>
      <c r="J881" t="n">
        <v>0</v>
      </c>
      <c r="K881" t="n">
        <v>0</v>
      </c>
      <c r="L881" t="n">
        <v>0</v>
      </c>
      <c r="M881" t="n">
        <v>0</v>
      </c>
      <c r="N881" t="n">
        <v>0</v>
      </c>
      <c r="O881" t="n">
        <v>0</v>
      </c>
      <c r="P881" t="n">
        <v>0</v>
      </c>
      <c r="Q881" t="n">
        <v>0</v>
      </c>
      <c r="R881" s="2" t="inlineStr"/>
    </row>
    <row r="882" ht="15" customHeight="1">
      <c r="A882" t="inlineStr">
        <is>
          <t>A 20753-2019</t>
        </is>
      </c>
      <c r="B882" s="1" t="n">
        <v>43573</v>
      </c>
      <c r="C882" s="1" t="n">
        <v>45810</v>
      </c>
      <c r="D882" t="inlineStr">
        <is>
          <t>VÄRMLANDS LÄN</t>
        </is>
      </c>
      <c r="E882" t="inlineStr">
        <is>
          <t>MUNKFORS</t>
        </is>
      </c>
      <c r="F882" t="inlineStr">
        <is>
          <t>Bergvik skog väst AB</t>
        </is>
      </c>
      <c r="G882" t="n">
        <v>2</v>
      </c>
      <c r="H882" t="n">
        <v>0</v>
      </c>
      <c r="I882" t="n">
        <v>0</v>
      </c>
      <c r="J882" t="n">
        <v>0</v>
      </c>
      <c r="K882" t="n">
        <v>0</v>
      </c>
      <c r="L882" t="n">
        <v>0</v>
      </c>
      <c r="M882" t="n">
        <v>0</v>
      </c>
      <c r="N882" t="n">
        <v>0</v>
      </c>
      <c r="O882" t="n">
        <v>0</v>
      </c>
      <c r="P882" t="n">
        <v>0</v>
      </c>
      <c r="Q882" t="n">
        <v>0</v>
      </c>
      <c r="R882" s="2" t="inlineStr"/>
    </row>
    <row r="883" ht="15" customHeight="1">
      <c r="A883" t="inlineStr">
        <is>
          <t>A 20691-2019</t>
        </is>
      </c>
      <c r="B883" s="1" t="n">
        <v>43573</v>
      </c>
      <c r="C883" s="1" t="n">
        <v>45810</v>
      </c>
      <c r="D883" t="inlineStr">
        <is>
          <t>VÄRMLANDS LÄN</t>
        </is>
      </c>
      <c r="E883" t="inlineStr">
        <is>
          <t>EDA</t>
        </is>
      </c>
      <c r="G883" t="n">
        <v>2.2</v>
      </c>
      <c r="H883" t="n">
        <v>0</v>
      </c>
      <c r="I883" t="n">
        <v>0</v>
      </c>
      <c r="J883" t="n">
        <v>0</v>
      </c>
      <c r="K883" t="n">
        <v>0</v>
      </c>
      <c r="L883" t="n">
        <v>0</v>
      </c>
      <c r="M883" t="n">
        <v>0</v>
      </c>
      <c r="N883" t="n">
        <v>0</v>
      </c>
      <c r="O883" t="n">
        <v>0</v>
      </c>
      <c r="P883" t="n">
        <v>0</v>
      </c>
      <c r="Q883" t="n">
        <v>0</v>
      </c>
      <c r="R883" s="2" t="inlineStr"/>
    </row>
    <row r="884" ht="15" customHeight="1">
      <c r="A884" t="inlineStr">
        <is>
          <t>A 20757-2019</t>
        </is>
      </c>
      <c r="B884" s="1" t="n">
        <v>43573</v>
      </c>
      <c r="C884" s="1" t="n">
        <v>45810</v>
      </c>
      <c r="D884" t="inlineStr">
        <is>
          <t>VÄRMLANDS LÄN</t>
        </is>
      </c>
      <c r="E884" t="inlineStr">
        <is>
          <t>KRISTINEHAMN</t>
        </is>
      </c>
      <c r="G884" t="n">
        <v>1.2</v>
      </c>
      <c r="H884" t="n">
        <v>0</v>
      </c>
      <c r="I884" t="n">
        <v>0</v>
      </c>
      <c r="J884" t="n">
        <v>0</v>
      </c>
      <c r="K884" t="n">
        <v>0</v>
      </c>
      <c r="L884" t="n">
        <v>0</v>
      </c>
      <c r="M884" t="n">
        <v>0</v>
      </c>
      <c r="N884" t="n">
        <v>0</v>
      </c>
      <c r="O884" t="n">
        <v>0</v>
      </c>
      <c r="P884" t="n">
        <v>0</v>
      </c>
      <c r="Q884" t="n">
        <v>0</v>
      </c>
      <c r="R884" s="2" t="inlineStr"/>
    </row>
    <row r="885" ht="15" customHeight="1">
      <c r="A885" t="inlineStr">
        <is>
          <t>A 20772-2019</t>
        </is>
      </c>
      <c r="B885" s="1" t="n">
        <v>43573</v>
      </c>
      <c r="C885" s="1" t="n">
        <v>45810</v>
      </c>
      <c r="D885" t="inlineStr">
        <is>
          <t>VÄRMLANDS LÄN</t>
        </is>
      </c>
      <c r="E885" t="inlineStr">
        <is>
          <t>GRUMS</t>
        </is>
      </c>
      <c r="G885" t="n">
        <v>2.8</v>
      </c>
      <c r="H885" t="n">
        <v>0</v>
      </c>
      <c r="I885" t="n">
        <v>0</v>
      </c>
      <c r="J885" t="n">
        <v>0</v>
      </c>
      <c r="K885" t="n">
        <v>0</v>
      </c>
      <c r="L885" t="n">
        <v>0</v>
      </c>
      <c r="M885" t="n">
        <v>0</v>
      </c>
      <c r="N885" t="n">
        <v>0</v>
      </c>
      <c r="O885" t="n">
        <v>0</v>
      </c>
      <c r="P885" t="n">
        <v>0</v>
      </c>
      <c r="Q885" t="n">
        <v>0</v>
      </c>
      <c r="R885" s="2" t="inlineStr"/>
    </row>
    <row r="886" ht="15" customHeight="1">
      <c r="A886" t="inlineStr">
        <is>
          <t>A 20791-2019</t>
        </is>
      </c>
      <c r="B886" s="1" t="n">
        <v>43573</v>
      </c>
      <c r="C886" s="1" t="n">
        <v>45810</v>
      </c>
      <c r="D886" t="inlineStr">
        <is>
          <t>VÄRMLANDS LÄN</t>
        </is>
      </c>
      <c r="E886" t="inlineStr">
        <is>
          <t>FORSHAGA</t>
        </is>
      </c>
      <c r="G886" t="n">
        <v>8.199999999999999</v>
      </c>
      <c r="H886" t="n">
        <v>0</v>
      </c>
      <c r="I886" t="n">
        <v>0</v>
      </c>
      <c r="J886" t="n">
        <v>0</v>
      </c>
      <c r="K886" t="n">
        <v>0</v>
      </c>
      <c r="L886" t="n">
        <v>0</v>
      </c>
      <c r="M886" t="n">
        <v>0</v>
      </c>
      <c r="N886" t="n">
        <v>0</v>
      </c>
      <c r="O886" t="n">
        <v>0</v>
      </c>
      <c r="P886" t="n">
        <v>0</v>
      </c>
      <c r="Q886" t="n">
        <v>0</v>
      </c>
      <c r="R886" s="2" t="inlineStr"/>
    </row>
    <row r="887" ht="15" customHeight="1">
      <c r="A887" t="inlineStr">
        <is>
          <t>A 20805-2019</t>
        </is>
      </c>
      <c r="B887" s="1" t="n">
        <v>43573</v>
      </c>
      <c r="C887" s="1" t="n">
        <v>45810</v>
      </c>
      <c r="D887" t="inlineStr">
        <is>
          <t>VÄRMLANDS LÄN</t>
        </is>
      </c>
      <c r="E887" t="inlineStr">
        <is>
          <t>ÅRJÄNG</t>
        </is>
      </c>
      <c r="G887" t="n">
        <v>1.6</v>
      </c>
      <c r="H887" t="n">
        <v>0</v>
      </c>
      <c r="I887" t="n">
        <v>0</v>
      </c>
      <c r="J887" t="n">
        <v>0</v>
      </c>
      <c r="K887" t="n">
        <v>0</v>
      </c>
      <c r="L887" t="n">
        <v>0</v>
      </c>
      <c r="M887" t="n">
        <v>0</v>
      </c>
      <c r="N887" t="n">
        <v>0</v>
      </c>
      <c r="O887" t="n">
        <v>0</v>
      </c>
      <c r="P887" t="n">
        <v>0</v>
      </c>
      <c r="Q887" t="n">
        <v>0</v>
      </c>
      <c r="R887" s="2" t="inlineStr"/>
    </row>
    <row r="888" ht="15" customHeight="1">
      <c r="A888" t="inlineStr">
        <is>
          <t>A 20807-2019</t>
        </is>
      </c>
      <c r="B888" s="1" t="n">
        <v>43573</v>
      </c>
      <c r="C888" s="1" t="n">
        <v>45810</v>
      </c>
      <c r="D888" t="inlineStr">
        <is>
          <t>VÄRMLANDS LÄN</t>
        </is>
      </c>
      <c r="E888" t="inlineStr">
        <is>
          <t>ÅRJÄNG</t>
        </is>
      </c>
      <c r="G888" t="n">
        <v>1</v>
      </c>
      <c r="H888" t="n">
        <v>0</v>
      </c>
      <c r="I888" t="n">
        <v>0</v>
      </c>
      <c r="J888" t="n">
        <v>0</v>
      </c>
      <c r="K888" t="n">
        <v>0</v>
      </c>
      <c r="L888" t="n">
        <v>0</v>
      </c>
      <c r="M888" t="n">
        <v>0</v>
      </c>
      <c r="N888" t="n">
        <v>0</v>
      </c>
      <c r="O888" t="n">
        <v>0</v>
      </c>
      <c r="P888" t="n">
        <v>0</v>
      </c>
      <c r="Q888" t="n">
        <v>0</v>
      </c>
      <c r="R888" s="2" t="inlineStr"/>
    </row>
    <row r="889" ht="15" customHeight="1">
      <c r="A889" t="inlineStr">
        <is>
          <t>A 20785-2019</t>
        </is>
      </c>
      <c r="B889" s="1" t="n">
        <v>43573</v>
      </c>
      <c r="C889" s="1" t="n">
        <v>45810</v>
      </c>
      <c r="D889" t="inlineStr">
        <is>
          <t>VÄRMLANDS LÄN</t>
        </is>
      </c>
      <c r="E889" t="inlineStr">
        <is>
          <t>KARLSTAD</t>
        </is>
      </c>
      <c r="G889" t="n">
        <v>2.6</v>
      </c>
      <c r="H889" t="n">
        <v>0</v>
      </c>
      <c r="I889" t="n">
        <v>0</v>
      </c>
      <c r="J889" t="n">
        <v>0</v>
      </c>
      <c r="K889" t="n">
        <v>0</v>
      </c>
      <c r="L889" t="n">
        <v>0</v>
      </c>
      <c r="M889" t="n">
        <v>0</v>
      </c>
      <c r="N889" t="n">
        <v>0</v>
      </c>
      <c r="O889" t="n">
        <v>0</v>
      </c>
      <c r="P889" t="n">
        <v>0</v>
      </c>
      <c r="Q889" t="n">
        <v>0</v>
      </c>
      <c r="R889" s="2" t="inlineStr"/>
    </row>
    <row r="890" ht="15" customHeight="1">
      <c r="A890" t="inlineStr">
        <is>
          <t>A 20847-2019</t>
        </is>
      </c>
      <c r="B890" s="1" t="n">
        <v>43577</v>
      </c>
      <c r="C890" s="1" t="n">
        <v>45810</v>
      </c>
      <c r="D890" t="inlineStr">
        <is>
          <t>VÄRMLANDS LÄN</t>
        </is>
      </c>
      <c r="E890" t="inlineStr">
        <is>
          <t>KRISTINEHAMN</t>
        </is>
      </c>
      <c r="G890" t="n">
        <v>9</v>
      </c>
      <c r="H890" t="n">
        <v>0</v>
      </c>
      <c r="I890" t="n">
        <v>0</v>
      </c>
      <c r="J890" t="n">
        <v>0</v>
      </c>
      <c r="K890" t="n">
        <v>0</v>
      </c>
      <c r="L890" t="n">
        <v>0</v>
      </c>
      <c r="M890" t="n">
        <v>0</v>
      </c>
      <c r="N890" t="n">
        <v>0</v>
      </c>
      <c r="O890" t="n">
        <v>0</v>
      </c>
      <c r="P890" t="n">
        <v>0</v>
      </c>
      <c r="Q890" t="n">
        <v>0</v>
      </c>
      <c r="R890" s="2" t="inlineStr"/>
    </row>
    <row r="891" ht="15" customHeight="1">
      <c r="A891" t="inlineStr">
        <is>
          <t>A 20852-2019</t>
        </is>
      </c>
      <c r="B891" s="1" t="n">
        <v>43577</v>
      </c>
      <c r="C891" s="1" t="n">
        <v>45810</v>
      </c>
      <c r="D891" t="inlineStr">
        <is>
          <t>VÄRMLANDS LÄN</t>
        </is>
      </c>
      <c r="E891" t="inlineStr">
        <is>
          <t>KARLSTAD</t>
        </is>
      </c>
      <c r="G891" t="n">
        <v>2.6</v>
      </c>
      <c r="H891" t="n">
        <v>0</v>
      </c>
      <c r="I891" t="n">
        <v>0</v>
      </c>
      <c r="J891" t="n">
        <v>0</v>
      </c>
      <c r="K891" t="n">
        <v>0</v>
      </c>
      <c r="L891" t="n">
        <v>0</v>
      </c>
      <c r="M891" t="n">
        <v>0</v>
      </c>
      <c r="N891" t="n">
        <v>0</v>
      </c>
      <c r="O891" t="n">
        <v>0</v>
      </c>
      <c r="P891" t="n">
        <v>0</v>
      </c>
      <c r="Q891" t="n">
        <v>0</v>
      </c>
      <c r="R891" s="2" t="inlineStr"/>
    </row>
    <row r="892" ht="15" customHeight="1">
      <c r="A892" t="inlineStr">
        <is>
          <t>A 20846-2019</t>
        </is>
      </c>
      <c r="B892" s="1" t="n">
        <v>43577</v>
      </c>
      <c r="C892" s="1" t="n">
        <v>45810</v>
      </c>
      <c r="D892" t="inlineStr">
        <is>
          <t>VÄRMLANDS LÄN</t>
        </is>
      </c>
      <c r="E892" t="inlineStr">
        <is>
          <t>KRISTINEHAMN</t>
        </is>
      </c>
      <c r="G892" t="n">
        <v>10.7</v>
      </c>
      <c r="H892" t="n">
        <v>0</v>
      </c>
      <c r="I892" t="n">
        <v>0</v>
      </c>
      <c r="J892" t="n">
        <v>0</v>
      </c>
      <c r="K892" t="n">
        <v>0</v>
      </c>
      <c r="L892" t="n">
        <v>0</v>
      </c>
      <c r="M892" t="n">
        <v>0</v>
      </c>
      <c r="N892" t="n">
        <v>0</v>
      </c>
      <c r="O892" t="n">
        <v>0</v>
      </c>
      <c r="P892" t="n">
        <v>0</v>
      </c>
      <c r="Q892" t="n">
        <v>0</v>
      </c>
      <c r="R892" s="2" t="inlineStr"/>
    </row>
    <row r="893" ht="15" customHeight="1">
      <c r="A893" t="inlineStr">
        <is>
          <t>A 20866-2019</t>
        </is>
      </c>
      <c r="B893" s="1" t="n">
        <v>43578</v>
      </c>
      <c r="C893" s="1" t="n">
        <v>45810</v>
      </c>
      <c r="D893" t="inlineStr">
        <is>
          <t>VÄRMLANDS LÄN</t>
        </is>
      </c>
      <c r="E893" t="inlineStr">
        <is>
          <t>HAGFORS</t>
        </is>
      </c>
      <c r="G893" t="n">
        <v>1.1</v>
      </c>
      <c r="H893" t="n">
        <v>0</v>
      </c>
      <c r="I893" t="n">
        <v>0</v>
      </c>
      <c r="J893" t="n">
        <v>0</v>
      </c>
      <c r="K893" t="n">
        <v>0</v>
      </c>
      <c r="L893" t="n">
        <v>0</v>
      </c>
      <c r="M893" t="n">
        <v>0</v>
      </c>
      <c r="N893" t="n">
        <v>0</v>
      </c>
      <c r="O893" t="n">
        <v>0</v>
      </c>
      <c r="P893" t="n">
        <v>0</v>
      </c>
      <c r="Q893" t="n">
        <v>0</v>
      </c>
      <c r="R893" s="2" t="inlineStr"/>
    </row>
    <row r="894" ht="15" customHeight="1">
      <c r="A894" t="inlineStr">
        <is>
          <t>A 20927-2019</t>
        </is>
      </c>
      <c r="B894" s="1" t="n">
        <v>43578</v>
      </c>
      <c r="C894" s="1" t="n">
        <v>45810</v>
      </c>
      <c r="D894" t="inlineStr">
        <is>
          <t>VÄRMLANDS LÄN</t>
        </is>
      </c>
      <c r="E894" t="inlineStr">
        <is>
          <t>ARVIKA</t>
        </is>
      </c>
      <c r="G894" t="n">
        <v>3.4</v>
      </c>
      <c r="H894" t="n">
        <v>0</v>
      </c>
      <c r="I894" t="n">
        <v>0</v>
      </c>
      <c r="J894" t="n">
        <v>0</v>
      </c>
      <c r="K894" t="n">
        <v>0</v>
      </c>
      <c r="L894" t="n">
        <v>0</v>
      </c>
      <c r="M894" t="n">
        <v>0</v>
      </c>
      <c r="N894" t="n">
        <v>0</v>
      </c>
      <c r="O894" t="n">
        <v>0</v>
      </c>
      <c r="P894" t="n">
        <v>0</v>
      </c>
      <c r="Q894" t="n">
        <v>0</v>
      </c>
      <c r="R894" s="2" t="inlineStr"/>
    </row>
    <row r="895" ht="15" customHeight="1">
      <c r="A895" t="inlineStr">
        <is>
          <t>A 21002-2019</t>
        </is>
      </c>
      <c r="B895" s="1" t="n">
        <v>43578</v>
      </c>
      <c r="C895" s="1" t="n">
        <v>45810</v>
      </c>
      <c r="D895" t="inlineStr">
        <is>
          <t>VÄRMLANDS LÄN</t>
        </is>
      </c>
      <c r="E895" t="inlineStr">
        <is>
          <t>KIL</t>
        </is>
      </c>
      <c r="G895" t="n">
        <v>5</v>
      </c>
      <c r="H895" t="n">
        <v>0</v>
      </c>
      <c r="I895" t="n">
        <v>0</v>
      </c>
      <c r="J895" t="n">
        <v>0</v>
      </c>
      <c r="K895" t="n">
        <v>0</v>
      </c>
      <c r="L895" t="n">
        <v>0</v>
      </c>
      <c r="M895" t="n">
        <v>0</v>
      </c>
      <c r="N895" t="n">
        <v>0</v>
      </c>
      <c r="O895" t="n">
        <v>0</v>
      </c>
      <c r="P895" t="n">
        <v>0</v>
      </c>
      <c r="Q895" t="n">
        <v>0</v>
      </c>
      <c r="R895" s="2" t="inlineStr"/>
    </row>
    <row r="896" ht="15" customHeight="1">
      <c r="A896" t="inlineStr">
        <is>
          <t>A 20865-2019</t>
        </is>
      </c>
      <c r="B896" s="1" t="n">
        <v>43578</v>
      </c>
      <c r="C896" s="1" t="n">
        <v>45810</v>
      </c>
      <c r="D896" t="inlineStr">
        <is>
          <t>VÄRMLANDS LÄN</t>
        </is>
      </c>
      <c r="E896" t="inlineStr">
        <is>
          <t>SUNNE</t>
        </is>
      </c>
      <c r="F896" t="inlineStr">
        <is>
          <t>Kommuner</t>
        </is>
      </c>
      <c r="G896" t="n">
        <v>0.7</v>
      </c>
      <c r="H896" t="n">
        <v>0</v>
      </c>
      <c r="I896" t="n">
        <v>0</v>
      </c>
      <c r="J896" t="n">
        <v>0</v>
      </c>
      <c r="K896" t="n">
        <v>0</v>
      </c>
      <c r="L896" t="n">
        <v>0</v>
      </c>
      <c r="M896" t="n">
        <v>0</v>
      </c>
      <c r="N896" t="n">
        <v>0</v>
      </c>
      <c r="O896" t="n">
        <v>0</v>
      </c>
      <c r="P896" t="n">
        <v>0</v>
      </c>
      <c r="Q896" t="n">
        <v>0</v>
      </c>
      <c r="R896" s="2" t="inlineStr"/>
    </row>
    <row r="897" ht="15" customHeight="1">
      <c r="A897" t="inlineStr">
        <is>
          <t>A 21005-2019</t>
        </is>
      </c>
      <c r="B897" s="1" t="n">
        <v>43578</v>
      </c>
      <c r="C897" s="1" t="n">
        <v>45810</v>
      </c>
      <c r="D897" t="inlineStr">
        <is>
          <t>VÄRMLANDS LÄN</t>
        </is>
      </c>
      <c r="E897" t="inlineStr">
        <is>
          <t>KIL</t>
        </is>
      </c>
      <c r="G897" t="n">
        <v>1.5</v>
      </c>
      <c r="H897" t="n">
        <v>0</v>
      </c>
      <c r="I897" t="n">
        <v>0</v>
      </c>
      <c r="J897" t="n">
        <v>0</v>
      </c>
      <c r="K897" t="n">
        <v>0</v>
      </c>
      <c r="L897" t="n">
        <v>0</v>
      </c>
      <c r="M897" t="n">
        <v>0</v>
      </c>
      <c r="N897" t="n">
        <v>0</v>
      </c>
      <c r="O897" t="n">
        <v>0</v>
      </c>
      <c r="P897" t="n">
        <v>0</v>
      </c>
      <c r="Q897" t="n">
        <v>0</v>
      </c>
      <c r="R897" s="2" t="inlineStr"/>
    </row>
    <row r="898" ht="15" customHeight="1">
      <c r="A898" t="inlineStr">
        <is>
          <t>A 20864-2019</t>
        </is>
      </c>
      <c r="B898" s="1" t="n">
        <v>43578</v>
      </c>
      <c r="C898" s="1" t="n">
        <v>45810</v>
      </c>
      <c r="D898" t="inlineStr">
        <is>
          <t>VÄRMLANDS LÄN</t>
        </is>
      </c>
      <c r="E898" t="inlineStr">
        <is>
          <t>SUNNE</t>
        </is>
      </c>
      <c r="F898" t="inlineStr">
        <is>
          <t>Kommuner</t>
        </is>
      </c>
      <c r="G898" t="n">
        <v>2.4</v>
      </c>
      <c r="H898" t="n">
        <v>0</v>
      </c>
      <c r="I898" t="n">
        <v>0</v>
      </c>
      <c r="J898" t="n">
        <v>0</v>
      </c>
      <c r="K898" t="n">
        <v>0</v>
      </c>
      <c r="L898" t="n">
        <v>0</v>
      </c>
      <c r="M898" t="n">
        <v>0</v>
      </c>
      <c r="N898" t="n">
        <v>0</v>
      </c>
      <c r="O898" t="n">
        <v>0</v>
      </c>
      <c r="P898" t="n">
        <v>0</v>
      </c>
      <c r="Q898" t="n">
        <v>0</v>
      </c>
      <c r="R898" s="2" t="inlineStr"/>
    </row>
    <row r="899" ht="15" customHeight="1">
      <c r="A899" t="inlineStr">
        <is>
          <t>A 20862-2019</t>
        </is>
      </c>
      <c r="B899" s="1" t="n">
        <v>43578</v>
      </c>
      <c r="C899" s="1" t="n">
        <v>45810</v>
      </c>
      <c r="D899" t="inlineStr">
        <is>
          <t>VÄRMLANDS LÄN</t>
        </is>
      </c>
      <c r="E899" t="inlineStr">
        <is>
          <t>SUNNE</t>
        </is>
      </c>
      <c r="F899" t="inlineStr">
        <is>
          <t>Övriga Aktiebolag</t>
        </is>
      </c>
      <c r="G899" t="n">
        <v>4.5</v>
      </c>
      <c r="H899" t="n">
        <v>0</v>
      </c>
      <c r="I899" t="n">
        <v>0</v>
      </c>
      <c r="J899" t="n">
        <v>0</v>
      </c>
      <c r="K899" t="n">
        <v>0</v>
      </c>
      <c r="L899" t="n">
        <v>0</v>
      </c>
      <c r="M899" t="n">
        <v>0</v>
      </c>
      <c r="N899" t="n">
        <v>0</v>
      </c>
      <c r="O899" t="n">
        <v>0</v>
      </c>
      <c r="P899" t="n">
        <v>0</v>
      </c>
      <c r="Q899" t="n">
        <v>0</v>
      </c>
      <c r="R899" s="2" t="inlineStr"/>
    </row>
    <row r="900" ht="15" customHeight="1">
      <c r="A900" t="inlineStr">
        <is>
          <t>A 21166-2019</t>
        </is>
      </c>
      <c r="B900" s="1" t="n">
        <v>43578</v>
      </c>
      <c r="C900" s="1" t="n">
        <v>45810</v>
      </c>
      <c r="D900" t="inlineStr">
        <is>
          <t>VÄRMLANDS LÄN</t>
        </is>
      </c>
      <c r="E900" t="inlineStr">
        <is>
          <t>TORSBY</t>
        </is>
      </c>
      <c r="G900" t="n">
        <v>3.4</v>
      </c>
      <c r="H900" t="n">
        <v>0</v>
      </c>
      <c r="I900" t="n">
        <v>0</v>
      </c>
      <c r="J900" t="n">
        <v>0</v>
      </c>
      <c r="K900" t="n">
        <v>0</v>
      </c>
      <c r="L900" t="n">
        <v>0</v>
      </c>
      <c r="M900" t="n">
        <v>0</v>
      </c>
      <c r="N900" t="n">
        <v>0</v>
      </c>
      <c r="O900" t="n">
        <v>0</v>
      </c>
      <c r="P900" t="n">
        <v>0</v>
      </c>
      <c r="Q900" t="n">
        <v>0</v>
      </c>
      <c r="R900" s="2" t="inlineStr"/>
    </row>
    <row r="901" ht="15" customHeight="1">
      <c r="A901" t="inlineStr">
        <is>
          <t>A 21185-2019</t>
        </is>
      </c>
      <c r="B901" s="1" t="n">
        <v>43579</v>
      </c>
      <c r="C901" s="1" t="n">
        <v>45810</v>
      </c>
      <c r="D901" t="inlineStr">
        <is>
          <t>VÄRMLANDS LÄN</t>
        </is>
      </c>
      <c r="E901" t="inlineStr">
        <is>
          <t>FORSHAGA</t>
        </is>
      </c>
      <c r="F901" t="inlineStr">
        <is>
          <t>Bergvik skog väst AB</t>
        </is>
      </c>
      <c r="G901" t="n">
        <v>3.5</v>
      </c>
      <c r="H901" t="n">
        <v>0</v>
      </c>
      <c r="I901" t="n">
        <v>0</v>
      </c>
      <c r="J901" t="n">
        <v>0</v>
      </c>
      <c r="K901" t="n">
        <v>0</v>
      </c>
      <c r="L901" t="n">
        <v>0</v>
      </c>
      <c r="M901" t="n">
        <v>0</v>
      </c>
      <c r="N901" t="n">
        <v>0</v>
      </c>
      <c r="O901" t="n">
        <v>0</v>
      </c>
      <c r="P901" t="n">
        <v>0</v>
      </c>
      <c r="Q901" t="n">
        <v>0</v>
      </c>
      <c r="R901" s="2" t="inlineStr"/>
    </row>
    <row r="902" ht="15" customHeight="1">
      <c r="A902" t="inlineStr">
        <is>
          <t>A 21190-2019</t>
        </is>
      </c>
      <c r="B902" s="1" t="n">
        <v>43579</v>
      </c>
      <c r="C902" s="1" t="n">
        <v>45810</v>
      </c>
      <c r="D902" t="inlineStr">
        <is>
          <t>VÄRMLANDS LÄN</t>
        </is>
      </c>
      <c r="E902" t="inlineStr">
        <is>
          <t>SUNNE</t>
        </is>
      </c>
      <c r="G902" t="n">
        <v>1.1</v>
      </c>
      <c r="H902" t="n">
        <v>0</v>
      </c>
      <c r="I902" t="n">
        <v>0</v>
      </c>
      <c r="J902" t="n">
        <v>0</v>
      </c>
      <c r="K902" t="n">
        <v>0</v>
      </c>
      <c r="L902" t="n">
        <v>0</v>
      </c>
      <c r="M902" t="n">
        <v>0</v>
      </c>
      <c r="N902" t="n">
        <v>0</v>
      </c>
      <c r="O902" t="n">
        <v>0</v>
      </c>
      <c r="P902" t="n">
        <v>0</v>
      </c>
      <c r="Q902" t="n">
        <v>0</v>
      </c>
      <c r="R902" s="2" t="inlineStr"/>
    </row>
    <row r="903" ht="15" customHeight="1">
      <c r="A903" t="inlineStr">
        <is>
          <t>A 21301-2019</t>
        </is>
      </c>
      <c r="B903" s="1" t="n">
        <v>43579</v>
      </c>
      <c r="C903" s="1" t="n">
        <v>45810</v>
      </c>
      <c r="D903" t="inlineStr">
        <is>
          <t>VÄRMLANDS LÄN</t>
        </is>
      </c>
      <c r="E903" t="inlineStr">
        <is>
          <t>GRUMS</t>
        </is>
      </c>
      <c r="G903" t="n">
        <v>1.4</v>
      </c>
      <c r="H903" t="n">
        <v>0</v>
      </c>
      <c r="I903" t="n">
        <v>0</v>
      </c>
      <c r="J903" t="n">
        <v>0</v>
      </c>
      <c r="K903" t="n">
        <v>0</v>
      </c>
      <c r="L903" t="n">
        <v>0</v>
      </c>
      <c r="M903" t="n">
        <v>0</v>
      </c>
      <c r="N903" t="n">
        <v>0</v>
      </c>
      <c r="O903" t="n">
        <v>0</v>
      </c>
      <c r="P903" t="n">
        <v>0</v>
      </c>
      <c r="Q903" t="n">
        <v>0</v>
      </c>
      <c r="R903" s="2" t="inlineStr"/>
    </row>
    <row r="904" ht="15" customHeight="1">
      <c r="A904" t="inlineStr">
        <is>
          <t>A 21328-2019</t>
        </is>
      </c>
      <c r="B904" s="1" t="n">
        <v>43579</v>
      </c>
      <c r="C904" s="1" t="n">
        <v>45810</v>
      </c>
      <c r="D904" t="inlineStr">
        <is>
          <t>VÄRMLANDS LÄN</t>
        </is>
      </c>
      <c r="E904" t="inlineStr">
        <is>
          <t>SUNNE</t>
        </is>
      </c>
      <c r="G904" t="n">
        <v>1.3</v>
      </c>
      <c r="H904" t="n">
        <v>0</v>
      </c>
      <c r="I904" t="n">
        <v>0</v>
      </c>
      <c r="J904" t="n">
        <v>0</v>
      </c>
      <c r="K904" t="n">
        <v>0</v>
      </c>
      <c r="L904" t="n">
        <v>0</v>
      </c>
      <c r="M904" t="n">
        <v>0</v>
      </c>
      <c r="N904" t="n">
        <v>0</v>
      </c>
      <c r="O904" t="n">
        <v>0</v>
      </c>
      <c r="P904" t="n">
        <v>0</v>
      </c>
      <c r="Q904" t="n">
        <v>0</v>
      </c>
      <c r="R904" s="2" t="inlineStr"/>
    </row>
    <row r="905" ht="15" customHeight="1">
      <c r="A905" t="inlineStr">
        <is>
          <t>A 21283-2019</t>
        </is>
      </c>
      <c r="B905" s="1" t="n">
        <v>43579</v>
      </c>
      <c r="C905" s="1" t="n">
        <v>45810</v>
      </c>
      <c r="D905" t="inlineStr">
        <is>
          <t>VÄRMLANDS LÄN</t>
        </is>
      </c>
      <c r="E905" t="inlineStr">
        <is>
          <t>FORSHAGA</t>
        </is>
      </c>
      <c r="F905" t="inlineStr">
        <is>
          <t>Bergvik skog väst AB</t>
        </is>
      </c>
      <c r="G905" t="n">
        <v>17.2</v>
      </c>
      <c r="H905" t="n">
        <v>0</v>
      </c>
      <c r="I905" t="n">
        <v>0</v>
      </c>
      <c r="J905" t="n">
        <v>0</v>
      </c>
      <c r="K905" t="n">
        <v>0</v>
      </c>
      <c r="L905" t="n">
        <v>0</v>
      </c>
      <c r="M905" t="n">
        <v>0</v>
      </c>
      <c r="N905" t="n">
        <v>0</v>
      </c>
      <c r="O905" t="n">
        <v>0</v>
      </c>
      <c r="P905" t="n">
        <v>0</v>
      </c>
      <c r="Q905" t="n">
        <v>0</v>
      </c>
      <c r="R905" s="2" t="inlineStr"/>
    </row>
    <row r="906" ht="15" customHeight="1">
      <c r="A906" t="inlineStr">
        <is>
          <t>A 21350-2019</t>
        </is>
      </c>
      <c r="B906" s="1" t="n">
        <v>43579</v>
      </c>
      <c r="C906" s="1" t="n">
        <v>45810</v>
      </c>
      <c r="D906" t="inlineStr">
        <is>
          <t>VÄRMLANDS LÄN</t>
        </is>
      </c>
      <c r="E906" t="inlineStr">
        <is>
          <t>KARLSTAD</t>
        </is>
      </c>
      <c r="G906" t="n">
        <v>8.9</v>
      </c>
      <c r="H906" t="n">
        <v>0</v>
      </c>
      <c r="I906" t="n">
        <v>0</v>
      </c>
      <c r="J906" t="n">
        <v>0</v>
      </c>
      <c r="K906" t="n">
        <v>0</v>
      </c>
      <c r="L906" t="n">
        <v>0</v>
      </c>
      <c r="M906" t="n">
        <v>0</v>
      </c>
      <c r="N906" t="n">
        <v>0</v>
      </c>
      <c r="O906" t="n">
        <v>0</v>
      </c>
      <c r="P906" t="n">
        <v>0</v>
      </c>
      <c r="Q906" t="n">
        <v>0</v>
      </c>
      <c r="R906" s="2" t="inlineStr"/>
    </row>
    <row r="907" ht="15" customHeight="1">
      <c r="A907" t="inlineStr">
        <is>
          <t>A 21326-2019</t>
        </is>
      </c>
      <c r="B907" s="1" t="n">
        <v>43579</v>
      </c>
      <c r="C907" s="1" t="n">
        <v>45810</v>
      </c>
      <c r="D907" t="inlineStr">
        <is>
          <t>VÄRMLANDS LÄN</t>
        </is>
      </c>
      <c r="E907" t="inlineStr">
        <is>
          <t>SUNNE</t>
        </is>
      </c>
      <c r="G907" t="n">
        <v>1.3</v>
      </c>
      <c r="H907" t="n">
        <v>0</v>
      </c>
      <c r="I907" t="n">
        <v>0</v>
      </c>
      <c r="J907" t="n">
        <v>0</v>
      </c>
      <c r="K907" t="n">
        <v>0</v>
      </c>
      <c r="L907" t="n">
        <v>0</v>
      </c>
      <c r="M907" t="n">
        <v>0</v>
      </c>
      <c r="N907" t="n">
        <v>0</v>
      </c>
      <c r="O907" t="n">
        <v>0</v>
      </c>
      <c r="P907" t="n">
        <v>0</v>
      </c>
      <c r="Q907" t="n">
        <v>0</v>
      </c>
      <c r="R907" s="2" t="inlineStr"/>
    </row>
    <row r="908" ht="15" customHeight="1">
      <c r="A908" t="inlineStr">
        <is>
          <t>A 21299-2019</t>
        </is>
      </c>
      <c r="B908" s="1" t="n">
        <v>43579</v>
      </c>
      <c r="C908" s="1" t="n">
        <v>45810</v>
      </c>
      <c r="D908" t="inlineStr">
        <is>
          <t>VÄRMLANDS LÄN</t>
        </is>
      </c>
      <c r="E908" t="inlineStr">
        <is>
          <t>ARVIKA</t>
        </is>
      </c>
      <c r="G908" t="n">
        <v>2.8</v>
      </c>
      <c r="H908" t="n">
        <v>0</v>
      </c>
      <c r="I908" t="n">
        <v>0</v>
      </c>
      <c r="J908" t="n">
        <v>0</v>
      </c>
      <c r="K908" t="n">
        <v>0</v>
      </c>
      <c r="L908" t="n">
        <v>0</v>
      </c>
      <c r="M908" t="n">
        <v>0</v>
      </c>
      <c r="N908" t="n">
        <v>0</v>
      </c>
      <c r="O908" t="n">
        <v>0</v>
      </c>
      <c r="P908" t="n">
        <v>0</v>
      </c>
      <c r="Q908" t="n">
        <v>0</v>
      </c>
      <c r="R908" s="2" t="inlineStr"/>
    </row>
    <row r="909" ht="15" customHeight="1">
      <c r="A909" t="inlineStr">
        <is>
          <t>A 21222-2019</t>
        </is>
      </c>
      <c r="B909" s="1" t="n">
        <v>43579</v>
      </c>
      <c r="C909" s="1" t="n">
        <v>45810</v>
      </c>
      <c r="D909" t="inlineStr">
        <is>
          <t>VÄRMLANDS LÄN</t>
        </is>
      </c>
      <c r="E909" t="inlineStr">
        <is>
          <t>FILIPSTAD</t>
        </is>
      </c>
      <c r="F909" t="inlineStr">
        <is>
          <t>Bergvik skog väst AB</t>
        </is>
      </c>
      <c r="G909" t="n">
        <v>10.3</v>
      </c>
      <c r="H909" t="n">
        <v>0</v>
      </c>
      <c r="I909" t="n">
        <v>0</v>
      </c>
      <c r="J909" t="n">
        <v>0</v>
      </c>
      <c r="K909" t="n">
        <v>0</v>
      </c>
      <c r="L909" t="n">
        <v>0</v>
      </c>
      <c r="M909" t="n">
        <v>0</v>
      </c>
      <c r="N909" t="n">
        <v>0</v>
      </c>
      <c r="O909" t="n">
        <v>0</v>
      </c>
      <c r="P909" t="n">
        <v>0</v>
      </c>
      <c r="Q909" t="n">
        <v>0</v>
      </c>
      <c r="R909" s="2" t="inlineStr"/>
    </row>
    <row r="910" ht="15" customHeight="1">
      <c r="A910" t="inlineStr">
        <is>
          <t>A 21196-2019</t>
        </is>
      </c>
      <c r="B910" s="1" t="n">
        <v>43579</v>
      </c>
      <c r="C910" s="1" t="n">
        <v>45810</v>
      </c>
      <c r="D910" t="inlineStr">
        <is>
          <t>VÄRMLANDS LÄN</t>
        </is>
      </c>
      <c r="E910" t="inlineStr">
        <is>
          <t>FORSHAGA</t>
        </is>
      </c>
      <c r="F910" t="inlineStr">
        <is>
          <t>Bergvik skog väst AB</t>
        </is>
      </c>
      <c r="G910" t="n">
        <v>6.3</v>
      </c>
      <c r="H910" t="n">
        <v>0</v>
      </c>
      <c r="I910" t="n">
        <v>0</v>
      </c>
      <c r="J910" t="n">
        <v>0</v>
      </c>
      <c r="K910" t="n">
        <v>0</v>
      </c>
      <c r="L910" t="n">
        <v>0</v>
      </c>
      <c r="M910" t="n">
        <v>0</v>
      </c>
      <c r="N910" t="n">
        <v>0</v>
      </c>
      <c r="O910" t="n">
        <v>0</v>
      </c>
      <c r="P910" t="n">
        <v>0</v>
      </c>
      <c r="Q910" t="n">
        <v>0</v>
      </c>
      <c r="R910" s="2" t="inlineStr"/>
    </row>
    <row r="911" ht="15" customHeight="1">
      <c r="A911" t="inlineStr">
        <is>
          <t>A 21464-2019</t>
        </is>
      </c>
      <c r="B911" s="1" t="n">
        <v>43580</v>
      </c>
      <c r="C911" s="1" t="n">
        <v>45810</v>
      </c>
      <c r="D911" t="inlineStr">
        <is>
          <t>VÄRMLANDS LÄN</t>
        </is>
      </c>
      <c r="E911" t="inlineStr">
        <is>
          <t>FORSHAGA</t>
        </is>
      </c>
      <c r="G911" t="n">
        <v>2.3</v>
      </c>
      <c r="H911" t="n">
        <v>0</v>
      </c>
      <c r="I911" t="n">
        <v>0</v>
      </c>
      <c r="J911" t="n">
        <v>0</v>
      </c>
      <c r="K911" t="n">
        <v>0</v>
      </c>
      <c r="L911" t="n">
        <v>0</v>
      </c>
      <c r="M911" t="n">
        <v>0</v>
      </c>
      <c r="N911" t="n">
        <v>0</v>
      </c>
      <c r="O911" t="n">
        <v>0</v>
      </c>
      <c r="P911" t="n">
        <v>0</v>
      </c>
      <c r="Q911" t="n">
        <v>0</v>
      </c>
      <c r="R911" s="2" t="inlineStr"/>
    </row>
    <row r="912" ht="15" customHeight="1">
      <c r="A912" t="inlineStr">
        <is>
          <t>A 21467-2019</t>
        </is>
      </c>
      <c r="B912" s="1" t="n">
        <v>43580</v>
      </c>
      <c r="C912" s="1" t="n">
        <v>45810</v>
      </c>
      <c r="D912" t="inlineStr">
        <is>
          <t>VÄRMLANDS LÄN</t>
        </is>
      </c>
      <c r="E912" t="inlineStr">
        <is>
          <t>FORSHAGA</t>
        </is>
      </c>
      <c r="G912" t="n">
        <v>5</v>
      </c>
      <c r="H912" t="n">
        <v>0</v>
      </c>
      <c r="I912" t="n">
        <v>0</v>
      </c>
      <c r="J912" t="n">
        <v>0</v>
      </c>
      <c r="K912" t="n">
        <v>0</v>
      </c>
      <c r="L912" t="n">
        <v>0</v>
      </c>
      <c r="M912" t="n">
        <v>0</v>
      </c>
      <c r="N912" t="n">
        <v>0</v>
      </c>
      <c r="O912" t="n">
        <v>0</v>
      </c>
      <c r="P912" t="n">
        <v>0</v>
      </c>
      <c r="Q912" t="n">
        <v>0</v>
      </c>
      <c r="R912" s="2" t="inlineStr"/>
    </row>
    <row r="913" ht="15" customHeight="1">
      <c r="A913" t="inlineStr">
        <is>
          <t>A 21486-2019</t>
        </is>
      </c>
      <c r="B913" s="1" t="n">
        <v>43580</v>
      </c>
      <c r="C913" s="1" t="n">
        <v>45810</v>
      </c>
      <c r="D913" t="inlineStr">
        <is>
          <t>VÄRMLANDS LÄN</t>
        </is>
      </c>
      <c r="E913" t="inlineStr">
        <is>
          <t>KRISTINEHAMN</t>
        </is>
      </c>
      <c r="G913" t="n">
        <v>0.4</v>
      </c>
      <c r="H913" t="n">
        <v>0</v>
      </c>
      <c r="I913" t="n">
        <v>0</v>
      </c>
      <c r="J913" t="n">
        <v>0</v>
      </c>
      <c r="K913" t="n">
        <v>0</v>
      </c>
      <c r="L913" t="n">
        <v>0</v>
      </c>
      <c r="M913" t="n">
        <v>0</v>
      </c>
      <c r="N913" t="n">
        <v>0</v>
      </c>
      <c r="O913" t="n">
        <v>0</v>
      </c>
      <c r="P913" t="n">
        <v>0</v>
      </c>
      <c r="Q913" t="n">
        <v>0</v>
      </c>
      <c r="R913" s="2" t="inlineStr"/>
    </row>
    <row r="914" ht="15" customHeight="1">
      <c r="A914" t="inlineStr">
        <is>
          <t>A 21646-2019</t>
        </is>
      </c>
      <c r="B914" s="1" t="n">
        <v>43580</v>
      </c>
      <c r="C914" s="1" t="n">
        <v>45810</v>
      </c>
      <c r="D914" t="inlineStr">
        <is>
          <t>VÄRMLANDS LÄN</t>
        </is>
      </c>
      <c r="E914" t="inlineStr">
        <is>
          <t>EDA</t>
        </is>
      </c>
      <c r="G914" t="n">
        <v>1.7</v>
      </c>
      <c r="H914" t="n">
        <v>0</v>
      </c>
      <c r="I914" t="n">
        <v>0</v>
      </c>
      <c r="J914" t="n">
        <v>0</v>
      </c>
      <c r="K914" t="n">
        <v>0</v>
      </c>
      <c r="L914" t="n">
        <v>0</v>
      </c>
      <c r="M914" t="n">
        <v>0</v>
      </c>
      <c r="N914" t="n">
        <v>0</v>
      </c>
      <c r="O914" t="n">
        <v>0</v>
      </c>
      <c r="P914" t="n">
        <v>0</v>
      </c>
      <c r="Q914" t="n">
        <v>0</v>
      </c>
      <c r="R914" s="2" t="inlineStr"/>
    </row>
    <row r="915" ht="15" customHeight="1">
      <c r="A915" t="inlineStr">
        <is>
          <t>A 21573-2019</t>
        </is>
      </c>
      <c r="B915" s="1" t="n">
        <v>43580</v>
      </c>
      <c r="C915" s="1" t="n">
        <v>45810</v>
      </c>
      <c r="D915" t="inlineStr">
        <is>
          <t>VÄRMLANDS LÄN</t>
        </is>
      </c>
      <c r="E915" t="inlineStr">
        <is>
          <t>KARLSTAD</t>
        </is>
      </c>
      <c r="G915" t="n">
        <v>1.2</v>
      </c>
      <c r="H915" t="n">
        <v>0</v>
      </c>
      <c r="I915" t="n">
        <v>0</v>
      </c>
      <c r="J915" t="n">
        <v>0</v>
      </c>
      <c r="K915" t="n">
        <v>0</v>
      </c>
      <c r="L915" t="n">
        <v>0</v>
      </c>
      <c r="M915" t="n">
        <v>0</v>
      </c>
      <c r="N915" t="n">
        <v>0</v>
      </c>
      <c r="O915" t="n">
        <v>0</v>
      </c>
      <c r="P915" t="n">
        <v>0</v>
      </c>
      <c r="Q915" t="n">
        <v>0</v>
      </c>
      <c r="R915" s="2" t="inlineStr"/>
    </row>
    <row r="916" ht="15" customHeight="1">
      <c r="A916" t="inlineStr">
        <is>
          <t>A 21523-2019</t>
        </is>
      </c>
      <c r="B916" s="1" t="n">
        <v>43580</v>
      </c>
      <c r="C916" s="1" t="n">
        <v>45810</v>
      </c>
      <c r="D916" t="inlineStr">
        <is>
          <t>VÄRMLANDS LÄN</t>
        </is>
      </c>
      <c r="E916" t="inlineStr">
        <is>
          <t>ÅRJÄNG</t>
        </is>
      </c>
      <c r="G916" t="n">
        <v>1</v>
      </c>
      <c r="H916" t="n">
        <v>0</v>
      </c>
      <c r="I916" t="n">
        <v>0</v>
      </c>
      <c r="J916" t="n">
        <v>0</v>
      </c>
      <c r="K916" t="n">
        <v>0</v>
      </c>
      <c r="L916" t="n">
        <v>0</v>
      </c>
      <c r="M916" t="n">
        <v>0</v>
      </c>
      <c r="N916" t="n">
        <v>0</v>
      </c>
      <c r="O916" t="n">
        <v>0</v>
      </c>
      <c r="P916" t="n">
        <v>0</v>
      </c>
      <c r="Q916" t="n">
        <v>0</v>
      </c>
      <c r="R916" s="2" t="inlineStr"/>
    </row>
    <row r="917" ht="15" customHeight="1">
      <c r="A917" t="inlineStr">
        <is>
          <t>A 21447-2019</t>
        </is>
      </c>
      <c r="B917" s="1" t="n">
        <v>43580</v>
      </c>
      <c r="C917" s="1" t="n">
        <v>45810</v>
      </c>
      <c r="D917" t="inlineStr">
        <is>
          <t>VÄRMLANDS LÄN</t>
        </is>
      </c>
      <c r="E917" t="inlineStr">
        <is>
          <t>ARVIKA</t>
        </is>
      </c>
      <c r="F917" t="inlineStr">
        <is>
          <t>Bergvik skog väst AB</t>
        </is>
      </c>
      <c r="G917" t="n">
        <v>0.6</v>
      </c>
      <c r="H917" t="n">
        <v>0</v>
      </c>
      <c r="I917" t="n">
        <v>0</v>
      </c>
      <c r="J917" t="n">
        <v>0</v>
      </c>
      <c r="K917" t="n">
        <v>0</v>
      </c>
      <c r="L917" t="n">
        <v>0</v>
      </c>
      <c r="M917" t="n">
        <v>0</v>
      </c>
      <c r="N917" t="n">
        <v>0</v>
      </c>
      <c r="O917" t="n">
        <v>0</v>
      </c>
      <c r="P917" t="n">
        <v>0</v>
      </c>
      <c r="Q917" t="n">
        <v>0</v>
      </c>
      <c r="R917" s="2" t="inlineStr"/>
    </row>
    <row r="918" ht="15" customHeight="1">
      <c r="A918" t="inlineStr">
        <is>
          <t>A 21387-2019</t>
        </is>
      </c>
      <c r="B918" s="1" t="n">
        <v>43580</v>
      </c>
      <c r="C918" s="1" t="n">
        <v>45810</v>
      </c>
      <c r="D918" t="inlineStr">
        <is>
          <t>VÄRMLANDS LÄN</t>
        </is>
      </c>
      <c r="E918" t="inlineStr">
        <is>
          <t>TORSBY</t>
        </is>
      </c>
      <c r="G918" t="n">
        <v>2.4</v>
      </c>
      <c r="H918" t="n">
        <v>0</v>
      </c>
      <c r="I918" t="n">
        <v>0</v>
      </c>
      <c r="J918" t="n">
        <v>0</v>
      </c>
      <c r="K918" t="n">
        <v>0</v>
      </c>
      <c r="L918" t="n">
        <v>0</v>
      </c>
      <c r="M918" t="n">
        <v>0</v>
      </c>
      <c r="N918" t="n">
        <v>0</v>
      </c>
      <c r="O918" t="n">
        <v>0</v>
      </c>
      <c r="P918" t="n">
        <v>0</v>
      </c>
      <c r="Q918" t="n">
        <v>0</v>
      </c>
      <c r="R918" s="2" t="inlineStr"/>
    </row>
    <row r="919" ht="15" customHeight="1">
      <c r="A919" t="inlineStr">
        <is>
          <t>A 21643-2019</t>
        </is>
      </c>
      <c r="B919" s="1" t="n">
        <v>43581</v>
      </c>
      <c r="C919" s="1" t="n">
        <v>45810</v>
      </c>
      <c r="D919" t="inlineStr">
        <is>
          <t>VÄRMLANDS LÄN</t>
        </is>
      </c>
      <c r="E919" t="inlineStr">
        <is>
          <t>SÄFFLE</t>
        </is>
      </c>
      <c r="G919" t="n">
        <v>2.9</v>
      </c>
      <c r="H919" t="n">
        <v>0</v>
      </c>
      <c r="I919" t="n">
        <v>0</v>
      </c>
      <c r="J919" t="n">
        <v>0</v>
      </c>
      <c r="K919" t="n">
        <v>0</v>
      </c>
      <c r="L919" t="n">
        <v>0</v>
      </c>
      <c r="M919" t="n">
        <v>0</v>
      </c>
      <c r="N919" t="n">
        <v>0</v>
      </c>
      <c r="O919" t="n">
        <v>0</v>
      </c>
      <c r="P919" t="n">
        <v>0</v>
      </c>
      <c r="Q919" t="n">
        <v>0</v>
      </c>
      <c r="R919" s="2" t="inlineStr"/>
    </row>
    <row r="920" ht="15" customHeight="1">
      <c r="A920" t="inlineStr">
        <is>
          <t>A 21695-2019</t>
        </is>
      </c>
      <c r="B920" s="1" t="n">
        <v>43581</v>
      </c>
      <c r="C920" s="1" t="n">
        <v>45810</v>
      </c>
      <c r="D920" t="inlineStr">
        <is>
          <t>VÄRMLANDS LÄN</t>
        </is>
      </c>
      <c r="E920" t="inlineStr">
        <is>
          <t>FORSHAGA</t>
        </is>
      </c>
      <c r="G920" t="n">
        <v>0.8</v>
      </c>
      <c r="H920" t="n">
        <v>0</v>
      </c>
      <c r="I920" t="n">
        <v>0</v>
      </c>
      <c r="J920" t="n">
        <v>0</v>
      </c>
      <c r="K920" t="n">
        <v>0</v>
      </c>
      <c r="L920" t="n">
        <v>0</v>
      </c>
      <c r="M920" t="n">
        <v>0</v>
      </c>
      <c r="N920" t="n">
        <v>0</v>
      </c>
      <c r="O920" t="n">
        <v>0</v>
      </c>
      <c r="P920" t="n">
        <v>0</v>
      </c>
      <c r="Q920" t="n">
        <v>0</v>
      </c>
      <c r="R920" s="2" t="inlineStr"/>
    </row>
    <row r="921" ht="15" customHeight="1">
      <c r="A921" t="inlineStr">
        <is>
          <t>A 21723-2019</t>
        </is>
      </c>
      <c r="B921" s="1" t="n">
        <v>43581</v>
      </c>
      <c r="C921" s="1" t="n">
        <v>45810</v>
      </c>
      <c r="D921" t="inlineStr">
        <is>
          <t>VÄRMLANDS LÄN</t>
        </is>
      </c>
      <c r="E921" t="inlineStr">
        <is>
          <t>ÅRJÄNG</t>
        </is>
      </c>
      <c r="F921" t="inlineStr">
        <is>
          <t>Bergvik skog väst AB</t>
        </is>
      </c>
      <c r="G921" t="n">
        <v>5.3</v>
      </c>
      <c r="H921" t="n">
        <v>0</v>
      </c>
      <c r="I921" t="n">
        <v>0</v>
      </c>
      <c r="J921" t="n">
        <v>0</v>
      </c>
      <c r="K921" t="n">
        <v>0</v>
      </c>
      <c r="L921" t="n">
        <v>0</v>
      </c>
      <c r="M921" t="n">
        <v>0</v>
      </c>
      <c r="N921" t="n">
        <v>0</v>
      </c>
      <c r="O921" t="n">
        <v>0</v>
      </c>
      <c r="P921" t="n">
        <v>0</v>
      </c>
      <c r="Q921" t="n">
        <v>0</v>
      </c>
      <c r="R921" s="2" t="inlineStr"/>
    </row>
    <row r="922" ht="15" customHeight="1">
      <c r="A922" t="inlineStr">
        <is>
          <t>A 21724-2019</t>
        </is>
      </c>
      <c r="B922" s="1" t="n">
        <v>43581</v>
      </c>
      <c r="C922" s="1" t="n">
        <v>45810</v>
      </c>
      <c r="D922" t="inlineStr">
        <is>
          <t>VÄRMLANDS LÄN</t>
        </is>
      </c>
      <c r="E922" t="inlineStr">
        <is>
          <t>SUNNE</t>
        </is>
      </c>
      <c r="G922" t="n">
        <v>1.8</v>
      </c>
      <c r="H922" t="n">
        <v>0</v>
      </c>
      <c r="I922" t="n">
        <v>0</v>
      </c>
      <c r="J922" t="n">
        <v>0</v>
      </c>
      <c r="K922" t="n">
        <v>0</v>
      </c>
      <c r="L922" t="n">
        <v>0</v>
      </c>
      <c r="M922" t="n">
        <v>0</v>
      </c>
      <c r="N922" t="n">
        <v>0</v>
      </c>
      <c r="O922" t="n">
        <v>0</v>
      </c>
      <c r="P922" t="n">
        <v>0</v>
      </c>
      <c r="Q922" t="n">
        <v>0</v>
      </c>
      <c r="R922" s="2" t="inlineStr"/>
    </row>
    <row r="923" ht="15" customHeight="1">
      <c r="A923" t="inlineStr">
        <is>
          <t>A 21831-2019</t>
        </is>
      </c>
      <c r="B923" s="1" t="n">
        <v>43581</v>
      </c>
      <c r="C923" s="1" t="n">
        <v>45810</v>
      </c>
      <c r="D923" t="inlineStr">
        <is>
          <t>VÄRMLANDS LÄN</t>
        </is>
      </c>
      <c r="E923" t="inlineStr">
        <is>
          <t>ÅRJÄNG</t>
        </is>
      </c>
      <c r="F923" t="inlineStr">
        <is>
          <t>Kyrkan</t>
        </is>
      </c>
      <c r="G923" t="n">
        <v>0.9</v>
      </c>
      <c r="H923" t="n">
        <v>0</v>
      </c>
      <c r="I923" t="n">
        <v>0</v>
      </c>
      <c r="J923" t="n">
        <v>0</v>
      </c>
      <c r="K923" t="n">
        <v>0</v>
      </c>
      <c r="L923" t="n">
        <v>0</v>
      </c>
      <c r="M923" t="n">
        <v>0</v>
      </c>
      <c r="N923" t="n">
        <v>0</v>
      </c>
      <c r="O923" t="n">
        <v>0</v>
      </c>
      <c r="P923" t="n">
        <v>0</v>
      </c>
      <c r="Q923" t="n">
        <v>0</v>
      </c>
      <c r="R923" s="2" t="inlineStr"/>
    </row>
    <row r="924" ht="15" customHeight="1">
      <c r="A924" t="inlineStr">
        <is>
          <t>A 21802-2019</t>
        </is>
      </c>
      <c r="B924" s="1" t="n">
        <v>43582</v>
      </c>
      <c r="C924" s="1" t="n">
        <v>45810</v>
      </c>
      <c r="D924" t="inlineStr">
        <is>
          <t>VÄRMLANDS LÄN</t>
        </is>
      </c>
      <c r="E924" t="inlineStr">
        <is>
          <t>ARVIKA</t>
        </is>
      </c>
      <c r="G924" t="n">
        <v>12.8</v>
      </c>
      <c r="H924" t="n">
        <v>0</v>
      </c>
      <c r="I924" t="n">
        <v>0</v>
      </c>
      <c r="J924" t="n">
        <v>0</v>
      </c>
      <c r="K924" t="n">
        <v>0</v>
      </c>
      <c r="L924" t="n">
        <v>0</v>
      </c>
      <c r="M924" t="n">
        <v>0</v>
      </c>
      <c r="N924" t="n">
        <v>0</v>
      </c>
      <c r="O924" t="n">
        <v>0</v>
      </c>
      <c r="P924" t="n">
        <v>0</v>
      </c>
      <c r="Q924" t="n">
        <v>0</v>
      </c>
      <c r="R924" s="2" t="inlineStr"/>
    </row>
    <row r="925" ht="15" customHeight="1">
      <c r="A925" t="inlineStr">
        <is>
          <t>A 21804-2019</t>
        </is>
      </c>
      <c r="B925" s="1" t="n">
        <v>43582</v>
      </c>
      <c r="C925" s="1" t="n">
        <v>45810</v>
      </c>
      <c r="D925" t="inlineStr">
        <is>
          <t>VÄRMLANDS LÄN</t>
        </is>
      </c>
      <c r="E925" t="inlineStr">
        <is>
          <t>ARVIKA</t>
        </is>
      </c>
      <c r="G925" t="n">
        <v>6.2</v>
      </c>
      <c r="H925" t="n">
        <v>0</v>
      </c>
      <c r="I925" t="n">
        <v>0</v>
      </c>
      <c r="J925" t="n">
        <v>0</v>
      </c>
      <c r="K925" t="n">
        <v>0</v>
      </c>
      <c r="L925" t="n">
        <v>0</v>
      </c>
      <c r="M925" t="n">
        <v>0</v>
      </c>
      <c r="N925" t="n">
        <v>0</v>
      </c>
      <c r="O925" t="n">
        <v>0</v>
      </c>
      <c r="P925" t="n">
        <v>0</v>
      </c>
      <c r="Q925" t="n">
        <v>0</v>
      </c>
      <c r="R925" s="2" t="inlineStr"/>
    </row>
    <row r="926" ht="15" customHeight="1">
      <c r="A926" t="inlineStr">
        <is>
          <t>A 21939-2019</t>
        </is>
      </c>
      <c r="B926" s="1" t="n">
        <v>43584</v>
      </c>
      <c r="C926" s="1" t="n">
        <v>45810</v>
      </c>
      <c r="D926" t="inlineStr">
        <is>
          <t>VÄRMLANDS LÄN</t>
        </is>
      </c>
      <c r="E926" t="inlineStr">
        <is>
          <t>EDA</t>
        </is>
      </c>
      <c r="G926" t="n">
        <v>2.2</v>
      </c>
      <c r="H926" t="n">
        <v>0</v>
      </c>
      <c r="I926" t="n">
        <v>0</v>
      </c>
      <c r="J926" t="n">
        <v>0</v>
      </c>
      <c r="K926" t="n">
        <v>0</v>
      </c>
      <c r="L926" t="n">
        <v>0</v>
      </c>
      <c r="M926" t="n">
        <v>0</v>
      </c>
      <c r="N926" t="n">
        <v>0</v>
      </c>
      <c r="O926" t="n">
        <v>0</v>
      </c>
      <c r="P926" t="n">
        <v>0</v>
      </c>
      <c r="Q926" t="n">
        <v>0</v>
      </c>
      <c r="R926" s="2" t="inlineStr"/>
    </row>
    <row r="927" ht="15" customHeight="1">
      <c r="A927" t="inlineStr">
        <is>
          <t>A 21899-2019</t>
        </is>
      </c>
      <c r="B927" s="1" t="n">
        <v>43584</v>
      </c>
      <c r="C927" s="1" t="n">
        <v>45810</v>
      </c>
      <c r="D927" t="inlineStr">
        <is>
          <t>VÄRMLANDS LÄN</t>
        </is>
      </c>
      <c r="E927" t="inlineStr">
        <is>
          <t>KARLSTAD</t>
        </is>
      </c>
      <c r="G927" t="n">
        <v>2.2</v>
      </c>
      <c r="H927" t="n">
        <v>0</v>
      </c>
      <c r="I927" t="n">
        <v>0</v>
      </c>
      <c r="J927" t="n">
        <v>0</v>
      </c>
      <c r="K927" t="n">
        <v>0</v>
      </c>
      <c r="L927" t="n">
        <v>0</v>
      </c>
      <c r="M927" t="n">
        <v>0</v>
      </c>
      <c r="N927" t="n">
        <v>0</v>
      </c>
      <c r="O927" t="n">
        <v>0</v>
      </c>
      <c r="P927" t="n">
        <v>0</v>
      </c>
      <c r="Q927" t="n">
        <v>0</v>
      </c>
      <c r="R927" s="2" t="inlineStr"/>
    </row>
    <row r="928" ht="15" customHeight="1">
      <c r="A928" t="inlineStr">
        <is>
          <t>A 21961-2019</t>
        </is>
      </c>
      <c r="B928" s="1" t="n">
        <v>43584</v>
      </c>
      <c r="C928" s="1" t="n">
        <v>45810</v>
      </c>
      <c r="D928" t="inlineStr">
        <is>
          <t>VÄRMLANDS LÄN</t>
        </is>
      </c>
      <c r="E928" t="inlineStr">
        <is>
          <t>SÄFFLE</t>
        </is>
      </c>
      <c r="G928" t="n">
        <v>2.5</v>
      </c>
      <c r="H928" t="n">
        <v>0</v>
      </c>
      <c r="I928" t="n">
        <v>0</v>
      </c>
      <c r="J928" t="n">
        <v>0</v>
      </c>
      <c r="K928" t="n">
        <v>0</v>
      </c>
      <c r="L928" t="n">
        <v>0</v>
      </c>
      <c r="M928" t="n">
        <v>0</v>
      </c>
      <c r="N928" t="n">
        <v>0</v>
      </c>
      <c r="O928" t="n">
        <v>0</v>
      </c>
      <c r="P928" t="n">
        <v>0</v>
      </c>
      <c r="Q928" t="n">
        <v>0</v>
      </c>
      <c r="R928" s="2" t="inlineStr"/>
    </row>
    <row r="929" ht="15" customHeight="1">
      <c r="A929" t="inlineStr">
        <is>
          <t>A 21938-2019</t>
        </is>
      </c>
      <c r="B929" s="1" t="n">
        <v>43584</v>
      </c>
      <c r="C929" s="1" t="n">
        <v>45810</v>
      </c>
      <c r="D929" t="inlineStr">
        <is>
          <t>VÄRMLANDS LÄN</t>
        </is>
      </c>
      <c r="E929" t="inlineStr">
        <is>
          <t>EDA</t>
        </is>
      </c>
      <c r="G929" t="n">
        <v>0.1</v>
      </c>
      <c r="H929" t="n">
        <v>0</v>
      </c>
      <c r="I929" t="n">
        <v>0</v>
      </c>
      <c r="J929" t="n">
        <v>0</v>
      </c>
      <c r="K929" t="n">
        <v>0</v>
      </c>
      <c r="L929" t="n">
        <v>0</v>
      </c>
      <c r="M929" t="n">
        <v>0</v>
      </c>
      <c r="N929" t="n">
        <v>0</v>
      </c>
      <c r="O929" t="n">
        <v>0</v>
      </c>
      <c r="P929" t="n">
        <v>0</v>
      </c>
      <c r="Q929" t="n">
        <v>0</v>
      </c>
      <c r="R929" s="2" t="inlineStr"/>
    </row>
    <row r="930" ht="15" customHeight="1">
      <c r="A930" t="inlineStr">
        <is>
          <t>A 21970-2019</t>
        </is>
      </c>
      <c r="B930" s="1" t="n">
        <v>43584</v>
      </c>
      <c r="C930" s="1" t="n">
        <v>45810</v>
      </c>
      <c r="D930" t="inlineStr">
        <is>
          <t>VÄRMLANDS LÄN</t>
        </is>
      </c>
      <c r="E930" t="inlineStr">
        <is>
          <t>SÄFFLE</t>
        </is>
      </c>
      <c r="G930" t="n">
        <v>1.6</v>
      </c>
      <c r="H930" t="n">
        <v>0</v>
      </c>
      <c r="I930" t="n">
        <v>0</v>
      </c>
      <c r="J930" t="n">
        <v>0</v>
      </c>
      <c r="K930" t="n">
        <v>0</v>
      </c>
      <c r="L930" t="n">
        <v>0</v>
      </c>
      <c r="M930" t="n">
        <v>0</v>
      </c>
      <c r="N930" t="n">
        <v>0</v>
      </c>
      <c r="O930" t="n">
        <v>0</v>
      </c>
      <c r="P930" t="n">
        <v>0</v>
      </c>
      <c r="Q930" t="n">
        <v>0</v>
      </c>
      <c r="R930" s="2" t="inlineStr"/>
    </row>
    <row r="931" ht="15" customHeight="1">
      <c r="A931" t="inlineStr">
        <is>
          <t>A 22079-2019</t>
        </is>
      </c>
      <c r="B931" s="1" t="n">
        <v>43584</v>
      </c>
      <c r="C931" s="1" t="n">
        <v>45810</v>
      </c>
      <c r="D931" t="inlineStr">
        <is>
          <t>VÄRMLANDS LÄN</t>
        </is>
      </c>
      <c r="E931" t="inlineStr">
        <is>
          <t>EDA</t>
        </is>
      </c>
      <c r="G931" t="n">
        <v>0.9</v>
      </c>
      <c r="H931" t="n">
        <v>0</v>
      </c>
      <c r="I931" t="n">
        <v>0</v>
      </c>
      <c r="J931" t="n">
        <v>0</v>
      </c>
      <c r="K931" t="n">
        <v>0</v>
      </c>
      <c r="L931" t="n">
        <v>0</v>
      </c>
      <c r="M931" t="n">
        <v>0</v>
      </c>
      <c r="N931" t="n">
        <v>0</v>
      </c>
      <c r="O931" t="n">
        <v>0</v>
      </c>
      <c r="P931" t="n">
        <v>0</v>
      </c>
      <c r="Q931" t="n">
        <v>0</v>
      </c>
      <c r="R931" s="2" t="inlineStr"/>
    </row>
    <row r="932" ht="15" customHeight="1">
      <c r="A932" t="inlineStr">
        <is>
          <t>A 21974-2019</t>
        </is>
      </c>
      <c r="B932" s="1" t="n">
        <v>43584</v>
      </c>
      <c r="C932" s="1" t="n">
        <v>45810</v>
      </c>
      <c r="D932" t="inlineStr">
        <is>
          <t>VÄRMLANDS LÄN</t>
        </is>
      </c>
      <c r="E932" t="inlineStr">
        <is>
          <t>SÄFFLE</t>
        </is>
      </c>
      <c r="G932" t="n">
        <v>2.7</v>
      </c>
      <c r="H932" t="n">
        <v>0</v>
      </c>
      <c r="I932" t="n">
        <v>0</v>
      </c>
      <c r="J932" t="n">
        <v>0</v>
      </c>
      <c r="K932" t="n">
        <v>0</v>
      </c>
      <c r="L932" t="n">
        <v>0</v>
      </c>
      <c r="M932" t="n">
        <v>0</v>
      </c>
      <c r="N932" t="n">
        <v>0</v>
      </c>
      <c r="O932" t="n">
        <v>0</v>
      </c>
      <c r="P932" t="n">
        <v>0</v>
      </c>
      <c r="Q932" t="n">
        <v>0</v>
      </c>
      <c r="R932" s="2" t="inlineStr"/>
    </row>
    <row r="933" ht="15" customHeight="1">
      <c r="A933" t="inlineStr">
        <is>
          <t>A 22019-2019</t>
        </is>
      </c>
      <c r="B933" s="1" t="n">
        <v>43584</v>
      </c>
      <c r="C933" s="1" t="n">
        <v>45810</v>
      </c>
      <c r="D933" t="inlineStr">
        <is>
          <t>VÄRMLANDS LÄN</t>
        </is>
      </c>
      <c r="E933" t="inlineStr">
        <is>
          <t>SUNNE</t>
        </is>
      </c>
      <c r="G933" t="n">
        <v>2.8</v>
      </c>
      <c r="H933" t="n">
        <v>0</v>
      </c>
      <c r="I933" t="n">
        <v>0</v>
      </c>
      <c r="J933" t="n">
        <v>0</v>
      </c>
      <c r="K933" t="n">
        <v>0</v>
      </c>
      <c r="L933" t="n">
        <v>0</v>
      </c>
      <c r="M933" t="n">
        <v>0</v>
      </c>
      <c r="N933" t="n">
        <v>0</v>
      </c>
      <c r="O933" t="n">
        <v>0</v>
      </c>
      <c r="P933" t="n">
        <v>0</v>
      </c>
      <c r="Q933" t="n">
        <v>0</v>
      </c>
      <c r="R933" s="2" t="inlineStr"/>
    </row>
    <row r="934" ht="15" customHeight="1">
      <c r="A934" t="inlineStr">
        <is>
          <t>A 21965-2019</t>
        </is>
      </c>
      <c r="B934" s="1" t="n">
        <v>43584</v>
      </c>
      <c r="C934" s="1" t="n">
        <v>45810</v>
      </c>
      <c r="D934" t="inlineStr">
        <is>
          <t>VÄRMLANDS LÄN</t>
        </is>
      </c>
      <c r="E934" t="inlineStr">
        <is>
          <t>SÄFFLE</t>
        </is>
      </c>
      <c r="G934" t="n">
        <v>3.5</v>
      </c>
      <c r="H934" t="n">
        <v>0</v>
      </c>
      <c r="I934" t="n">
        <v>0</v>
      </c>
      <c r="J934" t="n">
        <v>0</v>
      </c>
      <c r="K934" t="n">
        <v>0</v>
      </c>
      <c r="L934" t="n">
        <v>0</v>
      </c>
      <c r="M934" t="n">
        <v>0</v>
      </c>
      <c r="N934" t="n">
        <v>0</v>
      </c>
      <c r="O934" t="n">
        <v>0</v>
      </c>
      <c r="P934" t="n">
        <v>0</v>
      </c>
      <c r="Q934" t="n">
        <v>0</v>
      </c>
      <c r="R934" s="2" t="inlineStr"/>
    </row>
    <row r="935" ht="15" customHeight="1">
      <c r="A935" t="inlineStr">
        <is>
          <t>A 21871-2019</t>
        </is>
      </c>
      <c r="B935" s="1" t="n">
        <v>43584</v>
      </c>
      <c r="C935" s="1" t="n">
        <v>45810</v>
      </c>
      <c r="D935" t="inlineStr">
        <is>
          <t>VÄRMLANDS LÄN</t>
        </is>
      </c>
      <c r="E935" t="inlineStr">
        <is>
          <t>EDA</t>
        </is>
      </c>
      <c r="F935" t="inlineStr">
        <is>
          <t>Bergvik skog väst AB</t>
        </is>
      </c>
      <c r="G935" t="n">
        <v>5.7</v>
      </c>
      <c r="H935" t="n">
        <v>0</v>
      </c>
      <c r="I935" t="n">
        <v>0</v>
      </c>
      <c r="J935" t="n">
        <v>0</v>
      </c>
      <c r="K935" t="n">
        <v>0</v>
      </c>
      <c r="L935" t="n">
        <v>0</v>
      </c>
      <c r="M935" t="n">
        <v>0</v>
      </c>
      <c r="N935" t="n">
        <v>0</v>
      </c>
      <c r="O935" t="n">
        <v>0</v>
      </c>
      <c r="P935" t="n">
        <v>0</v>
      </c>
      <c r="Q935" t="n">
        <v>0</v>
      </c>
      <c r="R935" s="2" t="inlineStr"/>
    </row>
    <row r="936" ht="15" customHeight="1">
      <c r="A936" t="inlineStr">
        <is>
          <t>A 21958-2019</t>
        </is>
      </c>
      <c r="B936" s="1" t="n">
        <v>43584</v>
      </c>
      <c r="C936" s="1" t="n">
        <v>45810</v>
      </c>
      <c r="D936" t="inlineStr">
        <is>
          <t>VÄRMLANDS LÄN</t>
        </is>
      </c>
      <c r="E936" t="inlineStr">
        <is>
          <t>TORSBY</t>
        </is>
      </c>
      <c r="G936" t="n">
        <v>3.5</v>
      </c>
      <c r="H936" t="n">
        <v>0</v>
      </c>
      <c r="I936" t="n">
        <v>0</v>
      </c>
      <c r="J936" t="n">
        <v>0</v>
      </c>
      <c r="K936" t="n">
        <v>0</v>
      </c>
      <c r="L936" t="n">
        <v>0</v>
      </c>
      <c r="M936" t="n">
        <v>0</v>
      </c>
      <c r="N936" t="n">
        <v>0</v>
      </c>
      <c r="O936" t="n">
        <v>0</v>
      </c>
      <c r="P936" t="n">
        <v>0</v>
      </c>
      <c r="Q936" t="n">
        <v>0</v>
      </c>
      <c r="R936" s="2" t="inlineStr"/>
    </row>
    <row r="937" ht="15" customHeight="1">
      <c r="A937" t="inlineStr">
        <is>
          <t>A 22116-2019</t>
        </is>
      </c>
      <c r="B937" s="1" t="n">
        <v>43585</v>
      </c>
      <c r="C937" s="1" t="n">
        <v>45810</v>
      </c>
      <c r="D937" t="inlineStr">
        <is>
          <t>VÄRMLANDS LÄN</t>
        </is>
      </c>
      <c r="E937" t="inlineStr">
        <is>
          <t>ÅRJÄNG</t>
        </is>
      </c>
      <c r="G937" t="n">
        <v>1.4</v>
      </c>
      <c r="H937" t="n">
        <v>0</v>
      </c>
      <c r="I937" t="n">
        <v>0</v>
      </c>
      <c r="J937" t="n">
        <v>0</v>
      </c>
      <c r="K937" t="n">
        <v>0</v>
      </c>
      <c r="L937" t="n">
        <v>0</v>
      </c>
      <c r="M937" t="n">
        <v>0</v>
      </c>
      <c r="N937" t="n">
        <v>0</v>
      </c>
      <c r="O937" t="n">
        <v>0</v>
      </c>
      <c r="P937" t="n">
        <v>0</v>
      </c>
      <c r="Q937" t="n">
        <v>0</v>
      </c>
      <c r="R937" s="2" t="inlineStr"/>
    </row>
    <row r="938" ht="15" customHeight="1">
      <c r="A938" t="inlineStr">
        <is>
          <t>A 22194-2019</t>
        </is>
      </c>
      <c r="B938" s="1" t="n">
        <v>43585</v>
      </c>
      <c r="C938" s="1" t="n">
        <v>45810</v>
      </c>
      <c r="D938" t="inlineStr">
        <is>
          <t>VÄRMLANDS LÄN</t>
        </is>
      </c>
      <c r="E938" t="inlineStr">
        <is>
          <t>HAGFORS</t>
        </is>
      </c>
      <c r="G938" t="n">
        <v>6.5</v>
      </c>
      <c r="H938" t="n">
        <v>0</v>
      </c>
      <c r="I938" t="n">
        <v>0</v>
      </c>
      <c r="J938" t="n">
        <v>0</v>
      </c>
      <c r="K938" t="n">
        <v>0</v>
      </c>
      <c r="L938" t="n">
        <v>0</v>
      </c>
      <c r="M938" t="n">
        <v>0</v>
      </c>
      <c r="N938" t="n">
        <v>0</v>
      </c>
      <c r="O938" t="n">
        <v>0</v>
      </c>
      <c r="P938" t="n">
        <v>0</v>
      </c>
      <c r="Q938" t="n">
        <v>0</v>
      </c>
      <c r="R938" s="2" t="inlineStr"/>
    </row>
    <row r="939" ht="15" customHeight="1">
      <c r="A939" t="inlineStr">
        <is>
          <t>A 22265-2019</t>
        </is>
      </c>
      <c r="B939" s="1" t="n">
        <v>43585</v>
      </c>
      <c r="C939" s="1" t="n">
        <v>45810</v>
      </c>
      <c r="D939" t="inlineStr">
        <is>
          <t>VÄRMLANDS LÄN</t>
        </is>
      </c>
      <c r="E939" t="inlineStr">
        <is>
          <t>SUNNE</t>
        </is>
      </c>
      <c r="G939" t="n">
        <v>0.9</v>
      </c>
      <c r="H939" t="n">
        <v>0</v>
      </c>
      <c r="I939" t="n">
        <v>0</v>
      </c>
      <c r="J939" t="n">
        <v>0</v>
      </c>
      <c r="K939" t="n">
        <v>0</v>
      </c>
      <c r="L939" t="n">
        <v>0</v>
      </c>
      <c r="M939" t="n">
        <v>0</v>
      </c>
      <c r="N939" t="n">
        <v>0</v>
      </c>
      <c r="O939" t="n">
        <v>0</v>
      </c>
      <c r="P939" t="n">
        <v>0</v>
      </c>
      <c r="Q939" t="n">
        <v>0</v>
      </c>
      <c r="R939" s="2" t="inlineStr"/>
    </row>
    <row r="940" ht="15" customHeight="1">
      <c r="A940" t="inlineStr">
        <is>
          <t>A 22259-2019</t>
        </is>
      </c>
      <c r="B940" s="1" t="n">
        <v>43585</v>
      </c>
      <c r="C940" s="1" t="n">
        <v>45810</v>
      </c>
      <c r="D940" t="inlineStr">
        <is>
          <t>VÄRMLANDS LÄN</t>
        </is>
      </c>
      <c r="E940" t="inlineStr">
        <is>
          <t>SUNNE</t>
        </is>
      </c>
      <c r="G940" t="n">
        <v>0.7</v>
      </c>
      <c r="H940" t="n">
        <v>0</v>
      </c>
      <c r="I940" t="n">
        <v>0</v>
      </c>
      <c r="J940" t="n">
        <v>0</v>
      </c>
      <c r="K940" t="n">
        <v>0</v>
      </c>
      <c r="L940" t="n">
        <v>0</v>
      </c>
      <c r="M940" t="n">
        <v>0</v>
      </c>
      <c r="N940" t="n">
        <v>0</v>
      </c>
      <c r="O940" t="n">
        <v>0</v>
      </c>
      <c r="P940" t="n">
        <v>0</v>
      </c>
      <c r="Q940" t="n">
        <v>0</v>
      </c>
      <c r="R940" s="2" t="inlineStr"/>
    </row>
    <row r="941" ht="15" customHeight="1">
      <c r="A941" t="inlineStr">
        <is>
          <t>A 22261-2019</t>
        </is>
      </c>
      <c r="B941" s="1" t="n">
        <v>43585</v>
      </c>
      <c r="C941" s="1" t="n">
        <v>45810</v>
      </c>
      <c r="D941" t="inlineStr">
        <is>
          <t>VÄRMLANDS LÄN</t>
        </is>
      </c>
      <c r="E941" t="inlineStr">
        <is>
          <t>SUNNE</t>
        </is>
      </c>
      <c r="G941" t="n">
        <v>0.7</v>
      </c>
      <c r="H941" t="n">
        <v>0</v>
      </c>
      <c r="I941" t="n">
        <v>0</v>
      </c>
      <c r="J941" t="n">
        <v>0</v>
      </c>
      <c r="K941" t="n">
        <v>0</v>
      </c>
      <c r="L941" t="n">
        <v>0</v>
      </c>
      <c r="M941" t="n">
        <v>0</v>
      </c>
      <c r="N941" t="n">
        <v>0</v>
      </c>
      <c r="O941" t="n">
        <v>0</v>
      </c>
      <c r="P941" t="n">
        <v>0</v>
      </c>
      <c r="Q941" t="n">
        <v>0</v>
      </c>
      <c r="R941" s="2" t="inlineStr"/>
    </row>
    <row r="942" ht="15" customHeight="1">
      <c r="A942" t="inlineStr">
        <is>
          <t>A 22252-2019</t>
        </is>
      </c>
      <c r="B942" s="1" t="n">
        <v>43585</v>
      </c>
      <c r="C942" s="1" t="n">
        <v>45810</v>
      </c>
      <c r="D942" t="inlineStr">
        <is>
          <t>VÄRMLANDS LÄN</t>
        </is>
      </c>
      <c r="E942" t="inlineStr">
        <is>
          <t>TORSBY</t>
        </is>
      </c>
      <c r="G942" t="n">
        <v>3.7</v>
      </c>
      <c r="H942" t="n">
        <v>0</v>
      </c>
      <c r="I942" t="n">
        <v>0</v>
      </c>
      <c r="J942" t="n">
        <v>0</v>
      </c>
      <c r="K942" t="n">
        <v>0</v>
      </c>
      <c r="L942" t="n">
        <v>0</v>
      </c>
      <c r="M942" t="n">
        <v>0</v>
      </c>
      <c r="N942" t="n">
        <v>0</v>
      </c>
      <c r="O942" t="n">
        <v>0</v>
      </c>
      <c r="P942" t="n">
        <v>0</v>
      </c>
      <c r="Q942" t="n">
        <v>0</v>
      </c>
      <c r="R942" s="2" t="inlineStr"/>
    </row>
    <row r="943" ht="15" customHeight="1">
      <c r="A943" t="inlineStr">
        <is>
          <t>A 22173-2019</t>
        </is>
      </c>
      <c r="B943" s="1" t="n">
        <v>43585</v>
      </c>
      <c r="C943" s="1" t="n">
        <v>45810</v>
      </c>
      <c r="D943" t="inlineStr">
        <is>
          <t>VÄRMLANDS LÄN</t>
        </is>
      </c>
      <c r="E943" t="inlineStr">
        <is>
          <t>ÅRJÄNG</t>
        </is>
      </c>
      <c r="G943" t="n">
        <v>3.5</v>
      </c>
      <c r="H943" t="n">
        <v>0</v>
      </c>
      <c r="I943" t="n">
        <v>0</v>
      </c>
      <c r="J943" t="n">
        <v>0</v>
      </c>
      <c r="K943" t="n">
        <v>0</v>
      </c>
      <c r="L943" t="n">
        <v>0</v>
      </c>
      <c r="M943" t="n">
        <v>0</v>
      </c>
      <c r="N943" t="n">
        <v>0</v>
      </c>
      <c r="O943" t="n">
        <v>0</v>
      </c>
      <c r="P943" t="n">
        <v>0</v>
      </c>
      <c r="Q943" t="n">
        <v>0</v>
      </c>
      <c r="R943" s="2" t="inlineStr"/>
    </row>
    <row r="944" ht="15" customHeight="1">
      <c r="A944" t="inlineStr">
        <is>
          <t>A 22230-2019</t>
        </is>
      </c>
      <c r="B944" s="1" t="n">
        <v>43585</v>
      </c>
      <c r="C944" s="1" t="n">
        <v>45810</v>
      </c>
      <c r="D944" t="inlineStr">
        <is>
          <t>VÄRMLANDS LÄN</t>
        </is>
      </c>
      <c r="E944" t="inlineStr">
        <is>
          <t>SUNNE</t>
        </is>
      </c>
      <c r="G944" t="n">
        <v>1.3</v>
      </c>
      <c r="H944" t="n">
        <v>0</v>
      </c>
      <c r="I944" t="n">
        <v>0</v>
      </c>
      <c r="J944" t="n">
        <v>0</v>
      </c>
      <c r="K944" t="n">
        <v>0</v>
      </c>
      <c r="L944" t="n">
        <v>0</v>
      </c>
      <c r="M944" t="n">
        <v>0</v>
      </c>
      <c r="N944" t="n">
        <v>0</v>
      </c>
      <c r="O944" t="n">
        <v>0</v>
      </c>
      <c r="P944" t="n">
        <v>0</v>
      </c>
      <c r="Q944" t="n">
        <v>0</v>
      </c>
      <c r="R944" s="2" t="inlineStr"/>
    </row>
    <row r="945" ht="15" customHeight="1">
      <c r="A945" t="inlineStr">
        <is>
          <t>A 22204-2019</t>
        </is>
      </c>
      <c r="B945" s="1" t="n">
        <v>43585</v>
      </c>
      <c r="C945" s="1" t="n">
        <v>45810</v>
      </c>
      <c r="D945" t="inlineStr">
        <is>
          <t>VÄRMLANDS LÄN</t>
        </is>
      </c>
      <c r="E945" t="inlineStr">
        <is>
          <t>HAGFORS</t>
        </is>
      </c>
      <c r="G945" t="n">
        <v>1.5</v>
      </c>
      <c r="H945" t="n">
        <v>0</v>
      </c>
      <c r="I945" t="n">
        <v>0</v>
      </c>
      <c r="J945" t="n">
        <v>0</v>
      </c>
      <c r="K945" t="n">
        <v>0</v>
      </c>
      <c r="L945" t="n">
        <v>0</v>
      </c>
      <c r="M945" t="n">
        <v>0</v>
      </c>
      <c r="N945" t="n">
        <v>0</v>
      </c>
      <c r="O945" t="n">
        <v>0</v>
      </c>
      <c r="P945" t="n">
        <v>0</v>
      </c>
      <c r="Q945" t="n">
        <v>0</v>
      </c>
      <c r="R945" s="2" t="inlineStr"/>
    </row>
    <row r="946" ht="15" customHeight="1">
      <c r="A946" t="inlineStr">
        <is>
          <t>A 22158-2019</t>
        </is>
      </c>
      <c r="B946" s="1" t="n">
        <v>43585</v>
      </c>
      <c r="C946" s="1" t="n">
        <v>45810</v>
      </c>
      <c r="D946" t="inlineStr">
        <is>
          <t>VÄRMLANDS LÄN</t>
        </is>
      </c>
      <c r="E946" t="inlineStr">
        <is>
          <t>TORSBY</t>
        </is>
      </c>
      <c r="G946" t="n">
        <v>4.5</v>
      </c>
      <c r="H946" t="n">
        <v>0</v>
      </c>
      <c r="I946" t="n">
        <v>0</v>
      </c>
      <c r="J946" t="n">
        <v>0</v>
      </c>
      <c r="K946" t="n">
        <v>0</v>
      </c>
      <c r="L946" t="n">
        <v>0</v>
      </c>
      <c r="M946" t="n">
        <v>0</v>
      </c>
      <c r="N946" t="n">
        <v>0</v>
      </c>
      <c r="O946" t="n">
        <v>0</v>
      </c>
      <c r="P946" t="n">
        <v>0</v>
      </c>
      <c r="Q946" t="n">
        <v>0</v>
      </c>
      <c r="R946" s="2" t="inlineStr"/>
    </row>
    <row r="947" ht="15" customHeight="1">
      <c r="A947" t="inlineStr">
        <is>
          <t>A 22513-2019</t>
        </is>
      </c>
      <c r="B947" s="1" t="n">
        <v>43587</v>
      </c>
      <c r="C947" s="1" t="n">
        <v>45810</v>
      </c>
      <c r="D947" t="inlineStr">
        <is>
          <t>VÄRMLANDS LÄN</t>
        </is>
      </c>
      <c r="E947" t="inlineStr">
        <is>
          <t>SUNNE</t>
        </is>
      </c>
      <c r="G947" t="n">
        <v>1</v>
      </c>
      <c r="H947" t="n">
        <v>0</v>
      </c>
      <c r="I947" t="n">
        <v>0</v>
      </c>
      <c r="J947" t="n">
        <v>0</v>
      </c>
      <c r="K947" t="n">
        <v>0</v>
      </c>
      <c r="L947" t="n">
        <v>0</v>
      </c>
      <c r="M947" t="n">
        <v>0</v>
      </c>
      <c r="N947" t="n">
        <v>0</v>
      </c>
      <c r="O947" t="n">
        <v>0</v>
      </c>
      <c r="P947" t="n">
        <v>0</v>
      </c>
      <c r="Q947" t="n">
        <v>0</v>
      </c>
      <c r="R947" s="2" t="inlineStr"/>
    </row>
    <row r="948" ht="15" customHeight="1">
      <c r="A948" t="inlineStr">
        <is>
          <t>A 22386-2019</t>
        </is>
      </c>
      <c r="B948" s="1" t="n">
        <v>43587</v>
      </c>
      <c r="C948" s="1" t="n">
        <v>45810</v>
      </c>
      <c r="D948" t="inlineStr">
        <is>
          <t>VÄRMLANDS LÄN</t>
        </is>
      </c>
      <c r="E948" t="inlineStr">
        <is>
          <t>KARLSTAD</t>
        </is>
      </c>
      <c r="F948" t="inlineStr">
        <is>
          <t>Kommuner</t>
        </is>
      </c>
      <c r="G948" t="n">
        <v>0.7</v>
      </c>
      <c r="H948" t="n">
        <v>0</v>
      </c>
      <c r="I948" t="n">
        <v>0</v>
      </c>
      <c r="J948" t="n">
        <v>0</v>
      </c>
      <c r="K948" t="n">
        <v>0</v>
      </c>
      <c r="L948" t="n">
        <v>0</v>
      </c>
      <c r="M948" t="n">
        <v>0</v>
      </c>
      <c r="N948" t="n">
        <v>0</v>
      </c>
      <c r="O948" t="n">
        <v>0</v>
      </c>
      <c r="P948" t="n">
        <v>0</v>
      </c>
      <c r="Q948" t="n">
        <v>0</v>
      </c>
      <c r="R948" s="2" t="inlineStr"/>
    </row>
    <row r="949" ht="15" customHeight="1">
      <c r="A949" t="inlineStr">
        <is>
          <t>A 22435-2019</t>
        </is>
      </c>
      <c r="B949" s="1" t="n">
        <v>43587</v>
      </c>
      <c r="C949" s="1" t="n">
        <v>45810</v>
      </c>
      <c r="D949" t="inlineStr">
        <is>
          <t>VÄRMLANDS LÄN</t>
        </is>
      </c>
      <c r="E949" t="inlineStr">
        <is>
          <t>ÅRJÄNG</t>
        </is>
      </c>
      <c r="G949" t="n">
        <v>2.1</v>
      </c>
      <c r="H949" t="n">
        <v>0</v>
      </c>
      <c r="I949" t="n">
        <v>0</v>
      </c>
      <c r="J949" t="n">
        <v>0</v>
      </c>
      <c r="K949" t="n">
        <v>0</v>
      </c>
      <c r="L949" t="n">
        <v>0</v>
      </c>
      <c r="M949" t="n">
        <v>0</v>
      </c>
      <c r="N949" t="n">
        <v>0</v>
      </c>
      <c r="O949" t="n">
        <v>0</v>
      </c>
      <c r="P949" t="n">
        <v>0</v>
      </c>
      <c r="Q949" t="n">
        <v>0</v>
      </c>
      <c r="R949" s="2" t="inlineStr"/>
    </row>
    <row r="950" ht="15" customHeight="1">
      <c r="A950" t="inlineStr">
        <is>
          <t>A 22416-2019</t>
        </is>
      </c>
      <c r="B950" s="1" t="n">
        <v>43587</v>
      </c>
      <c r="C950" s="1" t="n">
        <v>45810</v>
      </c>
      <c r="D950" t="inlineStr">
        <is>
          <t>VÄRMLANDS LÄN</t>
        </is>
      </c>
      <c r="E950" t="inlineStr">
        <is>
          <t>TORSBY</t>
        </is>
      </c>
      <c r="G950" t="n">
        <v>1.9</v>
      </c>
      <c r="H950" t="n">
        <v>0</v>
      </c>
      <c r="I950" t="n">
        <v>0</v>
      </c>
      <c r="J950" t="n">
        <v>0</v>
      </c>
      <c r="K950" t="n">
        <v>0</v>
      </c>
      <c r="L950" t="n">
        <v>0</v>
      </c>
      <c r="M950" t="n">
        <v>0</v>
      </c>
      <c r="N950" t="n">
        <v>0</v>
      </c>
      <c r="O950" t="n">
        <v>0</v>
      </c>
      <c r="P950" t="n">
        <v>0</v>
      </c>
      <c r="Q950" t="n">
        <v>0</v>
      </c>
      <c r="R950" s="2" t="inlineStr"/>
    </row>
    <row r="951" ht="15" customHeight="1">
      <c r="A951" t="inlineStr">
        <is>
          <t>A 22574-2019</t>
        </is>
      </c>
      <c r="B951" s="1" t="n">
        <v>43587</v>
      </c>
      <c r="C951" s="1" t="n">
        <v>45810</v>
      </c>
      <c r="D951" t="inlineStr">
        <is>
          <t>VÄRMLANDS LÄN</t>
        </is>
      </c>
      <c r="E951" t="inlineStr">
        <is>
          <t>HAGFORS</t>
        </is>
      </c>
      <c r="G951" t="n">
        <v>3.5</v>
      </c>
      <c r="H951" t="n">
        <v>0</v>
      </c>
      <c r="I951" t="n">
        <v>0</v>
      </c>
      <c r="J951" t="n">
        <v>0</v>
      </c>
      <c r="K951" t="n">
        <v>0</v>
      </c>
      <c r="L951" t="n">
        <v>0</v>
      </c>
      <c r="M951" t="n">
        <v>0</v>
      </c>
      <c r="N951" t="n">
        <v>0</v>
      </c>
      <c r="O951" t="n">
        <v>0</v>
      </c>
      <c r="P951" t="n">
        <v>0</v>
      </c>
      <c r="Q951" t="n">
        <v>0</v>
      </c>
      <c r="R951" s="2" t="inlineStr"/>
    </row>
    <row r="952" ht="15" customHeight="1">
      <c r="A952" t="inlineStr">
        <is>
          <t>A 22342-2019</t>
        </is>
      </c>
      <c r="B952" s="1" t="n">
        <v>43587</v>
      </c>
      <c r="C952" s="1" t="n">
        <v>45810</v>
      </c>
      <c r="D952" t="inlineStr">
        <is>
          <t>VÄRMLANDS LÄN</t>
        </is>
      </c>
      <c r="E952" t="inlineStr">
        <is>
          <t>GRUMS</t>
        </is>
      </c>
      <c r="G952" t="n">
        <v>1.6</v>
      </c>
      <c r="H952" t="n">
        <v>0</v>
      </c>
      <c r="I952" t="n">
        <v>0</v>
      </c>
      <c r="J952" t="n">
        <v>0</v>
      </c>
      <c r="K952" t="n">
        <v>0</v>
      </c>
      <c r="L952" t="n">
        <v>0</v>
      </c>
      <c r="M952" t="n">
        <v>0</v>
      </c>
      <c r="N952" t="n">
        <v>0</v>
      </c>
      <c r="O952" t="n">
        <v>0</v>
      </c>
      <c r="P952" t="n">
        <v>0</v>
      </c>
      <c r="Q952" t="n">
        <v>0</v>
      </c>
      <c r="R952" s="2" t="inlineStr"/>
    </row>
    <row r="953" ht="15" customHeight="1">
      <c r="A953" t="inlineStr">
        <is>
          <t>A 22387-2019</t>
        </is>
      </c>
      <c r="B953" s="1" t="n">
        <v>43587</v>
      </c>
      <c r="C953" s="1" t="n">
        <v>45810</v>
      </c>
      <c r="D953" t="inlineStr">
        <is>
          <t>VÄRMLANDS LÄN</t>
        </is>
      </c>
      <c r="E953" t="inlineStr">
        <is>
          <t>SUNNE</t>
        </is>
      </c>
      <c r="G953" t="n">
        <v>3.4</v>
      </c>
      <c r="H953" t="n">
        <v>0</v>
      </c>
      <c r="I953" t="n">
        <v>0</v>
      </c>
      <c r="J953" t="n">
        <v>0</v>
      </c>
      <c r="K953" t="n">
        <v>0</v>
      </c>
      <c r="L953" t="n">
        <v>0</v>
      </c>
      <c r="M953" t="n">
        <v>0</v>
      </c>
      <c r="N953" t="n">
        <v>0</v>
      </c>
      <c r="O953" t="n">
        <v>0</v>
      </c>
      <c r="P953" t="n">
        <v>0</v>
      </c>
      <c r="Q953" t="n">
        <v>0</v>
      </c>
      <c r="R953" s="2" t="inlineStr"/>
    </row>
    <row r="954" ht="15" customHeight="1">
      <c r="A954" t="inlineStr">
        <is>
          <t>A 22351-2019</t>
        </is>
      </c>
      <c r="B954" s="1" t="n">
        <v>43587</v>
      </c>
      <c r="C954" s="1" t="n">
        <v>45810</v>
      </c>
      <c r="D954" t="inlineStr">
        <is>
          <t>VÄRMLANDS LÄN</t>
        </is>
      </c>
      <c r="E954" t="inlineStr">
        <is>
          <t>TORSBY</t>
        </is>
      </c>
      <c r="G954" t="n">
        <v>4.3</v>
      </c>
      <c r="H954" t="n">
        <v>0</v>
      </c>
      <c r="I954" t="n">
        <v>0</v>
      </c>
      <c r="J954" t="n">
        <v>0</v>
      </c>
      <c r="K954" t="n">
        <v>0</v>
      </c>
      <c r="L954" t="n">
        <v>0</v>
      </c>
      <c r="M954" t="n">
        <v>0</v>
      </c>
      <c r="N954" t="n">
        <v>0</v>
      </c>
      <c r="O954" t="n">
        <v>0</v>
      </c>
      <c r="P954" t="n">
        <v>0</v>
      </c>
      <c r="Q954" t="n">
        <v>0</v>
      </c>
      <c r="R954" s="2" t="inlineStr"/>
    </row>
    <row r="955" ht="15" customHeight="1">
      <c r="A955" t="inlineStr">
        <is>
          <t>A 22657-2019</t>
        </is>
      </c>
      <c r="B955" s="1" t="n">
        <v>43588</v>
      </c>
      <c r="C955" s="1" t="n">
        <v>45810</v>
      </c>
      <c r="D955" t="inlineStr">
        <is>
          <t>VÄRMLANDS LÄN</t>
        </is>
      </c>
      <c r="E955" t="inlineStr">
        <is>
          <t>GRUMS</t>
        </is>
      </c>
      <c r="F955" t="inlineStr">
        <is>
          <t>Bergvik skog väst AB</t>
        </is>
      </c>
      <c r="G955" t="n">
        <v>4.4</v>
      </c>
      <c r="H955" t="n">
        <v>0</v>
      </c>
      <c r="I955" t="n">
        <v>0</v>
      </c>
      <c r="J955" t="n">
        <v>0</v>
      </c>
      <c r="K955" t="n">
        <v>0</v>
      </c>
      <c r="L955" t="n">
        <v>0</v>
      </c>
      <c r="M955" t="n">
        <v>0</v>
      </c>
      <c r="N955" t="n">
        <v>0</v>
      </c>
      <c r="O955" t="n">
        <v>0</v>
      </c>
      <c r="P955" t="n">
        <v>0</v>
      </c>
      <c r="Q955" t="n">
        <v>0</v>
      </c>
      <c r="R955" s="2" t="inlineStr"/>
    </row>
    <row r="956" ht="15" customHeight="1">
      <c r="A956" t="inlineStr">
        <is>
          <t>A 22724-2019</t>
        </is>
      </c>
      <c r="B956" s="1" t="n">
        <v>43588</v>
      </c>
      <c r="C956" s="1" t="n">
        <v>45810</v>
      </c>
      <c r="D956" t="inlineStr">
        <is>
          <t>VÄRMLANDS LÄN</t>
        </is>
      </c>
      <c r="E956" t="inlineStr">
        <is>
          <t>STORFORS</t>
        </is>
      </c>
      <c r="G956" t="n">
        <v>0.5</v>
      </c>
      <c r="H956" t="n">
        <v>0</v>
      </c>
      <c r="I956" t="n">
        <v>0</v>
      </c>
      <c r="J956" t="n">
        <v>0</v>
      </c>
      <c r="K956" t="n">
        <v>0</v>
      </c>
      <c r="L956" t="n">
        <v>0</v>
      </c>
      <c r="M956" t="n">
        <v>0</v>
      </c>
      <c r="N956" t="n">
        <v>0</v>
      </c>
      <c r="O956" t="n">
        <v>0</v>
      </c>
      <c r="P956" t="n">
        <v>0</v>
      </c>
      <c r="Q956" t="n">
        <v>0</v>
      </c>
      <c r="R956" s="2" t="inlineStr"/>
    </row>
    <row r="957" ht="15" customHeight="1">
      <c r="A957" t="inlineStr">
        <is>
          <t>A 22692-2019</t>
        </is>
      </c>
      <c r="B957" s="1" t="n">
        <v>43588</v>
      </c>
      <c r="C957" s="1" t="n">
        <v>45810</v>
      </c>
      <c r="D957" t="inlineStr">
        <is>
          <t>VÄRMLANDS LÄN</t>
        </is>
      </c>
      <c r="E957" t="inlineStr">
        <is>
          <t>TORSBY</t>
        </is>
      </c>
      <c r="F957" t="inlineStr">
        <is>
          <t>Bergvik skog väst AB</t>
        </is>
      </c>
      <c r="G957" t="n">
        <v>5.4</v>
      </c>
      <c r="H957" t="n">
        <v>0</v>
      </c>
      <c r="I957" t="n">
        <v>0</v>
      </c>
      <c r="J957" t="n">
        <v>0</v>
      </c>
      <c r="K957" t="n">
        <v>0</v>
      </c>
      <c r="L957" t="n">
        <v>0</v>
      </c>
      <c r="M957" t="n">
        <v>0</v>
      </c>
      <c r="N957" t="n">
        <v>0</v>
      </c>
      <c r="O957" t="n">
        <v>0</v>
      </c>
      <c r="P957" t="n">
        <v>0</v>
      </c>
      <c r="Q957" t="n">
        <v>0</v>
      </c>
      <c r="R957" s="2" t="inlineStr"/>
    </row>
    <row r="958" ht="15" customHeight="1">
      <c r="A958" t="inlineStr">
        <is>
          <t>A 22717-2019</t>
        </is>
      </c>
      <c r="B958" s="1" t="n">
        <v>43588</v>
      </c>
      <c r="C958" s="1" t="n">
        <v>45810</v>
      </c>
      <c r="D958" t="inlineStr">
        <is>
          <t>VÄRMLANDS LÄN</t>
        </is>
      </c>
      <c r="E958" t="inlineStr">
        <is>
          <t>TORSBY</t>
        </is>
      </c>
      <c r="G958" t="n">
        <v>8</v>
      </c>
      <c r="H958" t="n">
        <v>0</v>
      </c>
      <c r="I958" t="n">
        <v>0</v>
      </c>
      <c r="J958" t="n">
        <v>0</v>
      </c>
      <c r="K958" t="n">
        <v>0</v>
      </c>
      <c r="L958" t="n">
        <v>0</v>
      </c>
      <c r="M958" t="n">
        <v>0</v>
      </c>
      <c r="N958" t="n">
        <v>0</v>
      </c>
      <c r="O958" t="n">
        <v>0</v>
      </c>
      <c r="P958" t="n">
        <v>0</v>
      </c>
      <c r="Q958" t="n">
        <v>0</v>
      </c>
      <c r="R958" s="2" t="inlineStr"/>
    </row>
    <row r="959" ht="15" customHeight="1">
      <c r="A959" t="inlineStr">
        <is>
          <t>A 22700-2019</t>
        </is>
      </c>
      <c r="B959" s="1" t="n">
        <v>43588</v>
      </c>
      <c r="C959" s="1" t="n">
        <v>45810</v>
      </c>
      <c r="D959" t="inlineStr">
        <is>
          <t>VÄRMLANDS LÄN</t>
        </is>
      </c>
      <c r="E959" t="inlineStr">
        <is>
          <t>KARLSTAD</t>
        </is>
      </c>
      <c r="G959" t="n">
        <v>2.7</v>
      </c>
      <c r="H959" t="n">
        <v>0</v>
      </c>
      <c r="I959" t="n">
        <v>0</v>
      </c>
      <c r="J959" t="n">
        <v>0</v>
      </c>
      <c r="K959" t="n">
        <v>0</v>
      </c>
      <c r="L959" t="n">
        <v>0</v>
      </c>
      <c r="M959" t="n">
        <v>0</v>
      </c>
      <c r="N959" t="n">
        <v>0</v>
      </c>
      <c r="O959" t="n">
        <v>0</v>
      </c>
      <c r="P959" t="n">
        <v>0</v>
      </c>
      <c r="Q959" t="n">
        <v>0</v>
      </c>
      <c r="R959" s="2" t="inlineStr"/>
    </row>
    <row r="960" ht="15" customHeight="1">
      <c r="A960" t="inlineStr">
        <is>
          <t>A 22773-2019</t>
        </is>
      </c>
      <c r="B960" s="1" t="n">
        <v>43588</v>
      </c>
      <c r="C960" s="1" t="n">
        <v>45810</v>
      </c>
      <c r="D960" t="inlineStr">
        <is>
          <t>VÄRMLANDS LÄN</t>
        </is>
      </c>
      <c r="E960" t="inlineStr">
        <is>
          <t>EDA</t>
        </is>
      </c>
      <c r="G960" t="n">
        <v>3.5</v>
      </c>
      <c r="H960" t="n">
        <v>0</v>
      </c>
      <c r="I960" t="n">
        <v>0</v>
      </c>
      <c r="J960" t="n">
        <v>0</v>
      </c>
      <c r="K960" t="n">
        <v>0</v>
      </c>
      <c r="L960" t="n">
        <v>0</v>
      </c>
      <c r="M960" t="n">
        <v>0</v>
      </c>
      <c r="N960" t="n">
        <v>0</v>
      </c>
      <c r="O960" t="n">
        <v>0</v>
      </c>
      <c r="P960" t="n">
        <v>0</v>
      </c>
      <c r="Q960" t="n">
        <v>0</v>
      </c>
      <c r="R960" s="2" t="inlineStr"/>
    </row>
    <row r="961" ht="15" customHeight="1">
      <c r="A961" t="inlineStr">
        <is>
          <t>A 22774-2019</t>
        </is>
      </c>
      <c r="B961" s="1" t="n">
        <v>43588</v>
      </c>
      <c r="C961" s="1" t="n">
        <v>45810</v>
      </c>
      <c r="D961" t="inlineStr">
        <is>
          <t>VÄRMLANDS LÄN</t>
        </is>
      </c>
      <c r="E961" t="inlineStr">
        <is>
          <t>EDA</t>
        </is>
      </c>
      <c r="G961" t="n">
        <v>1.2</v>
      </c>
      <c r="H961" t="n">
        <v>0</v>
      </c>
      <c r="I961" t="n">
        <v>0</v>
      </c>
      <c r="J961" t="n">
        <v>0</v>
      </c>
      <c r="K961" t="n">
        <v>0</v>
      </c>
      <c r="L961" t="n">
        <v>0</v>
      </c>
      <c r="M961" t="n">
        <v>0</v>
      </c>
      <c r="N961" t="n">
        <v>0</v>
      </c>
      <c r="O961" t="n">
        <v>0</v>
      </c>
      <c r="P961" t="n">
        <v>0</v>
      </c>
      <c r="Q961" t="n">
        <v>0</v>
      </c>
      <c r="R961" s="2" t="inlineStr"/>
    </row>
    <row r="962" ht="15" customHeight="1">
      <c r="A962" t="inlineStr">
        <is>
          <t>A 22641-2019</t>
        </is>
      </c>
      <c r="B962" s="1" t="n">
        <v>43588</v>
      </c>
      <c r="C962" s="1" t="n">
        <v>45810</v>
      </c>
      <c r="D962" t="inlineStr">
        <is>
          <t>VÄRMLANDS LÄN</t>
        </is>
      </c>
      <c r="E962" t="inlineStr">
        <is>
          <t>SUNNE</t>
        </is>
      </c>
      <c r="G962" t="n">
        <v>0.6</v>
      </c>
      <c r="H962" t="n">
        <v>0</v>
      </c>
      <c r="I962" t="n">
        <v>0</v>
      </c>
      <c r="J962" t="n">
        <v>0</v>
      </c>
      <c r="K962" t="n">
        <v>0</v>
      </c>
      <c r="L962" t="n">
        <v>0</v>
      </c>
      <c r="M962" t="n">
        <v>0</v>
      </c>
      <c r="N962" t="n">
        <v>0</v>
      </c>
      <c r="O962" t="n">
        <v>0</v>
      </c>
      <c r="P962" t="n">
        <v>0</v>
      </c>
      <c r="Q962" t="n">
        <v>0</v>
      </c>
      <c r="R962" s="2" t="inlineStr"/>
    </row>
    <row r="963" ht="15" customHeight="1">
      <c r="A963" t="inlineStr">
        <is>
          <t>A 22654-2019</t>
        </is>
      </c>
      <c r="B963" s="1" t="n">
        <v>43588</v>
      </c>
      <c r="C963" s="1" t="n">
        <v>45810</v>
      </c>
      <c r="D963" t="inlineStr">
        <is>
          <t>VÄRMLANDS LÄN</t>
        </is>
      </c>
      <c r="E963" t="inlineStr">
        <is>
          <t>GRUMS</t>
        </is>
      </c>
      <c r="F963" t="inlineStr">
        <is>
          <t>Bergvik skog väst AB</t>
        </is>
      </c>
      <c r="G963" t="n">
        <v>1</v>
      </c>
      <c r="H963" t="n">
        <v>0</v>
      </c>
      <c r="I963" t="n">
        <v>0</v>
      </c>
      <c r="J963" t="n">
        <v>0</v>
      </c>
      <c r="K963" t="n">
        <v>0</v>
      </c>
      <c r="L963" t="n">
        <v>0</v>
      </c>
      <c r="M963" t="n">
        <v>0</v>
      </c>
      <c r="N963" t="n">
        <v>0</v>
      </c>
      <c r="O963" t="n">
        <v>0</v>
      </c>
      <c r="P963" t="n">
        <v>0</v>
      </c>
      <c r="Q963" t="n">
        <v>0</v>
      </c>
      <c r="R963" s="2" t="inlineStr"/>
    </row>
    <row r="964" ht="15" customHeight="1">
      <c r="A964" t="inlineStr">
        <is>
          <t>A 22775-2019</t>
        </is>
      </c>
      <c r="B964" s="1" t="n">
        <v>43588</v>
      </c>
      <c r="C964" s="1" t="n">
        <v>45810</v>
      </c>
      <c r="D964" t="inlineStr">
        <is>
          <t>VÄRMLANDS LÄN</t>
        </is>
      </c>
      <c r="E964" t="inlineStr">
        <is>
          <t>EDA</t>
        </is>
      </c>
      <c r="G964" t="n">
        <v>3.1</v>
      </c>
      <c r="H964" t="n">
        <v>0</v>
      </c>
      <c r="I964" t="n">
        <v>0</v>
      </c>
      <c r="J964" t="n">
        <v>0</v>
      </c>
      <c r="K964" t="n">
        <v>0</v>
      </c>
      <c r="L964" t="n">
        <v>0</v>
      </c>
      <c r="M964" t="n">
        <v>0</v>
      </c>
      <c r="N964" t="n">
        <v>0</v>
      </c>
      <c r="O964" t="n">
        <v>0</v>
      </c>
      <c r="P964" t="n">
        <v>0</v>
      </c>
      <c r="Q964" t="n">
        <v>0</v>
      </c>
      <c r="R964" s="2" t="inlineStr"/>
    </row>
    <row r="965" ht="15" customHeight="1">
      <c r="A965" t="inlineStr">
        <is>
          <t>A 22795-2019</t>
        </is>
      </c>
      <c r="B965" s="1" t="n">
        <v>43589</v>
      </c>
      <c r="C965" s="1" t="n">
        <v>45810</v>
      </c>
      <c r="D965" t="inlineStr">
        <is>
          <t>VÄRMLANDS LÄN</t>
        </is>
      </c>
      <c r="E965" t="inlineStr">
        <is>
          <t>EDA</t>
        </is>
      </c>
      <c r="G965" t="n">
        <v>1.4</v>
      </c>
      <c r="H965" t="n">
        <v>0</v>
      </c>
      <c r="I965" t="n">
        <v>0</v>
      </c>
      <c r="J965" t="n">
        <v>0</v>
      </c>
      <c r="K965" t="n">
        <v>0</v>
      </c>
      <c r="L965" t="n">
        <v>0</v>
      </c>
      <c r="M965" t="n">
        <v>0</v>
      </c>
      <c r="N965" t="n">
        <v>0</v>
      </c>
      <c r="O965" t="n">
        <v>0</v>
      </c>
      <c r="P965" t="n">
        <v>0</v>
      </c>
      <c r="Q965" t="n">
        <v>0</v>
      </c>
      <c r="R965" s="2" t="inlineStr"/>
    </row>
    <row r="966" ht="15" customHeight="1">
      <c r="A966" t="inlineStr">
        <is>
          <t>A 22794-2019</t>
        </is>
      </c>
      <c r="B966" s="1" t="n">
        <v>43589</v>
      </c>
      <c r="C966" s="1" t="n">
        <v>45810</v>
      </c>
      <c r="D966" t="inlineStr">
        <is>
          <t>VÄRMLANDS LÄN</t>
        </is>
      </c>
      <c r="E966" t="inlineStr">
        <is>
          <t>EDA</t>
        </is>
      </c>
      <c r="G966" t="n">
        <v>1.7</v>
      </c>
      <c r="H966" t="n">
        <v>0</v>
      </c>
      <c r="I966" t="n">
        <v>0</v>
      </c>
      <c r="J966" t="n">
        <v>0</v>
      </c>
      <c r="K966" t="n">
        <v>0</v>
      </c>
      <c r="L966" t="n">
        <v>0</v>
      </c>
      <c r="M966" t="n">
        <v>0</v>
      </c>
      <c r="N966" t="n">
        <v>0</v>
      </c>
      <c r="O966" t="n">
        <v>0</v>
      </c>
      <c r="P966" t="n">
        <v>0</v>
      </c>
      <c r="Q966" t="n">
        <v>0</v>
      </c>
      <c r="R966" s="2" t="inlineStr"/>
    </row>
    <row r="967" ht="15" customHeight="1">
      <c r="A967" t="inlineStr">
        <is>
          <t>A 22815-2019</t>
        </is>
      </c>
      <c r="B967" s="1" t="n">
        <v>43590</v>
      </c>
      <c r="C967" s="1" t="n">
        <v>45810</v>
      </c>
      <c r="D967" t="inlineStr">
        <is>
          <t>VÄRMLANDS LÄN</t>
        </is>
      </c>
      <c r="E967" t="inlineStr">
        <is>
          <t>KIL</t>
        </is>
      </c>
      <c r="G967" t="n">
        <v>1.9</v>
      </c>
      <c r="H967" t="n">
        <v>0</v>
      </c>
      <c r="I967" t="n">
        <v>0</v>
      </c>
      <c r="J967" t="n">
        <v>0</v>
      </c>
      <c r="K967" t="n">
        <v>0</v>
      </c>
      <c r="L967" t="n">
        <v>0</v>
      </c>
      <c r="M967" t="n">
        <v>0</v>
      </c>
      <c r="N967" t="n">
        <v>0</v>
      </c>
      <c r="O967" t="n">
        <v>0</v>
      </c>
      <c r="P967" t="n">
        <v>0</v>
      </c>
      <c r="Q967" t="n">
        <v>0</v>
      </c>
      <c r="R967" s="2" t="inlineStr"/>
    </row>
    <row r="968" ht="15" customHeight="1">
      <c r="A968" t="inlineStr">
        <is>
          <t>A 22813-2019</t>
        </is>
      </c>
      <c r="B968" s="1" t="n">
        <v>43590</v>
      </c>
      <c r="C968" s="1" t="n">
        <v>45810</v>
      </c>
      <c r="D968" t="inlineStr">
        <is>
          <t>VÄRMLANDS LÄN</t>
        </is>
      </c>
      <c r="E968" t="inlineStr">
        <is>
          <t>KIL</t>
        </is>
      </c>
      <c r="G968" t="n">
        <v>3.4</v>
      </c>
      <c r="H968" t="n">
        <v>0</v>
      </c>
      <c r="I968" t="n">
        <v>0</v>
      </c>
      <c r="J968" t="n">
        <v>0</v>
      </c>
      <c r="K968" t="n">
        <v>0</v>
      </c>
      <c r="L968" t="n">
        <v>0</v>
      </c>
      <c r="M968" t="n">
        <v>0</v>
      </c>
      <c r="N968" t="n">
        <v>0</v>
      </c>
      <c r="O968" t="n">
        <v>0</v>
      </c>
      <c r="P968" t="n">
        <v>0</v>
      </c>
      <c r="Q968" t="n">
        <v>0</v>
      </c>
      <c r="R968" s="2" t="inlineStr"/>
    </row>
    <row r="969" ht="15" customHeight="1">
      <c r="A969" t="inlineStr">
        <is>
          <t>A 22816-2019</t>
        </is>
      </c>
      <c r="B969" s="1" t="n">
        <v>43590</v>
      </c>
      <c r="C969" s="1" t="n">
        <v>45810</v>
      </c>
      <c r="D969" t="inlineStr">
        <is>
          <t>VÄRMLANDS LÄN</t>
        </is>
      </c>
      <c r="E969" t="inlineStr">
        <is>
          <t>KIL</t>
        </is>
      </c>
      <c r="G969" t="n">
        <v>2.5</v>
      </c>
      <c r="H969" t="n">
        <v>0</v>
      </c>
      <c r="I969" t="n">
        <v>0</v>
      </c>
      <c r="J969" t="n">
        <v>0</v>
      </c>
      <c r="K969" t="n">
        <v>0</v>
      </c>
      <c r="L969" t="n">
        <v>0</v>
      </c>
      <c r="M969" t="n">
        <v>0</v>
      </c>
      <c r="N969" t="n">
        <v>0</v>
      </c>
      <c r="O969" t="n">
        <v>0</v>
      </c>
      <c r="P969" t="n">
        <v>0</v>
      </c>
      <c r="Q969" t="n">
        <v>0</v>
      </c>
      <c r="R969" s="2" t="inlineStr"/>
    </row>
    <row r="970" ht="15" customHeight="1">
      <c r="A970" t="inlineStr">
        <is>
          <t>A 22840-2019</t>
        </is>
      </c>
      <c r="B970" s="1" t="n">
        <v>43591</v>
      </c>
      <c r="C970" s="1" t="n">
        <v>45810</v>
      </c>
      <c r="D970" t="inlineStr">
        <is>
          <t>VÄRMLANDS LÄN</t>
        </is>
      </c>
      <c r="E970" t="inlineStr">
        <is>
          <t>GRUMS</t>
        </is>
      </c>
      <c r="G970" t="n">
        <v>0.6</v>
      </c>
      <c r="H970" t="n">
        <v>0</v>
      </c>
      <c r="I970" t="n">
        <v>0</v>
      </c>
      <c r="J970" t="n">
        <v>0</v>
      </c>
      <c r="K970" t="n">
        <v>0</v>
      </c>
      <c r="L970" t="n">
        <v>0</v>
      </c>
      <c r="M970" t="n">
        <v>0</v>
      </c>
      <c r="N970" t="n">
        <v>0</v>
      </c>
      <c r="O970" t="n">
        <v>0</v>
      </c>
      <c r="P970" t="n">
        <v>0</v>
      </c>
      <c r="Q970" t="n">
        <v>0</v>
      </c>
      <c r="R970" s="2" t="inlineStr"/>
    </row>
    <row r="971" ht="15" customHeight="1">
      <c r="A971" t="inlineStr">
        <is>
          <t>A 22986-2019</t>
        </is>
      </c>
      <c r="B971" s="1" t="n">
        <v>43591</v>
      </c>
      <c r="C971" s="1" t="n">
        <v>45810</v>
      </c>
      <c r="D971" t="inlineStr">
        <is>
          <t>VÄRMLANDS LÄN</t>
        </is>
      </c>
      <c r="E971" t="inlineStr">
        <is>
          <t>HAGFORS</t>
        </is>
      </c>
      <c r="G971" t="n">
        <v>1.6</v>
      </c>
      <c r="H971" t="n">
        <v>0</v>
      </c>
      <c r="I971" t="n">
        <v>0</v>
      </c>
      <c r="J971" t="n">
        <v>0</v>
      </c>
      <c r="K971" t="n">
        <v>0</v>
      </c>
      <c r="L971" t="n">
        <v>0</v>
      </c>
      <c r="M971" t="n">
        <v>0</v>
      </c>
      <c r="N971" t="n">
        <v>0</v>
      </c>
      <c r="O971" t="n">
        <v>0</v>
      </c>
      <c r="P971" t="n">
        <v>0</v>
      </c>
      <c r="Q971" t="n">
        <v>0</v>
      </c>
      <c r="R971" s="2" t="inlineStr"/>
    </row>
    <row r="972" ht="15" customHeight="1">
      <c r="A972" t="inlineStr">
        <is>
          <t>A 23251-2019</t>
        </is>
      </c>
      <c r="B972" s="1" t="n">
        <v>43591</v>
      </c>
      <c r="C972" s="1" t="n">
        <v>45810</v>
      </c>
      <c r="D972" t="inlineStr">
        <is>
          <t>VÄRMLANDS LÄN</t>
        </is>
      </c>
      <c r="E972" t="inlineStr">
        <is>
          <t>HAGFORS</t>
        </is>
      </c>
      <c r="G972" t="n">
        <v>1.1</v>
      </c>
      <c r="H972" t="n">
        <v>0</v>
      </c>
      <c r="I972" t="n">
        <v>0</v>
      </c>
      <c r="J972" t="n">
        <v>0</v>
      </c>
      <c r="K972" t="n">
        <v>0</v>
      </c>
      <c r="L972" t="n">
        <v>0</v>
      </c>
      <c r="M972" t="n">
        <v>0</v>
      </c>
      <c r="N972" t="n">
        <v>0</v>
      </c>
      <c r="O972" t="n">
        <v>0</v>
      </c>
      <c r="P972" t="n">
        <v>0</v>
      </c>
      <c r="Q972" t="n">
        <v>0</v>
      </c>
      <c r="R972" s="2" t="inlineStr"/>
    </row>
    <row r="973" ht="15" customHeight="1">
      <c r="A973" t="inlineStr">
        <is>
          <t>A 23255-2019</t>
        </is>
      </c>
      <c r="B973" s="1" t="n">
        <v>43591</v>
      </c>
      <c r="C973" s="1" t="n">
        <v>45810</v>
      </c>
      <c r="D973" t="inlineStr">
        <is>
          <t>VÄRMLANDS LÄN</t>
        </is>
      </c>
      <c r="E973" t="inlineStr">
        <is>
          <t>SUNNE</t>
        </is>
      </c>
      <c r="F973" t="inlineStr">
        <is>
          <t>Kyrkan</t>
        </is>
      </c>
      <c r="G973" t="n">
        <v>5.4</v>
      </c>
      <c r="H973" t="n">
        <v>0</v>
      </c>
      <c r="I973" t="n">
        <v>0</v>
      </c>
      <c r="J973" t="n">
        <v>0</v>
      </c>
      <c r="K973" t="n">
        <v>0</v>
      </c>
      <c r="L973" t="n">
        <v>0</v>
      </c>
      <c r="M973" t="n">
        <v>0</v>
      </c>
      <c r="N973" t="n">
        <v>0</v>
      </c>
      <c r="O973" t="n">
        <v>0</v>
      </c>
      <c r="P973" t="n">
        <v>0</v>
      </c>
      <c r="Q973" t="n">
        <v>0</v>
      </c>
      <c r="R973" s="2" t="inlineStr"/>
    </row>
    <row r="974" ht="15" customHeight="1">
      <c r="A974" t="inlineStr">
        <is>
          <t>A 23023-2019</t>
        </is>
      </c>
      <c r="B974" s="1" t="n">
        <v>43591</v>
      </c>
      <c r="C974" s="1" t="n">
        <v>45810</v>
      </c>
      <c r="D974" t="inlineStr">
        <is>
          <t>VÄRMLANDS LÄN</t>
        </is>
      </c>
      <c r="E974" t="inlineStr">
        <is>
          <t>FILIPSTAD</t>
        </is>
      </c>
      <c r="G974" t="n">
        <v>9.4</v>
      </c>
      <c r="H974" t="n">
        <v>0</v>
      </c>
      <c r="I974" t="n">
        <v>0</v>
      </c>
      <c r="J974" t="n">
        <v>0</v>
      </c>
      <c r="K974" t="n">
        <v>0</v>
      </c>
      <c r="L974" t="n">
        <v>0</v>
      </c>
      <c r="M974" t="n">
        <v>0</v>
      </c>
      <c r="N974" t="n">
        <v>0</v>
      </c>
      <c r="O974" t="n">
        <v>0</v>
      </c>
      <c r="P974" t="n">
        <v>0</v>
      </c>
      <c r="Q974" t="n">
        <v>0</v>
      </c>
      <c r="R974" s="2" t="inlineStr"/>
    </row>
    <row r="975" ht="15" customHeight="1">
      <c r="A975" t="inlineStr">
        <is>
          <t>A 23045-2019</t>
        </is>
      </c>
      <c r="B975" s="1" t="n">
        <v>43591</v>
      </c>
      <c r="C975" s="1" t="n">
        <v>45810</v>
      </c>
      <c r="D975" t="inlineStr">
        <is>
          <t>VÄRMLANDS LÄN</t>
        </is>
      </c>
      <c r="E975" t="inlineStr">
        <is>
          <t>KARLSTAD</t>
        </is>
      </c>
      <c r="F975" t="inlineStr">
        <is>
          <t>Kommuner</t>
        </is>
      </c>
      <c r="G975" t="n">
        <v>0.9</v>
      </c>
      <c r="H975" t="n">
        <v>0</v>
      </c>
      <c r="I975" t="n">
        <v>0</v>
      </c>
      <c r="J975" t="n">
        <v>0</v>
      </c>
      <c r="K975" t="n">
        <v>0</v>
      </c>
      <c r="L975" t="n">
        <v>0</v>
      </c>
      <c r="M975" t="n">
        <v>0</v>
      </c>
      <c r="N975" t="n">
        <v>0</v>
      </c>
      <c r="O975" t="n">
        <v>0</v>
      </c>
      <c r="P975" t="n">
        <v>0</v>
      </c>
      <c r="Q975" t="n">
        <v>0</v>
      </c>
      <c r="R975" s="2" t="inlineStr"/>
    </row>
    <row r="976" ht="15" customHeight="1">
      <c r="A976" t="inlineStr">
        <is>
          <t>A 23242-2019</t>
        </is>
      </c>
      <c r="B976" s="1" t="n">
        <v>43591</v>
      </c>
      <c r="C976" s="1" t="n">
        <v>45810</v>
      </c>
      <c r="D976" t="inlineStr">
        <is>
          <t>VÄRMLANDS LÄN</t>
        </is>
      </c>
      <c r="E976" t="inlineStr">
        <is>
          <t>HAGFORS</t>
        </is>
      </c>
      <c r="G976" t="n">
        <v>1.1</v>
      </c>
      <c r="H976" t="n">
        <v>0</v>
      </c>
      <c r="I976" t="n">
        <v>0</v>
      </c>
      <c r="J976" t="n">
        <v>0</v>
      </c>
      <c r="K976" t="n">
        <v>0</v>
      </c>
      <c r="L976" t="n">
        <v>0</v>
      </c>
      <c r="M976" t="n">
        <v>0</v>
      </c>
      <c r="N976" t="n">
        <v>0</v>
      </c>
      <c r="O976" t="n">
        <v>0</v>
      </c>
      <c r="P976" t="n">
        <v>0</v>
      </c>
      <c r="Q976" t="n">
        <v>0</v>
      </c>
      <c r="R976" s="2" t="inlineStr"/>
    </row>
    <row r="977" ht="15" customHeight="1">
      <c r="A977" t="inlineStr">
        <is>
          <t>A 23340-2019</t>
        </is>
      </c>
      <c r="B977" s="1" t="n">
        <v>43591</v>
      </c>
      <c r="C977" s="1" t="n">
        <v>45810</v>
      </c>
      <c r="D977" t="inlineStr">
        <is>
          <t>VÄRMLANDS LÄN</t>
        </is>
      </c>
      <c r="E977" t="inlineStr">
        <is>
          <t>SÄFFLE</t>
        </is>
      </c>
      <c r="G977" t="n">
        <v>1.2</v>
      </c>
      <c r="H977" t="n">
        <v>0</v>
      </c>
      <c r="I977" t="n">
        <v>0</v>
      </c>
      <c r="J977" t="n">
        <v>0</v>
      </c>
      <c r="K977" t="n">
        <v>0</v>
      </c>
      <c r="L977" t="n">
        <v>0</v>
      </c>
      <c r="M977" t="n">
        <v>0</v>
      </c>
      <c r="N977" t="n">
        <v>0</v>
      </c>
      <c r="O977" t="n">
        <v>0</v>
      </c>
      <c r="P977" t="n">
        <v>0</v>
      </c>
      <c r="Q977" t="n">
        <v>0</v>
      </c>
      <c r="R977" s="2" t="inlineStr"/>
    </row>
    <row r="978" ht="15" customHeight="1">
      <c r="A978" t="inlineStr">
        <is>
          <t>A 23032-2019</t>
        </is>
      </c>
      <c r="B978" s="1" t="n">
        <v>43591</v>
      </c>
      <c r="C978" s="1" t="n">
        <v>45810</v>
      </c>
      <c r="D978" t="inlineStr">
        <is>
          <t>VÄRMLANDS LÄN</t>
        </is>
      </c>
      <c r="E978" t="inlineStr">
        <is>
          <t>FORSHAGA</t>
        </is>
      </c>
      <c r="G978" t="n">
        <v>4.7</v>
      </c>
      <c r="H978" t="n">
        <v>0</v>
      </c>
      <c r="I978" t="n">
        <v>0</v>
      </c>
      <c r="J978" t="n">
        <v>0</v>
      </c>
      <c r="K978" t="n">
        <v>0</v>
      </c>
      <c r="L978" t="n">
        <v>0</v>
      </c>
      <c r="M978" t="n">
        <v>0</v>
      </c>
      <c r="N978" t="n">
        <v>0</v>
      </c>
      <c r="O978" t="n">
        <v>0</v>
      </c>
      <c r="P978" t="n">
        <v>0</v>
      </c>
      <c r="Q978" t="n">
        <v>0</v>
      </c>
      <c r="R978" s="2" t="inlineStr"/>
    </row>
    <row r="979" ht="15" customHeight="1">
      <c r="A979" t="inlineStr">
        <is>
          <t>A 22841-2019</t>
        </is>
      </c>
      <c r="B979" s="1" t="n">
        <v>43591</v>
      </c>
      <c r="C979" s="1" t="n">
        <v>45810</v>
      </c>
      <c r="D979" t="inlineStr">
        <is>
          <t>VÄRMLANDS LÄN</t>
        </is>
      </c>
      <c r="E979" t="inlineStr">
        <is>
          <t>KARLSTAD</t>
        </is>
      </c>
      <c r="F979" t="inlineStr">
        <is>
          <t>Bergvik skog väst AB</t>
        </is>
      </c>
      <c r="G979" t="n">
        <v>6.6</v>
      </c>
      <c r="H979" t="n">
        <v>0</v>
      </c>
      <c r="I979" t="n">
        <v>0</v>
      </c>
      <c r="J979" t="n">
        <v>0</v>
      </c>
      <c r="K979" t="n">
        <v>0</v>
      </c>
      <c r="L979" t="n">
        <v>0</v>
      </c>
      <c r="M979" t="n">
        <v>0</v>
      </c>
      <c r="N979" t="n">
        <v>0</v>
      </c>
      <c r="O979" t="n">
        <v>0</v>
      </c>
      <c r="P979" t="n">
        <v>0</v>
      </c>
      <c r="Q979" t="n">
        <v>0</v>
      </c>
      <c r="R979" s="2" t="inlineStr"/>
    </row>
    <row r="980" ht="15" customHeight="1">
      <c r="A980" t="inlineStr">
        <is>
          <t>A 23266-2019</t>
        </is>
      </c>
      <c r="B980" s="1" t="n">
        <v>43592</v>
      </c>
      <c r="C980" s="1" t="n">
        <v>45810</v>
      </c>
      <c r="D980" t="inlineStr">
        <is>
          <t>VÄRMLANDS LÄN</t>
        </is>
      </c>
      <c r="E980" t="inlineStr">
        <is>
          <t>FORSHAGA</t>
        </is>
      </c>
      <c r="F980" t="inlineStr">
        <is>
          <t>Bergvik skog väst AB</t>
        </is>
      </c>
      <c r="G980" t="n">
        <v>4</v>
      </c>
      <c r="H980" t="n">
        <v>0</v>
      </c>
      <c r="I980" t="n">
        <v>0</v>
      </c>
      <c r="J980" t="n">
        <v>0</v>
      </c>
      <c r="K980" t="n">
        <v>0</v>
      </c>
      <c r="L980" t="n">
        <v>0</v>
      </c>
      <c r="M980" t="n">
        <v>0</v>
      </c>
      <c r="N980" t="n">
        <v>0</v>
      </c>
      <c r="O980" t="n">
        <v>0</v>
      </c>
      <c r="P980" t="n">
        <v>0</v>
      </c>
      <c r="Q980" t="n">
        <v>0</v>
      </c>
      <c r="R980" s="2" t="inlineStr"/>
    </row>
    <row r="981" ht="15" customHeight="1">
      <c r="A981" t="inlineStr">
        <is>
          <t>A 23122-2019</t>
        </is>
      </c>
      <c r="B981" s="1" t="n">
        <v>43592</v>
      </c>
      <c r="C981" s="1" t="n">
        <v>45810</v>
      </c>
      <c r="D981" t="inlineStr">
        <is>
          <t>VÄRMLANDS LÄN</t>
        </is>
      </c>
      <c r="E981" t="inlineStr">
        <is>
          <t>ARVIKA</t>
        </is>
      </c>
      <c r="G981" t="n">
        <v>0.7</v>
      </c>
      <c r="H981" t="n">
        <v>0</v>
      </c>
      <c r="I981" t="n">
        <v>0</v>
      </c>
      <c r="J981" t="n">
        <v>0</v>
      </c>
      <c r="K981" t="n">
        <v>0</v>
      </c>
      <c r="L981" t="n">
        <v>0</v>
      </c>
      <c r="M981" t="n">
        <v>0</v>
      </c>
      <c r="N981" t="n">
        <v>0</v>
      </c>
      <c r="O981" t="n">
        <v>0</v>
      </c>
      <c r="P981" t="n">
        <v>0</v>
      </c>
      <c r="Q981" t="n">
        <v>0</v>
      </c>
      <c r="R981" s="2" t="inlineStr"/>
    </row>
    <row r="982" ht="15" customHeight="1">
      <c r="A982" t="inlineStr">
        <is>
          <t>A 23274-2019</t>
        </is>
      </c>
      <c r="B982" s="1" t="n">
        <v>43592</v>
      </c>
      <c r="C982" s="1" t="n">
        <v>45810</v>
      </c>
      <c r="D982" t="inlineStr">
        <is>
          <t>VÄRMLANDS LÄN</t>
        </is>
      </c>
      <c r="E982" t="inlineStr">
        <is>
          <t>SUNNE</t>
        </is>
      </c>
      <c r="G982" t="n">
        <v>5.3</v>
      </c>
      <c r="H982" t="n">
        <v>0</v>
      </c>
      <c r="I982" t="n">
        <v>0</v>
      </c>
      <c r="J982" t="n">
        <v>0</v>
      </c>
      <c r="K982" t="n">
        <v>0</v>
      </c>
      <c r="L982" t="n">
        <v>0</v>
      </c>
      <c r="M982" t="n">
        <v>0</v>
      </c>
      <c r="N982" t="n">
        <v>0</v>
      </c>
      <c r="O982" t="n">
        <v>0</v>
      </c>
      <c r="P982" t="n">
        <v>0</v>
      </c>
      <c r="Q982" t="n">
        <v>0</v>
      </c>
      <c r="R982" s="2" t="inlineStr"/>
    </row>
    <row r="983" ht="15" customHeight="1">
      <c r="A983" t="inlineStr">
        <is>
          <t>A 24285-2019</t>
        </is>
      </c>
      <c r="B983" s="1" t="n">
        <v>43593</v>
      </c>
      <c r="C983" s="1" t="n">
        <v>45810</v>
      </c>
      <c r="D983" t="inlineStr">
        <is>
          <t>VÄRMLANDS LÄN</t>
        </is>
      </c>
      <c r="E983" t="inlineStr">
        <is>
          <t>SUNNE</t>
        </is>
      </c>
      <c r="G983" t="n">
        <v>0.8</v>
      </c>
      <c r="H983" t="n">
        <v>0</v>
      </c>
      <c r="I983" t="n">
        <v>0</v>
      </c>
      <c r="J983" t="n">
        <v>0</v>
      </c>
      <c r="K983" t="n">
        <v>0</v>
      </c>
      <c r="L983" t="n">
        <v>0</v>
      </c>
      <c r="M983" t="n">
        <v>0</v>
      </c>
      <c r="N983" t="n">
        <v>0</v>
      </c>
      <c r="O983" t="n">
        <v>0</v>
      </c>
      <c r="P983" t="n">
        <v>0</v>
      </c>
      <c r="Q983" t="n">
        <v>0</v>
      </c>
      <c r="R983" s="2" t="inlineStr"/>
    </row>
    <row r="984" ht="15" customHeight="1">
      <c r="A984" t="inlineStr">
        <is>
          <t>A 23412-2019</t>
        </is>
      </c>
      <c r="B984" s="1" t="n">
        <v>43593</v>
      </c>
      <c r="C984" s="1" t="n">
        <v>45810</v>
      </c>
      <c r="D984" t="inlineStr">
        <is>
          <t>VÄRMLANDS LÄN</t>
        </is>
      </c>
      <c r="E984" t="inlineStr">
        <is>
          <t>TORSBY</t>
        </is>
      </c>
      <c r="G984" t="n">
        <v>1.6</v>
      </c>
      <c r="H984" t="n">
        <v>0</v>
      </c>
      <c r="I984" t="n">
        <v>0</v>
      </c>
      <c r="J984" t="n">
        <v>0</v>
      </c>
      <c r="K984" t="n">
        <v>0</v>
      </c>
      <c r="L984" t="n">
        <v>0</v>
      </c>
      <c r="M984" t="n">
        <v>0</v>
      </c>
      <c r="N984" t="n">
        <v>0</v>
      </c>
      <c r="O984" t="n">
        <v>0</v>
      </c>
      <c r="P984" t="n">
        <v>0</v>
      </c>
      <c r="Q984" t="n">
        <v>0</v>
      </c>
      <c r="R984" s="2" t="inlineStr"/>
    </row>
    <row r="985" ht="15" customHeight="1">
      <c r="A985" t="inlineStr">
        <is>
          <t>A 23555-2019</t>
        </is>
      </c>
      <c r="B985" s="1" t="n">
        <v>43594</v>
      </c>
      <c r="C985" s="1" t="n">
        <v>45810</v>
      </c>
      <c r="D985" t="inlineStr">
        <is>
          <t>VÄRMLANDS LÄN</t>
        </is>
      </c>
      <c r="E985" t="inlineStr">
        <is>
          <t>ÅRJÄNG</t>
        </is>
      </c>
      <c r="G985" t="n">
        <v>2.3</v>
      </c>
      <c r="H985" t="n">
        <v>0</v>
      </c>
      <c r="I985" t="n">
        <v>0</v>
      </c>
      <c r="J985" t="n">
        <v>0</v>
      </c>
      <c r="K985" t="n">
        <v>0</v>
      </c>
      <c r="L985" t="n">
        <v>0</v>
      </c>
      <c r="M985" t="n">
        <v>0</v>
      </c>
      <c r="N985" t="n">
        <v>0</v>
      </c>
      <c r="O985" t="n">
        <v>0</v>
      </c>
      <c r="P985" t="n">
        <v>0</v>
      </c>
      <c r="Q985" t="n">
        <v>0</v>
      </c>
      <c r="R985" s="2" t="inlineStr"/>
    </row>
    <row r="986" ht="15" customHeight="1">
      <c r="A986" t="inlineStr">
        <is>
          <t>A 23573-2019</t>
        </is>
      </c>
      <c r="B986" s="1" t="n">
        <v>43594</v>
      </c>
      <c r="C986" s="1" t="n">
        <v>45810</v>
      </c>
      <c r="D986" t="inlineStr">
        <is>
          <t>VÄRMLANDS LÄN</t>
        </is>
      </c>
      <c r="E986" t="inlineStr">
        <is>
          <t>ÅRJÄNG</t>
        </is>
      </c>
      <c r="G986" t="n">
        <v>4.9</v>
      </c>
      <c r="H986" t="n">
        <v>0</v>
      </c>
      <c r="I986" t="n">
        <v>0</v>
      </c>
      <c r="J986" t="n">
        <v>0</v>
      </c>
      <c r="K986" t="n">
        <v>0</v>
      </c>
      <c r="L986" t="n">
        <v>0</v>
      </c>
      <c r="M986" t="n">
        <v>0</v>
      </c>
      <c r="N986" t="n">
        <v>0</v>
      </c>
      <c r="O986" t="n">
        <v>0</v>
      </c>
      <c r="P986" t="n">
        <v>0</v>
      </c>
      <c r="Q986" t="n">
        <v>0</v>
      </c>
      <c r="R986" s="2" t="inlineStr"/>
    </row>
    <row r="987" ht="15" customHeight="1">
      <c r="A987" t="inlineStr">
        <is>
          <t>A 23600-2019</t>
        </is>
      </c>
      <c r="B987" s="1" t="n">
        <v>43594</v>
      </c>
      <c r="C987" s="1" t="n">
        <v>45810</v>
      </c>
      <c r="D987" t="inlineStr">
        <is>
          <t>VÄRMLANDS LÄN</t>
        </is>
      </c>
      <c r="E987" t="inlineStr">
        <is>
          <t>ÅRJÄNG</t>
        </is>
      </c>
      <c r="G987" t="n">
        <v>1.8</v>
      </c>
      <c r="H987" t="n">
        <v>0</v>
      </c>
      <c r="I987" t="n">
        <v>0</v>
      </c>
      <c r="J987" t="n">
        <v>0</v>
      </c>
      <c r="K987" t="n">
        <v>0</v>
      </c>
      <c r="L987" t="n">
        <v>0</v>
      </c>
      <c r="M987" t="n">
        <v>0</v>
      </c>
      <c r="N987" t="n">
        <v>0</v>
      </c>
      <c r="O987" t="n">
        <v>0</v>
      </c>
      <c r="P987" t="n">
        <v>0</v>
      </c>
      <c r="Q987" t="n">
        <v>0</v>
      </c>
      <c r="R987" s="2" t="inlineStr"/>
    </row>
    <row r="988" ht="15" customHeight="1">
      <c r="A988" t="inlineStr">
        <is>
          <t>A 23641-2019</t>
        </is>
      </c>
      <c r="B988" s="1" t="n">
        <v>43594</v>
      </c>
      <c r="C988" s="1" t="n">
        <v>45810</v>
      </c>
      <c r="D988" t="inlineStr">
        <is>
          <t>VÄRMLANDS LÄN</t>
        </is>
      </c>
      <c r="E988" t="inlineStr">
        <is>
          <t>SÄFFLE</t>
        </is>
      </c>
      <c r="G988" t="n">
        <v>1.3</v>
      </c>
      <c r="H988" t="n">
        <v>0</v>
      </c>
      <c r="I988" t="n">
        <v>0</v>
      </c>
      <c r="J988" t="n">
        <v>0</v>
      </c>
      <c r="K988" t="n">
        <v>0</v>
      </c>
      <c r="L988" t="n">
        <v>0</v>
      </c>
      <c r="M988" t="n">
        <v>0</v>
      </c>
      <c r="N988" t="n">
        <v>0</v>
      </c>
      <c r="O988" t="n">
        <v>0</v>
      </c>
      <c r="P988" t="n">
        <v>0</v>
      </c>
      <c r="Q988" t="n">
        <v>0</v>
      </c>
      <c r="R988" s="2" t="inlineStr"/>
    </row>
    <row r="989" ht="15" customHeight="1">
      <c r="A989" t="inlineStr">
        <is>
          <t>A 23685-2019</t>
        </is>
      </c>
      <c r="B989" s="1" t="n">
        <v>43594</v>
      </c>
      <c r="C989" s="1" t="n">
        <v>45810</v>
      </c>
      <c r="D989" t="inlineStr">
        <is>
          <t>VÄRMLANDS LÄN</t>
        </is>
      </c>
      <c r="E989" t="inlineStr">
        <is>
          <t>KRISTINEHAMN</t>
        </is>
      </c>
      <c r="G989" t="n">
        <v>0.6</v>
      </c>
      <c r="H989" t="n">
        <v>0</v>
      </c>
      <c r="I989" t="n">
        <v>0</v>
      </c>
      <c r="J989" t="n">
        <v>0</v>
      </c>
      <c r="K989" t="n">
        <v>0</v>
      </c>
      <c r="L989" t="n">
        <v>0</v>
      </c>
      <c r="M989" t="n">
        <v>0</v>
      </c>
      <c r="N989" t="n">
        <v>0</v>
      </c>
      <c r="O989" t="n">
        <v>0</v>
      </c>
      <c r="P989" t="n">
        <v>0</v>
      </c>
      <c r="Q989" t="n">
        <v>0</v>
      </c>
      <c r="R989" s="2" t="inlineStr"/>
    </row>
    <row r="990" ht="15" customHeight="1">
      <c r="A990" t="inlineStr">
        <is>
          <t>A 23715-2019</t>
        </is>
      </c>
      <c r="B990" s="1" t="n">
        <v>43594</v>
      </c>
      <c r="C990" s="1" t="n">
        <v>45810</v>
      </c>
      <c r="D990" t="inlineStr">
        <is>
          <t>VÄRMLANDS LÄN</t>
        </is>
      </c>
      <c r="E990" t="inlineStr">
        <is>
          <t>ÅRJÄNG</t>
        </is>
      </c>
      <c r="G990" t="n">
        <v>6.8</v>
      </c>
      <c r="H990" t="n">
        <v>0</v>
      </c>
      <c r="I990" t="n">
        <v>0</v>
      </c>
      <c r="J990" t="n">
        <v>0</v>
      </c>
      <c r="K990" t="n">
        <v>0</v>
      </c>
      <c r="L990" t="n">
        <v>0</v>
      </c>
      <c r="M990" t="n">
        <v>0</v>
      </c>
      <c r="N990" t="n">
        <v>0</v>
      </c>
      <c r="O990" t="n">
        <v>0</v>
      </c>
      <c r="P990" t="n">
        <v>0</v>
      </c>
      <c r="Q990" t="n">
        <v>0</v>
      </c>
      <c r="R990" s="2" t="inlineStr"/>
    </row>
    <row r="991" ht="15" customHeight="1">
      <c r="A991" t="inlineStr">
        <is>
          <t>A 24798-2019</t>
        </is>
      </c>
      <c r="B991" s="1" t="n">
        <v>43594</v>
      </c>
      <c r="C991" s="1" t="n">
        <v>45810</v>
      </c>
      <c r="D991" t="inlineStr">
        <is>
          <t>VÄRMLANDS LÄN</t>
        </is>
      </c>
      <c r="E991" t="inlineStr">
        <is>
          <t>SÄFFLE</t>
        </is>
      </c>
      <c r="G991" t="n">
        <v>17.6</v>
      </c>
      <c r="H991" t="n">
        <v>0</v>
      </c>
      <c r="I991" t="n">
        <v>0</v>
      </c>
      <c r="J991" t="n">
        <v>0</v>
      </c>
      <c r="K991" t="n">
        <v>0</v>
      </c>
      <c r="L991" t="n">
        <v>0</v>
      </c>
      <c r="M991" t="n">
        <v>0</v>
      </c>
      <c r="N991" t="n">
        <v>0</v>
      </c>
      <c r="O991" t="n">
        <v>0</v>
      </c>
      <c r="P991" t="n">
        <v>0</v>
      </c>
      <c r="Q991" t="n">
        <v>0</v>
      </c>
      <c r="R991" s="2" t="inlineStr"/>
    </row>
    <row r="992" ht="15" customHeight="1">
      <c r="A992" t="inlineStr">
        <is>
          <t>A 24816-2019</t>
        </is>
      </c>
      <c r="B992" s="1" t="n">
        <v>43594</v>
      </c>
      <c r="C992" s="1" t="n">
        <v>45810</v>
      </c>
      <c r="D992" t="inlineStr">
        <is>
          <t>VÄRMLANDS LÄN</t>
        </is>
      </c>
      <c r="E992" t="inlineStr">
        <is>
          <t>SÄFFLE</t>
        </is>
      </c>
      <c r="G992" t="n">
        <v>3.1</v>
      </c>
      <c r="H992" t="n">
        <v>0</v>
      </c>
      <c r="I992" t="n">
        <v>0</v>
      </c>
      <c r="J992" t="n">
        <v>0</v>
      </c>
      <c r="K992" t="n">
        <v>0</v>
      </c>
      <c r="L992" t="n">
        <v>0</v>
      </c>
      <c r="M992" t="n">
        <v>0</v>
      </c>
      <c r="N992" t="n">
        <v>0</v>
      </c>
      <c r="O992" t="n">
        <v>0</v>
      </c>
      <c r="P992" t="n">
        <v>0</v>
      </c>
      <c r="Q992" t="n">
        <v>0</v>
      </c>
      <c r="R992" s="2" t="inlineStr"/>
    </row>
    <row r="993" ht="15" customHeight="1">
      <c r="A993" t="inlineStr">
        <is>
          <t>A 24799-2019</t>
        </is>
      </c>
      <c r="B993" s="1" t="n">
        <v>43594</v>
      </c>
      <c r="C993" s="1" t="n">
        <v>45810</v>
      </c>
      <c r="D993" t="inlineStr">
        <is>
          <t>VÄRMLANDS LÄN</t>
        </is>
      </c>
      <c r="E993" t="inlineStr">
        <is>
          <t>SÄFFLE</t>
        </is>
      </c>
      <c r="G993" t="n">
        <v>3.8</v>
      </c>
      <c r="H993" t="n">
        <v>0</v>
      </c>
      <c r="I993" t="n">
        <v>0</v>
      </c>
      <c r="J993" t="n">
        <v>0</v>
      </c>
      <c r="K993" t="n">
        <v>0</v>
      </c>
      <c r="L993" t="n">
        <v>0</v>
      </c>
      <c r="M993" t="n">
        <v>0</v>
      </c>
      <c r="N993" t="n">
        <v>0</v>
      </c>
      <c r="O993" t="n">
        <v>0</v>
      </c>
      <c r="P993" t="n">
        <v>0</v>
      </c>
      <c r="Q993" t="n">
        <v>0</v>
      </c>
      <c r="R993" s="2" t="inlineStr"/>
    </row>
    <row r="994" ht="15" customHeight="1">
      <c r="A994" t="inlineStr">
        <is>
          <t>A 23716-2019</t>
        </is>
      </c>
      <c r="B994" s="1" t="n">
        <v>43594</v>
      </c>
      <c r="C994" s="1" t="n">
        <v>45810</v>
      </c>
      <c r="D994" t="inlineStr">
        <is>
          <t>VÄRMLANDS LÄN</t>
        </is>
      </c>
      <c r="E994" t="inlineStr">
        <is>
          <t>ÅRJÄNG</t>
        </is>
      </c>
      <c r="G994" t="n">
        <v>4.3</v>
      </c>
      <c r="H994" t="n">
        <v>0</v>
      </c>
      <c r="I994" t="n">
        <v>0</v>
      </c>
      <c r="J994" t="n">
        <v>0</v>
      </c>
      <c r="K994" t="n">
        <v>0</v>
      </c>
      <c r="L994" t="n">
        <v>0</v>
      </c>
      <c r="M994" t="n">
        <v>0</v>
      </c>
      <c r="N994" t="n">
        <v>0</v>
      </c>
      <c r="O994" t="n">
        <v>0</v>
      </c>
      <c r="P994" t="n">
        <v>0</v>
      </c>
      <c r="Q994" t="n">
        <v>0</v>
      </c>
      <c r="R994" s="2" t="inlineStr"/>
    </row>
    <row r="995" ht="15" customHeight="1">
      <c r="A995" t="inlineStr">
        <is>
          <t>A 24812-2019</t>
        </is>
      </c>
      <c r="B995" s="1" t="n">
        <v>43594</v>
      </c>
      <c r="C995" s="1" t="n">
        <v>45810</v>
      </c>
      <c r="D995" t="inlineStr">
        <is>
          <t>VÄRMLANDS LÄN</t>
        </is>
      </c>
      <c r="E995" t="inlineStr">
        <is>
          <t>SÄFFLE</t>
        </is>
      </c>
      <c r="G995" t="n">
        <v>5.6</v>
      </c>
      <c r="H995" t="n">
        <v>0</v>
      </c>
      <c r="I995" t="n">
        <v>0</v>
      </c>
      <c r="J995" t="n">
        <v>0</v>
      </c>
      <c r="K995" t="n">
        <v>0</v>
      </c>
      <c r="L995" t="n">
        <v>0</v>
      </c>
      <c r="M995" t="n">
        <v>0</v>
      </c>
      <c r="N995" t="n">
        <v>0</v>
      </c>
      <c r="O995" t="n">
        <v>0</v>
      </c>
      <c r="P995" t="n">
        <v>0</v>
      </c>
      <c r="Q995" t="n">
        <v>0</v>
      </c>
      <c r="R995" s="2" t="inlineStr"/>
    </row>
    <row r="996" ht="15" customHeight="1">
      <c r="A996" t="inlineStr">
        <is>
          <t>A 23646-2019</t>
        </is>
      </c>
      <c r="B996" s="1" t="n">
        <v>43594</v>
      </c>
      <c r="C996" s="1" t="n">
        <v>45810</v>
      </c>
      <c r="D996" t="inlineStr">
        <is>
          <t>VÄRMLANDS LÄN</t>
        </is>
      </c>
      <c r="E996" t="inlineStr">
        <is>
          <t>ARVIKA</t>
        </is>
      </c>
      <c r="G996" t="n">
        <v>3.8</v>
      </c>
      <c r="H996" t="n">
        <v>0</v>
      </c>
      <c r="I996" t="n">
        <v>0</v>
      </c>
      <c r="J996" t="n">
        <v>0</v>
      </c>
      <c r="K996" t="n">
        <v>0</v>
      </c>
      <c r="L996" t="n">
        <v>0</v>
      </c>
      <c r="M996" t="n">
        <v>0</v>
      </c>
      <c r="N996" t="n">
        <v>0</v>
      </c>
      <c r="O996" t="n">
        <v>0</v>
      </c>
      <c r="P996" t="n">
        <v>0</v>
      </c>
      <c r="Q996" t="n">
        <v>0</v>
      </c>
      <c r="R996" s="2" t="inlineStr"/>
    </row>
    <row r="997" ht="15" customHeight="1">
      <c r="A997" t="inlineStr">
        <is>
          <t>A 23570-2019</t>
        </is>
      </c>
      <c r="B997" s="1" t="n">
        <v>43594</v>
      </c>
      <c r="C997" s="1" t="n">
        <v>45810</v>
      </c>
      <c r="D997" t="inlineStr">
        <is>
          <t>VÄRMLANDS LÄN</t>
        </is>
      </c>
      <c r="E997" t="inlineStr">
        <is>
          <t>ÅRJÄNG</t>
        </is>
      </c>
      <c r="G997" t="n">
        <v>2.9</v>
      </c>
      <c r="H997" t="n">
        <v>0</v>
      </c>
      <c r="I997" t="n">
        <v>0</v>
      </c>
      <c r="J997" t="n">
        <v>0</v>
      </c>
      <c r="K997" t="n">
        <v>0</v>
      </c>
      <c r="L997" t="n">
        <v>0</v>
      </c>
      <c r="M997" t="n">
        <v>0</v>
      </c>
      <c r="N997" t="n">
        <v>0</v>
      </c>
      <c r="O997" t="n">
        <v>0</v>
      </c>
      <c r="P997" t="n">
        <v>0</v>
      </c>
      <c r="Q997" t="n">
        <v>0</v>
      </c>
      <c r="R997" s="2" t="inlineStr"/>
    </row>
    <row r="998" ht="15" customHeight="1">
      <c r="A998" t="inlineStr">
        <is>
          <t>A 23658-2019</t>
        </is>
      </c>
      <c r="B998" s="1" t="n">
        <v>43594</v>
      </c>
      <c r="C998" s="1" t="n">
        <v>45810</v>
      </c>
      <c r="D998" t="inlineStr">
        <is>
          <t>VÄRMLANDS LÄN</t>
        </is>
      </c>
      <c r="E998" t="inlineStr">
        <is>
          <t>SÄFFLE</t>
        </is>
      </c>
      <c r="G998" t="n">
        <v>2.1</v>
      </c>
      <c r="H998" t="n">
        <v>0</v>
      </c>
      <c r="I998" t="n">
        <v>0</v>
      </c>
      <c r="J998" t="n">
        <v>0</v>
      </c>
      <c r="K998" t="n">
        <v>0</v>
      </c>
      <c r="L998" t="n">
        <v>0</v>
      </c>
      <c r="M998" t="n">
        <v>0</v>
      </c>
      <c r="N998" t="n">
        <v>0</v>
      </c>
      <c r="O998" t="n">
        <v>0</v>
      </c>
      <c r="P998" t="n">
        <v>0</v>
      </c>
      <c r="Q998" t="n">
        <v>0</v>
      </c>
      <c r="R998" s="2" t="inlineStr"/>
    </row>
    <row r="999" ht="15" customHeight="1">
      <c r="A999" t="inlineStr">
        <is>
          <t>A 24804-2019</t>
        </is>
      </c>
      <c r="B999" s="1" t="n">
        <v>43594</v>
      </c>
      <c r="C999" s="1" t="n">
        <v>45810</v>
      </c>
      <c r="D999" t="inlineStr">
        <is>
          <t>VÄRMLANDS LÄN</t>
        </is>
      </c>
      <c r="E999" t="inlineStr">
        <is>
          <t>SÄFFLE</t>
        </is>
      </c>
      <c r="G999" t="n">
        <v>1.5</v>
      </c>
      <c r="H999" t="n">
        <v>0</v>
      </c>
      <c r="I999" t="n">
        <v>0</v>
      </c>
      <c r="J999" t="n">
        <v>0</v>
      </c>
      <c r="K999" t="n">
        <v>0</v>
      </c>
      <c r="L999" t="n">
        <v>0</v>
      </c>
      <c r="M999" t="n">
        <v>0</v>
      </c>
      <c r="N999" t="n">
        <v>0</v>
      </c>
      <c r="O999" t="n">
        <v>0</v>
      </c>
      <c r="P999" t="n">
        <v>0</v>
      </c>
      <c r="Q999" t="n">
        <v>0</v>
      </c>
      <c r="R999" s="2" t="inlineStr"/>
    </row>
    <row r="1000" ht="15" customHeight="1">
      <c r="A1000" t="inlineStr">
        <is>
          <t>A 24684-2019</t>
        </is>
      </c>
      <c r="B1000" s="1" t="n">
        <v>43594</v>
      </c>
      <c r="C1000" s="1" t="n">
        <v>45810</v>
      </c>
      <c r="D1000" t="inlineStr">
        <is>
          <t>VÄRMLANDS LÄN</t>
        </is>
      </c>
      <c r="E1000" t="inlineStr">
        <is>
          <t>SÄFFLE</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24808-2019</t>
        </is>
      </c>
      <c r="B1001" s="1" t="n">
        <v>43594</v>
      </c>
      <c r="C1001" s="1" t="n">
        <v>45810</v>
      </c>
      <c r="D1001" t="inlineStr">
        <is>
          <t>VÄRMLANDS LÄN</t>
        </is>
      </c>
      <c r="E1001" t="inlineStr">
        <is>
          <t>SÄFFLE</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24795-2019</t>
        </is>
      </c>
      <c r="B1002" s="1" t="n">
        <v>43594</v>
      </c>
      <c r="C1002" s="1" t="n">
        <v>45810</v>
      </c>
      <c r="D1002" t="inlineStr">
        <is>
          <t>VÄRMLANDS LÄN</t>
        </is>
      </c>
      <c r="E1002" t="inlineStr">
        <is>
          <t>SÄFFLE</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23900-2019</t>
        </is>
      </c>
      <c r="B1003" s="1" t="n">
        <v>43595</v>
      </c>
      <c r="C1003" s="1" t="n">
        <v>45810</v>
      </c>
      <c r="D1003" t="inlineStr">
        <is>
          <t>VÄRMLANDS LÄN</t>
        </is>
      </c>
      <c r="E1003" t="inlineStr">
        <is>
          <t>KARLSTAD</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23892-2019</t>
        </is>
      </c>
      <c r="B1004" s="1" t="n">
        <v>43595</v>
      </c>
      <c r="C1004" s="1" t="n">
        <v>45810</v>
      </c>
      <c r="D1004" t="inlineStr">
        <is>
          <t>VÄRMLANDS LÄN</t>
        </is>
      </c>
      <c r="E1004" t="inlineStr">
        <is>
          <t>TORSBY</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23893-2019</t>
        </is>
      </c>
      <c r="B1005" s="1" t="n">
        <v>43595</v>
      </c>
      <c r="C1005" s="1" t="n">
        <v>45810</v>
      </c>
      <c r="D1005" t="inlineStr">
        <is>
          <t>VÄRMLANDS LÄN</t>
        </is>
      </c>
      <c r="E1005" t="inlineStr">
        <is>
          <t>SUNNE</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23771-2019</t>
        </is>
      </c>
      <c r="B1006" s="1" t="n">
        <v>43595</v>
      </c>
      <c r="C1006" s="1" t="n">
        <v>45810</v>
      </c>
      <c r="D1006" t="inlineStr">
        <is>
          <t>VÄRMLANDS LÄN</t>
        </is>
      </c>
      <c r="E1006" t="inlineStr">
        <is>
          <t>TORSBY</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24236-2019</t>
        </is>
      </c>
      <c r="B1007" s="1" t="n">
        <v>43596</v>
      </c>
      <c r="C1007" s="1" t="n">
        <v>45810</v>
      </c>
      <c r="D1007" t="inlineStr">
        <is>
          <t>VÄRMLANDS LÄN</t>
        </is>
      </c>
      <c r="E1007" t="inlineStr">
        <is>
          <t>ARVIKA</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24238-2019</t>
        </is>
      </c>
      <c r="B1008" s="1" t="n">
        <v>43596</v>
      </c>
      <c r="C1008" s="1" t="n">
        <v>45810</v>
      </c>
      <c r="D1008" t="inlineStr">
        <is>
          <t>VÄRMLANDS LÄN</t>
        </is>
      </c>
      <c r="E1008" t="inlineStr">
        <is>
          <t>KIL</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24240-2019</t>
        </is>
      </c>
      <c r="B1009" s="1" t="n">
        <v>43596</v>
      </c>
      <c r="C1009" s="1" t="n">
        <v>45810</v>
      </c>
      <c r="D1009" t="inlineStr">
        <is>
          <t>VÄRMLANDS LÄN</t>
        </is>
      </c>
      <c r="E1009" t="inlineStr">
        <is>
          <t>ARVIKA</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24235-2019</t>
        </is>
      </c>
      <c r="B1010" s="1" t="n">
        <v>43596</v>
      </c>
      <c r="C1010" s="1" t="n">
        <v>45810</v>
      </c>
      <c r="D1010" t="inlineStr">
        <is>
          <t>VÄRMLANDS LÄN</t>
        </is>
      </c>
      <c r="E1010" t="inlineStr">
        <is>
          <t>ARVIKA</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24249-2019</t>
        </is>
      </c>
      <c r="B1011" s="1" t="n">
        <v>43596</v>
      </c>
      <c r="C1011" s="1" t="n">
        <v>45810</v>
      </c>
      <c r="D1011" t="inlineStr">
        <is>
          <t>VÄRMLANDS LÄN</t>
        </is>
      </c>
      <c r="E1011" t="inlineStr">
        <is>
          <t>ARVIKA</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24110-2019</t>
        </is>
      </c>
      <c r="B1012" s="1" t="n">
        <v>43598</v>
      </c>
      <c r="C1012" s="1" t="n">
        <v>45810</v>
      </c>
      <c r="D1012" t="inlineStr">
        <is>
          <t>VÄRMLANDS LÄN</t>
        </is>
      </c>
      <c r="E1012" t="inlineStr">
        <is>
          <t>SÄFFLE</t>
        </is>
      </c>
      <c r="G1012" t="n">
        <v>5.2</v>
      </c>
      <c r="H1012" t="n">
        <v>0</v>
      </c>
      <c r="I1012" t="n">
        <v>0</v>
      </c>
      <c r="J1012" t="n">
        <v>0</v>
      </c>
      <c r="K1012" t="n">
        <v>0</v>
      </c>
      <c r="L1012" t="n">
        <v>0</v>
      </c>
      <c r="M1012" t="n">
        <v>0</v>
      </c>
      <c r="N1012" t="n">
        <v>0</v>
      </c>
      <c r="O1012" t="n">
        <v>0</v>
      </c>
      <c r="P1012" t="n">
        <v>0</v>
      </c>
      <c r="Q1012" t="n">
        <v>0</v>
      </c>
      <c r="R1012" s="2" t="inlineStr"/>
    </row>
    <row r="1013" ht="15" customHeight="1">
      <c r="A1013" t="inlineStr">
        <is>
          <t>A 24136-2019</t>
        </is>
      </c>
      <c r="B1013" s="1" t="n">
        <v>43598</v>
      </c>
      <c r="C1013" s="1" t="n">
        <v>45810</v>
      </c>
      <c r="D1013" t="inlineStr">
        <is>
          <t>VÄRMLANDS LÄN</t>
        </is>
      </c>
      <c r="E1013" t="inlineStr">
        <is>
          <t>HAGFORS</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24130-2019</t>
        </is>
      </c>
      <c r="B1014" s="1" t="n">
        <v>43598</v>
      </c>
      <c r="C1014" s="1" t="n">
        <v>45810</v>
      </c>
      <c r="D1014" t="inlineStr">
        <is>
          <t>VÄRMLANDS LÄN</t>
        </is>
      </c>
      <c r="E1014" t="inlineStr">
        <is>
          <t>HAGFORS</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24288-2019</t>
        </is>
      </c>
      <c r="B1015" s="1" t="n">
        <v>43598</v>
      </c>
      <c r="C1015" s="1" t="n">
        <v>45810</v>
      </c>
      <c r="D1015" t="inlineStr">
        <is>
          <t>VÄRMLANDS LÄN</t>
        </is>
      </c>
      <c r="E1015" t="inlineStr">
        <is>
          <t>KIL</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24002-2019</t>
        </is>
      </c>
      <c r="B1016" s="1" t="n">
        <v>43598</v>
      </c>
      <c r="C1016" s="1" t="n">
        <v>45810</v>
      </c>
      <c r="D1016" t="inlineStr">
        <is>
          <t>VÄRMLANDS LÄN</t>
        </is>
      </c>
      <c r="E1016" t="inlineStr">
        <is>
          <t>KARLSTAD</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24178-2019</t>
        </is>
      </c>
      <c r="B1017" s="1" t="n">
        <v>43598</v>
      </c>
      <c r="C1017" s="1" t="n">
        <v>45810</v>
      </c>
      <c r="D1017" t="inlineStr">
        <is>
          <t>VÄRMLANDS LÄN</t>
        </is>
      </c>
      <c r="E1017" t="inlineStr">
        <is>
          <t>SÄFFLE</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24282-2019</t>
        </is>
      </c>
      <c r="B1018" s="1" t="n">
        <v>43598</v>
      </c>
      <c r="C1018" s="1" t="n">
        <v>45810</v>
      </c>
      <c r="D1018" t="inlineStr">
        <is>
          <t>VÄRMLANDS LÄN</t>
        </is>
      </c>
      <c r="E1018" t="inlineStr">
        <is>
          <t>SÄFFLE</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24280-2019</t>
        </is>
      </c>
      <c r="B1019" s="1" t="n">
        <v>43598</v>
      </c>
      <c r="C1019" s="1" t="n">
        <v>45810</v>
      </c>
      <c r="D1019" t="inlineStr">
        <is>
          <t>VÄRMLANDS LÄN</t>
        </is>
      </c>
      <c r="E1019" t="inlineStr">
        <is>
          <t>SÄFFLE</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24337-2019</t>
        </is>
      </c>
      <c r="B1020" s="1" t="n">
        <v>43598</v>
      </c>
      <c r="C1020" s="1" t="n">
        <v>45810</v>
      </c>
      <c r="D1020" t="inlineStr">
        <is>
          <t>VÄRMLANDS LÄN</t>
        </is>
      </c>
      <c r="E1020" t="inlineStr">
        <is>
          <t>ÅRJÄNG</t>
        </is>
      </c>
      <c r="G1020" t="n">
        <v>8.1</v>
      </c>
      <c r="H1020" t="n">
        <v>0</v>
      </c>
      <c r="I1020" t="n">
        <v>0</v>
      </c>
      <c r="J1020" t="n">
        <v>0</v>
      </c>
      <c r="K1020" t="n">
        <v>0</v>
      </c>
      <c r="L1020" t="n">
        <v>0</v>
      </c>
      <c r="M1020" t="n">
        <v>0</v>
      </c>
      <c r="N1020" t="n">
        <v>0</v>
      </c>
      <c r="O1020" t="n">
        <v>0</v>
      </c>
      <c r="P1020" t="n">
        <v>0</v>
      </c>
      <c r="Q1020" t="n">
        <v>0</v>
      </c>
      <c r="R1020" s="2" t="inlineStr"/>
    </row>
    <row r="1021" ht="15" customHeight="1">
      <c r="A1021" t="inlineStr">
        <is>
          <t>A 24000-2019</t>
        </is>
      </c>
      <c r="B1021" s="1" t="n">
        <v>43598</v>
      </c>
      <c r="C1021" s="1" t="n">
        <v>45810</v>
      </c>
      <c r="D1021" t="inlineStr">
        <is>
          <t>VÄRMLANDS LÄN</t>
        </is>
      </c>
      <c r="E1021" t="inlineStr">
        <is>
          <t>EDA</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24028-2019</t>
        </is>
      </c>
      <c r="B1022" s="1" t="n">
        <v>43598</v>
      </c>
      <c r="C1022" s="1" t="n">
        <v>45810</v>
      </c>
      <c r="D1022" t="inlineStr">
        <is>
          <t>VÄRMLANDS LÄN</t>
        </is>
      </c>
      <c r="E1022" t="inlineStr">
        <is>
          <t>KARLSTAD</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24059-2019</t>
        </is>
      </c>
      <c r="B1023" s="1" t="n">
        <v>43598</v>
      </c>
      <c r="C1023" s="1" t="n">
        <v>45810</v>
      </c>
      <c r="D1023" t="inlineStr">
        <is>
          <t>VÄRMLANDS LÄN</t>
        </is>
      </c>
      <c r="E1023" t="inlineStr">
        <is>
          <t>SÄFFLE</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24215-2019</t>
        </is>
      </c>
      <c r="B1024" s="1" t="n">
        <v>43599</v>
      </c>
      <c r="C1024" s="1" t="n">
        <v>45810</v>
      </c>
      <c r="D1024" t="inlineStr">
        <is>
          <t>VÄRMLANDS LÄN</t>
        </is>
      </c>
      <c r="E1024" t="inlineStr">
        <is>
          <t>FORSHAGA</t>
        </is>
      </c>
      <c r="G1024" t="n">
        <v>4.1</v>
      </c>
      <c r="H1024" t="n">
        <v>0</v>
      </c>
      <c r="I1024" t="n">
        <v>0</v>
      </c>
      <c r="J1024" t="n">
        <v>0</v>
      </c>
      <c r="K1024" t="n">
        <v>0</v>
      </c>
      <c r="L1024" t="n">
        <v>0</v>
      </c>
      <c r="M1024" t="n">
        <v>0</v>
      </c>
      <c r="N1024" t="n">
        <v>0</v>
      </c>
      <c r="O1024" t="n">
        <v>0</v>
      </c>
      <c r="P1024" t="n">
        <v>0</v>
      </c>
      <c r="Q1024" t="n">
        <v>0</v>
      </c>
      <c r="R1024" s="2" t="inlineStr"/>
    </row>
    <row r="1025" ht="15" customHeight="1">
      <c r="A1025" t="inlineStr">
        <is>
          <t>A 24289-2019</t>
        </is>
      </c>
      <c r="B1025" s="1" t="n">
        <v>43599</v>
      </c>
      <c r="C1025" s="1" t="n">
        <v>45810</v>
      </c>
      <c r="D1025" t="inlineStr">
        <is>
          <t>VÄRMLANDS LÄN</t>
        </is>
      </c>
      <c r="E1025" t="inlineStr">
        <is>
          <t>KIL</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24667-2019</t>
        </is>
      </c>
      <c r="B1026" s="1" t="n">
        <v>43599</v>
      </c>
      <c r="C1026" s="1" t="n">
        <v>45810</v>
      </c>
      <c r="D1026" t="inlineStr">
        <is>
          <t>VÄRMLANDS LÄN</t>
        </is>
      </c>
      <c r="E1026" t="inlineStr">
        <is>
          <t>TORSBY</t>
        </is>
      </c>
      <c r="G1026" t="n">
        <v>6.7</v>
      </c>
      <c r="H1026" t="n">
        <v>0</v>
      </c>
      <c r="I1026" t="n">
        <v>0</v>
      </c>
      <c r="J1026" t="n">
        <v>0</v>
      </c>
      <c r="K1026" t="n">
        <v>0</v>
      </c>
      <c r="L1026" t="n">
        <v>0</v>
      </c>
      <c r="M1026" t="n">
        <v>0</v>
      </c>
      <c r="N1026" t="n">
        <v>0</v>
      </c>
      <c r="O1026" t="n">
        <v>0</v>
      </c>
      <c r="P1026" t="n">
        <v>0</v>
      </c>
      <c r="Q1026" t="n">
        <v>0</v>
      </c>
      <c r="R1026" s="2" t="inlineStr"/>
    </row>
    <row r="1027" ht="15" customHeight="1">
      <c r="A1027" t="inlineStr">
        <is>
          <t>A 24348-2019</t>
        </is>
      </c>
      <c r="B1027" s="1" t="n">
        <v>43599</v>
      </c>
      <c r="C1027" s="1" t="n">
        <v>45810</v>
      </c>
      <c r="D1027" t="inlineStr">
        <is>
          <t>VÄRMLANDS LÄN</t>
        </is>
      </c>
      <c r="E1027" t="inlineStr">
        <is>
          <t>KARLSTAD</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24290-2019</t>
        </is>
      </c>
      <c r="B1028" s="1" t="n">
        <v>43599</v>
      </c>
      <c r="C1028" s="1" t="n">
        <v>45810</v>
      </c>
      <c r="D1028" t="inlineStr">
        <is>
          <t>VÄRMLANDS LÄN</t>
        </is>
      </c>
      <c r="E1028" t="inlineStr">
        <is>
          <t>GRUMS</t>
        </is>
      </c>
      <c r="G1028" t="n">
        <v>4.5</v>
      </c>
      <c r="H1028" t="n">
        <v>0</v>
      </c>
      <c r="I1028" t="n">
        <v>0</v>
      </c>
      <c r="J1028" t="n">
        <v>0</v>
      </c>
      <c r="K1028" t="n">
        <v>0</v>
      </c>
      <c r="L1028" t="n">
        <v>0</v>
      </c>
      <c r="M1028" t="n">
        <v>0</v>
      </c>
      <c r="N1028" t="n">
        <v>0</v>
      </c>
      <c r="O1028" t="n">
        <v>0</v>
      </c>
      <c r="P1028" t="n">
        <v>0</v>
      </c>
      <c r="Q1028" t="n">
        <v>0</v>
      </c>
      <c r="R1028" s="2" t="inlineStr"/>
    </row>
    <row r="1029" ht="15" customHeight="1">
      <c r="A1029" t="inlineStr">
        <is>
          <t>A 24423-2019</t>
        </is>
      </c>
      <c r="B1029" s="1" t="n">
        <v>43599</v>
      </c>
      <c r="C1029" s="1" t="n">
        <v>45810</v>
      </c>
      <c r="D1029" t="inlineStr">
        <is>
          <t>VÄRMLANDS LÄN</t>
        </is>
      </c>
      <c r="E1029" t="inlineStr">
        <is>
          <t>ÅRJÄNG</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24412-2019</t>
        </is>
      </c>
      <c r="B1030" s="1" t="n">
        <v>43600</v>
      </c>
      <c r="C1030" s="1" t="n">
        <v>45810</v>
      </c>
      <c r="D1030" t="inlineStr">
        <is>
          <t>VÄRMLANDS LÄN</t>
        </is>
      </c>
      <c r="E1030" t="inlineStr">
        <is>
          <t>EDA</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24400-2019</t>
        </is>
      </c>
      <c r="B1031" s="1" t="n">
        <v>43600</v>
      </c>
      <c r="C1031" s="1" t="n">
        <v>45810</v>
      </c>
      <c r="D1031" t="inlineStr">
        <is>
          <t>VÄRMLANDS LÄN</t>
        </is>
      </c>
      <c r="E1031" t="inlineStr">
        <is>
          <t>KARLSTAD</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24414-2019</t>
        </is>
      </c>
      <c r="B1032" s="1" t="n">
        <v>43600</v>
      </c>
      <c r="C1032" s="1" t="n">
        <v>45810</v>
      </c>
      <c r="D1032" t="inlineStr">
        <is>
          <t>VÄRMLANDS LÄN</t>
        </is>
      </c>
      <c r="E1032" t="inlineStr">
        <is>
          <t>ARVIKA</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24521-2019</t>
        </is>
      </c>
      <c r="B1033" s="1" t="n">
        <v>43600</v>
      </c>
      <c r="C1033" s="1" t="n">
        <v>45810</v>
      </c>
      <c r="D1033" t="inlineStr">
        <is>
          <t>VÄRMLANDS LÄN</t>
        </is>
      </c>
      <c r="E1033" t="inlineStr">
        <is>
          <t>KIL</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24468-2019</t>
        </is>
      </c>
      <c r="B1034" s="1" t="n">
        <v>43600</v>
      </c>
      <c r="C1034" s="1" t="n">
        <v>45810</v>
      </c>
      <c r="D1034" t="inlineStr">
        <is>
          <t>VÄRMLANDS LÄN</t>
        </is>
      </c>
      <c r="E1034" t="inlineStr">
        <is>
          <t>ARVIKA</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24401-2019</t>
        </is>
      </c>
      <c r="B1035" s="1" t="n">
        <v>43600</v>
      </c>
      <c r="C1035" s="1" t="n">
        <v>45810</v>
      </c>
      <c r="D1035" t="inlineStr">
        <is>
          <t>VÄRMLANDS LÄN</t>
        </is>
      </c>
      <c r="E1035" t="inlineStr">
        <is>
          <t>KARLSTAD</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25207-2019</t>
        </is>
      </c>
      <c r="B1036" s="1" t="n">
        <v>43600</v>
      </c>
      <c r="C1036" s="1" t="n">
        <v>45810</v>
      </c>
      <c r="D1036" t="inlineStr">
        <is>
          <t>VÄRMLANDS LÄN</t>
        </is>
      </c>
      <c r="E1036" t="inlineStr">
        <is>
          <t>KIL</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24733-2019</t>
        </is>
      </c>
      <c r="B1037" s="1" t="n">
        <v>43601</v>
      </c>
      <c r="C1037" s="1" t="n">
        <v>45810</v>
      </c>
      <c r="D1037" t="inlineStr">
        <is>
          <t>VÄRMLANDS LÄN</t>
        </is>
      </c>
      <c r="E1037" t="inlineStr">
        <is>
          <t>GRUMS</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24703-2019</t>
        </is>
      </c>
      <c r="B1038" s="1" t="n">
        <v>43601</v>
      </c>
      <c r="C1038" s="1" t="n">
        <v>45810</v>
      </c>
      <c r="D1038" t="inlineStr">
        <is>
          <t>VÄRMLANDS LÄN</t>
        </is>
      </c>
      <c r="E1038" t="inlineStr">
        <is>
          <t>TORSBY</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24624-2019</t>
        </is>
      </c>
      <c r="B1039" s="1" t="n">
        <v>43601</v>
      </c>
      <c r="C1039" s="1" t="n">
        <v>45810</v>
      </c>
      <c r="D1039" t="inlineStr">
        <is>
          <t>VÄRMLANDS LÄN</t>
        </is>
      </c>
      <c r="E1039" t="inlineStr">
        <is>
          <t>KARLSTAD</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25233-2019</t>
        </is>
      </c>
      <c r="B1040" s="1" t="n">
        <v>43601</v>
      </c>
      <c r="C1040" s="1" t="n">
        <v>45810</v>
      </c>
      <c r="D1040" t="inlineStr">
        <is>
          <t>VÄRMLANDS LÄN</t>
        </is>
      </c>
      <c r="E1040" t="inlineStr">
        <is>
          <t>GRUMS</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24763-2019</t>
        </is>
      </c>
      <c r="B1041" s="1" t="n">
        <v>43601</v>
      </c>
      <c r="C1041" s="1" t="n">
        <v>45810</v>
      </c>
      <c r="D1041" t="inlineStr">
        <is>
          <t>VÄRMLANDS LÄN</t>
        </is>
      </c>
      <c r="E1041" t="inlineStr">
        <is>
          <t>ARVIKA</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25228-2019</t>
        </is>
      </c>
      <c r="B1042" s="1" t="n">
        <v>43601</v>
      </c>
      <c r="C1042" s="1" t="n">
        <v>45810</v>
      </c>
      <c r="D1042" t="inlineStr">
        <is>
          <t>VÄRMLANDS LÄN</t>
        </is>
      </c>
      <c r="E1042" t="inlineStr">
        <is>
          <t>GRUMS</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24902-2019</t>
        </is>
      </c>
      <c r="B1043" s="1" t="n">
        <v>43602</v>
      </c>
      <c r="C1043" s="1" t="n">
        <v>45810</v>
      </c>
      <c r="D1043" t="inlineStr">
        <is>
          <t>VÄRMLANDS LÄN</t>
        </is>
      </c>
      <c r="E1043" t="inlineStr">
        <is>
          <t>FILIPSTAD</t>
        </is>
      </c>
      <c r="F1043" t="inlineStr">
        <is>
          <t>Bergvik skog väst AB</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25041-2019</t>
        </is>
      </c>
      <c r="B1044" s="1" t="n">
        <v>43603</v>
      </c>
      <c r="C1044" s="1" t="n">
        <v>45810</v>
      </c>
      <c r="D1044" t="inlineStr">
        <is>
          <t>VÄRMLANDS LÄN</t>
        </is>
      </c>
      <c r="E1044" t="inlineStr">
        <is>
          <t>FILIPSTAD</t>
        </is>
      </c>
      <c r="F1044" t="inlineStr">
        <is>
          <t>Bergvik skog väst AB</t>
        </is>
      </c>
      <c r="G1044" t="n">
        <v>4.3</v>
      </c>
      <c r="H1044" t="n">
        <v>0</v>
      </c>
      <c r="I1044" t="n">
        <v>0</v>
      </c>
      <c r="J1044" t="n">
        <v>0</v>
      </c>
      <c r="K1044" t="n">
        <v>0</v>
      </c>
      <c r="L1044" t="n">
        <v>0</v>
      </c>
      <c r="M1044" t="n">
        <v>0</v>
      </c>
      <c r="N1044" t="n">
        <v>0</v>
      </c>
      <c r="O1044" t="n">
        <v>0</v>
      </c>
      <c r="P1044" t="n">
        <v>0</v>
      </c>
      <c r="Q1044" t="n">
        <v>0</v>
      </c>
      <c r="R1044" s="2" t="inlineStr"/>
    </row>
    <row r="1045" ht="15" customHeight="1">
      <c r="A1045" t="inlineStr">
        <is>
          <t>A 25045-2019</t>
        </is>
      </c>
      <c r="B1045" s="1" t="n">
        <v>43604</v>
      </c>
      <c r="C1045" s="1" t="n">
        <v>45810</v>
      </c>
      <c r="D1045" t="inlineStr">
        <is>
          <t>VÄRMLANDS LÄN</t>
        </is>
      </c>
      <c r="E1045" t="inlineStr">
        <is>
          <t>KARLSTAD</t>
        </is>
      </c>
      <c r="F1045" t="inlineStr">
        <is>
          <t>Bergvik skog väst AB</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25059-2019</t>
        </is>
      </c>
      <c r="B1046" s="1" t="n">
        <v>43604</v>
      </c>
      <c r="C1046" s="1" t="n">
        <v>45810</v>
      </c>
      <c r="D1046" t="inlineStr">
        <is>
          <t>VÄRMLANDS LÄN</t>
        </is>
      </c>
      <c r="E1046" t="inlineStr">
        <is>
          <t>KRISTINEHAMN</t>
        </is>
      </c>
      <c r="F1046" t="inlineStr">
        <is>
          <t>Bergvik skog väst AB</t>
        </is>
      </c>
      <c r="G1046" t="n">
        <v>11.7</v>
      </c>
      <c r="H1046" t="n">
        <v>0</v>
      </c>
      <c r="I1046" t="n">
        <v>0</v>
      </c>
      <c r="J1046" t="n">
        <v>0</v>
      </c>
      <c r="K1046" t="n">
        <v>0</v>
      </c>
      <c r="L1046" t="n">
        <v>0</v>
      </c>
      <c r="M1046" t="n">
        <v>0</v>
      </c>
      <c r="N1046" t="n">
        <v>0</v>
      </c>
      <c r="O1046" t="n">
        <v>0</v>
      </c>
      <c r="P1046" t="n">
        <v>0</v>
      </c>
      <c r="Q1046" t="n">
        <v>0</v>
      </c>
      <c r="R1046" s="2" t="inlineStr"/>
    </row>
    <row r="1047" ht="15" customHeight="1">
      <c r="A1047" t="inlineStr">
        <is>
          <t>A 25050-2019</t>
        </is>
      </c>
      <c r="B1047" s="1" t="n">
        <v>43604</v>
      </c>
      <c r="C1047" s="1" t="n">
        <v>45810</v>
      </c>
      <c r="D1047" t="inlineStr">
        <is>
          <t>VÄRMLANDS LÄN</t>
        </is>
      </c>
      <c r="E1047" t="inlineStr">
        <is>
          <t>KRISTINEHAMN</t>
        </is>
      </c>
      <c r="F1047" t="inlineStr">
        <is>
          <t>Bergvik skog väst AB</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25049-2019</t>
        </is>
      </c>
      <c r="B1048" s="1" t="n">
        <v>43604</v>
      </c>
      <c r="C1048" s="1" t="n">
        <v>45810</v>
      </c>
      <c r="D1048" t="inlineStr">
        <is>
          <t>VÄRMLANDS LÄN</t>
        </is>
      </c>
      <c r="E1048" t="inlineStr">
        <is>
          <t>KRISTINEHAMN</t>
        </is>
      </c>
      <c r="F1048" t="inlineStr">
        <is>
          <t>Bergvik skog väst AB</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25174-2019</t>
        </is>
      </c>
      <c r="B1049" s="1" t="n">
        <v>43605</v>
      </c>
      <c r="C1049" s="1" t="n">
        <v>45810</v>
      </c>
      <c r="D1049" t="inlineStr">
        <is>
          <t>VÄRMLANDS LÄN</t>
        </is>
      </c>
      <c r="E1049" t="inlineStr">
        <is>
          <t>SÄFFLE</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25271-2019</t>
        </is>
      </c>
      <c r="B1050" s="1" t="n">
        <v>43605</v>
      </c>
      <c r="C1050" s="1" t="n">
        <v>45810</v>
      </c>
      <c r="D1050" t="inlineStr">
        <is>
          <t>VÄRMLANDS LÄN</t>
        </is>
      </c>
      <c r="E1050" t="inlineStr">
        <is>
          <t>SUNNE</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25226-2019</t>
        </is>
      </c>
      <c r="B1051" s="1" t="n">
        <v>43605</v>
      </c>
      <c r="C1051" s="1" t="n">
        <v>45810</v>
      </c>
      <c r="D1051" t="inlineStr">
        <is>
          <t>VÄRMLANDS LÄN</t>
        </is>
      </c>
      <c r="E1051" t="inlineStr">
        <is>
          <t>GRUMS</t>
        </is>
      </c>
      <c r="F1051" t="inlineStr">
        <is>
          <t>Bergvik skog väst AB</t>
        </is>
      </c>
      <c r="G1051" t="n">
        <v>31.3</v>
      </c>
      <c r="H1051" t="n">
        <v>0</v>
      </c>
      <c r="I1051" t="n">
        <v>0</v>
      </c>
      <c r="J1051" t="n">
        <v>0</v>
      </c>
      <c r="K1051" t="n">
        <v>0</v>
      </c>
      <c r="L1051" t="n">
        <v>0</v>
      </c>
      <c r="M1051" t="n">
        <v>0</v>
      </c>
      <c r="N1051" t="n">
        <v>0</v>
      </c>
      <c r="O1051" t="n">
        <v>0</v>
      </c>
      <c r="P1051" t="n">
        <v>0</v>
      </c>
      <c r="Q1051" t="n">
        <v>0</v>
      </c>
      <c r="R1051" s="2" t="inlineStr"/>
    </row>
    <row r="1052" ht="15" customHeight="1">
      <c r="A1052" t="inlineStr">
        <is>
          <t>A 25469-2019</t>
        </is>
      </c>
      <c r="B1052" s="1" t="n">
        <v>43606</v>
      </c>
      <c r="C1052" s="1" t="n">
        <v>45810</v>
      </c>
      <c r="D1052" t="inlineStr">
        <is>
          <t>VÄRMLANDS LÄN</t>
        </is>
      </c>
      <c r="E1052" t="inlineStr">
        <is>
          <t>ÅRJÄNG</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25332-2019</t>
        </is>
      </c>
      <c r="B1053" s="1" t="n">
        <v>43606</v>
      </c>
      <c r="C1053" s="1" t="n">
        <v>45810</v>
      </c>
      <c r="D1053" t="inlineStr">
        <is>
          <t>VÄRMLANDS LÄN</t>
        </is>
      </c>
      <c r="E1053" t="inlineStr">
        <is>
          <t>SÄFFLE</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25406-2019</t>
        </is>
      </c>
      <c r="B1054" s="1" t="n">
        <v>43606</v>
      </c>
      <c r="C1054" s="1" t="n">
        <v>45810</v>
      </c>
      <c r="D1054" t="inlineStr">
        <is>
          <t>VÄRMLANDS LÄN</t>
        </is>
      </c>
      <c r="E1054" t="inlineStr">
        <is>
          <t>EDA</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25476-2019</t>
        </is>
      </c>
      <c r="B1055" s="1" t="n">
        <v>43606</v>
      </c>
      <c r="C1055" s="1" t="n">
        <v>45810</v>
      </c>
      <c r="D1055" t="inlineStr">
        <is>
          <t>VÄRMLANDS LÄN</t>
        </is>
      </c>
      <c r="E1055" t="inlineStr">
        <is>
          <t>ÅRJÄNG</t>
        </is>
      </c>
      <c r="G1055" t="n">
        <v>5.3</v>
      </c>
      <c r="H1055" t="n">
        <v>0</v>
      </c>
      <c r="I1055" t="n">
        <v>0</v>
      </c>
      <c r="J1055" t="n">
        <v>0</v>
      </c>
      <c r="K1055" t="n">
        <v>0</v>
      </c>
      <c r="L1055" t="n">
        <v>0</v>
      </c>
      <c r="M1055" t="n">
        <v>0</v>
      </c>
      <c r="N1055" t="n">
        <v>0</v>
      </c>
      <c r="O1055" t="n">
        <v>0</v>
      </c>
      <c r="P1055" t="n">
        <v>0</v>
      </c>
      <c r="Q1055" t="n">
        <v>0</v>
      </c>
      <c r="R1055" s="2" t="inlineStr"/>
    </row>
    <row r="1056" ht="15" customHeight="1">
      <c r="A1056" t="inlineStr">
        <is>
          <t>A 26484-2019</t>
        </is>
      </c>
      <c r="B1056" s="1" t="n">
        <v>43606</v>
      </c>
      <c r="C1056" s="1" t="n">
        <v>45810</v>
      </c>
      <c r="D1056" t="inlineStr">
        <is>
          <t>VÄRMLANDS LÄN</t>
        </is>
      </c>
      <c r="E1056" t="inlineStr">
        <is>
          <t>SÄFFLE</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26488-2019</t>
        </is>
      </c>
      <c r="B1057" s="1" t="n">
        <v>43606</v>
      </c>
      <c r="C1057" s="1" t="n">
        <v>45810</v>
      </c>
      <c r="D1057" t="inlineStr">
        <is>
          <t>VÄRMLANDS LÄN</t>
        </is>
      </c>
      <c r="E1057" t="inlineStr">
        <is>
          <t>ÅRJÄNG</t>
        </is>
      </c>
      <c r="G1057" t="n">
        <v>6.7</v>
      </c>
      <c r="H1057" t="n">
        <v>0</v>
      </c>
      <c r="I1057" t="n">
        <v>0</v>
      </c>
      <c r="J1057" t="n">
        <v>0</v>
      </c>
      <c r="K1057" t="n">
        <v>0</v>
      </c>
      <c r="L1057" t="n">
        <v>0</v>
      </c>
      <c r="M1057" t="n">
        <v>0</v>
      </c>
      <c r="N1057" t="n">
        <v>0</v>
      </c>
      <c r="O1057" t="n">
        <v>0</v>
      </c>
      <c r="P1057" t="n">
        <v>0</v>
      </c>
      <c r="Q1057" t="n">
        <v>0</v>
      </c>
      <c r="R1057" s="2" t="inlineStr"/>
    </row>
    <row r="1058" ht="15" customHeight="1">
      <c r="A1058" t="inlineStr">
        <is>
          <t>A 25310-2019</t>
        </is>
      </c>
      <c r="B1058" s="1" t="n">
        <v>43606</v>
      </c>
      <c r="C1058" s="1" t="n">
        <v>45810</v>
      </c>
      <c r="D1058" t="inlineStr">
        <is>
          <t>VÄRMLANDS LÄN</t>
        </is>
      </c>
      <c r="E1058" t="inlineStr">
        <is>
          <t>KARLSTAD</t>
        </is>
      </c>
      <c r="G1058" t="n">
        <v>15.8</v>
      </c>
      <c r="H1058" t="n">
        <v>0</v>
      </c>
      <c r="I1058" t="n">
        <v>0</v>
      </c>
      <c r="J1058" t="n">
        <v>0</v>
      </c>
      <c r="K1058" t="n">
        <v>0</v>
      </c>
      <c r="L1058" t="n">
        <v>0</v>
      </c>
      <c r="M1058" t="n">
        <v>0</v>
      </c>
      <c r="N1058" t="n">
        <v>0</v>
      </c>
      <c r="O1058" t="n">
        <v>0</v>
      </c>
      <c r="P1058" t="n">
        <v>0</v>
      </c>
      <c r="Q1058" t="n">
        <v>0</v>
      </c>
      <c r="R1058" s="2" t="inlineStr"/>
    </row>
    <row r="1059" ht="15" customHeight="1">
      <c r="A1059" t="inlineStr">
        <is>
          <t>A 26501-2019</t>
        </is>
      </c>
      <c r="B1059" s="1" t="n">
        <v>43606</v>
      </c>
      <c r="C1059" s="1" t="n">
        <v>45810</v>
      </c>
      <c r="D1059" t="inlineStr">
        <is>
          <t>VÄRMLANDS LÄN</t>
        </is>
      </c>
      <c r="E1059" t="inlineStr">
        <is>
          <t>SÄFFLE</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26480-2019</t>
        </is>
      </c>
      <c r="B1060" s="1" t="n">
        <v>43606</v>
      </c>
      <c r="C1060" s="1" t="n">
        <v>45810</v>
      </c>
      <c r="D1060" t="inlineStr">
        <is>
          <t>VÄRMLANDS LÄN</t>
        </is>
      </c>
      <c r="E1060" t="inlineStr">
        <is>
          <t>SÄFFLE</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25439-2019</t>
        </is>
      </c>
      <c r="B1061" s="1" t="n">
        <v>43606</v>
      </c>
      <c r="C1061" s="1" t="n">
        <v>45810</v>
      </c>
      <c r="D1061" t="inlineStr">
        <is>
          <t>VÄRMLANDS LÄN</t>
        </is>
      </c>
      <c r="E1061" t="inlineStr">
        <is>
          <t>EDA</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25311-2019</t>
        </is>
      </c>
      <c r="B1062" s="1" t="n">
        <v>43606</v>
      </c>
      <c r="C1062" s="1" t="n">
        <v>45810</v>
      </c>
      <c r="D1062" t="inlineStr">
        <is>
          <t>VÄRMLANDS LÄN</t>
        </is>
      </c>
      <c r="E1062" t="inlineStr">
        <is>
          <t>KARLSTAD</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25648-2019</t>
        </is>
      </c>
      <c r="B1063" s="1" t="n">
        <v>43607</v>
      </c>
      <c r="C1063" s="1" t="n">
        <v>45810</v>
      </c>
      <c r="D1063" t="inlineStr">
        <is>
          <t>VÄRMLANDS LÄN</t>
        </is>
      </c>
      <c r="E1063" t="inlineStr">
        <is>
          <t>KARLSTAD</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25561-2019</t>
        </is>
      </c>
      <c r="B1064" s="1" t="n">
        <v>43607</v>
      </c>
      <c r="C1064" s="1" t="n">
        <v>45810</v>
      </c>
      <c r="D1064" t="inlineStr">
        <is>
          <t>VÄRMLANDS LÄN</t>
        </is>
      </c>
      <c r="E1064" t="inlineStr">
        <is>
          <t>ÅRJÄNG</t>
        </is>
      </c>
      <c r="G1064" t="n">
        <v>6.3</v>
      </c>
      <c r="H1064" t="n">
        <v>0</v>
      </c>
      <c r="I1064" t="n">
        <v>0</v>
      </c>
      <c r="J1064" t="n">
        <v>0</v>
      </c>
      <c r="K1064" t="n">
        <v>0</v>
      </c>
      <c r="L1064" t="n">
        <v>0</v>
      </c>
      <c r="M1064" t="n">
        <v>0</v>
      </c>
      <c r="N1064" t="n">
        <v>0</v>
      </c>
      <c r="O1064" t="n">
        <v>0</v>
      </c>
      <c r="P1064" t="n">
        <v>0</v>
      </c>
      <c r="Q1064" t="n">
        <v>0</v>
      </c>
      <c r="R1064" s="2" t="inlineStr"/>
    </row>
    <row r="1065" ht="15" customHeight="1">
      <c r="A1065" t="inlineStr">
        <is>
          <t>A 25638-2019</t>
        </is>
      </c>
      <c r="B1065" s="1" t="n">
        <v>43607</v>
      </c>
      <c r="C1065" s="1" t="n">
        <v>45810</v>
      </c>
      <c r="D1065" t="inlineStr">
        <is>
          <t>VÄRMLANDS LÄN</t>
        </is>
      </c>
      <c r="E1065" t="inlineStr">
        <is>
          <t>KARLSTAD</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25692-2019</t>
        </is>
      </c>
      <c r="B1066" s="1" t="n">
        <v>43607</v>
      </c>
      <c r="C1066" s="1" t="n">
        <v>45810</v>
      </c>
      <c r="D1066" t="inlineStr">
        <is>
          <t>VÄRMLANDS LÄN</t>
        </is>
      </c>
      <c r="E1066" t="inlineStr">
        <is>
          <t>SÄFFLE</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25564-2019</t>
        </is>
      </c>
      <c r="B1067" s="1" t="n">
        <v>43607</v>
      </c>
      <c r="C1067" s="1" t="n">
        <v>45810</v>
      </c>
      <c r="D1067" t="inlineStr">
        <is>
          <t>VÄRMLANDS LÄN</t>
        </is>
      </c>
      <c r="E1067" t="inlineStr">
        <is>
          <t>SUNNE</t>
        </is>
      </c>
      <c r="F1067" t="inlineStr">
        <is>
          <t>Bergvik skog väst AB</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25750-2019</t>
        </is>
      </c>
      <c r="B1068" s="1" t="n">
        <v>43608</v>
      </c>
      <c r="C1068" s="1" t="n">
        <v>45810</v>
      </c>
      <c r="D1068" t="inlineStr">
        <is>
          <t>VÄRMLANDS LÄN</t>
        </is>
      </c>
      <c r="E1068" t="inlineStr">
        <is>
          <t>ÅRJÄNG</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25769-2019</t>
        </is>
      </c>
      <c r="B1069" s="1" t="n">
        <v>43608</v>
      </c>
      <c r="C1069" s="1" t="n">
        <v>45810</v>
      </c>
      <c r="D1069" t="inlineStr">
        <is>
          <t>VÄRMLANDS LÄN</t>
        </is>
      </c>
      <c r="E1069" t="inlineStr">
        <is>
          <t>HAGFORS</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25764-2019</t>
        </is>
      </c>
      <c r="B1070" s="1" t="n">
        <v>43608</v>
      </c>
      <c r="C1070" s="1" t="n">
        <v>45810</v>
      </c>
      <c r="D1070" t="inlineStr">
        <is>
          <t>VÄRMLANDS LÄN</t>
        </is>
      </c>
      <c r="E1070" t="inlineStr">
        <is>
          <t>SUNNE</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25782-2019</t>
        </is>
      </c>
      <c r="B1071" s="1" t="n">
        <v>43608</v>
      </c>
      <c r="C1071" s="1" t="n">
        <v>45810</v>
      </c>
      <c r="D1071" t="inlineStr">
        <is>
          <t>VÄRMLANDS LÄN</t>
        </is>
      </c>
      <c r="E1071" t="inlineStr">
        <is>
          <t>HAGFORS</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25765-2019</t>
        </is>
      </c>
      <c r="B1072" s="1" t="n">
        <v>43608</v>
      </c>
      <c r="C1072" s="1" t="n">
        <v>45810</v>
      </c>
      <c r="D1072" t="inlineStr">
        <is>
          <t>VÄRMLANDS LÄN</t>
        </is>
      </c>
      <c r="E1072" t="inlineStr">
        <is>
          <t>HAGFORS</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25784-2019</t>
        </is>
      </c>
      <c r="B1073" s="1" t="n">
        <v>43608</v>
      </c>
      <c r="C1073" s="1" t="n">
        <v>45810</v>
      </c>
      <c r="D1073" t="inlineStr">
        <is>
          <t>VÄRMLANDS LÄN</t>
        </is>
      </c>
      <c r="E1073" t="inlineStr">
        <is>
          <t>HAGFORS</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25884-2019</t>
        </is>
      </c>
      <c r="B1074" s="1" t="n">
        <v>43608</v>
      </c>
      <c r="C1074" s="1" t="n">
        <v>45810</v>
      </c>
      <c r="D1074" t="inlineStr">
        <is>
          <t>VÄRMLANDS LÄN</t>
        </is>
      </c>
      <c r="E1074" t="inlineStr">
        <is>
          <t>EDA</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26844-2019</t>
        </is>
      </c>
      <c r="B1075" s="1" t="n">
        <v>43608</v>
      </c>
      <c r="C1075" s="1" t="n">
        <v>45810</v>
      </c>
      <c r="D1075" t="inlineStr">
        <is>
          <t>VÄRMLANDS LÄN</t>
        </is>
      </c>
      <c r="E1075" t="inlineStr">
        <is>
          <t>KARLSTAD</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25759-2019</t>
        </is>
      </c>
      <c r="B1076" s="1" t="n">
        <v>43608</v>
      </c>
      <c r="C1076" s="1" t="n">
        <v>45810</v>
      </c>
      <c r="D1076" t="inlineStr">
        <is>
          <t>VÄRMLANDS LÄN</t>
        </is>
      </c>
      <c r="E1076" t="inlineStr">
        <is>
          <t>SUNNE</t>
        </is>
      </c>
      <c r="G1076" t="n">
        <v>5.4</v>
      </c>
      <c r="H1076" t="n">
        <v>0</v>
      </c>
      <c r="I1076" t="n">
        <v>0</v>
      </c>
      <c r="J1076" t="n">
        <v>0</v>
      </c>
      <c r="K1076" t="n">
        <v>0</v>
      </c>
      <c r="L1076" t="n">
        <v>0</v>
      </c>
      <c r="M1076" t="n">
        <v>0</v>
      </c>
      <c r="N1076" t="n">
        <v>0</v>
      </c>
      <c r="O1076" t="n">
        <v>0</v>
      </c>
      <c r="P1076" t="n">
        <v>0</v>
      </c>
      <c r="Q1076" t="n">
        <v>0</v>
      </c>
      <c r="R1076" s="2" t="inlineStr"/>
    </row>
    <row r="1077" ht="15" customHeight="1">
      <c r="A1077" t="inlineStr">
        <is>
          <t>A 26087-2019</t>
        </is>
      </c>
      <c r="B1077" s="1" t="n">
        <v>43609</v>
      </c>
      <c r="C1077" s="1" t="n">
        <v>45810</v>
      </c>
      <c r="D1077" t="inlineStr">
        <is>
          <t>VÄRMLANDS LÄN</t>
        </is>
      </c>
      <c r="E1077" t="inlineStr">
        <is>
          <t>EDA</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26274-2019</t>
        </is>
      </c>
      <c r="B1078" s="1" t="n">
        <v>43611</v>
      </c>
      <c r="C1078" s="1" t="n">
        <v>45810</v>
      </c>
      <c r="D1078" t="inlineStr">
        <is>
          <t>VÄRMLANDS LÄN</t>
        </is>
      </c>
      <c r="E1078" t="inlineStr">
        <is>
          <t>FILIPSTAD</t>
        </is>
      </c>
      <c r="F1078" t="inlineStr">
        <is>
          <t>Bergvik skog väst AB</t>
        </is>
      </c>
      <c r="G1078" t="n">
        <v>22.6</v>
      </c>
      <c r="H1078" t="n">
        <v>0</v>
      </c>
      <c r="I1078" t="n">
        <v>0</v>
      </c>
      <c r="J1078" t="n">
        <v>0</v>
      </c>
      <c r="K1078" t="n">
        <v>0</v>
      </c>
      <c r="L1078" t="n">
        <v>0</v>
      </c>
      <c r="M1078" t="n">
        <v>0</v>
      </c>
      <c r="N1078" t="n">
        <v>0</v>
      </c>
      <c r="O1078" t="n">
        <v>0</v>
      </c>
      <c r="P1078" t="n">
        <v>0</v>
      </c>
      <c r="Q1078" t="n">
        <v>0</v>
      </c>
      <c r="R1078" s="2" t="inlineStr"/>
    </row>
    <row r="1079" ht="15" customHeight="1">
      <c r="A1079" t="inlineStr">
        <is>
          <t>A 26289-2019</t>
        </is>
      </c>
      <c r="B1079" s="1" t="n">
        <v>43611</v>
      </c>
      <c r="C1079" s="1" t="n">
        <v>45810</v>
      </c>
      <c r="D1079" t="inlineStr">
        <is>
          <t>VÄRMLANDS LÄN</t>
        </is>
      </c>
      <c r="E1079" t="inlineStr">
        <is>
          <t>FILIPSTAD</t>
        </is>
      </c>
      <c r="F1079" t="inlineStr">
        <is>
          <t>Bergvik skog väst AB</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26280-2019</t>
        </is>
      </c>
      <c r="B1080" s="1" t="n">
        <v>43611</v>
      </c>
      <c r="C1080" s="1" t="n">
        <v>45810</v>
      </c>
      <c r="D1080" t="inlineStr">
        <is>
          <t>VÄRMLANDS LÄN</t>
        </is>
      </c>
      <c r="E1080" t="inlineStr">
        <is>
          <t>FILIPSTAD</t>
        </is>
      </c>
      <c r="F1080" t="inlineStr">
        <is>
          <t>Bergvik skog väst AB</t>
        </is>
      </c>
      <c r="G1080" t="n">
        <v>22.8</v>
      </c>
      <c r="H1080" t="n">
        <v>0</v>
      </c>
      <c r="I1080" t="n">
        <v>0</v>
      </c>
      <c r="J1080" t="n">
        <v>0</v>
      </c>
      <c r="K1080" t="n">
        <v>0</v>
      </c>
      <c r="L1080" t="n">
        <v>0</v>
      </c>
      <c r="M1080" t="n">
        <v>0</v>
      </c>
      <c r="N1080" t="n">
        <v>0</v>
      </c>
      <c r="O1080" t="n">
        <v>0</v>
      </c>
      <c r="P1080" t="n">
        <v>0</v>
      </c>
      <c r="Q1080" t="n">
        <v>0</v>
      </c>
      <c r="R1080" s="2" t="inlineStr"/>
    </row>
    <row r="1081" ht="15" customHeight="1">
      <c r="A1081" t="inlineStr">
        <is>
          <t>A 26287-2019</t>
        </is>
      </c>
      <c r="B1081" s="1" t="n">
        <v>43611</v>
      </c>
      <c r="C1081" s="1" t="n">
        <v>45810</v>
      </c>
      <c r="D1081" t="inlineStr">
        <is>
          <t>VÄRMLANDS LÄN</t>
        </is>
      </c>
      <c r="E1081" t="inlineStr">
        <is>
          <t>FILIPSTAD</t>
        </is>
      </c>
      <c r="F1081" t="inlineStr">
        <is>
          <t>Bergvik skog väst AB</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26412-2019</t>
        </is>
      </c>
      <c r="B1082" s="1" t="n">
        <v>43612</v>
      </c>
      <c r="C1082" s="1" t="n">
        <v>45810</v>
      </c>
      <c r="D1082" t="inlineStr">
        <is>
          <t>VÄRMLANDS LÄN</t>
        </is>
      </c>
      <c r="E1082" t="inlineStr">
        <is>
          <t>FORSHAGA</t>
        </is>
      </c>
      <c r="G1082" t="n">
        <v>10.3</v>
      </c>
      <c r="H1082" t="n">
        <v>0</v>
      </c>
      <c r="I1082" t="n">
        <v>0</v>
      </c>
      <c r="J1082" t="n">
        <v>0</v>
      </c>
      <c r="K1082" t="n">
        <v>0</v>
      </c>
      <c r="L1082" t="n">
        <v>0</v>
      </c>
      <c r="M1082" t="n">
        <v>0</v>
      </c>
      <c r="N1082" t="n">
        <v>0</v>
      </c>
      <c r="O1082" t="n">
        <v>0</v>
      </c>
      <c r="P1082" t="n">
        <v>0</v>
      </c>
      <c r="Q1082" t="n">
        <v>0</v>
      </c>
      <c r="R1082" s="2" t="inlineStr"/>
    </row>
    <row r="1083" ht="15" customHeight="1">
      <c r="A1083" t="inlineStr">
        <is>
          <t>A 26415-2019</t>
        </is>
      </c>
      <c r="B1083" s="1" t="n">
        <v>43612</v>
      </c>
      <c r="C1083" s="1" t="n">
        <v>45810</v>
      </c>
      <c r="D1083" t="inlineStr">
        <is>
          <t>VÄRMLANDS LÄN</t>
        </is>
      </c>
      <c r="E1083" t="inlineStr">
        <is>
          <t>HAGFORS</t>
        </is>
      </c>
      <c r="F1083" t="inlineStr">
        <is>
          <t>Bergvik skog väst AB</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26330-2019</t>
        </is>
      </c>
      <c r="B1084" s="1" t="n">
        <v>43612</v>
      </c>
      <c r="C1084" s="1" t="n">
        <v>45810</v>
      </c>
      <c r="D1084" t="inlineStr">
        <is>
          <t>VÄRMLANDS LÄN</t>
        </is>
      </c>
      <c r="E1084" t="inlineStr">
        <is>
          <t>SUNNE</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26509-2019</t>
        </is>
      </c>
      <c r="B1085" s="1" t="n">
        <v>43612</v>
      </c>
      <c r="C1085" s="1" t="n">
        <v>45810</v>
      </c>
      <c r="D1085" t="inlineStr">
        <is>
          <t>VÄRMLANDS LÄN</t>
        </is>
      </c>
      <c r="E1085" t="inlineStr">
        <is>
          <t>FORSHAGA</t>
        </is>
      </c>
      <c r="G1085" t="n">
        <v>3.9</v>
      </c>
      <c r="H1085" t="n">
        <v>0</v>
      </c>
      <c r="I1085" t="n">
        <v>0</v>
      </c>
      <c r="J1085" t="n">
        <v>0</v>
      </c>
      <c r="K1085" t="n">
        <v>0</v>
      </c>
      <c r="L1085" t="n">
        <v>0</v>
      </c>
      <c r="M1085" t="n">
        <v>0</v>
      </c>
      <c r="N1085" t="n">
        <v>0</v>
      </c>
      <c r="O1085" t="n">
        <v>0</v>
      </c>
      <c r="P1085" t="n">
        <v>0</v>
      </c>
      <c r="Q1085" t="n">
        <v>0</v>
      </c>
      <c r="R1085" s="2" t="inlineStr"/>
    </row>
    <row r="1086" ht="15" customHeight="1">
      <c r="A1086" t="inlineStr">
        <is>
          <t>A 26527-2019</t>
        </is>
      </c>
      <c r="B1086" s="1" t="n">
        <v>43612</v>
      </c>
      <c r="C1086" s="1" t="n">
        <v>45810</v>
      </c>
      <c r="D1086" t="inlineStr">
        <is>
          <t>VÄRMLANDS LÄN</t>
        </is>
      </c>
      <c r="E1086" t="inlineStr">
        <is>
          <t>ARVIKA</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26493-2019</t>
        </is>
      </c>
      <c r="B1087" s="1" t="n">
        <v>43612</v>
      </c>
      <c r="C1087" s="1" t="n">
        <v>45810</v>
      </c>
      <c r="D1087" t="inlineStr">
        <is>
          <t>VÄRMLANDS LÄN</t>
        </is>
      </c>
      <c r="E1087" t="inlineStr">
        <is>
          <t>TORSBY</t>
        </is>
      </c>
      <c r="F1087" t="inlineStr">
        <is>
          <t>Bergvik skog väst AB</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26372-2019</t>
        </is>
      </c>
      <c r="B1088" s="1" t="n">
        <v>43612</v>
      </c>
      <c r="C1088" s="1" t="n">
        <v>45810</v>
      </c>
      <c r="D1088" t="inlineStr">
        <is>
          <t>VÄRMLANDS LÄN</t>
        </is>
      </c>
      <c r="E1088" t="inlineStr">
        <is>
          <t>ARVIKA</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26552-2019</t>
        </is>
      </c>
      <c r="B1089" s="1" t="n">
        <v>43612</v>
      </c>
      <c r="C1089" s="1" t="n">
        <v>45810</v>
      </c>
      <c r="D1089" t="inlineStr">
        <is>
          <t>VÄRMLANDS LÄN</t>
        </is>
      </c>
      <c r="E1089" t="inlineStr">
        <is>
          <t>HAGFORS</t>
        </is>
      </c>
      <c r="F1089" t="inlineStr">
        <is>
          <t>Bergvik skog väst AB</t>
        </is>
      </c>
      <c r="G1089" t="n">
        <v>8.800000000000001</v>
      </c>
      <c r="H1089" t="n">
        <v>0</v>
      </c>
      <c r="I1089" t="n">
        <v>0</v>
      </c>
      <c r="J1089" t="n">
        <v>0</v>
      </c>
      <c r="K1089" t="n">
        <v>0</v>
      </c>
      <c r="L1089" t="n">
        <v>0</v>
      </c>
      <c r="M1089" t="n">
        <v>0</v>
      </c>
      <c r="N1089" t="n">
        <v>0</v>
      </c>
      <c r="O1089" t="n">
        <v>0</v>
      </c>
      <c r="P1089" t="n">
        <v>0</v>
      </c>
      <c r="Q1089" t="n">
        <v>0</v>
      </c>
      <c r="R1089" s="2" t="inlineStr"/>
    </row>
    <row r="1090" ht="15" customHeight="1">
      <c r="A1090" t="inlineStr">
        <is>
          <t>A 27805-2019</t>
        </is>
      </c>
      <c r="B1090" s="1" t="n">
        <v>43612</v>
      </c>
      <c r="C1090" s="1" t="n">
        <v>45810</v>
      </c>
      <c r="D1090" t="inlineStr">
        <is>
          <t>VÄRMLANDS LÄN</t>
        </is>
      </c>
      <c r="E1090" t="inlineStr">
        <is>
          <t>GRUMS</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26622-2019</t>
        </is>
      </c>
      <c r="B1091" s="1" t="n">
        <v>43612</v>
      </c>
      <c r="C1091" s="1" t="n">
        <v>45810</v>
      </c>
      <c r="D1091" t="inlineStr">
        <is>
          <t>VÄRMLANDS LÄN</t>
        </is>
      </c>
      <c r="E1091" t="inlineStr">
        <is>
          <t>SÄFFLE</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27907-2019</t>
        </is>
      </c>
      <c r="B1092" s="1" t="n">
        <v>43612</v>
      </c>
      <c r="C1092" s="1" t="n">
        <v>45810</v>
      </c>
      <c r="D1092" t="inlineStr">
        <is>
          <t>VÄRMLANDS LÄN</t>
        </is>
      </c>
      <c r="E1092" t="inlineStr">
        <is>
          <t>TORSBY</t>
        </is>
      </c>
      <c r="G1092" t="n">
        <v>7.5</v>
      </c>
      <c r="H1092" t="n">
        <v>0</v>
      </c>
      <c r="I1092" t="n">
        <v>0</v>
      </c>
      <c r="J1092" t="n">
        <v>0</v>
      </c>
      <c r="K1092" t="n">
        <v>0</v>
      </c>
      <c r="L1092" t="n">
        <v>0</v>
      </c>
      <c r="M1092" t="n">
        <v>0</v>
      </c>
      <c r="N1092" t="n">
        <v>0</v>
      </c>
      <c r="O1092" t="n">
        <v>0</v>
      </c>
      <c r="P1092" t="n">
        <v>0</v>
      </c>
      <c r="Q1092" t="n">
        <v>0</v>
      </c>
      <c r="R1092" s="2" t="inlineStr"/>
    </row>
    <row r="1093" ht="15" customHeight="1">
      <c r="A1093" t="inlineStr">
        <is>
          <t>A 26658-2019</t>
        </is>
      </c>
      <c r="B1093" s="1" t="n">
        <v>43613</v>
      </c>
      <c r="C1093" s="1" t="n">
        <v>45810</v>
      </c>
      <c r="D1093" t="inlineStr">
        <is>
          <t>VÄRMLANDS LÄN</t>
        </is>
      </c>
      <c r="E1093" t="inlineStr">
        <is>
          <t>GRUMS</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28062-2019</t>
        </is>
      </c>
      <c r="B1094" s="1" t="n">
        <v>43613</v>
      </c>
      <c r="C1094" s="1" t="n">
        <v>45810</v>
      </c>
      <c r="D1094" t="inlineStr">
        <is>
          <t>VÄRMLANDS LÄN</t>
        </is>
      </c>
      <c r="E1094" t="inlineStr">
        <is>
          <t>GRUMS</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26653-2019</t>
        </is>
      </c>
      <c r="B1095" s="1" t="n">
        <v>43613</v>
      </c>
      <c r="C1095" s="1" t="n">
        <v>45810</v>
      </c>
      <c r="D1095" t="inlineStr">
        <is>
          <t>VÄRMLANDS LÄN</t>
        </is>
      </c>
      <c r="E1095" t="inlineStr">
        <is>
          <t>ARVIKA</t>
        </is>
      </c>
      <c r="F1095" t="inlineStr">
        <is>
          <t>Bergvik skog väst AB</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26719-2019</t>
        </is>
      </c>
      <c r="B1096" s="1" t="n">
        <v>43613</v>
      </c>
      <c r="C1096" s="1" t="n">
        <v>45810</v>
      </c>
      <c r="D1096" t="inlineStr">
        <is>
          <t>VÄRMLANDS LÄN</t>
        </is>
      </c>
      <c r="E1096" t="inlineStr">
        <is>
          <t>ARVIKA</t>
        </is>
      </c>
      <c r="F1096" t="inlineStr">
        <is>
          <t>Bergvik skog väst AB</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26783-2019</t>
        </is>
      </c>
      <c r="B1097" s="1" t="n">
        <v>43613</v>
      </c>
      <c r="C1097" s="1" t="n">
        <v>45810</v>
      </c>
      <c r="D1097" t="inlineStr">
        <is>
          <t>VÄRMLANDS LÄN</t>
        </is>
      </c>
      <c r="E1097" t="inlineStr">
        <is>
          <t>TORSBY</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27014-2019</t>
        </is>
      </c>
      <c r="B1098" s="1" t="n">
        <v>43614</v>
      </c>
      <c r="C1098" s="1" t="n">
        <v>45810</v>
      </c>
      <c r="D1098" t="inlineStr">
        <is>
          <t>VÄRMLANDS LÄN</t>
        </is>
      </c>
      <c r="E1098" t="inlineStr">
        <is>
          <t>ÅRJÄNG</t>
        </is>
      </c>
      <c r="G1098" t="n">
        <v>4.6</v>
      </c>
      <c r="H1098" t="n">
        <v>0</v>
      </c>
      <c r="I1098" t="n">
        <v>0</v>
      </c>
      <c r="J1098" t="n">
        <v>0</v>
      </c>
      <c r="K1098" t="n">
        <v>0</v>
      </c>
      <c r="L1098" t="n">
        <v>0</v>
      </c>
      <c r="M1098" t="n">
        <v>0</v>
      </c>
      <c r="N1098" t="n">
        <v>0</v>
      </c>
      <c r="O1098" t="n">
        <v>0</v>
      </c>
      <c r="P1098" t="n">
        <v>0</v>
      </c>
      <c r="Q1098" t="n">
        <v>0</v>
      </c>
      <c r="R1098" s="2" t="inlineStr"/>
    </row>
    <row r="1099" ht="15" customHeight="1">
      <c r="A1099" t="inlineStr">
        <is>
          <t>A 27199-2019</t>
        </is>
      </c>
      <c r="B1099" s="1" t="n">
        <v>43614</v>
      </c>
      <c r="C1099" s="1" t="n">
        <v>45810</v>
      </c>
      <c r="D1099" t="inlineStr">
        <is>
          <t>VÄRMLANDS LÄN</t>
        </is>
      </c>
      <c r="E1099" t="inlineStr">
        <is>
          <t>FILIPSTAD</t>
        </is>
      </c>
      <c r="G1099" t="n">
        <v>5.7</v>
      </c>
      <c r="H1099" t="n">
        <v>0</v>
      </c>
      <c r="I1099" t="n">
        <v>0</v>
      </c>
      <c r="J1099" t="n">
        <v>0</v>
      </c>
      <c r="K1099" t="n">
        <v>0</v>
      </c>
      <c r="L1099" t="n">
        <v>0</v>
      </c>
      <c r="M1099" t="n">
        <v>0</v>
      </c>
      <c r="N1099" t="n">
        <v>0</v>
      </c>
      <c r="O1099" t="n">
        <v>0</v>
      </c>
      <c r="P1099" t="n">
        <v>0</v>
      </c>
      <c r="Q1099" t="n">
        <v>0</v>
      </c>
      <c r="R1099" s="2" t="inlineStr"/>
    </row>
    <row r="1100" ht="15" customHeight="1">
      <c r="A1100" t="inlineStr">
        <is>
          <t>A 27110-2019</t>
        </is>
      </c>
      <c r="B1100" s="1" t="n">
        <v>43614</v>
      </c>
      <c r="C1100" s="1" t="n">
        <v>45810</v>
      </c>
      <c r="D1100" t="inlineStr">
        <is>
          <t>VÄRMLANDS LÄN</t>
        </is>
      </c>
      <c r="E1100" t="inlineStr">
        <is>
          <t>MUNKFORS</t>
        </is>
      </c>
      <c r="F1100" t="inlineStr">
        <is>
          <t>Bergvik skog väst AB</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28727-2019</t>
        </is>
      </c>
      <c r="B1101" s="1" t="n">
        <v>43614</v>
      </c>
      <c r="C1101" s="1" t="n">
        <v>45810</v>
      </c>
      <c r="D1101" t="inlineStr">
        <is>
          <t>VÄRMLANDS LÄN</t>
        </is>
      </c>
      <c r="E1101" t="inlineStr">
        <is>
          <t>ÅRJÄNG</t>
        </is>
      </c>
      <c r="G1101" t="n">
        <v>6.3</v>
      </c>
      <c r="H1101" t="n">
        <v>0</v>
      </c>
      <c r="I1101" t="n">
        <v>0</v>
      </c>
      <c r="J1101" t="n">
        <v>0</v>
      </c>
      <c r="K1101" t="n">
        <v>0</v>
      </c>
      <c r="L1101" t="n">
        <v>0</v>
      </c>
      <c r="M1101" t="n">
        <v>0</v>
      </c>
      <c r="N1101" t="n">
        <v>0</v>
      </c>
      <c r="O1101" t="n">
        <v>0</v>
      </c>
      <c r="P1101" t="n">
        <v>0</v>
      </c>
      <c r="Q1101" t="n">
        <v>0</v>
      </c>
      <c r="R1101" s="2" t="inlineStr"/>
    </row>
    <row r="1102" ht="15" customHeight="1">
      <c r="A1102" t="inlineStr">
        <is>
          <t>A 27172-2019</t>
        </is>
      </c>
      <c r="B1102" s="1" t="n">
        <v>43614</v>
      </c>
      <c r="C1102" s="1" t="n">
        <v>45810</v>
      </c>
      <c r="D1102" t="inlineStr">
        <is>
          <t>VÄRMLANDS LÄN</t>
        </is>
      </c>
      <c r="E1102" t="inlineStr">
        <is>
          <t>GRUMS</t>
        </is>
      </c>
      <c r="G1102" t="n">
        <v>15.2</v>
      </c>
      <c r="H1102" t="n">
        <v>0</v>
      </c>
      <c r="I1102" t="n">
        <v>0</v>
      </c>
      <c r="J1102" t="n">
        <v>0</v>
      </c>
      <c r="K1102" t="n">
        <v>0</v>
      </c>
      <c r="L1102" t="n">
        <v>0</v>
      </c>
      <c r="M1102" t="n">
        <v>0</v>
      </c>
      <c r="N1102" t="n">
        <v>0</v>
      </c>
      <c r="O1102" t="n">
        <v>0</v>
      </c>
      <c r="P1102" t="n">
        <v>0</v>
      </c>
      <c r="Q1102" t="n">
        <v>0</v>
      </c>
      <c r="R1102" s="2" t="inlineStr"/>
    </row>
    <row r="1103" ht="15" customHeight="1">
      <c r="A1103" t="inlineStr">
        <is>
          <t>A 27076-2019</t>
        </is>
      </c>
      <c r="B1103" s="1" t="n">
        <v>43614</v>
      </c>
      <c r="C1103" s="1" t="n">
        <v>45810</v>
      </c>
      <c r="D1103" t="inlineStr">
        <is>
          <t>VÄRMLANDS LÄN</t>
        </is>
      </c>
      <c r="E1103" t="inlineStr">
        <is>
          <t>ARVIKA</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27266-2019</t>
        </is>
      </c>
      <c r="B1104" s="1" t="n">
        <v>43615</v>
      </c>
      <c r="C1104" s="1" t="n">
        <v>45810</v>
      </c>
      <c r="D1104" t="inlineStr">
        <is>
          <t>VÄRMLANDS LÄN</t>
        </is>
      </c>
      <c r="E1104" t="inlineStr">
        <is>
          <t>SÄFFLE</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27375-2019</t>
        </is>
      </c>
      <c r="B1105" s="1" t="n">
        <v>43616</v>
      </c>
      <c r="C1105" s="1" t="n">
        <v>45810</v>
      </c>
      <c r="D1105" t="inlineStr">
        <is>
          <t>VÄRMLANDS LÄN</t>
        </is>
      </c>
      <c r="E1105" t="inlineStr">
        <is>
          <t>KARLSTAD</t>
        </is>
      </c>
      <c r="F1105" t="inlineStr">
        <is>
          <t>Bergvik skog väst AB</t>
        </is>
      </c>
      <c r="G1105" t="n">
        <v>4.4</v>
      </c>
      <c r="H1105" t="n">
        <v>0</v>
      </c>
      <c r="I1105" t="n">
        <v>0</v>
      </c>
      <c r="J1105" t="n">
        <v>0</v>
      </c>
      <c r="K1105" t="n">
        <v>0</v>
      </c>
      <c r="L1105" t="n">
        <v>0</v>
      </c>
      <c r="M1105" t="n">
        <v>0</v>
      </c>
      <c r="N1105" t="n">
        <v>0</v>
      </c>
      <c r="O1105" t="n">
        <v>0</v>
      </c>
      <c r="P1105" t="n">
        <v>0</v>
      </c>
      <c r="Q1105" t="n">
        <v>0</v>
      </c>
      <c r="R1105" s="2" t="inlineStr"/>
    </row>
    <row r="1106" ht="15" customHeight="1">
      <c r="A1106" t="inlineStr">
        <is>
          <t>A 27388-2019</t>
        </is>
      </c>
      <c r="B1106" s="1" t="n">
        <v>43616</v>
      </c>
      <c r="C1106" s="1" t="n">
        <v>45810</v>
      </c>
      <c r="D1106" t="inlineStr">
        <is>
          <t>VÄRMLANDS LÄN</t>
        </is>
      </c>
      <c r="E1106" t="inlineStr">
        <is>
          <t>FILIPSTAD</t>
        </is>
      </c>
      <c r="F1106" t="inlineStr">
        <is>
          <t>Bergvik skog väst AB</t>
        </is>
      </c>
      <c r="G1106" t="n">
        <v>34.4</v>
      </c>
      <c r="H1106" t="n">
        <v>0</v>
      </c>
      <c r="I1106" t="n">
        <v>0</v>
      </c>
      <c r="J1106" t="n">
        <v>0</v>
      </c>
      <c r="K1106" t="n">
        <v>0</v>
      </c>
      <c r="L1106" t="n">
        <v>0</v>
      </c>
      <c r="M1106" t="n">
        <v>0</v>
      </c>
      <c r="N1106" t="n">
        <v>0</v>
      </c>
      <c r="O1106" t="n">
        <v>0</v>
      </c>
      <c r="P1106" t="n">
        <v>0</v>
      </c>
      <c r="Q1106" t="n">
        <v>0</v>
      </c>
      <c r="R1106" s="2" t="inlineStr"/>
    </row>
    <row r="1107" ht="15" customHeight="1">
      <c r="A1107" t="inlineStr">
        <is>
          <t>A 28786-2019</t>
        </is>
      </c>
      <c r="B1107" s="1" t="n">
        <v>43616</v>
      </c>
      <c r="C1107" s="1" t="n">
        <v>45810</v>
      </c>
      <c r="D1107" t="inlineStr">
        <is>
          <t>VÄRMLANDS LÄN</t>
        </is>
      </c>
      <c r="E1107" t="inlineStr">
        <is>
          <t>SUNNE</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28784-2019</t>
        </is>
      </c>
      <c r="B1108" s="1" t="n">
        <v>43616</v>
      </c>
      <c r="C1108" s="1" t="n">
        <v>45810</v>
      </c>
      <c r="D1108" t="inlineStr">
        <is>
          <t>VÄRMLANDS LÄN</t>
        </is>
      </c>
      <c r="E1108" t="inlineStr">
        <is>
          <t>SUNNE</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27430-2019</t>
        </is>
      </c>
      <c r="B1109" s="1" t="n">
        <v>43617</v>
      </c>
      <c r="C1109" s="1" t="n">
        <v>45810</v>
      </c>
      <c r="D1109" t="inlineStr">
        <is>
          <t>VÄRMLANDS LÄN</t>
        </is>
      </c>
      <c r="E1109" t="inlineStr">
        <is>
          <t>FILIPSTAD</t>
        </is>
      </c>
      <c r="F1109" t="inlineStr">
        <is>
          <t>Bergvik skog väst AB</t>
        </is>
      </c>
      <c r="G1109" t="n">
        <v>4.8</v>
      </c>
      <c r="H1109" t="n">
        <v>0</v>
      </c>
      <c r="I1109" t="n">
        <v>0</v>
      </c>
      <c r="J1109" t="n">
        <v>0</v>
      </c>
      <c r="K1109" t="n">
        <v>0</v>
      </c>
      <c r="L1109" t="n">
        <v>0</v>
      </c>
      <c r="M1109" t="n">
        <v>0</v>
      </c>
      <c r="N1109" t="n">
        <v>0</v>
      </c>
      <c r="O1109" t="n">
        <v>0</v>
      </c>
      <c r="P1109" t="n">
        <v>0</v>
      </c>
      <c r="Q1109" t="n">
        <v>0</v>
      </c>
      <c r="R1109" s="2" t="inlineStr"/>
    </row>
    <row r="1110" ht="15" customHeight="1">
      <c r="A1110" t="inlineStr">
        <is>
          <t>A 27711-2019</t>
        </is>
      </c>
      <c r="B1110" s="1" t="n">
        <v>43619</v>
      </c>
      <c r="C1110" s="1" t="n">
        <v>45810</v>
      </c>
      <c r="D1110" t="inlineStr">
        <is>
          <t>VÄRMLANDS LÄN</t>
        </is>
      </c>
      <c r="E1110" t="inlineStr">
        <is>
          <t>TORSBY</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27470-2019</t>
        </is>
      </c>
      <c r="B1111" s="1" t="n">
        <v>43619</v>
      </c>
      <c r="C1111" s="1" t="n">
        <v>45810</v>
      </c>
      <c r="D1111" t="inlineStr">
        <is>
          <t>VÄRMLANDS LÄN</t>
        </is>
      </c>
      <c r="E1111" t="inlineStr">
        <is>
          <t>ÅRJÄNG</t>
        </is>
      </c>
      <c r="G1111" t="n">
        <v>4.6</v>
      </c>
      <c r="H1111" t="n">
        <v>0</v>
      </c>
      <c r="I1111" t="n">
        <v>0</v>
      </c>
      <c r="J1111" t="n">
        <v>0</v>
      </c>
      <c r="K1111" t="n">
        <v>0</v>
      </c>
      <c r="L1111" t="n">
        <v>0</v>
      </c>
      <c r="M1111" t="n">
        <v>0</v>
      </c>
      <c r="N1111" t="n">
        <v>0</v>
      </c>
      <c r="O1111" t="n">
        <v>0</v>
      </c>
      <c r="P1111" t="n">
        <v>0</v>
      </c>
      <c r="Q1111" t="n">
        <v>0</v>
      </c>
      <c r="R1111" s="2" t="inlineStr"/>
    </row>
    <row r="1112" ht="15" customHeight="1">
      <c r="A1112" t="inlineStr">
        <is>
          <t>A 27495-2019</t>
        </is>
      </c>
      <c r="B1112" s="1" t="n">
        <v>43619</v>
      </c>
      <c r="C1112" s="1" t="n">
        <v>45810</v>
      </c>
      <c r="D1112" t="inlineStr">
        <is>
          <t>VÄRMLANDS LÄN</t>
        </is>
      </c>
      <c r="E1112" t="inlineStr">
        <is>
          <t>HAGFORS</t>
        </is>
      </c>
      <c r="F1112" t="inlineStr">
        <is>
          <t>Bergvik skog väst AB</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27682-2019</t>
        </is>
      </c>
      <c r="B1113" s="1" t="n">
        <v>43619</v>
      </c>
      <c r="C1113" s="1" t="n">
        <v>45810</v>
      </c>
      <c r="D1113" t="inlineStr">
        <is>
          <t>VÄRMLANDS LÄN</t>
        </is>
      </c>
      <c r="E1113" t="inlineStr">
        <is>
          <t>TORSBY</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28975-2019</t>
        </is>
      </c>
      <c r="B1114" s="1" t="n">
        <v>43619</v>
      </c>
      <c r="C1114" s="1" t="n">
        <v>45810</v>
      </c>
      <c r="D1114" t="inlineStr">
        <is>
          <t>VÄRMLANDS LÄN</t>
        </is>
      </c>
      <c r="E1114" t="inlineStr">
        <is>
          <t>TORSBY</t>
        </is>
      </c>
      <c r="G1114" t="n">
        <v>6.5</v>
      </c>
      <c r="H1114" t="n">
        <v>0</v>
      </c>
      <c r="I1114" t="n">
        <v>0</v>
      </c>
      <c r="J1114" t="n">
        <v>0</v>
      </c>
      <c r="K1114" t="n">
        <v>0</v>
      </c>
      <c r="L1114" t="n">
        <v>0</v>
      </c>
      <c r="M1114" t="n">
        <v>0</v>
      </c>
      <c r="N1114" t="n">
        <v>0</v>
      </c>
      <c r="O1114" t="n">
        <v>0</v>
      </c>
      <c r="P1114" t="n">
        <v>0</v>
      </c>
      <c r="Q1114" t="n">
        <v>0</v>
      </c>
      <c r="R1114" s="2" t="inlineStr"/>
    </row>
    <row r="1115" ht="15" customHeight="1">
      <c r="A1115" t="inlineStr">
        <is>
          <t>A 27714-2019</t>
        </is>
      </c>
      <c r="B1115" s="1" t="n">
        <v>43619</v>
      </c>
      <c r="C1115" s="1" t="n">
        <v>45810</v>
      </c>
      <c r="D1115" t="inlineStr">
        <is>
          <t>VÄRMLANDS LÄN</t>
        </is>
      </c>
      <c r="E1115" t="inlineStr">
        <is>
          <t>STORFORS</t>
        </is>
      </c>
      <c r="F1115" t="inlineStr">
        <is>
          <t>Bergvik skog väst AB</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28106-2019</t>
        </is>
      </c>
      <c r="B1116" s="1" t="n">
        <v>43621</v>
      </c>
      <c r="C1116" s="1" t="n">
        <v>45810</v>
      </c>
      <c r="D1116" t="inlineStr">
        <is>
          <t>VÄRMLANDS LÄN</t>
        </is>
      </c>
      <c r="E1116" t="inlineStr">
        <is>
          <t>EDA</t>
        </is>
      </c>
      <c r="G1116" t="n">
        <v>3.3</v>
      </c>
      <c r="H1116" t="n">
        <v>0</v>
      </c>
      <c r="I1116" t="n">
        <v>0</v>
      </c>
      <c r="J1116" t="n">
        <v>0</v>
      </c>
      <c r="K1116" t="n">
        <v>0</v>
      </c>
      <c r="L1116" t="n">
        <v>0</v>
      </c>
      <c r="M1116" t="n">
        <v>0</v>
      </c>
      <c r="N1116" t="n">
        <v>0</v>
      </c>
      <c r="O1116" t="n">
        <v>0</v>
      </c>
      <c r="P1116" t="n">
        <v>0</v>
      </c>
      <c r="Q1116" t="n">
        <v>0</v>
      </c>
      <c r="R1116" s="2" t="inlineStr"/>
    </row>
    <row r="1117" ht="15" customHeight="1">
      <c r="A1117" t="inlineStr">
        <is>
          <t>A 28047-2019</t>
        </is>
      </c>
      <c r="B1117" s="1" t="n">
        <v>43621</v>
      </c>
      <c r="C1117" s="1" t="n">
        <v>45810</v>
      </c>
      <c r="D1117" t="inlineStr">
        <is>
          <t>VÄRMLANDS LÄN</t>
        </is>
      </c>
      <c r="E1117" t="inlineStr">
        <is>
          <t>ÅRJÄNG</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28487-2019</t>
        </is>
      </c>
      <c r="B1118" s="1" t="n">
        <v>43621</v>
      </c>
      <c r="C1118" s="1" t="n">
        <v>45810</v>
      </c>
      <c r="D1118" t="inlineStr">
        <is>
          <t>VÄRMLANDS LÄN</t>
        </is>
      </c>
      <c r="E1118" t="inlineStr">
        <is>
          <t>TORSBY</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29043-2019</t>
        </is>
      </c>
      <c r="B1119" s="1" t="n">
        <v>43621</v>
      </c>
      <c r="C1119" s="1" t="n">
        <v>45810</v>
      </c>
      <c r="D1119" t="inlineStr">
        <is>
          <t>VÄRMLANDS LÄN</t>
        </is>
      </c>
      <c r="E1119" t="inlineStr">
        <is>
          <t>ÅRJÄNG</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28267-2019</t>
        </is>
      </c>
      <c r="B1120" s="1" t="n">
        <v>43623</v>
      </c>
      <c r="C1120" s="1" t="n">
        <v>45810</v>
      </c>
      <c r="D1120" t="inlineStr">
        <is>
          <t>VÄRMLANDS LÄN</t>
        </is>
      </c>
      <c r="E1120" t="inlineStr">
        <is>
          <t>KRISTINEHAMN</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28512-2019</t>
        </is>
      </c>
      <c r="B1121" s="1" t="n">
        <v>43626</v>
      </c>
      <c r="C1121" s="1" t="n">
        <v>45810</v>
      </c>
      <c r="D1121" t="inlineStr">
        <is>
          <t>VÄRMLANDS LÄN</t>
        </is>
      </c>
      <c r="E1121" t="inlineStr">
        <is>
          <t>KRISTINEHAMN</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28381-2019</t>
        </is>
      </c>
      <c r="B1122" s="1" t="n">
        <v>43626</v>
      </c>
      <c r="C1122" s="1" t="n">
        <v>45810</v>
      </c>
      <c r="D1122" t="inlineStr">
        <is>
          <t>VÄRMLANDS LÄN</t>
        </is>
      </c>
      <c r="E1122" t="inlineStr">
        <is>
          <t>HAGFORS</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28387-2019</t>
        </is>
      </c>
      <c r="B1123" s="1" t="n">
        <v>43626</v>
      </c>
      <c r="C1123" s="1" t="n">
        <v>45810</v>
      </c>
      <c r="D1123" t="inlineStr">
        <is>
          <t>VÄRMLANDS LÄN</t>
        </is>
      </c>
      <c r="E1123" t="inlineStr">
        <is>
          <t>SUNNE</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28409-2019</t>
        </is>
      </c>
      <c r="B1124" s="1" t="n">
        <v>43626</v>
      </c>
      <c r="C1124" s="1" t="n">
        <v>45810</v>
      </c>
      <c r="D1124" t="inlineStr">
        <is>
          <t>VÄRMLANDS LÄN</t>
        </is>
      </c>
      <c r="E1124" t="inlineStr">
        <is>
          <t>STORFORS</t>
        </is>
      </c>
      <c r="F1124" t="inlineStr">
        <is>
          <t>Bergvik skog väst AB</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28386-2019</t>
        </is>
      </c>
      <c r="B1125" s="1" t="n">
        <v>43626</v>
      </c>
      <c r="C1125" s="1" t="n">
        <v>45810</v>
      </c>
      <c r="D1125" t="inlineStr">
        <is>
          <t>VÄRMLANDS LÄN</t>
        </is>
      </c>
      <c r="E1125" t="inlineStr">
        <is>
          <t>SUNNE</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28389-2019</t>
        </is>
      </c>
      <c r="B1126" s="1" t="n">
        <v>43626</v>
      </c>
      <c r="C1126" s="1" t="n">
        <v>45810</v>
      </c>
      <c r="D1126" t="inlineStr">
        <is>
          <t>VÄRMLANDS LÄN</t>
        </is>
      </c>
      <c r="E1126" t="inlineStr">
        <is>
          <t>SUNNE</t>
        </is>
      </c>
      <c r="G1126" t="n">
        <v>8.4</v>
      </c>
      <c r="H1126" t="n">
        <v>0</v>
      </c>
      <c r="I1126" t="n">
        <v>0</v>
      </c>
      <c r="J1126" t="n">
        <v>0</v>
      </c>
      <c r="K1126" t="n">
        <v>0</v>
      </c>
      <c r="L1126" t="n">
        <v>0</v>
      </c>
      <c r="M1126" t="n">
        <v>0</v>
      </c>
      <c r="N1126" t="n">
        <v>0</v>
      </c>
      <c r="O1126" t="n">
        <v>0</v>
      </c>
      <c r="P1126" t="n">
        <v>0</v>
      </c>
      <c r="Q1126" t="n">
        <v>0</v>
      </c>
      <c r="R1126" s="2" t="inlineStr"/>
    </row>
    <row r="1127" ht="15" customHeight="1">
      <c r="A1127" t="inlineStr">
        <is>
          <t>A 28653-2019</t>
        </is>
      </c>
      <c r="B1127" s="1" t="n">
        <v>43627</v>
      </c>
      <c r="C1127" s="1" t="n">
        <v>45810</v>
      </c>
      <c r="D1127" t="inlineStr">
        <is>
          <t>VÄRMLANDS LÄN</t>
        </is>
      </c>
      <c r="E1127" t="inlineStr">
        <is>
          <t>TORSBY</t>
        </is>
      </c>
      <c r="G1127" t="n">
        <v>5.2</v>
      </c>
      <c r="H1127" t="n">
        <v>0</v>
      </c>
      <c r="I1127" t="n">
        <v>0</v>
      </c>
      <c r="J1127" t="n">
        <v>0</v>
      </c>
      <c r="K1127" t="n">
        <v>0</v>
      </c>
      <c r="L1127" t="n">
        <v>0</v>
      </c>
      <c r="M1127" t="n">
        <v>0</v>
      </c>
      <c r="N1127" t="n">
        <v>0</v>
      </c>
      <c r="O1127" t="n">
        <v>0</v>
      </c>
      <c r="P1127" t="n">
        <v>0</v>
      </c>
      <c r="Q1127" t="n">
        <v>0</v>
      </c>
      <c r="R1127" s="2" t="inlineStr"/>
    </row>
    <row r="1128" ht="15" customHeight="1">
      <c r="A1128" t="inlineStr">
        <is>
          <t>A 29365-2019</t>
        </is>
      </c>
      <c r="B1128" s="1" t="n">
        <v>43627</v>
      </c>
      <c r="C1128" s="1" t="n">
        <v>45810</v>
      </c>
      <c r="D1128" t="inlineStr">
        <is>
          <t>VÄRMLANDS LÄN</t>
        </is>
      </c>
      <c r="E1128" t="inlineStr">
        <is>
          <t>SUNNE</t>
        </is>
      </c>
      <c r="G1128" t="n">
        <v>6.9</v>
      </c>
      <c r="H1128" t="n">
        <v>0</v>
      </c>
      <c r="I1128" t="n">
        <v>0</v>
      </c>
      <c r="J1128" t="n">
        <v>0</v>
      </c>
      <c r="K1128" t="n">
        <v>0</v>
      </c>
      <c r="L1128" t="n">
        <v>0</v>
      </c>
      <c r="M1128" t="n">
        <v>0</v>
      </c>
      <c r="N1128" t="n">
        <v>0</v>
      </c>
      <c r="O1128" t="n">
        <v>0</v>
      </c>
      <c r="P1128" t="n">
        <v>0</v>
      </c>
      <c r="Q1128" t="n">
        <v>0</v>
      </c>
      <c r="R1128" s="2" t="inlineStr"/>
    </row>
    <row r="1129" ht="15" customHeight="1">
      <c r="A1129" t="inlineStr">
        <is>
          <t>A 28823-2019</t>
        </is>
      </c>
      <c r="B1129" s="1" t="n">
        <v>43627</v>
      </c>
      <c r="C1129" s="1" t="n">
        <v>45810</v>
      </c>
      <c r="D1129" t="inlineStr">
        <is>
          <t>VÄRMLANDS LÄN</t>
        </is>
      </c>
      <c r="E1129" t="inlineStr">
        <is>
          <t>STORFORS</t>
        </is>
      </c>
      <c r="F1129" t="inlineStr">
        <is>
          <t>Bergvik skog väst AB</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28832-2019</t>
        </is>
      </c>
      <c r="B1130" s="1" t="n">
        <v>43627</v>
      </c>
      <c r="C1130" s="1" t="n">
        <v>45810</v>
      </c>
      <c r="D1130" t="inlineStr">
        <is>
          <t>VÄRMLANDS LÄN</t>
        </is>
      </c>
      <c r="E1130" t="inlineStr">
        <is>
          <t>STORFORS</t>
        </is>
      </c>
      <c r="F1130" t="inlineStr">
        <is>
          <t>Bergvik skog väst AB</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29363-2019</t>
        </is>
      </c>
      <c r="B1131" s="1" t="n">
        <v>43627</v>
      </c>
      <c r="C1131" s="1" t="n">
        <v>45810</v>
      </c>
      <c r="D1131" t="inlineStr">
        <is>
          <t>VÄRMLANDS LÄN</t>
        </is>
      </c>
      <c r="E1131" t="inlineStr">
        <is>
          <t>SUNNE</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28818-2019</t>
        </is>
      </c>
      <c r="B1132" s="1" t="n">
        <v>43627</v>
      </c>
      <c r="C1132" s="1" t="n">
        <v>45810</v>
      </c>
      <c r="D1132" t="inlineStr">
        <is>
          <t>VÄRMLANDS LÄN</t>
        </is>
      </c>
      <c r="E1132" t="inlineStr">
        <is>
          <t>TORSBY</t>
        </is>
      </c>
      <c r="F1132" t="inlineStr">
        <is>
          <t>Bergvik skog väst AB</t>
        </is>
      </c>
      <c r="G1132" t="n">
        <v>58.6</v>
      </c>
      <c r="H1132" t="n">
        <v>0</v>
      </c>
      <c r="I1132" t="n">
        <v>0</v>
      </c>
      <c r="J1132" t="n">
        <v>0</v>
      </c>
      <c r="K1132" t="n">
        <v>0</v>
      </c>
      <c r="L1132" t="n">
        <v>0</v>
      </c>
      <c r="M1132" t="n">
        <v>0</v>
      </c>
      <c r="N1132" t="n">
        <v>0</v>
      </c>
      <c r="O1132" t="n">
        <v>0</v>
      </c>
      <c r="P1132" t="n">
        <v>0</v>
      </c>
      <c r="Q1132" t="n">
        <v>0</v>
      </c>
      <c r="R1132" s="2" t="inlineStr"/>
    </row>
    <row r="1133" ht="15" customHeight="1">
      <c r="A1133" t="inlineStr">
        <is>
          <t>A 28904-2019</t>
        </is>
      </c>
      <c r="B1133" s="1" t="n">
        <v>43628</v>
      </c>
      <c r="C1133" s="1" t="n">
        <v>45810</v>
      </c>
      <c r="D1133" t="inlineStr">
        <is>
          <t>VÄRMLANDS LÄN</t>
        </is>
      </c>
      <c r="E1133" t="inlineStr">
        <is>
          <t>FORSHAGA</t>
        </is>
      </c>
      <c r="G1133" t="n">
        <v>6.7</v>
      </c>
      <c r="H1133" t="n">
        <v>0</v>
      </c>
      <c r="I1133" t="n">
        <v>0</v>
      </c>
      <c r="J1133" t="n">
        <v>0</v>
      </c>
      <c r="K1133" t="n">
        <v>0</v>
      </c>
      <c r="L1133" t="n">
        <v>0</v>
      </c>
      <c r="M1133" t="n">
        <v>0</v>
      </c>
      <c r="N1133" t="n">
        <v>0</v>
      </c>
      <c r="O1133" t="n">
        <v>0</v>
      </c>
      <c r="P1133" t="n">
        <v>0</v>
      </c>
      <c r="Q1133" t="n">
        <v>0</v>
      </c>
      <c r="R1133" s="2" t="inlineStr"/>
    </row>
    <row r="1134" ht="15" customHeight="1">
      <c r="A1134" t="inlineStr">
        <is>
          <t>A 28865-2019</t>
        </is>
      </c>
      <c r="B1134" s="1" t="n">
        <v>43628</v>
      </c>
      <c r="C1134" s="1" t="n">
        <v>45810</v>
      </c>
      <c r="D1134" t="inlineStr">
        <is>
          <t>VÄRMLANDS LÄN</t>
        </is>
      </c>
      <c r="E1134" t="inlineStr">
        <is>
          <t>ÅRJÄNG</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28889-2019</t>
        </is>
      </c>
      <c r="B1135" s="1" t="n">
        <v>43628</v>
      </c>
      <c r="C1135" s="1" t="n">
        <v>45810</v>
      </c>
      <c r="D1135" t="inlineStr">
        <is>
          <t>VÄRMLANDS LÄN</t>
        </is>
      </c>
      <c r="E1135" t="inlineStr">
        <is>
          <t>TORSBY</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29593-2019</t>
        </is>
      </c>
      <c r="B1136" s="1" t="n">
        <v>43628</v>
      </c>
      <c r="C1136" s="1" t="n">
        <v>45810</v>
      </c>
      <c r="D1136" t="inlineStr">
        <is>
          <t>VÄRMLANDS LÄN</t>
        </is>
      </c>
      <c r="E1136" t="inlineStr">
        <is>
          <t>ARVIKA</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29682-2019</t>
        </is>
      </c>
      <c r="B1137" s="1" t="n">
        <v>43628</v>
      </c>
      <c r="C1137" s="1" t="n">
        <v>45810</v>
      </c>
      <c r="D1137" t="inlineStr">
        <is>
          <t>VÄRMLANDS LÄN</t>
        </is>
      </c>
      <c r="E1137" t="inlineStr">
        <is>
          <t>KRISTINEHAMN</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29677-2019</t>
        </is>
      </c>
      <c r="B1138" s="1" t="n">
        <v>43628</v>
      </c>
      <c r="C1138" s="1" t="n">
        <v>45810</v>
      </c>
      <c r="D1138" t="inlineStr">
        <is>
          <t>VÄRMLANDS LÄN</t>
        </is>
      </c>
      <c r="E1138" t="inlineStr">
        <is>
          <t>KRISTINEHAMN</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29588-2019</t>
        </is>
      </c>
      <c r="B1139" s="1" t="n">
        <v>43628</v>
      </c>
      <c r="C1139" s="1" t="n">
        <v>45810</v>
      </c>
      <c r="D1139" t="inlineStr">
        <is>
          <t>VÄRMLANDS LÄN</t>
        </is>
      </c>
      <c r="E1139" t="inlineStr">
        <is>
          <t>ARVIKA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29097-2019</t>
        </is>
      </c>
      <c r="B1140" s="1" t="n">
        <v>43628</v>
      </c>
      <c r="C1140" s="1" t="n">
        <v>45810</v>
      </c>
      <c r="D1140" t="inlineStr">
        <is>
          <t>VÄRMLANDS LÄN</t>
        </is>
      </c>
      <c r="E1140" t="inlineStr">
        <is>
          <t>KARLSTAD</t>
        </is>
      </c>
      <c r="G1140" t="n">
        <v>5.5</v>
      </c>
      <c r="H1140" t="n">
        <v>0</v>
      </c>
      <c r="I1140" t="n">
        <v>0</v>
      </c>
      <c r="J1140" t="n">
        <v>0</v>
      </c>
      <c r="K1140" t="n">
        <v>0</v>
      </c>
      <c r="L1140" t="n">
        <v>0</v>
      </c>
      <c r="M1140" t="n">
        <v>0</v>
      </c>
      <c r="N1140" t="n">
        <v>0</v>
      </c>
      <c r="O1140" t="n">
        <v>0</v>
      </c>
      <c r="P1140" t="n">
        <v>0</v>
      </c>
      <c r="Q1140" t="n">
        <v>0</v>
      </c>
      <c r="R1140" s="2" t="inlineStr"/>
    </row>
    <row r="1141" ht="15" customHeight="1">
      <c r="A1141" t="inlineStr">
        <is>
          <t>A 29093-2019</t>
        </is>
      </c>
      <c r="B1141" s="1" t="n">
        <v>43629</v>
      </c>
      <c r="C1141" s="1" t="n">
        <v>45810</v>
      </c>
      <c r="D1141" t="inlineStr">
        <is>
          <t>VÄRMLANDS LÄN</t>
        </is>
      </c>
      <c r="E1141" t="inlineStr">
        <is>
          <t>KRISTINEHAMN</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29351-2019</t>
        </is>
      </c>
      <c r="B1142" s="1" t="n">
        <v>43629</v>
      </c>
      <c r="C1142" s="1" t="n">
        <v>45810</v>
      </c>
      <c r="D1142" t="inlineStr">
        <is>
          <t>VÄRMLANDS LÄN</t>
        </is>
      </c>
      <c r="E1142" t="inlineStr">
        <is>
          <t>SUNNE</t>
        </is>
      </c>
      <c r="G1142" t="n">
        <v>4.4</v>
      </c>
      <c r="H1142" t="n">
        <v>0</v>
      </c>
      <c r="I1142" t="n">
        <v>0</v>
      </c>
      <c r="J1142" t="n">
        <v>0</v>
      </c>
      <c r="K1142" t="n">
        <v>0</v>
      </c>
      <c r="L1142" t="n">
        <v>0</v>
      </c>
      <c r="M1142" t="n">
        <v>0</v>
      </c>
      <c r="N1142" t="n">
        <v>0</v>
      </c>
      <c r="O1142" t="n">
        <v>0</v>
      </c>
      <c r="P1142" t="n">
        <v>0</v>
      </c>
      <c r="Q1142" t="n">
        <v>0</v>
      </c>
      <c r="R1142" s="2" t="inlineStr"/>
    </row>
    <row r="1143" ht="15" customHeight="1">
      <c r="A1143" t="inlineStr">
        <is>
          <t>A 29366-2019</t>
        </is>
      </c>
      <c r="B1143" s="1" t="n">
        <v>43629</v>
      </c>
      <c r="C1143" s="1" t="n">
        <v>45810</v>
      </c>
      <c r="D1143" t="inlineStr">
        <is>
          <t>VÄRMLANDS LÄN</t>
        </is>
      </c>
      <c r="E1143" t="inlineStr">
        <is>
          <t>SUNNE</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29389-2019</t>
        </is>
      </c>
      <c r="B1144" s="1" t="n">
        <v>43629</v>
      </c>
      <c r="C1144" s="1" t="n">
        <v>45810</v>
      </c>
      <c r="D1144" t="inlineStr">
        <is>
          <t>VÄRMLANDS LÄN</t>
        </is>
      </c>
      <c r="E1144" t="inlineStr">
        <is>
          <t>HAGFORS</t>
        </is>
      </c>
      <c r="F1144" t="inlineStr">
        <is>
          <t>Bergvik skog väst AB</t>
        </is>
      </c>
      <c r="G1144" t="n">
        <v>24.6</v>
      </c>
      <c r="H1144" t="n">
        <v>0</v>
      </c>
      <c r="I1144" t="n">
        <v>0</v>
      </c>
      <c r="J1144" t="n">
        <v>0</v>
      </c>
      <c r="K1144" t="n">
        <v>0</v>
      </c>
      <c r="L1144" t="n">
        <v>0</v>
      </c>
      <c r="M1144" t="n">
        <v>0</v>
      </c>
      <c r="N1144" t="n">
        <v>0</v>
      </c>
      <c r="O1144" t="n">
        <v>0</v>
      </c>
      <c r="P1144" t="n">
        <v>0</v>
      </c>
      <c r="Q1144" t="n">
        <v>0</v>
      </c>
      <c r="R1144" s="2" t="inlineStr"/>
    </row>
    <row r="1145" ht="15" customHeight="1">
      <c r="A1145" t="inlineStr">
        <is>
          <t>A 29800-2019</t>
        </is>
      </c>
      <c r="B1145" s="1" t="n">
        <v>43629</v>
      </c>
      <c r="C1145" s="1" t="n">
        <v>45810</v>
      </c>
      <c r="D1145" t="inlineStr">
        <is>
          <t>VÄRMLANDS LÄN</t>
        </is>
      </c>
      <c r="E1145" t="inlineStr">
        <is>
          <t>SUNNE</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29803-2019</t>
        </is>
      </c>
      <c r="B1146" s="1" t="n">
        <v>43629</v>
      </c>
      <c r="C1146" s="1" t="n">
        <v>45810</v>
      </c>
      <c r="D1146" t="inlineStr">
        <is>
          <t>VÄRMLANDS LÄN</t>
        </is>
      </c>
      <c r="E1146" t="inlineStr">
        <is>
          <t>ARVIKA</t>
        </is>
      </c>
      <c r="G1146" t="n">
        <v>4.3</v>
      </c>
      <c r="H1146" t="n">
        <v>0</v>
      </c>
      <c r="I1146" t="n">
        <v>0</v>
      </c>
      <c r="J1146" t="n">
        <v>0</v>
      </c>
      <c r="K1146" t="n">
        <v>0</v>
      </c>
      <c r="L1146" t="n">
        <v>0</v>
      </c>
      <c r="M1146" t="n">
        <v>0</v>
      </c>
      <c r="N1146" t="n">
        <v>0</v>
      </c>
      <c r="O1146" t="n">
        <v>0</v>
      </c>
      <c r="P1146" t="n">
        <v>0</v>
      </c>
      <c r="Q1146" t="n">
        <v>0</v>
      </c>
      <c r="R1146" s="2" t="inlineStr"/>
    </row>
    <row r="1147" ht="15" customHeight="1">
      <c r="A1147" t="inlineStr">
        <is>
          <t>A 29436-2019</t>
        </is>
      </c>
      <c r="B1147" s="1" t="n">
        <v>43629</v>
      </c>
      <c r="C1147" s="1" t="n">
        <v>45810</v>
      </c>
      <c r="D1147" t="inlineStr">
        <is>
          <t>VÄRMLANDS LÄN</t>
        </is>
      </c>
      <c r="E1147" t="inlineStr">
        <is>
          <t>TORSBY</t>
        </is>
      </c>
      <c r="F1147" t="inlineStr">
        <is>
          <t>Bergvik skog väst AB</t>
        </is>
      </c>
      <c r="G1147" t="n">
        <v>33.7</v>
      </c>
      <c r="H1147" t="n">
        <v>0</v>
      </c>
      <c r="I1147" t="n">
        <v>0</v>
      </c>
      <c r="J1147" t="n">
        <v>0</v>
      </c>
      <c r="K1147" t="n">
        <v>0</v>
      </c>
      <c r="L1147" t="n">
        <v>0</v>
      </c>
      <c r="M1147" t="n">
        <v>0</v>
      </c>
      <c r="N1147" t="n">
        <v>0</v>
      </c>
      <c r="O1147" t="n">
        <v>0</v>
      </c>
      <c r="P1147" t="n">
        <v>0</v>
      </c>
      <c r="Q1147" t="n">
        <v>0</v>
      </c>
      <c r="R1147" s="2" t="inlineStr"/>
    </row>
    <row r="1148" ht="15" customHeight="1">
      <c r="A1148" t="inlineStr">
        <is>
          <t>A 29251-2019</t>
        </is>
      </c>
      <c r="B1148" s="1" t="n">
        <v>43629</v>
      </c>
      <c r="C1148" s="1" t="n">
        <v>45810</v>
      </c>
      <c r="D1148" t="inlineStr">
        <is>
          <t>VÄRMLANDS LÄN</t>
        </is>
      </c>
      <c r="E1148" t="inlineStr">
        <is>
          <t>SÄFFLE</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29582-2019</t>
        </is>
      </c>
      <c r="B1149" s="1" t="n">
        <v>43630</v>
      </c>
      <c r="C1149" s="1" t="n">
        <v>45810</v>
      </c>
      <c r="D1149" t="inlineStr">
        <is>
          <t>VÄRMLANDS LÄN</t>
        </is>
      </c>
      <c r="E1149" t="inlineStr">
        <is>
          <t>HAGFORS</t>
        </is>
      </c>
      <c r="F1149" t="inlineStr">
        <is>
          <t>Bergvik skog väst AB</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29644-2019</t>
        </is>
      </c>
      <c r="B1150" s="1" t="n">
        <v>43630</v>
      </c>
      <c r="C1150" s="1" t="n">
        <v>45810</v>
      </c>
      <c r="D1150" t="inlineStr">
        <is>
          <t>VÄRMLANDS LÄN</t>
        </is>
      </c>
      <c r="E1150" t="inlineStr">
        <is>
          <t>FORSHAGA</t>
        </is>
      </c>
      <c r="F1150" t="inlineStr">
        <is>
          <t>Bergvik skog väst AB</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29722-2019</t>
        </is>
      </c>
      <c r="B1151" s="1" t="n">
        <v>43630</v>
      </c>
      <c r="C1151" s="1" t="n">
        <v>45810</v>
      </c>
      <c r="D1151" t="inlineStr">
        <is>
          <t>VÄRMLANDS LÄN</t>
        </is>
      </c>
      <c r="E1151" t="inlineStr">
        <is>
          <t>KRISTINEHAMN</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30031-2019</t>
        </is>
      </c>
      <c r="B1152" s="1" t="n">
        <v>43633</v>
      </c>
      <c r="C1152" s="1" t="n">
        <v>45810</v>
      </c>
      <c r="D1152" t="inlineStr">
        <is>
          <t>VÄRMLANDS LÄN</t>
        </is>
      </c>
      <c r="E1152" t="inlineStr">
        <is>
          <t>TORSBY</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29825-2019</t>
        </is>
      </c>
      <c r="B1153" s="1" t="n">
        <v>43633</v>
      </c>
      <c r="C1153" s="1" t="n">
        <v>45810</v>
      </c>
      <c r="D1153" t="inlineStr">
        <is>
          <t>VÄRMLANDS LÄN</t>
        </is>
      </c>
      <c r="E1153" t="inlineStr">
        <is>
          <t>SUNNE</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30035-2019</t>
        </is>
      </c>
      <c r="B1154" s="1" t="n">
        <v>43633</v>
      </c>
      <c r="C1154" s="1" t="n">
        <v>45810</v>
      </c>
      <c r="D1154" t="inlineStr">
        <is>
          <t>VÄRMLANDS LÄN</t>
        </is>
      </c>
      <c r="E1154" t="inlineStr">
        <is>
          <t>ÅRJÄNG</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30049-2019</t>
        </is>
      </c>
      <c r="B1155" s="1" t="n">
        <v>43633</v>
      </c>
      <c r="C1155" s="1" t="n">
        <v>45810</v>
      </c>
      <c r="D1155" t="inlineStr">
        <is>
          <t>VÄRMLANDS LÄN</t>
        </is>
      </c>
      <c r="E1155" t="inlineStr">
        <is>
          <t>TORSBY</t>
        </is>
      </c>
      <c r="G1155" t="n">
        <v>7.1</v>
      </c>
      <c r="H1155" t="n">
        <v>0</v>
      </c>
      <c r="I1155" t="n">
        <v>0</v>
      </c>
      <c r="J1155" t="n">
        <v>0</v>
      </c>
      <c r="K1155" t="n">
        <v>0</v>
      </c>
      <c r="L1155" t="n">
        <v>0</v>
      </c>
      <c r="M1155" t="n">
        <v>0</v>
      </c>
      <c r="N1155" t="n">
        <v>0</v>
      </c>
      <c r="O1155" t="n">
        <v>0</v>
      </c>
      <c r="P1155" t="n">
        <v>0</v>
      </c>
      <c r="Q1155" t="n">
        <v>0</v>
      </c>
      <c r="R1155" s="2" t="inlineStr"/>
    </row>
    <row r="1156" ht="15" customHeight="1">
      <c r="A1156" t="inlineStr">
        <is>
          <t>A 29984-2019</t>
        </is>
      </c>
      <c r="B1156" s="1" t="n">
        <v>43633</v>
      </c>
      <c r="C1156" s="1" t="n">
        <v>45810</v>
      </c>
      <c r="D1156" t="inlineStr">
        <is>
          <t>VÄRMLANDS LÄN</t>
        </is>
      </c>
      <c r="E1156" t="inlineStr">
        <is>
          <t>TORSBY</t>
        </is>
      </c>
      <c r="F1156" t="inlineStr">
        <is>
          <t>Bergvik skog väst AB</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30328-2019</t>
        </is>
      </c>
      <c r="B1157" s="1" t="n">
        <v>43633</v>
      </c>
      <c r="C1157" s="1" t="n">
        <v>45810</v>
      </c>
      <c r="D1157" t="inlineStr">
        <is>
          <t>VÄRMLANDS LÄN</t>
        </is>
      </c>
      <c r="E1157" t="inlineStr">
        <is>
          <t>ARVIKA</t>
        </is>
      </c>
      <c r="G1157" t="n">
        <v>10.6</v>
      </c>
      <c r="H1157" t="n">
        <v>0</v>
      </c>
      <c r="I1157" t="n">
        <v>0</v>
      </c>
      <c r="J1157" t="n">
        <v>0</v>
      </c>
      <c r="K1157" t="n">
        <v>0</v>
      </c>
      <c r="L1157" t="n">
        <v>0</v>
      </c>
      <c r="M1157" t="n">
        <v>0</v>
      </c>
      <c r="N1157" t="n">
        <v>0</v>
      </c>
      <c r="O1157" t="n">
        <v>0</v>
      </c>
      <c r="P1157" t="n">
        <v>0</v>
      </c>
      <c r="Q1157" t="n">
        <v>0</v>
      </c>
      <c r="R1157" s="2" t="inlineStr"/>
    </row>
    <row r="1158" ht="15" customHeight="1">
      <c r="A1158" t="inlineStr">
        <is>
          <t>A 30221-2019</t>
        </is>
      </c>
      <c r="B1158" s="1" t="n">
        <v>43633</v>
      </c>
      <c r="C1158" s="1" t="n">
        <v>45810</v>
      </c>
      <c r="D1158" t="inlineStr">
        <is>
          <t>VÄRMLANDS LÄN</t>
        </is>
      </c>
      <c r="E1158" t="inlineStr">
        <is>
          <t>HAGFORS</t>
        </is>
      </c>
      <c r="G1158" t="n">
        <v>12.6</v>
      </c>
      <c r="H1158" t="n">
        <v>0</v>
      </c>
      <c r="I1158" t="n">
        <v>0</v>
      </c>
      <c r="J1158" t="n">
        <v>0</v>
      </c>
      <c r="K1158" t="n">
        <v>0</v>
      </c>
      <c r="L1158" t="n">
        <v>0</v>
      </c>
      <c r="M1158" t="n">
        <v>0</v>
      </c>
      <c r="N1158" t="n">
        <v>0</v>
      </c>
      <c r="O1158" t="n">
        <v>0</v>
      </c>
      <c r="P1158" t="n">
        <v>0</v>
      </c>
      <c r="Q1158" t="n">
        <v>0</v>
      </c>
      <c r="R1158" s="2" t="inlineStr"/>
    </row>
    <row r="1159" ht="15" customHeight="1">
      <c r="A1159" t="inlineStr">
        <is>
          <t>A 30391-2019</t>
        </is>
      </c>
      <c r="B1159" s="1" t="n">
        <v>43633</v>
      </c>
      <c r="C1159" s="1" t="n">
        <v>45810</v>
      </c>
      <c r="D1159" t="inlineStr">
        <is>
          <t>VÄRMLANDS LÄN</t>
        </is>
      </c>
      <c r="E1159" t="inlineStr">
        <is>
          <t>SUNNE</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30316-2019</t>
        </is>
      </c>
      <c r="B1160" s="1" t="n">
        <v>43633</v>
      </c>
      <c r="C1160" s="1" t="n">
        <v>45810</v>
      </c>
      <c r="D1160" t="inlineStr">
        <is>
          <t>VÄRMLANDS LÄN</t>
        </is>
      </c>
      <c r="E1160" t="inlineStr">
        <is>
          <t>ARVIKA</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30398-2019</t>
        </is>
      </c>
      <c r="B1161" s="1" t="n">
        <v>43633</v>
      </c>
      <c r="C1161" s="1" t="n">
        <v>45810</v>
      </c>
      <c r="D1161" t="inlineStr">
        <is>
          <t>VÄRMLANDS LÄN</t>
        </is>
      </c>
      <c r="E1161" t="inlineStr">
        <is>
          <t>HAGFORS</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30325-2019</t>
        </is>
      </c>
      <c r="B1162" s="1" t="n">
        <v>43633</v>
      </c>
      <c r="C1162" s="1" t="n">
        <v>45810</v>
      </c>
      <c r="D1162" t="inlineStr">
        <is>
          <t>VÄRMLANDS LÄN</t>
        </is>
      </c>
      <c r="E1162" t="inlineStr">
        <is>
          <t>ARVIKA</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30310-2019</t>
        </is>
      </c>
      <c r="B1163" s="1" t="n">
        <v>43634</v>
      </c>
      <c r="C1163" s="1" t="n">
        <v>45810</v>
      </c>
      <c r="D1163" t="inlineStr">
        <is>
          <t>VÄRMLANDS LÄN</t>
        </is>
      </c>
      <c r="E1163" t="inlineStr">
        <is>
          <t>ARVIKA</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30462-2019</t>
        </is>
      </c>
      <c r="B1164" s="1" t="n">
        <v>43634</v>
      </c>
      <c r="C1164" s="1" t="n">
        <v>45810</v>
      </c>
      <c r="D1164" t="inlineStr">
        <is>
          <t>VÄRMLANDS LÄN</t>
        </is>
      </c>
      <c r="E1164" t="inlineStr">
        <is>
          <t>SUNNE</t>
        </is>
      </c>
      <c r="G1164" t="n">
        <v>7.4</v>
      </c>
      <c r="H1164" t="n">
        <v>0</v>
      </c>
      <c r="I1164" t="n">
        <v>0</v>
      </c>
      <c r="J1164" t="n">
        <v>0</v>
      </c>
      <c r="K1164" t="n">
        <v>0</v>
      </c>
      <c r="L1164" t="n">
        <v>0</v>
      </c>
      <c r="M1164" t="n">
        <v>0</v>
      </c>
      <c r="N1164" t="n">
        <v>0</v>
      </c>
      <c r="O1164" t="n">
        <v>0</v>
      </c>
      <c r="P1164" t="n">
        <v>0</v>
      </c>
      <c r="Q1164" t="n">
        <v>0</v>
      </c>
      <c r="R1164" s="2" t="inlineStr"/>
    </row>
    <row r="1165" ht="15" customHeight="1">
      <c r="A1165" t="inlineStr">
        <is>
          <t>A 30353-2019</t>
        </is>
      </c>
      <c r="B1165" s="1" t="n">
        <v>43634</v>
      </c>
      <c r="C1165" s="1" t="n">
        <v>45810</v>
      </c>
      <c r="D1165" t="inlineStr">
        <is>
          <t>VÄRMLANDS LÄN</t>
        </is>
      </c>
      <c r="E1165" t="inlineStr">
        <is>
          <t>ARVIKA</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30486-2019</t>
        </is>
      </c>
      <c r="B1166" s="1" t="n">
        <v>43634</v>
      </c>
      <c r="C1166" s="1" t="n">
        <v>45810</v>
      </c>
      <c r="D1166" t="inlineStr">
        <is>
          <t>VÄRMLANDS LÄN</t>
        </is>
      </c>
      <c r="E1166" t="inlineStr">
        <is>
          <t>SUNNE</t>
        </is>
      </c>
      <c r="G1166" t="n">
        <v>17.8</v>
      </c>
      <c r="H1166" t="n">
        <v>0</v>
      </c>
      <c r="I1166" t="n">
        <v>0</v>
      </c>
      <c r="J1166" t="n">
        <v>0</v>
      </c>
      <c r="K1166" t="n">
        <v>0</v>
      </c>
      <c r="L1166" t="n">
        <v>0</v>
      </c>
      <c r="M1166" t="n">
        <v>0</v>
      </c>
      <c r="N1166" t="n">
        <v>0</v>
      </c>
      <c r="O1166" t="n">
        <v>0</v>
      </c>
      <c r="P1166" t="n">
        <v>0</v>
      </c>
      <c r="Q1166" t="n">
        <v>0</v>
      </c>
      <c r="R1166" s="2" t="inlineStr"/>
    </row>
    <row r="1167" ht="15" customHeight="1">
      <c r="A1167" t="inlineStr">
        <is>
          <t>A 30158-2019</t>
        </is>
      </c>
      <c r="B1167" s="1" t="n">
        <v>43634</v>
      </c>
      <c r="C1167" s="1" t="n">
        <v>45810</v>
      </c>
      <c r="D1167" t="inlineStr">
        <is>
          <t>VÄRMLANDS LÄN</t>
        </is>
      </c>
      <c r="E1167" t="inlineStr">
        <is>
          <t>TORSBY</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30596-2019</t>
        </is>
      </c>
      <c r="B1168" s="1" t="n">
        <v>43635</v>
      </c>
      <c r="C1168" s="1" t="n">
        <v>45810</v>
      </c>
      <c r="D1168" t="inlineStr">
        <is>
          <t>VÄRMLANDS LÄN</t>
        </is>
      </c>
      <c r="E1168" t="inlineStr">
        <is>
          <t>TORSBY</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30643-2019</t>
        </is>
      </c>
      <c r="B1169" s="1" t="n">
        <v>43635</v>
      </c>
      <c r="C1169" s="1" t="n">
        <v>45810</v>
      </c>
      <c r="D1169" t="inlineStr">
        <is>
          <t>VÄRMLANDS LÄN</t>
        </is>
      </c>
      <c r="E1169" t="inlineStr">
        <is>
          <t>ARVIKA</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31190-2019</t>
        </is>
      </c>
      <c r="B1170" s="1" t="n">
        <v>43635</v>
      </c>
      <c r="C1170" s="1" t="n">
        <v>45810</v>
      </c>
      <c r="D1170" t="inlineStr">
        <is>
          <t>VÄRMLANDS LÄN</t>
        </is>
      </c>
      <c r="E1170" t="inlineStr">
        <is>
          <t>SÄFFLE</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30535-2019</t>
        </is>
      </c>
      <c r="B1171" s="1" t="n">
        <v>43635</v>
      </c>
      <c r="C1171" s="1" t="n">
        <v>45810</v>
      </c>
      <c r="D1171" t="inlineStr">
        <is>
          <t>VÄRMLANDS LÄN</t>
        </is>
      </c>
      <c r="E1171" t="inlineStr">
        <is>
          <t>EDA</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30636-2019</t>
        </is>
      </c>
      <c r="B1172" s="1" t="n">
        <v>43635</v>
      </c>
      <c r="C1172" s="1" t="n">
        <v>45810</v>
      </c>
      <c r="D1172" t="inlineStr">
        <is>
          <t>VÄRMLANDS LÄN</t>
        </is>
      </c>
      <c r="E1172" t="inlineStr">
        <is>
          <t>ARVIKA</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622-2020</t>
        </is>
      </c>
      <c r="B1173" s="1" t="n">
        <v>43635</v>
      </c>
      <c r="C1173" s="1" t="n">
        <v>45810</v>
      </c>
      <c r="D1173" t="inlineStr">
        <is>
          <t>VÄRMLANDS LÄN</t>
        </is>
      </c>
      <c r="E1173" t="inlineStr">
        <is>
          <t>ARVIKA</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30641-2019</t>
        </is>
      </c>
      <c r="B1174" s="1" t="n">
        <v>43636</v>
      </c>
      <c r="C1174" s="1" t="n">
        <v>45810</v>
      </c>
      <c r="D1174" t="inlineStr">
        <is>
          <t>VÄRMLANDS LÄN</t>
        </is>
      </c>
      <c r="E1174" t="inlineStr">
        <is>
          <t>KARLSTAD</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30728-2019</t>
        </is>
      </c>
      <c r="B1175" s="1" t="n">
        <v>43636</v>
      </c>
      <c r="C1175" s="1" t="n">
        <v>45810</v>
      </c>
      <c r="D1175" t="inlineStr">
        <is>
          <t>VÄRMLANDS LÄN</t>
        </is>
      </c>
      <c r="E1175" t="inlineStr">
        <is>
          <t>SUNNE</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30860-2019</t>
        </is>
      </c>
      <c r="B1176" s="1" t="n">
        <v>43636</v>
      </c>
      <c r="C1176" s="1" t="n">
        <v>45810</v>
      </c>
      <c r="D1176" t="inlineStr">
        <is>
          <t>VÄRMLANDS LÄN</t>
        </is>
      </c>
      <c r="E1176" t="inlineStr">
        <is>
          <t>TORSBY</t>
        </is>
      </c>
      <c r="G1176" t="n">
        <v>11.7</v>
      </c>
      <c r="H1176" t="n">
        <v>0</v>
      </c>
      <c r="I1176" t="n">
        <v>0</v>
      </c>
      <c r="J1176" t="n">
        <v>0</v>
      </c>
      <c r="K1176" t="n">
        <v>0</v>
      </c>
      <c r="L1176" t="n">
        <v>0</v>
      </c>
      <c r="M1176" t="n">
        <v>0</v>
      </c>
      <c r="N1176" t="n">
        <v>0</v>
      </c>
      <c r="O1176" t="n">
        <v>0</v>
      </c>
      <c r="P1176" t="n">
        <v>0</v>
      </c>
      <c r="Q1176" t="n">
        <v>0</v>
      </c>
      <c r="R1176" s="2" t="inlineStr"/>
    </row>
    <row r="1177" ht="15" customHeight="1">
      <c r="A1177" t="inlineStr">
        <is>
          <t>A 31188-2019</t>
        </is>
      </c>
      <c r="B1177" s="1" t="n">
        <v>43636</v>
      </c>
      <c r="C1177" s="1" t="n">
        <v>45810</v>
      </c>
      <c r="D1177" t="inlineStr">
        <is>
          <t>VÄRMLANDS LÄN</t>
        </is>
      </c>
      <c r="E1177" t="inlineStr">
        <is>
          <t>SÄFFLE</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30885-2019</t>
        </is>
      </c>
      <c r="B1178" s="1" t="n">
        <v>43636</v>
      </c>
      <c r="C1178" s="1" t="n">
        <v>45810</v>
      </c>
      <c r="D1178" t="inlineStr">
        <is>
          <t>VÄRMLANDS LÄN</t>
        </is>
      </c>
      <c r="E1178" t="inlineStr">
        <is>
          <t>ARVIKA</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30777-2019</t>
        </is>
      </c>
      <c r="B1179" s="1" t="n">
        <v>43636</v>
      </c>
      <c r="C1179" s="1" t="n">
        <v>45810</v>
      </c>
      <c r="D1179" t="inlineStr">
        <is>
          <t>VÄRMLANDS LÄN</t>
        </is>
      </c>
      <c r="E1179" t="inlineStr">
        <is>
          <t>FILIPSTAD</t>
        </is>
      </c>
      <c r="F1179" t="inlineStr">
        <is>
          <t>Bergvik skog väst AB</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31379-2019</t>
        </is>
      </c>
      <c r="B1180" s="1" t="n">
        <v>43636</v>
      </c>
      <c r="C1180" s="1" t="n">
        <v>45810</v>
      </c>
      <c r="D1180" t="inlineStr">
        <is>
          <t>VÄRMLANDS LÄN</t>
        </is>
      </c>
      <c r="E1180" t="inlineStr">
        <is>
          <t>ÅRJÄNG</t>
        </is>
      </c>
      <c r="G1180" t="n">
        <v>5</v>
      </c>
      <c r="H1180" t="n">
        <v>0</v>
      </c>
      <c r="I1180" t="n">
        <v>0</v>
      </c>
      <c r="J1180" t="n">
        <v>0</v>
      </c>
      <c r="K1180" t="n">
        <v>0</v>
      </c>
      <c r="L1180" t="n">
        <v>0</v>
      </c>
      <c r="M1180" t="n">
        <v>0</v>
      </c>
      <c r="N1180" t="n">
        <v>0</v>
      </c>
      <c r="O1180" t="n">
        <v>0</v>
      </c>
      <c r="P1180" t="n">
        <v>0</v>
      </c>
      <c r="Q1180" t="n">
        <v>0</v>
      </c>
      <c r="R1180" s="2" t="inlineStr"/>
    </row>
    <row r="1181" ht="15" customHeight="1">
      <c r="A1181" t="inlineStr">
        <is>
          <t>A 30888-2019</t>
        </is>
      </c>
      <c r="B1181" s="1" t="n">
        <v>43636</v>
      </c>
      <c r="C1181" s="1" t="n">
        <v>45810</v>
      </c>
      <c r="D1181" t="inlineStr">
        <is>
          <t>VÄRMLANDS LÄN</t>
        </is>
      </c>
      <c r="E1181" t="inlineStr">
        <is>
          <t>GRUMS</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30975-2019</t>
        </is>
      </c>
      <c r="B1182" s="1" t="n">
        <v>43639</v>
      </c>
      <c r="C1182" s="1" t="n">
        <v>45810</v>
      </c>
      <c r="D1182" t="inlineStr">
        <is>
          <t>VÄRMLANDS LÄN</t>
        </is>
      </c>
      <c r="E1182" t="inlineStr">
        <is>
          <t>KARLSTAD</t>
        </is>
      </c>
      <c r="F1182" t="inlineStr">
        <is>
          <t>Naturvårdsverket</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30977-2019</t>
        </is>
      </c>
      <c r="B1183" s="1" t="n">
        <v>43640</v>
      </c>
      <c r="C1183" s="1" t="n">
        <v>45810</v>
      </c>
      <c r="D1183" t="inlineStr">
        <is>
          <t>VÄRMLANDS LÄN</t>
        </is>
      </c>
      <c r="E1183" t="inlineStr">
        <is>
          <t>MUNKFORS</t>
        </is>
      </c>
      <c r="F1183" t="inlineStr">
        <is>
          <t>Bergvik skog väst AB</t>
        </is>
      </c>
      <c r="G1183" t="n">
        <v>4.4</v>
      </c>
      <c r="H1183" t="n">
        <v>0</v>
      </c>
      <c r="I1183" t="n">
        <v>0</v>
      </c>
      <c r="J1183" t="n">
        <v>0</v>
      </c>
      <c r="K1183" t="n">
        <v>0</v>
      </c>
      <c r="L1183" t="n">
        <v>0</v>
      </c>
      <c r="M1183" t="n">
        <v>0</v>
      </c>
      <c r="N1183" t="n">
        <v>0</v>
      </c>
      <c r="O1183" t="n">
        <v>0</v>
      </c>
      <c r="P1183" t="n">
        <v>0</v>
      </c>
      <c r="Q1183" t="n">
        <v>0</v>
      </c>
      <c r="R1183" s="2" t="inlineStr"/>
    </row>
    <row r="1184" ht="15" customHeight="1">
      <c r="A1184" t="inlineStr">
        <is>
          <t>A 31109-2019</t>
        </is>
      </c>
      <c r="B1184" s="1" t="n">
        <v>43640</v>
      </c>
      <c r="C1184" s="1" t="n">
        <v>45810</v>
      </c>
      <c r="D1184" t="inlineStr">
        <is>
          <t>VÄRMLANDS LÄN</t>
        </is>
      </c>
      <c r="E1184" t="inlineStr">
        <is>
          <t>TORSBY</t>
        </is>
      </c>
      <c r="G1184" t="n">
        <v>4</v>
      </c>
      <c r="H1184" t="n">
        <v>0</v>
      </c>
      <c r="I1184" t="n">
        <v>0</v>
      </c>
      <c r="J1184" t="n">
        <v>0</v>
      </c>
      <c r="K1184" t="n">
        <v>0</v>
      </c>
      <c r="L1184" t="n">
        <v>0</v>
      </c>
      <c r="M1184" t="n">
        <v>0</v>
      </c>
      <c r="N1184" t="n">
        <v>0</v>
      </c>
      <c r="O1184" t="n">
        <v>0</v>
      </c>
      <c r="P1184" t="n">
        <v>0</v>
      </c>
      <c r="Q1184" t="n">
        <v>0</v>
      </c>
      <c r="R1184" s="2" t="inlineStr"/>
    </row>
    <row r="1185" ht="15" customHeight="1">
      <c r="A1185" t="inlineStr">
        <is>
          <t>A 31121-2019</t>
        </is>
      </c>
      <c r="B1185" s="1" t="n">
        <v>43640</v>
      </c>
      <c r="C1185" s="1" t="n">
        <v>45810</v>
      </c>
      <c r="D1185" t="inlineStr">
        <is>
          <t>VÄRMLANDS LÄN</t>
        </is>
      </c>
      <c r="E1185" t="inlineStr">
        <is>
          <t>FILIPSTAD</t>
        </is>
      </c>
      <c r="F1185" t="inlineStr">
        <is>
          <t>Bergvik skog väst AB</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31010-2019</t>
        </is>
      </c>
      <c r="B1186" s="1" t="n">
        <v>43640</v>
      </c>
      <c r="C1186" s="1" t="n">
        <v>45810</v>
      </c>
      <c r="D1186" t="inlineStr">
        <is>
          <t>VÄRMLANDS LÄN</t>
        </is>
      </c>
      <c r="E1186" t="inlineStr">
        <is>
          <t>TORSBY</t>
        </is>
      </c>
      <c r="G1186" t="n">
        <v>4</v>
      </c>
      <c r="H1186" t="n">
        <v>0</v>
      </c>
      <c r="I1186" t="n">
        <v>0</v>
      </c>
      <c r="J1186" t="n">
        <v>0</v>
      </c>
      <c r="K1186" t="n">
        <v>0</v>
      </c>
      <c r="L1186" t="n">
        <v>0</v>
      </c>
      <c r="M1186" t="n">
        <v>0</v>
      </c>
      <c r="N1186" t="n">
        <v>0</v>
      </c>
      <c r="O1186" t="n">
        <v>0</v>
      </c>
      <c r="P1186" t="n">
        <v>0</v>
      </c>
      <c r="Q1186" t="n">
        <v>0</v>
      </c>
      <c r="R1186" s="2" t="inlineStr"/>
    </row>
    <row r="1187" ht="15" customHeight="1">
      <c r="A1187" t="inlineStr">
        <is>
          <t>A 31122-2019</t>
        </is>
      </c>
      <c r="B1187" s="1" t="n">
        <v>43640</v>
      </c>
      <c r="C1187" s="1" t="n">
        <v>45810</v>
      </c>
      <c r="D1187" t="inlineStr">
        <is>
          <t>VÄRMLANDS LÄN</t>
        </is>
      </c>
      <c r="E1187" t="inlineStr">
        <is>
          <t>FILIPSTAD</t>
        </is>
      </c>
      <c r="F1187" t="inlineStr">
        <is>
          <t>Bergvik skog väst AB</t>
        </is>
      </c>
      <c r="G1187" t="n">
        <v>4.7</v>
      </c>
      <c r="H1187" t="n">
        <v>0</v>
      </c>
      <c r="I1187" t="n">
        <v>0</v>
      </c>
      <c r="J1187" t="n">
        <v>0</v>
      </c>
      <c r="K1187" t="n">
        <v>0</v>
      </c>
      <c r="L1187" t="n">
        <v>0</v>
      </c>
      <c r="M1187" t="n">
        <v>0</v>
      </c>
      <c r="N1187" t="n">
        <v>0</v>
      </c>
      <c r="O1187" t="n">
        <v>0</v>
      </c>
      <c r="P1187" t="n">
        <v>0</v>
      </c>
      <c r="Q1187" t="n">
        <v>0</v>
      </c>
      <c r="R1187" s="2" t="inlineStr"/>
    </row>
    <row r="1188" ht="15" customHeight="1">
      <c r="A1188" t="inlineStr">
        <is>
          <t>A 31142-2019</t>
        </is>
      </c>
      <c r="B1188" s="1" t="n">
        <v>43640</v>
      </c>
      <c r="C1188" s="1" t="n">
        <v>45810</v>
      </c>
      <c r="D1188" t="inlineStr">
        <is>
          <t>VÄRMLANDS LÄN</t>
        </is>
      </c>
      <c r="E1188" t="inlineStr">
        <is>
          <t>KARLSTAD</t>
        </is>
      </c>
      <c r="F1188" t="inlineStr">
        <is>
          <t>Bergvik skog väst AB</t>
        </is>
      </c>
      <c r="G1188" t="n">
        <v>20.2</v>
      </c>
      <c r="H1188" t="n">
        <v>0</v>
      </c>
      <c r="I1188" t="n">
        <v>0</v>
      </c>
      <c r="J1188" t="n">
        <v>0</v>
      </c>
      <c r="K1188" t="n">
        <v>0</v>
      </c>
      <c r="L1188" t="n">
        <v>0</v>
      </c>
      <c r="M1188" t="n">
        <v>0</v>
      </c>
      <c r="N1188" t="n">
        <v>0</v>
      </c>
      <c r="O1188" t="n">
        <v>0</v>
      </c>
      <c r="P1188" t="n">
        <v>0</v>
      </c>
      <c r="Q1188" t="n">
        <v>0</v>
      </c>
      <c r="R1188" s="2" t="inlineStr"/>
    </row>
    <row r="1189" ht="15" customHeight="1">
      <c r="A1189" t="inlineStr">
        <is>
          <t>A 31120-2019</t>
        </is>
      </c>
      <c r="B1189" s="1" t="n">
        <v>43640</v>
      </c>
      <c r="C1189" s="1" t="n">
        <v>45810</v>
      </c>
      <c r="D1189" t="inlineStr">
        <is>
          <t>VÄRMLANDS LÄN</t>
        </is>
      </c>
      <c r="E1189" t="inlineStr">
        <is>
          <t>FILIPSTAD</t>
        </is>
      </c>
      <c r="F1189" t="inlineStr">
        <is>
          <t>Bergvik skog väst AB</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31138-2019</t>
        </is>
      </c>
      <c r="B1190" s="1" t="n">
        <v>43640</v>
      </c>
      <c r="C1190" s="1" t="n">
        <v>45810</v>
      </c>
      <c r="D1190" t="inlineStr">
        <is>
          <t>VÄRMLANDS LÄN</t>
        </is>
      </c>
      <c r="E1190" t="inlineStr">
        <is>
          <t>TORSBY</t>
        </is>
      </c>
      <c r="F1190" t="inlineStr">
        <is>
          <t>Bergvik skog väst AB</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31218-2019</t>
        </is>
      </c>
      <c r="B1191" s="1" t="n">
        <v>43640</v>
      </c>
      <c r="C1191" s="1" t="n">
        <v>45810</v>
      </c>
      <c r="D1191" t="inlineStr">
        <is>
          <t>VÄRMLANDS LÄN</t>
        </is>
      </c>
      <c r="E1191" t="inlineStr">
        <is>
          <t>ARVIKA</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31174-2019</t>
        </is>
      </c>
      <c r="B1192" s="1" t="n">
        <v>43640</v>
      </c>
      <c r="C1192" s="1" t="n">
        <v>45810</v>
      </c>
      <c r="D1192" t="inlineStr">
        <is>
          <t>VÄRMLANDS LÄN</t>
        </is>
      </c>
      <c r="E1192" t="inlineStr">
        <is>
          <t>SÄFFLE</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31457-2019</t>
        </is>
      </c>
      <c r="B1193" s="1" t="n">
        <v>43640</v>
      </c>
      <c r="C1193" s="1" t="n">
        <v>45810</v>
      </c>
      <c r="D1193" t="inlineStr">
        <is>
          <t>VÄRMLANDS LÄN</t>
        </is>
      </c>
      <c r="E1193" t="inlineStr">
        <is>
          <t>SUNNE</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31664-2019</t>
        </is>
      </c>
      <c r="B1194" s="1" t="n">
        <v>43640</v>
      </c>
      <c r="C1194" s="1" t="n">
        <v>45810</v>
      </c>
      <c r="D1194" t="inlineStr">
        <is>
          <t>VÄRMLANDS LÄN</t>
        </is>
      </c>
      <c r="E1194" t="inlineStr">
        <is>
          <t>FILIPSTAD</t>
        </is>
      </c>
      <c r="F1194" t="inlineStr">
        <is>
          <t>Kyrkan</t>
        </is>
      </c>
      <c r="G1194" t="n">
        <v>4</v>
      </c>
      <c r="H1194" t="n">
        <v>0</v>
      </c>
      <c r="I1194" t="n">
        <v>0</v>
      </c>
      <c r="J1194" t="n">
        <v>0</v>
      </c>
      <c r="K1194" t="n">
        <v>0</v>
      </c>
      <c r="L1194" t="n">
        <v>0</v>
      </c>
      <c r="M1194" t="n">
        <v>0</v>
      </c>
      <c r="N1194" t="n">
        <v>0</v>
      </c>
      <c r="O1194" t="n">
        <v>0</v>
      </c>
      <c r="P1194" t="n">
        <v>0</v>
      </c>
      <c r="Q1194" t="n">
        <v>0</v>
      </c>
      <c r="R1194" s="2" t="inlineStr"/>
    </row>
    <row r="1195" ht="15" customHeight="1">
      <c r="A1195" t="inlineStr">
        <is>
          <t>A 32393-2019</t>
        </is>
      </c>
      <c r="B1195" s="1" t="n">
        <v>43640</v>
      </c>
      <c r="C1195" s="1" t="n">
        <v>45810</v>
      </c>
      <c r="D1195" t="inlineStr">
        <is>
          <t>VÄRMLANDS LÄN</t>
        </is>
      </c>
      <c r="E1195" t="inlineStr">
        <is>
          <t>MUNKFORS</t>
        </is>
      </c>
      <c r="F1195" t="inlineStr">
        <is>
          <t>Bergvik skog väst AB</t>
        </is>
      </c>
      <c r="G1195" t="n">
        <v>0.2</v>
      </c>
      <c r="H1195" t="n">
        <v>0</v>
      </c>
      <c r="I1195" t="n">
        <v>0</v>
      </c>
      <c r="J1195" t="n">
        <v>0</v>
      </c>
      <c r="K1195" t="n">
        <v>0</v>
      </c>
      <c r="L1195" t="n">
        <v>0</v>
      </c>
      <c r="M1195" t="n">
        <v>0</v>
      </c>
      <c r="N1195" t="n">
        <v>0</v>
      </c>
      <c r="O1195" t="n">
        <v>0</v>
      </c>
      <c r="P1195" t="n">
        <v>0</v>
      </c>
      <c r="Q1195" t="n">
        <v>0</v>
      </c>
      <c r="R1195" s="2" t="inlineStr"/>
    </row>
    <row r="1196" ht="15" customHeight="1">
      <c r="A1196" t="inlineStr">
        <is>
          <t>A 31449-2019</t>
        </is>
      </c>
      <c r="B1196" s="1" t="n">
        <v>43640</v>
      </c>
      <c r="C1196" s="1" t="n">
        <v>45810</v>
      </c>
      <c r="D1196" t="inlineStr">
        <is>
          <t>VÄRMLANDS LÄN</t>
        </is>
      </c>
      <c r="E1196" t="inlineStr">
        <is>
          <t>SUNNE</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31650-2019</t>
        </is>
      </c>
      <c r="B1197" s="1" t="n">
        <v>43640</v>
      </c>
      <c r="C1197" s="1" t="n">
        <v>45810</v>
      </c>
      <c r="D1197" t="inlineStr">
        <is>
          <t>VÄRMLANDS LÄN</t>
        </is>
      </c>
      <c r="E1197" t="inlineStr">
        <is>
          <t>FILIPSTAD</t>
        </is>
      </c>
      <c r="F1197" t="inlineStr">
        <is>
          <t>Kyrkan</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31203-2019</t>
        </is>
      </c>
      <c r="B1198" s="1" t="n">
        <v>43640</v>
      </c>
      <c r="C1198" s="1" t="n">
        <v>45810</v>
      </c>
      <c r="D1198" t="inlineStr">
        <is>
          <t>VÄRMLANDS LÄN</t>
        </is>
      </c>
      <c r="E1198" t="inlineStr">
        <is>
          <t>KRISTINEHAMN</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31383-2019</t>
        </is>
      </c>
      <c r="B1199" s="1" t="n">
        <v>43641</v>
      </c>
      <c r="C1199" s="1" t="n">
        <v>45810</v>
      </c>
      <c r="D1199" t="inlineStr">
        <is>
          <t>VÄRMLANDS LÄN</t>
        </is>
      </c>
      <c r="E1199" t="inlineStr">
        <is>
          <t>FORSHAGA</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31553-2019</t>
        </is>
      </c>
      <c r="B1200" s="1" t="n">
        <v>43641</v>
      </c>
      <c r="C1200" s="1" t="n">
        <v>45810</v>
      </c>
      <c r="D1200" t="inlineStr">
        <is>
          <t>VÄRMLANDS LÄN</t>
        </is>
      </c>
      <c r="E1200" t="inlineStr">
        <is>
          <t>SUNNE</t>
        </is>
      </c>
      <c r="F1200" t="inlineStr">
        <is>
          <t>Bergvik skog väst AB</t>
        </is>
      </c>
      <c r="G1200" t="n">
        <v>4.7</v>
      </c>
      <c r="H1200" t="n">
        <v>0</v>
      </c>
      <c r="I1200" t="n">
        <v>0</v>
      </c>
      <c r="J1200" t="n">
        <v>0</v>
      </c>
      <c r="K1200" t="n">
        <v>0</v>
      </c>
      <c r="L1200" t="n">
        <v>0</v>
      </c>
      <c r="M1200" t="n">
        <v>0</v>
      </c>
      <c r="N1200" t="n">
        <v>0</v>
      </c>
      <c r="O1200" t="n">
        <v>0</v>
      </c>
      <c r="P1200" t="n">
        <v>0</v>
      </c>
      <c r="Q1200" t="n">
        <v>0</v>
      </c>
      <c r="R1200" s="2" t="inlineStr"/>
    </row>
    <row r="1201" ht="15" customHeight="1">
      <c r="A1201" t="inlineStr">
        <is>
          <t>A 31327-2019</t>
        </is>
      </c>
      <c r="B1201" s="1" t="n">
        <v>43641</v>
      </c>
      <c r="C1201" s="1" t="n">
        <v>45810</v>
      </c>
      <c r="D1201" t="inlineStr">
        <is>
          <t>VÄRMLANDS LÄN</t>
        </is>
      </c>
      <c r="E1201" t="inlineStr">
        <is>
          <t>ARVIKA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31543-2019</t>
        </is>
      </c>
      <c r="B1202" s="1" t="n">
        <v>43641</v>
      </c>
      <c r="C1202" s="1" t="n">
        <v>45810</v>
      </c>
      <c r="D1202" t="inlineStr">
        <is>
          <t>VÄRMLANDS LÄN</t>
        </is>
      </c>
      <c r="E1202" t="inlineStr">
        <is>
          <t>TORSBY</t>
        </is>
      </c>
      <c r="G1202" t="n">
        <v>6</v>
      </c>
      <c r="H1202" t="n">
        <v>0</v>
      </c>
      <c r="I1202" t="n">
        <v>0</v>
      </c>
      <c r="J1202" t="n">
        <v>0</v>
      </c>
      <c r="K1202" t="n">
        <v>0</v>
      </c>
      <c r="L1202" t="n">
        <v>0</v>
      </c>
      <c r="M1202" t="n">
        <v>0</v>
      </c>
      <c r="N1202" t="n">
        <v>0</v>
      </c>
      <c r="O1202" t="n">
        <v>0</v>
      </c>
      <c r="P1202" t="n">
        <v>0</v>
      </c>
      <c r="Q1202" t="n">
        <v>0</v>
      </c>
      <c r="R1202" s="2" t="inlineStr"/>
    </row>
    <row r="1203" ht="15" customHeight="1">
      <c r="A1203" t="inlineStr">
        <is>
          <t>A 31349-2019</t>
        </is>
      </c>
      <c r="B1203" s="1" t="n">
        <v>43641</v>
      </c>
      <c r="C1203" s="1" t="n">
        <v>45810</v>
      </c>
      <c r="D1203" t="inlineStr">
        <is>
          <t>VÄRMLANDS LÄN</t>
        </is>
      </c>
      <c r="E1203" t="inlineStr">
        <is>
          <t>FORSHAGA</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31631-2019</t>
        </is>
      </c>
      <c r="B1204" s="1" t="n">
        <v>43642</v>
      </c>
      <c r="C1204" s="1" t="n">
        <v>45810</v>
      </c>
      <c r="D1204" t="inlineStr">
        <is>
          <t>VÄRMLANDS LÄN</t>
        </is>
      </c>
      <c r="E1204" t="inlineStr">
        <is>
          <t>KARLSTAD</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31609-2019</t>
        </is>
      </c>
      <c r="B1205" s="1" t="n">
        <v>43642</v>
      </c>
      <c r="C1205" s="1" t="n">
        <v>45810</v>
      </c>
      <c r="D1205" t="inlineStr">
        <is>
          <t>VÄRMLANDS LÄN</t>
        </is>
      </c>
      <c r="E1205" t="inlineStr">
        <is>
          <t>SUNNE</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31661-2019</t>
        </is>
      </c>
      <c r="B1206" s="1" t="n">
        <v>43642</v>
      </c>
      <c r="C1206" s="1" t="n">
        <v>45810</v>
      </c>
      <c r="D1206" t="inlineStr">
        <is>
          <t>VÄRMLANDS LÄN</t>
        </is>
      </c>
      <c r="E1206" t="inlineStr">
        <is>
          <t>SUNNE</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32057-2019</t>
        </is>
      </c>
      <c r="B1207" s="1" t="n">
        <v>43642</v>
      </c>
      <c r="C1207" s="1" t="n">
        <v>45810</v>
      </c>
      <c r="D1207" t="inlineStr">
        <is>
          <t>VÄRMLANDS LÄN</t>
        </is>
      </c>
      <c r="E1207" t="inlineStr">
        <is>
          <t>GRUMS</t>
        </is>
      </c>
      <c r="F1207" t="inlineStr">
        <is>
          <t>Bergvik skog väst AB</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32068-2019</t>
        </is>
      </c>
      <c r="B1208" s="1" t="n">
        <v>43642</v>
      </c>
      <c r="C1208" s="1" t="n">
        <v>45810</v>
      </c>
      <c r="D1208" t="inlineStr">
        <is>
          <t>VÄRMLANDS LÄN</t>
        </is>
      </c>
      <c r="E1208" t="inlineStr">
        <is>
          <t>GRUMS</t>
        </is>
      </c>
      <c r="F1208" t="inlineStr">
        <is>
          <t>Bergvik skog väst AB</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31930-2019</t>
        </is>
      </c>
      <c r="B1209" s="1" t="n">
        <v>43642</v>
      </c>
      <c r="C1209" s="1" t="n">
        <v>45810</v>
      </c>
      <c r="D1209" t="inlineStr">
        <is>
          <t>VÄRMLANDS LÄN</t>
        </is>
      </c>
      <c r="E1209" t="inlineStr">
        <is>
          <t>TORSBY</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32071-2019</t>
        </is>
      </c>
      <c r="B1210" s="1" t="n">
        <v>43642</v>
      </c>
      <c r="C1210" s="1" t="n">
        <v>45810</v>
      </c>
      <c r="D1210" t="inlineStr">
        <is>
          <t>VÄRMLANDS LÄN</t>
        </is>
      </c>
      <c r="E1210" t="inlineStr">
        <is>
          <t>GRUMS</t>
        </is>
      </c>
      <c r="F1210" t="inlineStr">
        <is>
          <t>Bergvik skog väst AB</t>
        </is>
      </c>
      <c r="G1210" t="n">
        <v>7.2</v>
      </c>
      <c r="H1210" t="n">
        <v>0</v>
      </c>
      <c r="I1210" t="n">
        <v>0</v>
      </c>
      <c r="J1210" t="n">
        <v>0</v>
      </c>
      <c r="K1210" t="n">
        <v>0</v>
      </c>
      <c r="L1210" t="n">
        <v>0</v>
      </c>
      <c r="M1210" t="n">
        <v>0</v>
      </c>
      <c r="N1210" t="n">
        <v>0</v>
      </c>
      <c r="O1210" t="n">
        <v>0</v>
      </c>
      <c r="P1210" t="n">
        <v>0</v>
      </c>
      <c r="Q1210" t="n">
        <v>0</v>
      </c>
      <c r="R1210" s="2" t="inlineStr"/>
    </row>
    <row r="1211" ht="15" customHeight="1">
      <c r="A1211" t="inlineStr">
        <is>
          <t>A 32013-2019</t>
        </is>
      </c>
      <c r="B1211" s="1" t="n">
        <v>43642</v>
      </c>
      <c r="C1211" s="1" t="n">
        <v>45810</v>
      </c>
      <c r="D1211" t="inlineStr">
        <is>
          <t>VÄRMLANDS LÄN</t>
        </is>
      </c>
      <c r="E1211" t="inlineStr">
        <is>
          <t>STORFORS</t>
        </is>
      </c>
      <c r="F1211" t="inlineStr">
        <is>
          <t>Kyrkan</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31658-2019</t>
        </is>
      </c>
      <c r="B1212" s="1" t="n">
        <v>43642</v>
      </c>
      <c r="C1212" s="1" t="n">
        <v>45810</v>
      </c>
      <c r="D1212" t="inlineStr">
        <is>
          <t>VÄRMLANDS LÄN</t>
        </is>
      </c>
      <c r="E1212" t="inlineStr">
        <is>
          <t>ÅRJÄNG</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32040-2019</t>
        </is>
      </c>
      <c r="B1213" s="1" t="n">
        <v>43643</v>
      </c>
      <c r="C1213" s="1" t="n">
        <v>45810</v>
      </c>
      <c r="D1213" t="inlineStr">
        <is>
          <t>VÄRMLANDS LÄN</t>
        </is>
      </c>
      <c r="E1213" t="inlineStr">
        <is>
          <t>KRISTINEHAMN</t>
        </is>
      </c>
      <c r="G1213" t="n">
        <v>5.7</v>
      </c>
      <c r="H1213" t="n">
        <v>0</v>
      </c>
      <c r="I1213" t="n">
        <v>0</v>
      </c>
      <c r="J1213" t="n">
        <v>0</v>
      </c>
      <c r="K1213" t="n">
        <v>0</v>
      </c>
      <c r="L1213" t="n">
        <v>0</v>
      </c>
      <c r="M1213" t="n">
        <v>0</v>
      </c>
      <c r="N1213" t="n">
        <v>0</v>
      </c>
      <c r="O1213" t="n">
        <v>0</v>
      </c>
      <c r="P1213" t="n">
        <v>0</v>
      </c>
      <c r="Q1213" t="n">
        <v>0</v>
      </c>
      <c r="R1213" s="2" t="inlineStr"/>
    </row>
    <row r="1214" ht="15" customHeight="1">
      <c r="A1214" t="inlineStr">
        <is>
          <t>A 31981-2019</t>
        </is>
      </c>
      <c r="B1214" s="1" t="n">
        <v>43643</v>
      </c>
      <c r="C1214" s="1" t="n">
        <v>45810</v>
      </c>
      <c r="D1214" t="inlineStr">
        <is>
          <t>VÄRMLANDS LÄN</t>
        </is>
      </c>
      <c r="E1214" t="inlineStr">
        <is>
          <t>GRUMS</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32185-2019</t>
        </is>
      </c>
      <c r="B1215" s="1" t="n">
        <v>43643</v>
      </c>
      <c r="C1215" s="1" t="n">
        <v>45810</v>
      </c>
      <c r="D1215" t="inlineStr">
        <is>
          <t>VÄRMLANDS LÄN</t>
        </is>
      </c>
      <c r="E1215" t="inlineStr">
        <is>
          <t>ARVIKA</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31954-2019</t>
        </is>
      </c>
      <c r="B1216" s="1" t="n">
        <v>43643</v>
      </c>
      <c r="C1216" s="1" t="n">
        <v>45810</v>
      </c>
      <c r="D1216" t="inlineStr">
        <is>
          <t>VÄRMLANDS LÄN</t>
        </is>
      </c>
      <c r="E1216" t="inlineStr">
        <is>
          <t>SUNNE</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32099-2019</t>
        </is>
      </c>
      <c r="B1217" s="1" t="n">
        <v>43643</v>
      </c>
      <c r="C1217" s="1" t="n">
        <v>45810</v>
      </c>
      <c r="D1217" t="inlineStr">
        <is>
          <t>VÄRMLANDS LÄN</t>
        </is>
      </c>
      <c r="E1217" t="inlineStr">
        <is>
          <t>KRISTINEHAMN</t>
        </is>
      </c>
      <c r="G1217" t="n">
        <v>4.5</v>
      </c>
      <c r="H1217" t="n">
        <v>0</v>
      </c>
      <c r="I1217" t="n">
        <v>0</v>
      </c>
      <c r="J1217" t="n">
        <v>0</v>
      </c>
      <c r="K1217" t="n">
        <v>0</v>
      </c>
      <c r="L1217" t="n">
        <v>0</v>
      </c>
      <c r="M1217" t="n">
        <v>0</v>
      </c>
      <c r="N1217" t="n">
        <v>0</v>
      </c>
      <c r="O1217" t="n">
        <v>0</v>
      </c>
      <c r="P1217" t="n">
        <v>0</v>
      </c>
      <c r="Q1217" t="n">
        <v>0</v>
      </c>
      <c r="R1217" s="2" t="inlineStr"/>
    </row>
    <row r="1218" ht="15" customHeight="1">
      <c r="A1218" t="inlineStr">
        <is>
          <t>A 32170-2019</t>
        </is>
      </c>
      <c r="B1218" s="1" t="n">
        <v>43643</v>
      </c>
      <c r="C1218" s="1" t="n">
        <v>45810</v>
      </c>
      <c r="D1218" t="inlineStr">
        <is>
          <t>VÄRMLANDS LÄN</t>
        </is>
      </c>
      <c r="E1218" t="inlineStr">
        <is>
          <t>TORSBY</t>
        </is>
      </c>
      <c r="G1218" t="n">
        <v>4.6</v>
      </c>
      <c r="H1218" t="n">
        <v>0</v>
      </c>
      <c r="I1218" t="n">
        <v>0</v>
      </c>
      <c r="J1218" t="n">
        <v>0</v>
      </c>
      <c r="K1218" t="n">
        <v>0</v>
      </c>
      <c r="L1218" t="n">
        <v>0</v>
      </c>
      <c r="M1218" t="n">
        <v>0</v>
      </c>
      <c r="N1218" t="n">
        <v>0</v>
      </c>
      <c r="O1218" t="n">
        <v>0</v>
      </c>
      <c r="P1218" t="n">
        <v>0</v>
      </c>
      <c r="Q1218" t="n">
        <v>0</v>
      </c>
      <c r="R1218" s="2" t="inlineStr"/>
    </row>
    <row r="1219" ht="15" customHeight="1">
      <c r="A1219" t="inlineStr">
        <is>
          <t>A 32076-2019</t>
        </is>
      </c>
      <c r="B1219" s="1" t="n">
        <v>43643</v>
      </c>
      <c r="C1219" s="1" t="n">
        <v>45810</v>
      </c>
      <c r="D1219" t="inlineStr">
        <is>
          <t>VÄRMLANDS LÄN</t>
        </is>
      </c>
      <c r="E1219" t="inlineStr">
        <is>
          <t>KRISTINEHAMN</t>
        </is>
      </c>
      <c r="G1219" t="n">
        <v>8.199999999999999</v>
      </c>
      <c r="H1219" t="n">
        <v>0</v>
      </c>
      <c r="I1219" t="n">
        <v>0</v>
      </c>
      <c r="J1219" t="n">
        <v>0</v>
      </c>
      <c r="K1219" t="n">
        <v>0</v>
      </c>
      <c r="L1219" t="n">
        <v>0</v>
      </c>
      <c r="M1219" t="n">
        <v>0</v>
      </c>
      <c r="N1219" t="n">
        <v>0</v>
      </c>
      <c r="O1219" t="n">
        <v>0</v>
      </c>
      <c r="P1219" t="n">
        <v>0</v>
      </c>
      <c r="Q1219" t="n">
        <v>0</v>
      </c>
      <c r="R1219" s="2" t="inlineStr"/>
    </row>
    <row r="1220" ht="15" customHeight="1">
      <c r="A1220" t="inlineStr">
        <is>
          <t>A 32112-2019</t>
        </is>
      </c>
      <c r="B1220" s="1" t="n">
        <v>43643</v>
      </c>
      <c r="C1220" s="1" t="n">
        <v>45810</v>
      </c>
      <c r="D1220" t="inlineStr">
        <is>
          <t>VÄRMLANDS LÄN</t>
        </is>
      </c>
      <c r="E1220" t="inlineStr">
        <is>
          <t>KRISTINEHAMN</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32250-2019</t>
        </is>
      </c>
      <c r="B1221" s="1" t="n">
        <v>43644</v>
      </c>
      <c r="C1221" s="1" t="n">
        <v>45810</v>
      </c>
      <c r="D1221" t="inlineStr">
        <is>
          <t>VÄRMLANDS LÄN</t>
        </is>
      </c>
      <c r="E1221" t="inlineStr">
        <is>
          <t>KIL</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32406-2019</t>
        </is>
      </c>
      <c r="B1222" s="1" t="n">
        <v>43644</v>
      </c>
      <c r="C1222" s="1" t="n">
        <v>45810</v>
      </c>
      <c r="D1222" t="inlineStr">
        <is>
          <t>VÄRMLANDS LÄN</t>
        </is>
      </c>
      <c r="E1222" t="inlineStr">
        <is>
          <t>KARLSTAD</t>
        </is>
      </c>
      <c r="F1222" t="inlineStr">
        <is>
          <t>Kommuner</t>
        </is>
      </c>
      <c r="G1222" t="n">
        <v>7.9</v>
      </c>
      <c r="H1222" t="n">
        <v>0</v>
      </c>
      <c r="I1222" t="n">
        <v>0</v>
      </c>
      <c r="J1222" t="n">
        <v>0</v>
      </c>
      <c r="K1222" t="n">
        <v>0</v>
      </c>
      <c r="L1222" t="n">
        <v>0</v>
      </c>
      <c r="M1222" t="n">
        <v>0</v>
      </c>
      <c r="N1222" t="n">
        <v>0</v>
      </c>
      <c r="O1222" t="n">
        <v>0</v>
      </c>
      <c r="P1222" t="n">
        <v>0</v>
      </c>
      <c r="Q1222" t="n">
        <v>0</v>
      </c>
      <c r="R1222" s="2" t="inlineStr"/>
    </row>
    <row r="1223" ht="15" customHeight="1">
      <c r="A1223" t="inlineStr">
        <is>
          <t>A 32413-2019</t>
        </is>
      </c>
      <c r="B1223" s="1" t="n">
        <v>43644</v>
      </c>
      <c r="C1223" s="1" t="n">
        <v>45810</v>
      </c>
      <c r="D1223" t="inlineStr">
        <is>
          <t>VÄRMLANDS LÄN</t>
        </is>
      </c>
      <c r="E1223" t="inlineStr">
        <is>
          <t>ARVIKA</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32443-2019</t>
        </is>
      </c>
      <c r="B1224" s="1" t="n">
        <v>43644</v>
      </c>
      <c r="C1224" s="1" t="n">
        <v>45810</v>
      </c>
      <c r="D1224" t="inlineStr">
        <is>
          <t>VÄRMLANDS LÄN</t>
        </is>
      </c>
      <c r="E1224" t="inlineStr">
        <is>
          <t>TORSBY</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32298-2019</t>
        </is>
      </c>
      <c r="B1225" s="1" t="n">
        <v>43644</v>
      </c>
      <c r="C1225" s="1" t="n">
        <v>45810</v>
      </c>
      <c r="D1225" t="inlineStr">
        <is>
          <t>VÄRMLANDS LÄN</t>
        </is>
      </c>
      <c r="E1225" t="inlineStr">
        <is>
          <t>TORSBY</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33540-2019</t>
        </is>
      </c>
      <c r="B1226" s="1" t="n">
        <v>43644</v>
      </c>
      <c r="C1226" s="1" t="n">
        <v>45810</v>
      </c>
      <c r="D1226" t="inlineStr">
        <is>
          <t>VÄRMLANDS LÄN</t>
        </is>
      </c>
      <c r="E1226" t="inlineStr">
        <is>
          <t>SÄFFLE</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32468-2019</t>
        </is>
      </c>
      <c r="B1227" s="1" t="n">
        <v>43644</v>
      </c>
      <c r="C1227" s="1" t="n">
        <v>45810</v>
      </c>
      <c r="D1227" t="inlineStr">
        <is>
          <t>VÄRMLANDS LÄN</t>
        </is>
      </c>
      <c r="E1227" t="inlineStr">
        <is>
          <t>TORSBY</t>
        </is>
      </c>
      <c r="G1227" t="n">
        <v>4.7</v>
      </c>
      <c r="H1227" t="n">
        <v>0</v>
      </c>
      <c r="I1227" t="n">
        <v>0</v>
      </c>
      <c r="J1227" t="n">
        <v>0</v>
      </c>
      <c r="K1227" t="n">
        <v>0</v>
      </c>
      <c r="L1227" t="n">
        <v>0</v>
      </c>
      <c r="M1227" t="n">
        <v>0</v>
      </c>
      <c r="N1227" t="n">
        <v>0</v>
      </c>
      <c r="O1227" t="n">
        <v>0</v>
      </c>
      <c r="P1227" t="n">
        <v>0</v>
      </c>
      <c r="Q1227" t="n">
        <v>0</v>
      </c>
      <c r="R1227" s="2" t="inlineStr"/>
    </row>
    <row r="1228" ht="15" customHeight="1">
      <c r="A1228" t="inlineStr">
        <is>
          <t>A 33587-2019</t>
        </is>
      </c>
      <c r="B1228" s="1" t="n">
        <v>43644</v>
      </c>
      <c r="C1228" s="1" t="n">
        <v>45810</v>
      </c>
      <c r="D1228" t="inlineStr">
        <is>
          <t>VÄRMLANDS LÄN</t>
        </is>
      </c>
      <c r="E1228" t="inlineStr">
        <is>
          <t>KRISTINEHAMN</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32444-2019</t>
        </is>
      </c>
      <c r="B1229" s="1" t="n">
        <v>43644</v>
      </c>
      <c r="C1229" s="1" t="n">
        <v>45810</v>
      </c>
      <c r="D1229" t="inlineStr">
        <is>
          <t>VÄRMLANDS LÄN</t>
        </is>
      </c>
      <c r="E1229" t="inlineStr">
        <is>
          <t>TORSBY</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32516-2019</t>
        </is>
      </c>
      <c r="B1230" s="1" t="n">
        <v>43646</v>
      </c>
      <c r="C1230" s="1" t="n">
        <v>45810</v>
      </c>
      <c r="D1230" t="inlineStr">
        <is>
          <t>VÄRMLANDS LÄN</t>
        </is>
      </c>
      <c r="E1230" t="inlineStr">
        <is>
          <t>SUNNE</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33915-2019</t>
        </is>
      </c>
      <c r="B1231" s="1" t="n">
        <v>43646</v>
      </c>
      <c r="C1231" s="1" t="n">
        <v>45810</v>
      </c>
      <c r="D1231" t="inlineStr">
        <is>
          <t>VÄRMLANDS LÄN</t>
        </is>
      </c>
      <c r="E1231" t="inlineStr">
        <is>
          <t>ÅRJÄNG</t>
        </is>
      </c>
      <c r="F1231" t="inlineStr">
        <is>
          <t>Övriga Aktiebolag</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33911-2019</t>
        </is>
      </c>
      <c r="B1232" s="1" t="n">
        <v>43646</v>
      </c>
      <c r="C1232" s="1" t="n">
        <v>45810</v>
      </c>
      <c r="D1232" t="inlineStr">
        <is>
          <t>VÄRMLANDS LÄN</t>
        </is>
      </c>
      <c r="E1232" t="inlineStr">
        <is>
          <t>ÅRJÄNG</t>
        </is>
      </c>
      <c r="F1232" t="inlineStr">
        <is>
          <t>Övriga Aktiebolag</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32562-2019</t>
        </is>
      </c>
      <c r="B1233" s="1" t="n">
        <v>43647</v>
      </c>
      <c r="C1233" s="1" t="n">
        <v>45810</v>
      </c>
      <c r="D1233" t="inlineStr">
        <is>
          <t>VÄRMLANDS LÄN</t>
        </is>
      </c>
      <c r="E1233" t="inlineStr">
        <is>
          <t>FILIPSTAD</t>
        </is>
      </c>
      <c r="F1233" t="inlineStr">
        <is>
          <t>Bergvik skog väst AB</t>
        </is>
      </c>
      <c r="G1233" t="n">
        <v>8.1</v>
      </c>
      <c r="H1233" t="n">
        <v>0</v>
      </c>
      <c r="I1233" t="n">
        <v>0</v>
      </c>
      <c r="J1233" t="n">
        <v>0</v>
      </c>
      <c r="K1233" t="n">
        <v>0</v>
      </c>
      <c r="L1233" t="n">
        <v>0</v>
      </c>
      <c r="M1233" t="n">
        <v>0</v>
      </c>
      <c r="N1233" t="n">
        <v>0</v>
      </c>
      <c r="O1233" t="n">
        <v>0</v>
      </c>
      <c r="P1233" t="n">
        <v>0</v>
      </c>
      <c r="Q1233" t="n">
        <v>0</v>
      </c>
      <c r="R1233" s="2" t="inlineStr"/>
    </row>
    <row r="1234" ht="15" customHeight="1">
      <c r="A1234" t="inlineStr">
        <is>
          <t>A 32560-2019</t>
        </is>
      </c>
      <c r="B1234" s="1" t="n">
        <v>43647</v>
      </c>
      <c r="C1234" s="1" t="n">
        <v>45810</v>
      </c>
      <c r="D1234" t="inlineStr">
        <is>
          <t>VÄRMLANDS LÄN</t>
        </is>
      </c>
      <c r="E1234" t="inlineStr">
        <is>
          <t>SUNNE</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34526-2019</t>
        </is>
      </c>
      <c r="B1235" s="1" t="n">
        <v>43647</v>
      </c>
      <c r="C1235" s="1" t="n">
        <v>45810</v>
      </c>
      <c r="D1235" t="inlineStr">
        <is>
          <t>VÄRMLANDS LÄN</t>
        </is>
      </c>
      <c r="E1235" t="inlineStr">
        <is>
          <t>ÅRJÄNG</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32764-2019</t>
        </is>
      </c>
      <c r="B1236" s="1" t="n">
        <v>43648</v>
      </c>
      <c r="C1236" s="1" t="n">
        <v>45810</v>
      </c>
      <c r="D1236" t="inlineStr">
        <is>
          <t>VÄRMLANDS LÄN</t>
        </is>
      </c>
      <c r="E1236" t="inlineStr">
        <is>
          <t>SÄFFLE</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32865-2019</t>
        </is>
      </c>
      <c r="B1237" s="1" t="n">
        <v>43648</v>
      </c>
      <c r="C1237" s="1" t="n">
        <v>45810</v>
      </c>
      <c r="D1237" t="inlineStr">
        <is>
          <t>VÄRMLANDS LÄN</t>
        </is>
      </c>
      <c r="E1237" t="inlineStr">
        <is>
          <t>SUNNE</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32900-2019</t>
        </is>
      </c>
      <c r="B1238" s="1" t="n">
        <v>43648</v>
      </c>
      <c r="C1238" s="1" t="n">
        <v>45810</v>
      </c>
      <c r="D1238" t="inlineStr">
        <is>
          <t>VÄRMLANDS LÄN</t>
        </is>
      </c>
      <c r="E1238" t="inlineStr">
        <is>
          <t>KARLSTAD</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34646-2019</t>
        </is>
      </c>
      <c r="B1239" s="1" t="n">
        <v>43648</v>
      </c>
      <c r="C1239" s="1" t="n">
        <v>45810</v>
      </c>
      <c r="D1239" t="inlineStr">
        <is>
          <t>VÄRMLANDS LÄN</t>
        </is>
      </c>
      <c r="E1239" t="inlineStr">
        <is>
          <t>ÅRJÄNG</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34750-2019</t>
        </is>
      </c>
      <c r="B1240" s="1" t="n">
        <v>43648</v>
      </c>
      <c r="C1240" s="1" t="n">
        <v>45810</v>
      </c>
      <c r="D1240" t="inlineStr">
        <is>
          <t>VÄRMLANDS LÄN</t>
        </is>
      </c>
      <c r="E1240" t="inlineStr">
        <is>
          <t>KARLSTAD</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32896-2019</t>
        </is>
      </c>
      <c r="B1241" s="1" t="n">
        <v>43648</v>
      </c>
      <c r="C1241" s="1" t="n">
        <v>45810</v>
      </c>
      <c r="D1241" t="inlineStr">
        <is>
          <t>VÄRMLANDS LÄN</t>
        </is>
      </c>
      <c r="E1241" t="inlineStr">
        <is>
          <t>SÄFFLE</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32765-2019</t>
        </is>
      </c>
      <c r="B1242" s="1" t="n">
        <v>43648</v>
      </c>
      <c r="C1242" s="1" t="n">
        <v>45810</v>
      </c>
      <c r="D1242" t="inlineStr">
        <is>
          <t>VÄRMLANDS LÄN</t>
        </is>
      </c>
      <c r="E1242" t="inlineStr">
        <is>
          <t>SÄFFLE</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32763-2019</t>
        </is>
      </c>
      <c r="B1243" s="1" t="n">
        <v>43648</v>
      </c>
      <c r="C1243" s="1" t="n">
        <v>45810</v>
      </c>
      <c r="D1243" t="inlineStr">
        <is>
          <t>VÄRMLANDS LÄN</t>
        </is>
      </c>
      <c r="E1243" t="inlineStr">
        <is>
          <t>SÄFFLE</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33004-2019</t>
        </is>
      </c>
      <c r="B1244" s="1" t="n">
        <v>43649</v>
      </c>
      <c r="C1244" s="1" t="n">
        <v>45810</v>
      </c>
      <c r="D1244" t="inlineStr">
        <is>
          <t>VÄRMLANDS LÄN</t>
        </is>
      </c>
      <c r="E1244" t="inlineStr">
        <is>
          <t>SUNNE</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33132-2019</t>
        </is>
      </c>
      <c r="B1245" s="1" t="n">
        <v>43649</v>
      </c>
      <c r="C1245" s="1" t="n">
        <v>45810</v>
      </c>
      <c r="D1245" t="inlineStr">
        <is>
          <t>VÄRMLANDS LÄN</t>
        </is>
      </c>
      <c r="E1245" t="inlineStr">
        <is>
          <t>ÅRJÄNG</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34762-2019</t>
        </is>
      </c>
      <c r="B1246" s="1" t="n">
        <v>43649</v>
      </c>
      <c r="C1246" s="1" t="n">
        <v>45810</v>
      </c>
      <c r="D1246" t="inlineStr">
        <is>
          <t>VÄRMLANDS LÄN</t>
        </is>
      </c>
      <c r="E1246" t="inlineStr">
        <is>
          <t>ÅRJÄNG</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33192-2019</t>
        </is>
      </c>
      <c r="B1247" s="1" t="n">
        <v>43649</v>
      </c>
      <c r="C1247" s="1" t="n">
        <v>45810</v>
      </c>
      <c r="D1247" t="inlineStr">
        <is>
          <t>VÄRMLANDS LÄN</t>
        </is>
      </c>
      <c r="E1247" t="inlineStr">
        <is>
          <t>ÅRJÄNG</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33195-2019</t>
        </is>
      </c>
      <c r="B1248" s="1" t="n">
        <v>43649</v>
      </c>
      <c r="C1248" s="1" t="n">
        <v>45810</v>
      </c>
      <c r="D1248" t="inlineStr">
        <is>
          <t>VÄRMLANDS LÄN</t>
        </is>
      </c>
      <c r="E1248" t="inlineStr">
        <is>
          <t>ÅRJÄNG</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33039-2019</t>
        </is>
      </c>
      <c r="B1249" s="1" t="n">
        <v>43649</v>
      </c>
      <c r="C1249" s="1" t="n">
        <v>45810</v>
      </c>
      <c r="D1249" t="inlineStr">
        <is>
          <t>VÄRMLANDS LÄN</t>
        </is>
      </c>
      <c r="E1249" t="inlineStr">
        <is>
          <t>HAGFORS</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33232-2019</t>
        </is>
      </c>
      <c r="B1250" s="1" t="n">
        <v>43650</v>
      </c>
      <c r="C1250" s="1" t="n">
        <v>45810</v>
      </c>
      <c r="D1250" t="inlineStr">
        <is>
          <t>VÄRMLANDS LÄN</t>
        </is>
      </c>
      <c r="E1250" t="inlineStr">
        <is>
          <t>KIL</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33442-2019</t>
        </is>
      </c>
      <c r="B1251" s="1" t="n">
        <v>43650</v>
      </c>
      <c r="C1251" s="1" t="n">
        <v>45810</v>
      </c>
      <c r="D1251" t="inlineStr">
        <is>
          <t>VÄRMLANDS LÄN</t>
        </is>
      </c>
      <c r="E1251" t="inlineStr">
        <is>
          <t>ÅRJÄNG</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33375-2019</t>
        </is>
      </c>
      <c r="B1252" s="1" t="n">
        <v>43650</v>
      </c>
      <c r="C1252" s="1" t="n">
        <v>45810</v>
      </c>
      <c r="D1252" t="inlineStr">
        <is>
          <t>VÄRMLANDS LÄN</t>
        </is>
      </c>
      <c r="E1252" t="inlineStr">
        <is>
          <t>KIL</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33309-2019</t>
        </is>
      </c>
      <c r="B1253" s="1" t="n">
        <v>43650</v>
      </c>
      <c r="C1253" s="1" t="n">
        <v>45810</v>
      </c>
      <c r="D1253" t="inlineStr">
        <is>
          <t>VÄRMLANDS LÄN</t>
        </is>
      </c>
      <c r="E1253" t="inlineStr">
        <is>
          <t>STORFORS</t>
        </is>
      </c>
      <c r="F1253" t="inlineStr">
        <is>
          <t>Bergvik skog väst AB</t>
        </is>
      </c>
      <c r="G1253" t="n">
        <v>10.9</v>
      </c>
      <c r="H1253" t="n">
        <v>0</v>
      </c>
      <c r="I1253" t="n">
        <v>0</v>
      </c>
      <c r="J1253" t="n">
        <v>0</v>
      </c>
      <c r="K1253" t="n">
        <v>0</v>
      </c>
      <c r="L1253" t="n">
        <v>0</v>
      </c>
      <c r="M1253" t="n">
        <v>0</v>
      </c>
      <c r="N1253" t="n">
        <v>0</v>
      </c>
      <c r="O1253" t="n">
        <v>0</v>
      </c>
      <c r="P1253" t="n">
        <v>0</v>
      </c>
      <c r="Q1253" t="n">
        <v>0</v>
      </c>
      <c r="R1253" s="2" t="inlineStr"/>
    </row>
    <row r="1254" ht="15" customHeight="1">
      <c r="A1254" t="inlineStr">
        <is>
          <t>A 33405-2019</t>
        </is>
      </c>
      <c r="B1254" s="1" t="n">
        <v>43650</v>
      </c>
      <c r="C1254" s="1" t="n">
        <v>45810</v>
      </c>
      <c r="D1254" t="inlineStr">
        <is>
          <t>VÄRMLANDS LÄN</t>
        </is>
      </c>
      <c r="E1254" t="inlineStr">
        <is>
          <t>KRISTINEHAMN</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34904-2019</t>
        </is>
      </c>
      <c r="B1255" s="1" t="n">
        <v>43650</v>
      </c>
      <c r="C1255" s="1" t="n">
        <v>45810</v>
      </c>
      <c r="D1255" t="inlineStr">
        <is>
          <t>VÄRMLANDS LÄN</t>
        </is>
      </c>
      <c r="E1255" t="inlineStr">
        <is>
          <t>KRISTINEHAMN</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33443-2019</t>
        </is>
      </c>
      <c r="B1256" s="1" t="n">
        <v>43650</v>
      </c>
      <c r="C1256" s="1" t="n">
        <v>45810</v>
      </c>
      <c r="D1256" t="inlineStr">
        <is>
          <t>VÄRMLANDS LÄN</t>
        </is>
      </c>
      <c r="E1256" t="inlineStr">
        <is>
          <t>ÅRJÄNG</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33401-2019</t>
        </is>
      </c>
      <c r="B1257" s="1" t="n">
        <v>43650</v>
      </c>
      <c r="C1257" s="1" t="n">
        <v>45810</v>
      </c>
      <c r="D1257" t="inlineStr">
        <is>
          <t>VÄRMLANDS LÄN</t>
        </is>
      </c>
      <c r="E1257" t="inlineStr">
        <is>
          <t>KRISTINEHAMN</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33633-2019</t>
        </is>
      </c>
      <c r="B1258" s="1" t="n">
        <v>43651</v>
      </c>
      <c r="C1258" s="1" t="n">
        <v>45810</v>
      </c>
      <c r="D1258" t="inlineStr">
        <is>
          <t>VÄRMLANDS LÄN</t>
        </is>
      </c>
      <c r="E1258" t="inlineStr">
        <is>
          <t>SUNNE</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33622-2019</t>
        </is>
      </c>
      <c r="B1259" s="1" t="n">
        <v>43651</v>
      </c>
      <c r="C1259" s="1" t="n">
        <v>45810</v>
      </c>
      <c r="D1259" t="inlineStr">
        <is>
          <t>VÄRMLANDS LÄN</t>
        </is>
      </c>
      <c r="E1259" t="inlineStr">
        <is>
          <t>SÄFFLE</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35245-2019</t>
        </is>
      </c>
      <c r="B1260" s="1" t="n">
        <v>43651</v>
      </c>
      <c r="C1260" s="1" t="n">
        <v>45810</v>
      </c>
      <c r="D1260" t="inlineStr">
        <is>
          <t>VÄRMLANDS LÄN</t>
        </is>
      </c>
      <c r="E1260" t="inlineStr">
        <is>
          <t>KARLSTAD</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33521-2019</t>
        </is>
      </c>
      <c r="B1261" s="1" t="n">
        <v>43651</v>
      </c>
      <c r="C1261" s="1" t="n">
        <v>45810</v>
      </c>
      <c r="D1261" t="inlineStr">
        <is>
          <t>VÄRMLANDS LÄN</t>
        </is>
      </c>
      <c r="E1261" t="inlineStr">
        <is>
          <t>HAGFORS</t>
        </is>
      </c>
      <c r="F1261" t="inlineStr">
        <is>
          <t>Bergvik skog väst AB</t>
        </is>
      </c>
      <c r="G1261" t="n">
        <v>6.5</v>
      </c>
      <c r="H1261" t="n">
        <v>0</v>
      </c>
      <c r="I1261" t="n">
        <v>0</v>
      </c>
      <c r="J1261" t="n">
        <v>0</v>
      </c>
      <c r="K1261" t="n">
        <v>0</v>
      </c>
      <c r="L1261" t="n">
        <v>0</v>
      </c>
      <c r="M1261" t="n">
        <v>0</v>
      </c>
      <c r="N1261" t="n">
        <v>0</v>
      </c>
      <c r="O1261" t="n">
        <v>0</v>
      </c>
      <c r="P1261" t="n">
        <v>0</v>
      </c>
      <c r="Q1261" t="n">
        <v>0</v>
      </c>
      <c r="R1261" s="2" t="inlineStr"/>
    </row>
    <row r="1262" ht="15" customHeight="1">
      <c r="A1262" t="inlineStr">
        <is>
          <t>A 33870-2019</t>
        </is>
      </c>
      <c r="B1262" s="1" t="n">
        <v>43652</v>
      </c>
      <c r="C1262" s="1" t="n">
        <v>45810</v>
      </c>
      <c r="D1262" t="inlineStr">
        <is>
          <t>VÄRMLANDS LÄN</t>
        </is>
      </c>
      <c r="E1262" t="inlineStr">
        <is>
          <t>ÅRJÄNG</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33882-2019</t>
        </is>
      </c>
      <c r="B1263" s="1" t="n">
        <v>43653</v>
      </c>
      <c r="C1263" s="1" t="n">
        <v>45810</v>
      </c>
      <c r="D1263" t="inlineStr">
        <is>
          <t>VÄRMLANDS LÄN</t>
        </is>
      </c>
      <c r="E1263" t="inlineStr">
        <is>
          <t>KRISTINEHAMN</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33898-2019</t>
        </is>
      </c>
      <c r="B1264" s="1" t="n">
        <v>43653</v>
      </c>
      <c r="C1264" s="1" t="n">
        <v>45810</v>
      </c>
      <c r="D1264" t="inlineStr">
        <is>
          <t>VÄRMLANDS LÄN</t>
        </is>
      </c>
      <c r="E1264" t="inlineStr">
        <is>
          <t>EDA</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33883-2019</t>
        </is>
      </c>
      <c r="B1265" s="1" t="n">
        <v>43653</v>
      </c>
      <c r="C1265" s="1" t="n">
        <v>45810</v>
      </c>
      <c r="D1265" t="inlineStr">
        <is>
          <t>VÄRMLANDS LÄN</t>
        </is>
      </c>
      <c r="E1265" t="inlineStr">
        <is>
          <t>KRISTINEHAMN</t>
        </is>
      </c>
      <c r="G1265" t="n">
        <v>0.3</v>
      </c>
      <c r="H1265" t="n">
        <v>0</v>
      </c>
      <c r="I1265" t="n">
        <v>0</v>
      </c>
      <c r="J1265" t="n">
        <v>0</v>
      </c>
      <c r="K1265" t="n">
        <v>0</v>
      </c>
      <c r="L1265" t="n">
        <v>0</v>
      </c>
      <c r="M1265" t="n">
        <v>0</v>
      </c>
      <c r="N1265" t="n">
        <v>0</v>
      </c>
      <c r="O1265" t="n">
        <v>0</v>
      </c>
      <c r="P1265" t="n">
        <v>0</v>
      </c>
      <c r="Q1265" t="n">
        <v>0</v>
      </c>
      <c r="R1265" s="2" t="inlineStr"/>
    </row>
    <row r="1266" ht="15" customHeight="1">
      <c r="A1266" t="inlineStr">
        <is>
          <t>A 33899-2019</t>
        </is>
      </c>
      <c r="B1266" s="1" t="n">
        <v>43653</v>
      </c>
      <c r="C1266" s="1" t="n">
        <v>45810</v>
      </c>
      <c r="D1266" t="inlineStr">
        <is>
          <t>VÄRMLANDS LÄN</t>
        </is>
      </c>
      <c r="E1266" t="inlineStr">
        <is>
          <t>ÅRJÄNG</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33884-2019</t>
        </is>
      </c>
      <c r="B1267" s="1" t="n">
        <v>43653</v>
      </c>
      <c r="C1267" s="1" t="n">
        <v>45810</v>
      </c>
      <c r="D1267" t="inlineStr">
        <is>
          <t>VÄRMLANDS LÄN</t>
        </is>
      </c>
      <c r="E1267" t="inlineStr">
        <is>
          <t>KRISTINEHAMN</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35484-2019</t>
        </is>
      </c>
      <c r="B1268" s="1" t="n">
        <v>43653</v>
      </c>
      <c r="C1268" s="1" t="n">
        <v>45810</v>
      </c>
      <c r="D1268" t="inlineStr">
        <is>
          <t>VÄRMLANDS LÄN</t>
        </is>
      </c>
      <c r="E1268" t="inlineStr">
        <is>
          <t>SÄFFLE</t>
        </is>
      </c>
      <c r="G1268" t="n">
        <v>3.6</v>
      </c>
      <c r="H1268" t="n">
        <v>0</v>
      </c>
      <c r="I1268" t="n">
        <v>0</v>
      </c>
      <c r="J1268" t="n">
        <v>0</v>
      </c>
      <c r="K1268" t="n">
        <v>0</v>
      </c>
      <c r="L1268" t="n">
        <v>0</v>
      </c>
      <c r="M1268" t="n">
        <v>0</v>
      </c>
      <c r="N1268" t="n">
        <v>0</v>
      </c>
      <c r="O1268" t="n">
        <v>0</v>
      </c>
      <c r="P1268" t="n">
        <v>0</v>
      </c>
      <c r="Q1268" t="n">
        <v>0</v>
      </c>
      <c r="R1268" s="2" t="inlineStr"/>
    </row>
    <row r="1269" ht="15" customHeight="1">
      <c r="A1269" t="inlineStr">
        <is>
          <t>A 33918-2019</t>
        </is>
      </c>
      <c r="B1269" s="1" t="n">
        <v>43654</v>
      </c>
      <c r="C1269" s="1" t="n">
        <v>45810</v>
      </c>
      <c r="D1269" t="inlineStr">
        <is>
          <t>VÄRMLANDS LÄN</t>
        </is>
      </c>
      <c r="E1269" t="inlineStr">
        <is>
          <t>TORSBY</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34008-2019</t>
        </is>
      </c>
      <c r="B1270" s="1" t="n">
        <v>43654</v>
      </c>
      <c r="C1270" s="1" t="n">
        <v>45810</v>
      </c>
      <c r="D1270" t="inlineStr">
        <is>
          <t>VÄRMLANDS LÄN</t>
        </is>
      </c>
      <c r="E1270" t="inlineStr">
        <is>
          <t>HAGFORS</t>
        </is>
      </c>
      <c r="F1270" t="inlineStr">
        <is>
          <t>Bergvik skog väst AB</t>
        </is>
      </c>
      <c r="G1270" t="n">
        <v>9.6</v>
      </c>
      <c r="H1270" t="n">
        <v>0</v>
      </c>
      <c r="I1270" t="n">
        <v>0</v>
      </c>
      <c r="J1270" t="n">
        <v>0</v>
      </c>
      <c r="K1270" t="n">
        <v>0</v>
      </c>
      <c r="L1270" t="n">
        <v>0</v>
      </c>
      <c r="M1270" t="n">
        <v>0</v>
      </c>
      <c r="N1270" t="n">
        <v>0</v>
      </c>
      <c r="O1270" t="n">
        <v>0</v>
      </c>
      <c r="P1270" t="n">
        <v>0</v>
      </c>
      <c r="Q1270" t="n">
        <v>0</v>
      </c>
      <c r="R1270" s="2" t="inlineStr"/>
    </row>
    <row r="1271" ht="15" customHeight="1">
      <c r="A1271" t="inlineStr">
        <is>
          <t>A 33996-2019</t>
        </is>
      </c>
      <c r="B1271" s="1" t="n">
        <v>43654</v>
      </c>
      <c r="C1271" s="1" t="n">
        <v>45810</v>
      </c>
      <c r="D1271" t="inlineStr">
        <is>
          <t>VÄRMLANDS LÄN</t>
        </is>
      </c>
      <c r="E1271" t="inlineStr">
        <is>
          <t>HAGFORS</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34023-2019</t>
        </is>
      </c>
      <c r="B1272" s="1" t="n">
        <v>43654</v>
      </c>
      <c r="C1272" s="1" t="n">
        <v>45810</v>
      </c>
      <c r="D1272" t="inlineStr">
        <is>
          <t>VÄRMLANDS LÄN</t>
        </is>
      </c>
      <c r="E1272" t="inlineStr">
        <is>
          <t>ARVIKA</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34096-2019</t>
        </is>
      </c>
      <c r="B1273" s="1" t="n">
        <v>43654</v>
      </c>
      <c r="C1273" s="1" t="n">
        <v>45810</v>
      </c>
      <c r="D1273" t="inlineStr">
        <is>
          <t>VÄRMLANDS LÄN</t>
        </is>
      </c>
      <c r="E1273" t="inlineStr">
        <is>
          <t>ÅRJÄNG</t>
        </is>
      </c>
      <c r="G1273" t="n">
        <v>3.6</v>
      </c>
      <c r="H1273" t="n">
        <v>0</v>
      </c>
      <c r="I1273" t="n">
        <v>0</v>
      </c>
      <c r="J1273" t="n">
        <v>0</v>
      </c>
      <c r="K1273" t="n">
        <v>0</v>
      </c>
      <c r="L1273" t="n">
        <v>0</v>
      </c>
      <c r="M1273" t="n">
        <v>0</v>
      </c>
      <c r="N1273" t="n">
        <v>0</v>
      </c>
      <c r="O1273" t="n">
        <v>0</v>
      </c>
      <c r="P1273" t="n">
        <v>0</v>
      </c>
      <c r="Q1273" t="n">
        <v>0</v>
      </c>
      <c r="R1273" s="2" t="inlineStr"/>
    </row>
    <row r="1274" ht="15" customHeight="1">
      <c r="A1274" t="inlineStr">
        <is>
          <t>A 33916-2019</t>
        </is>
      </c>
      <c r="B1274" s="1" t="n">
        <v>43654</v>
      </c>
      <c r="C1274" s="1" t="n">
        <v>45810</v>
      </c>
      <c r="D1274" t="inlineStr">
        <is>
          <t>VÄRMLANDS LÄN</t>
        </is>
      </c>
      <c r="E1274" t="inlineStr">
        <is>
          <t>ÅRJÄNG</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33954-2019</t>
        </is>
      </c>
      <c r="B1275" s="1" t="n">
        <v>43654</v>
      </c>
      <c r="C1275" s="1" t="n">
        <v>45810</v>
      </c>
      <c r="D1275" t="inlineStr">
        <is>
          <t>VÄRMLANDS LÄN</t>
        </is>
      </c>
      <c r="E1275" t="inlineStr">
        <is>
          <t>SÄFFLE</t>
        </is>
      </c>
      <c r="G1275" t="n">
        <v>13.5</v>
      </c>
      <c r="H1275" t="n">
        <v>0</v>
      </c>
      <c r="I1275" t="n">
        <v>0</v>
      </c>
      <c r="J1275" t="n">
        <v>0</v>
      </c>
      <c r="K1275" t="n">
        <v>0</v>
      </c>
      <c r="L1275" t="n">
        <v>0</v>
      </c>
      <c r="M1275" t="n">
        <v>0</v>
      </c>
      <c r="N1275" t="n">
        <v>0</v>
      </c>
      <c r="O1275" t="n">
        <v>0</v>
      </c>
      <c r="P1275" t="n">
        <v>0</v>
      </c>
      <c r="Q1275" t="n">
        <v>0</v>
      </c>
      <c r="R1275" s="2" t="inlineStr"/>
    </row>
    <row r="1276" ht="15" customHeight="1">
      <c r="A1276" t="inlineStr">
        <is>
          <t>A 35505-2019</t>
        </is>
      </c>
      <c r="B1276" s="1" t="n">
        <v>43654</v>
      </c>
      <c r="C1276" s="1" t="n">
        <v>45810</v>
      </c>
      <c r="D1276" t="inlineStr">
        <is>
          <t>VÄRMLANDS LÄN</t>
        </is>
      </c>
      <c r="E1276" t="inlineStr">
        <is>
          <t>TORSBY</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35559-2019</t>
        </is>
      </c>
      <c r="B1277" s="1" t="n">
        <v>43654</v>
      </c>
      <c r="C1277" s="1" t="n">
        <v>45810</v>
      </c>
      <c r="D1277" t="inlineStr">
        <is>
          <t>VÄRMLANDS LÄN</t>
        </is>
      </c>
      <c r="E1277" t="inlineStr">
        <is>
          <t>SÄFFLE</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34184-2019</t>
        </is>
      </c>
      <c r="B1278" s="1" t="n">
        <v>43655</v>
      </c>
      <c r="C1278" s="1" t="n">
        <v>45810</v>
      </c>
      <c r="D1278" t="inlineStr">
        <is>
          <t>VÄRMLANDS LÄN</t>
        </is>
      </c>
      <c r="E1278" t="inlineStr">
        <is>
          <t>ÅRJÄNG</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34288-2019</t>
        </is>
      </c>
      <c r="B1279" s="1" t="n">
        <v>43655</v>
      </c>
      <c r="C1279" s="1" t="n">
        <v>45810</v>
      </c>
      <c r="D1279" t="inlineStr">
        <is>
          <t>VÄRMLANDS LÄN</t>
        </is>
      </c>
      <c r="E1279" t="inlineStr">
        <is>
          <t>SUNNE</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34289-2019</t>
        </is>
      </c>
      <c r="B1280" s="1" t="n">
        <v>43655</v>
      </c>
      <c r="C1280" s="1" t="n">
        <v>45810</v>
      </c>
      <c r="D1280" t="inlineStr">
        <is>
          <t>VÄRMLANDS LÄN</t>
        </is>
      </c>
      <c r="E1280" t="inlineStr">
        <is>
          <t>SUNNE</t>
        </is>
      </c>
      <c r="G1280" t="n">
        <v>6.9</v>
      </c>
      <c r="H1280" t="n">
        <v>0</v>
      </c>
      <c r="I1280" t="n">
        <v>0</v>
      </c>
      <c r="J1280" t="n">
        <v>0</v>
      </c>
      <c r="K1280" t="n">
        <v>0</v>
      </c>
      <c r="L1280" t="n">
        <v>0</v>
      </c>
      <c r="M1280" t="n">
        <v>0</v>
      </c>
      <c r="N1280" t="n">
        <v>0</v>
      </c>
      <c r="O1280" t="n">
        <v>0</v>
      </c>
      <c r="P1280" t="n">
        <v>0</v>
      </c>
      <c r="Q1280" t="n">
        <v>0</v>
      </c>
      <c r="R1280" s="2" t="inlineStr"/>
    </row>
    <row r="1281" ht="15" customHeight="1">
      <c r="A1281" t="inlineStr">
        <is>
          <t>A 34290-2019</t>
        </is>
      </c>
      <c r="B1281" s="1" t="n">
        <v>43655</v>
      </c>
      <c r="C1281" s="1" t="n">
        <v>45810</v>
      </c>
      <c r="D1281" t="inlineStr">
        <is>
          <t>VÄRMLANDS LÄN</t>
        </is>
      </c>
      <c r="E1281" t="inlineStr">
        <is>
          <t>SUNNE</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35680-2019</t>
        </is>
      </c>
      <c r="B1282" s="1" t="n">
        <v>43655</v>
      </c>
      <c r="C1282" s="1" t="n">
        <v>45810</v>
      </c>
      <c r="D1282" t="inlineStr">
        <is>
          <t>VÄRMLANDS LÄN</t>
        </is>
      </c>
      <c r="E1282" t="inlineStr">
        <is>
          <t>ÅRJÄNG</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34250-2019</t>
        </is>
      </c>
      <c r="B1283" s="1" t="n">
        <v>43655</v>
      </c>
      <c r="C1283" s="1" t="n">
        <v>45810</v>
      </c>
      <c r="D1283" t="inlineStr">
        <is>
          <t>VÄRMLANDS LÄN</t>
        </is>
      </c>
      <c r="E1283" t="inlineStr">
        <is>
          <t>GRUMS</t>
        </is>
      </c>
      <c r="G1283" t="n">
        <v>4.3</v>
      </c>
      <c r="H1283" t="n">
        <v>0</v>
      </c>
      <c r="I1283" t="n">
        <v>0</v>
      </c>
      <c r="J1283" t="n">
        <v>0</v>
      </c>
      <c r="K1283" t="n">
        <v>0</v>
      </c>
      <c r="L1283" t="n">
        <v>0</v>
      </c>
      <c r="M1283" t="n">
        <v>0</v>
      </c>
      <c r="N1283" t="n">
        <v>0</v>
      </c>
      <c r="O1283" t="n">
        <v>0</v>
      </c>
      <c r="P1283" t="n">
        <v>0</v>
      </c>
      <c r="Q1283" t="n">
        <v>0</v>
      </c>
      <c r="R1283" s="2" t="inlineStr"/>
    </row>
    <row r="1284" ht="15" customHeight="1">
      <c r="A1284" t="inlineStr">
        <is>
          <t>A 34191-2019</t>
        </is>
      </c>
      <c r="B1284" s="1" t="n">
        <v>43655</v>
      </c>
      <c r="C1284" s="1" t="n">
        <v>45810</v>
      </c>
      <c r="D1284" t="inlineStr">
        <is>
          <t>VÄRMLANDS LÄN</t>
        </is>
      </c>
      <c r="E1284" t="inlineStr">
        <is>
          <t>SUNNE</t>
        </is>
      </c>
      <c r="G1284" t="n">
        <v>6.4</v>
      </c>
      <c r="H1284" t="n">
        <v>0</v>
      </c>
      <c r="I1284" t="n">
        <v>0</v>
      </c>
      <c r="J1284" t="n">
        <v>0</v>
      </c>
      <c r="K1284" t="n">
        <v>0</v>
      </c>
      <c r="L1284" t="n">
        <v>0</v>
      </c>
      <c r="M1284" t="n">
        <v>0</v>
      </c>
      <c r="N1284" t="n">
        <v>0</v>
      </c>
      <c r="O1284" t="n">
        <v>0</v>
      </c>
      <c r="P1284" t="n">
        <v>0</v>
      </c>
      <c r="Q1284" t="n">
        <v>0</v>
      </c>
      <c r="R1284" s="2" t="inlineStr"/>
    </row>
    <row r="1285" ht="15" customHeight="1">
      <c r="A1285" t="inlineStr">
        <is>
          <t>A 34344-2019</t>
        </is>
      </c>
      <c r="B1285" s="1" t="n">
        <v>43656</v>
      </c>
      <c r="C1285" s="1" t="n">
        <v>45810</v>
      </c>
      <c r="D1285" t="inlineStr">
        <is>
          <t>VÄRMLANDS LÄN</t>
        </is>
      </c>
      <c r="E1285" t="inlineStr">
        <is>
          <t>MUNKFORS</t>
        </is>
      </c>
      <c r="F1285" t="inlineStr">
        <is>
          <t>Bergvik skog väst AB</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35788-2019</t>
        </is>
      </c>
      <c r="B1286" s="1" t="n">
        <v>43656</v>
      </c>
      <c r="C1286" s="1" t="n">
        <v>45810</v>
      </c>
      <c r="D1286" t="inlineStr">
        <is>
          <t>VÄRMLANDS LÄN</t>
        </is>
      </c>
      <c r="E1286" t="inlineStr">
        <is>
          <t>TORSBY</t>
        </is>
      </c>
      <c r="F1286" t="inlineStr">
        <is>
          <t>Kyrkan</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35887-2019</t>
        </is>
      </c>
      <c r="B1287" s="1" t="n">
        <v>43656</v>
      </c>
      <c r="C1287" s="1" t="n">
        <v>45810</v>
      </c>
      <c r="D1287" t="inlineStr">
        <is>
          <t>VÄRMLANDS LÄN</t>
        </is>
      </c>
      <c r="E1287" t="inlineStr">
        <is>
          <t>SÄFFLE</t>
        </is>
      </c>
      <c r="G1287" t="n">
        <v>5</v>
      </c>
      <c r="H1287" t="n">
        <v>0</v>
      </c>
      <c r="I1287" t="n">
        <v>0</v>
      </c>
      <c r="J1287" t="n">
        <v>0</v>
      </c>
      <c r="K1287" t="n">
        <v>0</v>
      </c>
      <c r="L1287" t="n">
        <v>0</v>
      </c>
      <c r="M1287" t="n">
        <v>0</v>
      </c>
      <c r="N1287" t="n">
        <v>0</v>
      </c>
      <c r="O1287" t="n">
        <v>0</v>
      </c>
      <c r="P1287" t="n">
        <v>0</v>
      </c>
      <c r="Q1287" t="n">
        <v>0</v>
      </c>
      <c r="R1287" s="2" t="inlineStr"/>
    </row>
    <row r="1288" ht="15" customHeight="1">
      <c r="A1288" t="inlineStr">
        <is>
          <t>A 34541-2019</t>
        </is>
      </c>
      <c r="B1288" s="1" t="n">
        <v>43657</v>
      </c>
      <c r="C1288" s="1" t="n">
        <v>45810</v>
      </c>
      <c r="D1288" t="inlineStr">
        <is>
          <t>VÄRMLANDS LÄN</t>
        </is>
      </c>
      <c r="E1288" t="inlineStr">
        <is>
          <t>TORSBY</t>
        </is>
      </c>
      <c r="G1288" t="n">
        <v>5.7</v>
      </c>
      <c r="H1288" t="n">
        <v>0</v>
      </c>
      <c r="I1288" t="n">
        <v>0</v>
      </c>
      <c r="J1288" t="n">
        <v>0</v>
      </c>
      <c r="K1288" t="n">
        <v>0</v>
      </c>
      <c r="L1288" t="n">
        <v>0</v>
      </c>
      <c r="M1288" t="n">
        <v>0</v>
      </c>
      <c r="N1288" t="n">
        <v>0</v>
      </c>
      <c r="O1288" t="n">
        <v>0</v>
      </c>
      <c r="P1288" t="n">
        <v>0</v>
      </c>
      <c r="Q1288" t="n">
        <v>0</v>
      </c>
      <c r="R1288" s="2" t="inlineStr"/>
    </row>
    <row r="1289" ht="15" customHeight="1">
      <c r="A1289" t="inlineStr">
        <is>
          <t>A 34513-2019</t>
        </is>
      </c>
      <c r="B1289" s="1" t="n">
        <v>43657</v>
      </c>
      <c r="C1289" s="1" t="n">
        <v>45810</v>
      </c>
      <c r="D1289" t="inlineStr">
        <is>
          <t>VÄRMLANDS LÄN</t>
        </is>
      </c>
      <c r="E1289" t="inlineStr">
        <is>
          <t>FILIPSTAD</t>
        </is>
      </c>
      <c r="F1289" t="inlineStr">
        <is>
          <t>Bergvik skog väst AB</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36041-2019</t>
        </is>
      </c>
      <c r="B1290" s="1" t="n">
        <v>43657</v>
      </c>
      <c r="C1290" s="1" t="n">
        <v>45810</v>
      </c>
      <c r="D1290" t="inlineStr">
        <is>
          <t>VÄRMLANDS LÄN</t>
        </is>
      </c>
      <c r="E1290" t="inlineStr">
        <is>
          <t>ARVIKA</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34582-2019</t>
        </is>
      </c>
      <c r="B1291" s="1" t="n">
        <v>43657</v>
      </c>
      <c r="C1291" s="1" t="n">
        <v>45810</v>
      </c>
      <c r="D1291" t="inlineStr">
        <is>
          <t>VÄRMLANDS LÄN</t>
        </is>
      </c>
      <c r="E1291" t="inlineStr">
        <is>
          <t>ARVIKA</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36091-2019</t>
        </is>
      </c>
      <c r="B1292" s="1" t="n">
        <v>43658</v>
      </c>
      <c r="C1292" s="1" t="n">
        <v>45810</v>
      </c>
      <c r="D1292" t="inlineStr">
        <is>
          <t>VÄRMLANDS LÄN</t>
        </is>
      </c>
      <c r="E1292" t="inlineStr">
        <is>
          <t>SÄFFLE</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36095-2019</t>
        </is>
      </c>
      <c r="B1293" s="1" t="n">
        <v>43658</v>
      </c>
      <c r="C1293" s="1" t="n">
        <v>45810</v>
      </c>
      <c r="D1293" t="inlineStr">
        <is>
          <t>VÄRMLANDS LÄN</t>
        </is>
      </c>
      <c r="E1293" t="inlineStr">
        <is>
          <t>SÄFFLE</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35049-2019</t>
        </is>
      </c>
      <c r="B1294" s="1" t="n">
        <v>43661</v>
      </c>
      <c r="C1294" s="1" t="n">
        <v>45810</v>
      </c>
      <c r="D1294" t="inlineStr">
        <is>
          <t>VÄRMLANDS LÄN</t>
        </is>
      </c>
      <c r="E1294" t="inlineStr">
        <is>
          <t>EDA</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35088-2019</t>
        </is>
      </c>
      <c r="B1295" s="1" t="n">
        <v>43661</v>
      </c>
      <c r="C1295" s="1" t="n">
        <v>45810</v>
      </c>
      <c r="D1295" t="inlineStr">
        <is>
          <t>VÄRMLANDS LÄN</t>
        </is>
      </c>
      <c r="E1295" t="inlineStr">
        <is>
          <t>FORSHAGA</t>
        </is>
      </c>
      <c r="F1295" t="inlineStr">
        <is>
          <t>Bergvik skog väst AB</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36309-2019</t>
        </is>
      </c>
      <c r="B1296" s="1" t="n">
        <v>43661</v>
      </c>
      <c r="C1296" s="1" t="n">
        <v>45810</v>
      </c>
      <c r="D1296" t="inlineStr">
        <is>
          <t>VÄRMLANDS LÄN</t>
        </is>
      </c>
      <c r="E1296" t="inlineStr">
        <is>
          <t>ARVIKA</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35181-2019</t>
        </is>
      </c>
      <c r="B1297" s="1" t="n">
        <v>43662</v>
      </c>
      <c r="C1297" s="1" t="n">
        <v>45810</v>
      </c>
      <c r="D1297" t="inlineStr">
        <is>
          <t>VÄRMLANDS LÄN</t>
        </is>
      </c>
      <c r="E1297" t="inlineStr">
        <is>
          <t>ARVIKA</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35248-2019</t>
        </is>
      </c>
      <c r="B1298" s="1" t="n">
        <v>43662</v>
      </c>
      <c r="C1298" s="1" t="n">
        <v>45810</v>
      </c>
      <c r="D1298" t="inlineStr">
        <is>
          <t>VÄRMLANDS LÄN</t>
        </is>
      </c>
      <c r="E1298" t="inlineStr">
        <is>
          <t>MUNKFORS</t>
        </is>
      </c>
      <c r="F1298" t="inlineStr">
        <is>
          <t>Kyrkan</t>
        </is>
      </c>
      <c r="G1298" t="n">
        <v>7</v>
      </c>
      <c r="H1298" t="n">
        <v>0</v>
      </c>
      <c r="I1298" t="n">
        <v>0</v>
      </c>
      <c r="J1298" t="n">
        <v>0</v>
      </c>
      <c r="K1298" t="n">
        <v>0</v>
      </c>
      <c r="L1298" t="n">
        <v>0</v>
      </c>
      <c r="M1298" t="n">
        <v>0</v>
      </c>
      <c r="N1298" t="n">
        <v>0</v>
      </c>
      <c r="O1298" t="n">
        <v>0</v>
      </c>
      <c r="P1298" t="n">
        <v>0</v>
      </c>
      <c r="Q1298" t="n">
        <v>0</v>
      </c>
      <c r="R1298" s="2" t="inlineStr"/>
    </row>
    <row r="1299" ht="15" customHeight="1">
      <c r="A1299" t="inlineStr">
        <is>
          <t>A 35388-2019</t>
        </is>
      </c>
      <c r="B1299" s="1" t="n">
        <v>43663</v>
      </c>
      <c r="C1299" s="1" t="n">
        <v>45810</v>
      </c>
      <c r="D1299" t="inlineStr">
        <is>
          <t>VÄRMLANDS LÄN</t>
        </is>
      </c>
      <c r="E1299" t="inlineStr">
        <is>
          <t>SUNNE</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35422-2019</t>
        </is>
      </c>
      <c r="B1300" s="1" t="n">
        <v>43663</v>
      </c>
      <c r="C1300" s="1" t="n">
        <v>45810</v>
      </c>
      <c r="D1300" t="inlineStr">
        <is>
          <t>VÄRMLANDS LÄN</t>
        </is>
      </c>
      <c r="E1300" t="inlineStr">
        <is>
          <t>FILIPSTAD</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36452-2019</t>
        </is>
      </c>
      <c r="B1301" s="1" t="n">
        <v>43663</v>
      </c>
      <c r="C1301" s="1" t="n">
        <v>45810</v>
      </c>
      <c r="D1301" t="inlineStr">
        <is>
          <t>VÄRMLANDS LÄN</t>
        </is>
      </c>
      <c r="E1301" t="inlineStr">
        <is>
          <t>KRISTINEHAMN</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35706-2019</t>
        </is>
      </c>
      <c r="B1302" s="1" t="n">
        <v>43664</v>
      </c>
      <c r="C1302" s="1" t="n">
        <v>45810</v>
      </c>
      <c r="D1302" t="inlineStr">
        <is>
          <t>VÄRMLANDS LÄN</t>
        </is>
      </c>
      <c r="E1302" t="inlineStr">
        <is>
          <t>HAGFORS</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35789-2019</t>
        </is>
      </c>
      <c r="B1303" s="1" t="n">
        <v>43665</v>
      </c>
      <c r="C1303" s="1" t="n">
        <v>45810</v>
      </c>
      <c r="D1303" t="inlineStr">
        <is>
          <t>VÄRMLANDS LÄN</t>
        </is>
      </c>
      <c r="E1303" t="inlineStr">
        <is>
          <t>SÄFFLE</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35975-2019</t>
        </is>
      </c>
      <c r="B1304" s="1" t="n">
        <v>43666</v>
      </c>
      <c r="C1304" s="1" t="n">
        <v>45810</v>
      </c>
      <c r="D1304" t="inlineStr">
        <is>
          <t>VÄRMLANDS LÄN</t>
        </is>
      </c>
      <c r="E1304" t="inlineStr">
        <is>
          <t>SUNNE</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36111-2019</t>
        </is>
      </c>
      <c r="B1305" s="1" t="n">
        <v>43668</v>
      </c>
      <c r="C1305" s="1" t="n">
        <v>45810</v>
      </c>
      <c r="D1305" t="inlineStr">
        <is>
          <t>VÄRMLANDS LÄN</t>
        </is>
      </c>
      <c r="E1305" t="inlineStr">
        <is>
          <t>EDA</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36543-2019</t>
        </is>
      </c>
      <c r="B1306" s="1" t="n">
        <v>43668</v>
      </c>
      <c r="C1306" s="1" t="n">
        <v>45810</v>
      </c>
      <c r="D1306" t="inlineStr">
        <is>
          <t>VÄRMLANDS LÄN</t>
        </is>
      </c>
      <c r="E1306" t="inlineStr">
        <is>
          <t>KRISTINEHAMN</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36113-2019</t>
        </is>
      </c>
      <c r="B1307" s="1" t="n">
        <v>43668</v>
      </c>
      <c r="C1307" s="1" t="n">
        <v>45810</v>
      </c>
      <c r="D1307" t="inlineStr">
        <is>
          <t>VÄRMLANDS LÄN</t>
        </is>
      </c>
      <c r="E1307" t="inlineStr">
        <is>
          <t>EDA</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36116-2019</t>
        </is>
      </c>
      <c r="B1308" s="1" t="n">
        <v>43668</v>
      </c>
      <c r="C1308" s="1" t="n">
        <v>45810</v>
      </c>
      <c r="D1308" t="inlineStr">
        <is>
          <t>VÄRMLANDS LÄN</t>
        </is>
      </c>
      <c r="E1308" t="inlineStr">
        <is>
          <t>EDA</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36106-2019</t>
        </is>
      </c>
      <c r="B1309" s="1" t="n">
        <v>43668</v>
      </c>
      <c r="C1309" s="1" t="n">
        <v>45810</v>
      </c>
      <c r="D1309" t="inlineStr">
        <is>
          <t>VÄRMLANDS LÄN</t>
        </is>
      </c>
      <c r="E1309" t="inlineStr">
        <is>
          <t>ARVIKA</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36480-2019</t>
        </is>
      </c>
      <c r="B1310" s="1" t="n">
        <v>43668</v>
      </c>
      <c r="C1310" s="1" t="n">
        <v>45810</v>
      </c>
      <c r="D1310" t="inlineStr">
        <is>
          <t>VÄRMLANDS LÄN</t>
        </is>
      </c>
      <c r="E1310" t="inlineStr">
        <is>
          <t>TORSBY</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38010-2019</t>
        </is>
      </c>
      <c r="B1311" s="1" t="n">
        <v>43669</v>
      </c>
      <c r="C1311" s="1" t="n">
        <v>45810</v>
      </c>
      <c r="D1311" t="inlineStr">
        <is>
          <t>VÄRMLANDS LÄN</t>
        </is>
      </c>
      <c r="E1311" t="inlineStr">
        <is>
          <t>TORSBY</t>
        </is>
      </c>
      <c r="G1311" t="n">
        <v>6.2</v>
      </c>
      <c r="H1311" t="n">
        <v>0</v>
      </c>
      <c r="I1311" t="n">
        <v>0</v>
      </c>
      <c r="J1311" t="n">
        <v>0</v>
      </c>
      <c r="K1311" t="n">
        <v>0</v>
      </c>
      <c r="L1311" t="n">
        <v>0</v>
      </c>
      <c r="M1311" t="n">
        <v>0</v>
      </c>
      <c r="N1311" t="n">
        <v>0</v>
      </c>
      <c r="O1311" t="n">
        <v>0</v>
      </c>
      <c r="P1311" t="n">
        <v>0</v>
      </c>
      <c r="Q1311" t="n">
        <v>0</v>
      </c>
      <c r="R1311" s="2" t="inlineStr"/>
    </row>
    <row r="1312" ht="15" customHeight="1">
      <c r="A1312" t="inlineStr">
        <is>
          <t>A 38003-2019</t>
        </is>
      </c>
      <c r="B1312" s="1" t="n">
        <v>43669</v>
      </c>
      <c r="C1312" s="1" t="n">
        <v>45810</v>
      </c>
      <c r="D1312" t="inlineStr">
        <is>
          <t>VÄRMLANDS LÄN</t>
        </is>
      </c>
      <c r="E1312" t="inlineStr">
        <is>
          <t>TORSBY</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36712-2019</t>
        </is>
      </c>
      <c r="B1313" s="1" t="n">
        <v>43669</v>
      </c>
      <c r="C1313" s="1" t="n">
        <v>45810</v>
      </c>
      <c r="D1313" t="inlineStr">
        <is>
          <t>VÄRMLANDS LÄN</t>
        </is>
      </c>
      <c r="E1313" t="inlineStr">
        <is>
          <t>TORSBY</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36682-2019</t>
        </is>
      </c>
      <c r="B1314" s="1" t="n">
        <v>43670</v>
      </c>
      <c r="C1314" s="1" t="n">
        <v>45810</v>
      </c>
      <c r="D1314" t="inlineStr">
        <is>
          <t>VÄRMLANDS LÄN</t>
        </is>
      </c>
      <c r="E1314" t="inlineStr">
        <is>
          <t>TORSBY</t>
        </is>
      </c>
      <c r="G1314" t="n">
        <v>8.1</v>
      </c>
      <c r="H1314" t="n">
        <v>0</v>
      </c>
      <c r="I1314" t="n">
        <v>0</v>
      </c>
      <c r="J1314" t="n">
        <v>0</v>
      </c>
      <c r="K1314" t="n">
        <v>0</v>
      </c>
      <c r="L1314" t="n">
        <v>0</v>
      </c>
      <c r="M1314" t="n">
        <v>0</v>
      </c>
      <c r="N1314" t="n">
        <v>0</v>
      </c>
      <c r="O1314" t="n">
        <v>0</v>
      </c>
      <c r="P1314" t="n">
        <v>0</v>
      </c>
      <c r="Q1314" t="n">
        <v>0</v>
      </c>
      <c r="R1314" s="2" t="inlineStr"/>
    </row>
    <row r="1315" ht="15" customHeight="1">
      <c r="A1315" t="inlineStr">
        <is>
          <t>A 36650-2019</t>
        </is>
      </c>
      <c r="B1315" s="1" t="n">
        <v>43671</v>
      </c>
      <c r="C1315" s="1" t="n">
        <v>45810</v>
      </c>
      <c r="D1315" t="inlineStr">
        <is>
          <t>VÄRMLANDS LÄN</t>
        </is>
      </c>
      <c r="E1315" t="inlineStr">
        <is>
          <t>EDA</t>
        </is>
      </c>
      <c r="F1315" t="inlineStr">
        <is>
          <t>Övriga Aktiebolag</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36648-2019</t>
        </is>
      </c>
      <c r="B1316" s="1" t="n">
        <v>43671</v>
      </c>
      <c r="C1316" s="1" t="n">
        <v>45810</v>
      </c>
      <c r="D1316" t="inlineStr">
        <is>
          <t>VÄRMLANDS LÄN</t>
        </is>
      </c>
      <c r="E1316" t="inlineStr">
        <is>
          <t>ARVIKA</t>
        </is>
      </c>
      <c r="G1316" t="n">
        <v>7.6</v>
      </c>
      <c r="H1316" t="n">
        <v>0</v>
      </c>
      <c r="I1316" t="n">
        <v>0</v>
      </c>
      <c r="J1316" t="n">
        <v>0</v>
      </c>
      <c r="K1316" t="n">
        <v>0</v>
      </c>
      <c r="L1316" t="n">
        <v>0</v>
      </c>
      <c r="M1316" t="n">
        <v>0</v>
      </c>
      <c r="N1316" t="n">
        <v>0</v>
      </c>
      <c r="O1316" t="n">
        <v>0</v>
      </c>
      <c r="P1316" t="n">
        <v>0</v>
      </c>
      <c r="Q1316" t="n">
        <v>0</v>
      </c>
      <c r="R1316" s="2" t="inlineStr"/>
    </row>
    <row r="1317" ht="15" customHeight="1">
      <c r="A1317" t="inlineStr">
        <is>
          <t>A 36579-2019</t>
        </is>
      </c>
      <c r="B1317" s="1" t="n">
        <v>43671</v>
      </c>
      <c r="C1317" s="1" t="n">
        <v>45810</v>
      </c>
      <c r="D1317" t="inlineStr">
        <is>
          <t>VÄRMLANDS LÄN</t>
        </is>
      </c>
      <c r="E1317" t="inlineStr">
        <is>
          <t>KARLSTAD</t>
        </is>
      </c>
      <c r="G1317" t="n">
        <v>4.2</v>
      </c>
      <c r="H1317" t="n">
        <v>0</v>
      </c>
      <c r="I1317" t="n">
        <v>0</v>
      </c>
      <c r="J1317" t="n">
        <v>0</v>
      </c>
      <c r="K1317" t="n">
        <v>0</v>
      </c>
      <c r="L1317" t="n">
        <v>0</v>
      </c>
      <c r="M1317" t="n">
        <v>0</v>
      </c>
      <c r="N1317" t="n">
        <v>0</v>
      </c>
      <c r="O1317" t="n">
        <v>0</v>
      </c>
      <c r="P1317" t="n">
        <v>0</v>
      </c>
      <c r="Q1317" t="n">
        <v>0</v>
      </c>
      <c r="R1317" s="2" t="inlineStr"/>
    </row>
    <row r="1318" ht="15" customHeight="1">
      <c r="A1318" t="inlineStr">
        <is>
          <t>A 36657-2019</t>
        </is>
      </c>
      <c r="B1318" s="1" t="n">
        <v>43671</v>
      </c>
      <c r="C1318" s="1" t="n">
        <v>45810</v>
      </c>
      <c r="D1318" t="inlineStr">
        <is>
          <t>VÄRMLANDS LÄN</t>
        </is>
      </c>
      <c r="E1318" t="inlineStr">
        <is>
          <t>EDA</t>
        </is>
      </c>
      <c r="G1318" t="n">
        <v>4.7</v>
      </c>
      <c r="H1318" t="n">
        <v>0</v>
      </c>
      <c r="I1318" t="n">
        <v>0</v>
      </c>
      <c r="J1318" t="n">
        <v>0</v>
      </c>
      <c r="K1318" t="n">
        <v>0</v>
      </c>
      <c r="L1318" t="n">
        <v>0</v>
      </c>
      <c r="M1318" t="n">
        <v>0</v>
      </c>
      <c r="N1318" t="n">
        <v>0</v>
      </c>
      <c r="O1318" t="n">
        <v>0</v>
      </c>
      <c r="P1318" t="n">
        <v>0</v>
      </c>
      <c r="Q1318" t="n">
        <v>0</v>
      </c>
      <c r="R1318" s="2" t="inlineStr"/>
    </row>
    <row r="1319" ht="15" customHeight="1">
      <c r="A1319" t="inlineStr">
        <is>
          <t>A 36855-2019</t>
        </is>
      </c>
      <c r="B1319" s="1" t="n">
        <v>43672</v>
      </c>
      <c r="C1319" s="1" t="n">
        <v>45810</v>
      </c>
      <c r="D1319" t="inlineStr">
        <is>
          <t>VÄRMLANDS LÄN</t>
        </is>
      </c>
      <c r="E1319" t="inlineStr">
        <is>
          <t>SÄFFLE</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36734-2019</t>
        </is>
      </c>
      <c r="B1320" s="1" t="n">
        <v>43672</v>
      </c>
      <c r="C1320" s="1" t="n">
        <v>45810</v>
      </c>
      <c r="D1320" t="inlineStr">
        <is>
          <t>VÄRMLANDS LÄN</t>
        </is>
      </c>
      <c r="E1320" t="inlineStr">
        <is>
          <t>TORSBY</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36820-2019</t>
        </is>
      </c>
      <c r="B1321" s="1" t="n">
        <v>43673</v>
      </c>
      <c r="C1321" s="1" t="n">
        <v>45810</v>
      </c>
      <c r="D1321" t="inlineStr">
        <is>
          <t>VÄRMLANDS LÄN</t>
        </is>
      </c>
      <c r="E1321" t="inlineStr">
        <is>
          <t>TORSBY</t>
        </is>
      </c>
      <c r="G1321" t="n">
        <v>0.2</v>
      </c>
      <c r="H1321" t="n">
        <v>0</v>
      </c>
      <c r="I1321" t="n">
        <v>0</v>
      </c>
      <c r="J1321" t="n">
        <v>0</v>
      </c>
      <c r="K1321" t="n">
        <v>0</v>
      </c>
      <c r="L1321" t="n">
        <v>0</v>
      </c>
      <c r="M1321" t="n">
        <v>0</v>
      </c>
      <c r="N1321" t="n">
        <v>0</v>
      </c>
      <c r="O1321" t="n">
        <v>0</v>
      </c>
      <c r="P1321" t="n">
        <v>0</v>
      </c>
      <c r="Q1321" t="n">
        <v>0</v>
      </c>
      <c r="R1321" s="2" t="inlineStr"/>
    </row>
    <row r="1322" ht="15" customHeight="1">
      <c r="A1322" t="inlineStr">
        <is>
          <t>A 36884-2019</t>
        </is>
      </c>
      <c r="B1322" s="1" t="n">
        <v>43675</v>
      </c>
      <c r="C1322" s="1" t="n">
        <v>45810</v>
      </c>
      <c r="D1322" t="inlineStr">
        <is>
          <t>VÄRMLANDS LÄN</t>
        </is>
      </c>
      <c r="E1322" t="inlineStr">
        <is>
          <t>ÅRJÄNG</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36875-2019</t>
        </is>
      </c>
      <c r="B1323" s="1" t="n">
        <v>43675</v>
      </c>
      <c r="C1323" s="1" t="n">
        <v>45810</v>
      </c>
      <c r="D1323" t="inlineStr">
        <is>
          <t>VÄRMLANDS LÄN</t>
        </is>
      </c>
      <c r="E1323" t="inlineStr">
        <is>
          <t>SUNNE</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36966-2019</t>
        </is>
      </c>
      <c r="B1324" s="1" t="n">
        <v>43676</v>
      </c>
      <c r="C1324" s="1" t="n">
        <v>45810</v>
      </c>
      <c r="D1324" t="inlineStr">
        <is>
          <t>VÄRMLANDS LÄN</t>
        </is>
      </c>
      <c r="E1324" t="inlineStr">
        <is>
          <t>SÄFFLE</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37005-2019</t>
        </is>
      </c>
      <c r="B1325" s="1" t="n">
        <v>43676</v>
      </c>
      <c r="C1325" s="1" t="n">
        <v>45810</v>
      </c>
      <c r="D1325" t="inlineStr">
        <is>
          <t>VÄRMLANDS LÄN</t>
        </is>
      </c>
      <c r="E1325" t="inlineStr">
        <is>
          <t>TORSBY</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37000-2019</t>
        </is>
      </c>
      <c r="B1326" s="1" t="n">
        <v>43676</v>
      </c>
      <c r="C1326" s="1" t="n">
        <v>45810</v>
      </c>
      <c r="D1326" t="inlineStr">
        <is>
          <t>VÄRMLANDS LÄN</t>
        </is>
      </c>
      <c r="E1326" t="inlineStr">
        <is>
          <t>ARVIKA</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37223-2019</t>
        </is>
      </c>
      <c r="B1327" s="1" t="n">
        <v>43676</v>
      </c>
      <c r="C1327" s="1" t="n">
        <v>45810</v>
      </c>
      <c r="D1327" t="inlineStr">
        <is>
          <t>VÄRMLANDS LÄN</t>
        </is>
      </c>
      <c r="E1327" t="inlineStr">
        <is>
          <t>SÄFFLE</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37224-2019</t>
        </is>
      </c>
      <c r="B1328" s="1" t="n">
        <v>43676</v>
      </c>
      <c r="C1328" s="1" t="n">
        <v>45810</v>
      </c>
      <c r="D1328" t="inlineStr">
        <is>
          <t>VÄRMLANDS LÄN</t>
        </is>
      </c>
      <c r="E1328" t="inlineStr">
        <is>
          <t>GRUMS</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36999-2019</t>
        </is>
      </c>
      <c r="B1329" s="1" t="n">
        <v>43676</v>
      </c>
      <c r="C1329" s="1" t="n">
        <v>45810</v>
      </c>
      <c r="D1329" t="inlineStr">
        <is>
          <t>VÄRMLANDS LÄN</t>
        </is>
      </c>
      <c r="E1329" t="inlineStr">
        <is>
          <t>ARVIKA</t>
        </is>
      </c>
      <c r="G1329" t="n">
        <v>12.1</v>
      </c>
      <c r="H1329" t="n">
        <v>0</v>
      </c>
      <c r="I1329" t="n">
        <v>0</v>
      </c>
      <c r="J1329" t="n">
        <v>0</v>
      </c>
      <c r="K1329" t="n">
        <v>0</v>
      </c>
      <c r="L1329" t="n">
        <v>0</v>
      </c>
      <c r="M1329" t="n">
        <v>0</v>
      </c>
      <c r="N1329" t="n">
        <v>0</v>
      </c>
      <c r="O1329" t="n">
        <v>0</v>
      </c>
      <c r="P1329" t="n">
        <v>0</v>
      </c>
      <c r="Q1329" t="n">
        <v>0</v>
      </c>
      <c r="R1329" s="2" t="inlineStr"/>
    </row>
    <row r="1330" ht="15" customHeight="1">
      <c r="A1330" t="inlineStr">
        <is>
          <t>A 37165-2019</t>
        </is>
      </c>
      <c r="B1330" s="1" t="n">
        <v>43677</v>
      </c>
      <c r="C1330" s="1" t="n">
        <v>45810</v>
      </c>
      <c r="D1330" t="inlineStr">
        <is>
          <t>VÄRMLANDS LÄN</t>
        </is>
      </c>
      <c r="E1330" t="inlineStr">
        <is>
          <t>ARVIKA</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37199-2019</t>
        </is>
      </c>
      <c r="B1331" s="1" t="n">
        <v>43677</v>
      </c>
      <c r="C1331" s="1" t="n">
        <v>45810</v>
      </c>
      <c r="D1331" t="inlineStr">
        <is>
          <t>VÄRMLANDS LÄN</t>
        </is>
      </c>
      <c r="E1331" t="inlineStr">
        <is>
          <t>ARVIKA</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37216-2019</t>
        </is>
      </c>
      <c r="B1332" s="1" t="n">
        <v>43677</v>
      </c>
      <c r="C1332" s="1" t="n">
        <v>45810</v>
      </c>
      <c r="D1332" t="inlineStr">
        <is>
          <t>VÄRMLANDS LÄN</t>
        </is>
      </c>
      <c r="E1332" t="inlineStr">
        <is>
          <t>FILIPSTAD</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37147-2019</t>
        </is>
      </c>
      <c r="B1333" s="1" t="n">
        <v>43677</v>
      </c>
      <c r="C1333" s="1" t="n">
        <v>45810</v>
      </c>
      <c r="D1333" t="inlineStr">
        <is>
          <t>VÄRMLANDS LÄN</t>
        </is>
      </c>
      <c r="E1333" t="inlineStr">
        <is>
          <t>ARVIKA</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37370-2019</t>
        </is>
      </c>
      <c r="B1334" s="1" t="n">
        <v>43678</v>
      </c>
      <c r="C1334" s="1" t="n">
        <v>45810</v>
      </c>
      <c r="D1334" t="inlineStr">
        <is>
          <t>VÄRMLANDS LÄN</t>
        </is>
      </c>
      <c r="E1334" t="inlineStr">
        <is>
          <t>GRUMS</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37526-2019</t>
        </is>
      </c>
      <c r="B1335" s="1" t="n">
        <v>43679</v>
      </c>
      <c r="C1335" s="1" t="n">
        <v>45810</v>
      </c>
      <c r="D1335" t="inlineStr">
        <is>
          <t>VÄRMLANDS LÄN</t>
        </is>
      </c>
      <c r="E1335" t="inlineStr">
        <is>
          <t>KRISTINEHAMN</t>
        </is>
      </c>
      <c r="G1335" t="n">
        <v>8.4</v>
      </c>
      <c r="H1335" t="n">
        <v>0</v>
      </c>
      <c r="I1335" t="n">
        <v>0</v>
      </c>
      <c r="J1335" t="n">
        <v>0</v>
      </c>
      <c r="K1335" t="n">
        <v>0</v>
      </c>
      <c r="L1335" t="n">
        <v>0</v>
      </c>
      <c r="M1335" t="n">
        <v>0</v>
      </c>
      <c r="N1335" t="n">
        <v>0</v>
      </c>
      <c r="O1335" t="n">
        <v>0</v>
      </c>
      <c r="P1335" t="n">
        <v>0</v>
      </c>
      <c r="Q1335" t="n">
        <v>0</v>
      </c>
      <c r="R1335" s="2" t="inlineStr"/>
    </row>
    <row r="1336" ht="15" customHeight="1">
      <c r="A1336" t="inlineStr">
        <is>
          <t>A 37833-2019</t>
        </is>
      </c>
      <c r="B1336" s="1" t="n">
        <v>43682</v>
      </c>
      <c r="C1336" s="1" t="n">
        <v>45810</v>
      </c>
      <c r="D1336" t="inlineStr">
        <is>
          <t>VÄRMLANDS LÄN</t>
        </is>
      </c>
      <c r="E1336" t="inlineStr">
        <is>
          <t>FILIPSTAD</t>
        </is>
      </c>
      <c r="F1336" t="inlineStr">
        <is>
          <t>Bergvik skog väst AB</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37867-2019</t>
        </is>
      </c>
      <c r="B1337" s="1" t="n">
        <v>43682</v>
      </c>
      <c r="C1337" s="1" t="n">
        <v>45810</v>
      </c>
      <c r="D1337" t="inlineStr">
        <is>
          <t>VÄRMLANDS LÄN</t>
        </is>
      </c>
      <c r="E1337" t="inlineStr">
        <is>
          <t>FILIPSTAD</t>
        </is>
      </c>
      <c r="F1337" t="inlineStr">
        <is>
          <t>Bergvik skog väst AB</t>
        </is>
      </c>
      <c r="G1337" t="n">
        <v>12.2</v>
      </c>
      <c r="H1337" t="n">
        <v>0</v>
      </c>
      <c r="I1337" t="n">
        <v>0</v>
      </c>
      <c r="J1337" t="n">
        <v>0</v>
      </c>
      <c r="K1337" t="n">
        <v>0</v>
      </c>
      <c r="L1337" t="n">
        <v>0</v>
      </c>
      <c r="M1337" t="n">
        <v>0</v>
      </c>
      <c r="N1337" t="n">
        <v>0</v>
      </c>
      <c r="O1337" t="n">
        <v>0</v>
      </c>
      <c r="P1337" t="n">
        <v>0</v>
      </c>
      <c r="Q1337" t="n">
        <v>0</v>
      </c>
      <c r="R1337" s="2" t="inlineStr"/>
    </row>
    <row r="1338" ht="15" customHeight="1">
      <c r="A1338" t="inlineStr">
        <is>
          <t>A 37719-2019</t>
        </is>
      </c>
      <c r="B1338" s="1" t="n">
        <v>43682</v>
      </c>
      <c r="C1338" s="1" t="n">
        <v>45810</v>
      </c>
      <c r="D1338" t="inlineStr">
        <is>
          <t>VÄRMLANDS LÄN</t>
        </is>
      </c>
      <c r="E1338" t="inlineStr">
        <is>
          <t>TORSBY</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37832-2019</t>
        </is>
      </c>
      <c r="B1339" s="1" t="n">
        <v>43682</v>
      </c>
      <c r="C1339" s="1" t="n">
        <v>45810</v>
      </c>
      <c r="D1339" t="inlineStr">
        <is>
          <t>VÄRMLANDS LÄN</t>
        </is>
      </c>
      <c r="E1339" t="inlineStr">
        <is>
          <t>MUNKFORS</t>
        </is>
      </c>
      <c r="F1339" t="inlineStr">
        <is>
          <t>Bergvik skog väst AB</t>
        </is>
      </c>
      <c r="G1339" t="n">
        <v>6.4</v>
      </c>
      <c r="H1339" t="n">
        <v>0</v>
      </c>
      <c r="I1339" t="n">
        <v>0</v>
      </c>
      <c r="J1339" t="n">
        <v>0</v>
      </c>
      <c r="K1339" t="n">
        <v>0</v>
      </c>
      <c r="L1339" t="n">
        <v>0</v>
      </c>
      <c r="M1339" t="n">
        <v>0</v>
      </c>
      <c r="N1339" t="n">
        <v>0</v>
      </c>
      <c r="O1339" t="n">
        <v>0</v>
      </c>
      <c r="P1339" t="n">
        <v>0</v>
      </c>
      <c r="Q1339" t="n">
        <v>0</v>
      </c>
      <c r="R1339" s="2" t="inlineStr"/>
    </row>
    <row r="1340" ht="15" customHeight="1">
      <c r="A1340" t="inlineStr">
        <is>
          <t>A 37720-2019</t>
        </is>
      </c>
      <c r="B1340" s="1" t="n">
        <v>43682</v>
      </c>
      <c r="C1340" s="1" t="n">
        <v>45810</v>
      </c>
      <c r="D1340" t="inlineStr">
        <is>
          <t>VÄRMLANDS LÄN</t>
        </is>
      </c>
      <c r="E1340" t="inlineStr">
        <is>
          <t>KRISTINEHAMN</t>
        </is>
      </c>
      <c r="G1340" t="n">
        <v>12.5</v>
      </c>
      <c r="H1340" t="n">
        <v>0</v>
      </c>
      <c r="I1340" t="n">
        <v>0</v>
      </c>
      <c r="J1340" t="n">
        <v>0</v>
      </c>
      <c r="K1340" t="n">
        <v>0</v>
      </c>
      <c r="L1340" t="n">
        <v>0</v>
      </c>
      <c r="M1340" t="n">
        <v>0</v>
      </c>
      <c r="N1340" t="n">
        <v>0</v>
      </c>
      <c r="O1340" t="n">
        <v>0</v>
      </c>
      <c r="P1340" t="n">
        <v>0</v>
      </c>
      <c r="Q1340" t="n">
        <v>0</v>
      </c>
      <c r="R1340" s="2" t="inlineStr"/>
    </row>
    <row r="1341" ht="15" customHeight="1">
      <c r="A1341" t="inlineStr">
        <is>
          <t>A 37856-2019</t>
        </is>
      </c>
      <c r="B1341" s="1" t="n">
        <v>43682</v>
      </c>
      <c r="C1341" s="1" t="n">
        <v>45810</v>
      </c>
      <c r="D1341" t="inlineStr">
        <is>
          <t>VÄRMLANDS LÄN</t>
        </is>
      </c>
      <c r="E1341" t="inlineStr">
        <is>
          <t>FILIPSTAD</t>
        </is>
      </c>
      <c r="F1341" t="inlineStr">
        <is>
          <t>Bergvik skog väst AB</t>
        </is>
      </c>
      <c r="G1341" t="n">
        <v>5.6</v>
      </c>
      <c r="H1341" t="n">
        <v>0</v>
      </c>
      <c r="I1341" t="n">
        <v>0</v>
      </c>
      <c r="J1341" t="n">
        <v>0</v>
      </c>
      <c r="K1341" t="n">
        <v>0</v>
      </c>
      <c r="L1341" t="n">
        <v>0</v>
      </c>
      <c r="M1341" t="n">
        <v>0</v>
      </c>
      <c r="N1341" t="n">
        <v>0</v>
      </c>
      <c r="O1341" t="n">
        <v>0</v>
      </c>
      <c r="P1341" t="n">
        <v>0</v>
      </c>
      <c r="Q1341" t="n">
        <v>0</v>
      </c>
      <c r="R1341" s="2" t="inlineStr"/>
    </row>
    <row r="1342" ht="15" customHeight="1">
      <c r="A1342" t="inlineStr">
        <is>
          <t>A 38002-2019</t>
        </is>
      </c>
      <c r="B1342" s="1" t="n">
        <v>43683</v>
      </c>
      <c r="C1342" s="1" t="n">
        <v>45810</v>
      </c>
      <c r="D1342" t="inlineStr">
        <is>
          <t>VÄRMLANDS LÄN</t>
        </is>
      </c>
      <c r="E1342" t="inlineStr">
        <is>
          <t>ARVIKA</t>
        </is>
      </c>
      <c r="F1342" t="inlineStr">
        <is>
          <t>Bergvik skog väst AB</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37992-2019</t>
        </is>
      </c>
      <c r="B1343" s="1" t="n">
        <v>43683</v>
      </c>
      <c r="C1343" s="1" t="n">
        <v>45810</v>
      </c>
      <c r="D1343" t="inlineStr">
        <is>
          <t>VÄRMLANDS LÄN</t>
        </is>
      </c>
      <c r="E1343" t="inlineStr">
        <is>
          <t>EDA</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38068-2019</t>
        </is>
      </c>
      <c r="B1344" s="1" t="n">
        <v>43683</v>
      </c>
      <c r="C1344" s="1" t="n">
        <v>45810</v>
      </c>
      <c r="D1344" t="inlineStr">
        <is>
          <t>VÄRMLANDS LÄN</t>
        </is>
      </c>
      <c r="E1344" t="inlineStr">
        <is>
          <t>TORSBY</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38280-2019</t>
        </is>
      </c>
      <c r="B1345" s="1" t="n">
        <v>43684</v>
      </c>
      <c r="C1345" s="1" t="n">
        <v>45810</v>
      </c>
      <c r="D1345" t="inlineStr">
        <is>
          <t>VÄRMLANDS LÄN</t>
        </is>
      </c>
      <c r="E1345" t="inlineStr">
        <is>
          <t>SUNNE</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38272-2019</t>
        </is>
      </c>
      <c r="B1346" s="1" t="n">
        <v>43684</v>
      </c>
      <c r="C1346" s="1" t="n">
        <v>45810</v>
      </c>
      <c r="D1346" t="inlineStr">
        <is>
          <t>VÄRMLANDS LÄN</t>
        </is>
      </c>
      <c r="E1346" t="inlineStr">
        <is>
          <t>ÅRJÄNG</t>
        </is>
      </c>
      <c r="G1346" t="n">
        <v>7.4</v>
      </c>
      <c r="H1346" t="n">
        <v>0</v>
      </c>
      <c r="I1346" t="n">
        <v>0</v>
      </c>
      <c r="J1346" t="n">
        <v>0</v>
      </c>
      <c r="K1346" t="n">
        <v>0</v>
      </c>
      <c r="L1346" t="n">
        <v>0</v>
      </c>
      <c r="M1346" t="n">
        <v>0</v>
      </c>
      <c r="N1346" t="n">
        <v>0</v>
      </c>
      <c r="O1346" t="n">
        <v>0</v>
      </c>
      <c r="P1346" t="n">
        <v>0</v>
      </c>
      <c r="Q1346" t="n">
        <v>0</v>
      </c>
      <c r="R1346" s="2" t="inlineStr"/>
    </row>
    <row r="1347" ht="15" customHeight="1">
      <c r="A1347" t="inlineStr">
        <is>
          <t>A 38224-2019</t>
        </is>
      </c>
      <c r="B1347" s="1" t="n">
        <v>43684</v>
      </c>
      <c r="C1347" s="1" t="n">
        <v>45810</v>
      </c>
      <c r="D1347" t="inlineStr">
        <is>
          <t>VÄRMLANDS LÄN</t>
        </is>
      </c>
      <c r="E1347" t="inlineStr">
        <is>
          <t>SUNNE</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38305-2019</t>
        </is>
      </c>
      <c r="B1348" s="1" t="n">
        <v>43684</v>
      </c>
      <c r="C1348" s="1" t="n">
        <v>45810</v>
      </c>
      <c r="D1348" t="inlineStr">
        <is>
          <t>VÄRMLANDS LÄN</t>
        </is>
      </c>
      <c r="E1348" t="inlineStr">
        <is>
          <t>SUNNE</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38670-2019</t>
        </is>
      </c>
      <c r="B1349" s="1" t="n">
        <v>43684</v>
      </c>
      <c r="C1349" s="1" t="n">
        <v>45810</v>
      </c>
      <c r="D1349" t="inlineStr">
        <is>
          <t>VÄRMLANDS LÄN</t>
        </is>
      </c>
      <c r="E1349" t="inlineStr">
        <is>
          <t>SÄFFLE</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38594-2019</t>
        </is>
      </c>
      <c r="B1350" s="1" t="n">
        <v>43684</v>
      </c>
      <c r="C1350" s="1" t="n">
        <v>45810</v>
      </c>
      <c r="D1350" t="inlineStr">
        <is>
          <t>VÄRMLANDS LÄN</t>
        </is>
      </c>
      <c r="E1350" t="inlineStr">
        <is>
          <t>KARLSTAD</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40698-2019</t>
        </is>
      </c>
      <c r="B1351" s="1" t="n">
        <v>43684</v>
      </c>
      <c r="C1351" s="1" t="n">
        <v>45810</v>
      </c>
      <c r="D1351" t="inlineStr">
        <is>
          <t>VÄRMLANDS LÄN</t>
        </is>
      </c>
      <c r="E1351" t="inlineStr">
        <is>
          <t>KARLSTAD</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38301-2019</t>
        </is>
      </c>
      <c r="B1352" s="1" t="n">
        <v>43684</v>
      </c>
      <c r="C1352" s="1" t="n">
        <v>45810</v>
      </c>
      <c r="D1352" t="inlineStr">
        <is>
          <t>VÄRMLANDS LÄN</t>
        </is>
      </c>
      <c r="E1352" t="inlineStr">
        <is>
          <t>SUNNE</t>
        </is>
      </c>
      <c r="G1352" t="n">
        <v>8.300000000000001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38265-2019</t>
        </is>
      </c>
      <c r="B1353" s="1" t="n">
        <v>43684</v>
      </c>
      <c r="C1353" s="1" t="n">
        <v>45810</v>
      </c>
      <c r="D1353" t="inlineStr">
        <is>
          <t>VÄRMLANDS LÄN</t>
        </is>
      </c>
      <c r="E1353" t="inlineStr">
        <is>
          <t>TORSBY</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38668-2019</t>
        </is>
      </c>
      <c r="B1354" s="1" t="n">
        <v>43684</v>
      </c>
      <c r="C1354" s="1" t="n">
        <v>45810</v>
      </c>
      <c r="D1354" t="inlineStr">
        <is>
          <t>VÄRMLANDS LÄN</t>
        </is>
      </c>
      <c r="E1354" t="inlineStr">
        <is>
          <t>ÅRJÄNG</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38410-2019</t>
        </is>
      </c>
      <c r="B1355" s="1" t="n">
        <v>43685</v>
      </c>
      <c r="C1355" s="1" t="n">
        <v>45810</v>
      </c>
      <c r="D1355" t="inlineStr">
        <is>
          <t>VÄRMLANDS LÄN</t>
        </is>
      </c>
      <c r="E1355" t="inlineStr">
        <is>
          <t>ARVIKA</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38427-2019</t>
        </is>
      </c>
      <c r="B1356" s="1" t="n">
        <v>43685</v>
      </c>
      <c r="C1356" s="1" t="n">
        <v>45810</v>
      </c>
      <c r="D1356" t="inlineStr">
        <is>
          <t>VÄRMLANDS LÄN</t>
        </is>
      </c>
      <c r="E1356" t="inlineStr">
        <is>
          <t>KRISTINEHAMN</t>
        </is>
      </c>
      <c r="G1356" t="n">
        <v>7.6</v>
      </c>
      <c r="H1356" t="n">
        <v>0</v>
      </c>
      <c r="I1356" t="n">
        <v>0</v>
      </c>
      <c r="J1356" t="n">
        <v>0</v>
      </c>
      <c r="K1356" t="n">
        <v>0</v>
      </c>
      <c r="L1356" t="n">
        <v>0</v>
      </c>
      <c r="M1356" t="n">
        <v>0</v>
      </c>
      <c r="N1356" t="n">
        <v>0</v>
      </c>
      <c r="O1356" t="n">
        <v>0</v>
      </c>
      <c r="P1356" t="n">
        <v>0</v>
      </c>
      <c r="Q1356" t="n">
        <v>0</v>
      </c>
      <c r="R1356" s="2" t="inlineStr"/>
    </row>
    <row r="1357" ht="15" customHeight="1">
      <c r="A1357" t="inlineStr">
        <is>
          <t>A 38403-2019</t>
        </is>
      </c>
      <c r="B1357" s="1" t="n">
        <v>43685</v>
      </c>
      <c r="C1357" s="1" t="n">
        <v>45810</v>
      </c>
      <c r="D1357" t="inlineStr">
        <is>
          <t>VÄRMLANDS LÄN</t>
        </is>
      </c>
      <c r="E1357" t="inlineStr">
        <is>
          <t>STORFORS</t>
        </is>
      </c>
      <c r="F1357" t="inlineStr">
        <is>
          <t>Bergvik skog väst AB</t>
        </is>
      </c>
      <c r="G1357" t="n">
        <v>42.3</v>
      </c>
      <c r="H1357" t="n">
        <v>0</v>
      </c>
      <c r="I1357" t="n">
        <v>0</v>
      </c>
      <c r="J1357" t="n">
        <v>0</v>
      </c>
      <c r="K1357" t="n">
        <v>0</v>
      </c>
      <c r="L1357" t="n">
        <v>0</v>
      </c>
      <c r="M1357" t="n">
        <v>0</v>
      </c>
      <c r="N1357" t="n">
        <v>0</v>
      </c>
      <c r="O1357" t="n">
        <v>0</v>
      </c>
      <c r="P1357" t="n">
        <v>0</v>
      </c>
      <c r="Q1357" t="n">
        <v>0</v>
      </c>
      <c r="R1357" s="2" t="inlineStr"/>
    </row>
    <row r="1358" ht="15" customHeight="1">
      <c r="A1358" t="inlineStr">
        <is>
          <t>A 38393-2019</t>
        </is>
      </c>
      <c r="B1358" s="1" t="n">
        <v>43685</v>
      </c>
      <c r="C1358" s="1" t="n">
        <v>45810</v>
      </c>
      <c r="D1358" t="inlineStr">
        <is>
          <t>VÄRMLANDS LÄN</t>
        </is>
      </c>
      <c r="E1358" t="inlineStr">
        <is>
          <t>EDA</t>
        </is>
      </c>
      <c r="G1358" t="n">
        <v>3.4</v>
      </c>
      <c r="H1358" t="n">
        <v>0</v>
      </c>
      <c r="I1358" t="n">
        <v>0</v>
      </c>
      <c r="J1358" t="n">
        <v>0</v>
      </c>
      <c r="K1358" t="n">
        <v>0</v>
      </c>
      <c r="L1358" t="n">
        <v>0</v>
      </c>
      <c r="M1358" t="n">
        <v>0</v>
      </c>
      <c r="N1358" t="n">
        <v>0</v>
      </c>
      <c r="O1358" t="n">
        <v>0</v>
      </c>
      <c r="P1358" t="n">
        <v>0</v>
      </c>
      <c r="Q1358" t="n">
        <v>0</v>
      </c>
      <c r="R1358" s="2" t="inlineStr"/>
    </row>
    <row r="1359" ht="15" customHeight="1">
      <c r="A1359" t="inlineStr">
        <is>
          <t>A 38423-2019</t>
        </is>
      </c>
      <c r="B1359" s="1" t="n">
        <v>43685</v>
      </c>
      <c r="C1359" s="1" t="n">
        <v>45810</v>
      </c>
      <c r="D1359" t="inlineStr">
        <is>
          <t>VÄRMLANDS LÄN</t>
        </is>
      </c>
      <c r="E1359" t="inlineStr">
        <is>
          <t>EDA</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38445-2019</t>
        </is>
      </c>
      <c r="B1360" s="1" t="n">
        <v>43685</v>
      </c>
      <c r="C1360" s="1" t="n">
        <v>45810</v>
      </c>
      <c r="D1360" t="inlineStr">
        <is>
          <t>VÄRMLANDS LÄN</t>
        </is>
      </c>
      <c r="E1360" t="inlineStr">
        <is>
          <t>EDA</t>
        </is>
      </c>
      <c r="G1360" t="n">
        <v>4.3</v>
      </c>
      <c r="H1360" t="n">
        <v>0</v>
      </c>
      <c r="I1360" t="n">
        <v>0</v>
      </c>
      <c r="J1360" t="n">
        <v>0</v>
      </c>
      <c r="K1360" t="n">
        <v>0</v>
      </c>
      <c r="L1360" t="n">
        <v>0</v>
      </c>
      <c r="M1360" t="n">
        <v>0</v>
      </c>
      <c r="N1360" t="n">
        <v>0</v>
      </c>
      <c r="O1360" t="n">
        <v>0</v>
      </c>
      <c r="P1360" t="n">
        <v>0</v>
      </c>
      <c r="Q1360" t="n">
        <v>0</v>
      </c>
      <c r="R1360" s="2" t="inlineStr"/>
    </row>
    <row r="1361" ht="15" customHeight="1">
      <c r="A1361" t="inlineStr">
        <is>
          <t>A 38490-2019</t>
        </is>
      </c>
      <c r="B1361" s="1" t="n">
        <v>43685</v>
      </c>
      <c r="C1361" s="1" t="n">
        <v>45810</v>
      </c>
      <c r="D1361" t="inlineStr">
        <is>
          <t>VÄRMLANDS LÄN</t>
        </is>
      </c>
      <c r="E1361" t="inlineStr">
        <is>
          <t>EDA</t>
        </is>
      </c>
      <c r="G1361" t="n">
        <v>8.300000000000001</v>
      </c>
      <c r="H1361" t="n">
        <v>0</v>
      </c>
      <c r="I1361" t="n">
        <v>0</v>
      </c>
      <c r="J1361" t="n">
        <v>0</v>
      </c>
      <c r="K1361" t="n">
        <v>0</v>
      </c>
      <c r="L1361" t="n">
        <v>0</v>
      </c>
      <c r="M1361" t="n">
        <v>0</v>
      </c>
      <c r="N1361" t="n">
        <v>0</v>
      </c>
      <c r="O1361" t="n">
        <v>0</v>
      </c>
      <c r="P1361" t="n">
        <v>0</v>
      </c>
      <c r="Q1361" t="n">
        <v>0</v>
      </c>
      <c r="R1361" s="2" t="inlineStr"/>
    </row>
    <row r="1362" ht="15" customHeight="1">
      <c r="A1362" t="inlineStr">
        <is>
          <t>A 38644-2019</t>
        </is>
      </c>
      <c r="B1362" s="1" t="n">
        <v>43686</v>
      </c>
      <c r="C1362" s="1" t="n">
        <v>45810</v>
      </c>
      <c r="D1362" t="inlineStr">
        <is>
          <t>VÄRMLANDS LÄN</t>
        </is>
      </c>
      <c r="E1362" t="inlineStr">
        <is>
          <t>SUNNE</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38794-2019</t>
        </is>
      </c>
      <c r="B1363" s="1" t="n">
        <v>43688</v>
      </c>
      <c r="C1363" s="1" t="n">
        <v>45810</v>
      </c>
      <c r="D1363" t="inlineStr">
        <is>
          <t>VÄRMLANDS LÄN</t>
        </is>
      </c>
      <c r="E1363" t="inlineStr">
        <is>
          <t>EDA</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38793-2019</t>
        </is>
      </c>
      <c r="B1364" s="1" t="n">
        <v>43688</v>
      </c>
      <c r="C1364" s="1" t="n">
        <v>45810</v>
      </c>
      <c r="D1364" t="inlineStr">
        <is>
          <t>VÄRMLANDS LÄN</t>
        </is>
      </c>
      <c r="E1364" t="inlineStr">
        <is>
          <t>EDA</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38886-2019</t>
        </is>
      </c>
      <c r="B1365" s="1" t="n">
        <v>43689</v>
      </c>
      <c r="C1365" s="1" t="n">
        <v>45810</v>
      </c>
      <c r="D1365" t="inlineStr">
        <is>
          <t>VÄRMLANDS LÄN</t>
        </is>
      </c>
      <c r="E1365" t="inlineStr">
        <is>
          <t>KRISTINEHAMN</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38878-2019</t>
        </is>
      </c>
      <c r="B1366" s="1" t="n">
        <v>43689</v>
      </c>
      <c r="C1366" s="1" t="n">
        <v>45810</v>
      </c>
      <c r="D1366" t="inlineStr">
        <is>
          <t>VÄRMLANDS LÄN</t>
        </is>
      </c>
      <c r="E1366" t="inlineStr">
        <is>
          <t>KRISTINEHAMN</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41401-2019</t>
        </is>
      </c>
      <c r="B1367" s="1" t="n">
        <v>43689</v>
      </c>
      <c r="C1367" s="1" t="n">
        <v>45810</v>
      </c>
      <c r="D1367" t="inlineStr">
        <is>
          <t>VÄRMLANDS LÄN</t>
        </is>
      </c>
      <c r="E1367" t="inlineStr">
        <is>
          <t>HAGFORS</t>
        </is>
      </c>
      <c r="G1367" t="n">
        <v>4.9</v>
      </c>
      <c r="H1367" t="n">
        <v>0</v>
      </c>
      <c r="I1367" t="n">
        <v>0</v>
      </c>
      <c r="J1367" t="n">
        <v>0</v>
      </c>
      <c r="K1367" t="n">
        <v>0</v>
      </c>
      <c r="L1367" t="n">
        <v>0</v>
      </c>
      <c r="M1367" t="n">
        <v>0</v>
      </c>
      <c r="N1367" t="n">
        <v>0</v>
      </c>
      <c r="O1367" t="n">
        <v>0</v>
      </c>
      <c r="P1367" t="n">
        <v>0</v>
      </c>
      <c r="Q1367" t="n">
        <v>0</v>
      </c>
      <c r="R1367" s="2" t="inlineStr"/>
    </row>
    <row r="1368" ht="15" customHeight="1">
      <c r="A1368" t="inlineStr">
        <is>
          <t>A 39213-2019</t>
        </is>
      </c>
      <c r="B1368" s="1" t="n">
        <v>43690</v>
      </c>
      <c r="C1368" s="1" t="n">
        <v>45810</v>
      </c>
      <c r="D1368" t="inlineStr">
        <is>
          <t>VÄRMLANDS LÄN</t>
        </is>
      </c>
      <c r="E1368" t="inlineStr">
        <is>
          <t>TORSBY</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39383-2019</t>
        </is>
      </c>
      <c r="B1369" s="1" t="n">
        <v>43690</v>
      </c>
      <c r="C1369" s="1" t="n">
        <v>45810</v>
      </c>
      <c r="D1369" t="inlineStr">
        <is>
          <t>VÄRMLANDS LÄN</t>
        </is>
      </c>
      <c r="E1369" t="inlineStr">
        <is>
          <t>EDA</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39381-2019</t>
        </is>
      </c>
      <c r="B1370" s="1" t="n">
        <v>43690</v>
      </c>
      <c r="C1370" s="1" t="n">
        <v>45810</v>
      </c>
      <c r="D1370" t="inlineStr">
        <is>
          <t>VÄRMLANDS LÄN</t>
        </is>
      </c>
      <c r="E1370" t="inlineStr">
        <is>
          <t>EDA</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39384-2019</t>
        </is>
      </c>
      <c r="B1371" s="1" t="n">
        <v>43690</v>
      </c>
      <c r="C1371" s="1" t="n">
        <v>45810</v>
      </c>
      <c r="D1371" t="inlineStr">
        <is>
          <t>VÄRMLANDS LÄN</t>
        </is>
      </c>
      <c r="E1371" t="inlineStr">
        <is>
          <t>EDA</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39948-2019</t>
        </is>
      </c>
      <c r="B1372" s="1" t="n">
        <v>43690</v>
      </c>
      <c r="C1372" s="1" t="n">
        <v>45810</v>
      </c>
      <c r="D1372" t="inlineStr">
        <is>
          <t>VÄRMLANDS LÄN</t>
        </is>
      </c>
      <c r="E1372" t="inlineStr">
        <is>
          <t>KRISTINEHAMN</t>
        </is>
      </c>
      <c r="G1372" t="n">
        <v>5.9</v>
      </c>
      <c r="H1372" t="n">
        <v>0</v>
      </c>
      <c r="I1372" t="n">
        <v>0</v>
      </c>
      <c r="J1372" t="n">
        <v>0</v>
      </c>
      <c r="K1372" t="n">
        <v>0</v>
      </c>
      <c r="L1372" t="n">
        <v>0</v>
      </c>
      <c r="M1372" t="n">
        <v>0</v>
      </c>
      <c r="N1372" t="n">
        <v>0</v>
      </c>
      <c r="O1372" t="n">
        <v>0</v>
      </c>
      <c r="P1372" t="n">
        <v>0</v>
      </c>
      <c r="Q1372" t="n">
        <v>0</v>
      </c>
      <c r="R1372" s="2" t="inlineStr"/>
    </row>
    <row r="1373" ht="15" customHeight="1">
      <c r="A1373" t="inlineStr">
        <is>
          <t>A 39297-2019</t>
        </is>
      </c>
      <c r="B1373" s="1" t="n">
        <v>43690</v>
      </c>
      <c r="C1373" s="1" t="n">
        <v>45810</v>
      </c>
      <c r="D1373" t="inlineStr">
        <is>
          <t>VÄRMLANDS LÄN</t>
        </is>
      </c>
      <c r="E1373" t="inlineStr">
        <is>
          <t>SUNNE</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39379-2019</t>
        </is>
      </c>
      <c r="B1374" s="1" t="n">
        <v>43690</v>
      </c>
      <c r="C1374" s="1" t="n">
        <v>45810</v>
      </c>
      <c r="D1374" t="inlineStr">
        <is>
          <t>VÄRMLANDS LÄN</t>
        </is>
      </c>
      <c r="E1374" t="inlineStr">
        <is>
          <t>EDA</t>
        </is>
      </c>
      <c r="G1374" t="n">
        <v>4.4</v>
      </c>
      <c r="H1374" t="n">
        <v>0</v>
      </c>
      <c r="I1374" t="n">
        <v>0</v>
      </c>
      <c r="J1374" t="n">
        <v>0</v>
      </c>
      <c r="K1374" t="n">
        <v>0</v>
      </c>
      <c r="L1374" t="n">
        <v>0</v>
      </c>
      <c r="M1374" t="n">
        <v>0</v>
      </c>
      <c r="N1374" t="n">
        <v>0</v>
      </c>
      <c r="O1374" t="n">
        <v>0</v>
      </c>
      <c r="P1374" t="n">
        <v>0</v>
      </c>
      <c r="Q1374" t="n">
        <v>0</v>
      </c>
      <c r="R1374" s="2" t="inlineStr"/>
    </row>
    <row r="1375" ht="15" customHeight="1">
      <c r="A1375" t="inlineStr">
        <is>
          <t>A 39428-2019</t>
        </is>
      </c>
      <c r="B1375" s="1" t="n">
        <v>43691</v>
      </c>
      <c r="C1375" s="1" t="n">
        <v>45810</v>
      </c>
      <c r="D1375" t="inlineStr">
        <is>
          <t>VÄRMLANDS LÄN</t>
        </is>
      </c>
      <c r="E1375" t="inlineStr">
        <is>
          <t>SUNNE</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39607-2019</t>
        </is>
      </c>
      <c r="B1376" s="1" t="n">
        <v>43691</v>
      </c>
      <c r="C1376" s="1" t="n">
        <v>45810</v>
      </c>
      <c r="D1376" t="inlineStr">
        <is>
          <t>VÄRMLANDS LÄN</t>
        </is>
      </c>
      <c r="E1376" t="inlineStr">
        <is>
          <t>EDA</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41105-2019</t>
        </is>
      </c>
      <c r="B1377" s="1" t="n">
        <v>43691</v>
      </c>
      <c r="C1377" s="1" t="n">
        <v>45810</v>
      </c>
      <c r="D1377" t="inlineStr">
        <is>
          <t>VÄRMLANDS LÄN</t>
        </is>
      </c>
      <c r="E1377" t="inlineStr">
        <is>
          <t>KIL</t>
        </is>
      </c>
      <c r="G1377" t="n">
        <v>14.3</v>
      </c>
      <c r="H1377" t="n">
        <v>0</v>
      </c>
      <c r="I1377" t="n">
        <v>0</v>
      </c>
      <c r="J1377" t="n">
        <v>0</v>
      </c>
      <c r="K1377" t="n">
        <v>0</v>
      </c>
      <c r="L1377" t="n">
        <v>0</v>
      </c>
      <c r="M1377" t="n">
        <v>0</v>
      </c>
      <c r="N1377" t="n">
        <v>0</v>
      </c>
      <c r="O1377" t="n">
        <v>0</v>
      </c>
      <c r="P1377" t="n">
        <v>0</v>
      </c>
      <c r="Q1377" t="n">
        <v>0</v>
      </c>
      <c r="R1377" s="2" t="inlineStr"/>
    </row>
    <row r="1378" ht="15" customHeight="1">
      <c r="A1378" t="inlineStr">
        <is>
          <t>A 41110-2019</t>
        </is>
      </c>
      <c r="B1378" s="1" t="n">
        <v>43691</v>
      </c>
      <c r="C1378" s="1" t="n">
        <v>45810</v>
      </c>
      <c r="D1378" t="inlineStr">
        <is>
          <t>VÄRMLANDS LÄN</t>
        </is>
      </c>
      <c r="E1378" t="inlineStr">
        <is>
          <t>EDA</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41133-2019</t>
        </is>
      </c>
      <c r="B1379" s="1" t="n">
        <v>43691</v>
      </c>
      <c r="C1379" s="1" t="n">
        <v>45810</v>
      </c>
      <c r="D1379" t="inlineStr">
        <is>
          <t>VÄRMLANDS LÄN</t>
        </is>
      </c>
      <c r="E1379" t="inlineStr">
        <is>
          <t>KRISTINEHAMN</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39740-2019</t>
        </is>
      </c>
      <c r="B1380" s="1" t="n">
        <v>43691</v>
      </c>
      <c r="C1380" s="1" t="n">
        <v>45810</v>
      </c>
      <c r="D1380" t="inlineStr">
        <is>
          <t>VÄRMLANDS LÄN</t>
        </is>
      </c>
      <c r="E1380" t="inlineStr">
        <is>
          <t>ARVIKA</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39959-2019</t>
        </is>
      </c>
      <c r="B1381" s="1" t="n">
        <v>43692</v>
      </c>
      <c r="C1381" s="1" t="n">
        <v>45810</v>
      </c>
      <c r="D1381" t="inlineStr">
        <is>
          <t>VÄRMLANDS LÄN</t>
        </is>
      </c>
      <c r="E1381" t="inlineStr">
        <is>
          <t>KIL</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39949-2019</t>
        </is>
      </c>
      <c r="B1382" s="1" t="n">
        <v>43692</v>
      </c>
      <c r="C1382" s="1" t="n">
        <v>45810</v>
      </c>
      <c r="D1382" t="inlineStr">
        <is>
          <t>VÄRMLANDS LÄN</t>
        </is>
      </c>
      <c r="E1382" t="inlineStr">
        <is>
          <t>EDA</t>
        </is>
      </c>
      <c r="G1382" t="n">
        <v>4.7</v>
      </c>
      <c r="H1382" t="n">
        <v>0</v>
      </c>
      <c r="I1382" t="n">
        <v>0</v>
      </c>
      <c r="J1382" t="n">
        <v>0</v>
      </c>
      <c r="K1382" t="n">
        <v>0</v>
      </c>
      <c r="L1382" t="n">
        <v>0</v>
      </c>
      <c r="M1382" t="n">
        <v>0</v>
      </c>
      <c r="N1382" t="n">
        <v>0</v>
      </c>
      <c r="O1382" t="n">
        <v>0</v>
      </c>
      <c r="P1382" t="n">
        <v>0</v>
      </c>
      <c r="Q1382" t="n">
        <v>0</v>
      </c>
      <c r="R1382" s="2" t="inlineStr"/>
    </row>
    <row r="1383" ht="15" customHeight="1">
      <c r="A1383" t="inlineStr">
        <is>
          <t>A 40018-2019</t>
        </is>
      </c>
      <c r="B1383" s="1" t="n">
        <v>43692</v>
      </c>
      <c r="C1383" s="1" t="n">
        <v>45810</v>
      </c>
      <c r="D1383" t="inlineStr">
        <is>
          <t>VÄRMLANDS LÄN</t>
        </is>
      </c>
      <c r="E1383" t="inlineStr">
        <is>
          <t>FORSHAGA</t>
        </is>
      </c>
      <c r="G1383" t="n">
        <v>7</v>
      </c>
      <c r="H1383" t="n">
        <v>0</v>
      </c>
      <c r="I1383" t="n">
        <v>0</v>
      </c>
      <c r="J1383" t="n">
        <v>0</v>
      </c>
      <c r="K1383" t="n">
        <v>0</v>
      </c>
      <c r="L1383" t="n">
        <v>0</v>
      </c>
      <c r="M1383" t="n">
        <v>0</v>
      </c>
      <c r="N1383" t="n">
        <v>0</v>
      </c>
      <c r="O1383" t="n">
        <v>0</v>
      </c>
      <c r="P1383" t="n">
        <v>0</v>
      </c>
      <c r="Q1383" t="n">
        <v>0</v>
      </c>
      <c r="R1383" s="2" t="inlineStr"/>
    </row>
    <row r="1384" ht="15" customHeight="1">
      <c r="A1384" t="inlineStr">
        <is>
          <t>A 40039-2019</t>
        </is>
      </c>
      <c r="B1384" s="1" t="n">
        <v>43692</v>
      </c>
      <c r="C1384" s="1" t="n">
        <v>45810</v>
      </c>
      <c r="D1384" t="inlineStr">
        <is>
          <t>VÄRMLANDS LÄN</t>
        </is>
      </c>
      <c r="E1384" t="inlineStr">
        <is>
          <t>FORSHAGA</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40159-2019</t>
        </is>
      </c>
      <c r="B1385" s="1" t="n">
        <v>43693</v>
      </c>
      <c r="C1385" s="1" t="n">
        <v>45810</v>
      </c>
      <c r="D1385" t="inlineStr">
        <is>
          <t>VÄRMLANDS LÄN</t>
        </is>
      </c>
      <c r="E1385" t="inlineStr">
        <is>
          <t>ARVIKA</t>
        </is>
      </c>
      <c r="F1385" t="inlineStr">
        <is>
          <t>Kyrkan</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40166-2019</t>
        </is>
      </c>
      <c r="B1386" s="1" t="n">
        <v>43693</v>
      </c>
      <c r="C1386" s="1" t="n">
        <v>45810</v>
      </c>
      <c r="D1386" t="inlineStr">
        <is>
          <t>VÄRMLANDS LÄN</t>
        </is>
      </c>
      <c r="E1386" t="inlineStr">
        <is>
          <t>HAGFORS</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40237-2019</t>
        </is>
      </c>
      <c r="B1387" s="1" t="n">
        <v>43694</v>
      </c>
      <c r="C1387" s="1" t="n">
        <v>45810</v>
      </c>
      <c r="D1387" t="inlineStr">
        <is>
          <t>VÄRMLANDS LÄN</t>
        </is>
      </c>
      <c r="E1387" t="inlineStr">
        <is>
          <t>FORSHAGA</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40238-2019</t>
        </is>
      </c>
      <c r="B1388" s="1" t="n">
        <v>43694</v>
      </c>
      <c r="C1388" s="1" t="n">
        <v>45810</v>
      </c>
      <c r="D1388" t="inlineStr">
        <is>
          <t>VÄRMLANDS LÄN</t>
        </is>
      </c>
      <c r="E1388" t="inlineStr">
        <is>
          <t>FORSHAGA</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40401-2019</t>
        </is>
      </c>
      <c r="B1389" s="1" t="n">
        <v>43696</v>
      </c>
      <c r="C1389" s="1" t="n">
        <v>45810</v>
      </c>
      <c r="D1389" t="inlineStr">
        <is>
          <t>VÄRMLANDS LÄN</t>
        </is>
      </c>
      <c r="E1389" t="inlineStr">
        <is>
          <t>SUNNE</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41201-2019</t>
        </is>
      </c>
      <c r="B1390" s="1" t="n">
        <v>43696</v>
      </c>
      <c r="C1390" s="1" t="n">
        <v>45810</v>
      </c>
      <c r="D1390" t="inlineStr">
        <is>
          <t>VÄRMLANDS LÄN</t>
        </is>
      </c>
      <c r="E1390" t="inlineStr">
        <is>
          <t>SUNNE</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41484-2019</t>
        </is>
      </c>
      <c r="B1391" s="1" t="n">
        <v>43696</v>
      </c>
      <c r="C1391" s="1" t="n">
        <v>45810</v>
      </c>
      <c r="D1391" t="inlineStr">
        <is>
          <t>VÄRMLANDS LÄN</t>
        </is>
      </c>
      <c r="E1391" t="inlineStr">
        <is>
          <t>KARLSTAD</t>
        </is>
      </c>
      <c r="G1391" t="n">
        <v>3.9</v>
      </c>
      <c r="H1391" t="n">
        <v>0</v>
      </c>
      <c r="I1391" t="n">
        <v>0</v>
      </c>
      <c r="J1391" t="n">
        <v>0</v>
      </c>
      <c r="K1391" t="n">
        <v>0</v>
      </c>
      <c r="L1391" t="n">
        <v>0</v>
      </c>
      <c r="M1391" t="n">
        <v>0</v>
      </c>
      <c r="N1391" t="n">
        <v>0</v>
      </c>
      <c r="O1391" t="n">
        <v>0</v>
      </c>
      <c r="P1391" t="n">
        <v>0</v>
      </c>
      <c r="Q1391" t="n">
        <v>0</v>
      </c>
      <c r="R1391" s="2" t="inlineStr"/>
    </row>
    <row r="1392" ht="15" customHeight="1">
      <c r="A1392" t="inlineStr">
        <is>
          <t>A 41383-2019</t>
        </is>
      </c>
      <c r="B1392" s="1" t="n">
        <v>43696</v>
      </c>
      <c r="C1392" s="1" t="n">
        <v>45810</v>
      </c>
      <c r="D1392" t="inlineStr">
        <is>
          <t>VÄRMLANDS LÄN</t>
        </is>
      </c>
      <c r="E1392" t="inlineStr">
        <is>
          <t>KARLSTAD</t>
        </is>
      </c>
      <c r="G1392" t="n">
        <v>7.1</v>
      </c>
      <c r="H1392" t="n">
        <v>0</v>
      </c>
      <c r="I1392" t="n">
        <v>0</v>
      </c>
      <c r="J1392" t="n">
        <v>0</v>
      </c>
      <c r="K1392" t="n">
        <v>0</v>
      </c>
      <c r="L1392" t="n">
        <v>0</v>
      </c>
      <c r="M1392" t="n">
        <v>0</v>
      </c>
      <c r="N1392" t="n">
        <v>0</v>
      </c>
      <c r="O1392" t="n">
        <v>0</v>
      </c>
      <c r="P1392" t="n">
        <v>0</v>
      </c>
      <c r="Q1392" t="n">
        <v>0</v>
      </c>
      <c r="R1392" s="2" t="inlineStr"/>
    </row>
    <row r="1393" ht="15" customHeight="1">
      <c r="A1393" t="inlineStr">
        <is>
          <t>A 40771-2019</t>
        </is>
      </c>
      <c r="B1393" s="1" t="n">
        <v>43696</v>
      </c>
      <c r="C1393" s="1" t="n">
        <v>45810</v>
      </c>
      <c r="D1393" t="inlineStr">
        <is>
          <t>VÄRMLANDS LÄN</t>
        </is>
      </c>
      <c r="E1393" t="inlineStr">
        <is>
          <t>KRISTINEHAMN</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40397-2019</t>
        </is>
      </c>
      <c r="B1394" s="1" t="n">
        <v>43696</v>
      </c>
      <c r="C1394" s="1" t="n">
        <v>45810</v>
      </c>
      <c r="D1394" t="inlineStr">
        <is>
          <t>VÄRMLANDS LÄN</t>
        </is>
      </c>
      <c r="E1394" t="inlineStr">
        <is>
          <t>ARVIKA</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41694-2019</t>
        </is>
      </c>
      <c r="B1395" s="1" t="n">
        <v>43696</v>
      </c>
      <c r="C1395" s="1" t="n">
        <v>45810</v>
      </c>
      <c r="D1395" t="inlineStr">
        <is>
          <t>VÄRMLANDS LÄN</t>
        </is>
      </c>
      <c r="E1395" t="inlineStr">
        <is>
          <t>FORSHAGA</t>
        </is>
      </c>
      <c r="G1395" t="n">
        <v>3.9</v>
      </c>
      <c r="H1395" t="n">
        <v>0</v>
      </c>
      <c r="I1395" t="n">
        <v>0</v>
      </c>
      <c r="J1395" t="n">
        <v>0</v>
      </c>
      <c r="K1395" t="n">
        <v>0</v>
      </c>
      <c r="L1395" t="n">
        <v>0</v>
      </c>
      <c r="M1395" t="n">
        <v>0</v>
      </c>
      <c r="N1395" t="n">
        <v>0</v>
      </c>
      <c r="O1395" t="n">
        <v>0</v>
      </c>
      <c r="P1395" t="n">
        <v>0</v>
      </c>
      <c r="Q1395" t="n">
        <v>0</v>
      </c>
      <c r="R1395" s="2" t="inlineStr"/>
    </row>
    <row r="1396" ht="15" customHeight="1">
      <c r="A1396" t="inlineStr">
        <is>
          <t>A 40632-2019</t>
        </is>
      </c>
      <c r="B1396" s="1" t="n">
        <v>43696</v>
      </c>
      <c r="C1396" s="1" t="n">
        <v>45810</v>
      </c>
      <c r="D1396" t="inlineStr">
        <is>
          <t>VÄRMLANDS LÄN</t>
        </is>
      </c>
      <c r="E1396" t="inlineStr">
        <is>
          <t>TORSBY</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40589-2019</t>
        </is>
      </c>
      <c r="B1397" s="1" t="n">
        <v>43696</v>
      </c>
      <c r="C1397" s="1" t="n">
        <v>45810</v>
      </c>
      <c r="D1397" t="inlineStr">
        <is>
          <t>VÄRMLANDS LÄN</t>
        </is>
      </c>
      <c r="E1397" t="inlineStr">
        <is>
          <t>TORSBY</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41334-2019</t>
        </is>
      </c>
      <c r="B1398" s="1" t="n">
        <v>43696</v>
      </c>
      <c r="C1398" s="1" t="n">
        <v>45810</v>
      </c>
      <c r="D1398" t="inlineStr">
        <is>
          <t>VÄRMLANDS LÄN</t>
        </is>
      </c>
      <c r="E1398" t="inlineStr">
        <is>
          <t>ÅRJÄNG</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40810-2019</t>
        </is>
      </c>
      <c r="B1399" s="1" t="n">
        <v>43697</v>
      </c>
      <c r="C1399" s="1" t="n">
        <v>45810</v>
      </c>
      <c r="D1399" t="inlineStr">
        <is>
          <t>VÄRMLANDS LÄN</t>
        </is>
      </c>
      <c r="E1399" t="inlineStr">
        <is>
          <t>TORSBY</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40719-2019</t>
        </is>
      </c>
      <c r="B1400" s="1" t="n">
        <v>43697</v>
      </c>
      <c r="C1400" s="1" t="n">
        <v>45810</v>
      </c>
      <c r="D1400" t="inlineStr">
        <is>
          <t>VÄRMLANDS LÄN</t>
        </is>
      </c>
      <c r="E1400" t="inlineStr">
        <is>
          <t>KIL</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40988-2019</t>
        </is>
      </c>
      <c r="B1401" s="1" t="n">
        <v>43697</v>
      </c>
      <c r="C1401" s="1" t="n">
        <v>45810</v>
      </c>
      <c r="D1401" t="inlineStr">
        <is>
          <t>VÄRMLANDS LÄN</t>
        </is>
      </c>
      <c r="E1401" t="inlineStr">
        <is>
          <t>SUNNE</t>
        </is>
      </c>
      <c r="G1401" t="n">
        <v>10.5</v>
      </c>
      <c r="H1401" t="n">
        <v>0</v>
      </c>
      <c r="I1401" t="n">
        <v>0</v>
      </c>
      <c r="J1401" t="n">
        <v>0</v>
      </c>
      <c r="K1401" t="n">
        <v>0</v>
      </c>
      <c r="L1401" t="n">
        <v>0</v>
      </c>
      <c r="M1401" t="n">
        <v>0</v>
      </c>
      <c r="N1401" t="n">
        <v>0</v>
      </c>
      <c r="O1401" t="n">
        <v>0</v>
      </c>
      <c r="P1401" t="n">
        <v>0</v>
      </c>
      <c r="Q1401" t="n">
        <v>0</v>
      </c>
      <c r="R1401" s="2" t="inlineStr"/>
    </row>
    <row r="1402" ht="15" customHeight="1">
      <c r="A1402" t="inlineStr">
        <is>
          <t>A 40936-2019</t>
        </is>
      </c>
      <c r="B1402" s="1" t="n">
        <v>43697</v>
      </c>
      <c r="C1402" s="1" t="n">
        <v>45810</v>
      </c>
      <c r="D1402" t="inlineStr">
        <is>
          <t>VÄRMLANDS LÄN</t>
        </is>
      </c>
      <c r="E1402" t="inlineStr">
        <is>
          <t>SUNNE</t>
        </is>
      </c>
      <c r="G1402" t="n">
        <v>6.2</v>
      </c>
      <c r="H1402" t="n">
        <v>0</v>
      </c>
      <c r="I1402" t="n">
        <v>0</v>
      </c>
      <c r="J1402" t="n">
        <v>0</v>
      </c>
      <c r="K1402" t="n">
        <v>0</v>
      </c>
      <c r="L1402" t="n">
        <v>0</v>
      </c>
      <c r="M1402" t="n">
        <v>0</v>
      </c>
      <c r="N1402" t="n">
        <v>0</v>
      </c>
      <c r="O1402" t="n">
        <v>0</v>
      </c>
      <c r="P1402" t="n">
        <v>0</v>
      </c>
      <c r="Q1402" t="n">
        <v>0</v>
      </c>
      <c r="R1402" s="2" t="inlineStr"/>
    </row>
    <row r="1403" ht="15" customHeight="1">
      <c r="A1403" t="inlineStr">
        <is>
          <t>A 40991-2019</t>
        </is>
      </c>
      <c r="B1403" s="1" t="n">
        <v>43697</v>
      </c>
      <c r="C1403" s="1" t="n">
        <v>45810</v>
      </c>
      <c r="D1403" t="inlineStr">
        <is>
          <t>VÄRMLANDS LÄN</t>
        </is>
      </c>
      <c r="E1403" t="inlineStr">
        <is>
          <t>SUNNE</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41616-2019</t>
        </is>
      </c>
      <c r="B1404" s="1" t="n">
        <v>43697</v>
      </c>
      <c r="C1404" s="1" t="n">
        <v>45810</v>
      </c>
      <c r="D1404" t="inlineStr">
        <is>
          <t>VÄRMLANDS LÄN</t>
        </is>
      </c>
      <c r="E1404" t="inlineStr">
        <is>
          <t>ÅRJÄNG</t>
        </is>
      </c>
      <c r="G1404" t="n">
        <v>5.5</v>
      </c>
      <c r="H1404" t="n">
        <v>0</v>
      </c>
      <c r="I1404" t="n">
        <v>0</v>
      </c>
      <c r="J1404" t="n">
        <v>0</v>
      </c>
      <c r="K1404" t="n">
        <v>0</v>
      </c>
      <c r="L1404" t="n">
        <v>0</v>
      </c>
      <c r="M1404" t="n">
        <v>0</v>
      </c>
      <c r="N1404" t="n">
        <v>0</v>
      </c>
      <c r="O1404" t="n">
        <v>0</v>
      </c>
      <c r="P1404" t="n">
        <v>0</v>
      </c>
      <c r="Q1404" t="n">
        <v>0</v>
      </c>
      <c r="R1404" s="2" t="inlineStr"/>
    </row>
    <row r="1405" ht="15" customHeight="1">
      <c r="A1405" t="inlineStr">
        <is>
          <t>A 41829-2019</t>
        </is>
      </c>
      <c r="B1405" s="1" t="n">
        <v>43697</v>
      </c>
      <c r="C1405" s="1" t="n">
        <v>45810</v>
      </c>
      <c r="D1405" t="inlineStr">
        <is>
          <t>VÄRMLANDS LÄN</t>
        </is>
      </c>
      <c r="E1405" t="inlineStr">
        <is>
          <t>SUNNE</t>
        </is>
      </c>
      <c r="F1405" t="inlineStr">
        <is>
          <t>Kyrkan</t>
        </is>
      </c>
      <c r="G1405" t="n">
        <v>6.9</v>
      </c>
      <c r="H1405" t="n">
        <v>0</v>
      </c>
      <c r="I1405" t="n">
        <v>0</v>
      </c>
      <c r="J1405" t="n">
        <v>0</v>
      </c>
      <c r="K1405" t="n">
        <v>0</v>
      </c>
      <c r="L1405" t="n">
        <v>0</v>
      </c>
      <c r="M1405" t="n">
        <v>0</v>
      </c>
      <c r="N1405" t="n">
        <v>0</v>
      </c>
      <c r="O1405" t="n">
        <v>0</v>
      </c>
      <c r="P1405" t="n">
        <v>0</v>
      </c>
      <c r="Q1405" t="n">
        <v>0</v>
      </c>
      <c r="R1405" s="2" t="inlineStr"/>
    </row>
    <row r="1406" ht="15" customHeight="1">
      <c r="A1406" t="inlineStr">
        <is>
          <t>A 41698-2019</t>
        </is>
      </c>
      <c r="B1406" s="1" t="n">
        <v>43697</v>
      </c>
      <c r="C1406" s="1" t="n">
        <v>45810</v>
      </c>
      <c r="D1406" t="inlineStr">
        <is>
          <t>VÄRMLANDS LÄN</t>
        </is>
      </c>
      <c r="E1406" t="inlineStr">
        <is>
          <t>TORSBY</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41855-2019</t>
        </is>
      </c>
      <c r="B1407" s="1" t="n">
        <v>43697</v>
      </c>
      <c r="C1407" s="1" t="n">
        <v>45810</v>
      </c>
      <c r="D1407" t="inlineStr">
        <is>
          <t>VÄRMLANDS LÄN</t>
        </is>
      </c>
      <c r="E1407" t="inlineStr">
        <is>
          <t>SUNNE</t>
        </is>
      </c>
      <c r="F1407" t="inlineStr">
        <is>
          <t>Kyrkan</t>
        </is>
      </c>
      <c r="G1407" t="n">
        <v>5.4</v>
      </c>
      <c r="H1407" t="n">
        <v>0</v>
      </c>
      <c r="I1407" t="n">
        <v>0</v>
      </c>
      <c r="J1407" t="n">
        <v>0</v>
      </c>
      <c r="K1407" t="n">
        <v>0</v>
      </c>
      <c r="L1407" t="n">
        <v>0</v>
      </c>
      <c r="M1407" t="n">
        <v>0</v>
      </c>
      <c r="N1407" t="n">
        <v>0</v>
      </c>
      <c r="O1407" t="n">
        <v>0</v>
      </c>
      <c r="P1407" t="n">
        <v>0</v>
      </c>
      <c r="Q1407" t="n">
        <v>0</v>
      </c>
      <c r="R1407" s="2" t="inlineStr"/>
    </row>
    <row r="1408" ht="15" customHeight="1">
      <c r="A1408" t="inlineStr">
        <is>
          <t>A 42441-2019</t>
        </is>
      </c>
      <c r="B1408" s="1" t="n">
        <v>43697</v>
      </c>
      <c r="C1408" s="1" t="n">
        <v>45810</v>
      </c>
      <c r="D1408" t="inlineStr">
        <is>
          <t>VÄRMLANDS LÄN</t>
        </is>
      </c>
      <c r="E1408" t="inlineStr">
        <is>
          <t>TORSBY</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41632-2019</t>
        </is>
      </c>
      <c r="B1409" s="1" t="n">
        <v>43697</v>
      </c>
      <c r="C1409" s="1" t="n">
        <v>45810</v>
      </c>
      <c r="D1409" t="inlineStr">
        <is>
          <t>VÄRMLANDS LÄN</t>
        </is>
      </c>
      <c r="E1409" t="inlineStr">
        <is>
          <t>ÅRJÄNG</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41834-2019</t>
        </is>
      </c>
      <c r="B1410" s="1" t="n">
        <v>43697</v>
      </c>
      <c r="C1410" s="1" t="n">
        <v>45810</v>
      </c>
      <c r="D1410" t="inlineStr">
        <is>
          <t>VÄRMLANDS LÄN</t>
        </is>
      </c>
      <c r="E1410" t="inlineStr">
        <is>
          <t>HAGFORS</t>
        </is>
      </c>
      <c r="F1410" t="inlineStr">
        <is>
          <t>Kyrkan</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41193-2019</t>
        </is>
      </c>
      <c r="B1411" s="1" t="n">
        <v>43698</v>
      </c>
      <c r="C1411" s="1" t="n">
        <v>45810</v>
      </c>
      <c r="D1411" t="inlineStr">
        <is>
          <t>VÄRMLANDS LÄN</t>
        </is>
      </c>
      <c r="E1411" t="inlineStr">
        <is>
          <t>SUNNE</t>
        </is>
      </c>
      <c r="G1411" t="n">
        <v>4.1</v>
      </c>
      <c r="H1411" t="n">
        <v>0</v>
      </c>
      <c r="I1411" t="n">
        <v>0</v>
      </c>
      <c r="J1411" t="n">
        <v>0</v>
      </c>
      <c r="K1411" t="n">
        <v>0</v>
      </c>
      <c r="L1411" t="n">
        <v>0</v>
      </c>
      <c r="M1411" t="n">
        <v>0</v>
      </c>
      <c r="N1411" t="n">
        <v>0</v>
      </c>
      <c r="O1411" t="n">
        <v>0</v>
      </c>
      <c r="P1411" t="n">
        <v>0</v>
      </c>
      <c r="Q1411" t="n">
        <v>0</v>
      </c>
      <c r="R1411" s="2" t="inlineStr"/>
    </row>
    <row r="1412" ht="15" customHeight="1">
      <c r="A1412" t="inlineStr">
        <is>
          <t>A 41436-2019</t>
        </is>
      </c>
      <c r="B1412" s="1" t="n">
        <v>43698</v>
      </c>
      <c r="C1412" s="1" t="n">
        <v>45810</v>
      </c>
      <c r="D1412" t="inlineStr">
        <is>
          <t>VÄRMLANDS LÄN</t>
        </is>
      </c>
      <c r="E1412" t="inlineStr">
        <is>
          <t>TORSBY</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41435-2019</t>
        </is>
      </c>
      <c r="B1413" s="1" t="n">
        <v>43698</v>
      </c>
      <c r="C1413" s="1" t="n">
        <v>45810</v>
      </c>
      <c r="D1413" t="inlineStr">
        <is>
          <t>VÄRMLANDS LÄN</t>
        </is>
      </c>
      <c r="E1413" t="inlineStr">
        <is>
          <t>TORSBY</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42468-2019</t>
        </is>
      </c>
      <c r="B1414" s="1" t="n">
        <v>43698</v>
      </c>
      <c r="C1414" s="1" t="n">
        <v>45810</v>
      </c>
      <c r="D1414" t="inlineStr">
        <is>
          <t>VÄRMLANDS LÄN</t>
        </is>
      </c>
      <c r="E1414" t="inlineStr">
        <is>
          <t>FORSHAGA</t>
        </is>
      </c>
      <c r="G1414" t="n">
        <v>4.3</v>
      </c>
      <c r="H1414" t="n">
        <v>0</v>
      </c>
      <c r="I1414" t="n">
        <v>0</v>
      </c>
      <c r="J1414" t="n">
        <v>0</v>
      </c>
      <c r="K1414" t="n">
        <v>0</v>
      </c>
      <c r="L1414" t="n">
        <v>0</v>
      </c>
      <c r="M1414" t="n">
        <v>0</v>
      </c>
      <c r="N1414" t="n">
        <v>0</v>
      </c>
      <c r="O1414" t="n">
        <v>0</v>
      </c>
      <c r="P1414" t="n">
        <v>0</v>
      </c>
      <c r="Q1414" t="n">
        <v>0</v>
      </c>
      <c r="R1414" s="2" t="inlineStr"/>
    </row>
    <row r="1415" ht="15" customHeight="1">
      <c r="A1415" t="inlineStr">
        <is>
          <t>A 41438-2019</t>
        </is>
      </c>
      <c r="B1415" s="1" t="n">
        <v>43698</v>
      </c>
      <c r="C1415" s="1" t="n">
        <v>45810</v>
      </c>
      <c r="D1415" t="inlineStr">
        <is>
          <t>VÄRMLANDS LÄN</t>
        </is>
      </c>
      <c r="E1415" t="inlineStr">
        <is>
          <t>TORSBY</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42463-2019</t>
        </is>
      </c>
      <c r="B1416" s="1" t="n">
        <v>43698</v>
      </c>
      <c r="C1416" s="1" t="n">
        <v>45810</v>
      </c>
      <c r="D1416" t="inlineStr">
        <is>
          <t>VÄRMLANDS LÄN</t>
        </is>
      </c>
      <c r="E1416" t="inlineStr">
        <is>
          <t>FORSHAGA</t>
        </is>
      </c>
      <c r="G1416" t="n">
        <v>5.6</v>
      </c>
      <c r="H1416" t="n">
        <v>0</v>
      </c>
      <c r="I1416" t="n">
        <v>0</v>
      </c>
      <c r="J1416" t="n">
        <v>0</v>
      </c>
      <c r="K1416" t="n">
        <v>0</v>
      </c>
      <c r="L1416" t="n">
        <v>0</v>
      </c>
      <c r="M1416" t="n">
        <v>0</v>
      </c>
      <c r="N1416" t="n">
        <v>0</v>
      </c>
      <c r="O1416" t="n">
        <v>0</v>
      </c>
      <c r="P1416" t="n">
        <v>0</v>
      </c>
      <c r="Q1416" t="n">
        <v>0</v>
      </c>
      <c r="R1416" s="2" t="inlineStr"/>
    </row>
    <row r="1417" ht="15" customHeight="1">
      <c r="A1417" t="inlineStr">
        <is>
          <t>A 42238-2019</t>
        </is>
      </c>
      <c r="B1417" s="1" t="n">
        <v>43698</v>
      </c>
      <c r="C1417" s="1" t="n">
        <v>45810</v>
      </c>
      <c r="D1417" t="inlineStr">
        <is>
          <t>VÄRMLANDS LÄN</t>
        </is>
      </c>
      <c r="E1417" t="inlineStr">
        <is>
          <t>GRUMS</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41134-2019</t>
        </is>
      </c>
      <c r="B1418" s="1" t="n">
        <v>43698</v>
      </c>
      <c r="C1418" s="1" t="n">
        <v>45810</v>
      </c>
      <c r="D1418" t="inlineStr">
        <is>
          <t>VÄRMLANDS LÄN</t>
        </is>
      </c>
      <c r="E1418" t="inlineStr">
        <is>
          <t>SUNNE</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42472-2019</t>
        </is>
      </c>
      <c r="B1419" s="1" t="n">
        <v>43698</v>
      </c>
      <c r="C1419" s="1" t="n">
        <v>45810</v>
      </c>
      <c r="D1419" t="inlineStr">
        <is>
          <t>VÄRMLANDS LÄN</t>
        </is>
      </c>
      <c r="E1419" t="inlineStr">
        <is>
          <t>FORSHAGA</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41275-2019</t>
        </is>
      </c>
      <c r="B1420" s="1" t="n">
        <v>43698</v>
      </c>
      <c r="C1420" s="1" t="n">
        <v>45810</v>
      </c>
      <c r="D1420" t="inlineStr">
        <is>
          <t>VÄRMLANDS LÄN</t>
        </is>
      </c>
      <c r="E1420" t="inlineStr">
        <is>
          <t>ÅRJÄNG</t>
        </is>
      </c>
      <c r="G1420" t="n">
        <v>10.1</v>
      </c>
      <c r="H1420" t="n">
        <v>0</v>
      </c>
      <c r="I1420" t="n">
        <v>0</v>
      </c>
      <c r="J1420" t="n">
        <v>0</v>
      </c>
      <c r="K1420" t="n">
        <v>0</v>
      </c>
      <c r="L1420" t="n">
        <v>0</v>
      </c>
      <c r="M1420" t="n">
        <v>0</v>
      </c>
      <c r="N1420" t="n">
        <v>0</v>
      </c>
      <c r="O1420" t="n">
        <v>0</v>
      </c>
      <c r="P1420" t="n">
        <v>0</v>
      </c>
      <c r="Q1420" t="n">
        <v>0</v>
      </c>
      <c r="R1420" s="2" t="inlineStr"/>
    </row>
    <row r="1421" ht="15" customHeight="1">
      <c r="A1421" t="inlineStr">
        <is>
          <t>A 41192-2019</t>
        </is>
      </c>
      <c r="B1421" s="1" t="n">
        <v>43698</v>
      </c>
      <c r="C1421" s="1" t="n">
        <v>45810</v>
      </c>
      <c r="D1421" t="inlineStr">
        <is>
          <t>VÄRMLANDS LÄN</t>
        </is>
      </c>
      <c r="E1421" t="inlineStr">
        <is>
          <t>ÅRJÄNG</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41621-2019</t>
        </is>
      </c>
      <c r="B1422" s="1" t="n">
        <v>43699</v>
      </c>
      <c r="C1422" s="1" t="n">
        <v>45810</v>
      </c>
      <c r="D1422" t="inlineStr">
        <is>
          <t>VÄRMLANDS LÄN</t>
        </is>
      </c>
      <c r="E1422" t="inlineStr">
        <is>
          <t>TORSBY</t>
        </is>
      </c>
      <c r="G1422" t="n">
        <v>4.2</v>
      </c>
      <c r="H1422" t="n">
        <v>0</v>
      </c>
      <c r="I1422" t="n">
        <v>0</v>
      </c>
      <c r="J1422" t="n">
        <v>0</v>
      </c>
      <c r="K1422" t="n">
        <v>0</v>
      </c>
      <c r="L1422" t="n">
        <v>0</v>
      </c>
      <c r="M1422" t="n">
        <v>0</v>
      </c>
      <c r="N1422" t="n">
        <v>0</v>
      </c>
      <c r="O1422" t="n">
        <v>0</v>
      </c>
      <c r="P1422" t="n">
        <v>0</v>
      </c>
      <c r="Q1422" t="n">
        <v>0</v>
      </c>
      <c r="R1422" s="2" t="inlineStr"/>
    </row>
    <row r="1423" ht="15" customHeight="1">
      <c r="A1423" t="inlineStr">
        <is>
          <t>A 41530-2019</t>
        </is>
      </c>
      <c r="B1423" s="1" t="n">
        <v>43699</v>
      </c>
      <c r="C1423" s="1" t="n">
        <v>45810</v>
      </c>
      <c r="D1423" t="inlineStr">
        <is>
          <t>VÄRMLANDS LÄN</t>
        </is>
      </c>
      <c r="E1423" t="inlineStr">
        <is>
          <t>KIL</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41681-2019</t>
        </is>
      </c>
      <c r="B1424" s="1" t="n">
        <v>43699</v>
      </c>
      <c r="C1424" s="1" t="n">
        <v>45810</v>
      </c>
      <c r="D1424" t="inlineStr">
        <is>
          <t>VÄRMLANDS LÄN</t>
        </is>
      </c>
      <c r="E1424" t="inlineStr">
        <is>
          <t>SUNNE</t>
        </is>
      </c>
      <c r="G1424" t="n">
        <v>5.9</v>
      </c>
      <c r="H1424" t="n">
        <v>0</v>
      </c>
      <c r="I1424" t="n">
        <v>0</v>
      </c>
      <c r="J1424" t="n">
        <v>0</v>
      </c>
      <c r="K1424" t="n">
        <v>0</v>
      </c>
      <c r="L1424" t="n">
        <v>0</v>
      </c>
      <c r="M1424" t="n">
        <v>0</v>
      </c>
      <c r="N1424" t="n">
        <v>0</v>
      </c>
      <c r="O1424" t="n">
        <v>0</v>
      </c>
      <c r="P1424" t="n">
        <v>0</v>
      </c>
      <c r="Q1424" t="n">
        <v>0</v>
      </c>
      <c r="R1424" s="2" t="inlineStr"/>
    </row>
    <row r="1425" ht="15" customHeight="1">
      <c r="A1425" t="inlineStr">
        <is>
          <t>A 42451-2019</t>
        </is>
      </c>
      <c r="B1425" s="1" t="n">
        <v>43699</v>
      </c>
      <c r="C1425" s="1" t="n">
        <v>45810</v>
      </c>
      <c r="D1425" t="inlineStr">
        <is>
          <t>VÄRMLANDS LÄN</t>
        </is>
      </c>
      <c r="E1425" t="inlineStr">
        <is>
          <t>SUNNE</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42851-2019</t>
        </is>
      </c>
      <c r="B1426" s="1" t="n">
        <v>43699</v>
      </c>
      <c r="C1426" s="1" t="n">
        <v>45810</v>
      </c>
      <c r="D1426" t="inlineStr">
        <is>
          <t>VÄRMLANDS LÄN</t>
        </is>
      </c>
      <c r="E1426" t="inlineStr">
        <is>
          <t>ÅRJÄNG</t>
        </is>
      </c>
      <c r="G1426" t="n">
        <v>5.4</v>
      </c>
      <c r="H1426" t="n">
        <v>0</v>
      </c>
      <c r="I1426" t="n">
        <v>0</v>
      </c>
      <c r="J1426" t="n">
        <v>0</v>
      </c>
      <c r="K1426" t="n">
        <v>0</v>
      </c>
      <c r="L1426" t="n">
        <v>0</v>
      </c>
      <c r="M1426" t="n">
        <v>0</v>
      </c>
      <c r="N1426" t="n">
        <v>0</v>
      </c>
      <c r="O1426" t="n">
        <v>0</v>
      </c>
      <c r="P1426" t="n">
        <v>0</v>
      </c>
      <c r="Q1426" t="n">
        <v>0</v>
      </c>
      <c r="R1426" s="2" t="inlineStr"/>
    </row>
    <row r="1427" ht="15" customHeight="1">
      <c r="A1427" t="inlineStr">
        <is>
          <t>A 41531-2019</t>
        </is>
      </c>
      <c r="B1427" s="1" t="n">
        <v>43699</v>
      </c>
      <c r="C1427" s="1" t="n">
        <v>45810</v>
      </c>
      <c r="D1427" t="inlineStr">
        <is>
          <t>VÄRMLANDS LÄN</t>
        </is>
      </c>
      <c r="E1427" t="inlineStr">
        <is>
          <t>ARVIKA</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42443-2019</t>
        </is>
      </c>
      <c r="B1428" s="1" t="n">
        <v>43699</v>
      </c>
      <c r="C1428" s="1" t="n">
        <v>45810</v>
      </c>
      <c r="D1428" t="inlineStr">
        <is>
          <t>VÄRMLANDS LÄN</t>
        </is>
      </c>
      <c r="E1428" t="inlineStr">
        <is>
          <t>ÅRJÄNG</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42837-2019</t>
        </is>
      </c>
      <c r="B1429" s="1" t="n">
        <v>43699</v>
      </c>
      <c r="C1429" s="1" t="n">
        <v>45810</v>
      </c>
      <c r="D1429" t="inlineStr">
        <is>
          <t>VÄRMLANDS LÄN</t>
        </is>
      </c>
      <c r="E1429" t="inlineStr">
        <is>
          <t>ÅRJÄNG</t>
        </is>
      </c>
      <c r="G1429" t="n">
        <v>3</v>
      </c>
      <c r="H1429" t="n">
        <v>0</v>
      </c>
      <c r="I1429" t="n">
        <v>0</v>
      </c>
      <c r="J1429" t="n">
        <v>0</v>
      </c>
      <c r="K1429" t="n">
        <v>0</v>
      </c>
      <c r="L1429" t="n">
        <v>0</v>
      </c>
      <c r="M1429" t="n">
        <v>0</v>
      </c>
      <c r="N1429" t="n">
        <v>0</v>
      </c>
      <c r="O1429" t="n">
        <v>0</v>
      </c>
      <c r="P1429" t="n">
        <v>0</v>
      </c>
      <c r="Q1429" t="n">
        <v>0</v>
      </c>
      <c r="R1429" s="2" t="inlineStr"/>
    </row>
    <row r="1430" ht="15" customHeight="1">
      <c r="A1430" t="inlineStr">
        <is>
          <t>A 41825-2019</t>
        </is>
      </c>
      <c r="B1430" s="1" t="n">
        <v>43700</v>
      </c>
      <c r="C1430" s="1" t="n">
        <v>45810</v>
      </c>
      <c r="D1430" t="inlineStr">
        <is>
          <t>VÄRMLANDS LÄN</t>
        </is>
      </c>
      <c r="E1430" t="inlineStr">
        <is>
          <t>SÄFFLE</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41989-2019</t>
        </is>
      </c>
      <c r="B1431" s="1" t="n">
        <v>43700</v>
      </c>
      <c r="C1431" s="1" t="n">
        <v>45810</v>
      </c>
      <c r="D1431" t="inlineStr">
        <is>
          <t>VÄRMLANDS LÄN</t>
        </is>
      </c>
      <c r="E1431" t="inlineStr">
        <is>
          <t>ÅRJÄNG</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41815-2019</t>
        </is>
      </c>
      <c r="B1432" s="1" t="n">
        <v>43700</v>
      </c>
      <c r="C1432" s="1" t="n">
        <v>45810</v>
      </c>
      <c r="D1432" t="inlineStr">
        <is>
          <t>VÄRMLANDS LÄN</t>
        </is>
      </c>
      <c r="E1432" t="inlineStr">
        <is>
          <t>SUNNE</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41821-2019</t>
        </is>
      </c>
      <c r="B1433" s="1" t="n">
        <v>43700</v>
      </c>
      <c r="C1433" s="1" t="n">
        <v>45810</v>
      </c>
      <c r="D1433" t="inlineStr">
        <is>
          <t>VÄRMLANDS LÄN</t>
        </is>
      </c>
      <c r="E1433" t="inlineStr">
        <is>
          <t>FILIPSTAD</t>
        </is>
      </c>
      <c r="G1433" t="n">
        <v>7.7</v>
      </c>
      <c r="H1433" t="n">
        <v>0</v>
      </c>
      <c r="I1433" t="n">
        <v>0</v>
      </c>
      <c r="J1433" t="n">
        <v>0</v>
      </c>
      <c r="K1433" t="n">
        <v>0</v>
      </c>
      <c r="L1433" t="n">
        <v>0</v>
      </c>
      <c r="M1433" t="n">
        <v>0</v>
      </c>
      <c r="N1433" t="n">
        <v>0</v>
      </c>
      <c r="O1433" t="n">
        <v>0</v>
      </c>
      <c r="P1433" t="n">
        <v>0</v>
      </c>
      <c r="Q1433" t="n">
        <v>0</v>
      </c>
      <c r="R1433" s="2" t="inlineStr"/>
    </row>
    <row r="1434" ht="15" customHeight="1">
      <c r="A1434" t="inlineStr">
        <is>
          <t>A 41854-2019</t>
        </is>
      </c>
      <c r="B1434" s="1" t="n">
        <v>43700</v>
      </c>
      <c r="C1434" s="1" t="n">
        <v>45810</v>
      </c>
      <c r="D1434" t="inlineStr">
        <is>
          <t>VÄRMLANDS LÄN</t>
        </is>
      </c>
      <c r="E1434" t="inlineStr">
        <is>
          <t>KIL</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41996-2019</t>
        </is>
      </c>
      <c r="B1435" s="1" t="n">
        <v>43700</v>
      </c>
      <c r="C1435" s="1" t="n">
        <v>45810</v>
      </c>
      <c r="D1435" t="inlineStr">
        <is>
          <t>VÄRMLANDS LÄN</t>
        </is>
      </c>
      <c r="E1435" t="inlineStr">
        <is>
          <t>ÅRJÄNG</t>
        </is>
      </c>
      <c r="G1435" t="n">
        <v>4</v>
      </c>
      <c r="H1435" t="n">
        <v>0</v>
      </c>
      <c r="I1435" t="n">
        <v>0</v>
      </c>
      <c r="J1435" t="n">
        <v>0</v>
      </c>
      <c r="K1435" t="n">
        <v>0</v>
      </c>
      <c r="L1435" t="n">
        <v>0</v>
      </c>
      <c r="M1435" t="n">
        <v>0</v>
      </c>
      <c r="N1435" t="n">
        <v>0</v>
      </c>
      <c r="O1435" t="n">
        <v>0</v>
      </c>
      <c r="P1435" t="n">
        <v>0</v>
      </c>
      <c r="Q1435" t="n">
        <v>0</v>
      </c>
      <c r="R1435" s="2" t="inlineStr"/>
    </row>
    <row r="1436" ht="15" customHeight="1">
      <c r="A1436" t="inlineStr">
        <is>
          <t>A 42033-2019</t>
        </is>
      </c>
      <c r="B1436" s="1" t="n">
        <v>43700</v>
      </c>
      <c r="C1436" s="1" t="n">
        <v>45810</v>
      </c>
      <c r="D1436" t="inlineStr">
        <is>
          <t>VÄRMLANDS LÄN</t>
        </is>
      </c>
      <c r="E1436" t="inlineStr">
        <is>
          <t>FILIPSTAD</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42988-2019</t>
        </is>
      </c>
      <c r="B1437" s="1" t="n">
        <v>43700</v>
      </c>
      <c r="C1437" s="1" t="n">
        <v>45810</v>
      </c>
      <c r="D1437" t="inlineStr">
        <is>
          <t>VÄRMLANDS LÄN</t>
        </is>
      </c>
      <c r="E1437" t="inlineStr">
        <is>
          <t>KIL</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43015-2019</t>
        </is>
      </c>
      <c r="B1438" s="1" t="n">
        <v>43700</v>
      </c>
      <c r="C1438" s="1" t="n">
        <v>45810</v>
      </c>
      <c r="D1438" t="inlineStr">
        <is>
          <t>VÄRMLANDS LÄN</t>
        </is>
      </c>
      <c r="E1438" t="inlineStr">
        <is>
          <t>KIL</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42853-2019</t>
        </is>
      </c>
      <c r="B1439" s="1" t="n">
        <v>43700</v>
      </c>
      <c r="C1439" s="1" t="n">
        <v>45810</v>
      </c>
      <c r="D1439" t="inlineStr">
        <is>
          <t>VÄRMLANDS LÄN</t>
        </is>
      </c>
      <c r="E1439" t="inlineStr">
        <is>
          <t>ÅRJÄNG</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42984-2019</t>
        </is>
      </c>
      <c r="B1440" s="1" t="n">
        <v>43700</v>
      </c>
      <c r="C1440" s="1" t="n">
        <v>45810</v>
      </c>
      <c r="D1440" t="inlineStr">
        <is>
          <t>VÄRMLANDS LÄN</t>
        </is>
      </c>
      <c r="E1440" t="inlineStr">
        <is>
          <t>KIL</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42102-2019</t>
        </is>
      </c>
      <c r="B1441" s="1" t="n">
        <v>43702</v>
      </c>
      <c r="C1441" s="1" t="n">
        <v>45810</v>
      </c>
      <c r="D1441" t="inlineStr">
        <is>
          <t>VÄRMLANDS LÄN</t>
        </is>
      </c>
      <c r="E1441" t="inlineStr">
        <is>
          <t>ARVIKA</t>
        </is>
      </c>
      <c r="G1441" t="n">
        <v>5.7</v>
      </c>
      <c r="H1441" t="n">
        <v>0</v>
      </c>
      <c r="I1441" t="n">
        <v>0</v>
      </c>
      <c r="J1441" t="n">
        <v>0</v>
      </c>
      <c r="K1441" t="n">
        <v>0</v>
      </c>
      <c r="L1441" t="n">
        <v>0</v>
      </c>
      <c r="M1441" t="n">
        <v>0</v>
      </c>
      <c r="N1441" t="n">
        <v>0</v>
      </c>
      <c r="O1441" t="n">
        <v>0</v>
      </c>
      <c r="P1441" t="n">
        <v>0</v>
      </c>
      <c r="Q1441" t="n">
        <v>0</v>
      </c>
      <c r="R1441" s="2" t="inlineStr"/>
    </row>
    <row r="1442" ht="15" customHeight="1">
      <c r="A1442" t="inlineStr">
        <is>
          <t>A 42131-2019</t>
        </is>
      </c>
      <c r="B1442" s="1" t="n">
        <v>43703</v>
      </c>
      <c r="C1442" s="1" t="n">
        <v>45810</v>
      </c>
      <c r="D1442" t="inlineStr">
        <is>
          <t>VÄRMLANDS LÄN</t>
        </is>
      </c>
      <c r="E1442" t="inlineStr">
        <is>
          <t>FILIPSTAD</t>
        </is>
      </c>
      <c r="F1442" t="inlineStr">
        <is>
          <t>Bergvik skog väst AB</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42230-2019</t>
        </is>
      </c>
      <c r="B1443" s="1" t="n">
        <v>43703</v>
      </c>
      <c r="C1443" s="1" t="n">
        <v>45810</v>
      </c>
      <c r="D1443" t="inlineStr">
        <is>
          <t>VÄRMLANDS LÄN</t>
        </is>
      </c>
      <c r="E1443" t="inlineStr">
        <is>
          <t>TORSBY</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42284-2019</t>
        </is>
      </c>
      <c r="B1444" s="1" t="n">
        <v>43703</v>
      </c>
      <c r="C1444" s="1" t="n">
        <v>45810</v>
      </c>
      <c r="D1444" t="inlineStr">
        <is>
          <t>VÄRMLANDS LÄN</t>
        </is>
      </c>
      <c r="E1444" t="inlineStr">
        <is>
          <t>ÅRJÄNG</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42367-2019</t>
        </is>
      </c>
      <c r="B1445" s="1" t="n">
        <v>43703</v>
      </c>
      <c r="C1445" s="1" t="n">
        <v>45810</v>
      </c>
      <c r="D1445" t="inlineStr">
        <is>
          <t>VÄRMLANDS LÄN</t>
        </is>
      </c>
      <c r="E1445" t="inlineStr">
        <is>
          <t>EDA</t>
        </is>
      </c>
      <c r="G1445" t="n">
        <v>4.4</v>
      </c>
      <c r="H1445" t="n">
        <v>0</v>
      </c>
      <c r="I1445" t="n">
        <v>0</v>
      </c>
      <c r="J1445" t="n">
        <v>0</v>
      </c>
      <c r="K1445" t="n">
        <v>0</v>
      </c>
      <c r="L1445" t="n">
        <v>0</v>
      </c>
      <c r="M1445" t="n">
        <v>0</v>
      </c>
      <c r="N1445" t="n">
        <v>0</v>
      </c>
      <c r="O1445" t="n">
        <v>0</v>
      </c>
      <c r="P1445" t="n">
        <v>0</v>
      </c>
      <c r="Q1445" t="n">
        <v>0</v>
      </c>
      <c r="R1445" s="2" t="inlineStr"/>
    </row>
    <row r="1446" ht="15" customHeight="1">
      <c r="A1446" t="inlineStr">
        <is>
          <t>A 43137-2019</t>
        </is>
      </c>
      <c r="B1446" s="1" t="n">
        <v>43703</v>
      </c>
      <c r="C1446" s="1" t="n">
        <v>45810</v>
      </c>
      <c r="D1446" t="inlineStr">
        <is>
          <t>VÄRMLANDS LÄN</t>
        </is>
      </c>
      <c r="E1446" t="inlineStr">
        <is>
          <t>ÅRJÄNG</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43451-2019</t>
        </is>
      </c>
      <c r="B1447" s="1" t="n">
        <v>43703</v>
      </c>
      <c r="C1447" s="1" t="n">
        <v>45810</v>
      </c>
      <c r="D1447" t="inlineStr">
        <is>
          <t>VÄRMLANDS LÄN</t>
        </is>
      </c>
      <c r="E1447" t="inlineStr">
        <is>
          <t>EDA</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43141-2019</t>
        </is>
      </c>
      <c r="B1448" s="1" t="n">
        <v>43703</v>
      </c>
      <c r="C1448" s="1" t="n">
        <v>45810</v>
      </c>
      <c r="D1448" t="inlineStr">
        <is>
          <t>VÄRMLANDS LÄN</t>
        </is>
      </c>
      <c r="E1448" t="inlineStr">
        <is>
          <t>ÅRJÄNG</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42660-2019</t>
        </is>
      </c>
      <c r="B1449" s="1" t="n">
        <v>43704</v>
      </c>
      <c r="C1449" s="1" t="n">
        <v>45810</v>
      </c>
      <c r="D1449" t="inlineStr">
        <is>
          <t>VÄRMLANDS LÄN</t>
        </is>
      </c>
      <c r="E1449" t="inlineStr">
        <is>
          <t>EDA</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42692-2019</t>
        </is>
      </c>
      <c r="B1450" s="1" t="n">
        <v>43704</v>
      </c>
      <c r="C1450" s="1" t="n">
        <v>45810</v>
      </c>
      <c r="D1450" t="inlineStr">
        <is>
          <t>VÄRMLANDS LÄN</t>
        </is>
      </c>
      <c r="E1450" t="inlineStr">
        <is>
          <t>ARVIKA</t>
        </is>
      </c>
      <c r="F1450" t="inlineStr">
        <is>
          <t>Kommuner</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42485-2019</t>
        </is>
      </c>
      <c r="B1451" s="1" t="n">
        <v>43704</v>
      </c>
      <c r="C1451" s="1" t="n">
        <v>45810</v>
      </c>
      <c r="D1451" t="inlineStr">
        <is>
          <t>VÄRMLANDS LÄN</t>
        </is>
      </c>
      <c r="E1451" t="inlineStr">
        <is>
          <t>ARVIKA</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43273-2019</t>
        </is>
      </c>
      <c r="B1452" s="1" t="n">
        <v>43704</v>
      </c>
      <c r="C1452" s="1" t="n">
        <v>45810</v>
      </c>
      <c r="D1452" t="inlineStr">
        <is>
          <t>VÄRMLANDS LÄN</t>
        </is>
      </c>
      <c r="E1452" t="inlineStr">
        <is>
          <t>TORSBY</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42854-2019</t>
        </is>
      </c>
      <c r="B1453" s="1" t="n">
        <v>43705</v>
      </c>
      <c r="C1453" s="1" t="n">
        <v>45810</v>
      </c>
      <c r="D1453" t="inlineStr">
        <is>
          <t>VÄRMLANDS LÄN</t>
        </is>
      </c>
      <c r="E1453" t="inlineStr">
        <is>
          <t>ARVIKA</t>
        </is>
      </c>
      <c r="G1453" t="n">
        <v>8.4</v>
      </c>
      <c r="H1453" t="n">
        <v>0</v>
      </c>
      <c r="I1453" t="n">
        <v>0</v>
      </c>
      <c r="J1453" t="n">
        <v>0</v>
      </c>
      <c r="K1453" t="n">
        <v>0</v>
      </c>
      <c r="L1453" t="n">
        <v>0</v>
      </c>
      <c r="M1453" t="n">
        <v>0</v>
      </c>
      <c r="N1453" t="n">
        <v>0</v>
      </c>
      <c r="O1453" t="n">
        <v>0</v>
      </c>
      <c r="P1453" t="n">
        <v>0</v>
      </c>
      <c r="Q1453" t="n">
        <v>0</v>
      </c>
      <c r="R1453" s="2" t="inlineStr"/>
    </row>
    <row r="1454" ht="15" customHeight="1">
      <c r="A1454" t="inlineStr">
        <is>
          <t>A 42856-2019</t>
        </is>
      </c>
      <c r="B1454" s="1" t="n">
        <v>43705</v>
      </c>
      <c r="C1454" s="1" t="n">
        <v>45810</v>
      </c>
      <c r="D1454" t="inlineStr">
        <is>
          <t>VÄRMLANDS LÄN</t>
        </is>
      </c>
      <c r="E1454" t="inlineStr">
        <is>
          <t>KRISTINEHAMN</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42967-2019</t>
        </is>
      </c>
      <c r="B1455" s="1" t="n">
        <v>43705</v>
      </c>
      <c r="C1455" s="1" t="n">
        <v>45810</v>
      </c>
      <c r="D1455" t="inlineStr">
        <is>
          <t>VÄRMLANDS LÄN</t>
        </is>
      </c>
      <c r="E1455" t="inlineStr">
        <is>
          <t>HAGFORS</t>
        </is>
      </c>
      <c r="F1455" t="inlineStr">
        <is>
          <t>Bergvik skog väst AB</t>
        </is>
      </c>
      <c r="G1455" t="n">
        <v>30.3</v>
      </c>
      <c r="H1455" t="n">
        <v>0</v>
      </c>
      <c r="I1455" t="n">
        <v>0</v>
      </c>
      <c r="J1455" t="n">
        <v>0</v>
      </c>
      <c r="K1455" t="n">
        <v>0</v>
      </c>
      <c r="L1455" t="n">
        <v>0</v>
      </c>
      <c r="M1455" t="n">
        <v>0</v>
      </c>
      <c r="N1455" t="n">
        <v>0</v>
      </c>
      <c r="O1455" t="n">
        <v>0</v>
      </c>
      <c r="P1455" t="n">
        <v>0</v>
      </c>
      <c r="Q1455" t="n">
        <v>0</v>
      </c>
      <c r="R1455" s="2" t="inlineStr"/>
    </row>
    <row r="1456" ht="15" customHeight="1">
      <c r="A1456" t="inlineStr">
        <is>
          <t>A 43068-2019</t>
        </is>
      </c>
      <c r="B1456" s="1" t="n">
        <v>43705</v>
      </c>
      <c r="C1456" s="1" t="n">
        <v>45810</v>
      </c>
      <c r="D1456" t="inlineStr">
        <is>
          <t>VÄRMLANDS LÄN</t>
        </is>
      </c>
      <c r="E1456" t="inlineStr">
        <is>
          <t>SUNNE</t>
        </is>
      </c>
      <c r="G1456" t="n">
        <v>0.2</v>
      </c>
      <c r="H1456" t="n">
        <v>0</v>
      </c>
      <c r="I1456" t="n">
        <v>0</v>
      </c>
      <c r="J1456" t="n">
        <v>0</v>
      </c>
      <c r="K1456" t="n">
        <v>0</v>
      </c>
      <c r="L1456" t="n">
        <v>0</v>
      </c>
      <c r="M1456" t="n">
        <v>0</v>
      </c>
      <c r="N1456" t="n">
        <v>0</v>
      </c>
      <c r="O1456" t="n">
        <v>0</v>
      </c>
      <c r="P1456" t="n">
        <v>0</v>
      </c>
      <c r="Q1456" t="n">
        <v>0</v>
      </c>
      <c r="R1456" s="2" t="inlineStr"/>
    </row>
    <row r="1457" ht="15" customHeight="1">
      <c r="A1457" t="inlineStr">
        <is>
          <t>A 43075-2019</t>
        </is>
      </c>
      <c r="B1457" s="1" t="n">
        <v>43705</v>
      </c>
      <c r="C1457" s="1" t="n">
        <v>45810</v>
      </c>
      <c r="D1457" t="inlineStr">
        <is>
          <t>VÄRMLANDS LÄN</t>
        </is>
      </c>
      <c r="E1457" t="inlineStr">
        <is>
          <t>SUNNE</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42904-2019</t>
        </is>
      </c>
      <c r="B1458" s="1" t="n">
        <v>43705</v>
      </c>
      <c r="C1458" s="1" t="n">
        <v>45810</v>
      </c>
      <c r="D1458" t="inlineStr">
        <is>
          <t>VÄRMLANDS LÄN</t>
        </is>
      </c>
      <c r="E1458" t="inlineStr">
        <is>
          <t>ÅRJÄNG</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42980-2019</t>
        </is>
      </c>
      <c r="B1459" s="1" t="n">
        <v>43705</v>
      </c>
      <c r="C1459" s="1" t="n">
        <v>45810</v>
      </c>
      <c r="D1459" t="inlineStr">
        <is>
          <t>VÄRMLANDS LÄN</t>
        </is>
      </c>
      <c r="E1459" t="inlineStr">
        <is>
          <t>FILIPSTAD</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44380-2019</t>
        </is>
      </c>
      <c r="B1460" s="1" t="n">
        <v>43705</v>
      </c>
      <c r="C1460" s="1" t="n">
        <v>45810</v>
      </c>
      <c r="D1460" t="inlineStr">
        <is>
          <t>VÄRMLANDS LÄN</t>
        </is>
      </c>
      <c r="E1460" t="inlineStr">
        <is>
          <t>ÅRJÄNG</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43146-2019</t>
        </is>
      </c>
      <c r="B1461" s="1" t="n">
        <v>43705</v>
      </c>
      <c r="C1461" s="1" t="n">
        <v>45810</v>
      </c>
      <c r="D1461" t="inlineStr">
        <is>
          <t>VÄRMLANDS LÄN</t>
        </is>
      </c>
      <c r="E1461" t="inlineStr">
        <is>
          <t>ARVIKA</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44375-2019</t>
        </is>
      </c>
      <c r="B1462" s="1" t="n">
        <v>43705</v>
      </c>
      <c r="C1462" s="1" t="n">
        <v>45810</v>
      </c>
      <c r="D1462" t="inlineStr">
        <is>
          <t>VÄRMLANDS LÄN</t>
        </is>
      </c>
      <c r="E1462" t="inlineStr">
        <is>
          <t>ÅRJÄNG</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44367-2019</t>
        </is>
      </c>
      <c r="B1463" s="1" t="n">
        <v>43705</v>
      </c>
      <c r="C1463" s="1" t="n">
        <v>45810</v>
      </c>
      <c r="D1463" t="inlineStr">
        <is>
          <t>VÄRMLANDS LÄN</t>
        </is>
      </c>
      <c r="E1463" t="inlineStr">
        <is>
          <t>ÅRJÄNG</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44381-2019</t>
        </is>
      </c>
      <c r="B1464" s="1" t="n">
        <v>43705</v>
      </c>
      <c r="C1464" s="1" t="n">
        <v>45810</v>
      </c>
      <c r="D1464" t="inlineStr">
        <is>
          <t>VÄRMLANDS LÄN</t>
        </is>
      </c>
      <c r="E1464" t="inlineStr">
        <is>
          <t>EDA</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43291-2019</t>
        </is>
      </c>
      <c r="B1465" s="1" t="n">
        <v>43706</v>
      </c>
      <c r="C1465" s="1" t="n">
        <v>45810</v>
      </c>
      <c r="D1465" t="inlineStr">
        <is>
          <t>VÄRMLANDS LÄN</t>
        </is>
      </c>
      <c r="E1465" t="inlineStr">
        <is>
          <t>FILIPSTAD</t>
        </is>
      </c>
      <c r="G1465" t="n">
        <v>15.5</v>
      </c>
      <c r="H1465" t="n">
        <v>0</v>
      </c>
      <c r="I1465" t="n">
        <v>0</v>
      </c>
      <c r="J1465" t="n">
        <v>0</v>
      </c>
      <c r="K1465" t="n">
        <v>0</v>
      </c>
      <c r="L1465" t="n">
        <v>0</v>
      </c>
      <c r="M1465" t="n">
        <v>0</v>
      </c>
      <c r="N1465" t="n">
        <v>0</v>
      </c>
      <c r="O1465" t="n">
        <v>0</v>
      </c>
      <c r="P1465" t="n">
        <v>0</v>
      </c>
      <c r="Q1465" t="n">
        <v>0</v>
      </c>
      <c r="R1465" s="2" t="inlineStr"/>
    </row>
    <row r="1466" ht="15" customHeight="1">
      <c r="A1466" t="inlineStr">
        <is>
          <t>A 43471-2019</t>
        </is>
      </c>
      <c r="B1466" s="1" t="n">
        <v>43706</v>
      </c>
      <c r="C1466" s="1" t="n">
        <v>45810</v>
      </c>
      <c r="D1466" t="inlineStr">
        <is>
          <t>VÄRMLANDS LÄN</t>
        </is>
      </c>
      <c r="E1466" t="inlineStr">
        <is>
          <t>SUNNE</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43542-2019</t>
        </is>
      </c>
      <c r="B1467" s="1" t="n">
        <v>43706</v>
      </c>
      <c r="C1467" s="1" t="n">
        <v>45810</v>
      </c>
      <c r="D1467" t="inlineStr">
        <is>
          <t>VÄRMLANDS LÄN</t>
        </is>
      </c>
      <c r="E1467" t="inlineStr">
        <is>
          <t>SUNNE</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44531-2019</t>
        </is>
      </c>
      <c r="B1468" s="1" t="n">
        <v>43706</v>
      </c>
      <c r="C1468" s="1" t="n">
        <v>45810</v>
      </c>
      <c r="D1468" t="inlineStr">
        <is>
          <t>VÄRMLANDS LÄN</t>
        </is>
      </c>
      <c r="E1468" t="inlineStr">
        <is>
          <t>SÄFFLE</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44533-2019</t>
        </is>
      </c>
      <c r="B1469" s="1" t="n">
        <v>43706</v>
      </c>
      <c r="C1469" s="1" t="n">
        <v>45810</v>
      </c>
      <c r="D1469" t="inlineStr">
        <is>
          <t>VÄRMLANDS LÄN</t>
        </is>
      </c>
      <c r="E1469" t="inlineStr">
        <is>
          <t>SÄFFLE</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43927-2019</t>
        </is>
      </c>
      <c r="B1470" s="1" t="n">
        <v>43707</v>
      </c>
      <c r="C1470" s="1" t="n">
        <v>45810</v>
      </c>
      <c r="D1470" t="inlineStr">
        <is>
          <t>VÄRMLANDS LÄN</t>
        </is>
      </c>
      <c r="E1470" t="inlineStr">
        <is>
          <t>ÅRJÄNG</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43910-2019</t>
        </is>
      </c>
      <c r="B1471" s="1" t="n">
        <v>43707</v>
      </c>
      <c r="C1471" s="1" t="n">
        <v>45810</v>
      </c>
      <c r="D1471" t="inlineStr">
        <is>
          <t>VÄRMLANDS LÄN</t>
        </is>
      </c>
      <c r="E1471" t="inlineStr">
        <is>
          <t>ÅRJÄNG</t>
        </is>
      </c>
      <c r="F1471" t="inlineStr">
        <is>
          <t>Bergvik skog väst AB</t>
        </is>
      </c>
      <c r="G1471" t="n">
        <v>4.3</v>
      </c>
      <c r="H1471" t="n">
        <v>0</v>
      </c>
      <c r="I1471" t="n">
        <v>0</v>
      </c>
      <c r="J1471" t="n">
        <v>0</v>
      </c>
      <c r="K1471" t="n">
        <v>0</v>
      </c>
      <c r="L1471" t="n">
        <v>0</v>
      </c>
      <c r="M1471" t="n">
        <v>0</v>
      </c>
      <c r="N1471" t="n">
        <v>0</v>
      </c>
      <c r="O1471" t="n">
        <v>0</v>
      </c>
      <c r="P1471" t="n">
        <v>0</v>
      </c>
      <c r="Q1471" t="n">
        <v>0</v>
      </c>
      <c r="R1471" s="2" t="inlineStr"/>
    </row>
    <row r="1472" ht="15" customHeight="1">
      <c r="A1472" t="inlineStr">
        <is>
          <t>A 43897-2019</t>
        </is>
      </c>
      <c r="B1472" s="1" t="n">
        <v>43707</v>
      </c>
      <c r="C1472" s="1" t="n">
        <v>45810</v>
      </c>
      <c r="D1472" t="inlineStr">
        <is>
          <t>VÄRMLANDS LÄN</t>
        </is>
      </c>
      <c r="E1472" t="inlineStr">
        <is>
          <t>TORSBY</t>
        </is>
      </c>
      <c r="G1472" t="n">
        <v>3.2</v>
      </c>
      <c r="H1472" t="n">
        <v>0</v>
      </c>
      <c r="I1472" t="n">
        <v>0</v>
      </c>
      <c r="J1472" t="n">
        <v>0</v>
      </c>
      <c r="K1472" t="n">
        <v>0</v>
      </c>
      <c r="L1472" t="n">
        <v>0</v>
      </c>
      <c r="M1472" t="n">
        <v>0</v>
      </c>
      <c r="N1472" t="n">
        <v>0</v>
      </c>
      <c r="O1472" t="n">
        <v>0</v>
      </c>
      <c r="P1472" t="n">
        <v>0</v>
      </c>
      <c r="Q1472" t="n">
        <v>0</v>
      </c>
      <c r="R1472" s="2" t="inlineStr"/>
    </row>
    <row r="1473" ht="15" customHeight="1">
      <c r="A1473" t="inlineStr">
        <is>
          <t>A 44832-2019</t>
        </is>
      </c>
      <c r="B1473" s="1" t="n">
        <v>43707</v>
      </c>
      <c r="C1473" s="1" t="n">
        <v>45810</v>
      </c>
      <c r="D1473" t="inlineStr">
        <is>
          <t>VÄRMLANDS LÄN</t>
        </is>
      </c>
      <c r="E1473" t="inlineStr">
        <is>
          <t>TORSBY</t>
        </is>
      </c>
      <c r="G1473" t="n">
        <v>27.1</v>
      </c>
      <c r="H1473" t="n">
        <v>0</v>
      </c>
      <c r="I1473" t="n">
        <v>0</v>
      </c>
      <c r="J1473" t="n">
        <v>0</v>
      </c>
      <c r="K1473" t="n">
        <v>0</v>
      </c>
      <c r="L1473" t="n">
        <v>0</v>
      </c>
      <c r="M1473" t="n">
        <v>0</v>
      </c>
      <c r="N1473" t="n">
        <v>0</v>
      </c>
      <c r="O1473" t="n">
        <v>0</v>
      </c>
      <c r="P1473" t="n">
        <v>0</v>
      </c>
      <c r="Q1473" t="n">
        <v>0</v>
      </c>
      <c r="R1473" s="2" t="inlineStr"/>
    </row>
    <row r="1474" ht="15" customHeight="1">
      <c r="A1474" t="inlineStr">
        <is>
          <t>A 43643-2019</t>
        </is>
      </c>
      <c r="B1474" s="1" t="n">
        <v>43707</v>
      </c>
      <c r="C1474" s="1" t="n">
        <v>45810</v>
      </c>
      <c r="D1474" t="inlineStr">
        <is>
          <t>VÄRMLANDS LÄN</t>
        </is>
      </c>
      <c r="E1474" t="inlineStr">
        <is>
          <t>ÅRJÄNG</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44009-2019</t>
        </is>
      </c>
      <c r="B1475" s="1" t="n">
        <v>43709</v>
      </c>
      <c r="C1475" s="1" t="n">
        <v>45810</v>
      </c>
      <c r="D1475" t="inlineStr">
        <is>
          <t>VÄRMLANDS LÄN</t>
        </is>
      </c>
      <c r="E1475" t="inlineStr">
        <is>
          <t>KARLSTAD</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44068-2019</t>
        </is>
      </c>
      <c r="B1476" s="1" t="n">
        <v>43710</v>
      </c>
      <c r="C1476" s="1" t="n">
        <v>45810</v>
      </c>
      <c r="D1476" t="inlineStr">
        <is>
          <t>VÄRMLANDS LÄN</t>
        </is>
      </c>
      <c r="E1476" t="inlineStr">
        <is>
          <t>KARLSTAD</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44167-2019</t>
        </is>
      </c>
      <c r="B1477" s="1" t="n">
        <v>43710</v>
      </c>
      <c r="C1477" s="1" t="n">
        <v>45810</v>
      </c>
      <c r="D1477" t="inlineStr">
        <is>
          <t>VÄRMLANDS LÄN</t>
        </is>
      </c>
      <c r="E1477" t="inlineStr">
        <is>
          <t>GRUMS</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44197-2019</t>
        </is>
      </c>
      <c r="B1478" s="1" t="n">
        <v>43710</v>
      </c>
      <c r="C1478" s="1" t="n">
        <v>45810</v>
      </c>
      <c r="D1478" t="inlineStr">
        <is>
          <t>VÄRMLANDS LÄN</t>
        </is>
      </c>
      <c r="E1478" t="inlineStr">
        <is>
          <t>EDA</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44069-2019</t>
        </is>
      </c>
      <c r="B1479" s="1" t="n">
        <v>43710</v>
      </c>
      <c r="C1479" s="1" t="n">
        <v>45810</v>
      </c>
      <c r="D1479" t="inlineStr">
        <is>
          <t>VÄRMLANDS LÄN</t>
        </is>
      </c>
      <c r="E1479" t="inlineStr">
        <is>
          <t>ÅRJÄNG</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44161-2019</t>
        </is>
      </c>
      <c r="B1480" s="1" t="n">
        <v>43710</v>
      </c>
      <c r="C1480" s="1" t="n">
        <v>45810</v>
      </c>
      <c r="D1480" t="inlineStr">
        <is>
          <t>VÄRMLANDS LÄN</t>
        </is>
      </c>
      <c r="E1480" t="inlineStr">
        <is>
          <t>SUNNE</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44222-2019</t>
        </is>
      </c>
      <c r="B1481" s="1" t="n">
        <v>43710</v>
      </c>
      <c r="C1481" s="1" t="n">
        <v>45810</v>
      </c>
      <c r="D1481" t="inlineStr">
        <is>
          <t>VÄRMLANDS LÄN</t>
        </is>
      </c>
      <c r="E1481" t="inlineStr">
        <is>
          <t>HAGFORS</t>
        </is>
      </c>
      <c r="F1481" t="inlineStr">
        <is>
          <t>Bergvik skog väst AB</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44177-2019</t>
        </is>
      </c>
      <c r="B1482" s="1" t="n">
        <v>43710</v>
      </c>
      <c r="C1482" s="1" t="n">
        <v>45810</v>
      </c>
      <c r="D1482" t="inlineStr">
        <is>
          <t>VÄRMLANDS LÄN</t>
        </is>
      </c>
      <c r="E1482" t="inlineStr">
        <is>
          <t>FILIPSTAD</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44495-2019</t>
        </is>
      </c>
      <c r="B1483" s="1" t="n">
        <v>43711</v>
      </c>
      <c r="C1483" s="1" t="n">
        <v>45810</v>
      </c>
      <c r="D1483" t="inlineStr">
        <is>
          <t>VÄRMLANDS LÄN</t>
        </is>
      </c>
      <c r="E1483" t="inlineStr">
        <is>
          <t>FORSHAGA</t>
        </is>
      </c>
      <c r="G1483" t="n">
        <v>4</v>
      </c>
      <c r="H1483" t="n">
        <v>0</v>
      </c>
      <c r="I1483" t="n">
        <v>0</v>
      </c>
      <c r="J1483" t="n">
        <v>0</v>
      </c>
      <c r="K1483" t="n">
        <v>0</v>
      </c>
      <c r="L1483" t="n">
        <v>0</v>
      </c>
      <c r="M1483" t="n">
        <v>0</v>
      </c>
      <c r="N1483" t="n">
        <v>0</v>
      </c>
      <c r="O1483" t="n">
        <v>0</v>
      </c>
      <c r="P1483" t="n">
        <v>0</v>
      </c>
      <c r="Q1483" t="n">
        <v>0</v>
      </c>
      <c r="R1483" s="2" t="inlineStr"/>
    </row>
    <row r="1484" ht="15" customHeight="1">
      <c r="A1484" t="inlineStr">
        <is>
          <t>A 44468-2019</t>
        </is>
      </c>
      <c r="B1484" s="1" t="n">
        <v>43711</v>
      </c>
      <c r="C1484" s="1" t="n">
        <v>45810</v>
      </c>
      <c r="D1484" t="inlineStr">
        <is>
          <t>VÄRMLANDS LÄN</t>
        </is>
      </c>
      <c r="E1484" t="inlineStr">
        <is>
          <t>ARVIKA</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44577-2019</t>
        </is>
      </c>
      <c r="B1485" s="1" t="n">
        <v>43711</v>
      </c>
      <c r="C1485" s="1" t="n">
        <v>45810</v>
      </c>
      <c r="D1485" t="inlineStr">
        <is>
          <t>VÄRMLANDS LÄN</t>
        </is>
      </c>
      <c r="E1485" t="inlineStr">
        <is>
          <t>KIL</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44594-2019</t>
        </is>
      </c>
      <c r="B1486" s="1" t="n">
        <v>43711</v>
      </c>
      <c r="C1486" s="1" t="n">
        <v>45810</v>
      </c>
      <c r="D1486" t="inlineStr">
        <is>
          <t>VÄRMLANDS LÄN</t>
        </is>
      </c>
      <c r="E1486" t="inlineStr">
        <is>
          <t>ÅRJÄNG</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44576-2019</t>
        </is>
      </c>
      <c r="B1487" s="1" t="n">
        <v>43711</v>
      </c>
      <c r="C1487" s="1" t="n">
        <v>45810</v>
      </c>
      <c r="D1487" t="inlineStr">
        <is>
          <t>VÄRMLANDS LÄN</t>
        </is>
      </c>
      <c r="E1487" t="inlineStr">
        <is>
          <t>KIL</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44756-2019</t>
        </is>
      </c>
      <c r="B1488" s="1" t="n">
        <v>43712</v>
      </c>
      <c r="C1488" s="1" t="n">
        <v>45810</v>
      </c>
      <c r="D1488" t="inlineStr">
        <is>
          <t>VÄRMLANDS LÄN</t>
        </is>
      </c>
      <c r="E1488" t="inlineStr">
        <is>
          <t>SUNNE</t>
        </is>
      </c>
      <c r="G1488" t="n">
        <v>3.3</v>
      </c>
      <c r="H1488" t="n">
        <v>0</v>
      </c>
      <c r="I1488" t="n">
        <v>0</v>
      </c>
      <c r="J1488" t="n">
        <v>0</v>
      </c>
      <c r="K1488" t="n">
        <v>0</v>
      </c>
      <c r="L1488" t="n">
        <v>0</v>
      </c>
      <c r="M1488" t="n">
        <v>0</v>
      </c>
      <c r="N1488" t="n">
        <v>0</v>
      </c>
      <c r="O1488" t="n">
        <v>0</v>
      </c>
      <c r="P1488" t="n">
        <v>0</v>
      </c>
      <c r="Q1488" t="n">
        <v>0</v>
      </c>
      <c r="R1488" s="2" t="inlineStr"/>
    </row>
    <row r="1489" ht="15" customHeight="1">
      <c r="A1489" t="inlineStr">
        <is>
          <t>A 44763-2019</t>
        </is>
      </c>
      <c r="B1489" s="1" t="n">
        <v>43712</v>
      </c>
      <c r="C1489" s="1" t="n">
        <v>45810</v>
      </c>
      <c r="D1489" t="inlineStr">
        <is>
          <t>VÄRMLANDS LÄN</t>
        </is>
      </c>
      <c r="E1489" t="inlineStr">
        <is>
          <t>SUNNE</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44708-2019</t>
        </is>
      </c>
      <c r="B1490" s="1" t="n">
        <v>43712</v>
      </c>
      <c r="C1490" s="1" t="n">
        <v>45810</v>
      </c>
      <c r="D1490" t="inlineStr">
        <is>
          <t>VÄRMLANDS LÄN</t>
        </is>
      </c>
      <c r="E1490" t="inlineStr">
        <is>
          <t>TORSBY</t>
        </is>
      </c>
      <c r="F1490" t="inlineStr">
        <is>
          <t>Bergvik skog väst AB</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45796-2019</t>
        </is>
      </c>
      <c r="B1491" s="1" t="n">
        <v>43712</v>
      </c>
      <c r="C1491" s="1" t="n">
        <v>45810</v>
      </c>
      <c r="D1491" t="inlineStr">
        <is>
          <t>VÄRMLANDS LÄN</t>
        </is>
      </c>
      <c r="E1491" t="inlineStr">
        <is>
          <t>ARVIKA</t>
        </is>
      </c>
      <c r="G1491" t="n">
        <v>10.2</v>
      </c>
      <c r="H1491" t="n">
        <v>0</v>
      </c>
      <c r="I1491" t="n">
        <v>0</v>
      </c>
      <c r="J1491" t="n">
        <v>0</v>
      </c>
      <c r="K1491" t="n">
        <v>0</v>
      </c>
      <c r="L1491" t="n">
        <v>0</v>
      </c>
      <c r="M1491" t="n">
        <v>0</v>
      </c>
      <c r="N1491" t="n">
        <v>0</v>
      </c>
      <c r="O1491" t="n">
        <v>0</v>
      </c>
      <c r="P1491" t="n">
        <v>0</v>
      </c>
      <c r="Q1491" t="n">
        <v>0</v>
      </c>
      <c r="R1491" s="2" t="inlineStr"/>
    </row>
    <row r="1492" ht="15" customHeight="1">
      <c r="A1492" t="inlineStr">
        <is>
          <t>A 44866-2019</t>
        </is>
      </c>
      <c r="B1492" s="1" t="n">
        <v>43712</v>
      </c>
      <c r="C1492" s="1" t="n">
        <v>45810</v>
      </c>
      <c r="D1492" t="inlineStr">
        <is>
          <t>VÄRMLANDS LÄN</t>
        </is>
      </c>
      <c r="E1492" t="inlineStr">
        <is>
          <t>HAGFORS</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44706-2019</t>
        </is>
      </c>
      <c r="B1493" s="1" t="n">
        <v>43712</v>
      </c>
      <c r="C1493" s="1" t="n">
        <v>45810</v>
      </c>
      <c r="D1493" t="inlineStr">
        <is>
          <t>VÄRMLANDS LÄN</t>
        </is>
      </c>
      <c r="E1493" t="inlineStr">
        <is>
          <t>TORSBY</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44646-2019</t>
        </is>
      </c>
      <c r="B1494" s="1" t="n">
        <v>43712</v>
      </c>
      <c r="C1494" s="1" t="n">
        <v>45810</v>
      </c>
      <c r="D1494" t="inlineStr">
        <is>
          <t>VÄRMLANDS LÄN</t>
        </is>
      </c>
      <c r="E1494" t="inlineStr">
        <is>
          <t>ARVIKA</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45053-2019</t>
        </is>
      </c>
      <c r="B1495" s="1" t="n">
        <v>43713</v>
      </c>
      <c r="C1495" s="1" t="n">
        <v>45810</v>
      </c>
      <c r="D1495" t="inlineStr">
        <is>
          <t>VÄRMLANDS LÄN</t>
        </is>
      </c>
      <c r="E1495" t="inlineStr">
        <is>
          <t>TORSBY</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44951-2019</t>
        </is>
      </c>
      <c r="B1496" s="1" t="n">
        <v>43713</v>
      </c>
      <c r="C1496" s="1" t="n">
        <v>45810</v>
      </c>
      <c r="D1496" t="inlineStr">
        <is>
          <t>VÄRMLANDS LÄN</t>
        </is>
      </c>
      <c r="E1496" t="inlineStr">
        <is>
          <t>KRISTINEHAMN</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44987-2019</t>
        </is>
      </c>
      <c r="B1497" s="1" t="n">
        <v>43713</v>
      </c>
      <c r="C1497" s="1" t="n">
        <v>45810</v>
      </c>
      <c r="D1497" t="inlineStr">
        <is>
          <t>VÄRMLANDS LÄN</t>
        </is>
      </c>
      <c r="E1497" t="inlineStr">
        <is>
          <t>SUNNE</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44912-2019</t>
        </is>
      </c>
      <c r="B1498" s="1" t="n">
        <v>43713</v>
      </c>
      <c r="C1498" s="1" t="n">
        <v>45810</v>
      </c>
      <c r="D1498" t="inlineStr">
        <is>
          <t>VÄRMLANDS LÄN</t>
        </is>
      </c>
      <c r="E1498" t="inlineStr">
        <is>
          <t>SÄFFLE</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45072-2019</t>
        </is>
      </c>
      <c r="B1499" s="1" t="n">
        <v>43713</v>
      </c>
      <c r="C1499" s="1" t="n">
        <v>45810</v>
      </c>
      <c r="D1499" t="inlineStr">
        <is>
          <t>VÄRMLANDS LÄN</t>
        </is>
      </c>
      <c r="E1499" t="inlineStr">
        <is>
          <t>EDA</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45062-2019</t>
        </is>
      </c>
      <c r="B1500" s="1" t="n">
        <v>43713</v>
      </c>
      <c r="C1500" s="1" t="n">
        <v>45810</v>
      </c>
      <c r="D1500" t="inlineStr">
        <is>
          <t>VÄRMLANDS LÄN</t>
        </is>
      </c>
      <c r="E1500" t="inlineStr">
        <is>
          <t>SÄFFLE</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45083-2019</t>
        </is>
      </c>
      <c r="B1501" s="1" t="n">
        <v>43713</v>
      </c>
      <c r="C1501" s="1" t="n">
        <v>45810</v>
      </c>
      <c r="D1501" t="inlineStr">
        <is>
          <t>VÄRMLANDS LÄN</t>
        </is>
      </c>
      <c r="E1501" t="inlineStr">
        <is>
          <t>TORSBY</t>
        </is>
      </c>
      <c r="F1501" t="inlineStr">
        <is>
          <t>Bergvik skog väst AB</t>
        </is>
      </c>
      <c r="G1501" t="n">
        <v>37.8</v>
      </c>
      <c r="H1501" t="n">
        <v>0</v>
      </c>
      <c r="I1501" t="n">
        <v>0</v>
      </c>
      <c r="J1501" t="n">
        <v>0</v>
      </c>
      <c r="K1501" t="n">
        <v>0</v>
      </c>
      <c r="L1501" t="n">
        <v>0</v>
      </c>
      <c r="M1501" t="n">
        <v>0</v>
      </c>
      <c r="N1501" t="n">
        <v>0</v>
      </c>
      <c r="O1501" t="n">
        <v>0</v>
      </c>
      <c r="P1501" t="n">
        <v>0</v>
      </c>
      <c r="Q1501" t="n">
        <v>0</v>
      </c>
      <c r="R1501" s="2" t="inlineStr"/>
    </row>
    <row r="1502" ht="15" customHeight="1">
      <c r="A1502" t="inlineStr">
        <is>
          <t>A 45189-2019</t>
        </is>
      </c>
      <c r="B1502" s="1" t="n">
        <v>43713</v>
      </c>
      <c r="C1502" s="1" t="n">
        <v>45810</v>
      </c>
      <c r="D1502" t="inlineStr">
        <is>
          <t>VÄRMLANDS LÄN</t>
        </is>
      </c>
      <c r="E1502" t="inlineStr">
        <is>
          <t>TORSBY</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44955-2019</t>
        </is>
      </c>
      <c r="B1503" s="1" t="n">
        <v>43713</v>
      </c>
      <c r="C1503" s="1" t="n">
        <v>45810</v>
      </c>
      <c r="D1503" t="inlineStr">
        <is>
          <t>VÄRMLANDS LÄN</t>
        </is>
      </c>
      <c r="E1503" t="inlineStr">
        <is>
          <t>KRISTINEHAMN</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45002-2019</t>
        </is>
      </c>
      <c r="B1504" s="1" t="n">
        <v>43713</v>
      </c>
      <c r="C1504" s="1" t="n">
        <v>45810</v>
      </c>
      <c r="D1504" t="inlineStr">
        <is>
          <t>VÄRMLANDS LÄN</t>
        </is>
      </c>
      <c r="E1504" t="inlineStr">
        <is>
          <t>SUNNE</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45068-2019</t>
        </is>
      </c>
      <c r="B1505" s="1" t="n">
        <v>43713</v>
      </c>
      <c r="C1505" s="1" t="n">
        <v>45810</v>
      </c>
      <c r="D1505" t="inlineStr">
        <is>
          <t>VÄRMLANDS LÄN</t>
        </is>
      </c>
      <c r="E1505" t="inlineStr">
        <is>
          <t>TORSBY</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45352-2019</t>
        </is>
      </c>
      <c r="B1506" s="1" t="n">
        <v>43714</v>
      </c>
      <c r="C1506" s="1" t="n">
        <v>45810</v>
      </c>
      <c r="D1506" t="inlineStr">
        <is>
          <t>VÄRMLANDS LÄN</t>
        </is>
      </c>
      <c r="E1506" t="inlineStr">
        <is>
          <t>KARLSTAD</t>
        </is>
      </c>
      <c r="F1506" t="inlineStr">
        <is>
          <t>Bergvik skog väst AB</t>
        </is>
      </c>
      <c r="G1506" t="n">
        <v>6.5</v>
      </c>
      <c r="H1506" t="n">
        <v>0</v>
      </c>
      <c r="I1506" t="n">
        <v>0</v>
      </c>
      <c r="J1506" t="n">
        <v>0</v>
      </c>
      <c r="K1506" t="n">
        <v>0</v>
      </c>
      <c r="L1506" t="n">
        <v>0</v>
      </c>
      <c r="M1506" t="n">
        <v>0</v>
      </c>
      <c r="N1506" t="n">
        <v>0</v>
      </c>
      <c r="O1506" t="n">
        <v>0</v>
      </c>
      <c r="P1506" t="n">
        <v>0</v>
      </c>
      <c r="Q1506" t="n">
        <v>0</v>
      </c>
      <c r="R1506" s="2" t="inlineStr"/>
    </row>
    <row r="1507" ht="15" customHeight="1">
      <c r="A1507" t="inlineStr">
        <is>
          <t>A 45365-2019</t>
        </is>
      </c>
      <c r="B1507" s="1" t="n">
        <v>43714</v>
      </c>
      <c r="C1507" s="1" t="n">
        <v>45810</v>
      </c>
      <c r="D1507" t="inlineStr">
        <is>
          <t>VÄRMLANDS LÄN</t>
        </is>
      </c>
      <c r="E1507" t="inlineStr">
        <is>
          <t>KARLSTAD</t>
        </is>
      </c>
      <c r="F1507" t="inlineStr">
        <is>
          <t>Naturvårdsverket</t>
        </is>
      </c>
      <c r="G1507" t="n">
        <v>6.3</v>
      </c>
      <c r="H1507" t="n">
        <v>0</v>
      </c>
      <c r="I1507" t="n">
        <v>0</v>
      </c>
      <c r="J1507" t="n">
        <v>0</v>
      </c>
      <c r="K1507" t="n">
        <v>0</v>
      </c>
      <c r="L1507" t="n">
        <v>0</v>
      </c>
      <c r="M1507" t="n">
        <v>0</v>
      </c>
      <c r="N1507" t="n">
        <v>0</v>
      </c>
      <c r="O1507" t="n">
        <v>0</v>
      </c>
      <c r="P1507" t="n">
        <v>0</v>
      </c>
      <c r="Q1507" t="n">
        <v>0</v>
      </c>
      <c r="R1507" s="2" t="inlineStr"/>
    </row>
    <row r="1508" ht="15" customHeight="1">
      <c r="A1508" t="inlineStr">
        <is>
          <t>A 45370-2019</t>
        </is>
      </c>
      <c r="B1508" s="1" t="n">
        <v>43714</v>
      </c>
      <c r="C1508" s="1" t="n">
        <v>45810</v>
      </c>
      <c r="D1508" t="inlineStr">
        <is>
          <t>VÄRMLANDS LÄN</t>
        </is>
      </c>
      <c r="E1508" t="inlineStr">
        <is>
          <t>KARLSTAD</t>
        </is>
      </c>
      <c r="F1508" t="inlineStr">
        <is>
          <t>Bergvik skog väst AB</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45353-2019</t>
        </is>
      </c>
      <c r="B1509" s="1" t="n">
        <v>43714</v>
      </c>
      <c r="C1509" s="1" t="n">
        <v>45810</v>
      </c>
      <c r="D1509" t="inlineStr">
        <is>
          <t>VÄRMLANDS LÄN</t>
        </is>
      </c>
      <c r="E1509" t="inlineStr">
        <is>
          <t>KARLSTAD</t>
        </is>
      </c>
      <c r="F1509" t="inlineStr">
        <is>
          <t>Bergvik skog väst AB</t>
        </is>
      </c>
      <c r="G1509" t="n">
        <v>4.7</v>
      </c>
      <c r="H1509" t="n">
        <v>0</v>
      </c>
      <c r="I1509" t="n">
        <v>0</v>
      </c>
      <c r="J1509" t="n">
        <v>0</v>
      </c>
      <c r="K1509" t="n">
        <v>0</v>
      </c>
      <c r="L1509" t="n">
        <v>0</v>
      </c>
      <c r="M1509" t="n">
        <v>0</v>
      </c>
      <c r="N1509" t="n">
        <v>0</v>
      </c>
      <c r="O1509" t="n">
        <v>0</v>
      </c>
      <c r="P1509" t="n">
        <v>0</v>
      </c>
      <c r="Q1509" t="n">
        <v>0</v>
      </c>
      <c r="R1509" s="2" t="inlineStr"/>
    </row>
    <row r="1510" ht="15" customHeight="1">
      <c r="A1510" t="inlineStr">
        <is>
          <t>A 46389-2019</t>
        </is>
      </c>
      <c r="B1510" s="1" t="n">
        <v>43714</v>
      </c>
      <c r="C1510" s="1" t="n">
        <v>45810</v>
      </c>
      <c r="D1510" t="inlineStr">
        <is>
          <t>VÄRMLANDS LÄN</t>
        </is>
      </c>
      <c r="E1510" t="inlineStr">
        <is>
          <t>KARLSTAD</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45356-2019</t>
        </is>
      </c>
      <c r="B1511" s="1" t="n">
        <v>43714</v>
      </c>
      <c r="C1511" s="1" t="n">
        <v>45810</v>
      </c>
      <c r="D1511" t="inlineStr">
        <is>
          <t>VÄRMLANDS LÄN</t>
        </is>
      </c>
      <c r="E1511" t="inlineStr">
        <is>
          <t>HAGFORS</t>
        </is>
      </c>
      <c r="F1511" t="inlineStr">
        <is>
          <t>Bergvik skog väst AB</t>
        </is>
      </c>
      <c r="G1511" t="n">
        <v>5.8</v>
      </c>
      <c r="H1511" t="n">
        <v>0</v>
      </c>
      <c r="I1511" t="n">
        <v>0</v>
      </c>
      <c r="J1511" t="n">
        <v>0</v>
      </c>
      <c r="K1511" t="n">
        <v>0</v>
      </c>
      <c r="L1511" t="n">
        <v>0</v>
      </c>
      <c r="M1511" t="n">
        <v>0</v>
      </c>
      <c r="N1511" t="n">
        <v>0</v>
      </c>
      <c r="O1511" t="n">
        <v>0</v>
      </c>
      <c r="P1511" t="n">
        <v>0</v>
      </c>
      <c r="Q1511" t="n">
        <v>0</v>
      </c>
      <c r="R1511" s="2" t="inlineStr"/>
    </row>
    <row r="1512" ht="15" customHeight="1">
      <c r="A1512" t="inlineStr">
        <is>
          <t>A 45704-2019</t>
        </is>
      </c>
      <c r="B1512" s="1" t="n">
        <v>43717</v>
      </c>
      <c r="C1512" s="1" t="n">
        <v>45810</v>
      </c>
      <c r="D1512" t="inlineStr">
        <is>
          <t>VÄRMLANDS LÄN</t>
        </is>
      </c>
      <c r="E1512" t="inlineStr">
        <is>
          <t>FILIPSTAD</t>
        </is>
      </c>
      <c r="F1512" t="inlineStr">
        <is>
          <t>Bergvik skog väst AB</t>
        </is>
      </c>
      <c r="G1512" t="n">
        <v>7.6</v>
      </c>
      <c r="H1512" t="n">
        <v>0</v>
      </c>
      <c r="I1512" t="n">
        <v>0</v>
      </c>
      <c r="J1512" t="n">
        <v>0</v>
      </c>
      <c r="K1512" t="n">
        <v>0</v>
      </c>
      <c r="L1512" t="n">
        <v>0</v>
      </c>
      <c r="M1512" t="n">
        <v>0</v>
      </c>
      <c r="N1512" t="n">
        <v>0</v>
      </c>
      <c r="O1512" t="n">
        <v>0</v>
      </c>
      <c r="P1512" t="n">
        <v>0</v>
      </c>
      <c r="Q1512" t="n">
        <v>0</v>
      </c>
      <c r="R1512" s="2" t="inlineStr"/>
    </row>
    <row r="1513" ht="15" customHeight="1">
      <c r="A1513" t="inlineStr">
        <is>
          <t>A 45634-2019</t>
        </is>
      </c>
      <c r="B1513" s="1" t="n">
        <v>43717</v>
      </c>
      <c r="C1513" s="1" t="n">
        <v>45810</v>
      </c>
      <c r="D1513" t="inlineStr">
        <is>
          <t>VÄRMLANDS LÄN</t>
        </is>
      </c>
      <c r="E1513" t="inlineStr">
        <is>
          <t>EDA</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45657-2019</t>
        </is>
      </c>
      <c r="B1514" s="1" t="n">
        <v>43717</v>
      </c>
      <c r="C1514" s="1" t="n">
        <v>45810</v>
      </c>
      <c r="D1514" t="inlineStr">
        <is>
          <t>VÄRMLANDS LÄN</t>
        </is>
      </c>
      <c r="E1514" t="inlineStr">
        <is>
          <t>EDA</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45803-2019</t>
        </is>
      </c>
      <c r="B1515" s="1" t="n">
        <v>43717</v>
      </c>
      <c r="C1515" s="1" t="n">
        <v>45810</v>
      </c>
      <c r="D1515" t="inlineStr">
        <is>
          <t>VÄRMLANDS LÄN</t>
        </is>
      </c>
      <c r="E1515" t="inlineStr">
        <is>
          <t>GRUMS</t>
        </is>
      </c>
      <c r="G1515" t="n">
        <v>3.6</v>
      </c>
      <c r="H1515" t="n">
        <v>0</v>
      </c>
      <c r="I1515" t="n">
        <v>0</v>
      </c>
      <c r="J1515" t="n">
        <v>0</v>
      </c>
      <c r="K1515" t="n">
        <v>0</v>
      </c>
      <c r="L1515" t="n">
        <v>0</v>
      </c>
      <c r="M1515" t="n">
        <v>0</v>
      </c>
      <c r="N1515" t="n">
        <v>0</v>
      </c>
      <c r="O1515" t="n">
        <v>0</v>
      </c>
      <c r="P1515" t="n">
        <v>0</v>
      </c>
      <c r="Q1515" t="n">
        <v>0</v>
      </c>
      <c r="R1515" s="2" t="inlineStr"/>
    </row>
    <row r="1516" ht="15" customHeight="1">
      <c r="A1516" t="inlineStr">
        <is>
          <t>A 46500-2019</t>
        </is>
      </c>
      <c r="B1516" s="1" t="n">
        <v>43717</v>
      </c>
      <c r="C1516" s="1" t="n">
        <v>45810</v>
      </c>
      <c r="D1516" t="inlineStr">
        <is>
          <t>VÄRMLANDS LÄN</t>
        </is>
      </c>
      <c r="E1516" t="inlineStr">
        <is>
          <t>SUNNE</t>
        </is>
      </c>
      <c r="G1516" t="n">
        <v>5</v>
      </c>
      <c r="H1516" t="n">
        <v>0</v>
      </c>
      <c r="I1516" t="n">
        <v>0</v>
      </c>
      <c r="J1516" t="n">
        <v>0</v>
      </c>
      <c r="K1516" t="n">
        <v>0</v>
      </c>
      <c r="L1516" t="n">
        <v>0</v>
      </c>
      <c r="M1516" t="n">
        <v>0</v>
      </c>
      <c r="N1516" t="n">
        <v>0</v>
      </c>
      <c r="O1516" t="n">
        <v>0</v>
      </c>
      <c r="P1516" t="n">
        <v>0</v>
      </c>
      <c r="Q1516" t="n">
        <v>0</v>
      </c>
      <c r="R1516" s="2" t="inlineStr"/>
    </row>
    <row r="1517" ht="15" customHeight="1">
      <c r="A1517" t="inlineStr">
        <is>
          <t>A 46498-2019</t>
        </is>
      </c>
      <c r="B1517" s="1" t="n">
        <v>43717</v>
      </c>
      <c r="C1517" s="1" t="n">
        <v>45810</v>
      </c>
      <c r="D1517" t="inlineStr">
        <is>
          <t>VÄRMLANDS LÄN</t>
        </is>
      </c>
      <c r="E1517" t="inlineStr">
        <is>
          <t>SUNNE</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45891-2019</t>
        </is>
      </c>
      <c r="B1518" s="1" t="n">
        <v>43717</v>
      </c>
      <c r="C1518" s="1" t="n">
        <v>45810</v>
      </c>
      <c r="D1518" t="inlineStr">
        <is>
          <t>VÄRMLANDS LÄN</t>
        </is>
      </c>
      <c r="E1518" t="inlineStr">
        <is>
          <t>TORSBY</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45599-2019</t>
        </is>
      </c>
      <c r="B1519" s="1" t="n">
        <v>43717</v>
      </c>
      <c r="C1519" s="1" t="n">
        <v>45810</v>
      </c>
      <c r="D1519" t="inlineStr">
        <is>
          <t>VÄRMLANDS LÄN</t>
        </is>
      </c>
      <c r="E1519" t="inlineStr">
        <is>
          <t>SUNNE</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46215-2019</t>
        </is>
      </c>
      <c r="B1520" s="1" t="n">
        <v>43718</v>
      </c>
      <c r="C1520" s="1" t="n">
        <v>45810</v>
      </c>
      <c r="D1520" t="inlineStr">
        <is>
          <t>VÄRMLANDS LÄN</t>
        </is>
      </c>
      <c r="E1520" t="inlineStr">
        <is>
          <t>EDA</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46270-2019</t>
        </is>
      </c>
      <c r="B1521" s="1" t="n">
        <v>43718</v>
      </c>
      <c r="C1521" s="1" t="n">
        <v>45810</v>
      </c>
      <c r="D1521" t="inlineStr">
        <is>
          <t>VÄRMLANDS LÄN</t>
        </is>
      </c>
      <c r="E1521" t="inlineStr">
        <is>
          <t>ARVIKA</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46016-2019</t>
        </is>
      </c>
      <c r="B1522" s="1" t="n">
        <v>43718</v>
      </c>
      <c r="C1522" s="1" t="n">
        <v>45810</v>
      </c>
      <c r="D1522" t="inlineStr">
        <is>
          <t>VÄRMLANDS LÄN</t>
        </is>
      </c>
      <c r="E1522" t="inlineStr">
        <is>
          <t>KARLSTAD</t>
        </is>
      </c>
      <c r="F1522" t="inlineStr">
        <is>
          <t>Bergvik skog väst AB</t>
        </is>
      </c>
      <c r="G1522" t="n">
        <v>3.7</v>
      </c>
      <c r="H1522" t="n">
        <v>0</v>
      </c>
      <c r="I1522" t="n">
        <v>0</v>
      </c>
      <c r="J1522" t="n">
        <v>0</v>
      </c>
      <c r="K1522" t="n">
        <v>0</v>
      </c>
      <c r="L1522" t="n">
        <v>0</v>
      </c>
      <c r="M1522" t="n">
        <v>0</v>
      </c>
      <c r="N1522" t="n">
        <v>0</v>
      </c>
      <c r="O1522" t="n">
        <v>0</v>
      </c>
      <c r="P1522" t="n">
        <v>0</v>
      </c>
      <c r="Q1522" t="n">
        <v>0</v>
      </c>
      <c r="R1522" s="2" t="inlineStr"/>
    </row>
    <row r="1523" ht="15" customHeight="1">
      <c r="A1523" t="inlineStr">
        <is>
          <t>A 46799-2019</t>
        </is>
      </c>
      <c r="B1523" s="1" t="n">
        <v>43718</v>
      </c>
      <c r="C1523" s="1" t="n">
        <v>45810</v>
      </c>
      <c r="D1523" t="inlineStr">
        <is>
          <t>VÄRMLANDS LÄN</t>
        </is>
      </c>
      <c r="E1523" t="inlineStr">
        <is>
          <t>ÅRJÄNG</t>
        </is>
      </c>
      <c r="F1523" t="inlineStr">
        <is>
          <t>Övriga Aktiebolag</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46003-2019</t>
        </is>
      </c>
      <c r="B1524" s="1" t="n">
        <v>43718</v>
      </c>
      <c r="C1524" s="1" t="n">
        <v>45810</v>
      </c>
      <c r="D1524" t="inlineStr">
        <is>
          <t>VÄRMLANDS LÄN</t>
        </is>
      </c>
      <c r="E1524" t="inlineStr">
        <is>
          <t>EDA</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46129-2019</t>
        </is>
      </c>
      <c r="B1525" s="1" t="n">
        <v>43718</v>
      </c>
      <c r="C1525" s="1" t="n">
        <v>45810</v>
      </c>
      <c r="D1525" t="inlineStr">
        <is>
          <t>VÄRMLANDS LÄN</t>
        </is>
      </c>
      <c r="E1525" t="inlineStr">
        <is>
          <t>ARVIKA</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46541-2019</t>
        </is>
      </c>
      <c r="B1526" s="1" t="n">
        <v>43719</v>
      </c>
      <c r="C1526" s="1" t="n">
        <v>45810</v>
      </c>
      <c r="D1526" t="inlineStr">
        <is>
          <t>VÄRMLANDS LÄN</t>
        </is>
      </c>
      <c r="E1526" t="inlineStr">
        <is>
          <t>SUNNE</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46536-2019</t>
        </is>
      </c>
      <c r="B1527" s="1" t="n">
        <v>43719</v>
      </c>
      <c r="C1527" s="1" t="n">
        <v>45810</v>
      </c>
      <c r="D1527" t="inlineStr">
        <is>
          <t>VÄRMLANDS LÄN</t>
        </is>
      </c>
      <c r="E1527" t="inlineStr">
        <is>
          <t>KARLSTAD</t>
        </is>
      </c>
      <c r="G1527" t="n">
        <v>0.3</v>
      </c>
      <c r="H1527" t="n">
        <v>0</v>
      </c>
      <c r="I1527" t="n">
        <v>0</v>
      </c>
      <c r="J1527" t="n">
        <v>0</v>
      </c>
      <c r="K1527" t="n">
        <v>0</v>
      </c>
      <c r="L1527" t="n">
        <v>0</v>
      </c>
      <c r="M1527" t="n">
        <v>0</v>
      </c>
      <c r="N1527" t="n">
        <v>0</v>
      </c>
      <c r="O1527" t="n">
        <v>0</v>
      </c>
      <c r="P1527" t="n">
        <v>0</v>
      </c>
      <c r="Q1527" t="n">
        <v>0</v>
      </c>
      <c r="R1527" s="2" t="inlineStr"/>
    </row>
    <row r="1528" ht="15" customHeight="1">
      <c r="A1528" t="inlineStr">
        <is>
          <t>A 46678-2019</t>
        </is>
      </c>
      <c r="B1528" s="1" t="n">
        <v>43719</v>
      </c>
      <c r="C1528" s="1" t="n">
        <v>45810</v>
      </c>
      <c r="D1528" t="inlineStr">
        <is>
          <t>VÄRMLANDS LÄN</t>
        </is>
      </c>
      <c r="E1528" t="inlineStr">
        <is>
          <t>SUNNE</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46707-2019</t>
        </is>
      </c>
      <c r="B1529" s="1" t="n">
        <v>43719</v>
      </c>
      <c r="C1529" s="1" t="n">
        <v>45810</v>
      </c>
      <c r="D1529" t="inlineStr">
        <is>
          <t>VÄRMLANDS LÄN</t>
        </is>
      </c>
      <c r="E1529" t="inlineStr">
        <is>
          <t>SUNNE</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46738-2019</t>
        </is>
      </c>
      <c r="B1530" s="1" t="n">
        <v>43719</v>
      </c>
      <c r="C1530" s="1" t="n">
        <v>45810</v>
      </c>
      <c r="D1530" t="inlineStr">
        <is>
          <t>VÄRMLANDS LÄN</t>
        </is>
      </c>
      <c r="E1530" t="inlineStr">
        <is>
          <t>TORSBY</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46743-2019</t>
        </is>
      </c>
      <c r="B1531" s="1" t="n">
        <v>43719</v>
      </c>
      <c r="C1531" s="1" t="n">
        <v>45810</v>
      </c>
      <c r="D1531" t="inlineStr">
        <is>
          <t>VÄRMLANDS LÄN</t>
        </is>
      </c>
      <c r="E1531" t="inlineStr">
        <is>
          <t>TORSBY</t>
        </is>
      </c>
      <c r="G1531" t="n">
        <v>7</v>
      </c>
      <c r="H1531" t="n">
        <v>0</v>
      </c>
      <c r="I1531" t="n">
        <v>0</v>
      </c>
      <c r="J1531" t="n">
        <v>0</v>
      </c>
      <c r="K1531" t="n">
        <v>0</v>
      </c>
      <c r="L1531" t="n">
        <v>0</v>
      </c>
      <c r="M1531" t="n">
        <v>0</v>
      </c>
      <c r="N1531" t="n">
        <v>0</v>
      </c>
      <c r="O1531" t="n">
        <v>0</v>
      </c>
      <c r="P1531" t="n">
        <v>0</v>
      </c>
      <c r="Q1531" t="n">
        <v>0</v>
      </c>
      <c r="R1531" s="2" t="inlineStr"/>
    </row>
    <row r="1532" ht="15" customHeight="1">
      <c r="A1532" t="inlineStr">
        <is>
          <t>A 46669-2019</t>
        </is>
      </c>
      <c r="B1532" s="1" t="n">
        <v>43719</v>
      </c>
      <c r="C1532" s="1" t="n">
        <v>45810</v>
      </c>
      <c r="D1532" t="inlineStr">
        <is>
          <t>VÄRMLANDS LÄN</t>
        </is>
      </c>
      <c r="E1532" t="inlineStr">
        <is>
          <t>SUNNE</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46703-2019</t>
        </is>
      </c>
      <c r="B1533" s="1" t="n">
        <v>43719</v>
      </c>
      <c r="C1533" s="1" t="n">
        <v>45810</v>
      </c>
      <c r="D1533" t="inlineStr">
        <is>
          <t>VÄRMLANDS LÄN</t>
        </is>
      </c>
      <c r="E1533" t="inlineStr">
        <is>
          <t>SUNNE</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46705-2019</t>
        </is>
      </c>
      <c r="B1534" s="1" t="n">
        <v>43719</v>
      </c>
      <c r="C1534" s="1" t="n">
        <v>45810</v>
      </c>
      <c r="D1534" t="inlineStr">
        <is>
          <t>VÄRMLANDS LÄN</t>
        </is>
      </c>
      <c r="E1534" t="inlineStr">
        <is>
          <t>SUNNE</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46822-2019</t>
        </is>
      </c>
      <c r="B1535" s="1" t="n">
        <v>43720</v>
      </c>
      <c r="C1535" s="1" t="n">
        <v>45810</v>
      </c>
      <c r="D1535" t="inlineStr">
        <is>
          <t>VÄRMLANDS LÄN</t>
        </is>
      </c>
      <c r="E1535" t="inlineStr">
        <is>
          <t>FILIPSTAD</t>
        </is>
      </c>
      <c r="F1535" t="inlineStr">
        <is>
          <t>Bergvik skog väst AB</t>
        </is>
      </c>
      <c r="G1535" t="n">
        <v>5.7</v>
      </c>
      <c r="H1535" t="n">
        <v>0</v>
      </c>
      <c r="I1535" t="n">
        <v>0</v>
      </c>
      <c r="J1535" t="n">
        <v>0</v>
      </c>
      <c r="K1535" t="n">
        <v>0</v>
      </c>
      <c r="L1535" t="n">
        <v>0</v>
      </c>
      <c r="M1535" t="n">
        <v>0</v>
      </c>
      <c r="N1535" t="n">
        <v>0</v>
      </c>
      <c r="O1535" t="n">
        <v>0</v>
      </c>
      <c r="P1535" t="n">
        <v>0</v>
      </c>
      <c r="Q1535" t="n">
        <v>0</v>
      </c>
      <c r="R1535" s="2" t="inlineStr"/>
    </row>
    <row r="1536" ht="15" customHeight="1">
      <c r="A1536" t="inlineStr">
        <is>
          <t>A 46832-2019</t>
        </is>
      </c>
      <c r="B1536" s="1" t="n">
        <v>43720</v>
      </c>
      <c r="C1536" s="1" t="n">
        <v>45810</v>
      </c>
      <c r="D1536" t="inlineStr">
        <is>
          <t>VÄRMLANDS LÄN</t>
        </is>
      </c>
      <c r="E1536" t="inlineStr">
        <is>
          <t>SÄFFLE</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46904-2019</t>
        </is>
      </c>
      <c r="B1537" s="1" t="n">
        <v>43720</v>
      </c>
      <c r="C1537" s="1" t="n">
        <v>45810</v>
      </c>
      <c r="D1537" t="inlineStr">
        <is>
          <t>VÄRMLANDS LÄN</t>
        </is>
      </c>
      <c r="E1537" t="inlineStr">
        <is>
          <t>FILIPSTAD</t>
        </is>
      </c>
      <c r="F1537" t="inlineStr">
        <is>
          <t>Bergvik skog väst AB</t>
        </is>
      </c>
      <c r="G1537" t="n">
        <v>4.3</v>
      </c>
      <c r="H1537" t="n">
        <v>0</v>
      </c>
      <c r="I1537" t="n">
        <v>0</v>
      </c>
      <c r="J1537" t="n">
        <v>0</v>
      </c>
      <c r="K1537" t="n">
        <v>0</v>
      </c>
      <c r="L1537" t="n">
        <v>0</v>
      </c>
      <c r="M1537" t="n">
        <v>0</v>
      </c>
      <c r="N1537" t="n">
        <v>0</v>
      </c>
      <c r="O1537" t="n">
        <v>0</v>
      </c>
      <c r="P1537" t="n">
        <v>0</v>
      </c>
      <c r="Q1537" t="n">
        <v>0</v>
      </c>
      <c r="R1537" s="2" t="inlineStr"/>
    </row>
    <row r="1538" ht="15" customHeight="1">
      <c r="A1538" t="inlineStr">
        <is>
          <t>A 47114-2019</t>
        </is>
      </c>
      <c r="B1538" s="1" t="n">
        <v>43720</v>
      </c>
      <c r="C1538" s="1" t="n">
        <v>45810</v>
      </c>
      <c r="D1538" t="inlineStr">
        <is>
          <t>VÄRMLANDS LÄN</t>
        </is>
      </c>
      <c r="E1538" t="inlineStr">
        <is>
          <t>TORSBY</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47188-2019</t>
        </is>
      </c>
      <c r="B1539" s="1" t="n">
        <v>43721</v>
      </c>
      <c r="C1539" s="1" t="n">
        <v>45810</v>
      </c>
      <c r="D1539" t="inlineStr">
        <is>
          <t>VÄRMLANDS LÄN</t>
        </is>
      </c>
      <c r="E1539" t="inlineStr">
        <is>
          <t>KARLSTAD</t>
        </is>
      </c>
      <c r="F1539" t="inlineStr">
        <is>
          <t>Bergvik skog väst AB</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47214-2019</t>
        </is>
      </c>
      <c r="B1540" s="1" t="n">
        <v>43721</v>
      </c>
      <c r="C1540" s="1" t="n">
        <v>45810</v>
      </c>
      <c r="D1540" t="inlineStr">
        <is>
          <t>VÄRMLANDS LÄN</t>
        </is>
      </c>
      <c r="E1540" t="inlineStr">
        <is>
          <t>TORSBY</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47317-2019</t>
        </is>
      </c>
      <c r="B1541" s="1" t="n">
        <v>43721</v>
      </c>
      <c r="C1541" s="1" t="n">
        <v>45810</v>
      </c>
      <c r="D1541" t="inlineStr">
        <is>
          <t>VÄRMLANDS LÄN</t>
        </is>
      </c>
      <c r="E1541" t="inlineStr">
        <is>
          <t>SUNNE</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47137-2019</t>
        </is>
      </c>
      <c r="B1542" s="1" t="n">
        <v>43721</v>
      </c>
      <c r="C1542" s="1" t="n">
        <v>45810</v>
      </c>
      <c r="D1542" t="inlineStr">
        <is>
          <t>VÄRMLANDS LÄN</t>
        </is>
      </c>
      <c r="E1542" t="inlineStr">
        <is>
          <t>TORSBY</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47201-2019</t>
        </is>
      </c>
      <c r="B1543" s="1" t="n">
        <v>43721</v>
      </c>
      <c r="C1543" s="1" t="n">
        <v>45810</v>
      </c>
      <c r="D1543" t="inlineStr">
        <is>
          <t>VÄRMLANDS LÄN</t>
        </is>
      </c>
      <c r="E1543" t="inlineStr">
        <is>
          <t>KRISTINEHAMN</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47272-2019</t>
        </is>
      </c>
      <c r="B1544" s="1" t="n">
        <v>43721</v>
      </c>
      <c r="C1544" s="1" t="n">
        <v>45810</v>
      </c>
      <c r="D1544" t="inlineStr">
        <is>
          <t>VÄRMLANDS LÄN</t>
        </is>
      </c>
      <c r="E1544" t="inlineStr">
        <is>
          <t>ÅRJÄNG</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47316-2019</t>
        </is>
      </c>
      <c r="B1545" s="1" t="n">
        <v>43721</v>
      </c>
      <c r="C1545" s="1" t="n">
        <v>45810</v>
      </c>
      <c r="D1545" t="inlineStr">
        <is>
          <t>VÄRMLANDS LÄN</t>
        </is>
      </c>
      <c r="E1545" t="inlineStr">
        <is>
          <t>TORSBY</t>
        </is>
      </c>
      <c r="F1545" t="inlineStr">
        <is>
          <t>Bergvik skog väst AB</t>
        </is>
      </c>
      <c r="G1545" t="n">
        <v>6.6</v>
      </c>
      <c r="H1545" t="n">
        <v>0</v>
      </c>
      <c r="I1545" t="n">
        <v>0</v>
      </c>
      <c r="J1545" t="n">
        <v>0</v>
      </c>
      <c r="K1545" t="n">
        <v>0</v>
      </c>
      <c r="L1545" t="n">
        <v>0</v>
      </c>
      <c r="M1545" t="n">
        <v>0</v>
      </c>
      <c r="N1545" t="n">
        <v>0</v>
      </c>
      <c r="O1545" t="n">
        <v>0</v>
      </c>
      <c r="P1545" t="n">
        <v>0</v>
      </c>
      <c r="Q1545" t="n">
        <v>0</v>
      </c>
      <c r="R1545" s="2" t="inlineStr"/>
    </row>
    <row r="1546" ht="15" customHeight="1">
      <c r="A1546" t="inlineStr">
        <is>
          <t>A 47147-2019</t>
        </is>
      </c>
      <c r="B1546" s="1" t="n">
        <v>43721</v>
      </c>
      <c r="C1546" s="1" t="n">
        <v>45810</v>
      </c>
      <c r="D1546" t="inlineStr">
        <is>
          <t>VÄRMLANDS LÄN</t>
        </is>
      </c>
      <c r="E1546" t="inlineStr">
        <is>
          <t>ÅRJÄNG</t>
        </is>
      </c>
      <c r="G1546" t="n">
        <v>0.3</v>
      </c>
      <c r="H1546" t="n">
        <v>0</v>
      </c>
      <c r="I1546" t="n">
        <v>0</v>
      </c>
      <c r="J1546" t="n">
        <v>0</v>
      </c>
      <c r="K1546" t="n">
        <v>0</v>
      </c>
      <c r="L1546" t="n">
        <v>0</v>
      </c>
      <c r="M1546" t="n">
        <v>0</v>
      </c>
      <c r="N1546" t="n">
        <v>0</v>
      </c>
      <c r="O1546" t="n">
        <v>0</v>
      </c>
      <c r="P1546" t="n">
        <v>0</v>
      </c>
      <c r="Q1546" t="n">
        <v>0</v>
      </c>
      <c r="R1546" s="2" t="inlineStr"/>
    </row>
    <row r="1547" ht="15" customHeight="1">
      <c r="A1547" t="inlineStr">
        <is>
          <t>A 47481-2019</t>
        </is>
      </c>
      <c r="B1547" s="1" t="n">
        <v>43724</v>
      </c>
      <c r="C1547" s="1" t="n">
        <v>45810</v>
      </c>
      <c r="D1547" t="inlineStr">
        <is>
          <t>VÄRMLANDS LÄN</t>
        </is>
      </c>
      <c r="E1547" t="inlineStr">
        <is>
          <t>GRUMS</t>
        </is>
      </c>
      <c r="G1547" t="n">
        <v>4.2</v>
      </c>
      <c r="H1547" t="n">
        <v>0</v>
      </c>
      <c r="I1547" t="n">
        <v>0</v>
      </c>
      <c r="J1547" t="n">
        <v>0</v>
      </c>
      <c r="K1547" t="n">
        <v>0</v>
      </c>
      <c r="L1547" t="n">
        <v>0</v>
      </c>
      <c r="M1547" t="n">
        <v>0</v>
      </c>
      <c r="N1547" t="n">
        <v>0</v>
      </c>
      <c r="O1547" t="n">
        <v>0</v>
      </c>
      <c r="P1547" t="n">
        <v>0</v>
      </c>
      <c r="Q1547" t="n">
        <v>0</v>
      </c>
      <c r="R1547" s="2" t="inlineStr"/>
    </row>
    <row r="1548" ht="15" customHeight="1">
      <c r="A1548" t="inlineStr">
        <is>
          <t>A 47608-2019</t>
        </is>
      </c>
      <c r="B1548" s="1" t="n">
        <v>43724</v>
      </c>
      <c r="C1548" s="1" t="n">
        <v>45810</v>
      </c>
      <c r="D1548" t="inlineStr">
        <is>
          <t>VÄRMLANDS LÄN</t>
        </is>
      </c>
      <c r="E1548" t="inlineStr">
        <is>
          <t>TORSBY</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47620-2019</t>
        </is>
      </c>
      <c r="B1549" s="1" t="n">
        <v>43724</v>
      </c>
      <c r="C1549" s="1" t="n">
        <v>45810</v>
      </c>
      <c r="D1549" t="inlineStr">
        <is>
          <t>VÄRMLANDS LÄN</t>
        </is>
      </c>
      <c r="E1549" t="inlineStr">
        <is>
          <t>ÅRJÄNG</t>
        </is>
      </c>
      <c r="F1549" t="inlineStr">
        <is>
          <t>Kyrkan</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47457-2019</t>
        </is>
      </c>
      <c r="B1550" s="1" t="n">
        <v>43724</v>
      </c>
      <c r="C1550" s="1" t="n">
        <v>45810</v>
      </c>
      <c r="D1550" t="inlineStr">
        <is>
          <t>VÄRMLANDS LÄN</t>
        </is>
      </c>
      <c r="E1550" t="inlineStr">
        <is>
          <t>FORSHAGA</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47700-2019</t>
        </is>
      </c>
      <c r="B1551" s="1" t="n">
        <v>43724</v>
      </c>
      <c r="C1551" s="1" t="n">
        <v>45810</v>
      </c>
      <c r="D1551" t="inlineStr">
        <is>
          <t>VÄRMLANDS LÄN</t>
        </is>
      </c>
      <c r="E1551" t="inlineStr">
        <is>
          <t>KARLSTAD</t>
        </is>
      </c>
      <c r="F1551" t="inlineStr">
        <is>
          <t>Bergvik skog väst AB</t>
        </is>
      </c>
      <c r="G1551" t="n">
        <v>11.9</v>
      </c>
      <c r="H1551" t="n">
        <v>0</v>
      </c>
      <c r="I1551" t="n">
        <v>0</v>
      </c>
      <c r="J1551" t="n">
        <v>0</v>
      </c>
      <c r="K1551" t="n">
        <v>0</v>
      </c>
      <c r="L1551" t="n">
        <v>0</v>
      </c>
      <c r="M1551" t="n">
        <v>0</v>
      </c>
      <c r="N1551" t="n">
        <v>0</v>
      </c>
      <c r="O1551" t="n">
        <v>0</v>
      </c>
      <c r="P1551" t="n">
        <v>0</v>
      </c>
      <c r="Q1551" t="n">
        <v>0</v>
      </c>
      <c r="R1551" s="2" t="inlineStr"/>
    </row>
    <row r="1552" ht="15" customHeight="1">
      <c r="A1552" t="inlineStr">
        <is>
          <t>A 47772-2019</t>
        </is>
      </c>
      <c r="B1552" s="1" t="n">
        <v>43724</v>
      </c>
      <c r="C1552" s="1" t="n">
        <v>45810</v>
      </c>
      <c r="D1552" t="inlineStr">
        <is>
          <t>VÄRMLANDS LÄN</t>
        </is>
      </c>
      <c r="E1552" t="inlineStr">
        <is>
          <t>TORSBY</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47759-2019</t>
        </is>
      </c>
      <c r="B1553" s="1" t="n">
        <v>43724</v>
      </c>
      <c r="C1553" s="1" t="n">
        <v>45810</v>
      </c>
      <c r="D1553" t="inlineStr">
        <is>
          <t>VÄRMLANDS LÄN</t>
        </is>
      </c>
      <c r="E1553" t="inlineStr">
        <is>
          <t>SUNNE</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47648-2019</t>
        </is>
      </c>
      <c r="B1554" s="1" t="n">
        <v>43724</v>
      </c>
      <c r="C1554" s="1" t="n">
        <v>45810</v>
      </c>
      <c r="D1554" t="inlineStr">
        <is>
          <t>VÄRMLANDS LÄN</t>
        </is>
      </c>
      <c r="E1554" t="inlineStr">
        <is>
          <t>TORSBY</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47598-2019</t>
        </is>
      </c>
      <c r="B1555" s="1" t="n">
        <v>43724</v>
      </c>
      <c r="C1555" s="1" t="n">
        <v>45810</v>
      </c>
      <c r="D1555" t="inlineStr">
        <is>
          <t>VÄRMLANDS LÄN</t>
        </is>
      </c>
      <c r="E1555" t="inlineStr">
        <is>
          <t>KRISTINEHAMN</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47581-2019</t>
        </is>
      </c>
      <c r="B1556" s="1" t="n">
        <v>43724</v>
      </c>
      <c r="C1556" s="1" t="n">
        <v>45810</v>
      </c>
      <c r="D1556" t="inlineStr">
        <is>
          <t>VÄRMLANDS LÄN</t>
        </is>
      </c>
      <c r="E1556" t="inlineStr">
        <is>
          <t>EDA</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47502-2019</t>
        </is>
      </c>
      <c r="B1557" s="1" t="n">
        <v>43724</v>
      </c>
      <c r="C1557" s="1" t="n">
        <v>45810</v>
      </c>
      <c r="D1557" t="inlineStr">
        <is>
          <t>VÄRMLANDS LÄN</t>
        </is>
      </c>
      <c r="E1557" t="inlineStr">
        <is>
          <t>TORSBY</t>
        </is>
      </c>
      <c r="F1557" t="inlineStr">
        <is>
          <t>Bergvik skog väst AB</t>
        </is>
      </c>
      <c r="G1557" t="n">
        <v>3.4</v>
      </c>
      <c r="H1557" t="n">
        <v>0</v>
      </c>
      <c r="I1557" t="n">
        <v>0</v>
      </c>
      <c r="J1557" t="n">
        <v>0</v>
      </c>
      <c r="K1557" t="n">
        <v>0</v>
      </c>
      <c r="L1557" t="n">
        <v>0</v>
      </c>
      <c r="M1557" t="n">
        <v>0</v>
      </c>
      <c r="N1557" t="n">
        <v>0</v>
      </c>
      <c r="O1557" t="n">
        <v>0</v>
      </c>
      <c r="P1557" t="n">
        <v>0</v>
      </c>
      <c r="Q1557" t="n">
        <v>0</v>
      </c>
      <c r="R1557" s="2" t="inlineStr"/>
    </row>
    <row r="1558" ht="15" customHeight="1">
      <c r="A1558" t="inlineStr">
        <is>
          <t>A 47828-2019</t>
        </is>
      </c>
      <c r="B1558" s="1" t="n">
        <v>43725</v>
      </c>
      <c r="C1558" s="1" t="n">
        <v>45810</v>
      </c>
      <c r="D1558" t="inlineStr">
        <is>
          <t>VÄRMLANDS LÄN</t>
        </is>
      </c>
      <c r="E1558" t="inlineStr">
        <is>
          <t>EDA</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47904-2019</t>
        </is>
      </c>
      <c r="B1559" s="1" t="n">
        <v>43725</v>
      </c>
      <c r="C1559" s="1" t="n">
        <v>45810</v>
      </c>
      <c r="D1559" t="inlineStr">
        <is>
          <t>VÄRMLANDS LÄN</t>
        </is>
      </c>
      <c r="E1559" t="inlineStr">
        <is>
          <t>HAGFORS</t>
        </is>
      </c>
      <c r="F1559" t="inlineStr">
        <is>
          <t>Bergvik skog väst AB</t>
        </is>
      </c>
      <c r="G1559" t="n">
        <v>9.800000000000001</v>
      </c>
      <c r="H1559" t="n">
        <v>0</v>
      </c>
      <c r="I1559" t="n">
        <v>0</v>
      </c>
      <c r="J1559" t="n">
        <v>0</v>
      </c>
      <c r="K1559" t="n">
        <v>0</v>
      </c>
      <c r="L1559" t="n">
        <v>0</v>
      </c>
      <c r="M1559" t="n">
        <v>0</v>
      </c>
      <c r="N1559" t="n">
        <v>0</v>
      </c>
      <c r="O1559" t="n">
        <v>0</v>
      </c>
      <c r="P1559" t="n">
        <v>0</v>
      </c>
      <c r="Q1559" t="n">
        <v>0</v>
      </c>
      <c r="R1559" s="2" t="inlineStr"/>
    </row>
    <row r="1560" ht="15" customHeight="1">
      <c r="A1560" t="inlineStr">
        <is>
          <t>A 47869-2019</t>
        </is>
      </c>
      <c r="B1560" s="1" t="n">
        <v>43725</v>
      </c>
      <c r="C1560" s="1" t="n">
        <v>45810</v>
      </c>
      <c r="D1560" t="inlineStr">
        <is>
          <t>VÄRMLANDS LÄN</t>
        </is>
      </c>
      <c r="E1560" t="inlineStr">
        <is>
          <t>TORSBY</t>
        </is>
      </c>
      <c r="G1560" t="n">
        <v>4.7</v>
      </c>
      <c r="H1560" t="n">
        <v>0</v>
      </c>
      <c r="I1560" t="n">
        <v>0</v>
      </c>
      <c r="J1560" t="n">
        <v>0</v>
      </c>
      <c r="K1560" t="n">
        <v>0</v>
      </c>
      <c r="L1560" t="n">
        <v>0</v>
      </c>
      <c r="M1560" t="n">
        <v>0</v>
      </c>
      <c r="N1560" t="n">
        <v>0</v>
      </c>
      <c r="O1560" t="n">
        <v>0</v>
      </c>
      <c r="P1560" t="n">
        <v>0</v>
      </c>
      <c r="Q1560" t="n">
        <v>0</v>
      </c>
      <c r="R1560" s="2" t="inlineStr"/>
    </row>
    <row r="1561" ht="15" customHeight="1">
      <c r="A1561" t="inlineStr">
        <is>
          <t>A 47979-2019</t>
        </is>
      </c>
      <c r="B1561" s="1" t="n">
        <v>43725</v>
      </c>
      <c r="C1561" s="1" t="n">
        <v>45810</v>
      </c>
      <c r="D1561" t="inlineStr">
        <is>
          <t>VÄRMLANDS LÄN</t>
        </is>
      </c>
      <c r="E1561" t="inlineStr">
        <is>
          <t>TORSBY</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47840-2019</t>
        </is>
      </c>
      <c r="B1562" s="1" t="n">
        <v>43725</v>
      </c>
      <c r="C1562" s="1" t="n">
        <v>45810</v>
      </c>
      <c r="D1562" t="inlineStr">
        <is>
          <t>VÄRMLANDS LÄN</t>
        </is>
      </c>
      <c r="E1562" t="inlineStr">
        <is>
          <t>EDA</t>
        </is>
      </c>
      <c r="G1562" t="n">
        <v>6.7</v>
      </c>
      <c r="H1562" t="n">
        <v>0</v>
      </c>
      <c r="I1562" t="n">
        <v>0</v>
      </c>
      <c r="J1562" t="n">
        <v>0</v>
      </c>
      <c r="K1562" t="n">
        <v>0</v>
      </c>
      <c r="L1562" t="n">
        <v>0</v>
      </c>
      <c r="M1562" t="n">
        <v>0</v>
      </c>
      <c r="N1562" t="n">
        <v>0</v>
      </c>
      <c r="O1562" t="n">
        <v>0</v>
      </c>
      <c r="P1562" t="n">
        <v>0</v>
      </c>
      <c r="Q1562" t="n">
        <v>0</v>
      </c>
      <c r="R1562" s="2" t="inlineStr"/>
    </row>
    <row r="1563" ht="15" customHeight="1">
      <c r="A1563" t="inlineStr">
        <is>
          <t>A 47951-2019</t>
        </is>
      </c>
      <c r="B1563" s="1" t="n">
        <v>43725</v>
      </c>
      <c r="C1563" s="1" t="n">
        <v>45810</v>
      </c>
      <c r="D1563" t="inlineStr">
        <is>
          <t>VÄRMLANDS LÄN</t>
        </is>
      </c>
      <c r="E1563" t="inlineStr">
        <is>
          <t>EDA</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48040-2019</t>
        </is>
      </c>
      <c r="B1564" s="1" t="n">
        <v>43725</v>
      </c>
      <c r="C1564" s="1" t="n">
        <v>45810</v>
      </c>
      <c r="D1564" t="inlineStr">
        <is>
          <t>VÄRMLANDS LÄN</t>
        </is>
      </c>
      <c r="E1564" t="inlineStr">
        <is>
          <t>TORSBY</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48090-2019</t>
        </is>
      </c>
      <c r="B1565" s="1" t="n">
        <v>43725</v>
      </c>
      <c r="C1565" s="1" t="n">
        <v>45810</v>
      </c>
      <c r="D1565" t="inlineStr">
        <is>
          <t>VÄRMLANDS LÄN</t>
        </is>
      </c>
      <c r="E1565" t="inlineStr">
        <is>
          <t>SUNNE</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48077-2019</t>
        </is>
      </c>
      <c r="B1566" s="1" t="n">
        <v>43725</v>
      </c>
      <c r="C1566" s="1" t="n">
        <v>45810</v>
      </c>
      <c r="D1566" t="inlineStr">
        <is>
          <t>VÄRMLANDS LÄN</t>
        </is>
      </c>
      <c r="E1566" t="inlineStr">
        <is>
          <t>ARVIKA</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48008-2019</t>
        </is>
      </c>
      <c r="B1567" s="1" t="n">
        <v>43725</v>
      </c>
      <c r="C1567" s="1" t="n">
        <v>45810</v>
      </c>
      <c r="D1567" t="inlineStr">
        <is>
          <t>VÄRMLANDS LÄN</t>
        </is>
      </c>
      <c r="E1567" t="inlineStr">
        <is>
          <t>SÄFFLE</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47938-2019</t>
        </is>
      </c>
      <c r="B1568" s="1" t="n">
        <v>43725</v>
      </c>
      <c r="C1568" s="1" t="n">
        <v>45810</v>
      </c>
      <c r="D1568" t="inlineStr">
        <is>
          <t>VÄRMLANDS LÄN</t>
        </is>
      </c>
      <c r="E1568" t="inlineStr">
        <is>
          <t>HAGFORS</t>
        </is>
      </c>
      <c r="F1568" t="inlineStr">
        <is>
          <t>Bergvik skog väst AB</t>
        </is>
      </c>
      <c r="G1568" t="n">
        <v>13.3</v>
      </c>
      <c r="H1568" t="n">
        <v>0</v>
      </c>
      <c r="I1568" t="n">
        <v>0</v>
      </c>
      <c r="J1568" t="n">
        <v>0</v>
      </c>
      <c r="K1568" t="n">
        <v>0</v>
      </c>
      <c r="L1568" t="n">
        <v>0</v>
      </c>
      <c r="M1568" t="n">
        <v>0</v>
      </c>
      <c r="N1568" t="n">
        <v>0</v>
      </c>
      <c r="O1568" t="n">
        <v>0</v>
      </c>
      <c r="P1568" t="n">
        <v>0</v>
      </c>
      <c r="Q1568" t="n">
        <v>0</v>
      </c>
      <c r="R1568" s="2" t="inlineStr"/>
    </row>
    <row r="1569" ht="15" customHeight="1">
      <c r="A1569" t="inlineStr">
        <is>
          <t>A 48026-2019</t>
        </is>
      </c>
      <c r="B1569" s="1" t="n">
        <v>43725</v>
      </c>
      <c r="C1569" s="1" t="n">
        <v>45810</v>
      </c>
      <c r="D1569" t="inlineStr">
        <is>
          <t>VÄRMLANDS LÄN</t>
        </is>
      </c>
      <c r="E1569" t="inlineStr">
        <is>
          <t>ARVIKA</t>
        </is>
      </c>
      <c r="G1569" t="n">
        <v>0.3</v>
      </c>
      <c r="H1569" t="n">
        <v>0</v>
      </c>
      <c r="I1569" t="n">
        <v>0</v>
      </c>
      <c r="J1569" t="n">
        <v>0</v>
      </c>
      <c r="K1569" t="n">
        <v>0</v>
      </c>
      <c r="L1569" t="n">
        <v>0</v>
      </c>
      <c r="M1569" t="n">
        <v>0</v>
      </c>
      <c r="N1569" t="n">
        <v>0</v>
      </c>
      <c r="O1569" t="n">
        <v>0</v>
      </c>
      <c r="P1569" t="n">
        <v>0</v>
      </c>
      <c r="Q1569" t="n">
        <v>0</v>
      </c>
      <c r="R1569" s="2" t="inlineStr"/>
    </row>
    <row r="1570" ht="15" customHeight="1">
      <c r="A1570" t="inlineStr">
        <is>
          <t>A 48346-2019</t>
        </is>
      </c>
      <c r="B1570" s="1" t="n">
        <v>43726</v>
      </c>
      <c r="C1570" s="1" t="n">
        <v>45810</v>
      </c>
      <c r="D1570" t="inlineStr">
        <is>
          <t>VÄRMLANDS LÄN</t>
        </is>
      </c>
      <c r="E1570" t="inlineStr">
        <is>
          <t>TORSBY</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48366-2019</t>
        </is>
      </c>
      <c r="B1571" s="1" t="n">
        <v>43726</v>
      </c>
      <c r="C1571" s="1" t="n">
        <v>45810</v>
      </c>
      <c r="D1571" t="inlineStr">
        <is>
          <t>VÄRMLANDS LÄN</t>
        </is>
      </c>
      <c r="E1571" t="inlineStr">
        <is>
          <t>TORSBY</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48145-2019</t>
        </is>
      </c>
      <c r="B1572" s="1" t="n">
        <v>43726</v>
      </c>
      <c r="C1572" s="1" t="n">
        <v>45810</v>
      </c>
      <c r="D1572" t="inlineStr">
        <is>
          <t>VÄRMLANDS LÄN</t>
        </is>
      </c>
      <c r="E1572" t="inlineStr">
        <is>
          <t>SUNNE</t>
        </is>
      </c>
      <c r="G1572" t="n">
        <v>4</v>
      </c>
      <c r="H1572" t="n">
        <v>0</v>
      </c>
      <c r="I1572" t="n">
        <v>0</v>
      </c>
      <c r="J1572" t="n">
        <v>0</v>
      </c>
      <c r="K1572" t="n">
        <v>0</v>
      </c>
      <c r="L1572" t="n">
        <v>0</v>
      </c>
      <c r="M1572" t="n">
        <v>0</v>
      </c>
      <c r="N1572" t="n">
        <v>0</v>
      </c>
      <c r="O1572" t="n">
        <v>0</v>
      </c>
      <c r="P1572" t="n">
        <v>0</v>
      </c>
      <c r="Q1572" t="n">
        <v>0</v>
      </c>
      <c r="R1572" s="2" t="inlineStr"/>
    </row>
    <row r="1573" ht="15" customHeight="1">
      <c r="A1573" t="inlineStr">
        <is>
          <t>A 48226-2019</t>
        </is>
      </c>
      <c r="B1573" s="1" t="n">
        <v>43726</v>
      </c>
      <c r="C1573" s="1" t="n">
        <v>45810</v>
      </c>
      <c r="D1573" t="inlineStr">
        <is>
          <t>VÄRMLANDS LÄN</t>
        </is>
      </c>
      <c r="E1573" t="inlineStr">
        <is>
          <t>MUNKFORS</t>
        </is>
      </c>
      <c r="G1573" t="n">
        <v>4.7</v>
      </c>
      <c r="H1573" t="n">
        <v>0</v>
      </c>
      <c r="I1573" t="n">
        <v>0</v>
      </c>
      <c r="J1573" t="n">
        <v>0</v>
      </c>
      <c r="K1573" t="n">
        <v>0</v>
      </c>
      <c r="L1573" t="n">
        <v>0</v>
      </c>
      <c r="M1573" t="n">
        <v>0</v>
      </c>
      <c r="N1573" t="n">
        <v>0</v>
      </c>
      <c r="O1573" t="n">
        <v>0</v>
      </c>
      <c r="P1573" t="n">
        <v>0</v>
      </c>
      <c r="Q1573" t="n">
        <v>0</v>
      </c>
      <c r="R1573" s="2" t="inlineStr"/>
    </row>
    <row r="1574" ht="15" customHeight="1">
      <c r="A1574" t="inlineStr">
        <is>
          <t>A 48524-2019</t>
        </is>
      </c>
      <c r="B1574" s="1" t="n">
        <v>43727</v>
      </c>
      <c r="C1574" s="1" t="n">
        <v>45810</v>
      </c>
      <c r="D1574" t="inlineStr">
        <is>
          <t>VÄRMLANDS LÄN</t>
        </is>
      </c>
      <c r="E1574" t="inlineStr">
        <is>
          <t>HAGFORS</t>
        </is>
      </c>
      <c r="F1574" t="inlineStr">
        <is>
          <t>Bergvik skog väst AB</t>
        </is>
      </c>
      <c r="G1574" t="n">
        <v>15.8</v>
      </c>
      <c r="H1574" t="n">
        <v>0</v>
      </c>
      <c r="I1574" t="n">
        <v>0</v>
      </c>
      <c r="J1574" t="n">
        <v>0</v>
      </c>
      <c r="K1574" t="n">
        <v>0</v>
      </c>
      <c r="L1574" t="n">
        <v>0</v>
      </c>
      <c r="M1574" t="n">
        <v>0</v>
      </c>
      <c r="N1574" t="n">
        <v>0</v>
      </c>
      <c r="O1574" t="n">
        <v>0</v>
      </c>
      <c r="P1574" t="n">
        <v>0</v>
      </c>
      <c r="Q1574" t="n">
        <v>0</v>
      </c>
      <c r="R1574" s="2" t="inlineStr"/>
    </row>
    <row r="1575" ht="15" customHeight="1">
      <c r="A1575" t="inlineStr">
        <is>
          <t>A 48528-2019</t>
        </is>
      </c>
      <c r="B1575" s="1" t="n">
        <v>43727</v>
      </c>
      <c r="C1575" s="1" t="n">
        <v>45810</v>
      </c>
      <c r="D1575" t="inlineStr">
        <is>
          <t>VÄRMLANDS LÄN</t>
        </is>
      </c>
      <c r="E1575" t="inlineStr">
        <is>
          <t>SÄFFLE</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49041-2019</t>
        </is>
      </c>
      <c r="B1576" s="1" t="n">
        <v>43727</v>
      </c>
      <c r="C1576" s="1" t="n">
        <v>45810</v>
      </c>
      <c r="D1576" t="inlineStr">
        <is>
          <t>VÄRMLANDS LÄN</t>
        </is>
      </c>
      <c r="E1576" t="inlineStr">
        <is>
          <t>ÅRJÄNG</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48844-2019</t>
        </is>
      </c>
      <c r="B1577" s="1" t="n">
        <v>43727</v>
      </c>
      <c r="C1577" s="1" t="n">
        <v>45810</v>
      </c>
      <c r="D1577" t="inlineStr">
        <is>
          <t>VÄRMLANDS LÄN</t>
        </is>
      </c>
      <c r="E1577" t="inlineStr">
        <is>
          <t>ÅRJÄNG</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48857-2019</t>
        </is>
      </c>
      <c r="B1578" s="1" t="n">
        <v>43727</v>
      </c>
      <c r="C1578" s="1" t="n">
        <v>45810</v>
      </c>
      <c r="D1578" t="inlineStr">
        <is>
          <t>VÄRMLANDS LÄN</t>
        </is>
      </c>
      <c r="E1578" t="inlineStr">
        <is>
          <t>ÅRJÄNG</t>
        </is>
      </c>
      <c r="G1578" t="n">
        <v>5.1</v>
      </c>
      <c r="H1578" t="n">
        <v>0</v>
      </c>
      <c r="I1578" t="n">
        <v>0</v>
      </c>
      <c r="J1578" t="n">
        <v>0</v>
      </c>
      <c r="K1578" t="n">
        <v>0</v>
      </c>
      <c r="L1578" t="n">
        <v>0</v>
      </c>
      <c r="M1578" t="n">
        <v>0</v>
      </c>
      <c r="N1578" t="n">
        <v>0</v>
      </c>
      <c r="O1578" t="n">
        <v>0</v>
      </c>
      <c r="P1578" t="n">
        <v>0</v>
      </c>
      <c r="Q1578" t="n">
        <v>0</v>
      </c>
      <c r="R1578" s="2" t="inlineStr"/>
    </row>
    <row r="1579" ht="15" customHeight="1">
      <c r="A1579" t="inlineStr">
        <is>
          <t>A 49550-2019</t>
        </is>
      </c>
      <c r="B1579" s="1" t="n">
        <v>43727</v>
      </c>
      <c r="C1579" s="1" t="n">
        <v>45810</v>
      </c>
      <c r="D1579" t="inlineStr">
        <is>
          <t>VÄRMLANDS LÄN</t>
        </is>
      </c>
      <c r="E1579" t="inlineStr">
        <is>
          <t>TORSBY</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48549-2019</t>
        </is>
      </c>
      <c r="B1580" s="1" t="n">
        <v>43727</v>
      </c>
      <c r="C1580" s="1" t="n">
        <v>45810</v>
      </c>
      <c r="D1580" t="inlineStr">
        <is>
          <t>VÄRMLANDS LÄN</t>
        </is>
      </c>
      <c r="E1580" t="inlineStr">
        <is>
          <t>ARVIKA</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48428-2019</t>
        </is>
      </c>
      <c r="B1581" s="1" t="n">
        <v>43727</v>
      </c>
      <c r="C1581" s="1" t="n">
        <v>45810</v>
      </c>
      <c r="D1581" t="inlineStr">
        <is>
          <t>VÄRMLANDS LÄN</t>
        </is>
      </c>
      <c r="E1581" t="inlineStr">
        <is>
          <t>ARVIKA</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48925-2019</t>
        </is>
      </c>
      <c r="B1582" s="1" t="n">
        <v>43728</v>
      </c>
      <c r="C1582" s="1" t="n">
        <v>45810</v>
      </c>
      <c r="D1582" t="inlineStr">
        <is>
          <t>VÄRMLANDS LÄN</t>
        </is>
      </c>
      <c r="E1582" t="inlineStr">
        <is>
          <t>ÅRJÄNG</t>
        </is>
      </c>
      <c r="G1582" t="n">
        <v>6.8</v>
      </c>
      <c r="H1582" t="n">
        <v>0</v>
      </c>
      <c r="I1582" t="n">
        <v>0</v>
      </c>
      <c r="J1582" t="n">
        <v>0</v>
      </c>
      <c r="K1582" t="n">
        <v>0</v>
      </c>
      <c r="L1582" t="n">
        <v>0</v>
      </c>
      <c r="M1582" t="n">
        <v>0</v>
      </c>
      <c r="N1582" t="n">
        <v>0</v>
      </c>
      <c r="O1582" t="n">
        <v>0</v>
      </c>
      <c r="P1582" t="n">
        <v>0</v>
      </c>
      <c r="Q1582" t="n">
        <v>0</v>
      </c>
      <c r="R1582" s="2" t="inlineStr"/>
    </row>
    <row r="1583" ht="15" customHeight="1">
      <c r="A1583" t="inlineStr">
        <is>
          <t>A 48892-2019</t>
        </is>
      </c>
      <c r="B1583" s="1" t="n">
        <v>43728</v>
      </c>
      <c r="C1583" s="1" t="n">
        <v>45810</v>
      </c>
      <c r="D1583" t="inlineStr">
        <is>
          <t>VÄRMLANDS LÄN</t>
        </is>
      </c>
      <c r="E1583" t="inlineStr">
        <is>
          <t>ARVIKA</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48936-2019</t>
        </is>
      </c>
      <c r="B1584" s="1" t="n">
        <v>43728</v>
      </c>
      <c r="C1584" s="1" t="n">
        <v>45810</v>
      </c>
      <c r="D1584" t="inlineStr">
        <is>
          <t>VÄRMLANDS LÄN</t>
        </is>
      </c>
      <c r="E1584" t="inlineStr">
        <is>
          <t>FILIPSTAD</t>
        </is>
      </c>
      <c r="F1584" t="inlineStr">
        <is>
          <t>Bergvik skog väst AB</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49577-2019</t>
        </is>
      </c>
      <c r="B1585" s="1" t="n">
        <v>43730</v>
      </c>
      <c r="C1585" s="1" t="n">
        <v>45810</v>
      </c>
      <c r="D1585" t="inlineStr">
        <is>
          <t>VÄRMLANDS LÄN</t>
        </is>
      </c>
      <c r="E1585" t="inlineStr">
        <is>
          <t>ÅRJÄNG</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49333-2019</t>
        </is>
      </c>
      <c r="B1586" s="1" t="n">
        <v>43731</v>
      </c>
      <c r="C1586" s="1" t="n">
        <v>45810</v>
      </c>
      <c r="D1586" t="inlineStr">
        <is>
          <t>VÄRMLANDS LÄN</t>
        </is>
      </c>
      <c r="E1586" t="inlineStr">
        <is>
          <t>KRISTINEHAMN</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50482-2019</t>
        </is>
      </c>
      <c r="B1587" s="1" t="n">
        <v>43731</v>
      </c>
      <c r="C1587" s="1" t="n">
        <v>45810</v>
      </c>
      <c r="D1587" t="inlineStr">
        <is>
          <t>VÄRMLANDS LÄN</t>
        </is>
      </c>
      <c r="E1587" t="inlineStr">
        <is>
          <t>ÅRJÄNG</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49509-2019</t>
        </is>
      </c>
      <c r="B1588" s="1" t="n">
        <v>43732</v>
      </c>
      <c r="C1588" s="1" t="n">
        <v>45810</v>
      </c>
      <c r="D1588" t="inlineStr">
        <is>
          <t>VÄRMLANDS LÄN</t>
        </is>
      </c>
      <c r="E1588" t="inlineStr">
        <is>
          <t>SUNNE</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50045-2019</t>
        </is>
      </c>
      <c r="B1589" s="1" t="n">
        <v>43732</v>
      </c>
      <c r="C1589" s="1" t="n">
        <v>45810</v>
      </c>
      <c r="D1589" t="inlineStr">
        <is>
          <t>VÄRMLANDS LÄN</t>
        </is>
      </c>
      <c r="E1589" t="inlineStr">
        <is>
          <t>HAGFORS</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49650-2019</t>
        </is>
      </c>
      <c r="B1590" s="1" t="n">
        <v>43732</v>
      </c>
      <c r="C1590" s="1" t="n">
        <v>45810</v>
      </c>
      <c r="D1590" t="inlineStr">
        <is>
          <t>VÄRMLANDS LÄN</t>
        </is>
      </c>
      <c r="E1590" t="inlineStr">
        <is>
          <t>ÅRJÄNG</t>
        </is>
      </c>
      <c r="G1590" t="n">
        <v>7.5</v>
      </c>
      <c r="H1590" t="n">
        <v>0</v>
      </c>
      <c r="I1590" t="n">
        <v>0</v>
      </c>
      <c r="J1590" t="n">
        <v>0</v>
      </c>
      <c r="K1590" t="n">
        <v>0</v>
      </c>
      <c r="L1590" t="n">
        <v>0</v>
      </c>
      <c r="M1590" t="n">
        <v>0</v>
      </c>
      <c r="N1590" t="n">
        <v>0</v>
      </c>
      <c r="O1590" t="n">
        <v>0</v>
      </c>
      <c r="P1590" t="n">
        <v>0</v>
      </c>
      <c r="Q1590" t="n">
        <v>0</v>
      </c>
      <c r="R1590" s="2" t="inlineStr"/>
    </row>
    <row r="1591" ht="15" customHeight="1">
      <c r="A1591" t="inlineStr">
        <is>
          <t>A 49657-2019</t>
        </is>
      </c>
      <c r="B1591" s="1" t="n">
        <v>43732</v>
      </c>
      <c r="C1591" s="1" t="n">
        <v>45810</v>
      </c>
      <c r="D1591" t="inlineStr">
        <is>
          <t>VÄRMLANDS LÄN</t>
        </is>
      </c>
      <c r="E1591" t="inlineStr">
        <is>
          <t>SÄFFLE</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49766-2019</t>
        </is>
      </c>
      <c r="B1592" s="1" t="n">
        <v>43733</v>
      </c>
      <c r="C1592" s="1" t="n">
        <v>45810</v>
      </c>
      <c r="D1592" t="inlineStr">
        <is>
          <t>VÄRMLANDS LÄN</t>
        </is>
      </c>
      <c r="E1592" t="inlineStr">
        <is>
          <t>SUNNE</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49779-2019</t>
        </is>
      </c>
      <c r="B1593" s="1" t="n">
        <v>43733</v>
      </c>
      <c r="C1593" s="1" t="n">
        <v>45810</v>
      </c>
      <c r="D1593" t="inlineStr">
        <is>
          <t>VÄRMLANDS LÄN</t>
        </is>
      </c>
      <c r="E1593" t="inlineStr">
        <is>
          <t>SUNNE</t>
        </is>
      </c>
      <c r="G1593" t="n">
        <v>0.2</v>
      </c>
      <c r="H1593" t="n">
        <v>0</v>
      </c>
      <c r="I1593" t="n">
        <v>0</v>
      </c>
      <c r="J1593" t="n">
        <v>0</v>
      </c>
      <c r="K1593" t="n">
        <v>0</v>
      </c>
      <c r="L1593" t="n">
        <v>0</v>
      </c>
      <c r="M1593" t="n">
        <v>0</v>
      </c>
      <c r="N1593" t="n">
        <v>0</v>
      </c>
      <c r="O1593" t="n">
        <v>0</v>
      </c>
      <c r="P1593" t="n">
        <v>0</v>
      </c>
      <c r="Q1593" t="n">
        <v>0</v>
      </c>
      <c r="R1593" s="2" t="inlineStr"/>
    </row>
    <row r="1594" ht="15" customHeight="1">
      <c r="A1594" t="inlineStr">
        <is>
          <t>A 49781-2019</t>
        </is>
      </c>
      <c r="B1594" s="1" t="n">
        <v>43733</v>
      </c>
      <c r="C1594" s="1" t="n">
        <v>45810</v>
      </c>
      <c r="D1594" t="inlineStr">
        <is>
          <t>VÄRMLANDS LÄN</t>
        </is>
      </c>
      <c r="E1594" t="inlineStr">
        <is>
          <t>SUNNE</t>
        </is>
      </c>
      <c r="G1594" t="n">
        <v>0.1</v>
      </c>
      <c r="H1594" t="n">
        <v>0</v>
      </c>
      <c r="I1594" t="n">
        <v>0</v>
      </c>
      <c r="J1594" t="n">
        <v>0</v>
      </c>
      <c r="K1594" t="n">
        <v>0</v>
      </c>
      <c r="L1594" t="n">
        <v>0</v>
      </c>
      <c r="M1594" t="n">
        <v>0</v>
      </c>
      <c r="N1594" t="n">
        <v>0</v>
      </c>
      <c r="O1594" t="n">
        <v>0</v>
      </c>
      <c r="P1594" t="n">
        <v>0</v>
      </c>
      <c r="Q1594" t="n">
        <v>0</v>
      </c>
      <c r="R1594" s="2" t="inlineStr"/>
    </row>
    <row r="1595" ht="15" customHeight="1">
      <c r="A1595" t="inlineStr">
        <is>
          <t>A 49860-2019</t>
        </is>
      </c>
      <c r="B1595" s="1" t="n">
        <v>43733</v>
      </c>
      <c r="C1595" s="1" t="n">
        <v>45810</v>
      </c>
      <c r="D1595" t="inlineStr">
        <is>
          <t>VÄRMLANDS LÄN</t>
        </is>
      </c>
      <c r="E1595" t="inlineStr">
        <is>
          <t>KRISTINEHAMN</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49774-2019</t>
        </is>
      </c>
      <c r="B1596" s="1" t="n">
        <v>43733</v>
      </c>
      <c r="C1596" s="1" t="n">
        <v>45810</v>
      </c>
      <c r="D1596" t="inlineStr">
        <is>
          <t>VÄRMLANDS LÄN</t>
        </is>
      </c>
      <c r="E1596" t="inlineStr">
        <is>
          <t>SUNNE</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49965-2019</t>
        </is>
      </c>
      <c r="B1597" s="1" t="n">
        <v>43733</v>
      </c>
      <c r="C1597" s="1" t="n">
        <v>45810</v>
      </c>
      <c r="D1597" t="inlineStr">
        <is>
          <t>VÄRMLANDS LÄN</t>
        </is>
      </c>
      <c r="E1597" t="inlineStr">
        <is>
          <t>ARVIKA</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49976-2019</t>
        </is>
      </c>
      <c r="B1598" s="1" t="n">
        <v>43733</v>
      </c>
      <c r="C1598" s="1" t="n">
        <v>45810</v>
      </c>
      <c r="D1598" t="inlineStr">
        <is>
          <t>VÄRMLANDS LÄN</t>
        </is>
      </c>
      <c r="E1598" t="inlineStr">
        <is>
          <t>SÄFFLE</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51551-2019</t>
        </is>
      </c>
      <c r="B1599" s="1" t="n">
        <v>43733</v>
      </c>
      <c r="C1599" s="1" t="n">
        <v>45810</v>
      </c>
      <c r="D1599" t="inlineStr">
        <is>
          <t>VÄRMLANDS LÄN</t>
        </is>
      </c>
      <c r="E1599" t="inlineStr">
        <is>
          <t>KARLSTAD</t>
        </is>
      </c>
      <c r="G1599" t="n">
        <v>8.5</v>
      </c>
      <c r="H1599" t="n">
        <v>0</v>
      </c>
      <c r="I1599" t="n">
        <v>0</v>
      </c>
      <c r="J1599" t="n">
        <v>0</v>
      </c>
      <c r="K1599" t="n">
        <v>0</v>
      </c>
      <c r="L1599" t="n">
        <v>0</v>
      </c>
      <c r="M1599" t="n">
        <v>0</v>
      </c>
      <c r="N1599" t="n">
        <v>0</v>
      </c>
      <c r="O1599" t="n">
        <v>0</v>
      </c>
      <c r="P1599" t="n">
        <v>0</v>
      </c>
      <c r="Q1599" t="n">
        <v>0</v>
      </c>
      <c r="R1599" s="2" t="inlineStr"/>
    </row>
    <row r="1600" ht="15" customHeight="1">
      <c r="A1600" t="inlineStr">
        <is>
          <t>A 50057-2019</t>
        </is>
      </c>
      <c r="B1600" s="1" t="n">
        <v>43734</v>
      </c>
      <c r="C1600" s="1" t="n">
        <v>45810</v>
      </c>
      <c r="D1600" t="inlineStr">
        <is>
          <t>VÄRMLANDS LÄN</t>
        </is>
      </c>
      <c r="E1600" t="inlineStr">
        <is>
          <t>ÅRJÄNG</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51725-2019</t>
        </is>
      </c>
      <c r="B1601" s="1" t="n">
        <v>43734</v>
      </c>
      <c r="C1601" s="1" t="n">
        <v>45810</v>
      </c>
      <c r="D1601" t="inlineStr">
        <is>
          <t>VÄRMLANDS LÄN</t>
        </is>
      </c>
      <c r="E1601" t="inlineStr">
        <is>
          <t>ÅRJÄNG</t>
        </is>
      </c>
      <c r="G1601" t="n">
        <v>8.4</v>
      </c>
      <c r="H1601" t="n">
        <v>0</v>
      </c>
      <c r="I1601" t="n">
        <v>0</v>
      </c>
      <c r="J1601" t="n">
        <v>0</v>
      </c>
      <c r="K1601" t="n">
        <v>0</v>
      </c>
      <c r="L1601" t="n">
        <v>0</v>
      </c>
      <c r="M1601" t="n">
        <v>0</v>
      </c>
      <c r="N1601" t="n">
        <v>0</v>
      </c>
      <c r="O1601" t="n">
        <v>0</v>
      </c>
      <c r="P1601" t="n">
        <v>0</v>
      </c>
      <c r="Q1601" t="n">
        <v>0</v>
      </c>
      <c r="R1601" s="2" t="inlineStr"/>
    </row>
    <row r="1602" ht="15" customHeight="1">
      <c r="A1602" t="inlineStr">
        <is>
          <t>A 51497-2019</t>
        </is>
      </c>
      <c r="B1602" s="1" t="n">
        <v>43734</v>
      </c>
      <c r="C1602" s="1" t="n">
        <v>45810</v>
      </c>
      <c r="D1602" t="inlineStr">
        <is>
          <t>VÄRMLANDS LÄN</t>
        </is>
      </c>
      <c r="E1602" t="inlineStr">
        <is>
          <t>TORSBY</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51771-2019</t>
        </is>
      </c>
      <c r="B1603" s="1" t="n">
        <v>43734</v>
      </c>
      <c r="C1603" s="1" t="n">
        <v>45810</v>
      </c>
      <c r="D1603" t="inlineStr">
        <is>
          <t>VÄRMLANDS LÄN</t>
        </is>
      </c>
      <c r="E1603" t="inlineStr">
        <is>
          <t>SUNNE</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50021-2019</t>
        </is>
      </c>
      <c r="B1604" s="1" t="n">
        <v>43734</v>
      </c>
      <c r="C1604" s="1" t="n">
        <v>45810</v>
      </c>
      <c r="D1604" t="inlineStr">
        <is>
          <t>VÄRMLANDS LÄN</t>
        </is>
      </c>
      <c r="E1604" t="inlineStr">
        <is>
          <t>SUNNE</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50351-2019</t>
        </is>
      </c>
      <c r="B1605" s="1" t="n">
        <v>43735</v>
      </c>
      <c r="C1605" s="1" t="n">
        <v>45810</v>
      </c>
      <c r="D1605" t="inlineStr">
        <is>
          <t>VÄRMLANDS LÄN</t>
        </is>
      </c>
      <c r="E1605" t="inlineStr">
        <is>
          <t>STORFORS</t>
        </is>
      </c>
      <c r="F1605" t="inlineStr">
        <is>
          <t>Bergvik skog väst AB</t>
        </is>
      </c>
      <c r="G1605" t="n">
        <v>11.2</v>
      </c>
      <c r="H1605" t="n">
        <v>0</v>
      </c>
      <c r="I1605" t="n">
        <v>0</v>
      </c>
      <c r="J1605" t="n">
        <v>0</v>
      </c>
      <c r="K1605" t="n">
        <v>0</v>
      </c>
      <c r="L1605" t="n">
        <v>0</v>
      </c>
      <c r="M1605" t="n">
        <v>0</v>
      </c>
      <c r="N1605" t="n">
        <v>0</v>
      </c>
      <c r="O1605" t="n">
        <v>0</v>
      </c>
      <c r="P1605" t="n">
        <v>0</v>
      </c>
      <c r="Q1605" t="n">
        <v>0</v>
      </c>
      <c r="R1605" s="2" t="inlineStr"/>
    </row>
    <row r="1606" ht="15" customHeight="1">
      <c r="A1606" t="inlineStr">
        <is>
          <t>A 50428-2019</t>
        </is>
      </c>
      <c r="B1606" s="1" t="n">
        <v>43735</v>
      </c>
      <c r="C1606" s="1" t="n">
        <v>45810</v>
      </c>
      <c r="D1606" t="inlineStr">
        <is>
          <t>VÄRMLANDS LÄN</t>
        </is>
      </c>
      <c r="E1606" t="inlineStr">
        <is>
          <t>TORSBY</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50540-2019</t>
        </is>
      </c>
      <c r="B1607" s="1" t="n">
        <v>43735</v>
      </c>
      <c r="C1607" s="1" t="n">
        <v>45810</v>
      </c>
      <c r="D1607" t="inlineStr">
        <is>
          <t>VÄRMLANDS LÄN</t>
        </is>
      </c>
      <c r="E1607" t="inlineStr">
        <is>
          <t>ARVIKA</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52319-2019</t>
        </is>
      </c>
      <c r="B1608" s="1" t="n">
        <v>43735</v>
      </c>
      <c r="C1608" s="1" t="n">
        <v>45810</v>
      </c>
      <c r="D1608" t="inlineStr">
        <is>
          <t>VÄRMLANDS LÄN</t>
        </is>
      </c>
      <c r="E1608" t="inlineStr">
        <is>
          <t>TORSBY</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52326-2019</t>
        </is>
      </c>
      <c r="B1609" s="1" t="n">
        <v>43735</v>
      </c>
      <c r="C1609" s="1" t="n">
        <v>45810</v>
      </c>
      <c r="D1609" t="inlineStr">
        <is>
          <t>VÄRMLANDS LÄN</t>
        </is>
      </c>
      <c r="E1609" t="inlineStr">
        <is>
          <t>TORSBY</t>
        </is>
      </c>
      <c r="G1609" t="n">
        <v>6.2</v>
      </c>
      <c r="H1609" t="n">
        <v>0</v>
      </c>
      <c r="I1609" t="n">
        <v>0</v>
      </c>
      <c r="J1609" t="n">
        <v>0</v>
      </c>
      <c r="K1609" t="n">
        <v>0</v>
      </c>
      <c r="L1609" t="n">
        <v>0</v>
      </c>
      <c r="M1609" t="n">
        <v>0</v>
      </c>
      <c r="N1609" t="n">
        <v>0</v>
      </c>
      <c r="O1609" t="n">
        <v>0</v>
      </c>
      <c r="P1609" t="n">
        <v>0</v>
      </c>
      <c r="Q1609" t="n">
        <v>0</v>
      </c>
      <c r="R1609" s="2" t="inlineStr"/>
    </row>
    <row r="1610" ht="15" customHeight="1">
      <c r="A1610" t="inlineStr">
        <is>
          <t>A 52317-2019</t>
        </is>
      </c>
      <c r="B1610" s="1" t="n">
        <v>43735</v>
      </c>
      <c r="C1610" s="1" t="n">
        <v>45810</v>
      </c>
      <c r="D1610" t="inlineStr">
        <is>
          <t>VÄRMLANDS LÄN</t>
        </is>
      </c>
      <c r="E1610" t="inlineStr">
        <is>
          <t>TORSBY</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50309-2019</t>
        </is>
      </c>
      <c r="B1611" s="1" t="n">
        <v>43735</v>
      </c>
      <c r="C1611" s="1" t="n">
        <v>45810</v>
      </c>
      <c r="D1611" t="inlineStr">
        <is>
          <t>VÄRMLANDS LÄN</t>
        </is>
      </c>
      <c r="E1611" t="inlineStr">
        <is>
          <t>ARVIKA</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50892-2019</t>
        </is>
      </c>
      <c r="B1612" s="1" t="n">
        <v>43738</v>
      </c>
      <c r="C1612" s="1" t="n">
        <v>45810</v>
      </c>
      <c r="D1612" t="inlineStr">
        <is>
          <t>VÄRMLANDS LÄN</t>
        </is>
      </c>
      <c r="E1612" t="inlineStr">
        <is>
          <t>HAGFORS</t>
        </is>
      </c>
      <c r="F1612" t="inlineStr">
        <is>
          <t>Bergvik skog väst AB</t>
        </is>
      </c>
      <c r="G1612" t="n">
        <v>26.4</v>
      </c>
      <c r="H1612" t="n">
        <v>0</v>
      </c>
      <c r="I1612" t="n">
        <v>0</v>
      </c>
      <c r="J1612" t="n">
        <v>0</v>
      </c>
      <c r="K1612" t="n">
        <v>0</v>
      </c>
      <c r="L1612" t="n">
        <v>0</v>
      </c>
      <c r="M1612" t="n">
        <v>0</v>
      </c>
      <c r="N1612" t="n">
        <v>0</v>
      </c>
      <c r="O1612" t="n">
        <v>0</v>
      </c>
      <c r="P1612" t="n">
        <v>0</v>
      </c>
      <c r="Q1612" t="n">
        <v>0</v>
      </c>
      <c r="R1612" s="2" t="inlineStr"/>
    </row>
    <row r="1613" ht="15" customHeight="1">
      <c r="A1613" t="inlineStr">
        <is>
          <t>A 50766-2019</t>
        </is>
      </c>
      <c r="B1613" s="1" t="n">
        <v>43738</v>
      </c>
      <c r="C1613" s="1" t="n">
        <v>45810</v>
      </c>
      <c r="D1613" t="inlineStr">
        <is>
          <t>VÄRMLANDS LÄN</t>
        </is>
      </c>
      <c r="E1613" t="inlineStr">
        <is>
          <t>SÄFFLE</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50933-2019</t>
        </is>
      </c>
      <c r="B1614" s="1" t="n">
        <v>43738</v>
      </c>
      <c r="C1614" s="1" t="n">
        <v>45810</v>
      </c>
      <c r="D1614" t="inlineStr">
        <is>
          <t>VÄRMLANDS LÄN</t>
        </is>
      </c>
      <c r="E1614" t="inlineStr">
        <is>
          <t>FILIPSTAD</t>
        </is>
      </c>
      <c r="F1614" t="inlineStr">
        <is>
          <t>Bergvik skog väst AB</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50905-2019</t>
        </is>
      </c>
      <c r="B1615" s="1" t="n">
        <v>43738</v>
      </c>
      <c r="C1615" s="1" t="n">
        <v>45810</v>
      </c>
      <c r="D1615" t="inlineStr">
        <is>
          <t>VÄRMLANDS LÄN</t>
        </is>
      </c>
      <c r="E1615" t="inlineStr">
        <is>
          <t>SUNNE</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50939-2019</t>
        </is>
      </c>
      <c r="B1616" s="1" t="n">
        <v>43738</v>
      </c>
      <c r="C1616" s="1" t="n">
        <v>45810</v>
      </c>
      <c r="D1616" t="inlineStr">
        <is>
          <t>VÄRMLANDS LÄN</t>
        </is>
      </c>
      <c r="E1616" t="inlineStr">
        <is>
          <t>FILIPSTAD</t>
        </is>
      </c>
      <c r="F1616" t="inlineStr">
        <is>
          <t>Bergvik skog väst AB</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52388-2019</t>
        </is>
      </c>
      <c r="B1617" s="1" t="n">
        <v>43738</v>
      </c>
      <c r="C1617" s="1" t="n">
        <v>45810</v>
      </c>
      <c r="D1617" t="inlineStr">
        <is>
          <t>VÄRMLANDS LÄN</t>
        </is>
      </c>
      <c r="E1617" t="inlineStr">
        <is>
          <t>SÄFFLE</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50924-2019</t>
        </is>
      </c>
      <c r="B1618" s="1" t="n">
        <v>43738</v>
      </c>
      <c r="C1618" s="1" t="n">
        <v>45810</v>
      </c>
      <c r="D1618" t="inlineStr">
        <is>
          <t>VÄRMLANDS LÄN</t>
        </is>
      </c>
      <c r="E1618" t="inlineStr">
        <is>
          <t>HAGFORS</t>
        </is>
      </c>
      <c r="F1618" t="inlineStr">
        <is>
          <t>Bergvik skog väst AB</t>
        </is>
      </c>
      <c r="G1618" t="n">
        <v>7.6</v>
      </c>
      <c r="H1618" t="n">
        <v>0</v>
      </c>
      <c r="I1618" t="n">
        <v>0</v>
      </c>
      <c r="J1618" t="n">
        <v>0</v>
      </c>
      <c r="K1618" t="n">
        <v>0</v>
      </c>
      <c r="L1618" t="n">
        <v>0</v>
      </c>
      <c r="M1618" t="n">
        <v>0</v>
      </c>
      <c r="N1618" t="n">
        <v>0</v>
      </c>
      <c r="O1618" t="n">
        <v>0</v>
      </c>
      <c r="P1618" t="n">
        <v>0</v>
      </c>
      <c r="Q1618" t="n">
        <v>0</v>
      </c>
      <c r="R1618" s="2" t="inlineStr"/>
    </row>
    <row r="1619" ht="15" customHeight="1">
      <c r="A1619" t="inlineStr">
        <is>
          <t>A 50953-2019</t>
        </is>
      </c>
      <c r="B1619" s="1" t="n">
        <v>43738</v>
      </c>
      <c r="C1619" s="1" t="n">
        <v>45810</v>
      </c>
      <c r="D1619" t="inlineStr">
        <is>
          <t>VÄRMLANDS LÄN</t>
        </is>
      </c>
      <c r="E1619" t="inlineStr">
        <is>
          <t>ARVIKA</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50840-2019</t>
        </is>
      </c>
      <c r="B1620" s="1" t="n">
        <v>43738</v>
      </c>
      <c r="C1620" s="1" t="n">
        <v>45810</v>
      </c>
      <c r="D1620" t="inlineStr">
        <is>
          <t>VÄRMLANDS LÄN</t>
        </is>
      </c>
      <c r="E1620" t="inlineStr">
        <is>
          <t>FILIPSTAD</t>
        </is>
      </c>
      <c r="F1620" t="inlineStr">
        <is>
          <t>Bergvik skog väst AB</t>
        </is>
      </c>
      <c r="G1620" t="n">
        <v>7.7</v>
      </c>
      <c r="H1620" t="n">
        <v>0</v>
      </c>
      <c r="I1620" t="n">
        <v>0</v>
      </c>
      <c r="J1620" t="n">
        <v>0</v>
      </c>
      <c r="K1620" t="n">
        <v>0</v>
      </c>
      <c r="L1620" t="n">
        <v>0</v>
      </c>
      <c r="M1620" t="n">
        <v>0</v>
      </c>
      <c r="N1620" t="n">
        <v>0</v>
      </c>
      <c r="O1620" t="n">
        <v>0</v>
      </c>
      <c r="P1620" t="n">
        <v>0</v>
      </c>
      <c r="Q1620" t="n">
        <v>0</v>
      </c>
      <c r="R1620" s="2" t="inlineStr"/>
    </row>
    <row r="1621" ht="15" customHeight="1">
      <c r="A1621" t="inlineStr">
        <is>
          <t>A 51260-2019</t>
        </is>
      </c>
      <c r="B1621" s="1" t="n">
        <v>43739</v>
      </c>
      <c r="C1621" s="1" t="n">
        <v>45810</v>
      </c>
      <c r="D1621" t="inlineStr">
        <is>
          <t>VÄRMLANDS LÄN</t>
        </is>
      </c>
      <c r="E1621" t="inlineStr">
        <is>
          <t>FILIPSTAD</t>
        </is>
      </c>
      <c r="F1621" t="inlineStr">
        <is>
          <t>Bergvik skog väst AB</t>
        </is>
      </c>
      <c r="G1621" t="n">
        <v>6.1</v>
      </c>
      <c r="H1621" t="n">
        <v>0</v>
      </c>
      <c r="I1621" t="n">
        <v>0</v>
      </c>
      <c r="J1621" t="n">
        <v>0</v>
      </c>
      <c r="K1621" t="n">
        <v>0</v>
      </c>
      <c r="L1621" t="n">
        <v>0</v>
      </c>
      <c r="M1621" t="n">
        <v>0</v>
      </c>
      <c r="N1621" t="n">
        <v>0</v>
      </c>
      <c r="O1621" t="n">
        <v>0</v>
      </c>
      <c r="P1621" t="n">
        <v>0</v>
      </c>
      <c r="Q1621" t="n">
        <v>0</v>
      </c>
      <c r="R1621" s="2" t="inlineStr"/>
    </row>
    <row r="1622" ht="15" customHeight="1">
      <c r="A1622" t="inlineStr">
        <is>
          <t>A 51254-2019</t>
        </is>
      </c>
      <c r="B1622" s="1" t="n">
        <v>43739</v>
      </c>
      <c r="C1622" s="1" t="n">
        <v>45810</v>
      </c>
      <c r="D1622" t="inlineStr">
        <is>
          <t>VÄRMLANDS LÄN</t>
        </is>
      </c>
      <c r="E1622" t="inlineStr">
        <is>
          <t>TORSBY</t>
        </is>
      </c>
      <c r="F1622" t="inlineStr">
        <is>
          <t>Bergvik skog väst AB</t>
        </is>
      </c>
      <c r="G1622" t="n">
        <v>4.5</v>
      </c>
      <c r="H1622" t="n">
        <v>0</v>
      </c>
      <c r="I1622" t="n">
        <v>0</v>
      </c>
      <c r="J1622" t="n">
        <v>0</v>
      </c>
      <c r="K1622" t="n">
        <v>0</v>
      </c>
      <c r="L1622" t="n">
        <v>0</v>
      </c>
      <c r="M1622" t="n">
        <v>0</v>
      </c>
      <c r="N1622" t="n">
        <v>0</v>
      </c>
      <c r="O1622" t="n">
        <v>0</v>
      </c>
      <c r="P1622" t="n">
        <v>0</v>
      </c>
      <c r="Q1622" t="n">
        <v>0</v>
      </c>
      <c r="R1622" s="2" t="inlineStr"/>
    </row>
    <row r="1623" ht="15" customHeight="1">
      <c r="A1623" t="inlineStr">
        <is>
          <t>A 51301-2019</t>
        </is>
      </c>
      <c r="B1623" s="1" t="n">
        <v>43739</v>
      </c>
      <c r="C1623" s="1" t="n">
        <v>45810</v>
      </c>
      <c r="D1623" t="inlineStr">
        <is>
          <t>VÄRMLANDS LÄN</t>
        </is>
      </c>
      <c r="E1623" t="inlineStr">
        <is>
          <t>ARVIKA</t>
        </is>
      </c>
      <c r="F1623" t="inlineStr">
        <is>
          <t>Kommuner</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51082-2019</t>
        </is>
      </c>
      <c r="B1624" s="1" t="n">
        <v>43739</v>
      </c>
      <c r="C1624" s="1" t="n">
        <v>45810</v>
      </c>
      <c r="D1624" t="inlineStr">
        <is>
          <t>VÄRMLANDS LÄN</t>
        </is>
      </c>
      <c r="E1624" t="inlineStr">
        <is>
          <t>EDA</t>
        </is>
      </c>
      <c r="G1624" t="n">
        <v>3.6</v>
      </c>
      <c r="H1624" t="n">
        <v>0</v>
      </c>
      <c r="I1624" t="n">
        <v>0</v>
      </c>
      <c r="J1624" t="n">
        <v>0</v>
      </c>
      <c r="K1624" t="n">
        <v>0</v>
      </c>
      <c r="L1624" t="n">
        <v>0</v>
      </c>
      <c r="M1624" t="n">
        <v>0</v>
      </c>
      <c r="N1624" t="n">
        <v>0</v>
      </c>
      <c r="O1624" t="n">
        <v>0</v>
      </c>
      <c r="P1624" t="n">
        <v>0</v>
      </c>
      <c r="Q1624" t="n">
        <v>0</v>
      </c>
      <c r="R1624" s="2" t="inlineStr"/>
    </row>
    <row r="1625" ht="15" customHeight="1">
      <c r="A1625" t="inlineStr">
        <is>
          <t>A 51056-2019</t>
        </is>
      </c>
      <c r="B1625" s="1" t="n">
        <v>43739</v>
      </c>
      <c r="C1625" s="1" t="n">
        <v>45810</v>
      </c>
      <c r="D1625" t="inlineStr">
        <is>
          <t>VÄRMLANDS LÄN</t>
        </is>
      </c>
      <c r="E1625" t="inlineStr">
        <is>
          <t>SUNNE</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51404-2019</t>
        </is>
      </c>
      <c r="B1626" s="1" t="n">
        <v>43740</v>
      </c>
      <c r="C1626" s="1" t="n">
        <v>45810</v>
      </c>
      <c r="D1626" t="inlineStr">
        <is>
          <t>VÄRMLANDS LÄN</t>
        </is>
      </c>
      <c r="E1626" t="inlineStr">
        <is>
          <t>SUNNE</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51373-2019</t>
        </is>
      </c>
      <c r="B1627" s="1" t="n">
        <v>43740</v>
      </c>
      <c r="C1627" s="1" t="n">
        <v>45810</v>
      </c>
      <c r="D1627" t="inlineStr">
        <is>
          <t>VÄRMLANDS LÄN</t>
        </is>
      </c>
      <c r="E1627" t="inlineStr">
        <is>
          <t>SUNNE</t>
        </is>
      </c>
      <c r="G1627" t="n">
        <v>33.1</v>
      </c>
      <c r="H1627" t="n">
        <v>0</v>
      </c>
      <c r="I1627" t="n">
        <v>0</v>
      </c>
      <c r="J1627" t="n">
        <v>0</v>
      </c>
      <c r="K1627" t="n">
        <v>0</v>
      </c>
      <c r="L1627" t="n">
        <v>0</v>
      </c>
      <c r="M1627" t="n">
        <v>0</v>
      </c>
      <c r="N1627" t="n">
        <v>0</v>
      </c>
      <c r="O1627" t="n">
        <v>0</v>
      </c>
      <c r="P1627" t="n">
        <v>0</v>
      </c>
      <c r="Q1627" t="n">
        <v>0</v>
      </c>
      <c r="R1627" s="2" t="inlineStr"/>
    </row>
    <row r="1628" ht="15" customHeight="1">
      <c r="A1628" t="inlineStr">
        <is>
          <t>A 51613-2019</t>
        </is>
      </c>
      <c r="B1628" s="1" t="n">
        <v>43740</v>
      </c>
      <c r="C1628" s="1" t="n">
        <v>45810</v>
      </c>
      <c r="D1628" t="inlineStr">
        <is>
          <t>VÄRMLANDS LÄN</t>
        </is>
      </c>
      <c r="E1628" t="inlineStr">
        <is>
          <t>ÅRJÄNG</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51609-2019</t>
        </is>
      </c>
      <c r="B1629" s="1" t="n">
        <v>43740</v>
      </c>
      <c r="C1629" s="1" t="n">
        <v>45810</v>
      </c>
      <c r="D1629" t="inlineStr">
        <is>
          <t>VÄRMLANDS LÄN</t>
        </is>
      </c>
      <c r="E1629" t="inlineStr">
        <is>
          <t>ÅRJÄNG</t>
        </is>
      </c>
      <c r="G1629" t="n">
        <v>3.9</v>
      </c>
      <c r="H1629" t="n">
        <v>0</v>
      </c>
      <c r="I1629" t="n">
        <v>0</v>
      </c>
      <c r="J1629" t="n">
        <v>0</v>
      </c>
      <c r="K1629" t="n">
        <v>0</v>
      </c>
      <c r="L1629" t="n">
        <v>0</v>
      </c>
      <c r="M1629" t="n">
        <v>0</v>
      </c>
      <c r="N1629" t="n">
        <v>0</v>
      </c>
      <c r="O1629" t="n">
        <v>0</v>
      </c>
      <c r="P1629" t="n">
        <v>0</v>
      </c>
      <c r="Q1629" t="n">
        <v>0</v>
      </c>
      <c r="R1629" s="2" t="inlineStr"/>
    </row>
    <row r="1630" ht="15" customHeight="1">
      <c r="A1630" t="inlineStr">
        <is>
          <t>A 53370-2019</t>
        </is>
      </c>
      <c r="B1630" s="1" t="n">
        <v>43740</v>
      </c>
      <c r="C1630" s="1" t="n">
        <v>45810</v>
      </c>
      <c r="D1630" t="inlineStr">
        <is>
          <t>VÄRMLANDS LÄN</t>
        </is>
      </c>
      <c r="E1630" t="inlineStr">
        <is>
          <t>SÄFFLE</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52853-2019</t>
        </is>
      </c>
      <c r="B1631" s="1" t="n">
        <v>43740</v>
      </c>
      <c r="C1631" s="1" t="n">
        <v>45810</v>
      </c>
      <c r="D1631" t="inlineStr">
        <is>
          <t>VÄRMLANDS LÄN</t>
        </is>
      </c>
      <c r="E1631" t="inlineStr">
        <is>
          <t>HAGFORS</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51633-2019</t>
        </is>
      </c>
      <c r="B1632" s="1" t="n">
        <v>43740</v>
      </c>
      <c r="C1632" s="1" t="n">
        <v>45810</v>
      </c>
      <c r="D1632" t="inlineStr">
        <is>
          <t>VÄRMLANDS LÄN</t>
        </is>
      </c>
      <c r="E1632" t="inlineStr">
        <is>
          <t>ÅRJÄNG</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51741-2019</t>
        </is>
      </c>
      <c r="B1633" s="1" t="n">
        <v>43741</v>
      </c>
      <c r="C1633" s="1" t="n">
        <v>45810</v>
      </c>
      <c r="D1633" t="inlineStr">
        <is>
          <t>VÄRMLANDS LÄN</t>
        </is>
      </c>
      <c r="E1633" t="inlineStr">
        <is>
          <t>SUNNE</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51778-2019</t>
        </is>
      </c>
      <c r="B1634" s="1" t="n">
        <v>43741</v>
      </c>
      <c r="C1634" s="1" t="n">
        <v>45810</v>
      </c>
      <c r="D1634" t="inlineStr">
        <is>
          <t>VÄRMLANDS LÄN</t>
        </is>
      </c>
      <c r="E1634" t="inlineStr">
        <is>
          <t>SUNNE</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51866-2019</t>
        </is>
      </c>
      <c r="B1635" s="1" t="n">
        <v>43741</v>
      </c>
      <c r="C1635" s="1" t="n">
        <v>45810</v>
      </c>
      <c r="D1635" t="inlineStr">
        <is>
          <t>VÄRMLANDS LÄN</t>
        </is>
      </c>
      <c r="E1635" t="inlineStr">
        <is>
          <t>SÄFFLE</t>
        </is>
      </c>
      <c r="G1635" t="n">
        <v>5.3</v>
      </c>
      <c r="H1635" t="n">
        <v>0</v>
      </c>
      <c r="I1635" t="n">
        <v>0</v>
      </c>
      <c r="J1635" t="n">
        <v>0</v>
      </c>
      <c r="K1635" t="n">
        <v>0</v>
      </c>
      <c r="L1635" t="n">
        <v>0</v>
      </c>
      <c r="M1635" t="n">
        <v>0</v>
      </c>
      <c r="N1635" t="n">
        <v>0</v>
      </c>
      <c r="O1635" t="n">
        <v>0</v>
      </c>
      <c r="P1635" t="n">
        <v>0</v>
      </c>
      <c r="Q1635" t="n">
        <v>0</v>
      </c>
      <c r="R1635" s="2" t="inlineStr"/>
    </row>
    <row r="1636" ht="15" customHeight="1">
      <c r="A1636" t="inlineStr">
        <is>
          <t>A 53618-2019</t>
        </is>
      </c>
      <c r="B1636" s="1" t="n">
        <v>43741</v>
      </c>
      <c r="C1636" s="1" t="n">
        <v>45810</v>
      </c>
      <c r="D1636" t="inlineStr">
        <is>
          <t>VÄRMLANDS LÄN</t>
        </is>
      </c>
      <c r="E1636" t="inlineStr">
        <is>
          <t>SUNNE</t>
        </is>
      </c>
      <c r="G1636" t="n">
        <v>4.1</v>
      </c>
      <c r="H1636" t="n">
        <v>0</v>
      </c>
      <c r="I1636" t="n">
        <v>0</v>
      </c>
      <c r="J1636" t="n">
        <v>0</v>
      </c>
      <c r="K1636" t="n">
        <v>0</v>
      </c>
      <c r="L1636" t="n">
        <v>0</v>
      </c>
      <c r="M1636" t="n">
        <v>0</v>
      </c>
      <c r="N1636" t="n">
        <v>0</v>
      </c>
      <c r="O1636" t="n">
        <v>0</v>
      </c>
      <c r="P1636" t="n">
        <v>0</v>
      </c>
      <c r="Q1636" t="n">
        <v>0</v>
      </c>
      <c r="R1636" s="2" t="inlineStr"/>
    </row>
    <row r="1637" ht="15" customHeight="1">
      <c r="A1637" t="inlineStr">
        <is>
          <t>A 53599-2019</t>
        </is>
      </c>
      <c r="B1637" s="1" t="n">
        <v>43741</v>
      </c>
      <c r="C1637" s="1" t="n">
        <v>45810</v>
      </c>
      <c r="D1637" t="inlineStr">
        <is>
          <t>VÄRMLANDS LÄN</t>
        </is>
      </c>
      <c r="E1637" t="inlineStr">
        <is>
          <t>ÅRJÄNG</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51800-2019</t>
        </is>
      </c>
      <c r="B1638" s="1" t="n">
        <v>43741</v>
      </c>
      <c r="C1638" s="1" t="n">
        <v>45810</v>
      </c>
      <c r="D1638" t="inlineStr">
        <is>
          <t>VÄRMLANDS LÄN</t>
        </is>
      </c>
      <c r="E1638" t="inlineStr">
        <is>
          <t>SÄFFLE</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51748-2019</t>
        </is>
      </c>
      <c r="B1639" s="1" t="n">
        <v>43741</v>
      </c>
      <c r="C1639" s="1" t="n">
        <v>45810</v>
      </c>
      <c r="D1639" t="inlineStr">
        <is>
          <t>VÄRMLANDS LÄN</t>
        </is>
      </c>
      <c r="E1639" t="inlineStr">
        <is>
          <t>SUNNE</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51761-2019</t>
        </is>
      </c>
      <c r="B1640" s="1" t="n">
        <v>43741</v>
      </c>
      <c r="C1640" s="1" t="n">
        <v>45810</v>
      </c>
      <c r="D1640" t="inlineStr">
        <is>
          <t>VÄRMLANDS LÄN</t>
        </is>
      </c>
      <c r="E1640" t="inlineStr">
        <is>
          <t>KARLSTAD</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53843-2019</t>
        </is>
      </c>
      <c r="B1641" s="1" t="n">
        <v>43742</v>
      </c>
      <c r="C1641" s="1" t="n">
        <v>45810</v>
      </c>
      <c r="D1641" t="inlineStr">
        <is>
          <t>VÄRMLANDS LÄN</t>
        </is>
      </c>
      <c r="E1641" t="inlineStr">
        <is>
          <t>SÄFFLE</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52186-2019</t>
        </is>
      </c>
      <c r="B1642" s="1" t="n">
        <v>43742</v>
      </c>
      <c r="C1642" s="1" t="n">
        <v>45810</v>
      </c>
      <c r="D1642" t="inlineStr">
        <is>
          <t>VÄRMLANDS LÄN</t>
        </is>
      </c>
      <c r="E1642" t="inlineStr">
        <is>
          <t>TORSBY</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52126-2019</t>
        </is>
      </c>
      <c r="B1643" s="1" t="n">
        <v>43742</v>
      </c>
      <c r="C1643" s="1" t="n">
        <v>45810</v>
      </c>
      <c r="D1643" t="inlineStr">
        <is>
          <t>VÄRMLANDS LÄN</t>
        </is>
      </c>
      <c r="E1643" t="inlineStr">
        <is>
          <t>SUNNE</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53932-2019</t>
        </is>
      </c>
      <c r="B1644" s="1" t="n">
        <v>43742</v>
      </c>
      <c r="C1644" s="1" t="n">
        <v>45810</v>
      </c>
      <c r="D1644" t="inlineStr">
        <is>
          <t>VÄRMLANDS LÄN</t>
        </is>
      </c>
      <c r="E1644" t="inlineStr">
        <is>
          <t>FILIPSTAD</t>
        </is>
      </c>
      <c r="G1644" t="n">
        <v>3.9</v>
      </c>
      <c r="H1644" t="n">
        <v>0</v>
      </c>
      <c r="I1644" t="n">
        <v>0</v>
      </c>
      <c r="J1644" t="n">
        <v>0</v>
      </c>
      <c r="K1644" t="n">
        <v>0</v>
      </c>
      <c r="L1644" t="n">
        <v>0</v>
      </c>
      <c r="M1644" t="n">
        <v>0</v>
      </c>
      <c r="N1644" t="n">
        <v>0</v>
      </c>
      <c r="O1644" t="n">
        <v>0</v>
      </c>
      <c r="P1644" t="n">
        <v>0</v>
      </c>
      <c r="Q1644" t="n">
        <v>0</v>
      </c>
      <c r="R1644" s="2" t="inlineStr"/>
    </row>
    <row r="1645" ht="15" customHeight="1">
      <c r="A1645" t="inlineStr">
        <is>
          <t>A 54015-2019</t>
        </is>
      </c>
      <c r="B1645" s="1" t="n">
        <v>43742</v>
      </c>
      <c r="C1645" s="1" t="n">
        <v>45810</v>
      </c>
      <c r="D1645" t="inlineStr">
        <is>
          <t>VÄRMLANDS LÄN</t>
        </is>
      </c>
      <c r="E1645" t="inlineStr">
        <is>
          <t>ÅRJÄNG</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53829-2019</t>
        </is>
      </c>
      <c r="B1646" s="1" t="n">
        <v>43742</v>
      </c>
      <c r="C1646" s="1" t="n">
        <v>45810</v>
      </c>
      <c r="D1646" t="inlineStr">
        <is>
          <t>VÄRMLANDS LÄN</t>
        </is>
      </c>
      <c r="E1646" t="inlineStr">
        <is>
          <t>SÄFFLE</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52283-2019</t>
        </is>
      </c>
      <c r="B1647" s="1" t="n">
        <v>43744</v>
      </c>
      <c r="C1647" s="1" t="n">
        <v>45810</v>
      </c>
      <c r="D1647" t="inlineStr">
        <is>
          <t>VÄRMLANDS LÄN</t>
        </is>
      </c>
      <c r="E1647" t="inlineStr">
        <is>
          <t>SUNNE</t>
        </is>
      </c>
      <c r="G1647" t="n">
        <v>4.7</v>
      </c>
      <c r="H1647" t="n">
        <v>0</v>
      </c>
      <c r="I1647" t="n">
        <v>0</v>
      </c>
      <c r="J1647" t="n">
        <v>0</v>
      </c>
      <c r="K1647" t="n">
        <v>0</v>
      </c>
      <c r="L1647" t="n">
        <v>0</v>
      </c>
      <c r="M1647" t="n">
        <v>0</v>
      </c>
      <c r="N1647" t="n">
        <v>0</v>
      </c>
      <c r="O1647" t="n">
        <v>0</v>
      </c>
      <c r="P1647" t="n">
        <v>0</v>
      </c>
      <c r="Q1647" t="n">
        <v>0</v>
      </c>
      <c r="R1647" s="2" t="inlineStr"/>
    </row>
    <row r="1648" ht="15" customHeight="1">
      <c r="A1648" t="inlineStr">
        <is>
          <t>A 52285-2019</t>
        </is>
      </c>
      <c r="B1648" s="1" t="n">
        <v>43744</v>
      </c>
      <c r="C1648" s="1" t="n">
        <v>45810</v>
      </c>
      <c r="D1648" t="inlineStr">
        <is>
          <t>VÄRMLANDS LÄN</t>
        </is>
      </c>
      <c r="E1648" t="inlineStr">
        <is>
          <t>SUNNE</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52311-2019</t>
        </is>
      </c>
      <c r="B1649" s="1" t="n">
        <v>43745</v>
      </c>
      <c r="C1649" s="1" t="n">
        <v>45810</v>
      </c>
      <c r="D1649" t="inlineStr">
        <is>
          <t>VÄRMLANDS LÄN</t>
        </is>
      </c>
      <c r="E1649" t="inlineStr">
        <is>
          <t>TORSBY</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52395-2019</t>
        </is>
      </c>
      <c r="B1650" s="1" t="n">
        <v>43745</v>
      </c>
      <c r="C1650" s="1" t="n">
        <v>45810</v>
      </c>
      <c r="D1650" t="inlineStr">
        <is>
          <t>VÄRMLANDS LÄN</t>
        </is>
      </c>
      <c r="E1650" t="inlineStr">
        <is>
          <t>SUNNE</t>
        </is>
      </c>
      <c r="F1650" t="inlineStr">
        <is>
          <t>Kommuner</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52490-2019</t>
        </is>
      </c>
      <c r="B1651" s="1" t="n">
        <v>43745</v>
      </c>
      <c r="C1651" s="1" t="n">
        <v>45810</v>
      </c>
      <c r="D1651" t="inlineStr">
        <is>
          <t>VÄRMLANDS LÄN</t>
        </is>
      </c>
      <c r="E1651" t="inlineStr">
        <is>
          <t>MUNKFORS</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52392-2019</t>
        </is>
      </c>
      <c r="B1652" s="1" t="n">
        <v>43745</v>
      </c>
      <c r="C1652" s="1" t="n">
        <v>45810</v>
      </c>
      <c r="D1652" t="inlineStr">
        <is>
          <t>VÄRMLANDS LÄN</t>
        </is>
      </c>
      <c r="E1652" t="inlineStr">
        <is>
          <t>KARLSTAD</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52559-2019</t>
        </is>
      </c>
      <c r="B1653" s="1" t="n">
        <v>43745</v>
      </c>
      <c r="C1653" s="1" t="n">
        <v>45810</v>
      </c>
      <c r="D1653" t="inlineStr">
        <is>
          <t>VÄRMLANDS LÄN</t>
        </is>
      </c>
      <c r="E1653" t="inlineStr">
        <is>
          <t>SUNNE</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52674-2019</t>
        </is>
      </c>
      <c r="B1654" s="1" t="n">
        <v>43746</v>
      </c>
      <c r="C1654" s="1" t="n">
        <v>45810</v>
      </c>
      <c r="D1654" t="inlineStr">
        <is>
          <t>VÄRMLANDS LÄN</t>
        </is>
      </c>
      <c r="E1654" t="inlineStr">
        <is>
          <t>TORSBY</t>
        </is>
      </c>
      <c r="F1654" t="inlineStr">
        <is>
          <t>Bergvik skog väst AB</t>
        </is>
      </c>
      <c r="G1654" t="n">
        <v>26.4</v>
      </c>
      <c r="H1654" t="n">
        <v>0</v>
      </c>
      <c r="I1654" t="n">
        <v>0</v>
      </c>
      <c r="J1654" t="n">
        <v>0</v>
      </c>
      <c r="K1654" t="n">
        <v>0</v>
      </c>
      <c r="L1654" t="n">
        <v>0</v>
      </c>
      <c r="M1654" t="n">
        <v>0</v>
      </c>
      <c r="N1654" t="n">
        <v>0</v>
      </c>
      <c r="O1654" t="n">
        <v>0</v>
      </c>
      <c r="P1654" t="n">
        <v>0</v>
      </c>
      <c r="Q1654" t="n">
        <v>0</v>
      </c>
      <c r="R1654" s="2" t="inlineStr"/>
    </row>
    <row r="1655" ht="15" customHeight="1">
      <c r="A1655" t="inlineStr">
        <is>
          <t>A 52885-2019</t>
        </is>
      </c>
      <c r="B1655" s="1" t="n">
        <v>43746</v>
      </c>
      <c r="C1655" s="1" t="n">
        <v>45810</v>
      </c>
      <c r="D1655" t="inlineStr">
        <is>
          <t>VÄRMLANDS LÄN</t>
        </is>
      </c>
      <c r="E1655" t="inlineStr">
        <is>
          <t>TORSBY</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54074-2019</t>
        </is>
      </c>
      <c r="B1656" s="1" t="n">
        <v>43746</v>
      </c>
      <c r="C1656" s="1" t="n">
        <v>45810</v>
      </c>
      <c r="D1656" t="inlineStr">
        <is>
          <t>VÄRMLANDS LÄN</t>
        </is>
      </c>
      <c r="E1656" t="inlineStr">
        <is>
          <t>SUNNE</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54347-2019</t>
        </is>
      </c>
      <c r="B1657" s="1" t="n">
        <v>43746</v>
      </c>
      <c r="C1657" s="1" t="n">
        <v>45810</v>
      </c>
      <c r="D1657" t="inlineStr">
        <is>
          <t>VÄRMLANDS LÄN</t>
        </is>
      </c>
      <c r="E1657" t="inlineStr">
        <is>
          <t>SÄFFLE</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54691-2019</t>
        </is>
      </c>
      <c r="B1658" s="1" t="n">
        <v>43746</v>
      </c>
      <c r="C1658" s="1" t="n">
        <v>45810</v>
      </c>
      <c r="D1658" t="inlineStr">
        <is>
          <t>VÄRMLANDS LÄN</t>
        </is>
      </c>
      <c r="E1658" t="inlineStr">
        <is>
          <t>SUNNE</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53041-2019</t>
        </is>
      </c>
      <c r="B1659" s="1" t="n">
        <v>43747</v>
      </c>
      <c r="C1659" s="1" t="n">
        <v>45810</v>
      </c>
      <c r="D1659" t="inlineStr">
        <is>
          <t>VÄRMLANDS LÄN</t>
        </is>
      </c>
      <c r="E1659" t="inlineStr">
        <is>
          <t>KARLSTAD</t>
        </is>
      </c>
      <c r="F1659" t="inlineStr">
        <is>
          <t>Kyrkan</t>
        </is>
      </c>
      <c r="G1659" t="n">
        <v>10.7</v>
      </c>
      <c r="H1659" t="n">
        <v>0</v>
      </c>
      <c r="I1659" t="n">
        <v>0</v>
      </c>
      <c r="J1659" t="n">
        <v>0</v>
      </c>
      <c r="K1659" t="n">
        <v>0</v>
      </c>
      <c r="L1659" t="n">
        <v>0</v>
      </c>
      <c r="M1659" t="n">
        <v>0</v>
      </c>
      <c r="N1659" t="n">
        <v>0</v>
      </c>
      <c r="O1659" t="n">
        <v>0</v>
      </c>
      <c r="P1659" t="n">
        <v>0</v>
      </c>
      <c r="Q1659" t="n">
        <v>0</v>
      </c>
      <c r="R1659" s="2" t="inlineStr"/>
    </row>
    <row r="1660" ht="15" customHeight="1">
      <c r="A1660" t="inlineStr">
        <is>
          <t>A 54442-2019</t>
        </is>
      </c>
      <c r="B1660" s="1" t="n">
        <v>43747</v>
      </c>
      <c r="C1660" s="1" t="n">
        <v>45810</v>
      </c>
      <c r="D1660" t="inlineStr">
        <is>
          <t>VÄRMLANDS LÄN</t>
        </is>
      </c>
      <c r="E1660" t="inlineStr">
        <is>
          <t>KARLSTAD</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53147-2019</t>
        </is>
      </c>
      <c r="B1661" s="1" t="n">
        <v>43747</v>
      </c>
      <c r="C1661" s="1" t="n">
        <v>45810</v>
      </c>
      <c r="D1661" t="inlineStr">
        <is>
          <t>VÄRMLANDS LÄN</t>
        </is>
      </c>
      <c r="E1661" t="inlineStr">
        <is>
          <t>EDA</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54438-2019</t>
        </is>
      </c>
      <c r="B1662" s="1" t="n">
        <v>43747</v>
      </c>
      <c r="C1662" s="1" t="n">
        <v>45810</v>
      </c>
      <c r="D1662" t="inlineStr">
        <is>
          <t>VÄRMLANDS LÄN</t>
        </is>
      </c>
      <c r="E1662" t="inlineStr">
        <is>
          <t>KARLSTAD</t>
        </is>
      </c>
      <c r="G1662" t="n">
        <v>4.8</v>
      </c>
      <c r="H1662" t="n">
        <v>0</v>
      </c>
      <c r="I1662" t="n">
        <v>0</v>
      </c>
      <c r="J1662" t="n">
        <v>0</v>
      </c>
      <c r="K1662" t="n">
        <v>0</v>
      </c>
      <c r="L1662" t="n">
        <v>0</v>
      </c>
      <c r="M1662" t="n">
        <v>0</v>
      </c>
      <c r="N1662" t="n">
        <v>0</v>
      </c>
      <c r="O1662" t="n">
        <v>0</v>
      </c>
      <c r="P1662" t="n">
        <v>0</v>
      </c>
      <c r="Q1662" t="n">
        <v>0</v>
      </c>
      <c r="R1662" s="2" t="inlineStr"/>
    </row>
    <row r="1663" ht="15" customHeight="1">
      <c r="A1663" t="inlineStr">
        <is>
          <t>A 53236-2019</t>
        </is>
      </c>
      <c r="B1663" s="1" t="n">
        <v>43748</v>
      </c>
      <c r="C1663" s="1" t="n">
        <v>45810</v>
      </c>
      <c r="D1663" t="inlineStr">
        <is>
          <t>VÄRMLANDS LÄN</t>
        </is>
      </c>
      <c r="E1663" t="inlineStr">
        <is>
          <t>KRISTINEHAMN</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53271-2019</t>
        </is>
      </c>
      <c r="B1664" s="1" t="n">
        <v>43748</v>
      </c>
      <c r="C1664" s="1" t="n">
        <v>45810</v>
      </c>
      <c r="D1664" t="inlineStr">
        <is>
          <t>VÄRMLANDS LÄN</t>
        </is>
      </c>
      <c r="E1664" t="inlineStr">
        <is>
          <t>TORSBY</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53451-2019</t>
        </is>
      </c>
      <c r="B1665" s="1" t="n">
        <v>43748</v>
      </c>
      <c r="C1665" s="1" t="n">
        <v>45810</v>
      </c>
      <c r="D1665" t="inlineStr">
        <is>
          <t>VÄRMLANDS LÄN</t>
        </is>
      </c>
      <c r="E1665" t="inlineStr">
        <is>
          <t>KARLSTAD</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54616-2019</t>
        </is>
      </c>
      <c r="B1666" s="1" t="n">
        <v>43748</v>
      </c>
      <c r="C1666" s="1" t="n">
        <v>45810</v>
      </c>
      <c r="D1666" t="inlineStr">
        <is>
          <t>VÄRMLANDS LÄN</t>
        </is>
      </c>
      <c r="E1666" t="inlineStr">
        <is>
          <t>KRISTINEHAMN</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54764-2019</t>
        </is>
      </c>
      <c r="B1667" s="1" t="n">
        <v>43748</v>
      </c>
      <c r="C1667" s="1" t="n">
        <v>45810</v>
      </c>
      <c r="D1667" t="inlineStr">
        <is>
          <t>VÄRMLANDS LÄN</t>
        </is>
      </c>
      <c r="E1667" t="inlineStr">
        <is>
          <t>TORSBY</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54599-2019</t>
        </is>
      </c>
      <c r="B1668" s="1" t="n">
        <v>43748</v>
      </c>
      <c r="C1668" s="1" t="n">
        <v>45810</v>
      </c>
      <c r="D1668" t="inlineStr">
        <is>
          <t>VÄRMLANDS LÄN</t>
        </is>
      </c>
      <c r="E1668" t="inlineStr">
        <is>
          <t>ÅRJÄNG</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54709-2019</t>
        </is>
      </c>
      <c r="B1669" s="1" t="n">
        <v>43748</v>
      </c>
      <c r="C1669" s="1" t="n">
        <v>45810</v>
      </c>
      <c r="D1669" t="inlineStr">
        <is>
          <t>VÄRMLANDS LÄN</t>
        </is>
      </c>
      <c r="E1669" t="inlineStr">
        <is>
          <t>ARVIKA</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53635-2019</t>
        </is>
      </c>
      <c r="B1670" s="1" t="n">
        <v>43749</v>
      </c>
      <c r="C1670" s="1" t="n">
        <v>45810</v>
      </c>
      <c r="D1670" t="inlineStr">
        <is>
          <t>VÄRMLANDS LÄN</t>
        </is>
      </c>
      <c r="E1670" t="inlineStr">
        <is>
          <t>TORSBY</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53665-2019</t>
        </is>
      </c>
      <c r="B1671" s="1" t="n">
        <v>43749</v>
      </c>
      <c r="C1671" s="1" t="n">
        <v>45810</v>
      </c>
      <c r="D1671" t="inlineStr">
        <is>
          <t>VÄRMLANDS LÄN</t>
        </is>
      </c>
      <c r="E1671" t="inlineStr">
        <is>
          <t>ARVIKA</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53491-2019</t>
        </is>
      </c>
      <c r="B1672" s="1" t="n">
        <v>43749</v>
      </c>
      <c r="C1672" s="1" t="n">
        <v>45810</v>
      </c>
      <c r="D1672" t="inlineStr">
        <is>
          <t>VÄRMLANDS LÄN</t>
        </is>
      </c>
      <c r="E1672" t="inlineStr">
        <is>
          <t>ARVIKA</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53588-2019</t>
        </is>
      </c>
      <c r="B1673" s="1" t="n">
        <v>43749</v>
      </c>
      <c r="C1673" s="1" t="n">
        <v>45810</v>
      </c>
      <c r="D1673" t="inlineStr">
        <is>
          <t>VÄRMLANDS LÄN</t>
        </is>
      </c>
      <c r="E1673" t="inlineStr">
        <is>
          <t>SUNNE</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54890-2019</t>
        </is>
      </c>
      <c r="B1674" s="1" t="n">
        <v>43749</v>
      </c>
      <c r="C1674" s="1" t="n">
        <v>45810</v>
      </c>
      <c r="D1674" t="inlineStr">
        <is>
          <t>VÄRMLANDS LÄN</t>
        </is>
      </c>
      <c r="E1674" t="inlineStr">
        <is>
          <t>KARLSTAD</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53746-2019</t>
        </is>
      </c>
      <c r="B1675" s="1" t="n">
        <v>43749</v>
      </c>
      <c r="C1675" s="1" t="n">
        <v>45810</v>
      </c>
      <c r="D1675" t="inlineStr">
        <is>
          <t>VÄRMLANDS LÄN</t>
        </is>
      </c>
      <c r="E1675" t="inlineStr">
        <is>
          <t>TORSBY</t>
        </is>
      </c>
      <c r="G1675" t="n">
        <v>0.3</v>
      </c>
      <c r="H1675" t="n">
        <v>0</v>
      </c>
      <c r="I1675" t="n">
        <v>0</v>
      </c>
      <c r="J1675" t="n">
        <v>0</v>
      </c>
      <c r="K1675" t="n">
        <v>0</v>
      </c>
      <c r="L1675" t="n">
        <v>0</v>
      </c>
      <c r="M1675" t="n">
        <v>0</v>
      </c>
      <c r="N1675" t="n">
        <v>0</v>
      </c>
      <c r="O1675" t="n">
        <v>0</v>
      </c>
      <c r="P1675" t="n">
        <v>0</v>
      </c>
      <c r="Q1675" t="n">
        <v>0</v>
      </c>
      <c r="R1675" s="2" t="inlineStr"/>
    </row>
    <row r="1676" ht="15" customHeight="1">
      <c r="A1676" t="inlineStr">
        <is>
          <t>A 54861-2019</t>
        </is>
      </c>
      <c r="B1676" s="1" t="n">
        <v>43749</v>
      </c>
      <c r="C1676" s="1" t="n">
        <v>45810</v>
      </c>
      <c r="D1676" t="inlineStr">
        <is>
          <t>VÄRMLANDS LÄN</t>
        </is>
      </c>
      <c r="E1676" t="inlineStr">
        <is>
          <t>SÄFFLE</t>
        </is>
      </c>
      <c r="G1676" t="n">
        <v>7</v>
      </c>
      <c r="H1676" t="n">
        <v>0</v>
      </c>
      <c r="I1676" t="n">
        <v>0</v>
      </c>
      <c r="J1676" t="n">
        <v>0</v>
      </c>
      <c r="K1676" t="n">
        <v>0</v>
      </c>
      <c r="L1676" t="n">
        <v>0</v>
      </c>
      <c r="M1676" t="n">
        <v>0</v>
      </c>
      <c r="N1676" t="n">
        <v>0</v>
      </c>
      <c r="O1676" t="n">
        <v>0</v>
      </c>
      <c r="P1676" t="n">
        <v>0</v>
      </c>
      <c r="Q1676" t="n">
        <v>0</v>
      </c>
      <c r="R1676" s="2" t="inlineStr"/>
    </row>
    <row r="1677" ht="15" customHeight="1">
      <c r="A1677" t="inlineStr">
        <is>
          <t>A 53744-2019</t>
        </is>
      </c>
      <c r="B1677" s="1" t="n">
        <v>43749</v>
      </c>
      <c r="C1677" s="1" t="n">
        <v>45810</v>
      </c>
      <c r="D1677" t="inlineStr">
        <is>
          <t>VÄRMLANDS LÄN</t>
        </is>
      </c>
      <c r="E1677" t="inlineStr">
        <is>
          <t>TORSBY</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53651-2019</t>
        </is>
      </c>
      <c r="B1678" s="1" t="n">
        <v>43749</v>
      </c>
      <c r="C1678" s="1" t="n">
        <v>45810</v>
      </c>
      <c r="D1678" t="inlineStr">
        <is>
          <t>VÄRMLANDS LÄN</t>
        </is>
      </c>
      <c r="E1678" t="inlineStr">
        <is>
          <t>ÅRJÄNG</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53830-2019</t>
        </is>
      </c>
      <c r="B1679" s="1" t="n">
        <v>43752</v>
      </c>
      <c r="C1679" s="1" t="n">
        <v>45810</v>
      </c>
      <c r="D1679" t="inlineStr">
        <is>
          <t>VÄRMLANDS LÄN</t>
        </is>
      </c>
      <c r="E1679" t="inlineStr">
        <is>
          <t>HAGFORS</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53855-2019</t>
        </is>
      </c>
      <c r="B1680" s="1" t="n">
        <v>43752</v>
      </c>
      <c r="C1680" s="1" t="n">
        <v>45810</v>
      </c>
      <c r="D1680" t="inlineStr">
        <is>
          <t>VÄRMLANDS LÄN</t>
        </is>
      </c>
      <c r="E1680" t="inlineStr">
        <is>
          <t>HAGFORS</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54972-2019</t>
        </is>
      </c>
      <c r="B1681" s="1" t="n">
        <v>43752</v>
      </c>
      <c r="C1681" s="1" t="n">
        <v>45810</v>
      </c>
      <c r="D1681" t="inlineStr">
        <is>
          <t>VÄRMLANDS LÄN</t>
        </is>
      </c>
      <c r="E1681" t="inlineStr">
        <is>
          <t>HAGFORS</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54950-2019</t>
        </is>
      </c>
      <c r="B1682" s="1" t="n">
        <v>43752</v>
      </c>
      <c r="C1682" s="1" t="n">
        <v>45810</v>
      </c>
      <c r="D1682" t="inlineStr">
        <is>
          <t>VÄRMLANDS LÄN</t>
        </is>
      </c>
      <c r="E1682" t="inlineStr">
        <is>
          <t>HAGFORS</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54200-2019</t>
        </is>
      </c>
      <c r="B1683" s="1" t="n">
        <v>43753</v>
      </c>
      <c r="C1683" s="1" t="n">
        <v>45810</v>
      </c>
      <c r="D1683" t="inlineStr">
        <is>
          <t>VÄRMLANDS LÄN</t>
        </is>
      </c>
      <c r="E1683" t="inlineStr">
        <is>
          <t>HAGFORS</t>
        </is>
      </c>
      <c r="G1683" t="n">
        <v>5.1</v>
      </c>
      <c r="H1683" t="n">
        <v>0</v>
      </c>
      <c r="I1683" t="n">
        <v>0</v>
      </c>
      <c r="J1683" t="n">
        <v>0</v>
      </c>
      <c r="K1683" t="n">
        <v>0</v>
      </c>
      <c r="L1683" t="n">
        <v>0</v>
      </c>
      <c r="M1683" t="n">
        <v>0</v>
      </c>
      <c r="N1683" t="n">
        <v>0</v>
      </c>
      <c r="O1683" t="n">
        <v>0</v>
      </c>
      <c r="P1683" t="n">
        <v>0</v>
      </c>
      <c r="Q1683" t="n">
        <v>0</v>
      </c>
      <c r="R1683" s="2" t="inlineStr"/>
    </row>
    <row r="1684" ht="15" customHeight="1">
      <c r="A1684" t="inlineStr">
        <is>
          <t>A 54214-2019</t>
        </is>
      </c>
      <c r="B1684" s="1" t="n">
        <v>43753</v>
      </c>
      <c r="C1684" s="1" t="n">
        <v>45810</v>
      </c>
      <c r="D1684" t="inlineStr">
        <is>
          <t>VÄRMLANDS LÄN</t>
        </is>
      </c>
      <c r="E1684" t="inlineStr">
        <is>
          <t>HAGFORS</t>
        </is>
      </c>
      <c r="G1684" t="n">
        <v>5.4</v>
      </c>
      <c r="H1684" t="n">
        <v>0</v>
      </c>
      <c r="I1684" t="n">
        <v>0</v>
      </c>
      <c r="J1684" t="n">
        <v>0</v>
      </c>
      <c r="K1684" t="n">
        <v>0</v>
      </c>
      <c r="L1684" t="n">
        <v>0</v>
      </c>
      <c r="M1684" t="n">
        <v>0</v>
      </c>
      <c r="N1684" t="n">
        <v>0</v>
      </c>
      <c r="O1684" t="n">
        <v>0</v>
      </c>
      <c r="P1684" t="n">
        <v>0</v>
      </c>
      <c r="Q1684" t="n">
        <v>0</v>
      </c>
      <c r="R1684" s="2" t="inlineStr"/>
    </row>
    <row r="1685" ht="15" customHeight="1">
      <c r="A1685" t="inlineStr">
        <is>
          <t>A 54204-2019</t>
        </is>
      </c>
      <c r="B1685" s="1" t="n">
        <v>43753</v>
      </c>
      <c r="C1685" s="1" t="n">
        <v>45810</v>
      </c>
      <c r="D1685" t="inlineStr">
        <is>
          <t>VÄRMLANDS LÄN</t>
        </is>
      </c>
      <c r="E1685" t="inlineStr">
        <is>
          <t>HAGFORS</t>
        </is>
      </c>
      <c r="G1685" t="n">
        <v>5.2</v>
      </c>
      <c r="H1685" t="n">
        <v>0</v>
      </c>
      <c r="I1685" t="n">
        <v>0</v>
      </c>
      <c r="J1685" t="n">
        <v>0</v>
      </c>
      <c r="K1685" t="n">
        <v>0</v>
      </c>
      <c r="L1685" t="n">
        <v>0</v>
      </c>
      <c r="M1685" t="n">
        <v>0</v>
      </c>
      <c r="N1685" t="n">
        <v>0</v>
      </c>
      <c r="O1685" t="n">
        <v>0</v>
      </c>
      <c r="P1685" t="n">
        <v>0</v>
      </c>
      <c r="Q1685" t="n">
        <v>0</v>
      </c>
      <c r="R1685" s="2" t="inlineStr"/>
    </row>
    <row r="1686" ht="15" customHeight="1">
      <c r="A1686" t="inlineStr">
        <is>
          <t>A 54293-2019</t>
        </is>
      </c>
      <c r="B1686" s="1" t="n">
        <v>43753</v>
      </c>
      <c r="C1686" s="1" t="n">
        <v>45810</v>
      </c>
      <c r="D1686" t="inlineStr">
        <is>
          <t>VÄRMLANDS LÄN</t>
        </is>
      </c>
      <c r="E1686" t="inlineStr">
        <is>
          <t>SUNNE</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54297-2019</t>
        </is>
      </c>
      <c r="B1687" s="1" t="n">
        <v>43753</v>
      </c>
      <c r="C1687" s="1" t="n">
        <v>45810</v>
      </c>
      <c r="D1687" t="inlineStr">
        <is>
          <t>VÄRMLANDS LÄN</t>
        </is>
      </c>
      <c r="E1687" t="inlineStr">
        <is>
          <t>SÄFFLE</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54437-2019</t>
        </is>
      </c>
      <c r="B1688" s="1" t="n">
        <v>43754</v>
      </c>
      <c r="C1688" s="1" t="n">
        <v>45810</v>
      </c>
      <c r="D1688" t="inlineStr">
        <is>
          <t>VÄRMLANDS LÄN</t>
        </is>
      </c>
      <c r="E1688" t="inlineStr">
        <is>
          <t>TORSBY</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54640-2019</t>
        </is>
      </c>
      <c r="B1689" s="1" t="n">
        <v>43754</v>
      </c>
      <c r="C1689" s="1" t="n">
        <v>45810</v>
      </c>
      <c r="D1689" t="inlineStr">
        <is>
          <t>VÄRMLANDS LÄN</t>
        </is>
      </c>
      <c r="E1689" t="inlineStr">
        <is>
          <t>FORSHAGA</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54665-2019</t>
        </is>
      </c>
      <c r="B1690" s="1" t="n">
        <v>43754</v>
      </c>
      <c r="C1690" s="1" t="n">
        <v>45810</v>
      </c>
      <c r="D1690" t="inlineStr">
        <is>
          <t>VÄRMLANDS LÄN</t>
        </is>
      </c>
      <c r="E1690" t="inlineStr">
        <is>
          <t>SUNNE</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55371-2019</t>
        </is>
      </c>
      <c r="B1691" s="1" t="n">
        <v>43754</v>
      </c>
      <c r="C1691" s="1" t="n">
        <v>45810</v>
      </c>
      <c r="D1691" t="inlineStr">
        <is>
          <t>VÄRMLANDS LÄN</t>
        </is>
      </c>
      <c r="E1691" t="inlineStr">
        <is>
          <t>KARLSTAD</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55377-2019</t>
        </is>
      </c>
      <c r="B1692" s="1" t="n">
        <v>43754</v>
      </c>
      <c r="C1692" s="1" t="n">
        <v>45810</v>
      </c>
      <c r="D1692" t="inlineStr">
        <is>
          <t>VÄRMLANDS LÄN</t>
        </is>
      </c>
      <c r="E1692" t="inlineStr">
        <is>
          <t>SÄFFLE</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54853-2019</t>
        </is>
      </c>
      <c r="B1693" s="1" t="n">
        <v>43755</v>
      </c>
      <c r="C1693" s="1" t="n">
        <v>45810</v>
      </c>
      <c r="D1693" t="inlineStr">
        <is>
          <t>VÄRMLANDS LÄN</t>
        </is>
      </c>
      <c r="E1693" t="inlineStr">
        <is>
          <t>KRISTINEHAMN</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54839-2019</t>
        </is>
      </c>
      <c r="B1694" s="1" t="n">
        <v>43755</v>
      </c>
      <c r="C1694" s="1" t="n">
        <v>45810</v>
      </c>
      <c r="D1694" t="inlineStr">
        <is>
          <t>VÄRMLANDS LÄN</t>
        </is>
      </c>
      <c r="E1694" t="inlineStr">
        <is>
          <t>FILIPSTAD</t>
        </is>
      </c>
      <c r="F1694" t="inlineStr">
        <is>
          <t>Bergvik skog väst AB</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54904-2019</t>
        </is>
      </c>
      <c r="B1695" s="1" t="n">
        <v>43755</v>
      </c>
      <c r="C1695" s="1" t="n">
        <v>45810</v>
      </c>
      <c r="D1695" t="inlineStr">
        <is>
          <t>VÄRMLANDS LÄN</t>
        </is>
      </c>
      <c r="E1695" t="inlineStr">
        <is>
          <t>KARLSTAD</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54913-2019</t>
        </is>
      </c>
      <c r="B1696" s="1" t="n">
        <v>43755</v>
      </c>
      <c r="C1696" s="1" t="n">
        <v>45810</v>
      </c>
      <c r="D1696" t="inlineStr">
        <is>
          <t>VÄRMLANDS LÄN</t>
        </is>
      </c>
      <c r="E1696" t="inlineStr">
        <is>
          <t>EDA</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54722-2019</t>
        </is>
      </c>
      <c r="B1697" s="1" t="n">
        <v>43755</v>
      </c>
      <c r="C1697" s="1" t="n">
        <v>45810</v>
      </c>
      <c r="D1697" t="inlineStr">
        <is>
          <t>VÄRMLANDS LÄN</t>
        </is>
      </c>
      <c r="E1697" t="inlineStr">
        <is>
          <t>SUNNE</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54778-2019</t>
        </is>
      </c>
      <c r="B1698" s="1" t="n">
        <v>43755</v>
      </c>
      <c r="C1698" s="1" t="n">
        <v>45810</v>
      </c>
      <c r="D1698" t="inlineStr">
        <is>
          <t>VÄRMLANDS LÄN</t>
        </is>
      </c>
      <c r="E1698" t="inlineStr">
        <is>
          <t>FILIPSTAD</t>
        </is>
      </c>
      <c r="F1698" t="inlineStr">
        <is>
          <t>Bergvik skog väst AB</t>
        </is>
      </c>
      <c r="G1698" t="n">
        <v>4.6</v>
      </c>
      <c r="H1698" t="n">
        <v>0</v>
      </c>
      <c r="I1698" t="n">
        <v>0</v>
      </c>
      <c r="J1698" t="n">
        <v>0</v>
      </c>
      <c r="K1698" t="n">
        <v>0</v>
      </c>
      <c r="L1698" t="n">
        <v>0</v>
      </c>
      <c r="M1698" t="n">
        <v>0</v>
      </c>
      <c r="N1698" t="n">
        <v>0</v>
      </c>
      <c r="O1698" t="n">
        <v>0</v>
      </c>
      <c r="P1698" t="n">
        <v>0</v>
      </c>
      <c r="Q1698" t="n">
        <v>0</v>
      </c>
      <c r="R1698" s="2" t="inlineStr"/>
    </row>
    <row r="1699" ht="15" customHeight="1">
      <c r="A1699" t="inlineStr">
        <is>
          <t>A 54915-2019</t>
        </is>
      </c>
      <c r="B1699" s="1" t="n">
        <v>43755</v>
      </c>
      <c r="C1699" s="1" t="n">
        <v>45810</v>
      </c>
      <c r="D1699" t="inlineStr">
        <is>
          <t>VÄRMLANDS LÄN</t>
        </is>
      </c>
      <c r="E1699" t="inlineStr">
        <is>
          <t>EDA</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54918-2019</t>
        </is>
      </c>
      <c r="B1700" s="1" t="n">
        <v>43755</v>
      </c>
      <c r="C1700" s="1" t="n">
        <v>45810</v>
      </c>
      <c r="D1700" t="inlineStr">
        <is>
          <t>VÄRMLANDS LÄN</t>
        </is>
      </c>
      <c r="E1700" t="inlineStr">
        <is>
          <t>EDA</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54706-2019</t>
        </is>
      </c>
      <c r="B1701" s="1" t="n">
        <v>43755</v>
      </c>
      <c r="C1701" s="1" t="n">
        <v>45810</v>
      </c>
      <c r="D1701" t="inlineStr">
        <is>
          <t>VÄRMLANDS LÄN</t>
        </is>
      </c>
      <c r="E1701" t="inlineStr">
        <is>
          <t>FILIPSTAD</t>
        </is>
      </c>
      <c r="F1701" t="inlineStr">
        <is>
          <t>Bergvik skog väst AB</t>
        </is>
      </c>
      <c r="G1701" t="n">
        <v>10.2</v>
      </c>
      <c r="H1701" t="n">
        <v>0</v>
      </c>
      <c r="I1701" t="n">
        <v>0</v>
      </c>
      <c r="J1701" t="n">
        <v>0</v>
      </c>
      <c r="K1701" t="n">
        <v>0</v>
      </c>
      <c r="L1701" t="n">
        <v>0</v>
      </c>
      <c r="M1701" t="n">
        <v>0</v>
      </c>
      <c r="N1701" t="n">
        <v>0</v>
      </c>
      <c r="O1701" t="n">
        <v>0</v>
      </c>
      <c r="P1701" t="n">
        <v>0</v>
      </c>
      <c r="Q1701" t="n">
        <v>0</v>
      </c>
      <c r="R1701" s="2" t="inlineStr"/>
    </row>
    <row r="1702" ht="15" customHeight="1">
      <c r="A1702" t="inlineStr">
        <is>
          <t>A 55296-2019</t>
        </is>
      </c>
      <c r="B1702" s="1" t="n">
        <v>43756</v>
      </c>
      <c r="C1702" s="1" t="n">
        <v>45810</v>
      </c>
      <c r="D1702" t="inlineStr">
        <is>
          <t>VÄRMLANDS LÄN</t>
        </is>
      </c>
      <c r="E1702" t="inlineStr">
        <is>
          <t>KIL</t>
        </is>
      </c>
      <c r="G1702" t="n">
        <v>4.9</v>
      </c>
      <c r="H1702" t="n">
        <v>0</v>
      </c>
      <c r="I1702" t="n">
        <v>0</v>
      </c>
      <c r="J1702" t="n">
        <v>0</v>
      </c>
      <c r="K1702" t="n">
        <v>0</v>
      </c>
      <c r="L1702" t="n">
        <v>0</v>
      </c>
      <c r="M1702" t="n">
        <v>0</v>
      </c>
      <c r="N1702" t="n">
        <v>0</v>
      </c>
      <c r="O1702" t="n">
        <v>0</v>
      </c>
      <c r="P1702" t="n">
        <v>0</v>
      </c>
      <c r="Q1702" t="n">
        <v>0</v>
      </c>
      <c r="R1702" s="2" t="inlineStr"/>
    </row>
    <row r="1703" ht="15" customHeight="1">
      <c r="A1703" t="inlineStr">
        <is>
          <t>A 55367-2019</t>
        </is>
      </c>
      <c r="B1703" s="1" t="n">
        <v>43756</v>
      </c>
      <c r="C1703" s="1" t="n">
        <v>45810</v>
      </c>
      <c r="D1703" t="inlineStr">
        <is>
          <t>VÄRMLANDS LÄN</t>
        </is>
      </c>
      <c r="E1703" t="inlineStr">
        <is>
          <t>KARLSTAD</t>
        </is>
      </c>
      <c r="G1703" t="n">
        <v>13.1</v>
      </c>
      <c r="H1703" t="n">
        <v>0</v>
      </c>
      <c r="I1703" t="n">
        <v>0</v>
      </c>
      <c r="J1703" t="n">
        <v>0</v>
      </c>
      <c r="K1703" t="n">
        <v>0</v>
      </c>
      <c r="L1703" t="n">
        <v>0</v>
      </c>
      <c r="M1703" t="n">
        <v>0</v>
      </c>
      <c r="N1703" t="n">
        <v>0</v>
      </c>
      <c r="O1703" t="n">
        <v>0</v>
      </c>
      <c r="P1703" t="n">
        <v>0</v>
      </c>
      <c r="Q1703" t="n">
        <v>0</v>
      </c>
      <c r="R1703" s="2" t="inlineStr"/>
    </row>
    <row r="1704" ht="15" customHeight="1">
      <c r="A1704" t="inlineStr">
        <is>
          <t>A 56256-2019</t>
        </is>
      </c>
      <c r="B1704" s="1" t="n">
        <v>43756</v>
      </c>
      <c r="C1704" s="1" t="n">
        <v>45810</v>
      </c>
      <c r="D1704" t="inlineStr">
        <is>
          <t>VÄRMLANDS LÄN</t>
        </is>
      </c>
      <c r="E1704" t="inlineStr">
        <is>
          <t>TORSBY</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56263-2019</t>
        </is>
      </c>
      <c r="B1705" s="1" t="n">
        <v>43756</v>
      </c>
      <c r="C1705" s="1" t="n">
        <v>45810</v>
      </c>
      <c r="D1705" t="inlineStr">
        <is>
          <t>VÄRMLANDS LÄN</t>
        </is>
      </c>
      <c r="E1705" t="inlineStr">
        <is>
          <t>SUNNE</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56268-2019</t>
        </is>
      </c>
      <c r="B1706" s="1" t="n">
        <v>43756</v>
      </c>
      <c r="C1706" s="1" t="n">
        <v>45810</v>
      </c>
      <c r="D1706" t="inlineStr">
        <is>
          <t>VÄRMLANDS LÄN</t>
        </is>
      </c>
      <c r="E1706" t="inlineStr">
        <is>
          <t>SUNNE</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55988-2019</t>
        </is>
      </c>
      <c r="B1707" s="1" t="n">
        <v>43759</v>
      </c>
      <c r="C1707" s="1" t="n">
        <v>45810</v>
      </c>
      <c r="D1707" t="inlineStr">
        <is>
          <t>VÄRMLANDS LÄN</t>
        </is>
      </c>
      <c r="E1707" t="inlineStr">
        <is>
          <t>TORSBY</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55561-2019</t>
        </is>
      </c>
      <c r="B1708" s="1" t="n">
        <v>43759</v>
      </c>
      <c r="C1708" s="1" t="n">
        <v>45810</v>
      </c>
      <c r="D1708" t="inlineStr">
        <is>
          <t>VÄRMLANDS LÄN</t>
        </is>
      </c>
      <c r="E1708" t="inlineStr">
        <is>
          <t>KARLSTAD</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55810-2019</t>
        </is>
      </c>
      <c r="B1709" s="1" t="n">
        <v>43759</v>
      </c>
      <c r="C1709" s="1" t="n">
        <v>45810</v>
      </c>
      <c r="D1709" t="inlineStr">
        <is>
          <t>VÄRMLANDS LÄN</t>
        </is>
      </c>
      <c r="E1709" t="inlineStr">
        <is>
          <t>ARVIKA</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56060-2019</t>
        </is>
      </c>
      <c r="B1710" s="1" t="n">
        <v>43759</v>
      </c>
      <c r="C1710" s="1" t="n">
        <v>45810</v>
      </c>
      <c r="D1710" t="inlineStr">
        <is>
          <t>VÄRMLANDS LÄN</t>
        </is>
      </c>
      <c r="E1710" t="inlineStr">
        <is>
          <t>ÅRJÄNG</t>
        </is>
      </c>
      <c r="F1710" t="inlineStr">
        <is>
          <t>Bergvik skog väst AB</t>
        </is>
      </c>
      <c r="G1710" t="n">
        <v>10.2</v>
      </c>
      <c r="H1710" t="n">
        <v>0</v>
      </c>
      <c r="I1710" t="n">
        <v>0</v>
      </c>
      <c r="J1710" t="n">
        <v>0</v>
      </c>
      <c r="K1710" t="n">
        <v>0</v>
      </c>
      <c r="L1710" t="n">
        <v>0</v>
      </c>
      <c r="M1710" t="n">
        <v>0</v>
      </c>
      <c r="N1710" t="n">
        <v>0</v>
      </c>
      <c r="O1710" t="n">
        <v>0</v>
      </c>
      <c r="P1710" t="n">
        <v>0</v>
      </c>
      <c r="Q1710" t="n">
        <v>0</v>
      </c>
      <c r="R1710" s="2" t="inlineStr"/>
    </row>
    <row r="1711" ht="15" customHeight="1">
      <c r="A1711" t="inlineStr">
        <is>
          <t>A 56704-2019</t>
        </is>
      </c>
      <c r="B1711" s="1" t="n">
        <v>43759</v>
      </c>
      <c r="C1711" s="1" t="n">
        <v>45810</v>
      </c>
      <c r="D1711" t="inlineStr">
        <is>
          <t>VÄRMLANDS LÄN</t>
        </is>
      </c>
      <c r="E1711" t="inlineStr">
        <is>
          <t>TORSBY</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56863-2019</t>
        </is>
      </c>
      <c r="B1712" s="1" t="n">
        <v>43759</v>
      </c>
      <c r="C1712" s="1" t="n">
        <v>45810</v>
      </c>
      <c r="D1712" t="inlineStr">
        <is>
          <t>VÄRMLANDS LÄN</t>
        </is>
      </c>
      <c r="E1712" t="inlineStr">
        <is>
          <t>KARLSTAD</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57029-2019</t>
        </is>
      </c>
      <c r="B1713" s="1" t="n">
        <v>43759</v>
      </c>
      <c r="C1713" s="1" t="n">
        <v>45810</v>
      </c>
      <c r="D1713" t="inlineStr">
        <is>
          <t>VÄRMLANDS LÄN</t>
        </is>
      </c>
      <c r="E1713" t="inlineStr">
        <is>
          <t>KRISTINEHAMN</t>
        </is>
      </c>
      <c r="G1713" t="n">
        <v>3.6</v>
      </c>
      <c r="H1713" t="n">
        <v>0</v>
      </c>
      <c r="I1713" t="n">
        <v>0</v>
      </c>
      <c r="J1713" t="n">
        <v>0</v>
      </c>
      <c r="K1713" t="n">
        <v>0</v>
      </c>
      <c r="L1713" t="n">
        <v>0</v>
      </c>
      <c r="M1713" t="n">
        <v>0</v>
      </c>
      <c r="N1713" t="n">
        <v>0</v>
      </c>
      <c r="O1713" t="n">
        <v>0</v>
      </c>
      <c r="P1713" t="n">
        <v>0</v>
      </c>
      <c r="Q1713" t="n">
        <v>0</v>
      </c>
      <c r="R1713" s="2" t="inlineStr"/>
    </row>
    <row r="1714" ht="15" customHeight="1">
      <c r="A1714" t="inlineStr">
        <is>
          <t>A 57024-2019</t>
        </is>
      </c>
      <c r="B1714" s="1" t="n">
        <v>43759</v>
      </c>
      <c r="C1714" s="1" t="n">
        <v>45810</v>
      </c>
      <c r="D1714" t="inlineStr">
        <is>
          <t>VÄRMLANDS LÄN</t>
        </is>
      </c>
      <c r="E1714" t="inlineStr">
        <is>
          <t>KRISTINEHAMN</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55846-2019</t>
        </is>
      </c>
      <c r="B1715" s="1" t="n">
        <v>43759</v>
      </c>
      <c r="C1715" s="1" t="n">
        <v>45810</v>
      </c>
      <c r="D1715" t="inlineStr">
        <is>
          <t>VÄRMLANDS LÄN</t>
        </is>
      </c>
      <c r="E1715" t="inlineStr">
        <is>
          <t>KARLSTAD</t>
        </is>
      </c>
      <c r="F1715" t="inlineStr">
        <is>
          <t>Bergvik skog väst AB</t>
        </is>
      </c>
      <c r="G1715" t="n">
        <v>3.4</v>
      </c>
      <c r="H1715" t="n">
        <v>0</v>
      </c>
      <c r="I1715" t="n">
        <v>0</v>
      </c>
      <c r="J1715" t="n">
        <v>0</v>
      </c>
      <c r="K1715" t="n">
        <v>0</v>
      </c>
      <c r="L1715" t="n">
        <v>0</v>
      </c>
      <c r="M1715" t="n">
        <v>0</v>
      </c>
      <c r="N1715" t="n">
        <v>0</v>
      </c>
      <c r="O1715" t="n">
        <v>0</v>
      </c>
      <c r="P1715" t="n">
        <v>0</v>
      </c>
      <c r="Q1715" t="n">
        <v>0</v>
      </c>
      <c r="R1715" s="2" t="inlineStr"/>
    </row>
    <row r="1716" ht="15" customHeight="1">
      <c r="A1716" t="inlineStr">
        <is>
          <t>A 55608-2019</t>
        </is>
      </c>
      <c r="B1716" s="1" t="n">
        <v>43760</v>
      </c>
      <c r="C1716" s="1" t="n">
        <v>45810</v>
      </c>
      <c r="D1716" t="inlineStr">
        <is>
          <t>VÄRMLANDS LÄN</t>
        </is>
      </c>
      <c r="E1716" t="inlineStr">
        <is>
          <t>ARVIKA</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55431-2019</t>
        </is>
      </c>
      <c r="B1717" s="1" t="n">
        <v>43760</v>
      </c>
      <c r="C1717" s="1" t="n">
        <v>45810</v>
      </c>
      <c r="D1717" t="inlineStr">
        <is>
          <t>VÄRMLANDS LÄN</t>
        </is>
      </c>
      <c r="E1717" t="inlineStr">
        <is>
          <t>SUNNE</t>
        </is>
      </c>
      <c r="G1717" t="n">
        <v>7.2</v>
      </c>
      <c r="H1717" t="n">
        <v>0</v>
      </c>
      <c r="I1717" t="n">
        <v>0</v>
      </c>
      <c r="J1717" t="n">
        <v>0</v>
      </c>
      <c r="K1717" t="n">
        <v>0</v>
      </c>
      <c r="L1717" t="n">
        <v>0</v>
      </c>
      <c r="M1717" t="n">
        <v>0</v>
      </c>
      <c r="N1717" t="n">
        <v>0</v>
      </c>
      <c r="O1717" t="n">
        <v>0</v>
      </c>
      <c r="P1717" t="n">
        <v>0</v>
      </c>
      <c r="Q1717" t="n">
        <v>0</v>
      </c>
      <c r="R1717" s="2" t="inlineStr"/>
    </row>
    <row r="1718" ht="15" customHeight="1">
      <c r="A1718" t="inlineStr">
        <is>
          <t>A 55574-2019</t>
        </is>
      </c>
      <c r="B1718" s="1" t="n">
        <v>43760</v>
      </c>
      <c r="C1718" s="1" t="n">
        <v>45810</v>
      </c>
      <c r="D1718" t="inlineStr">
        <is>
          <t>VÄRMLANDS LÄN</t>
        </is>
      </c>
      <c r="E1718" t="inlineStr">
        <is>
          <t>KARLSTAD</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55575-2019</t>
        </is>
      </c>
      <c r="B1719" s="1" t="n">
        <v>43760</v>
      </c>
      <c r="C1719" s="1" t="n">
        <v>45810</v>
      </c>
      <c r="D1719" t="inlineStr">
        <is>
          <t>VÄRMLANDS LÄN</t>
        </is>
      </c>
      <c r="E1719" t="inlineStr">
        <is>
          <t>KARLSTAD</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57452-2019</t>
        </is>
      </c>
      <c r="B1720" s="1" t="n">
        <v>43760</v>
      </c>
      <c r="C1720" s="1" t="n">
        <v>45810</v>
      </c>
      <c r="D1720" t="inlineStr">
        <is>
          <t>VÄRMLANDS LÄN</t>
        </is>
      </c>
      <c r="E1720" t="inlineStr">
        <is>
          <t>SUNNE</t>
        </is>
      </c>
      <c r="G1720" t="n">
        <v>3.5</v>
      </c>
      <c r="H1720" t="n">
        <v>0</v>
      </c>
      <c r="I1720" t="n">
        <v>0</v>
      </c>
      <c r="J1720" t="n">
        <v>0</v>
      </c>
      <c r="K1720" t="n">
        <v>0</v>
      </c>
      <c r="L1720" t="n">
        <v>0</v>
      </c>
      <c r="M1720" t="n">
        <v>0</v>
      </c>
      <c r="N1720" t="n">
        <v>0</v>
      </c>
      <c r="O1720" t="n">
        <v>0</v>
      </c>
      <c r="P1720" t="n">
        <v>0</v>
      </c>
      <c r="Q1720" t="n">
        <v>0</v>
      </c>
      <c r="R1720" s="2" t="inlineStr"/>
    </row>
    <row r="1721" ht="15" customHeight="1">
      <c r="A1721" t="inlineStr">
        <is>
          <t>A 57456-2019</t>
        </is>
      </c>
      <c r="B1721" s="1" t="n">
        <v>43760</v>
      </c>
      <c r="C1721" s="1" t="n">
        <v>45810</v>
      </c>
      <c r="D1721" t="inlineStr">
        <is>
          <t>VÄRMLANDS LÄN</t>
        </is>
      </c>
      <c r="E1721" t="inlineStr">
        <is>
          <t>SUNNE</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55838-2019</t>
        </is>
      </c>
      <c r="B1722" s="1" t="n">
        <v>43761</v>
      </c>
      <c r="C1722" s="1" t="n">
        <v>45810</v>
      </c>
      <c r="D1722" t="inlineStr">
        <is>
          <t>VÄRMLANDS LÄN</t>
        </is>
      </c>
      <c r="E1722" t="inlineStr">
        <is>
          <t>FORSHAGA</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55919-2019</t>
        </is>
      </c>
      <c r="B1723" s="1" t="n">
        <v>43761</v>
      </c>
      <c r="C1723" s="1" t="n">
        <v>45810</v>
      </c>
      <c r="D1723" t="inlineStr">
        <is>
          <t>VÄRMLANDS LÄN</t>
        </is>
      </c>
      <c r="E1723" t="inlineStr">
        <is>
          <t>HAGFORS</t>
        </is>
      </c>
      <c r="F1723" t="inlineStr">
        <is>
          <t>Bergvik skog väst AB</t>
        </is>
      </c>
      <c r="G1723" t="n">
        <v>64.3</v>
      </c>
      <c r="H1723" t="n">
        <v>0</v>
      </c>
      <c r="I1723" t="n">
        <v>0</v>
      </c>
      <c r="J1723" t="n">
        <v>0</v>
      </c>
      <c r="K1723" t="n">
        <v>0</v>
      </c>
      <c r="L1723" t="n">
        <v>0</v>
      </c>
      <c r="M1723" t="n">
        <v>0</v>
      </c>
      <c r="N1723" t="n">
        <v>0</v>
      </c>
      <c r="O1723" t="n">
        <v>0</v>
      </c>
      <c r="P1723" t="n">
        <v>0</v>
      </c>
      <c r="Q1723" t="n">
        <v>0</v>
      </c>
      <c r="R1723" s="2" t="inlineStr"/>
    </row>
    <row r="1724" ht="15" customHeight="1">
      <c r="A1724" t="inlineStr">
        <is>
          <t>A 56131-2019</t>
        </is>
      </c>
      <c r="B1724" s="1" t="n">
        <v>43761</v>
      </c>
      <c r="C1724" s="1" t="n">
        <v>45810</v>
      </c>
      <c r="D1724" t="inlineStr">
        <is>
          <t>VÄRMLANDS LÄN</t>
        </is>
      </c>
      <c r="E1724" t="inlineStr">
        <is>
          <t>HAGFORS</t>
        </is>
      </c>
      <c r="F1724" t="inlineStr">
        <is>
          <t>Bergvik skog väst AB</t>
        </is>
      </c>
      <c r="G1724" t="n">
        <v>10.6</v>
      </c>
      <c r="H1724" t="n">
        <v>0</v>
      </c>
      <c r="I1724" t="n">
        <v>0</v>
      </c>
      <c r="J1724" t="n">
        <v>0</v>
      </c>
      <c r="K1724" t="n">
        <v>0</v>
      </c>
      <c r="L1724" t="n">
        <v>0</v>
      </c>
      <c r="M1724" t="n">
        <v>0</v>
      </c>
      <c r="N1724" t="n">
        <v>0</v>
      </c>
      <c r="O1724" t="n">
        <v>0</v>
      </c>
      <c r="P1724" t="n">
        <v>0</v>
      </c>
      <c r="Q1724" t="n">
        <v>0</v>
      </c>
      <c r="R1724" s="2" t="inlineStr"/>
    </row>
    <row r="1725" ht="15" customHeight="1">
      <c r="A1725" t="inlineStr">
        <is>
          <t>A 55773-2019</t>
        </is>
      </c>
      <c r="B1725" s="1" t="n">
        <v>43761</v>
      </c>
      <c r="C1725" s="1" t="n">
        <v>45810</v>
      </c>
      <c r="D1725" t="inlineStr">
        <is>
          <t>VÄRMLANDS LÄN</t>
        </is>
      </c>
      <c r="E1725" t="inlineStr">
        <is>
          <t>HAGFORS</t>
        </is>
      </c>
      <c r="F1725" t="inlineStr">
        <is>
          <t>Bergvik skog väst AB</t>
        </is>
      </c>
      <c r="G1725" t="n">
        <v>6</v>
      </c>
      <c r="H1725" t="n">
        <v>0</v>
      </c>
      <c r="I1725" t="n">
        <v>0</v>
      </c>
      <c r="J1725" t="n">
        <v>0</v>
      </c>
      <c r="K1725" t="n">
        <v>0</v>
      </c>
      <c r="L1725" t="n">
        <v>0</v>
      </c>
      <c r="M1725" t="n">
        <v>0</v>
      </c>
      <c r="N1725" t="n">
        <v>0</v>
      </c>
      <c r="O1725" t="n">
        <v>0</v>
      </c>
      <c r="P1725" t="n">
        <v>0</v>
      </c>
      <c r="Q1725" t="n">
        <v>0</v>
      </c>
      <c r="R1725" s="2" t="inlineStr"/>
    </row>
    <row r="1726" ht="15" customHeight="1">
      <c r="A1726" t="inlineStr">
        <is>
          <t>A 55927-2019</t>
        </is>
      </c>
      <c r="B1726" s="1" t="n">
        <v>43761</v>
      </c>
      <c r="C1726" s="1" t="n">
        <v>45810</v>
      </c>
      <c r="D1726" t="inlineStr">
        <is>
          <t>VÄRMLANDS LÄN</t>
        </is>
      </c>
      <c r="E1726" t="inlineStr">
        <is>
          <t>TORSBY</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56021-2019</t>
        </is>
      </c>
      <c r="B1727" s="1" t="n">
        <v>43761</v>
      </c>
      <c r="C1727" s="1" t="n">
        <v>45810</v>
      </c>
      <c r="D1727" t="inlineStr">
        <is>
          <t>VÄRMLANDS LÄN</t>
        </is>
      </c>
      <c r="E1727" t="inlineStr">
        <is>
          <t>TORSBY</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57771-2019</t>
        </is>
      </c>
      <c r="B1728" s="1" t="n">
        <v>43761</v>
      </c>
      <c r="C1728" s="1" t="n">
        <v>45810</v>
      </c>
      <c r="D1728" t="inlineStr">
        <is>
          <t>VÄRMLANDS LÄN</t>
        </is>
      </c>
      <c r="E1728" t="inlineStr">
        <is>
          <t>EDA</t>
        </is>
      </c>
      <c r="G1728" t="n">
        <v>4.8</v>
      </c>
      <c r="H1728" t="n">
        <v>0</v>
      </c>
      <c r="I1728" t="n">
        <v>0</v>
      </c>
      <c r="J1728" t="n">
        <v>0</v>
      </c>
      <c r="K1728" t="n">
        <v>0</v>
      </c>
      <c r="L1728" t="n">
        <v>0</v>
      </c>
      <c r="M1728" t="n">
        <v>0</v>
      </c>
      <c r="N1728" t="n">
        <v>0</v>
      </c>
      <c r="O1728" t="n">
        <v>0</v>
      </c>
      <c r="P1728" t="n">
        <v>0</v>
      </c>
      <c r="Q1728" t="n">
        <v>0</v>
      </c>
      <c r="R1728" s="2" t="inlineStr"/>
    </row>
    <row r="1729" ht="15" customHeight="1">
      <c r="A1729" t="inlineStr">
        <is>
          <t>A 55884-2019</t>
        </is>
      </c>
      <c r="B1729" s="1" t="n">
        <v>43761</v>
      </c>
      <c r="C1729" s="1" t="n">
        <v>45810</v>
      </c>
      <c r="D1729" t="inlineStr">
        <is>
          <t>VÄRMLANDS LÄN</t>
        </is>
      </c>
      <c r="E1729" t="inlineStr">
        <is>
          <t>HAGFORS</t>
        </is>
      </c>
      <c r="F1729" t="inlineStr">
        <is>
          <t>Bergvik skog väst AB</t>
        </is>
      </c>
      <c r="G1729" t="n">
        <v>5.4</v>
      </c>
      <c r="H1729" t="n">
        <v>0</v>
      </c>
      <c r="I1729" t="n">
        <v>0</v>
      </c>
      <c r="J1729" t="n">
        <v>0</v>
      </c>
      <c r="K1729" t="n">
        <v>0</v>
      </c>
      <c r="L1729" t="n">
        <v>0</v>
      </c>
      <c r="M1729" t="n">
        <v>0</v>
      </c>
      <c r="N1729" t="n">
        <v>0</v>
      </c>
      <c r="O1729" t="n">
        <v>0</v>
      </c>
      <c r="P1729" t="n">
        <v>0</v>
      </c>
      <c r="Q1729" t="n">
        <v>0</v>
      </c>
      <c r="R1729" s="2" t="inlineStr"/>
    </row>
    <row r="1730" ht="15" customHeight="1">
      <c r="A1730" t="inlineStr">
        <is>
          <t>A 55834-2019</t>
        </is>
      </c>
      <c r="B1730" s="1" t="n">
        <v>43761</v>
      </c>
      <c r="C1730" s="1" t="n">
        <v>45810</v>
      </c>
      <c r="D1730" t="inlineStr">
        <is>
          <t>VÄRMLANDS LÄN</t>
        </is>
      </c>
      <c r="E1730" t="inlineStr">
        <is>
          <t>FORSHAGA</t>
        </is>
      </c>
      <c r="G1730" t="n">
        <v>0.2</v>
      </c>
      <c r="H1730" t="n">
        <v>0</v>
      </c>
      <c r="I1730" t="n">
        <v>0</v>
      </c>
      <c r="J1730" t="n">
        <v>0</v>
      </c>
      <c r="K1730" t="n">
        <v>0</v>
      </c>
      <c r="L1730" t="n">
        <v>0</v>
      </c>
      <c r="M1730" t="n">
        <v>0</v>
      </c>
      <c r="N1730" t="n">
        <v>0</v>
      </c>
      <c r="O1730" t="n">
        <v>0</v>
      </c>
      <c r="P1730" t="n">
        <v>0</v>
      </c>
      <c r="Q1730" t="n">
        <v>0</v>
      </c>
      <c r="R1730" s="2" t="inlineStr"/>
    </row>
    <row r="1731" ht="15" customHeight="1">
      <c r="A1731" t="inlineStr">
        <is>
          <t>A 56206-2019</t>
        </is>
      </c>
      <c r="B1731" s="1" t="n">
        <v>43762</v>
      </c>
      <c r="C1731" s="1" t="n">
        <v>45810</v>
      </c>
      <c r="D1731" t="inlineStr">
        <is>
          <t>VÄRMLANDS LÄN</t>
        </is>
      </c>
      <c r="E1731" t="inlineStr">
        <is>
          <t>EDA</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56331-2019</t>
        </is>
      </c>
      <c r="B1732" s="1" t="n">
        <v>43762</v>
      </c>
      <c r="C1732" s="1" t="n">
        <v>45810</v>
      </c>
      <c r="D1732" t="inlineStr">
        <is>
          <t>VÄRMLANDS LÄN</t>
        </is>
      </c>
      <c r="E1732" t="inlineStr">
        <is>
          <t>ÅRJÄNG</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56323-2019</t>
        </is>
      </c>
      <c r="B1733" s="1" t="n">
        <v>43762</v>
      </c>
      <c r="C1733" s="1" t="n">
        <v>45810</v>
      </c>
      <c r="D1733" t="inlineStr">
        <is>
          <t>VÄRMLANDS LÄN</t>
        </is>
      </c>
      <c r="E1733" t="inlineStr">
        <is>
          <t>HAGFORS</t>
        </is>
      </c>
      <c r="F1733" t="inlineStr">
        <is>
          <t>Bergvik skog väst AB</t>
        </is>
      </c>
      <c r="G1733" t="n">
        <v>51.3</v>
      </c>
      <c r="H1733" t="n">
        <v>0</v>
      </c>
      <c r="I1733" t="n">
        <v>0</v>
      </c>
      <c r="J1733" t="n">
        <v>0</v>
      </c>
      <c r="K1733" t="n">
        <v>0</v>
      </c>
      <c r="L1733" t="n">
        <v>0</v>
      </c>
      <c r="M1733" t="n">
        <v>0</v>
      </c>
      <c r="N1733" t="n">
        <v>0</v>
      </c>
      <c r="O1733" t="n">
        <v>0</v>
      </c>
      <c r="P1733" t="n">
        <v>0</v>
      </c>
      <c r="Q1733" t="n">
        <v>0</v>
      </c>
      <c r="R1733" s="2" t="inlineStr"/>
    </row>
    <row r="1734" ht="15" customHeight="1">
      <c r="A1734" t="inlineStr">
        <is>
          <t>A 56391-2019</t>
        </is>
      </c>
      <c r="B1734" s="1" t="n">
        <v>43762</v>
      </c>
      <c r="C1734" s="1" t="n">
        <v>45810</v>
      </c>
      <c r="D1734" t="inlineStr">
        <is>
          <t>VÄRMLANDS LÄN</t>
        </is>
      </c>
      <c r="E1734" t="inlineStr">
        <is>
          <t>ARVIKA</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56265-2019</t>
        </is>
      </c>
      <c r="B1735" s="1" t="n">
        <v>43762</v>
      </c>
      <c r="C1735" s="1" t="n">
        <v>45810</v>
      </c>
      <c r="D1735" t="inlineStr">
        <is>
          <t>VÄRMLANDS LÄN</t>
        </is>
      </c>
      <c r="E1735" t="inlineStr">
        <is>
          <t>HAGFORS</t>
        </is>
      </c>
      <c r="F1735" t="inlineStr">
        <is>
          <t>Bergvik skog väst AB</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56298-2019</t>
        </is>
      </c>
      <c r="B1736" s="1" t="n">
        <v>43762</v>
      </c>
      <c r="C1736" s="1" t="n">
        <v>45810</v>
      </c>
      <c r="D1736" t="inlineStr">
        <is>
          <t>VÄRMLANDS LÄN</t>
        </is>
      </c>
      <c r="E1736" t="inlineStr">
        <is>
          <t>ÅRJÄNG</t>
        </is>
      </c>
      <c r="G1736" t="n">
        <v>5.9</v>
      </c>
      <c r="H1736" t="n">
        <v>0</v>
      </c>
      <c r="I1736" t="n">
        <v>0</v>
      </c>
      <c r="J1736" t="n">
        <v>0</v>
      </c>
      <c r="K1736" t="n">
        <v>0</v>
      </c>
      <c r="L1736" t="n">
        <v>0</v>
      </c>
      <c r="M1736" t="n">
        <v>0</v>
      </c>
      <c r="N1736" t="n">
        <v>0</v>
      </c>
      <c r="O1736" t="n">
        <v>0</v>
      </c>
      <c r="P1736" t="n">
        <v>0</v>
      </c>
      <c r="Q1736" t="n">
        <v>0</v>
      </c>
      <c r="R1736" s="2" t="inlineStr"/>
    </row>
    <row r="1737" ht="15" customHeight="1">
      <c r="A1737" t="inlineStr">
        <is>
          <t>A 56329-2019</t>
        </is>
      </c>
      <c r="B1737" s="1" t="n">
        <v>43762</v>
      </c>
      <c r="C1737" s="1" t="n">
        <v>45810</v>
      </c>
      <c r="D1737" t="inlineStr">
        <is>
          <t>VÄRMLANDS LÄN</t>
        </is>
      </c>
      <c r="E1737" t="inlineStr">
        <is>
          <t>ÅRJÄNG</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56305-2019</t>
        </is>
      </c>
      <c r="B1738" s="1" t="n">
        <v>43762</v>
      </c>
      <c r="C1738" s="1" t="n">
        <v>45810</v>
      </c>
      <c r="D1738" t="inlineStr">
        <is>
          <t>VÄRMLANDS LÄN</t>
        </is>
      </c>
      <c r="E1738" t="inlineStr">
        <is>
          <t>TORSBY</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56709-2019</t>
        </is>
      </c>
      <c r="B1739" s="1" t="n">
        <v>43763</v>
      </c>
      <c r="C1739" s="1" t="n">
        <v>45810</v>
      </c>
      <c r="D1739" t="inlineStr">
        <is>
          <t>VÄRMLANDS LÄN</t>
        </is>
      </c>
      <c r="E1739" t="inlineStr">
        <is>
          <t>EDA</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56723-2019</t>
        </is>
      </c>
      <c r="B1740" s="1" t="n">
        <v>43763</v>
      </c>
      <c r="C1740" s="1" t="n">
        <v>45810</v>
      </c>
      <c r="D1740" t="inlineStr">
        <is>
          <t>VÄRMLANDS LÄN</t>
        </is>
      </c>
      <c r="E1740" t="inlineStr">
        <is>
          <t>SUNNE</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56594-2019</t>
        </is>
      </c>
      <c r="B1741" s="1" t="n">
        <v>43763</v>
      </c>
      <c r="C1741" s="1" t="n">
        <v>45810</v>
      </c>
      <c r="D1741" t="inlineStr">
        <is>
          <t>VÄRMLANDS LÄN</t>
        </is>
      </c>
      <c r="E1741" t="inlineStr">
        <is>
          <t>TORSBY</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57788-2019</t>
        </is>
      </c>
      <c r="B1742" s="1" t="n">
        <v>43763</v>
      </c>
      <c r="C1742" s="1" t="n">
        <v>45810</v>
      </c>
      <c r="D1742" t="inlineStr">
        <is>
          <t>VÄRMLANDS LÄN</t>
        </is>
      </c>
      <c r="E1742" t="inlineStr">
        <is>
          <t>EDA</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57720-2019</t>
        </is>
      </c>
      <c r="B1743" s="1" t="n">
        <v>43763</v>
      </c>
      <c r="C1743" s="1" t="n">
        <v>45810</v>
      </c>
      <c r="D1743" t="inlineStr">
        <is>
          <t>VÄRMLANDS LÄN</t>
        </is>
      </c>
      <c r="E1743" t="inlineStr">
        <is>
          <t>KRISTINEHAMN</t>
        </is>
      </c>
      <c r="G1743" t="n">
        <v>3.2</v>
      </c>
      <c r="H1743" t="n">
        <v>0</v>
      </c>
      <c r="I1743" t="n">
        <v>0</v>
      </c>
      <c r="J1743" t="n">
        <v>0</v>
      </c>
      <c r="K1743" t="n">
        <v>0</v>
      </c>
      <c r="L1743" t="n">
        <v>0</v>
      </c>
      <c r="M1743" t="n">
        <v>0</v>
      </c>
      <c r="N1743" t="n">
        <v>0</v>
      </c>
      <c r="O1743" t="n">
        <v>0</v>
      </c>
      <c r="P1743" t="n">
        <v>0</v>
      </c>
      <c r="Q1743" t="n">
        <v>0</v>
      </c>
      <c r="R1743" s="2" t="inlineStr"/>
    </row>
    <row r="1744" ht="15" customHeight="1">
      <c r="A1744" t="inlineStr">
        <is>
          <t>A 57790-2019</t>
        </is>
      </c>
      <c r="B1744" s="1" t="n">
        <v>43763</v>
      </c>
      <c r="C1744" s="1" t="n">
        <v>45810</v>
      </c>
      <c r="D1744" t="inlineStr">
        <is>
          <t>VÄRMLANDS LÄN</t>
        </is>
      </c>
      <c r="E1744" t="inlineStr">
        <is>
          <t>EDA</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56760-2019</t>
        </is>
      </c>
      <c r="B1745" s="1" t="n">
        <v>43763</v>
      </c>
      <c r="C1745" s="1" t="n">
        <v>45810</v>
      </c>
      <c r="D1745" t="inlineStr">
        <is>
          <t>VÄRMLANDS LÄN</t>
        </is>
      </c>
      <c r="E1745" t="inlineStr">
        <is>
          <t>KRISTINEHAMN</t>
        </is>
      </c>
      <c r="G1745" t="n">
        <v>5.5</v>
      </c>
      <c r="H1745" t="n">
        <v>0</v>
      </c>
      <c r="I1745" t="n">
        <v>0</v>
      </c>
      <c r="J1745" t="n">
        <v>0</v>
      </c>
      <c r="K1745" t="n">
        <v>0</v>
      </c>
      <c r="L1745" t="n">
        <v>0</v>
      </c>
      <c r="M1745" t="n">
        <v>0</v>
      </c>
      <c r="N1745" t="n">
        <v>0</v>
      </c>
      <c r="O1745" t="n">
        <v>0</v>
      </c>
      <c r="P1745" t="n">
        <v>0</v>
      </c>
      <c r="Q1745" t="n">
        <v>0</v>
      </c>
      <c r="R1745" s="2" t="inlineStr"/>
    </row>
    <row r="1746" ht="15" customHeight="1">
      <c r="A1746" t="inlineStr">
        <is>
          <t>A 56570-2019</t>
        </is>
      </c>
      <c r="B1746" s="1" t="n">
        <v>43763</v>
      </c>
      <c r="C1746" s="1" t="n">
        <v>45810</v>
      </c>
      <c r="D1746" t="inlineStr">
        <is>
          <t>VÄRMLANDS LÄN</t>
        </is>
      </c>
      <c r="E1746" t="inlineStr">
        <is>
          <t>KRISTINEHAMN</t>
        </is>
      </c>
      <c r="G1746" t="n">
        <v>3.2</v>
      </c>
      <c r="H1746" t="n">
        <v>0</v>
      </c>
      <c r="I1746" t="n">
        <v>0</v>
      </c>
      <c r="J1746" t="n">
        <v>0</v>
      </c>
      <c r="K1746" t="n">
        <v>0</v>
      </c>
      <c r="L1746" t="n">
        <v>0</v>
      </c>
      <c r="M1746" t="n">
        <v>0</v>
      </c>
      <c r="N1746" t="n">
        <v>0</v>
      </c>
      <c r="O1746" t="n">
        <v>0</v>
      </c>
      <c r="P1746" t="n">
        <v>0</v>
      </c>
      <c r="Q1746" t="n">
        <v>0</v>
      </c>
      <c r="R1746" s="2" t="inlineStr"/>
    </row>
    <row r="1747" ht="15" customHeight="1">
      <c r="A1747" t="inlineStr">
        <is>
          <t>A 56633-2019</t>
        </is>
      </c>
      <c r="B1747" s="1" t="n">
        <v>43763</v>
      </c>
      <c r="C1747" s="1" t="n">
        <v>45810</v>
      </c>
      <c r="D1747" t="inlineStr">
        <is>
          <t>VÄRMLANDS LÄN</t>
        </is>
      </c>
      <c r="E1747" t="inlineStr">
        <is>
          <t>TORSBY</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56824-2019</t>
        </is>
      </c>
      <c r="B1748" s="1" t="n">
        <v>43764</v>
      </c>
      <c r="C1748" s="1" t="n">
        <v>45810</v>
      </c>
      <c r="D1748" t="inlineStr">
        <is>
          <t>VÄRMLANDS LÄN</t>
        </is>
      </c>
      <c r="E1748" t="inlineStr">
        <is>
          <t>TORSBY</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56825-2019</t>
        </is>
      </c>
      <c r="B1749" s="1" t="n">
        <v>43764</v>
      </c>
      <c r="C1749" s="1" t="n">
        <v>45810</v>
      </c>
      <c r="D1749" t="inlineStr">
        <is>
          <t>VÄRMLANDS LÄN</t>
        </is>
      </c>
      <c r="E1749" t="inlineStr">
        <is>
          <t>FORSHAGA</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57003-2019</t>
        </is>
      </c>
      <c r="B1750" s="1" t="n">
        <v>43766</v>
      </c>
      <c r="C1750" s="1" t="n">
        <v>45810</v>
      </c>
      <c r="D1750" t="inlineStr">
        <is>
          <t>VÄRMLANDS LÄN</t>
        </is>
      </c>
      <c r="E1750" t="inlineStr">
        <is>
          <t>ÅRJÄNG</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56914-2019</t>
        </is>
      </c>
      <c r="B1751" s="1" t="n">
        <v>43766</v>
      </c>
      <c r="C1751" s="1" t="n">
        <v>45810</v>
      </c>
      <c r="D1751" t="inlineStr">
        <is>
          <t>VÄRMLANDS LÄN</t>
        </is>
      </c>
      <c r="E1751" t="inlineStr">
        <is>
          <t>EDA</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56935-2019</t>
        </is>
      </c>
      <c r="B1752" s="1" t="n">
        <v>43766</v>
      </c>
      <c r="C1752" s="1" t="n">
        <v>45810</v>
      </c>
      <c r="D1752" t="inlineStr">
        <is>
          <t>VÄRMLANDS LÄN</t>
        </is>
      </c>
      <c r="E1752" t="inlineStr">
        <is>
          <t>TORSBY</t>
        </is>
      </c>
      <c r="F1752" t="inlineStr">
        <is>
          <t>Bergvik skog väst AB</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58104-2019</t>
        </is>
      </c>
      <c r="B1753" s="1" t="n">
        <v>43766</v>
      </c>
      <c r="C1753" s="1" t="n">
        <v>45810</v>
      </c>
      <c r="D1753" t="inlineStr">
        <is>
          <t>VÄRMLANDS LÄN</t>
        </is>
      </c>
      <c r="E1753" t="inlineStr">
        <is>
          <t>SÄFFLE</t>
        </is>
      </c>
      <c r="G1753" t="n">
        <v>6</v>
      </c>
      <c r="H1753" t="n">
        <v>0</v>
      </c>
      <c r="I1753" t="n">
        <v>0</v>
      </c>
      <c r="J1753" t="n">
        <v>0</v>
      </c>
      <c r="K1753" t="n">
        <v>0</v>
      </c>
      <c r="L1753" t="n">
        <v>0</v>
      </c>
      <c r="M1753" t="n">
        <v>0</v>
      </c>
      <c r="N1753" t="n">
        <v>0</v>
      </c>
      <c r="O1753" t="n">
        <v>0</v>
      </c>
      <c r="P1753" t="n">
        <v>0</v>
      </c>
      <c r="Q1753" t="n">
        <v>0</v>
      </c>
      <c r="R1753" s="2" t="inlineStr"/>
    </row>
    <row r="1754" ht="15" customHeight="1">
      <c r="A1754" t="inlineStr">
        <is>
          <t>A 57399-2019</t>
        </is>
      </c>
      <c r="B1754" s="1" t="n">
        <v>43767</v>
      </c>
      <c r="C1754" s="1" t="n">
        <v>45810</v>
      </c>
      <c r="D1754" t="inlineStr">
        <is>
          <t>VÄRMLANDS LÄN</t>
        </is>
      </c>
      <c r="E1754" t="inlineStr">
        <is>
          <t>TORSBY</t>
        </is>
      </c>
      <c r="F1754" t="inlineStr">
        <is>
          <t>Bergvik skog väst AB</t>
        </is>
      </c>
      <c r="G1754" t="n">
        <v>18.9</v>
      </c>
      <c r="H1754" t="n">
        <v>0</v>
      </c>
      <c r="I1754" t="n">
        <v>0</v>
      </c>
      <c r="J1754" t="n">
        <v>0</v>
      </c>
      <c r="K1754" t="n">
        <v>0</v>
      </c>
      <c r="L1754" t="n">
        <v>0</v>
      </c>
      <c r="M1754" t="n">
        <v>0</v>
      </c>
      <c r="N1754" t="n">
        <v>0</v>
      </c>
      <c r="O1754" t="n">
        <v>0</v>
      </c>
      <c r="P1754" t="n">
        <v>0</v>
      </c>
      <c r="Q1754" t="n">
        <v>0</v>
      </c>
      <c r="R1754" s="2" t="inlineStr"/>
    </row>
    <row r="1755" ht="15" customHeight="1">
      <c r="A1755" t="inlineStr">
        <is>
          <t>A 57251-2019</t>
        </is>
      </c>
      <c r="B1755" s="1" t="n">
        <v>43767</v>
      </c>
      <c r="C1755" s="1" t="n">
        <v>45810</v>
      </c>
      <c r="D1755" t="inlineStr">
        <is>
          <t>VÄRMLANDS LÄN</t>
        </is>
      </c>
      <c r="E1755" t="inlineStr">
        <is>
          <t>TORSBY</t>
        </is>
      </c>
      <c r="F1755" t="inlineStr">
        <is>
          <t>Bergvik skog väst AB</t>
        </is>
      </c>
      <c r="G1755" t="n">
        <v>4.3</v>
      </c>
      <c r="H1755" t="n">
        <v>0</v>
      </c>
      <c r="I1755" t="n">
        <v>0</v>
      </c>
      <c r="J1755" t="n">
        <v>0</v>
      </c>
      <c r="K1755" t="n">
        <v>0</v>
      </c>
      <c r="L1755" t="n">
        <v>0</v>
      </c>
      <c r="M1755" t="n">
        <v>0</v>
      </c>
      <c r="N1755" t="n">
        <v>0</v>
      </c>
      <c r="O1755" t="n">
        <v>0</v>
      </c>
      <c r="P1755" t="n">
        <v>0</v>
      </c>
      <c r="Q1755" t="n">
        <v>0</v>
      </c>
      <c r="R1755" s="2" t="inlineStr"/>
    </row>
    <row r="1756" ht="15" customHeight="1">
      <c r="A1756" t="inlineStr">
        <is>
          <t>A 57301-2019</t>
        </is>
      </c>
      <c r="B1756" s="1" t="n">
        <v>43767</v>
      </c>
      <c r="C1756" s="1" t="n">
        <v>45810</v>
      </c>
      <c r="D1756" t="inlineStr">
        <is>
          <t>VÄRMLANDS LÄN</t>
        </is>
      </c>
      <c r="E1756" t="inlineStr">
        <is>
          <t>TORSBY</t>
        </is>
      </c>
      <c r="G1756" t="n">
        <v>3.6</v>
      </c>
      <c r="H1756" t="n">
        <v>0</v>
      </c>
      <c r="I1756" t="n">
        <v>0</v>
      </c>
      <c r="J1756" t="n">
        <v>0</v>
      </c>
      <c r="K1756" t="n">
        <v>0</v>
      </c>
      <c r="L1756" t="n">
        <v>0</v>
      </c>
      <c r="M1756" t="n">
        <v>0</v>
      </c>
      <c r="N1756" t="n">
        <v>0</v>
      </c>
      <c r="O1756" t="n">
        <v>0</v>
      </c>
      <c r="P1756" t="n">
        <v>0</v>
      </c>
      <c r="Q1756" t="n">
        <v>0</v>
      </c>
      <c r="R1756" s="2" t="inlineStr"/>
    </row>
    <row r="1757" ht="15" customHeight="1">
      <c r="A1757" t="inlineStr">
        <is>
          <t>A 57268-2019</t>
        </is>
      </c>
      <c r="B1757" s="1" t="n">
        <v>43767</v>
      </c>
      <c r="C1757" s="1" t="n">
        <v>45810</v>
      </c>
      <c r="D1757" t="inlineStr">
        <is>
          <t>VÄRMLANDS LÄN</t>
        </is>
      </c>
      <c r="E1757" t="inlineStr">
        <is>
          <t>TORSBY</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57331-2019</t>
        </is>
      </c>
      <c r="B1758" s="1" t="n">
        <v>43767</v>
      </c>
      <c r="C1758" s="1" t="n">
        <v>45810</v>
      </c>
      <c r="D1758" t="inlineStr">
        <is>
          <t>VÄRMLANDS LÄN</t>
        </is>
      </c>
      <c r="E1758" t="inlineStr">
        <is>
          <t>KARLSTAD</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57350-2019</t>
        </is>
      </c>
      <c r="B1759" s="1" t="n">
        <v>43767</v>
      </c>
      <c r="C1759" s="1" t="n">
        <v>45810</v>
      </c>
      <c r="D1759" t="inlineStr">
        <is>
          <t>VÄRMLANDS LÄN</t>
        </is>
      </c>
      <c r="E1759" t="inlineStr">
        <is>
          <t>ARVIKA</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57380-2019</t>
        </is>
      </c>
      <c r="B1760" s="1" t="n">
        <v>43767</v>
      </c>
      <c r="C1760" s="1" t="n">
        <v>45810</v>
      </c>
      <c r="D1760" t="inlineStr">
        <is>
          <t>VÄRMLANDS LÄN</t>
        </is>
      </c>
      <c r="E1760" t="inlineStr">
        <is>
          <t>KRISTINEHAMN</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58530-2019</t>
        </is>
      </c>
      <c r="B1761" s="1" t="n">
        <v>43767</v>
      </c>
      <c r="C1761" s="1" t="n">
        <v>45810</v>
      </c>
      <c r="D1761" t="inlineStr">
        <is>
          <t>VÄRMLANDS LÄN</t>
        </is>
      </c>
      <c r="E1761" t="inlineStr">
        <is>
          <t>TORSBY</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57223-2019</t>
        </is>
      </c>
      <c r="B1762" s="1" t="n">
        <v>43767</v>
      </c>
      <c r="C1762" s="1" t="n">
        <v>45810</v>
      </c>
      <c r="D1762" t="inlineStr">
        <is>
          <t>VÄRMLANDS LÄN</t>
        </is>
      </c>
      <c r="E1762" t="inlineStr">
        <is>
          <t>TORSBY</t>
        </is>
      </c>
      <c r="F1762" t="inlineStr">
        <is>
          <t>Bergvik skog väst AB</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58898-2019</t>
        </is>
      </c>
      <c r="B1763" s="1" t="n">
        <v>43768</v>
      </c>
      <c r="C1763" s="1" t="n">
        <v>45810</v>
      </c>
      <c r="D1763" t="inlineStr">
        <is>
          <t>VÄRMLANDS LÄN</t>
        </is>
      </c>
      <c r="E1763" t="inlineStr">
        <is>
          <t>GRUMS</t>
        </is>
      </c>
      <c r="F1763" t="inlineStr">
        <is>
          <t>Bergvik skog väst AB</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57566-2019</t>
        </is>
      </c>
      <c r="B1764" s="1" t="n">
        <v>43768</v>
      </c>
      <c r="C1764" s="1" t="n">
        <v>45810</v>
      </c>
      <c r="D1764" t="inlineStr">
        <is>
          <t>VÄRMLANDS LÄN</t>
        </is>
      </c>
      <c r="E1764" t="inlineStr">
        <is>
          <t>TORSBY</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58705-2019</t>
        </is>
      </c>
      <c r="B1765" s="1" t="n">
        <v>43768</v>
      </c>
      <c r="C1765" s="1" t="n">
        <v>45810</v>
      </c>
      <c r="D1765" t="inlineStr">
        <is>
          <t>VÄRMLANDS LÄN</t>
        </is>
      </c>
      <c r="E1765" t="inlineStr">
        <is>
          <t>EDA</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58858-2019</t>
        </is>
      </c>
      <c r="B1766" s="1" t="n">
        <v>43768</v>
      </c>
      <c r="C1766" s="1" t="n">
        <v>45810</v>
      </c>
      <c r="D1766" t="inlineStr">
        <is>
          <t>VÄRMLANDS LÄN</t>
        </is>
      </c>
      <c r="E1766" t="inlineStr">
        <is>
          <t>GRUMS</t>
        </is>
      </c>
      <c r="F1766" t="inlineStr">
        <is>
          <t>Bergvik skog väst AB</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58709-2019</t>
        </is>
      </c>
      <c r="B1767" s="1" t="n">
        <v>43768</v>
      </c>
      <c r="C1767" s="1" t="n">
        <v>45810</v>
      </c>
      <c r="D1767" t="inlineStr">
        <is>
          <t>VÄRMLANDS LÄN</t>
        </is>
      </c>
      <c r="E1767" t="inlineStr">
        <is>
          <t>EDA</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58946-2019</t>
        </is>
      </c>
      <c r="B1768" s="1" t="n">
        <v>43768</v>
      </c>
      <c r="C1768" s="1" t="n">
        <v>45810</v>
      </c>
      <c r="D1768" t="inlineStr">
        <is>
          <t>VÄRMLANDS LÄN</t>
        </is>
      </c>
      <c r="E1768" t="inlineStr">
        <is>
          <t>SÄFFLE</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59037-2019</t>
        </is>
      </c>
      <c r="B1769" s="1" t="n">
        <v>43768</v>
      </c>
      <c r="C1769" s="1" t="n">
        <v>45810</v>
      </c>
      <c r="D1769" t="inlineStr">
        <is>
          <t>VÄRMLANDS LÄN</t>
        </is>
      </c>
      <c r="E1769" t="inlineStr">
        <is>
          <t>ÅRJÄNG</t>
        </is>
      </c>
      <c r="F1769" t="inlineStr">
        <is>
          <t>Övriga Aktiebolag</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57704-2019</t>
        </is>
      </c>
      <c r="B1770" s="1" t="n">
        <v>43768</v>
      </c>
      <c r="C1770" s="1" t="n">
        <v>45810</v>
      </c>
      <c r="D1770" t="inlineStr">
        <is>
          <t>VÄRMLANDS LÄN</t>
        </is>
      </c>
      <c r="E1770" t="inlineStr">
        <is>
          <t>TORSBY</t>
        </is>
      </c>
      <c r="F1770" t="inlineStr">
        <is>
          <t>Kommuner</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57565-2019</t>
        </is>
      </c>
      <c r="B1771" s="1" t="n">
        <v>43768</v>
      </c>
      <c r="C1771" s="1" t="n">
        <v>45810</v>
      </c>
      <c r="D1771" t="inlineStr">
        <is>
          <t>VÄRMLANDS LÄN</t>
        </is>
      </c>
      <c r="E1771" t="inlineStr">
        <is>
          <t>TORSBY</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58880-2019</t>
        </is>
      </c>
      <c r="B1772" s="1" t="n">
        <v>43768</v>
      </c>
      <c r="C1772" s="1" t="n">
        <v>45810</v>
      </c>
      <c r="D1772" t="inlineStr">
        <is>
          <t>VÄRMLANDS LÄN</t>
        </is>
      </c>
      <c r="E1772" t="inlineStr">
        <is>
          <t>GRUMS</t>
        </is>
      </c>
      <c r="F1772" t="inlineStr">
        <is>
          <t>Bergvik skog väst AB</t>
        </is>
      </c>
      <c r="G1772" t="n">
        <v>13.1</v>
      </c>
      <c r="H1772" t="n">
        <v>0</v>
      </c>
      <c r="I1772" t="n">
        <v>0</v>
      </c>
      <c r="J1772" t="n">
        <v>0</v>
      </c>
      <c r="K1772" t="n">
        <v>0</v>
      </c>
      <c r="L1772" t="n">
        <v>0</v>
      </c>
      <c r="M1772" t="n">
        <v>0</v>
      </c>
      <c r="N1772" t="n">
        <v>0</v>
      </c>
      <c r="O1772" t="n">
        <v>0</v>
      </c>
      <c r="P1772" t="n">
        <v>0</v>
      </c>
      <c r="Q1772" t="n">
        <v>0</v>
      </c>
      <c r="R1772" s="2" t="inlineStr"/>
    </row>
    <row r="1773" ht="15" customHeight="1">
      <c r="A1773" t="inlineStr">
        <is>
          <t>A 57632-2019</t>
        </is>
      </c>
      <c r="B1773" s="1" t="n">
        <v>43768</v>
      </c>
      <c r="C1773" s="1" t="n">
        <v>45810</v>
      </c>
      <c r="D1773" t="inlineStr">
        <is>
          <t>VÄRMLANDS LÄN</t>
        </is>
      </c>
      <c r="E1773" t="inlineStr">
        <is>
          <t>EDA</t>
        </is>
      </c>
      <c r="G1773" t="n">
        <v>7.5</v>
      </c>
      <c r="H1773" t="n">
        <v>0</v>
      </c>
      <c r="I1773" t="n">
        <v>0</v>
      </c>
      <c r="J1773" t="n">
        <v>0</v>
      </c>
      <c r="K1773" t="n">
        <v>0</v>
      </c>
      <c r="L1773" t="n">
        <v>0</v>
      </c>
      <c r="M1773" t="n">
        <v>0</v>
      </c>
      <c r="N1773" t="n">
        <v>0</v>
      </c>
      <c r="O1773" t="n">
        <v>0</v>
      </c>
      <c r="P1773" t="n">
        <v>0</v>
      </c>
      <c r="Q1773" t="n">
        <v>0</v>
      </c>
      <c r="R1773" s="2" t="inlineStr"/>
    </row>
    <row r="1774" ht="15" customHeight="1">
      <c r="A1774" t="inlineStr">
        <is>
          <t>A 57888-2019</t>
        </is>
      </c>
      <c r="B1774" s="1" t="n">
        <v>43769</v>
      </c>
      <c r="C1774" s="1" t="n">
        <v>45810</v>
      </c>
      <c r="D1774" t="inlineStr">
        <is>
          <t>VÄRMLANDS LÄN</t>
        </is>
      </c>
      <c r="E1774" t="inlineStr">
        <is>
          <t>ÅRJÄNG</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58055-2019</t>
        </is>
      </c>
      <c r="B1775" s="1" t="n">
        <v>43769</v>
      </c>
      <c r="C1775" s="1" t="n">
        <v>45810</v>
      </c>
      <c r="D1775" t="inlineStr">
        <is>
          <t>VÄRMLANDS LÄN</t>
        </is>
      </c>
      <c r="E1775" t="inlineStr">
        <is>
          <t>EDA</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58130-2019</t>
        </is>
      </c>
      <c r="B1776" s="1" t="n">
        <v>43769</v>
      </c>
      <c r="C1776" s="1" t="n">
        <v>45810</v>
      </c>
      <c r="D1776" t="inlineStr">
        <is>
          <t>VÄRMLANDS LÄN</t>
        </is>
      </c>
      <c r="E1776" t="inlineStr">
        <is>
          <t>ARVIKA</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58004-2019</t>
        </is>
      </c>
      <c r="B1777" s="1" t="n">
        <v>43769</v>
      </c>
      <c r="C1777" s="1" t="n">
        <v>45810</v>
      </c>
      <c r="D1777" t="inlineStr">
        <is>
          <t>VÄRMLANDS LÄN</t>
        </is>
      </c>
      <c r="E1777" t="inlineStr">
        <is>
          <t>TORSBY</t>
        </is>
      </c>
      <c r="F1777" t="inlineStr">
        <is>
          <t>Bergvik skog väst AB</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58944-2019</t>
        </is>
      </c>
      <c r="B1778" s="1" t="n">
        <v>43769</v>
      </c>
      <c r="C1778" s="1" t="n">
        <v>45810</v>
      </c>
      <c r="D1778" t="inlineStr">
        <is>
          <t>VÄRMLANDS LÄN</t>
        </is>
      </c>
      <c r="E1778" t="inlineStr">
        <is>
          <t>SUNNE</t>
        </is>
      </c>
      <c r="G1778" t="n">
        <v>3.3</v>
      </c>
      <c r="H1778" t="n">
        <v>0</v>
      </c>
      <c r="I1778" t="n">
        <v>0</v>
      </c>
      <c r="J1778" t="n">
        <v>0</v>
      </c>
      <c r="K1778" t="n">
        <v>0</v>
      </c>
      <c r="L1778" t="n">
        <v>0</v>
      </c>
      <c r="M1778" t="n">
        <v>0</v>
      </c>
      <c r="N1778" t="n">
        <v>0</v>
      </c>
      <c r="O1778" t="n">
        <v>0</v>
      </c>
      <c r="P1778" t="n">
        <v>0</v>
      </c>
      <c r="Q1778" t="n">
        <v>0</v>
      </c>
      <c r="R1778" s="2" t="inlineStr"/>
    </row>
    <row r="1779" ht="15" customHeight="1">
      <c r="A1779" t="inlineStr">
        <is>
          <t>A 58221-2019</t>
        </is>
      </c>
      <c r="B1779" s="1" t="n">
        <v>43770</v>
      </c>
      <c r="C1779" s="1" t="n">
        <v>45810</v>
      </c>
      <c r="D1779" t="inlineStr">
        <is>
          <t>VÄRMLANDS LÄN</t>
        </is>
      </c>
      <c r="E1779" t="inlineStr">
        <is>
          <t>ÅRJÄNG</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58306-2019</t>
        </is>
      </c>
      <c r="B1780" s="1" t="n">
        <v>43770</v>
      </c>
      <c r="C1780" s="1" t="n">
        <v>45810</v>
      </c>
      <c r="D1780" t="inlineStr">
        <is>
          <t>VÄRMLANDS LÄN</t>
        </is>
      </c>
      <c r="E1780" t="inlineStr">
        <is>
          <t>EDA</t>
        </is>
      </c>
      <c r="G1780" t="n">
        <v>0.2</v>
      </c>
      <c r="H1780" t="n">
        <v>0</v>
      </c>
      <c r="I1780" t="n">
        <v>0</v>
      </c>
      <c r="J1780" t="n">
        <v>0</v>
      </c>
      <c r="K1780" t="n">
        <v>0</v>
      </c>
      <c r="L1780" t="n">
        <v>0</v>
      </c>
      <c r="M1780" t="n">
        <v>0</v>
      </c>
      <c r="N1780" t="n">
        <v>0</v>
      </c>
      <c r="O1780" t="n">
        <v>0</v>
      </c>
      <c r="P1780" t="n">
        <v>0</v>
      </c>
      <c r="Q1780" t="n">
        <v>0</v>
      </c>
      <c r="R1780" s="2" t="inlineStr"/>
    </row>
    <row r="1781" ht="15" customHeight="1">
      <c r="A1781" t="inlineStr">
        <is>
          <t>A 58299-2019</t>
        </is>
      </c>
      <c r="B1781" s="1" t="n">
        <v>43770</v>
      </c>
      <c r="C1781" s="1" t="n">
        <v>45810</v>
      </c>
      <c r="D1781" t="inlineStr">
        <is>
          <t>VÄRMLANDS LÄN</t>
        </is>
      </c>
      <c r="E1781" t="inlineStr">
        <is>
          <t>EDA</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58309-2019</t>
        </is>
      </c>
      <c r="B1782" s="1" t="n">
        <v>43770</v>
      </c>
      <c r="C1782" s="1" t="n">
        <v>45810</v>
      </c>
      <c r="D1782" t="inlineStr">
        <is>
          <t>VÄRMLANDS LÄN</t>
        </is>
      </c>
      <c r="E1782" t="inlineStr">
        <is>
          <t>EDA</t>
        </is>
      </c>
      <c r="G1782" t="n">
        <v>0.3</v>
      </c>
      <c r="H1782" t="n">
        <v>0</v>
      </c>
      <c r="I1782" t="n">
        <v>0</v>
      </c>
      <c r="J1782" t="n">
        <v>0</v>
      </c>
      <c r="K1782" t="n">
        <v>0</v>
      </c>
      <c r="L1782" t="n">
        <v>0</v>
      </c>
      <c r="M1782" t="n">
        <v>0</v>
      </c>
      <c r="N1782" t="n">
        <v>0</v>
      </c>
      <c r="O1782" t="n">
        <v>0</v>
      </c>
      <c r="P1782" t="n">
        <v>0</v>
      </c>
      <c r="Q1782" t="n">
        <v>0</v>
      </c>
      <c r="R1782" s="2" t="inlineStr"/>
    </row>
    <row r="1783" ht="15" customHeight="1">
      <c r="A1783" t="inlineStr">
        <is>
          <t>A 59141-2019</t>
        </is>
      </c>
      <c r="B1783" s="1" t="n">
        <v>43770</v>
      </c>
      <c r="C1783" s="1" t="n">
        <v>45810</v>
      </c>
      <c r="D1783" t="inlineStr">
        <is>
          <t>VÄRMLANDS LÄN</t>
        </is>
      </c>
      <c r="E1783" t="inlineStr">
        <is>
          <t>HAGFORS</t>
        </is>
      </c>
      <c r="F1783" t="inlineStr">
        <is>
          <t>Kyrkan</t>
        </is>
      </c>
      <c r="G1783" t="n">
        <v>4.5</v>
      </c>
      <c r="H1783" t="n">
        <v>0</v>
      </c>
      <c r="I1783" t="n">
        <v>0</v>
      </c>
      <c r="J1783" t="n">
        <v>0</v>
      </c>
      <c r="K1783" t="n">
        <v>0</v>
      </c>
      <c r="L1783" t="n">
        <v>0</v>
      </c>
      <c r="M1783" t="n">
        <v>0</v>
      </c>
      <c r="N1783" t="n">
        <v>0</v>
      </c>
      <c r="O1783" t="n">
        <v>0</v>
      </c>
      <c r="P1783" t="n">
        <v>0</v>
      </c>
      <c r="Q1783" t="n">
        <v>0</v>
      </c>
      <c r="R1783" s="2" t="inlineStr"/>
    </row>
    <row r="1784" ht="15" customHeight="1">
      <c r="A1784" t="inlineStr">
        <is>
          <t>A 59213-2019</t>
        </is>
      </c>
      <c r="B1784" s="1" t="n">
        <v>43770</v>
      </c>
      <c r="C1784" s="1" t="n">
        <v>45810</v>
      </c>
      <c r="D1784" t="inlineStr">
        <is>
          <t>VÄRMLANDS LÄN</t>
        </is>
      </c>
      <c r="E1784" t="inlineStr">
        <is>
          <t>SÄFFLE</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58302-2019</t>
        </is>
      </c>
      <c r="B1785" s="1" t="n">
        <v>43770</v>
      </c>
      <c r="C1785" s="1" t="n">
        <v>45810</v>
      </c>
      <c r="D1785" t="inlineStr">
        <is>
          <t>VÄRMLANDS LÄN</t>
        </is>
      </c>
      <c r="E1785" t="inlineStr">
        <is>
          <t>EDA</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58392-2019</t>
        </is>
      </c>
      <c r="B1786" s="1" t="n">
        <v>43772</v>
      </c>
      <c r="C1786" s="1" t="n">
        <v>45810</v>
      </c>
      <c r="D1786" t="inlineStr">
        <is>
          <t>VÄRMLANDS LÄN</t>
        </is>
      </c>
      <c r="E1786" t="inlineStr">
        <is>
          <t>EDA</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58678-2019</t>
        </is>
      </c>
      <c r="B1787" s="1" t="n">
        <v>43773</v>
      </c>
      <c r="C1787" s="1" t="n">
        <v>45810</v>
      </c>
      <c r="D1787" t="inlineStr">
        <is>
          <t>VÄRMLANDS LÄN</t>
        </is>
      </c>
      <c r="E1787" t="inlineStr">
        <is>
          <t>TORSBY</t>
        </is>
      </c>
      <c r="F1787" t="inlineStr">
        <is>
          <t>Bergvik skog väst AB</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58733-2019</t>
        </is>
      </c>
      <c r="B1788" s="1" t="n">
        <v>43773</v>
      </c>
      <c r="C1788" s="1" t="n">
        <v>45810</v>
      </c>
      <c r="D1788" t="inlineStr">
        <is>
          <t>VÄRMLANDS LÄN</t>
        </is>
      </c>
      <c r="E1788" t="inlineStr">
        <is>
          <t>ARVIKA</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58540-2019</t>
        </is>
      </c>
      <c r="B1789" s="1" t="n">
        <v>43773</v>
      </c>
      <c r="C1789" s="1" t="n">
        <v>45810</v>
      </c>
      <c r="D1789" t="inlineStr">
        <is>
          <t>VÄRMLANDS LÄN</t>
        </is>
      </c>
      <c r="E1789" t="inlineStr">
        <is>
          <t>ARVIKA</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59377-2019</t>
        </is>
      </c>
      <c r="B1790" s="1" t="n">
        <v>43773</v>
      </c>
      <c r="C1790" s="1" t="n">
        <v>45810</v>
      </c>
      <c r="D1790" t="inlineStr">
        <is>
          <t>VÄRMLANDS LÄN</t>
        </is>
      </c>
      <c r="E1790" t="inlineStr">
        <is>
          <t>SÄFFLE</t>
        </is>
      </c>
      <c r="G1790" t="n">
        <v>4.5</v>
      </c>
      <c r="H1790" t="n">
        <v>0</v>
      </c>
      <c r="I1790" t="n">
        <v>0</v>
      </c>
      <c r="J1790" t="n">
        <v>0</v>
      </c>
      <c r="K1790" t="n">
        <v>0</v>
      </c>
      <c r="L1790" t="n">
        <v>0</v>
      </c>
      <c r="M1790" t="n">
        <v>0</v>
      </c>
      <c r="N1790" t="n">
        <v>0</v>
      </c>
      <c r="O1790" t="n">
        <v>0</v>
      </c>
      <c r="P1790" t="n">
        <v>0</v>
      </c>
      <c r="Q1790" t="n">
        <v>0</v>
      </c>
      <c r="R1790" s="2" t="inlineStr"/>
    </row>
    <row r="1791" ht="15" customHeight="1">
      <c r="A1791" t="inlineStr">
        <is>
          <t>A 59048-2019</t>
        </is>
      </c>
      <c r="B1791" s="1" t="n">
        <v>43774</v>
      </c>
      <c r="C1791" s="1" t="n">
        <v>45810</v>
      </c>
      <c r="D1791" t="inlineStr">
        <is>
          <t>VÄRMLANDS LÄN</t>
        </is>
      </c>
      <c r="E1791" t="inlineStr">
        <is>
          <t>EDA</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59044-2019</t>
        </is>
      </c>
      <c r="B1792" s="1" t="n">
        <v>43774</v>
      </c>
      <c r="C1792" s="1" t="n">
        <v>45810</v>
      </c>
      <c r="D1792" t="inlineStr">
        <is>
          <t>VÄRMLANDS LÄN</t>
        </is>
      </c>
      <c r="E1792" t="inlineStr">
        <is>
          <t>SÄFFLE</t>
        </is>
      </c>
      <c r="G1792" t="n">
        <v>3.8</v>
      </c>
      <c r="H1792" t="n">
        <v>0</v>
      </c>
      <c r="I1792" t="n">
        <v>0</v>
      </c>
      <c r="J1792" t="n">
        <v>0</v>
      </c>
      <c r="K1792" t="n">
        <v>0</v>
      </c>
      <c r="L1792" t="n">
        <v>0</v>
      </c>
      <c r="M1792" t="n">
        <v>0</v>
      </c>
      <c r="N1792" t="n">
        <v>0</v>
      </c>
      <c r="O1792" t="n">
        <v>0</v>
      </c>
      <c r="P1792" t="n">
        <v>0</v>
      </c>
      <c r="Q1792" t="n">
        <v>0</v>
      </c>
      <c r="R1792" s="2" t="inlineStr"/>
    </row>
    <row r="1793" ht="15" customHeight="1">
      <c r="A1793" t="inlineStr">
        <is>
          <t>A 59389-2019</t>
        </is>
      </c>
      <c r="B1793" s="1" t="n">
        <v>43775</v>
      </c>
      <c r="C1793" s="1" t="n">
        <v>45810</v>
      </c>
      <c r="D1793" t="inlineStr">
        <is>
          <t>VÄRMLANDS LÄN</t>
        </is>
      </c>
      <c r="E1793" t="inlineStr">
        <is>
          <t>ARVIKA</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59968-2019</t>
        </is>
      </c>
      <c r="B1794" s="1" t="n">
        <v>43775</v>
      </c>
      <c r="C1794" s="1" t="n">
        <v>45810</v>
      </c>
      <c r="D1794" t="inlineStr">
        <is>
          <t>VÄRMLANDS LÄN</t>
        </is>
      </c>
      <c r="E1794" t="inlineStr">
        <is>
          <t>GRUMS</t>
        </is>
      </c>
      <c r="G1794" t="n">
        <v>8.5</v>
      </c>
      <c r="H1794" t="n">
        <v>0</v>
      </c>
      <c r="I1794" t="n">
        <v>0</v>
      </c>
      <c r="J1794" t="n">
        <v>0</v>
      </c>
      <c r="K1794" t="n">
        <v>0</v>
      </c>
      <c r="L1794" t="n">
        <v>0</v>
      </c>
      <c r="M1794" t="n">
        <v>0</v>
      </c>
      <c r="N1794" t="n">
        <v>0</v>
      </c>
      <c r="O1794" t="n">
        <v>0</v>
      </c>
      <c r="P1794" t="n">
        <v>0</v>
      </c>
      <c r="Q1794" t="n">
        <v>0</v>
      </c>
      <c r="R1794" s="2" t="inlineStr"/>
    </row>
    <row r="1795" ht="15" customHeight="1">
      <c r="A1795" t="inlineStr">
        <is>
          <t>A 59813-2019</t>
        </is>
      </c>
      <c r="B1795" s="1" t="n">
        <v>43775</v>
      </c>
      <c r="C1795" s="1" t="n">
        <v>45810</v>
      </c>
      <c r="D1795" t="inlineStr">
        <is>
          <t>VÄRMLANDS LÄN</t>
        </is>
      </c>
      <c r="E1795" t="inlineStr">
        <is>
          <t>HAGFORS</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59127-2019</t>
        </is>
      </c>
      <c r="B1796" s="1" t="n">
        <v>43775</v>
      </c>
      <c r="C1796" s="1" t="n">
        <v>45810</v>
      </c>
      <c r="D1796" t="inlineStr">
        <is>
          <t>VÄRMLANDS LÄN</t>
        </is>
      </c>
      <c r="E1796" t="inlineStr">
        <is>
          <t>TORSBY</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59593-2019</t>
        </is>
      </c>
      <c r="B1797" s="1" t="n">
        <v>43776</v>
      </c>
      <c r="C1797" s="1" t="n">
        <v>45810</v>
      </c>
      <c r="D1797" t="inlineStr">
        <is>
          <t>VÄRMLANDS LÄN</t>
        </is>
      </c>
      <c r="E1797" t="inlineStr">
        <is>
          <t>TORSBY</t>
        </is>
      </c>
      <c r="F1797" t="inlineStr">
        <is>
          <t>Bergvik skog väst AB</t>
        </is>
      </c>
      <c r="G1797" t="n">
        <v>6.8</v>
      </c>
      <c r="H1797" t="n">
        <v>0</v>
      </c>
      <c r="I1797" t="n">
        <v>0</v>
      </c>
      <c r="J1797" t="n">
        <v>0</v>
      </c>
      <c r="K1797" t="n">
        <v>0</v>
      </c>
      <c r="L1797" t="n">
        <v>0</v>
      </c>
      <c r="M1797" t="n">
        <v>0</v>
      </c>
      <c r="N1797" t="n">
        <v>0</v>
      </c>
      <c r="O1797" t="n">
        <v>0</v>
      </c>
      <c r="P1797" t="n">
        <v>0</v>
      </c>
      <c r="Q1797" t="n">
        <v>0</v>
      </c>
      <c r="R1797" s="2" t="inlineStr"/>
    </row>
    <row r="1798" ht="15" customHeight="1">
      <c r="A1798" t="inlineStr">
        <is>
          <t>A 59607-2019</t>
        </is>
      </c>
      <c r="B1798" s="1" t="n">
        <v>43776</v>
      </c>
      <c r="C1798" s="1" t="n">
        <v>45810</v>
      </c>
      <c r="D1798" t="inlineStr">
        <is>
          <t>VÄRMLANDS LÄN</t>
        </is>
      </c>
      <c r="E1798" t="inlineStr">
        <is>
          <t>ARVIKA</t>
        </is>
      </c>
      <c r="F1798" t="inlineStr">
        <is>
          <t>Bergvik skog väst AB</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59748-2019</t>
        </is>
      </c>
      <c r="B1799" s="1" t="n">
        <v>43776</v>
      </c>
      <c r="C1799" s="1" t="n">
        <v>45810</v>
      </c>
      <c r="D1799" t="inlineStr">
        <is>
          <t>VÄRMLANDS LÄN</t>
        </is>
      </c>
      <c r="E1799" t="inlineStr">
        <is>
          <t>SUNNE</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60029-2019</t>
        </is>
      </c>
      <c r="B1800" s="1" t="n">
        <v>43776</v>
      </c>
      <c r="C1800" s="1" t="n">
        <v>45810</v>
      </c>
      <c r="D1800" t="inlineStr">
        <is>
          <t>VÄRMLANDS LÄN</t>
        </is>
      </c>
      <c r="E1800" t="inlineStr">
        <is>
          <t>ÅRJÄNG</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59883-2019</t>
        </is>
      </c>
      <c r="B1801" s="1" t="n">
        <v>43777</v>
      </c>
      <c r="C1801" s="1" t="n">
        <v>45810</v>
      </c>
      <c r="D1801" t="inlineStr">
        <is>
          <t>VÄRMLANDS LÄN</t>
        </is>
      </c>
      <c r="E1801" t="inlineStr">
        <is>
          <t>FILIPSTAD</t>
        </is>
      </c>
      <c r="F1801" t="inlineStr">
        <is>
          <t>Bergvik skog väst AB</t>
        </is>
      </c>
      <c r="G1801" t="n">
        <v>7.8</v>
      </c>
      <c r="H1801" t="n">
        <v>0</v>
      </c>
      <c r="I1801" t="n">
        <v>0</v>
      </c>
      <c r="J1801" t="n">
        <v>0</v>
      </c>
      <c r="K1801" t="n">
        <v>0</v>
      </c>
      <c r="L1801" t="n">
        <v>0</v>
      </c>
      <c r="M1801" t="n">
        <v>0</v>
      </c>
      <c r="N1801" t="n">
        <v>0</v>
      </c>
      <c r="O1801" t="n">
        <v>0</v>
      </c>
      <c r="P1801" t="n">
        <v>0</v>
      </c>
      <c r="Q1801" t="n">
        <v>0</v>
      </c>
      <c r="R1801" s="2" t="inlineStr"/>
    </row>
    <row r="1802" ht="15" customHeight="1">
      <c r="A1802" t="inlineStr">
        <is>
          <t>A 59809-2019</t>
        </is>
      </c>
      <c r="B1802" s="1" t="n">
        <v>43777</v>
      </c>
      <c r="C1802" s="1" t="n">
        <v>45810</v>
      </c>
      <c r="D1802" t="inlineStr">
        <is>
          <t>VÄRMLANDS LÄN</t>
        </is>
      </c>
      <c r="E1802" t="inlineStr">
        <is>
          <t>SUNNE</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60047-2019</t>
        </is>
      </c>
      <c r="B1803" s="1" t="n">
        <v>43777</v>
      </c>
      <c r="C1803" s="1" t="n">
        <v>45810</v>
      </c>
      <c r="D1803" t="inlineStr">
        <is>
          <t>VÄRMLANDS LÄN</t>
        </is>
      </c>
      <c r="E1803" t="inlineStr">
        <is>
          <t>EDA</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60623-2019</t>
        </is>
      </c>
      <c r="B1804" s="1" t="n">
        <v>43777</v>
      </c>
      <c r="C1804" s="1" t="n">
        <v>45810</v>
      </c>
      <c r="D1804" t="inlineStr">
        <is>
          <t>VÄRMLANDS LÄN</t>
        </is>
      </c>
      <c r="E1804" t="inlineStr">
        <is>
          <t>EDA</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59805-2019</t>
        </is>
      </c>
      <c r="B1805" s="1" t="n">
        <v>43777</v>
      </c>
      <c r="C1805" s="1" t="n">
        <v>45810</v>
      </c>
      <c r="D1805" t="inlineStr">
        <is>
          <t>VÄRMLANDS LÄN</t>
        </is>
      </c>
      <c r="E1805" t="inlineStr">
        <is>
          <t>KRISTINEHAMN</t>
        </is>
      </c>
      <c r="G1805" t="n">
        <v>7.2</v>
      </c>
      <c r="H1805" t="n">
        <v>0</v>
      </c>
      <c r="I1805" t="n">
        <v>0</v>
      </c>
      <c r="J1805" t="n">
        <v>0</v>
      </c>
      <c r="K1805" t="n">
        <v>0</v>
      </c>
      <c r="L1805" t="n">
        <v>0</v>
      </c>
      <c r="M1805" t="n">
        <v>0</v>
      </c>
      <c r="N1805" t="n">
        <v>0</v>
      </c>
      <c r="O1805" t="n">
        <v>0</v>
      </c>
      <c r="P1805" t="n">
        <v>0</v>
      </c>
      <c r="Q1805" t="n">
        <v>0</v>
      </c>
      <c r="R1805" s="2" t="inlineStr"/>
    </row>
    <row r="1806" ht="15" customHeight="1">
      <c r="A1806" t="inlineStr">
        <is>
          <t>A 60145-2019</t>
        </is>
      </c>
      <c r="B1806" s="1" t="n">
        <v>43779</v>
      </c>
      <c r="C1806" s="1" t="n">
        <v>45810</v>
      </c>
      <c r="D1806" t="inlineStr">
        <is>
          <t>VÄRMLANDS LÄN</t>
        </is>
      </c>
      <c r="E1806" t="inlineStr">
        <is>
          <t>KARLSTAD</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60209-2019</t>
        </is>
      </c>
      <c r="B1807" s="1" t="n">
        <v>43780</v>
      </c>
      <c r="C1807" s="1" t="n">
        <v>45810</v>
      </c>
      <c r="D1807" t="inlineStr">
        <is>
          <t>VÄRMLANDS LÄN</t>
        </is>
      </c>
      <c r="E1807" t="inlineStr">
        <is>
          <t>SUNNE</t>
        </is>
      </c>
      <c r="G1807" t="n">
        <v>10.8</v>
      </c>
      <c r="H1807" t="n">
        <v>0</v>
      </c>
      <c r="I1807" t="n">
        <v>0</v>
      </c>
      <c r="J1807" t="n">
        <v>0</v>
      </c>
      <c r="K1807" t="n">
        <v>0</v>
      </c>
      <c r="L1807" t="n">
        <v>0</v>
      </c>
      <c r="M1807" t="n">
        <v>0</v>
      </c>
      <c r="N1807" t="n">
        <v>0</v>
      </c>
      <c r="O1807" t="n">
        <v>0</v>
      </c>
      <c r="P1807" t="n">
        <v>0</v>
      </c>
      <c r="Q1807" t="n">
        <v>0</v>
      </c>
      <c r="R1807" s="2" t="inlineStr"/>
    </row>
    <row r="1808" ht="15" customHeight="1">
      <c r="A1808" t="inlineStr">
        <is>
          <t>A 60353-2019</t>
        </is>
      </c>
      <c r="B1808" s="1" t="n">
        <v>43780</v>
      </c>
      <c r="C1808" s="1" t="n">
        <v>45810</v>
      </c>
      <c r="D1808" t="inlineStr">
        <is>
          <t>VÄRMLANDS LÄN</t>
        </is>
      </c>
      <c r="E1808" t="inlineStr">
        <is>
          <t>SUNNE</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60453-2019</t>
        </is>
      </c>
      <c r="B1809" s="1" t="n">
        <v>43780</v>
      </c>
      <c r="C1809" s="1" t="n">
        <v>45810</v>
      </c>
      <c r="D1809" t="inlineStr">
        <is>
          <t>VÄRMLANDS LÄN</t>
        </is>
      </c>
      <c r="E1809" t="inlineStr">
        <is>
          <t>MUNKFORS</t>
        </is>
      </c>
      <c r="F1809" t="inlineStr">
        <is>
          <t>Kommuner</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60443-2019</t>
        </is>
      </c>
      <c r="B1810" s="1" t="n">
        <v>43780</v>
      </c>
      <c r="C1810" s="1" t="n">
        <v>45810</v>
      </c>
      <c r="D1810" t="inlineStr">
        <is>
          <t>VÄRMLANDS LÄN</t>
        </is>
      </c>
      <c r="E1810" t="inlineStr">
        <is>
          <t>MUNKFORS</t>
        </is>
      </c>
      <c r="F1810" t="inlineStr">
        <is>
          <t>Kommuner</t>
        </is>
      </c>
      <c r="G1810" t="n">
        <v>3.4</v>
      </c>
      <c r="H1810" t="n">
        <v>0</v>
      </c>
      <c r="I1810" t="n">
        <v>0</v>
      </c>
      <c r="J1810" t="n">
        <v>0</v>
      </c>
      <c r="K1810" t="n">
        <v>0</v>
      </c>
      <c r="L1810" t="n">
        <v>0</v>
      </c>
      <c r="M1810" t="n">
        <v>0</v>
      </c>
      <c r="N1810" t="n">
        <v>0</v>
      </c>
      <c r="O1810" t="n">
        <v>0</v>
      </c>
      <c r="P1810" t="n">
        <v>0</v>
      </c>
      <c r="Q1810" t="n">
        <v>0</v>
      </c>
      <c r="R1810" s="2" t="inlineStr"/>
      <c r="U1810">
        <f>HYPERLINK("https://klasma.github.io/Logging_1762/knärot/A 60443-2019 karta knärot.png", "A 60443-2019")</f>
        <v/>
      </c>
      <c r="V1810">
        <f>HYPERLINK("https://klasma.github.io/Logging_1762/klagomål/A 60443-2019 FSC-klagomål.docx", "A 60443-2019")</f>
        <v/>
      </c>
      <c r="W1810">
        <f>HYPERLINK("https://klasma.github.io/Logging_1762/klagomålsmail/A 60443-2019 FSC-klagomål mail.docx", "A 60443-2019")</f>
        <v/>
      </c>
      <c r="X1810">
        <f>HYPERLINK("https://klasma.github.io/Logging_1762/tillsyn/A 60443-2019 tillsynsbegäran.docx", "A 60443-2019")</f>
        <v/>
      </c>
      <c r="Y1810">
        <f>HYPERLINK("https://klasma.github.io/Logging_1762/tillsynsmail/A 60443-2019 tillsynsbegäran mail.docx", "A 60443-2019")</f>
        <v/>
      </c>
    </row>
    <row r="1811" ht="15" customHeight="1">
      <c r="A1811" t="inlineStr">
        <is>
          <t>A 61449-2019</t>
        </is>
      </c>
      <c r="B1811" s="1" t="n">
        <v>43780</v>
      </c>
      <c r="C1811" s="1" t="n">
        <v>45810</v>
      </c>
      <c r="D1811" t="inlineStr">
        <is>
          <t>VÄRMLANDS LÄN</t>
        </is>
      </c>
      <c r="E1811" t="inlineStr">
        <is>
          <t>GRUMS</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60639-2019</t>
        </is>
      </c>
      <c r="B1812" s="1" t="n">
        <v>43781</v>
      </c>
      <c r="C1812" s="1" t="n">
        <v>45810</v>
      </c>
      <c r="D1812" t="inlineStr">
        <is>
          <t>VÄRMLANDS LÄN</t>
        </is>
      </c>
      <c r="E1812" t="inlineStr">
        <is>
          <t>SUNNE</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60658-2019</t>
        </is>
      </c>
      <c r="B1813" s="1" t="n">
        <v>43781</v>
      </c>
      <c r="C1813" s="1" t="n">
        <v>45810</v>
      </c>
      <c r="D1813" t="inlineStr">
        <is>
          <t>VÄRMLANDS LÄN</t>
        </is>
      </c>
      <c r="E1813" t="inlineStr">
        <is>
          <t>KRISTINEHAMN</t>
        </is>
      </c>
      <c r="G1813" t="n">
        <v>6.2</v>
      </c>
      <c r="H1813" t="n">
        <v>0</v>
      </c>
      <c r="I1813" t="n">
        <v>0</v>
      </c>
      <c r="J1813" t="n">
        <v>0</v>
      </c>
      <c r="K1813" t="n">
        <v>0</v>
      </c>
      <c r="L1813" t="n">
        <v>0</v>
      </c>
      <c r="M1813" t="n">
        <v>0</v>
      </c>
      <c r="N1813" t="n">
        <v>0</v>
      </c>
      <c r="O1813" t="n">
        <v>0</v>
      </c>
      <c r="P1813" t="n">
        <v>0</v>
      </c>
      <c r="Q1813" t="n">
        <v>0</v>
      </c>
      <c r="R1813" s="2" t="inlineStr"/>
    </row>
    <row r="1814" ht="15" customHeight="1">
      <c r="A1814" t="inlineStr">
        <is>
          <t>A 60663-2019</t>
        </is>
      </c>
      <c r="B1814" s="1" t="n">
        <v>43781</v>
      </c>
      <c r="C1814" s="1" t="n">
        <v>45810</v>
      </c>
      <c r="D1814" t="inlineStr">
        <is>
          <t>VÄRMLANDS LÄN</t>
        </is>
      </c>
      <c r="E1814" t="inlineStr">
        <is>
          <t>HAGFORS</t>
        </is>
      </c>
      <c r="G1814" t="n">
        <v>7.8</v>
      </c>
      <c r="H1814" t="n">
        <v>0</v>
      </c>
      <c r="I1814" t="n">
        <v>0</v>
      </c>
      <c r="J1814" t="n">
        <v>0</v>
      </c>
      <c r="K1814" t="n">
        <v>0</v>
      </c>
      <c r="L1814" t="n">
        <v>0</v>
      </c>
      <c r="M1814" t="n">
        <v>0</v>
      </c>
      <c r="N1814" t="n">
        <v>0</v>
      </c>
      <c r="O1814" t="n">
        <v>0</v>
      </c>
      <c r="P1814" t="n">
        <v>0</v>
      </c>
      <c r="Q1814" t="n">
        <v>0</v>
      </c>
      <c r="R1814" s="2" t="inlineStr"/>
    </row>
    <row r="1815" ht="15" customHeight="1">
      <c r="A1815" t="inlineStr">
        <is>
          <t>A 60632-2019</t>
        </is>
      </c>
      <c r="B1815" s="1" t="n">
        <v>43781</v>
      </c>
      <c r="C1815" s="1" t="n">
        <v>45810</v>
      </c>
      <c r="D1815" t="inlineStr">
        <is>
          <t>VÄRMLANDS LÄN</t>
        </is>
      </c>
      <c r="E1815" t="inlineStr">
        <is>
          <t>SUNNE</t>
        </is>
      </c>
      <c r="G1815" t="n">
        <v>6.5</v>
      </c>
      <c r="H1815" t="n">
        <v>0</v>
      </c>
      <c r="I1815" t="n">
        <v>0</v>
      </c>
      <c r="J1815" t="n">
        <v>0</v>
      </c>
      <c r="K1815" t="n">
        <v>0</v>
      </c>
      <c r="L1815" t="n">
        <v>0</v>
      </c>
      <c r="M1815" t="n">
        <v>0</v>
      </c>
      <c r="N1815" t="n">
        <v>0</v>
      </c>
      <c r="O1815" t="n">
        <v>0</v>
      </c>
      <c r="P1815" t="n">
        <v>0</v>
      </c>
      <c r="Q1815" t="n">
        <v>0</v>
      </c>
      <c r="R1815" s="2" t="inlineStr"/>
    </row>
    <row r="1816" ht="15" customHeight="1">
      <c r="A1816" t="inlineStr">
        <is>
          <t>A 60545-2019</t>
        </is>
      </c>
      <c r="B1816" s="1" t="n">
        <v>43781</v>
      </c>
      <c r="C1816" s="1" t="n">
        <v>45810</v>
      </c>
      <c r="D1816" t="inlineStr">
        <is>
          <t>VÄRMLANDS LÄN</t>
        </is>
      </c>
      <c r="E1816" t="inlineStr">
        <is>
          <t>TORSBY</t>
        </is>
      </c>
      <c r="F1816" t="inlineStr">
        <is>
          <t>Bergvik skog väst AB</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60659-2019</t>
        </is>
      </c>
      <c r="B1817" s="1" t="n">
        <v>43781</v>
      </c>
      <c r="C1817" s="1" t="n">
        <v>45810</v>
      </c>
      <c r="D1817" t="inlineStr">
        <is>
          <t>VÄRMLANDS LÄN</t>
        </is>
      </c>
      <c r="E1817" t="inlineStr">
        <is>
          <t>SUNNE</t>
        </is>
      </c>
      <c r="G1817" t="n">
        <v>11.6</v>
      </c>
      <c r="H1817" t="n">
        <v>0</v>
      </c>
      <c r="I1817" t="n">
        <v>0</v>
      </c>
      <c r="J1817" t="n">
        <v>0</v>
      </c>
      <c r="K1817" t="n">
        <v>0</v>
      </c>
      <c r="L1817" t="n">
        <v>0</v>
      </c>
      <c r="M1817" t="n">
        <v>0</v>
      </c>
      <c r="N1817" t="n">
        <v>0</v>
      </c>
      <c r="O1817" t="n">
        <v>0</v>
      </c>
      <c r="P1817" t="n">
        <v>0</v>
      </c>
      <c r="Q1817" t="n">
        <v>0</v>
      </c>
      <c r="R1817" s="2" t="inlineStr"/>
    </row>
    <row r="1818" ht="15" customHeight="1">
      <c r="A1818" t="inlineStr">
        <is>
          <t>A 60637-2019</t>
        </is>
      </c>
      <c r="B1818" s="1" t="n">
        <v>43781</v>
      </c>
      <c r="C1818" s="1" t="n">
        <v>45810</v>
      </c>
      <c r="D1818" t="inlineStr">
        <is>
          <t>VÄRMLANDS LÄN</t>
        </is>
      </c>
      <c r="E1818" t="inlineStr">
        <is>
          <t>SUNNE</t>
        </is>
      </c>
      <c r="G1818" t="n">
        <v>8.6</v>
      </c>
      <c r="H1818" t="n">
        <v>0</v>
      </c>
      <c r="I1818" t="n">
        <v>0</v>
      </c>
      <c r="J1818" t="n">
        <v>0</v>
      </c>
      <c r="K1818" t="n">
        <v>0</v>
      </c>
      <c r="L1818" t="n">
        <v>0</v>
      </c>
      <c r="M1818" t="n">
        <v>0</v>
      </c>
      <c r="N1818" t="n">
        <v>0</v>
      </c>
      <c r="O1818" t="n">
        <v>0</v>
      </c>
      <c r="P1818" t="n">
        <v>0</v>
      </c>
      <c r="Q1818" t="n">
        <v>0</v>
      </c>
      <c r="R1818" s="2" t="inlineStr"/>
    </row>
    <row r="1819" ht="15" customHeight="1">
      <c r="A1819" t="inlineStr">
        <is>
          <t>A 61098-2019</t>
        </is>
      </c>
      <c r="B1819" s="1" t="n">
        <v>43782</v>
      </c>
      <c r="C1819" s="1" t="n">
        <v>45810</v>
      </c>
      <c r="D1819" t="inlineStr">
        <is>
          <t>VÄRMLANDS LÄN</t>
        </is>
      </c>
      <c r="E1819" t="inlineStr">
        <is>
          <t>ARVIKA</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61074-2019</t>
        </is>
      </c>
      <c r="B1820" s="1" t="n">
        <v>43782</v>
      </c>
      <c r="C1820" s="1" t="n">
        <v>45810</v>
      </c>
      <c r="D1820" t="inlineStr">
        <is>
          <t>VÄRMLANDS LÄN</t>
        </is>
      </c>
      <c r="E1820" t="inlineStr">
        <is>
          <t>TORSBY</t>
        </is>
      </c>
      <c r="G1820" t="n">
        <v>6.4</v>
      </c>
      <c r="H1820" t="n">
        <v>0</v>
      </c>
      <c r="I1820" t="n">
        <v>0</v>
      </c>
      <c r="J1820" t="n">
        <v>0</v>
      </c>
      <c r="K1820" t="n">
        <v>0</v>
      </c>
      <c r="L1820" t="n">
        <v>0</v>
      </c>
      <c r="M1820" t="n">
        <v>0</v>
      </c>
      <c r="N1820" t="n">
        <v>0</v>
      </c>
      <c r="O1820" t="n">
        <v>0</v>
      </c>
      <c r="P1820" t="n">
        <v>0</v>
      </c>
      <c r="Q1820" t="n">
        <v>0</v>
      </c>
      <c r="R1820" s="2" t="inlineStr"/>
    </row>
    <row r="1821" ht="15" customHeight="1">
      <c r="A1821" t="inlineStr">
        <is>
          <t>A 61104-2019</t>
        </is>
      </c>
      <c r="B1821" s="1" t="n">
        <v>43782</v>
      </c>
      <c r="C1821" s="1" t="n">
        <v>45810</v>
      </c>
      <c r="D1821" t="inlineStr">
        <is>
          <t>VÄRMLANDS LÄN</t>
        </is>
      </c>
      <c r="E1821" t="inlineStr">
        <is>
          <t>ARVIKA</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61167-2019</t>
        </is>
      </c>
      <c r="B1822" s="1" t="n">
        <v>43782</v>
      </c>
      <c r="C1822" s="1" t="n">
        <v>45810</v>
      </c>
      <c r="D1822" t="inlineStr">
        <is>
          <t>VÄRMLANDS LÄN</t>
        </is>
      </c>
      <c r="E1822" t="inlineStr">
        <is>
          <t>ÅRJÄNG</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61099-2019</t>
        </is>
      </c>
      <c r="B1823" s="1" t="n">
        <v>43782</v>
      </c>
      <c r="C1823" s="1" t="n">
        <v>45810</v>
      </c>
      <c r="D1823" t="inlineStr">
        <is>
          <t>VÄRMLANDS LÄN</t>
        </is>
      </c>
      <c r="E1823" t="inlineStr">
        <is>
          <t>ARVIKA</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61278-2019</t>
        </is>
      </c>
      <c r="B1824" s="1" t="n">
        <v>43783</v>
      </c>
      <c r="C1824" s="1" t="n">
        <v>45810</v>
      </c>
      <c r="D1824" t="inlineStr">
        <is>
          <t>VÄRMLANDS LÄN</t>
        </is>
      </c>
      <c r="E1824" t="inlineStr">
        <is>
          <t>SUNNE</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61341-2019</t>
        </is>
      </c>
      <c r="B1825" s="1" t="n">
        <v>43783</v>
      </c>
      <c r="C1825" s="1" t="n">
        <v>45810</v>
      </c>
      <c r="D1825" t="inlineStr">
        <is>
          <t>VÄRMLANDS LÄN</t>
        </is>
      </c>
      <c r="E1825" t="inlineStr">
        <is>
          <t>MUNKFORS</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61596-2019</t>
        </is>
      </c>
      <c r="B1826" s="1" t="n">
        <v>43784</v>
      </c>
      <c r="C1826" s="1" t="n">
        <v>45810</v>
      </c>
      <c r="D1826" t="inlineStr">
        <is>
          <t>VÄRMLANDS LÄN</t>
        </is>
      </c>
      <c r="E1826" t="inlineStr">
        <is>
          <t>SUNNE</t>
        </is>
      </c>
      <c r="G1826" t="n">
        <v>4.9</v>
      </c>
      <c r="H1826" t="n">
        <v>0</v>
      </c>
      <c r="I1826" t="n">
        <v>0</v>
      </c>
      <c r="J1826" t="n">
        <v>0</v>
      </c>
      <c r="K1826" t="n">
        <v>0</v>
      </c>
      <c r="L1826" t="n">
        <v>0</v>
      </c>
      <c r="M1826" t="n">
        <v>0</v>
      </c>
      <c r="N1826" t="n">
        <v>0</v>
      </c>
      <c r="O1826" t="n">
        <v>0</v>
      </c>
      <c r="P1826" t="n">
        <v>0</v>
      </c>
      <c r="Q1826" t="n">
        <v>0</v>
      </c>
      <c r="R1826" s="2" t="inlineStr"/>
    </row>
    <row r="1827" ht="15" customHeight="1">
      <c r="A1827" t="inlineStr">
        <is>
          <t>A 61598-2019</t>
        </is>
      </c>
      <c r="B1827" s="1" t="n">
        <v>43784</v>
      </c>
      <c r="C1827" s="1" t="n">
        <v>45810</v>
      </c>
      <c r="D1827" t="inlineStr">
        <is>
          <t>VÄRMLANDS LÄN</t>
        </is>
      </c>
      <c r="E1827" t="inlineStr">
        <is>
          <t>EDA</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61608-2019</t>
        </is>
      </c>
      <c r="B1828" s="1" t="n">
        <v>43784</v>
      </c>
      <c r="C1828" s="1" t="n">
        <v>45810</v>
      </c>
      <c r="D1828" t="inlineStr">
        <is>
          <t>VÄRMLANDS LÄN</t>
        </is>
      </c>
      <c r="E1828" t="inlineStr">
        <is>
          <t>SUNNE</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61612-2019</t>
        </is>
      </c>
      <c r="B1829" s="1" t="n">
        <v>43784</v>
      </c>
      <c r="C1829" s="1" t="n">
        <v>45810</v>
      </c>
      <c r="D1829" t="inlineStr">
        <is>
          <t>VÄRMLANDS LÄN</t>
        </is>
      </c>
      <c r="E1829" t="inlineStr">
        <is>
          <t>SUNNE</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61730-2019</t>
        </is>
      </c>
      <c r="B1830" s="1" t="n">
        <v>43784</v>
      </c>
      <c r="C1830" s="1" t="n">
        <v>45810</v>
      </c>
      <c r="D1830" t="inlineStr">
        <is>
          <t>VÄRMLANDS LÄN</t>
        </is>
      </c>
      <c r="E1830" t="inlineStr">
        <is>
          <t>EDA</t>
        </is>
      </c>
      <c r="G1830" t="n">
        <v>6.9</v>
      </c>
      <c r="H1830" t="n">
        <v>0</v>
      </c>
      <c r="I1830" t="n">
        <v>0</v>
      </c>
      <c r="J1830" t="n">
        <v>0</v>
      </c>
      <c r="K1830" t="n">
        <v>0</v>
      </c>
      <c r="L1830" t="n">
        <v>0</v>
      </c>
      <c r="M1830" t="n">
        <v>0</v>
      </c>
      <c r="N1830" t="n">
        <v>0</v>
      </c>
      <c r="O1830" t="n">
        <v>0</v>
      </c>
      <c r="P1830" t="n">
        <v>0</v>
      </c>
      <c r="Q1830" t="n">
        <v>0</v>
      </c>
      <c r="R1830" s="2" t="inlineStr"/>
    </row>
    <row r="1831" ht="15" customHeight="1">
      <c r="A1831" t="inlineStr">
        <is>
          <t>A 61626-2019</t>
        </is>
      </c>
      <c r="B1831" s="1" t="n">
        <v>43784</v>
      </c>
      <c r="C1831" s="1" t="n">
        <v>45810</v>
      </c>
      <c r="D1831" t="inlineStr">
        <is>
          <t>VÄRMLANDS LÄN</t>
        </is>
      </c>
      <c r="E1831" t="inlineStr">
        <is>
          <t>SUNNE</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62936-2019</t>
        </is>
      </c>
      <c r="B1832" s="1" t="n">
        <v>43784</v>
      </c>
      <c r="C1832" s="1" t="n">
        <v>45810</v>
      </c>
      <c r="D1832" t="inlineStr">
        <is>
          <t>VÄRMLANDS LÄN</t>
        </is>
      </c>
      <c r="E1832" t="inlineStr">
        <is>
          <t>FORSHAGA</t>
        </is>
      </c>
      <c r="G1832" t="n">
        <v>6.1</v>
      </c>
      <c r="H1832" t="n">
        <v>0</v>
      </c>
      <c r="I1832" t="n">
        <v>0</v>
      </c>
      <c r="J1832" t="n">
        <v>0</v>
      </c>
      <c r="K1832" t="n">
        <v>0</v>
      </c>
      <c r="L1832" t="n">
        <v>0</v>
      </c>
      <c r="M1832" t="n">
        <v>0</v>
      </c>
      <c r="N1832" t="n">
        <v>0</v>
      </c>
      <c r="O1832" t="n">
        <v>0</v>
      </c>
      <c r="P1832" t="n">
        <v>0</v>
      </c>
      <c r="Q1832" t="n">
        <v>0</v>
      </c>
      <c r="R1832" s="2" t="inlineStr"/>
    </row>
    <row r="1833" ht="15" customHeight="1">
      <c r="A1833" t="inlineStr">
        <is>
          <t>A 61789-2019</t>
        </is>
      </c>
      <c r="B1833" s="1" t="n">
        <v>43785</v>
      </c>
      <c r="C1833" s="1" t="n">
        <v>45810</v>
      </c>
      <c r="D1833" t="inlineStr">
        <is>
          <t>VÄRMLANDS LÄN</t>
        </is>
      </c>
      <c r="E1833" t="inlineStr">
        <is>
          <t>SÄFFLE</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61800-2019</t>
        </is>
      </c>
      <c r="B1834" s="1" t="n">
        <v>43786</v>
      </c>
      <c r="C1834" s="1" t="n">
        <v>45810</v>
      </c>
      <c r="D1834" t="inlineStr">
        <is>
          <t>VÄRMLANDS LÄN</t>
        </is>
      </c>
      <c r="E1834" t="inlineStr">
        <is>
          <t>ARVIKA</t>
        </is>
      </c>
      <c r="F1834" t="inlineStr">
        <is>
          <t>Bergvik skog väst AB</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61907-2019</t>
        </is>
      </c>
      <c r="B1835" s="1" t="n">
        <v>43787</v>
      </c>
      <c r="C1835" s="1" t="n">
        <v>45810</v>
      </c>
      <c r="D1835" t="inlineStr">
        <is>
          <t>VÄRMLANDS LÄN</t>
        </is>
      </c>
      <c r="E1835" t="inlineStr">
        <is>
          <t>MUNKFORS</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62050-2019</t>
        </is>
      </c>
      <c r="B1836" s="1" t="n">
        <v>43787</v>
      </c>
      <c r="C1836" s="1" t="n">
        <v>45810</v>
      </c>
      <c r="D1836" t="inlineStr">
        <is>
          <t>VÄRMLANDS LÄN</t>
        </is>
      </c>
      <c r="E1836" t="inlineStr">
        <is>
          <t>TORSBY</t>
        </is>
      </c>
      <c r="F1836" t="inlineStr">
        <is>
          <t>Bergvik skog väst AB</t>
        </is>
      </c>
      <c r="G1836" t="n">
        <v>4.3</v>
      </c>
      <c r="H1836" t="n">
        <v>0</v>
      </c>
      <c r="I1836" t="n">
        <v>0</v>
      </c>
      <c r="J1836" t="n">
        <v>0</v>
      </c>
      <c r="K1836" t="n">
        <v>0</v>
      </c>
      <c r="L1836" t="n">
        <v>0</v>
      </c>
      <c r="M1836" t="n">
        <v>0</v>
      </c>
      <c r="N1836" t="n">
        <v>0</v>
      </c>
      <c r="O1836" t="n">
        <v>0</v>
      </c>
      <c r="P1836" t="n">
        <v>0</v>
      </c>
      <c r="Q1836" t="n">
        <v>0</v>
      </c>
      <c r="R1836" s="2" t="inlineStr"/>
    </row>
    <row r="1837" ht="15" customHeight="1">
      <c r="A1837" t="inlineStr">
        <is>
          <t>A 62101-2019</t>
        </is>
      </c>
      <c r="B1837" s="1" t="n">
        <v>43787</v>
      </c>
      <c r="C1837" s="1" t="n">
        <v>45810</v>
      </c>
      <c r="D1837" t="inlineStr">
        <is>
          <t>VÄRMLANDS LÄN</t>
        </is>
      </c>
      <c r="E1837" t="inlineStr">
        <is>
          <t>STORFORS</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61914-2019</t>
        </is>
      </c>
      <c r="B1838" s="1" t="n">
        <v>43787</v>
      </c>
      <c r="C1838" s="1" t="n">
        <v>45810</v>
      </c>
      <c r="D1838" t="inlineStr">
        <is>
          <t>VÄRMLANDS LÄN</t>
        </is>
      </c>
      <c r="E1838" t="inlineStr">
        <is>
          <t>KRISTINEHAMN</t>
        </is>
      </c>
      <c r="F1838" t="inlineStr">
        <is>
          <t>Naturvårdsverket</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61958-2019</t>
        </is>
      </c>
      <c r="B1839" s="1" t="n">
        <v>43787</v>
      </c>
      <c r="C1839" s="1" t="n">
        <v>45810</v>
      </c>
      <c r="D1839" t="inlineStr">
        <is>
          <t>VÄRMLANDS LÄN</t>
        </is>
      </c>
      <c r="E1839" t="inlineStr">
        <is>
          <t>TORSBY</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61952-2019</t>
        </is>
      </c>
      <c r="B1840" s="1" t="n">
        <v>43787</v>
      </c>
      <c r="C1840" s="1" t="n">
        <v>45810</v>
      </c>
      <c r="D1840" t="inlineStr">
        <is>
          <t>VÄRMLANDS LÄN</t>
        </is>
      </c>
      <c r="E1840" t="inlineStr">
        <is>
          <t>EDA</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62080-2019</t>
        </is>
      </c>
      <c r="B1841" s="1" t="n">
        <v>43787</v>
      </c>
      <c r="C1841" s="1" t="n">
        <v>45810</v>
      </c>
      <c r="D1841" t="inlineStr">
        <is>
          <t>VÄRMLANDS LÄN</t>
        </is>
      </c>
      <c r="E1841" t="inlineStr">
        <is>
          <t>SUNNE</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63284-2019</t>
        </is>
      </c>
      <c r="B1842" s="1" t="n">
        <v>43787</v>
      </c>
      <c r="C1842" s="1" t="n">
        <v>45810</v>
      </c>
      <c r="D1842" t="inlineStr">
        <is>
          <t>VÄRMLANDS LÄN</t>
        </is>
      </c>
      <c r="E1842" t="inlineStr">
        <is>
          <t>GRUMS</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62238-2019</t>
        </is>
      </c>
      <c r="B1843" s="1" t="n">
        <v>43788</v>
      </c>
      <c r="C1843" s="1" t="n">
        <v>45810</v>
      </c>
      <c r="D1843" t="inlineStr">
        <is>
          <t>VÄRMLANDS LÄN</t>
        </is>
      </c>
      <c r="E1843" t="inlineStr">
        <is>
          <t>ARVIKA</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62255-2019</t>
        </is>
      </c>
      <c r="B1844" s="1" t="n">
        <v>43788</v>
      </c>
      <c r="C1844" s="1" t="n">
        <v>45810</v>
      </c>
      <c r="D1844" t="inlineStr">
        <is>
          <t>VÄRMLANDS LÄN</t>
        </is>
      </c>
      <c r="E1844" t="inlineStr">
        <is>
          <t>TORSBY</t>
        </is>
      </c>
      <c r="F1844" t="inlineStr">
        <is>
          <t>Bergvik skog väst AB</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62207-2019</t>
        </is>
      </c>
      <c r="B1845" s="1" t="n">
        <v>43788</v>
      </c>
      <c r="C1845" s="1" t="n">
        <v>45810</v>
      </c>
      <c r="D1845" t="inlineStr">
        <is>
          <t>VÄRMLANDS LÄN</t>
        </is>
      </c>
      <c r="E1845" t="inlineStr">
        <is>
          <t>STORFORS</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63509-2019</t>
        </is>
      </c>
      <c r="B1846" s="1" t="n">
        <v>43788</v>
      </c>
      <c r="C1846" s="1" t="n">
        <v>45810</v>
      </c>
      <c r="D1846" t="inlineStr">
        <is>
          <t>VÄRMLANDS LÄN</t>
        </is>
      </c>
      <c r="E1846" t="inlineStr">
        <is>
          <t>SÄFFLE</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62286-2019</t>
        </is>
      </c>
      <c r="B1847" s="1" t="n">
        <v>43788</v>
      </c>
      <c r="C1847" s="1" t="n">
        <v>45810</v>
      </c>
      <c r="D1847" t="inlineStr">
        <is>
          <t>VÄRMLANDS LÄN</t>
        </is>
      </c>
      <c r="E1847" t="inlineStr">
        <is>
          <t>TORSBY</t>
        </is>
      </c>
      <c r="F1847" t="inlineStr">
        <is>
          <t>Bergvik skog väst AB</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62697-2019</t>
        </is>
      </c>
      <c r="B1848" s="1" t="n">
        <v>43789</v>
      </c>
      <c r="C1848" s="1" t="n">
        <v>45810</v>
      </c>
      <c r="D1848" t="inlineStr">
        <is>
          <t>VÄRMLANDS LÄN</t>
        </is>
      </c>
      <c r="E1848" t="inlineStr">
        <is>
          <t>EDA</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63661-2019</t>
        </is>
      </c>
      <c r="B1849" s="1" t="n">
        <v>43789</v>
      </c>
      <c r="C1849" s="1" t="n">
        <v>45810</v>
      </c>
      <c r="D1849" t="inlineStr">
        <is>
          <t>VÄRMLANDS LÄN</t>
        </is>
      </c>
      <c r="E1849" t="inlineStr">
        <is>
          <t>SÄFFLE</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62534-2019</t>
        </is>
      </c>
      <c r="B1850" s="1" t="n">
        <v>43789</v>
      </c>
      <c r="C1850" s="1" t="n">
        <v>45810</v>
      </c>
      <c r="D1850" t="inlineStr">
        <is>
          <t>VÄRMLANDS LÄN</t>
        </is>
      </c>
      <c r="E1850" t="inlineStr">
        <is>
          <t>KRISTINEHAMN</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62741-2019</t>
        </is>
      </c>
      <c r="B1851" s="1" t="n">
        <v>43790</v>
      </c>
      <c r="C1851" s="1" t="n">
        <v>45810</v>
      </c>
      <c r="D1851" t="inlineStr">
        <is>
          <t>VÄRMLANDS LÄN</t>
        </is>
      </c>
      <c r="E1851" t="inlineStr">
        <is>
          <t>EDA</t>
        </is>
      </c>
      <c r="G1851" t="n">
        <v>3.4</v>
      </c>
      <c r="H1851" t="n">
        <v>0</v>
      </c>
      <c r="I1851" t="n">
        <v>0</v>
      </c>
      <c r="J1851" t="n">
        <v>0</v>
      </c>
      <c r="K1851" t="n">
        <v>0</v>
      </c>
      <c r="L1851" t="n">
        <v>0</v>
      </c>
      <c r="M1851" t="n">
        <v>0</v>
      </c>
      <c r="N1851" t="n">
        <v>0</v>
      </c>
      <c r="O1851" t="n">
        <v>0</v>
      </c>
      <c r="P1851" t="n">
        <v>0</v>
      </c>
      <c r="Q1851" t="n">
        <v>0</v>
      </c>
      <c r="R1851" s="2" t="inlineStr"/>
    </row>
    <row r="1852" ht="15" customHeight="1">
      <c r="A1852" t="inlineStr">
        <is>
          <t>A 62902-2019</t>
        </is>
      </c>
      <c r="B1852" s="1" t="n">
        <v>43790</v>
      </c>
      <c r="C1852" s="1" t="n">
        <v>45810</v>
      </c>
      <c r="D1852" t="inlineStr">
        <is>
          <t>VÄRMLANDS LÄN</t>
        </is>
      </c>
      <c r="E1852" t="inlineStr">
        <is>
          <t>KIL</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62911-2019</t>
        </is>
      </c>
      <c r="B1853" s="1" t="n">
        <v>43790</v>
      </c>
      <c r="C1853" s="1" t="n">
        <v>45810</v>
      </c>
      <c r="D1853" t="inlineStr">
        <is>
          <t>VÄRMLANDS LÄN</t>
        </is>
      </c>
      <c r="E1853" t="inlineStr">
        <is>
          <t>ARVIKA</t>
        </is>
      </c>
      <c r="F1853" t="inlineStr">
        <is>
          <t>Kommuner</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62922-2019</t>
        </is>
      </c>
      <c r="B1854" s="1" t="n">
        <v>43790</v>
      </c>
      <c r="C1854" s="1" t="n">
        <v>45810</v>
      </c>
      <c r="D1854" t="inlineStr">
        <is>
          <t>VÄRMLANDS LÄN</t>
        </is>
      </c>
      <c r="E1854" t="inlineStr">
        <is>
          <t>ARVIKA</t>
        </is>
      </c>
      <c r="F1854" t="inlineStr">
        <is>
          <t>Kommuner</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62932-2019</t>
        </is>
      </c>
      <c r="B1855" s="1" t="n">
        <v>43790</v>
      </c>
      <c r="C1855" s="1" t="n">
        <v>45810</v>
      </c>
      <c r="D1855" t="inlineStr">
        <is>
          <t>VÄRMLANDS LÄN</t>
        </is>
      </c>
      <c r="E1855" t="inlineStr">
        <is>
          <t>SUNNE</t>
        </is>
      </c>
      <c r="F1855" t="inlineStr">
        <is>
          <t>Kommuner</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62917-2019</t>
        </is>
      </c>
      <c r="B1856" s="1" t="n">
        <v>43790</v>
      </c>
      <c r="C1856" s="1" t="n">
        <v>45810</v>
      </c>
      <c r="D1856" t="inlineStr">
        <is>
          <t>VÄRMLANDS LÄN</t>
        </is>
      </c>
      <c r="E1856" t="inlineStr">
        <is>
          <t>ARVIKA</t>
        </is>
      </c>
      <c r="F1856" t="inlineStr">
        <is>
          <t>Kommuner</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62931-2019</t>
        </is>
      </c>
      <c r="B1857" s="1" t="n">
        <v>43790</v>
      </c>
      <c r="C1857" s="1" t="n">
        <v>45810</v>
      </c>
      <c r="D1857" t="inlineStr">
        <is>
          <t>VÄRMLANDS LÄN</t>
        </is>
      </c>
      <c r="E1857" t="inlineStr">
        <is>
          <t>ARVIKA</t>
        </is>
      </c>
      <c r="F1857" t="inlineStr">
        <is>
          <t>Kommuner</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62905-2019</t>
        </is>
      </c>
      <c r="B1858" s="1" t="n">
        <v>43790</v>
      </c>
      <c r="C1858" s="1" t="n">
        <v>45810</v>
      </c>
      <c r="D1858" t="inlineStr">
        <is>
          <t>VÄRMLANDS LÄN</t>
        </is>
      </c>
      <c r="E1858" t="inlineStr">
        <is>
          <t>ARVIKA</t>
        </is>
      </c>
      <c r="F1858" t="inlineStr">
        <is>
          <t>Kommuner</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62989-2019</t>
        </is>
      </c>
      <c r="B1859" s="1" t="n">
        <v>43790</v>
      </c>
      <c r="C1859" s="1" t="n">
        <v>45810</v>
      </c>
      <c r="D1859" t="inlineStr">
        <is>
          <t>VÄRMLANDS LÄN</t>
        </is>
      </c>
      <c r="E1859" t="inlineStr">
        <is>
          <t>STORFORS</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62914-2019</t>
        </is>
      </c>
      <c r="B1860" s="1" t="n">
        <v>43790</v>
      </c>
      <c r="C1860" s="1" t="n">
        <v>45810</v>
      </c>
      <c r="D1860" t="inlineStr">
        <is>
          <t>VÄRMLANDS LÄN</t>
        </is>
      </c>
      <c r="E1860" t="inlineStr">
        <is>
          <t>ARVIKA</t>
        </is>
      </c>
      <c r="F1860" t="inlineStr">
        <is>
          <t>Kommuner</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63890-2019</t>
        </is>
      </c>
      <c r="B1861" s="1" t="n">
        <v>43790</v>
      </c>
      <c r="C1861" s="1" t="n">
        <v>45810</v>
      </c>
      <c r="D1861" t="inlineStr">
        <is>
          <t>VÄRMLANDS LÄN</t>
        </is>
      </c>
      <c r="E1861" t="inlineStr">
        <is>
          <t>KARLSTAD</t>
        </is>
      </c>
      <c r="G1861" t="n">
        <v>4.7</v>
      </c>
      <c r="H1861" t="n">
        <v>0</v>
      </c>
      <c r="I1861" t="n">
        <v>0</v>
      </c>
      <c r="J1861" t="n">
        <v>0</v>
      </c>
      <c r="K1861" t="n">
        <v>0</v>
      </c>
      <c r="L1861" t="n">
        <v>0</v>
      </c>
      <c r="M1861" t="n">
        <v>0</v>
      </c>
      <c r="N1861" t="n">
        <v>0</v>
      </c>
      <c r="O1861" t="n">
        <v>0</v>
      </c>
      <c r="P1861" t="n">
        <v>0</v>
      </c>
      <c r="Q1861" t="n">
        <v>0</v>
      </c>
      <c r="R1861" s="2" t="inlineStr"/>
    </row>
    <row r="1862" ht="15" customHeight="1">
      <c r="A1862" t="inlineStr">
        <is>
          <t>A 62924-2019</t>
        </is>
      </c>
      <c r="B1862" s="1" t="n">
        <v>43790</v>
      </c>
      <c r="C1862" s="1" t="n">
        <v>45810</v>
      </c>
      <c r="D1862" t="inlineStr">
        <is>
          <t>VÄRMLANDS LÄN</t>
        </is>
      </c>
      <c r="E1862" t="inlineStr">
        <is>
          <t>ARVIKA</t>
        </is>
      </c>
      <c r="F1862" t="inlineStr">
        <is>
          <t>Kommuner</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63210-2019</t>
        </is>
      </c>
      <c r="B1863" s="1" t="n">
        <v>43791</v>
      </c>
      <c r="C1863" s="1" t="n">
        <v>45810</v>
      </c>
      <c r="D1863" t="inlineStr">
        <is>
          <t>VÄRMLANDS LÄN</t>
        </is>
      </c>
      <c r="E1863" t="inlineStr">
        <is>
          <t>ÅRJÄNG</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64186-2019</t>
        </is>
      </c>
      <c r="B1864" s="1" t="n">
        <v>43791</v>
      </c>
      <c r="C1864" s="1" t="n">
        <v>45810</v>
      </c>
      <c r="D1864" t="inlineStr">
        <is>
          <t>VÄRMLANDS LÄN</t>
        </is>
      </c>
      <c r="E1864" t="inlineStr">
        <is>
          <t>SUNNE</t>
        </is>
      </c>
      <c r="G1864" t="n">
        <v>5</v>
      </c>
      <c r="H1864" t="n">
        <v>0</v>
      </c>
      <c r="I1864" t="n">
        <v>0</v>
      </c>
      <c r="J1864" t="n">
        <v>0</v>
      </c>
      <c r="K1864" t="n">
        <v>0</v>
      </c>
      <c r="L1864" t="n">
        <v>0</v>
      </c>
      <c r="M1864" t="n">
        <v>0</v>
      </c>
      <c r="N1864" t="n">
        <v>0</v>
      </c>
      <c r="O1864" t="n">
        <v>0</v>
      </c>
      <c r="P1864" t="n">
        <v>0</v>
      </c>
      <c r="Q1864" t="n">
        <v>0</v>
      </c>
      <c r="R1864" s="2" t="inlineStr"/>
    </row>
    <row r="1865" ht="15" customHeight="1">
      <c r="A1865" t="inlineStr">
        <is>
          <t>A 63258-2019</t>
        </is>
      </c>
      <c r="B1865" s="1" t="n">
        <v>43793</v>
      </c>
      <c r="C1865" s="1" t="n">
        <v>45810</v>
      </c>
      <c r="D1865" t="inlineStr">
        <is>
          <t>VÄRMLANDS LÄN</t>
        </is>
      </c>
      <c r="E1865" t="inlineStr">
        <is>
          <t>SUNNE</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63260-2019</t>
        </is>
      </c>
      <c r="B1866" s="1" t="n">
        <v>43793</v>
      </c>
      <c r="C1866" s="1" t="n">
        <v>45810</v>
      </c>
      <c r="D1866" t="inlineStr">
        <is>
          <t>VÄRMLANDS LÄN</t>
        </is>
      </c>
      <c r="E1866" t="inlineStr">
        <is>
          <t>SUNNE</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63253-2019</t>
        </is>
      </c>
      <c r="B1867" s="1" t="n">
        <v>43793</v>
      </c>
      <c r="C1867" s="1" t="n">
        <v>45810</v>
      </c>
      <c r="D1867" t="inlineStr">
        <is>
          <t>VÄRMLANDS LÄN</t>
        </is>
      </c>
      <c r="E1867" t="inlineStr">
        <is>
          <t>KARLSTAD</t>
        </is>
      </c>
      <c r="G1867" t="n">
        <v>7.1</v>
      </c>
      <c r="H1867" t="n">
        <v>0</v>
      </c>
      <c r="I1867" t="n">
        <v>0</v>
      </c>
      <c r="J1867" t="n">
        <v>0</v>
      </c>
      <c r="K1867" t="n">
        <v>0</v>
      </c>
      <c r="L1867" t="n">
        <v>0</v>
      </c>
      <c r="M1867" t="n">
        <v>0</v>
      </c>
      <c r="N1867" t="n">
        <v>0</v>
      </c>
      <c r="O1867" t="n">
        <v>0</v>
      </c>
      <c r="P1867" t="n">
        <v>0</v>
      </c>
      <c r="Q1867" t="n">
        <v>0</v>
      </c>
      <c r="R1867" s="2" t="inlineStr"/>
    </row>
    <row r="1868" ht="15" customHeight="1">
      <c r="A1868" t="inlineStr">
        <is>
          <t>A 63254-2019</t>
        </is>
      </c>
      <c r="B1868" s="1" t="n">
        <v>43793</v>
      </c>
      <c r="C1868" s="1" t="n">
        <v>45810</v>
      </c>
      <c r="D1868" t="inlineStr">
        <is>
          <t>VÄRMLANDS LÄN</t>
        </is>
      </c>
      <c r="E1868" t="inlineStr">
        <is>
          <t>KARLSTAD</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63257-2019</t>
        </is>
      </c>
      <c r="B1869" s="1" t="n">
        <v>43793</v>
      </c>
      <c r="C1869" s="1" t="n">
        <v>45810</v>
      </c>
      <c r="D1869" t="inlineStr">
        <is>
          <t>VÄRMLANDS LÄN</t>
        </is>
      </c>
      <c r="E1869" t="inlineStr">
        <is>
          <t>SUNNE</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63316-2019</t>
        </is>
      </c>
      <c r="B1870" s="1" t="n">
        <v>43794</v>
      </c>
      <c r="C1870" s="1" t="n">
        <v>45810</v>
      </c>
      <c r="D1870" t="inlineStr">
        <is>
          <t>VÄRMLANDS LÄN</t>
        </is>
      </c>
      <c r="E1870" t="inlineStr">
        <is>
          <t>FORSHAGA</t>
        </is>
      </c>
      <c r="G1870" t="n">
        <v>3.8</v>
      </c>
      <c r="H1870" t="n">
        <v>0</v>
      </c>
      <c r="I1870" t="n">
        <v>0</v>
      </c>
      <c r="J1870" t="n">
        <v>0</v>
      </c>
      <c r="K1870" t="n">
        <v>0</v>
      </c>
      <c r="L1870" t="n">
        <v>0</v>
      </c>
      <c r="M1870" t="n">
        <v>0</v>
      </c>
      <c r="N1870" t="n">
        <v>0</v>
      </c>
      <c r="O1870" t="n">
        <v>0</v>
      </c>
      <c r="P1870" t="n">
        <v>0</v>
      </c>
      <c r="Q1870" t="n">
        <v>0</v>
      </c>
      <c r="R1870" s="2" t="inlineStr"/>
    </row>
    <row r="1871" ht="15" customHeight="1">
      <c r="A1871" t="inlineStr">
        <is>
          <t>A 63388-2019</t>
        </is>
      </c>
      <c r="B1871" s="1" t="n">
        <v>43794</v>
      </c>
      <c r="C1871" s="1" t="n">
        <v>45810</v>
      </c>
      <c r="D1871" t="inlineStr">
        <is>
          <t>VÄRMLANDS LÄN</t>
        </is>
      </c>
      <c r="E1871" t="inlineStr">
        <is>
          <t>EDA</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64679-2019</t>
        </is>
      </c>
      <c r="B1872" s="1" t="n">
        <v>43794</v>
      </c>
      <c r="C1872" s="1" t="n">
        <v>45810</v>
      </c>
      <c r="D1872" t="inlineStr">
        <is>
          <t>VÄRMLANDS LÄN</t>
        </is>
      </c>
      <c r="E1872" t="inlineStr">
        <is>
          <t>SÄFFLE</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63620-2019</t>
        </is>
      </c>
      <c r="B1873" s="1" t="n">
        <v>43795</v>
      </c>
      <c r="C1873" s="1" t="n">
        <v>45810</v>
      </c>
      <c r="D1873" t="inlineStr">
        <is>
          <t>VÄRMLANDS LÄN</t>
        </is>
      </c>
      <c r="E1873" t="inlineStr">
        <is>
          <t>KIL</t>
        </is>
      </c>
      <c r="F1873" t="inlineStr">
        <is>
          <t>Kyrkan</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63649-2019</t>
        </is>
      </c>
      <c r="B1874" s="1" t="n">
        <v>43795</v>
      </c>
      <c r="C1874" s="1" t="n">
        <v>45810</v>
      </c>
      <c r="D1874" t="inlineStr">
        <is>
          <t>VÄRMLANDS LÄN</t>
        </is>
      </c>
      <c r="E1874" t="inlineStr">
        <is>
          <t>HAGFORS</t>
        </is>
      </c>
      <c r="F1874" t="inlineStr">
        <is>
          <t>Bergvik skog väst AB</t>
        </is>
      </c>
      <c r="G1874" t="n">
        <v>7.4</v>
      </c>
      <c r="H1874" t="n">
        <v>0</v>
      </c>
      <c r="I1874" t="n">
        <v>0</v>
      </c>
      <c r="J1874" t="n">
        <v>0</v>
      </c>
      <c r="K1874" t="n">
        <v>0</v>
      </c>
      <c r="L1874" t="n">
        <v>0</v>
      </c>
      <c r="M1874" t="n">
        <v>0</v>
      </c>
      <c r="N1874" t="n">
        <v>0</v>
      </c>
      <c r="O1874" t="n">
        <v>0</v>
      </c>
      <c r="P1874" t="n">
        <v>0</v>
      </c>
      <c r="Q1874" t="n">
        <v>0</v>
      </c>
      <c r="R1874" s="2" t="inlineStr"/>
    </row>
    <row r="1875" ht="15" customHeight="1">
      <c r="A1875" t="inlineStr">
        <is>
          <t>A 63743-2019</t>
        </is>
      </c>
      <c r="B1875" s="1" t="n">
        <v>43795</v>
      </c>
      <c r="C1875" s="1" t="n">
        <v>45810</v>
      </c>
      <c r="D1875" t="inlineStr">
        <is>
          <t>VÄRMLANDS LÄN</t>
        </is>
      </c>
      <c r="E1875" t="inlineStr">
        <is>
          <t>TORSBY</t>
        </is>
      </c>
      <c r="F1875" t="inlineStr">
        <is>
          <t>Bergvik skog väst AB</t>
        </is>
      </c>
      <c r="G1875" t="n">
        <v>6.3</v>
      </c>
      <c r="H1875" t="n">
        <v>0</v>
      </c>
      <c r="I1875" t="n">
        <v>0</v>
      </c>
      <c r="J1875" t="n">
        <v>0</v>
      </c>
      <c r="K1875" t="n">
        <v>0</v>
      </c>
      <c r="L1875" t="n">
        <v>0</v>
      </c>
      <c r="M1875" t="n">
        <v>0</v>
      </c>
      <c r="N1875" t="n">
        <v>0</v>
      </c>
      <c r="O1875" t="n">
        <v>0</v>
      </c>
      <c r="P1875" t="n">
        <v>0</v>
      </c>
      <c r="Q1875" t="n">
        <v>0</v>
      </c>
      <c r="R1875" s="2" t="inlineStr"/>
    </row>
    <row r="1876" ht="15" customHeight="1">
      <c r="A1876" t="inlineStr">
        <is>
          <t>A 63761-2019</t>
        </is>
      </c>
      <c r="B1876" s="1" t="n">
        <v>43795</v>
      </c>
      <c r="C1876" s="1" t="n">
        <v>45810</v>
      </c>
      <c r="D1876" t="inlineStr">
        <is>
          <t>VÄRMLANDS LÄN</t>
        </is>
      </c>
      <c r="E1876" t="inlineStr">
        <is>
          <t>HAGFORS</t>
        </is>
      </c>
      <c r="G1876" t="n">
        <v>7.2</v>
      </c>
      <c r="H1876" t="n">
        <v>0</v>
      </c>
      <c r="I1876" t="n">
        <v>0</v>
      </c>
      <c r="J1876" t="n">
        <v>0</v>
      </c>
      <c r="K1876" t="n">
        <v>0</v>
      </c>
      <c r="L1876" t="n">
        <v>0</v>
      </c>
      <c r="M1876" t="n">
        <v>0</v>
      </c>
      <c r="N1876" t="n">
        <v>0</v>
      </c>
      <c r="O1876" t="n">
        <v>0</v>
      </c>
      <c r="P1876" t="n">
        <v>0</v>
      </c>
      <c r="Q1876" t="n">
        <v>0</v>
      </c>
      <c r="R1876" s="2" t="inlineStr"/>
    </row>
    <row r="1877" ht="15" customHeight="1">
      <c r="A1877" t="inlineStr">
        <is>
          <t>A 63775-2019</t>
        </is>
      </c>
      <c r="B1877" s="1" t="n">
        <v>43795</v>
      </c>
      <c r="C1877" s="1" t="n">
        <v>45810</v>
      </c>
      <c r="D1877" t="inlineStr">
        <is>
          <t>VÄRMLANDS LÄN</t>
        </is>
      </c>
      <c r="E1877" t="inlineStr">
        <is>
          <t>GRUMS</t>
        </is>
      </c>
      <c r="G1877" t="n">
        <v>4.4</v>
      </c>
      <c r="H1877" t="n">
        <v>0</v>
      </c>
      <c r="I1877" t="n">
        <v>0</v>
      </c>
      <c r="J1877" t="n">
        <v>0</v>
      </c>
      <c r="K1877" t="n">
        <v>0</v>
      </c>
      <c r="L1877" t="n">
        <v>0</v>
      </c>
      <c r="M1877" t="n">
        <v>0</v>
      </c>
      <c r="N1877" t="n">
        <v>0</v>
      </c>
      <c r="O1877" t="n">
        <v>0</v>
      </c>
      <c r="P1877" t="n">
        <v>0</v>
      </c>
      <c r="Q1877" t="n">
        <v>0</v>
      </c>
      <c r="R1877" s="2" t="inlineStr"/>
    </row>
    <row r="1878" ht="15" customHeight="1">
      <c r="A1878" t="inlineStr">
        <is>
          <t>A 63812-2019</t>
        </is>
      </c>
      <c r="B1878" s="1" t="n">
        <v>43795</v>
      </c>
      <c r="C1878" s="1" t="n">
        <v>45810</v>
      </c>
      <c r="D1878" t="inlineStr">
        <is>
          <t>VÄRMLANDS LÄN</t>
        </is>
      </c>
      <c r="E1878" t="inlineStr">
        <is>
          <t>EDA</t>
        </is>
      </c>
      <c r="G1878" t="n">
        <v>0.2</v>
      </c>
      <c r="H1878" t="n">
        <v>0</v>
      </c>
      <c r="I1878" t="n">
        <v>0</v>
      </c>
      <c r="J1878" t="n">
        <v>0</v>
      </c>
      <c r="K1878" t="n">
        <v>0</v>
      </c>
      <c r="L1878" t="n">
        <v>0</v>
      </c>
      <c r="M1878" t="n">
        <v>0</v>
      </c>
      <c r="N1878" t="n">
        <v>0</v>
      </c>
      <c r="O1878" t="n">
        <v>0</v>
      </c>
      <c r="P1878" t="n">
        <v>0</v>
      </c>
      <c r="Q1878" t="n">
        <v>0</v>
      </c>
      <c r="R1878" s="2" t="inlineStr"/>
    </row>
    <row r="1879" ht="15" customHeight="1">
      <c r="A1879" t="inlineStr">
        <is>
          <t>A 63698-2019</t>
        </is>
      </c>
      <c r="B1879" s="1" t="n">
        <v>43795</v>
      </c>
      <c r="C1879" s="1" t="n">
        <v>45810</v>
      </c>
      <c r="D1879" t="inlineStr">
        <is>
          <t>VÄRMLANDS LÄN</t>
        </is>
      </c>
      <c r="E1879" t="inlineStr">
        <is>
          <t>HAGFORS</t>
        </is>
      </c>
      <c r="F1879" t="inlineStr">
        <is>
          <t>Bergvik skog väst AB</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63560-2019</t>
        </is>
      </c>
      <c r="B1880" s="1" t="n">
        <v>43795</v>
      </c>
      <c r="C1880" s="1" t="n">
        <v>45810</v>
      </c>
      <c r="D1880" t="inlineStr">
        <is>
          <t>VÄRMLANDS LÄN</t>
        </is>
      </c>
      <c r="E1880" t="inlineStr">
        <is>
          <t>MUNKFORS</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64912-2019</t>
        </is>
      </c>
      <c r="B1881" s="1" t="n">
        <v>43795</v>
      </c>
      <c r="C1881" s="1" t="n">
        <v>45810</v>
      </c>
      <c r="D1881" t="inlineStr">
        <is>
          <t>VÄRMLANDS LÄN</t>
        </is>
      </c>
      <c r="E1881" t="inlineStr">
        <is>
          <t>ARVIKA</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64886-2019</t>
        </is>
      </c>
      <c r="B1882" s="1" t="n">
        <v>43795</v>
      </c>
      <c r="C1882" s="1" t="n">
        <v>45810</v>
      </c>
      <c r="D1882" t="inlineStr">
        <is>
          <t>VÄRMLANDS LÄN</t>
        </is>
      </c>
      <c r="E1882" t="inlineStr">
        <is>
          <t>ARVIKA</t>
        </is>
      </c>
      <c r="G1882" t="n">
        <v>11.2</v>
      </c>
      <c r="H1882" t="n">
        <v>0</v>
      </c>
      <c r="I1882" t="n">
        <v>0</v>
      </c>
      <c r="J1882" t="n">
        <v>0</v>
      </c>
      <c r="K1882" t="n">
        <v>0</v>
      </c>
      <c r="L1882" t="n">
        <v>0</v>
      </c>
      <c r="M1882" t="n">
        <v>0</v>
      </c>
      <c r="N1882" t="n">
        <v>0</v>
      </c>
      <c r="O1882" t="n">
        <v>0</v>
      </c>
      <c r="P1882" t="n">
        <v>0</v>
      </c>
      <c r="Q1882" t="n">
        <v>0</v>
      </c>
      <c r="R1882" s="2" t="inlineStr"/>
    </row>
    <row r="1883" ht="15" customHeight="1">
      <c r="A1883" t="inlineStr">
        <is>
          <t>A 63654-2019</t>
        </is>
      </c>
      <c r="B1883" s="1" t="n">
        <v>43795</v>
      </c>
      <c r="C1883" s="1" t="n">
        <v>45810</v>
      </c>
      <c r="D1883" t="inlineStr">
        <is>
          <t>VÄRMLANDS LÄN</t>
        </is>
      </c>
      <c r="E1883" t="inlineStr">
        <is>
          <t>HAGFORS</t>
        </is>
      </c>
      <c r="G1883" t="n">
        <v>7</v>
      </c>
      <c r="H1883" t="n">
        <v>0</v>
      </c>
      <c r="I1883" t="n">
        <v>0</v>
      </c>
      <c r="J1883" t="n">
        <v>0</v>
      </c>
      <c r="K1883" t="n">
        <v>0</v>
      </c>
      <c r="L1883" t="n">
        <v>0</v>
      </c>
      <c r="M1883" t="n">
        <v>0</v>
      </c>
      <c r="N1883" t="n">
        <v>0</v>
      </c>
      <c r="O1883" t="n">
        <v>0</v>
      </c>
      <c r="P1883" t="n">
        <v>0</v>
      </c>
      <c r="Q1883" t="n">
        <v>0</v>
      </c>
      <c r="R1883" s="2" t="inlineStr"/>
    </row>
    <row r="1884" ht="15" customHeight="1">
      <c r="A1884" t="inlineStr">
        <is>
          <t>A 63815-2019</t>
        </is>
      </c>
      <c r="B1884" s="1" t="n">
        <v>43795</v>
      </c>
      <c r="C1884" s="1" t="n">
        <v>45810</v>
      </c>
      <c r="D1884" t="inlineStr">
        <is>
          <t>VÄRMLANDS LÄN</t>
        </is>
      </c>
      <c r="E1884" t="inlineStr">
        <is>
          <t>EDA</t>
        </is>
      </c>
      <c r="G1884" t="n">
        <v>0.2</v>
      </c>
      <c r="H1884" t="n">
        <v>0</v>
      </c>
      <c r="I1884" t="n">
        <v>0</v>
      </c>
      <c r="J1884" t="n">
        <v>0</v>
      </c>
      <c r="K1884" t="n">
        <v>0</v>
      </c>
      <c r="L1884" t="n">
        <v>0</v>
      </c>
      <c r="M1884" t="n">
        <v>0</v>
      </c>
      <c r="N1884" t="n">
        <v>0</v>
      </c>
      <c r="O1884" t="n">
        <v>0</v>
      </c>
      <c r="P1884" t="n">
        <v>0</v>
      </c>
      <c r="Q1884" t="n">
        <v>0</v>
      </c>
      <c r="R1884" s="2" t="inlineStr"/>
    </row>
    <row r="1885" ht="15" customHeight="1">
      <c r="A1885" t="inlineStr">
        <is>
          <t>A 63954-2019</t>
        </is>
      </c>
      <c r="B1885" s="1" t="n">
        <v>43796</v>
      </c>
      <c r="C1885" s="1" t="n">
        <v>45810</v>
      </c>
      <c r="D1885" t="inlineStr">
        <is>
          <t>VÄRMLANDS LÄN</t>
        </is>
      </c>
      <c r="E1885" t="inlineStr">
        <is>
          <t>FORSHAGA</t>
        </is>
      </c>
      <c r="G1885" t="n">
        <v>3.8</v>
      </c>
      <c r="H1885" t="n">
        <v>0</v>
      </c>
      <c r="I1885" t="n">
        <v>0</v>
      </c>
      <c r="J1885" t="n">
        <v>0</v>
      </c>
      <c r="K1885" t="n">
        <v>0</v>
      </c>
      <c r="L1885" t="n">
        <v>0</v>
      </c>
      <c r="M1885" t="n">
        <v>0</v>
      </c>
      <c r="N1885" t="n">
        <v>0</v>
      </c>
      <c r="O1885" t="n">
        <v>0</v>
      </c>
      <c r="P1885" t="n">
        <v>0</v>
      </c>
      <c r="Q1885" t="n">
        <v>0</v>
      </c>
      <c r="R1885" s="2" t="inlineStr"/>
    </row>
    <row r="1886" ht="15" customHeight="1">
      <c r="A1886" t="inlineStr">
        <is>
          <t>A 64063-2019</t>
        </is>
      </c>
      <c r="B1886" s="1" t="n">
        <v>43796</v>
      </c>
      <c r="C1886" s="1" t="n">
        <v>45810</v>
      </c>
      <c r="D1886" t="inlineStr">
        <is>
          <t>VÄRMLANDS LÄN</t>
        </is>
      </c>
      <c r="E1886" t="inlineStr">
        <is>
          <t>KRISTINEHAMN</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64059-2019</t>
        </is>
      </c>
      <c r="B1887" s="1" t="n">
        <v>43796</v>
      </c>
      <c r="C1887" s="1" t="n">
        <v>45810</v>
      </c>
      <c r="D1887" t="inlineStr">
        <is>
          <t>VÄRMLANDS LÄN</t>
        </is>
      </c>
      <c r="E1887" t="inlineStr">
        <is>
          <t>KRISTINEHAMN</t>
        </is>
      </c>
      <c r="G1887" t="n">
        <v>3.2</v>
      </c>
      <c r="H1887" t="n">
        <v>0</v>
      </c>
      <c r="I1887" t="n">
        <v>0</v>
      </c>
      <c r="J1887" t="n">
        <v>0</v>
      </c>
      <c r="K1887" t="n">
        <v>0</v>
      </c>
      <c r="L1887" t="n">
        <v>0</v>
      </c>
      <c r="M1887" t="n">
        <v>0</v>
      </c>
      <c r="N1887" t="n">
        <v>0</v>
      </c>
      <c r="O1887" t="n">
        <v>0</v>
      </c>
      <c r="P1887" t="n">
        <v>0</v>
      </c>
      <c r="Q1887" t="n">
        <v>0</v>
      </c>
      <c r="R1887" s="2" t="inlineStr"/>
    </row>
    <row r="1888" ht="15" customHeight="1">
      <c r="A1888" t="inlineStr">
        <is>
          <t>A 64114-2019</t>
        </is>
      </c>
      <c r="B1888" s="1" t="n">
        <v>43796</v>
      </c>
      <c r="C1888" s="1" t="n">
        <v>45810</v>
      </c>
      <c r="D1888" t="inlineStr">
        <is>
          <t>VÄRMLANDS LÄN</t>
        </is>
      </c>
      <c r="E1888" t="inlineStr">
        <is>
          <t>TORSBY</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64207-2019</t>
        </is>
      </c>
      <c r="B1889" s="1" t="n">
        <v>43797</v>
      </c>
      <c r="C1889" s="1" t="n">
        <v>45810</v>
      </c>
      <c r="D1889" t="inlineStr">
        <is>
          <t>VÄRMLANDS LÄN</t>
        </is>
      </c>
      <c r="E1889" t="inlineStr">
        <is>
          <t>KARLSTAD</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64342-2019</t>
        </is>
      </c>
      <c r="B1890" s="1" t="n">
        <v>43797</v>
      </c>
      <c r="C1890" s="1" t="n">
        <v>45810</v>
      </c>
      <c r="D1890" t="inlineStr">
        <is>
          <t>VÄRMLANDS LÄN</t>
        </is>
      </c>
      <c r="E1890" t="inlineStr">
        <is>
          <t>FILIPSTAD</t>
        </is>
      </c>
      <c r="F1890" t="inlineStr">
        <is>
          <t>Bergvik skog väst AB</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64219-2019</t>
        </is>
      </c>
      <c r="B1891" s="1" t="n">
        <v>43797</v>
      </c>
      <c r="C1891" s="1" t="n">
        <v>45810</v>
      </c>
      <c r="D1891" t="inlineStr">
        <is>
          <t>VÄRMLANDS LÄN</t>
        </is>
      </c>
      <c r="E1891" t="inlineStr">
        <is>
          <t>SÄFFLE</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64343-2019</t>
        </is>
      </c>
      <c r="B1892" s="1" t="n">
        <v>43797</v>
      </c>
      <c r="C1892" s="1" t="n">
        <v>45810</v>
      </c>
      <c r="D1892" t="inlineStr">
        <is>
          <t>VÄRMLANDS LÄN</t>
        </is>
      </c>
      <c r="E1892" t="inlineStr">
        <is>
          <t>FILIPSTAD</t>
        </is>
      </c>
      <c r="F1892" t="inlineStr">
        <is>
          <t>Bergvik skog väst AB</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64444-2019</t>
        </is>
      </c>
      <c r="B1893" s="1" t="n">
        <v>43797</v>
      </c>
      <c r="C1893" s="1" t="n">
        <v>45810</v>
      </c>
      <c r="D1893" t="inlineStr">
        <is>
          <t>VÄRMLANDS LÄN</t>
        </is>
      </c>
      <c r="E1893" t="inlineStr">
        <is>
          <t>TORSBY</t>
        </is>
      </c>
      <c r="G1893" t="n">
        <v>3.5</v>
      </c>
      <c r="H1893" t="n">
        <v>0</v>
      </c>
      <c r="I1893" t="n">
        <v>0</v>
      </c>
      <c r="J1893" t="n">
        <v>0</v>
      </c>
      <c r="K1893" t="n">
        <v>0</v>
      </c>
      <c r="L1893" t="n">
        <v>0</v>
      </c>
      <c r="M1893" t="n">
        <v>0</v>
      </c>
      <c r="N1893" t="n">
        <v>0</v>
      </c>
      <c r="O1893" t="n">
        <v>0</v>
      </c>
      <c r="P1893" t="n">
        <v>0</v>
      </c>
      <c r="Q1893" t="n">
        <v>0</v>
      </c>
      <c r="R1893" s="2" t="inlineStr"/>
    </row>
    <row r="1894" ht="15" customHeight="1">
      <c r="A1894" t="inlineStr">
        <is>
          <t>A 64353-2019</t>
        </is>
      </c>
      <c r="B1894" s="1" t="n">
        <v>43797</v>
      </c>
      <c r="C1894" s="1" t="n">
        <v>45810</v>
      </c>
      <c r="D1894" t="inlineStr">
        <is>
          <t>VÄRMLANDS LÄN</t>
        </is>
      </c>
      <c r="E1894" t="inlineStr">
        <is>
          <t>FILIPSTAD</t>
        </is>
      </c>
      <c r="F1894" t="inlineStr">
        <is>
          <t>Bergvik skog väst AB</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64238-2019</t>
        </is>
      </c>
      <c r="B1895" s="1" t="n">
        <v>43797</v>
      </c>
      <c r="C1895" s="1" t="n">
        <v>45810</v>
      </c>
      <c r="D1895" t="inlineStr">
        <is>
          <t>VÄRMLANDS LÄN</t>
        </is>
      </c>
      <c r="E1895" t="inlineStr">
        <is>
          <t>MUNKFORS</t>
        </is>
      </c>
      <c r="F1895" t="inlineStr">
        <is>
          <t>Bergvik skog väst AB</t>
        </is>
      </c>
      <c r="G1895" t="n">
        <v>4.3</v>
      </c>
      <c r="H1895" t="n">
        <v>0</v>
      </c>
      <c r="I1895" t="n">
        <v>0</v>
      </c>
      <c r="J1895" t="n">
        <v>0</v>
      </c>
      <c r="K1895" t="n">
        <v>0</v>
      </c>
      <c r="L1895" t="n">
        <v>0</v>
      </c>
      <c r="M1895" t="n">
        <v>0</v>
      </c>
      <c r="N1895" t="n">
        <v>0</v>
      </c>
      <c r="O1895" t="n">
        <v>0</v>
      </c>
      <c r="P1895" t="n">
        <v>0</v>
      </c>
      <c r="Q1895" t="n">
        <v>0</v>
      </c>
      <c r="R1895" s="2" t="inlineStr"/>
    </row>
    <row r="1896" ht="15" customHeight="1">
      <c r="A1896" t="inlineStr">
        <is>
          <t>A 65187-2019</t>
        </is>
      </c>
      <c r="B1896" s="1" t="n">
        <v>43797</v>
      </c>
      <c r="C1896" s="1" t="n">
        <v>45810</v>
      </c>
      <c r="D1896" t="inlineStr">
        <is>
          <t>VÄRMLANDS LÄN</t>
        </is>
      </c>
      <c r="E1896" t="inlineStr">
        <is>
          <t>TORSBY</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65243-2019</t>
        </is>
      </c>
      <c r="B1897" s="1" t="n">
        <v>43797</v>
      </c>
      <c r="C1897" s="1" t="n">
        <v>45810</v>
      </c>
      <c r="D1897" t="inlineStr">
        <is>
          <t>VÄRMLANDS LÄN</t>
        </is>
      </c>
      <c r="E1897" t="inlineStr">
        <is>
          <t>TORSBY</t>
        </is>
      </c>
      <c r="F1897" t="inlineStr">
        <is>
          <t>Övriga statliga verk och myndigheter</t>
        </is>
      </c>
      <c r="G1897" t="n">
        <v>20.3</v>
      </c>
      <c r="H1897" t="n">
        <v>0</v>
      </c>
      <c r="I1897" t="n">
        <v>0</v>
      </c>
      <c r="J1897" t="n">
        <v>0</v>
      </c>
      <c r="K1897" t="n">
        <v>0</v>
      </c>
      <c r="L1897" t="n">
        <v>0</v>
      </c>
      <c r="M1897" t="n">
        <v>0</v>
      </c>
      <c r="N1897" t="n">
        <v>0</v>
      </c>
      <c r="O1897" t="n">
        <v>0</v>
      </c>
      <c r="P1897" t="n">
        <v>0</v>
      </c>
      <c r="Q1897" t="n">
        <v>0</v>
      </c>
      <c r="R1897" s="2" t="inlineStr"/>
    </row>
    <row r="1898" ht="15" customHeight="1">
      <c r="A1898" t="inlineStr">
        <is>
          <t>A 64491-2019</t>
        </is>
      </c>
      <c r="B1898" s="1" t="n">
        <v>43798</v>
      </c>
      <c r="C1898" s="1" t="n">
        <v>45810</v>
      </c>
      <c r="D1898" t="inlineStr">
        <is>
          <t>VÄRMLANDS LÄN</t>
        </is>
      </c>
      <c r="E1898" t="inlineStr">
        <is>
          <t>STORFORS</t>
        </is>
      </c>
      <c r="F1898" t="inlineStr">
        <is>
          <t>Bergvik skog väst AB</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64510-2019</t>
        </is>
      </c>
      <c r="B1899" s="1" t="n">
        <v>43798</v>
      </c>
      <c r="C1899" s="1" t="n">
        <v>45810</v>
      </c>
      <c r="D1899" t="inlineStr">
        <is>
          <t>VÄRMLANDS LÄN</t>
        </is>
      </c>
      <c r="E1899" t="inlineStr">
        <is>
          <t>ARVIKA</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64609-2019</t>
        </is>
      </c>
      <c r="B1900" s="1" t="n">
        <v>43798</v>
      </c>
      <c r="C1900" s="1" t="n">
        <v>45810</v>
      </c>
      <c r="D1900" t="inlineStr">
        <is>
          <t>VÄRMLANDS LÄN</t>
        </is>
      </c>
      <c r="E1900" t="inlineStr">
        <is>
          <t>ARVIKA</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64548-2019</t>
        </is>
      </c>
      <c r="B1901" s="1" t="n">
        <v>43798</v>
      </c>
      <c r="C1901" s="1" t="n">
        <v>45810</v>
      </c>
      <c r="D1901" t="inlineStr">
        <is>
          <t>VÄRMLANDS LÄN</t>
        </is>
      </c>
      <c r="E1901" t="inlineStr">
        <is>
          <t>SÄFFLE</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64519-2019</t>
        </is>
      </c>
      <c r="B1902" s="1" t="n">
        <v>43798</v>
      </c>
      <c r="C1902" s="1" t="n">
        <v>45810</v>
      </c>
      <c r="D1902" t="inlineStr">
        <is>
          <t>VÄRMLANDS LÄN</t>
        </is>
      </c>
      <c r="E1902" t="inlineStr">
        <is>
          <t>ARVIKA</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65901-2019</t>
        </is>
      </c>
      <c r="B1903" s="1" t="n">
        <v>43798</v>
      </c>
      <c r="C1903" s="1" t="n">
        <v>45810</v>
      </c>
      <c r="D1903" t="inlineStr">
        <is>
          <t>VÄRMLANDS LÄN</t>
        </is>
      </c>
      <c r="E1903" t="inlineStr">
        <is>
          <t>KRISTINEHAMN</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64803-2019</t>
        </is>
      </c>
      <c r="B1904" s="1" t="n">
        <v>43801</v>
      </c>
      <c r="C1904" s="1" t="n">
        <v>45810</v>
      </c>
      <c r="D1904" t="inlineStr">
        <is>
          <t>VÄRMLANDS LÄN</t>
        </is>
      </c>
      <c r="E1904" t="inlineStr">
        <is>
          <t>TORSBY</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64823-2019</t>
        </is>
      </c>
      <c r="B1905" s="1" t="n">
        <v>43801</v>
      </c>
      <c r="C1905" s="1" t="n">
        <v>45810</v>
      </c>
      <c r="D1905" t="inlineStr">
        <is>
          <t>VÄRMLANDS LÄN</t>
        </is>
      </c>
      <c r="E1905" t="inlineStr">
        <is>
          <t>KRISTINEHAMN</t>
        </is>
      </c>
      <c r="G1905" t="n">
        <v>0.4</v>
      </c>
      <c r="H1905" t="n">
        <v>0</v>
      </c>
      <c r="I1905" t="n">
        <v>0</v>
      </c>
      <c r="J1905" t="n">
        <v>0</v>
      </c>
      <c r="K1905" t="n">
        <v>0</v>
      </c>
      <c r="L1905" t="n">
        <v>0</v>
      </c>
      <c r="M1905" t="n">
        <v>0</v>
      </c>
      <c r="N1905" t="n">
        <v>0</v>
      </c>
      <c r="O1905" t="n">
        <v>0</v>
      </c>
      <c r="P1905" t="n">
        <v>0</v>
      </c>
      <c r="Q1905" t="n">
        <v>0</v>
      </c>
      <c r="R1905" s="2" t="inlineStr"/>
    </row>
    <row r="1906" ht="15" customHeight="1">
      <c r="A1906" t="inlineStr">
        <is>
          <t>A 64801-2019</t>
        </is>
      </c>
      <c r="B1906" s="1" t="n">
        <v>43801</v>
      </c>
      <c r="C1906" s="1" t="n">
        <v>45810</v>
      </c>
      <c r="D1906" t="inlineStr">
        <is>
          <t>VÄRMLANDS LÄN</t>
        </is>
      </c>
      <c r="E1906" t="inlineStr">
        <is>
          <t>KRISTINEHAMN</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64813-2019</t>
        </is>
      </c>
      <c r="B1907" s="1" t="n">
        <v>43801</v>
      </c>
      <c r="C1907" s="1" t="n">
        <v>45810</v>
      </c>
      <c r="D1907" t="inlineStr">
        <is>
          <t>VÄRMLANDS LÄN</t>
        </is>
      </c>
      <c r="E1907" t="inlineStr">
        <is>
          <t>SUNNE</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64796-2019</t>
        </is>
      </c>
      <c r="B1908" s="1" t="n">
        <v>43801</v>
      </c>
      <c r="C1908" s="1" t="n">
        <v>45810</v>
      </c>
      <c r="D1908" t="inlineStr">
        <is>
          <t>VÄRMLANDS LÄN</t>
        </is>
      </c>
      <c r="E1908" t="inlineStr">
        <is>
          <t>KARLSTAD</t>
        </is>
      </c>
      <c r="F1908" t="inlineStr">
        <is>
          <t>Kyrkan</t>
        </is>
      </c>
      <c r="G1908" t="n">
        <v>3.5</v>
      </c>
      <c r="H1908" t="n">
        <v>0</v>
      </c>
      <c r="I1908" t="n">
        <v>0</v>
      </c>
      <c r="J1908" t="n">
        <v>0</v>
      </c>
      <c r="K1908" t="n">
        <v>0</v>
      </c>
      <c r="L1908" t="n">
        <v>0</v>
      </c>
      <c r="M1908" t="n">
        <v>0</v>
      </c>
      <c r="N1908" t="n">
        <v>0</v>
      </c>
      <c r="O1908" t="n">
        <v>0</v>
      </c>
      <c r="P1908" t="n">
        <v>0</v>
      </c>
      <c r="Q1908" t="n">
        <v>0</v>
      </c>
      <c r="R1908" s="2" t="inlineStr"/>
    </row>
    <row r="1909" ht="15" customHeight="1">
      <c r="A1909" t="inlineStr">
        <is>
          <t>A 65005-2019</t>
        </is>
      </c>
      <c r="B1909" s="1" t="n">
        <v>43801</v>
      </c>
      <c r="C1909" s="1" t="n">
        <v>45810</v>
      </c>
      <c r="D1909" t="inlineStr">
        <is>
          <t>VÄRMLANDS LÄN</t>
        </is>
      </c>
      <c r="E1909" t="inlineStr">
        <is>
          <t>HAGFORS</t>
        </is>
      </c>
      <c r="F1909" t="inlineStr">
        <is>
          <t>Bergvik skog väst AB</t>
        </is>
      </c>
      <c r="G1909" t="n">
        <v>4.6</v>
      </c>
      <c r="H1909" t="n">
        <v>0</v>
      </c>
      <c r="I1909" t="n">
        <v>0</v>
      </c>
      <c r="J1909" t="n">
        <v>0</v>
      </c>
      <c r="K1909" t="n">
        <v>0</v>
      </c>
      <c r="L1909" t="n">
        <v>0</v>
      </c>
      <c r="M1909" t="n">
        <v>0</v>
      </c>
      <c r="N1909" t="n">
        <v>0</v>
      </c>
      <c r="O1909" t="n">
        <v>0</v>
      </c>
      <c r="P1909" t="n">
        <v>0</v>
      </c>
      <c r="Q1909" t="n">
        <v>0</v>
      </c>
      <c r="R1909" s="2" t="inlineStr"/>
    </row>
    <row r="1910" ht="15" customHeight="1">
      <c r="A1910" t="inlineStr">
        <is>
          <t>A 64814-2019</t>
        </is>
      </c>
      <c r="B1910" s="1" t="n">
        <v>43801</v>
      </c>
      <c r="C1910" s="1" t="n">
        <v>45810</v>
      </c>
      <c r="D1910" t="inlineStr">
        <is>
          <t>VÄRMLANDS LÄN</t>
        </is>
      </c>
      <c r="E1910" t="inlineStr">
        <is>
          <t>SUNNE</t>
        </is>
      </c>
      <c r="G1910" t="n">
        <v>5.7</v>
      </c>
      <c r="H1910" t="n">
        <v>0</v>
      </c>
      <c r="I1910" t="n">
        <v>0</v>
      </c>
      <c r="J1910" t="n">
        <v>0</v>
      </c>
      <c r="K1910" t="n">
        <v>0</v>
      </c>
      <c r="L1910" t="n">
        <v>0</v>
      </c>
      <c r="M1910" t="n">
        <v>0</v>
      </c>
      <c r="N1910" t="n">
        <v>0</v>
      </c>
      <c r="O1910" t="n">
        <v>0</v>
      </c>
      <c r="P1910" t="n">
        <v>0</v>
      </c>
      <c r="Q1910" t="n">
        <v>0</v>
      </c>
      <c r="R1910" s="2" t="inlineStr"/>
    </row>
    <row r="1911" ht="15" customHeight="1">
      <c r="A1911" t="inlineStr">
        <is>
          <t>A 65089-2019</t>
        </is>
      </c>
      <c r="B1911" s="1" t="n">
        <v>43802</v>
      </c>
      <c r="C1911" s="1" t="n">
        <v>45810</v>
      </c>
      <c r="D1911" t="inlineStr">
        <is>
          <t>VÄRMLANDS LÄN</t>
        </is>
      </c>
      <c r="E1911" t="inlineStr">
        <is>
          <t>FILIPSTAD</t>
        </is>
      </c>
      <c r="F1911" t="inlineStr">
        <is>
          <t>Bergvik skog väst AB</t>
        </is>
      </c>
      <c r="G1911" t="n">
        <v>9.1</v>
      </c>
      <c r="H1911" t="n">
        <v>0</v>
      </c>
      <c r="I1911" t="n">
        <v>0</v>
      </c>
      <c r="J1911" t="n">
        <v>0</v>
      </c>
      <c r="K1911" t="n">
        <v>0</v>
      </c>
      <c r="L1911" t="n">
        <v>0</v>
      </c>
      <c r="M1911" t="n">
        <v>0</v>
      </c>
      <c r="N1911" t="n">
        <v>0</v>
      </c>
      <c r="O1911" t="n">
        <v>0</v>
      </c>
      <c r="P1911" t="n">
        <v>0</v>
      </c>
      <c r="Q1911" t="n">
        <v>0</v>
      </c>
      <c r="R1911" s="2" t="inlineStr"/>
    </row>
    <row r="1912" ht="15" customHeight="1">
      <c r="A1912" t="inlineStr">
        <is>
          <t>A 65132-2019</t>
        </is>
      </c>
      <c r="B1912" s="1" t="n">
        <v>43802</v>
      </c>
      <c r="C1912" s="1" t="n">
        <v>45810</v>
      </c>
      <c r="D1912" t="inlineStr">
        <is>
          <t>VÄRMLANDS LÄN</t>
        </is>
      </c>
      <c r="E1912" t="inlineStr">
        <is>
          <t>TORSBY</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65072-2019</t>
        </is>
      </c>
      <c r="B1913" s="1" t="n">
        <v>43802</v>
      </c>
      <c r="C1913" s="1" t="n">
        <v>45810</v>
      </c>
      <c r="D1913" t="inlineStr">
        <is>
          <t>VÄRMLANDS LÄN</t>
        </is>
      </c>
      <c r="E1913" t="inlineStr">
        <is>
          <t>HAGFORS</t>
        </is>
      </c>
      <c r="F1913" t="inlineStr">
        <is>
          <t>Bergvik skog väst AB</t>
        </is>
      </c>
      <c r="G1913" t="n">
        <v>4.6</v>
      </c>
      <c r="H1913" t="n">
        <v>0</v>
      </c>
      <c r="I1913" t="n">
        <v>0</v>
      </c>
      <c r="J1913" t="n">
        <v>0</v>
      </c>
      <c r="K1913" t="n">
        <v>0</v>
      </c>
      <c r="L1913" t="n">
        <v>0</v>
      </c>
      <c r="M1913" t="n">
        <v>0</v>
      </c>
      <c r="N1913" t="n">
        <v>0</v>
      </c>
      <c r="O1913" t="n">
        <v>0</v>
      </c>
      <c r="P1913" t="n">
        <v>0</v>
      </c>
      <c r="Q1913" t="n">
        <v>0</v>
      </c>
      <c r="R1913" s="2" t="inlineStr"/>
    </row>
    <row r="1914" ht="15" customHeight="1">
      <c r="A1914" t="inlineStr">
        <is>
          <t>A 65114-2019</t>
        </is>
      </c>
      <c r="B1914" s="1" t="n">
        <v>43802</v>
      </c>
      <c r="C1914" s="1" t="n">
        <v>45810</v>
      </c>
      <c r="D1914" t="inlineStr">
        <is>
          <t>VÄRMLANDS LÄN</t>
        </is>
      </c>
      <c r="E1914" t="inlineStr">
        <is>
          <t>KRISTINEHAMN</t>
        </is>
      </c>
      <c r="G1914" t="n">
        <v>0.4</v>
      </c>
      <c r="H1914" t="n">
        <v>0</v>
      </c>
      <c r="I1914" t="n">
        <v>0</v>
      </c>
      <c r="J1914" t="n">
        <v>0</v>
      </c>
      <c r="K1914" t="n">
        <v>0</v>
      </c>
      <c r="L1914" t="n">
        <v>0</v>
      </c>
      <c r="M1914" t="n">
        <v>0</v>
      </c>
      <c r="N1914" t="n">
        <v>0</v>
      </c>
      <c r="O1914" t="n">
        <v>0</v>
      </c>
      <c r="P1914" t="n">
        <v>0</v>
      </c>
      <c r="Q1914" t="n">
        <v>0</v>
      </c>
      <c r="R1914" s="2" t="inlineStr"/>
    </row>
    <row r="1915" ht="15" customHeight="1">
      <c r="A1915" t="inlineStr">
        <is>
          <t>A 65120-2019</t>
        </is>
      </c>
      <c r="B1915" s="1" t="n">
        <v>43802</v>
      </c>
      <c r="C1915" s="1" t="n">
        <v>45810</v>
      </c>
      <c r="D1915" t="inlineStr">
        <is>
          <t>VÄRMLANDS LÄN</t>
        </is>
      </c>
      <c r="E1915" t="inlineStr">
        <is>
          <t>KRISTINEHAMN</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65156-2019</t>
        </is>
      </c>
      <c r="B1916" s="1" t="n">
        <v>43802</v>
      </c>
      <c r="C1916" s="1" t="n">
        <v>45810</v>
      </c>
      <c r="D1916" t="inlineStr">
        <is>
          <t>VÄRMLANDS LÄN</t>
        </is>
      </c>
      <c r="E1916" t="inlineStr">
        <is>
          <t>SUNNE</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65205-2019</t>
        </is>
      </c>
      <c r="B1917" s="1" t="n">
        <v>43802</v>
      </c>
      <c r="C1917" s="1" t="n">
        <v>45810</v>
      </c>
      <c r="D1917" t="inlineStr">
        <is>
          <t>VÄRMLANDS LÄN</t>
        </is>
      </c>
      <c r="E1917" t="inlineStr">
        <is>
          <t>ARVIKA</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66267-2019</t>
        </is>
      </c>
      <c r="B1918" s="1" t="n">
        <v>43802</v>
      </c>
      <c r="C1918" s="1" t="n">
        <v>45810</v>
      </c>
      <c r="D1918" t="inlineStr">
        <is>
          <t>VÄRMLANDS LÄN</t>
        </is>
      </c>
      <c r="E1918" t="inlineStr">
        <is>
          <t>ÅRJÄNG</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66439-2019</t>
        </is>
      </c>
      <c r="B1919" s="1" t="n">
        <v>43802</v>
      </c>
      <c r="C1919" s="1" t="n">
        <v>45810</v>
      </c>
      <c r="D1919" t="inlineStr">
        <is>
          <t>VÄRMLANDS LÄN</t>
        </is>
      </c>
      <c r="E1919" t="inlineStr">
        <is>
          <t>FORSHAGA</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65076-2019</t>
        </is>
      </c>
      <c r="B1920" s="1" t="n">
        <v>43802</v>
      </c>
      <c r="C1920" s="1" t="n">
        <v>45810</v>
      </c>
      <c r="D1920" t="inlineStr">
        <is>
          <t>VÄRMLANDS LÄN</t>
        </is>
      </c>
      <c r="E1920" t="inlineStr">
        <is>
          <t>TORSBY</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65302-2019</t>
        </is>
      </c>
      <c r="B1921" s="1" t="n">
        <v>43802</v>
      </c>
      <c r="C1921" s="1" t="n">
        <v>45810</v>
      </c>
      <c r="D1921" t="inlineStr">
        <is>
          <t>VÄRMLANDS LÄN</t>
        </is>
      </c>
      <c r="E1921" t="inlineStr">
        <is>
          <t>MUNKFORS</t>
        </is>
      </c>
      <c r="F1921" t="inlineStr">
        <is>
          <t>Bergvik skog väst AB</t>
        </is>
      </c>
      <c r="G1921" t="n">
        <v>3.8</v>
      </c>
      <c r="H1921" t="n">
        <v>0</v>
      </c>
      <c r="I1921" t="n">
        <v>0</v>
      </c>
      <c r="J1921" t="n">
        <v>0</v>
      </c>
      <c r="K1921" t="n">
        <v>0</v>
      </c>
      <c r="L1921" t="n">
        <v>0</v>
      </c>
      <c r="M1921" t="n">
        <v>0</v>
      </c>
      <c r="N1921" t="n">
        <v>0</v>
      </c>
      <c r="O1921" t="n">
        <v>0</v>
      </c>
      <c r="P1921" t="n">
        <v>0</v>
      </c>
      <c r="Q1921" t="n">
        <v>0</v>
      </c>
      <c r="R1921" s="2" t="inlineStr"/>
    </row>
    <row r="1922" ht="15" customHeight="1">
      <c r="A1922" t="inlineStr">
        <is>
          <t>A 65078-2019</t>
        </is>
      </c>
      <c r="B1922" s="1" t="n">
        <v>43802</v>
      </c>
      <c r="C1922" s="1" t="n">
        <v>45810</v>
      </c>
      <c r="D1922" t="inlineStr">
        <is>
          <t>VÄRMLANDS LÄN</t>
        </is>
      </c>
      <c r="E1922" t="inlineStr">
        <is>
          <t>FILIPSTAD</t>
        </is>
      </c>
      <c r="F1922" t="inlineStr">
        <is>
          <t>Bergvik skog väst AB</t>
        </is>
      </c>
      <c r="G1922" t="n">
        <v>7.6</v>
      </c>
      <c r="H1922" t="n">
        <v>0</v>
      </c>
      <c r="I1922" t="n">
        <v>0</v>
      </c>
      <c r="J1922" t="n">
        <v>0</v>
      </c>
      <c r="K1922" t="n">
        <v>0</v>
      </c>
      <c r="L1922" t="n">
        <v>0</v>
      </c>
      <c r="M1922" t="n">
        <v>0</v>
      </c>
      <c r="N1922" t="n">
        <v>0</v>
      </c>
      <c r="O1922" t="n">
        <v>0</v>
      </c>
      <c r="P1922" t="n">
        <v>0</v>
      </c>
      <c r="Q1922" t="n">
        <v>0</v>
      </c>
      <c r="R1922" s="2" t="inlineStr"/>
    </row>
    <row r="1923" ht="15" customHeight="1">
      <c r="A1923" t="inlineStr">
        <is>
          <t>A 65125-2019</t>
        </is>
      </c>
      <c r="B1923" s="1" t="n">
        <v>43802</v>
      </c>
      <c r="C1923" s="1" t="n">
        <v>45810</v>
      </c>
      <c r="D1923" t="inlineStr">
        <is>
          <t>VÄRMLANDS LÄN</t>
        </is>
      </c>
      <c r="E1923" t="inlineStr">
        <is>
          <t>KRISTINEHAMN</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65158-2019</t>
        </is>
      </c>
      <c r="B1924" s="1" t="n">
        <v>43802</v>
      </c>
      <c r="C1924" s="1" t="n">
        <v>45810</v>
      </c>
      <c r="D1924" t="inlineStr">
        <is>
          <t>VÄRMLANDS LÄN</t>
        </is>
      </c>
      <c r="E1924" t="inlineStr">
        <is>
          <t>FORSHAGA</t>
        </is>
      </c>
      <c r="G1924" t="n">
        <v>3.2</v>
      </c>
      <c r="H1924" t="n">
        <v>0</v>
      </c>
      <c r="I1924" t="n">
        <v>0</v>
      </c>
      <c r="J1924" t="n">
        <v>0</v>
      </c>
      <c r="K1924" t="n">
        <v>0</v>
      </c>
      <c r="L1924" t="n">
        <v>0</v>
      </c>
      <c r="M1924" t="n">
        <v>0</v>
      </c>
      <c r="N1924" t="n">
        <v>0</v>
      </c>
      <c r="O1924" t="n">
        <v>0</v>
      </c>
      <c r="P1924" t="n">
        <v>0</v>
      </c>
      <c r="Q1924" t="n">
        <v>0</v>
      </c>
      <c r="R1924" s="2" t="inlineStr"/>
    </row>
    <row r="1925" ht="15" customHeight="1">
      <c r="A1925" t="inlineStr">
        <is>
          <t>A 65235-2019</t>
        </is>
      </c>
      <c r="B1925" s="1" t="n">
        <v>43802</v>
      </c>
      <c r="C1925" s="1" t="n">
        <v>45810</v>
      </c>
      <c r="D1925" t="inlineStr">
        <is>
          <t>VÄRMLANDS LÄN</t>
        </is>
      </c>
      <c r="E1925" t="inlineStr">
        <is>
          <t>FILIPSTAD</t>
        </is>
      </c>
      <c r="F1925" t="inlineStr">
        <is>
          <t>Bergvik skog väst AB</t>
        </is>
      </c>
      <c r="G1925" t="n">
        <v>5.9</v>
      </c>
      <c r="H1925" t="n">
        <v>0</v>
      </c>
      <c r="I1925" t="n">
        <v>0</v>
      </c>
      <c r="J1925" t="n">
        <v>0</v>
      </c>
      <c r="K1925" t="n">
        <v>0</v>
      </c>
      <c r="L1925" t="n">
        <v>0</v>
      </c>
      <c r="M1925" t="n">
        <v>0</v>
      </c>
      <c r="N1925" t="n">
        <v>0</v>
      </c>
      <c r="O1925" t="n">
        <v>0</v>
      </c>
      <c r="P1925" t="n">
        <v>0</v>
      </c>
      <c r="Q1925" t="n">
        <v>0</v>
      </c>
      <c r="R1925" s="2" t="inlineStr"/>
    </row>
    <row r="1926" ht="15" customHeight="1">
      <c r="A1926" t="inlineStr">
        <is>
          <t>A 66438-2019</t>
        </is>
      </c>
      <c r="B1926" s="1" t="n">
        <v>43802</v>
      </c>
      <c r="C1926" s="1" t="n">
        <v>45810</v>
      </c>
      <c r="D1926" t="inlineStr">
        <is>
          <t>VÄRMLANDS LÄN</t>
        </is>
      </c>
      <c r="E1926" t="inlineStr">
        <is>
          <t>FORSHAGA</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65402-2019</t>
        </is>
      </c>
      <c r="B1927" s="1" t="n">
        <v>43803</v>
      </c>
      <c r="C1927" s="1" t="n">
        <v>45810</v>
      </c>
      <c r="D1927" t="inlineStr">
        <is>
          <t>VÄRMLANDS LÄN</t>
        </is>
      </c>
      <c r="E1927" t="inlineStr">
        <is>
          <t>SÄFFLE</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65345-2019</t>
        </is>
      </c>
      <c r="B1928" s="1" t="n">
        <v>43803</v>
      </c>
      <c r="C1928" s="1" t="n">
        <v>45810</v>
      </c>
      <c r="D1928" t="inlineStr">
        <is>
          <t>VÄRMLANDS LÄN</t>
        </is>
      </c>
      <c r="E1928" t="inlineStr">
        <is>
          <t>FILIPSTAD</t>
        </is>
      </c>
      <c r="F1928" t="inlineStr">
        <is>
          <t>Bergvik skog väst AB</t>
        </is>
      </c>
      <c r="G1928" t="n">
        <v>8.1</v>
      </c>
      <c r="H1928" t="n">
        <v>0</v>
      </c>
      <c r="I1928" t="n">
        <v>0</v>
      </c>
      <c r="J1928" t="n">
        <v>0</v>
      </c>
      <c r="K1928" t="n">
        <v>0</v>
      </c>
      <c r="L1928" t="n">
        <v>0</v>
      </c>
      <c r="M1928" t="n">
        <v>0</v>
      </c>
      <c r="N1928" t="n">
        <v>0</v>
      </c>
      <c r="O1928" t="n">
        <v>0</v>
      </c>
      <c r="P1928" t="n">
        <v>0</v>
      </c>
      <c r="Q1928" t="n">
        <v>0</v>
      </c>
      <c r="R1928" s="2" t="inlineStr"/>
    </row>
    <row r="1929" ht="15" customHeight="1">
      <c r="A1929" t="inlineStr">
        <is>
          <t>A 65366-2019</t>
        </is>
      </c>
      <c r="B1929" s="1" t="n">
        <v>43803</v>
      </c>
      <c r="C1929" s="1" t="n">
        <v>45810</v>
      </c>
      <c r="D1929" t="inlineStr">
        <is>
          <t>VÄRMLANDS LÄN</t>
        </is>
      </c>
      <c r="E1929" t="inlineStr">
        <is>
          <t>FILIPSTAD</t>
        </is>
      </c>
      <c r="F1929" t="inlineStr">
        <is>
          <t>Bergvik skog väst AB</t>
        </is>
      </c>
      <c r="G1929" t="n">
        <v>40.5</v>
      </c>
      <c r="H1929" t="n">
        <v>0</v>
      </c>
      <c r="I1929" t="n">
        <v>0</v>
      </c>
      <c r="J1929" t="n">
        <v>0</v>
      </c>
      <c r="K1929" t="n">
        <v>0</v>
      </c>
      <c r="L1929" t="n">
        <v>0</v>
      </c>
      <c r="M1929" t="n">
        <v>0</v>
      </c>
      <c r="N1929" t="n">
        <v>0</v>
      </c>
      <c r="O1929" t="n">
        <v>0</v>
      </c>
      <c r="P1929" t="n">
        <v>0</v>
      </c>
      <c r="Q1929" t="n">
        <v>0</v>
      </c>
      <c r="R1929" s="2" t="inlineStr"/>
    </row>
    <row r="1930" ht="15" customHeight="1">
      <c r="A1930" t="inlineStr">
        <is>
          <t>A 65465-2019</t>
        </is>
      </c>
      <c r="B1930" s="1" t="n">
        <v>43803</v>
      </c>
      <c r="C1930" s="1" t="n">
        <v>45810</v>
      </c>
      <c r="D1930" t="inlineStr">
        <is>
          <t>VÄRMLANDS LÄN</t>
        </is>
      </c>
      <c r="E1930" t="inlineStr">
        <is>
          <t>TORSBY</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66785-2019</t>
        </is>
      </c>
      <c r="B1931" s="1" t="n">
        <v>43804</v>
      </c>
      <c r="C1931" s="1" t="n">
        <v>45810</v>
      </c>
      <c r="D1931" t="inlineStr">
        <is>
          <t>VÄRMLANDS LÄN</t>
        </is>
      </c>
      <c r="E1931" t="inlineStr">
        <is>
          <t>HAGFORS</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65609-2019</t>
        </is>
      </c>
      <c r="B1932" s="1" t="n">
        <v>43804</v>
      </c>
      <c r="C1932" s="1" t="n">
        <v>45810</v>
      </c>
      <c r="D1932" t="inlineStr">
        <is>
          <t>VÄRMLANDS LÄN</t>
        </is>
      </c>
      <c r="E1932" t="inlineStr">
        <is>
          <t>ÅRJÄNG</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66794-2019</t>
        </is>
      </c>
      <c r="B1933" s="1" t="n">
        <v>43804</v>
      </c>
      <c r="C1933" s="1" t="n">
        <v>45810</v>
      </c>
      <c r="D1933" t="inlineStr">
        <is>
          <t>VÄRMLANDS LÄN</t>
        </is>
      </c>
      <c r="E1933" t="inlineStr">
        <is>
          <t>HAGFORS</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65914-2019</t>
        </is>
      </c>
      <c r="B1934" s="1" t="n">
        <v>43805</v>
      </c>
      <c r="C1934" s="1" t="n">
        <v>45810</v>
      </c>
      <c r="D1934" t="inlineStr">
        <is>
          <t>VÄRMLANDS LÄN</t>
        </is>
      </c>
      <c r="E1934" t="inlineStr">
        <is>
          <t>TORSBY</t>
        </is>
      </c>
      <c r="F1934" t="inlineStr">
        <is>
          <t>Bergvik skog väst AB</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65839-2019</t>
        </is>
      </c>
      <c r="B1935" s="1" t="n">
        <v>43805</v>
      </c>
      <c r="C1935" s="1" t="n">
        <v>45810</v>
      </c>
      <c r="D1935" t="inlineStr">
        <is>
          <t>VÄRMLANDS LÄN</t>
        </is>
      </c>
      <c r="E1935" t="inlineStr">
        <is>
          <t>FORSHAGA</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65788-2019</t>
        </is>
      </c>
      <c r="B1936" s="1" t="n">
        <v>43805</v>
      </c>
      <c r="C1936" s="1" t="n">
        <v>45810</v>
      </c>
      <c r="D1936" t="inlineStr">
        <is>
          <t>VÄRMLANDS LÄN</t>
        </is>
      </c>
      <c r="E1936" t="inlineStr">
        <is>
          <t>SUNNE</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65856-2019</t>
        </is>
      </c>
      <c r="B1937" s="1" t="n">
        <v>43805</v>
      </c>
      <c r="C1937" s="1" t="n">
        <v>45810</v>
      </c>
      <c r="D1937" t="inlineStr">
        <is>
          <t>VÄRMLANDS LÄN</t>
        </is>
      </c>
      <c r="E1937" t="inlineStr">
        <is>
          <t>FORSHAGA</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67033-2019</t>
        </is>
      </c>
      <c r="B1938" s="1" t="n">
        <v>43805</v>
      </c>
      <c r="C1938" s="1" t="n">
        <v>45810</v>
      </c>
      <c r="D1938" t="inlineStr">
        <is>
          <t>VÄRMLANDS LÄN</t>
        </is>
      </c>
      <c r="E1938" t="inlineStr">
        <is>
          <t>SÄFFLE</t>
        </is>
      </c>
      <c r="G1938" t="n">
        <v>6.4</v>
      </c>
      <c r="H1938" t="n">
        <v>0</v>
      </c>
      <c r="I1938" t="n">
        <v>0</v>
      </c>
      <c r="J1938" t="n">
        <v>0</v>
      </c>
      <c r="K1938" t="n">
        <v>0</v>
      </c>
      <c r="L1938" t="n">
        <v>0</v>
      </c>
      <c r="M1938" t="n">
        <v>0</v>
      </c>
      <c r="N1938" t="n">
        <v>0</v>
      </c>
      <c r="O1938" t="n">
        <v>0</v>
      </c>
      <c r="P1938" t="n">
        <v>0</v>
      </c>
      <c r="Q1938" t="n">
        <v>0</v>
      </c>
      <c r="R1938" s="2" t="inlineStr"/>
    </row>
    <row r="1939" ht="15" customHeight="1">
      <c r="A1939" t="inlineStr">
        <is>
          <t>A 65880-2019</t>
        </is>
      </c>
      <c r="B1939" s="1" t="n">
        <v>43805</v>
      </c>
      <c r="C1939" s="1" t="n">
        <v>45810</v>
      </c>
      <c r="D1939" t="inlineStr">
        <is>
          <t>VÄRMLANDS LÄN</t>
        </is>
      </c>
      <c r="E1939" t="inlineStr">
        <is>
          <t>ARVIKA</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65789-2019</t>
        </is>
      </c>
      <c r="B1940" s="1" t="n">
        <v>43805</v>
      </c>
      <c r="C1940" s="1" t="n">
        <v>45810</v>
      </c>
      <c r="D1940" t="inlineStr">
        <is>
          <t>VÄRMLANDS LÄN</t>
        </is>
      </c>
      <c r="E1940" t="inlineStr">
        <is>
          <t>KRISTINEHAMN</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66064-2019</t>
        </is>
      </c>
      <c r="B1941" s="1" t="n">
        <v>43806</v>
      </c>
      <c r="C1941" s="1" t="n">
        <v>45810</v>
      </c>
      <c r="D1941" t="inlineStr">
        <is>
          <t>VÄRMLANDS LÄN</t>
        </is>
      </c>
      <c r="E1941" t="inlineStr">
        <is>
          <t>KRISTINEHAMN</t>
        </is>
      </c>
      <c r="G1941" t="n">
        <v>0.3</v>
      </c>
      <c r="H1941" t="n">
        <v>0</v>
      </c>
      <c r="I1941" t="n">
        <v>0</v>
      </c>
      <c r="J1941" t="n">
        <v>0</v>
      </c>
      <c r="K1941" t="n">
        <v>0</v>
      </c>
      <c r="L1941" t="n">
        <v>0</v>
      </c>
      <c r="M1941" t="n">
        <v>0</v>
      </c>
      <c r="N1941" t="n">
        <v>0</v>
      </c>
      <c r="O1941" t="n">
        <v>0</v>
      </c>
      <c r="P1941" t="n">
        <v>0</v>
      </c>
      <c r="Q1941" t="n">
        <v>0</v>
      </c>
      <c r="R1941" s="2" t="inlineStr"/>
    </row>
    <row r="1942" ht="15" customHeight="1">
      <c r="A1942" t="inlineStr">
        <is>
          <t>A 66280-2019</t>
        </is>
      </c>
      <c r="B1942" s="1" t="n">
        <v>43808</v>
      </c>
      <c r="C1942" s="1" t="n">
        <v>45810</v>
      </c>
      <c r="D1942" t="inlineStr">
        <is>
          <t>VÄRMLANDS LÄN</t>
        </is>
      </c>
      <c r="E1942" t="inlineStr">
        <is>
          <t>SUNNE</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67041-2019</t>
        </is>
      </c>
      <c r="B1943" s="1" t="n">
        <v>43808</v>
      </c>
      <c r="C1943" s="1" t="n">
        <v>45810</v>
      </c>
      <c r="D1943" t="inlineStr">
        <is>
          <t>VÄRMLANDS LÄN</t>
        </is>
      </c>
      <c r="E1943" t="inlineStr">
        <is>
          <t>SÄFFLE</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67101-2019</t>
        </is>
      </c>
      <c r="B1944" s="1" t="n">
        <v>43808</v>
      </c>
      <c r="C1944" s="1" t="n">
        <v>45810</v>
      </c>
      <c r="D1944" t="inlineStr">
        <is>
          <t>VÄRMLANDS LÄN</t>
        </is>
      </c>
      <c r="E1944" t="inlineStr">
        <is>
          <t>SÄFFLE</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66115-2019</t>
        </is>
      </c>
      <c r="B1945" s="1" t="n">
        <v>43808</v>
      </c>
      <c r="C1945" s="1" t="n">
        <v>45810</v>
      </c>
      <c r="D1945" t="inlineStr">
        <is>
          <t>VÄRMLANDS LÄN</t>
        </is>
      </c>
      <c r="E1945" t="inlineStr">
        <is>
          <t>HAGFORS</t>
        </is>
      </c>
      <c r="F1945" t="inlineStr">
        <is>
          <t>Bergvik skog väst AB</t>
        </is>
      </c>
      <c r="G1945" t="n">
        <v>13.7</v>
      </c>
      <c r="H1945" t="n">
        <v>0</v>
      </c>
      <c r="I1945" t="n">
        <v>0</v>
      </c>
      <c r="J1945" t="n">
        <v>0</v>
      </c>
      <c r="K1945" t="n">
        <v>0</v>
      </c>
      <c r="L1945" t="n">
        <v>0</v>
      </c>
      <c r="M1945" t="n">
        <v>0</v>
      </c>
      <c r="N1945" t="n">
        <v>0</v>
      </c>
      <c r="O1945" t="n">
        <v>0</v>
      </c>
      <c r="P1945" t="n">
        <v>0</v>
      </c>
      <c r="Q1945" t="n">
        <v>0</v>
      </c>
      <c r="R1945" s="2" t="inlineStr"/>
    </row>
    <row r="1946" ht="15" customHeight="1">
      <c r="A1946" t="inlineStr">
        <is>
          <t>A 66166-2019</t>
        </is>
      </c>
      <c r="B1946" s="1" t="n">
        <v>43808</v>
      </c>
      <c r="C1946" s="1" t="n">
        <v>45810</v>
      </c>
      <c r="D1946" t="inlineStr">
        <is>
          <t>VÄRMLANDS LÄN</t>
        </is>
      </c>
      <c r="E1946" t="inlineStr">
        <is>
          <t>STORFORS</t>
        </is>
      </c>
      <c r="G1946" t="n">
        <v>5.2</v>
      </c>
      <c r="H1946" t="n">
        <v>0</v>
      </c>
      <c r="I1946" t="n">
        <v>0</v>
      </c>
      <c r="J1946" t="n">
        <v>0</v>
      </c>
      <c r="K1946" t="n">
        <v>0</v>
      </c>
      <c r="L1946" t="n">
        <v>0</v>
      </c>
      <c r="M1946" t="n">
        <v>0</v>
      </c>
      <c r="N1946" t="n">
        <v>0</v>
      </c>
      <c r="O1946" t="n">
        <v>0</v>
      </c>
      <c r="P1946" t="n">
        <v>0</v>
      </c>
      <c r="Q1946" t="n">
        <v>0</v>
      </c>
      <c r="R1946" s="2" t="inlineStr"/>
    </row>
    <row r="1947" ht="15" customHeight="1">
      <c r="A1947" t="inlineStr">
        <is>
          <t>A 67089-2019</t>
        </is>
      </c>
      <c r="B1947" s="1" t="n">
        <v>43808</v>
      </c>
      <c r="C1947" s="1" t="n">
        <v>45810</v>
      </c>
      <c r="D1947" t="inlineStr">
        <is>
          <t>VÄRMLANDS LÄN</t>
        </is>
      </c>
      <c r="E1947" t="inlineStr">
        <is>
          <t>SÄFFLE</t>
        </is>
      </c>
      <c r="G1947" t="n">
        <v>4</v>
      </c>
      <c r="H1947" t="n">
        <v>0</v>
      </c>
      <c r="I1947" t="n">
        <v>0</v>
      </c>
      <c r="J1947" t="n">
        <v>0</v>
      </c>
      <c r="K1947" t="n">
        <v>0</v>
      </c>
      <c r="L1947" t="n">
        <v>0</v>
      </c>
      <c r="M1947" t="n">
        <v>0</v>
      </c>
      <c r="N1947" t="n">
        <v>0</v>
      </c>
      <c r="O1947" t="n">
        <v>0</v>
      </c>
      <c r="P1947" t="n">
        <v>0</v>
      </c>
      <c r="Q1947" t="n">
        <v>0</v>
      </c>
      <c r="R1947" s="2" t="inlineStr"/>
    </row>
    <row r="1948" ht="15" customHeight="1">
      <c r="A1948" t="inlineStr">
        <is>
          <t>A 67087-2019</t>
        </is>
      </c>
      <c r="B1948" s="1" t="n">
        <v>43808</v>
      </c>
      <c r="C1948" s="1" t="n">
        <v>45810</v>
      </c>
      <c r="D1948" t="inlineStr">
        <is>
          <t>VÄRMLANDS LÄN</t>
        </is>
      </c>
      <c r="E1948" t="inlineStr">
        <is>
          <t>SÄFFLE</t>
        </is>
      </c>
      <c r="G1948" t="n">
        <v>2.9</v>
      </c>
      <c r="H1948" t="n">
        <v>0</v>
      </c>
      <c r="I1948" t="n">
        <v>0</v>
      </c>
      <c r="J1948" t="n">
        <v>0</v>
      </c>
      <c r="K1948" t="n">
        <v>0</v>
      </c>
      <c r="L1948" t="n">
        <v>0</v>
      </c>
      <c r="M1948" t="n">
        <v>0</v>
      </c>
      <c r="N1948" t="n">
        <v>0</v>
      </c>
      <c r="O1948" t="n">
        <v>0</v>
      </c>
      <c r="P1948" t="n">
        <v>0</v>
      </c>
      <c r="Q1948" t="n">
        <v>0</v>
      </c>
      <c r="R1948" s="2" t="inlineStr"/>
    </row>
    <row r="1949" ht="15" customHeight="1">
      <c r="A1949" t="inlineStr">
        <is>
          <t>A 66352-2019</t>
        </is>
      </c>
      <c r="B1949" s="1" t="n">
        <v>43808</v>
      </c>
      <c r="C1949" s="1" t="n">
        <v>45810</v>
      </c>
      <c r="D1949" t="inlineStr">
        <is>
          <t>VÄRMLANDS LÄN</t>
        </is>
      </c>
      <c r="E1949" t="inlineStr">
        <is>
          <t>ARVIKA</t>
        </is>
      </c>
      <c r="F1949" t="inlineStr">
        <is>
          <t>Bergvik skog väst AB</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67095-2019</t>
        </is>
      </c>
      <c r="B1950" s="1" t="n">
        <v>43808</v>
      </c>
      <c r="C1950" s="1" t="n">
        <v>45810</v>
      </c>
      <c r="D1950" t="inlineStr">
        <is>
          <t>VÄRMLANDS LÄN</t>
        </is>
      </c>
      <c r="E1950" t="inlineStr">
        <is>
          <t>SÄFFLE</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67527-2019</t>
        </is>
      </c>
      <c r="B1951" s="1" t="n">
        <v>43808</v>
      </c>
      <c r="C1951" s="1" t="n">
        <v>45810</v>
      </c>
      <c r="D1951" t="inlineStr">
        <is>
          <t>VÄRMLANDS LÄN</t>
        </is>
      </c>
      <c r="E1951" t="inlineStr">
        <is>
          <t>TORSBY</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67141-2019</t>
        </is>
      </c>
      <c r="B1952" s="1" t="n">
        <v>43808</v>
      </c>
      <c r="C1952" s="1" t="n">
        <v>45810</v>
      </c>
      <c r="D1952" t="inlineStr">
        <is>
          <t>VÄRMLANDS LÄN</t>
        </is>
      </c>
      <c r="E1952" t="inlineStr">
        <is>
          <t>SÄFFLE</t>
        </is>
      </c>
      <c r="G1952" t="n">
        <v>12.3</v>
      </c>
      <c r="H1952" t="n">
        <v>0</v>
      </c>
      <c r="I1952" t="n">
        <v>0</v>
      </c>
      <c r="J1952" t="n">
        <v>0</v>
      </c>
      <c r="K1952" t="n">
        <v>0</v>
      </c>
      <c r="L1952" t="n">
        <v>0</v>
      </c>
      <c r="M1952" t="n">
        <v>0</v>
      </c>
      <c r="N1952" t="n">
        <v>0</v>
      </c>
      <c r="O1952" t="n">
        <v>0</v>
      </c>
      <c r="P1952" t="n">
        <v>0</v>
      </c>
      <c r="Q1952" t="n">
        <v>0</v>
      </c>
      <c r="R1952" s="2" t="inlineStr"/>
    </row>
    <row r="1953" ht="15" customHeight="1">
      <c r="A1953" t="inlineStr">
        <is>
          <t>A 66690-2019</t>
        </is>
      </c>
      <c r="B1953" s="1" t="n">
        <v>43809</v>
      </c>
      <c r="C1953" s="1" t="n">
        <v>45810</v>
      </c>
      <c r="D1953" t="inlineStr">
        <is>
          <t>VÄRMLANDS LÄN</t>
        </is>
      </c>
      <c r="E1953" t="inlineStr">
        <is>
          <t>TORSBY</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66689-2019</t>
        </is>
      </c>
      <c r="B1954" s="1" t="n">
        <v>43809</v>
      </c>
      <c r="C1954" s="1" t="n">
        <v>45810</v>
      </c>
      <c r="D1954" t="inlineStr">
        <is>
          <t>VÄRMLANDS LÄN</t>
        </is>
      </c>
      <c r="E1954" t="inlineStr">
        <is>
          <t>TORSBY</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67642-2019</t>
        </is>
      </c>
      <c r="B1955" s="1" t="n">
        <v>43809</v>
      </c>
      <c r="C1955" s="1" t="n">
        <v>45810</v>
      </c>
      <c r="D1955" t="inlineStr">
        <is>
          <t>VÄRMLANDS LÄN</t>
        </is>
      </c>
      <c r="E1955" t="inlineStr">
        <is>
          <t>KARLSTAD</t>
        </is>
      </c>
      <c r="G1955" t="n">
        <v>2.6</v>
      </c>
      <c r="H1955" t="n">
        <v>0</v>
      </c>
      <c r="I1955" t="n">
        <v>0</v>
      </c>
      <c r="J1955" t="n">
        <v>0</v>
      </c>
      <c r="K1955" t="n">
        <v>0</v>
      </c>
      <c r="L1955" t="n">
        <v>0</v>
      </c>
      <c r="M1955" t="n">
        <v>0</v>
      </c>
      <c r="N1955" t="n">
        <v>0</v>
      </c>
      <c r="O1955" t="n">
        <v>0</v>
      </c>
      <c r="P1955" t="n">
        <v>0</v>
      </c>
      <c r="Q1955" t="n">
        <v>0</v>
      </c>
      <c r="R1955" s="2" t="inlineStr"/>
    </row>
    <row r="1956" ht="15" customHeight="1">
      <c r="A1956" t="inlineStr">
        <is>
          <t>A 67686-2019</t>
        </is>
      </c>
      <c r="B1956" s="1" t="n">
        <v>43809</v>
      </c>
      <c r="C1956" s="1" t="n">
        <v>45810</v>
      </c>
      <c r="D1956" t="inlineStr">
        <is>
          <t>VÄRMLANDS LÄN</t>
        </is>
      </c>
      <c r="E1956" t="inlineStr">
        <is>
          <t>TORSBY</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66688-2019</t>
        </is>
      </c>
      <c r="B1957" s="1" t="n">
        <v>43809</v>
      </c>
      <c r="C1957" s="1" t="n">
        <v>45810</v>
      </c>
      <c r="D1957" t="inlineStr">
        <is>
          <t>VÄRMLANDS LÄN</t>
        </is>
      </c>
      <c r="E1957" t="inlineStr">
        <is>
          <t>TORSBY</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67690-2019</t>
        </is>
      </c>
      <c r="B1958" s="1" t="n">
        <v>43809</v>
      </c>
      <c r="C1958" s="1" t="n">
        <v>45810</v>
      </c>
      <c r="D1958" t="inlineStr">
        <is>
          <t>VÄRMLANDS LÄN</t>
        </is>
      </c>
      <c r="E1958" t="inlineStr">
        <is>
          <t>TORSBY</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66749-2019</t>
        </is>
      </c>
      <c r="B1959" s="1" t="n">
        <v>43810</v>
      </c>
      <c r="C1959" s="1" t="n">
        <v>45810</v>
      </c>
      <c r="D1959" t="inlineStr">
        <is>
          <t>VÄRMLANDS LÄN</t>
        </is>
      </c>
      <c r="E1959" t="inlineStr">
        <is>
          <t>EDA</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66818-2019</t>
        </is>
      </c>
      <c r="B1960" s="1" t="n">
        <v>43810</v>
      </c>
      <c r="C1960" s="1" t="n">
        <v>45810</v>
      </c>
      <c r="D1960" t="inlineStr">
        <is>
          <t>VÄRMLANDS LÄN</t>
        </is>
      </c>
      <c r="E1960" t="inlineStr">
        <is>
          <t>ARVIKA</t>
        </is>
      </c>
      <c r="G1960" t="n">
        <v>4.1</v>
      </c>
      <c r="H1960" t="n">
        <v>0</v>
      </c>
      <c r="I1960" t="n">
        <v>0</v>
      </c>
      <c r="J1960" t="n">
        <v>0</v>
      </c>
      <c r="K1960" t="n">
        <v>0</v>
      </c>
      <c r="L1960" t="n">
        <v>0</v>
      </c>
      <c r="M1960" t="n">
        <v>0</v>
      </c>
      <c r="N1960" t="n">
        <v>0</v>
      </c>
      <c r="O1960" t="n">
        <v>0</v>
      </c>
      <c r="P1960" t="n">
        <v>0</v>
      </c>
      <c r="Q1960" t="n">
        <v>0</v>
      </c>
      <c r="R1960" s="2" t="inlineStr"/>
    </row>
    <row r="1961" ht="15" customHeight="1">
      <c r="A1961" t="inlineStr">
        <is>
          <t>A 66877-2019</t>
        </is>
      </c>
      <c r="B1961" s="1" t="n">
        <v>43810</v>
      </c>
      <c r="C1961" s="1" t="n">
        <v>45810</v>
      </c>
      <c r="D1961" t="inlineStr">
        <is>
          <t>VÄRMLANDS LÄN</t>
        </is>
      </c>
      <c r="E1961" t="inlineStr">
        <is>
          <t>FILIPSTAD</t>
        </is>
      </c>
      <c r="F1961" t="inlineStr">
        <is>
          <t>Bergvik skog väst AB</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67671-2019</t>
        </is>
      </c>
      <c r="B1962" s="1" t="n">
        <v>43810</v>
      </c>
      <c r="C1962" s="1" t="n">
        <v>45810</v>
      </c>
      <c r="D1962" t="inlineStr">
        <is>
          <t>VÄRMLANDS LÄN</t>
        </is>
      </c>
      <c r="E1962" t="inlineStr">
        <is>
          <t>TORSBY</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67763-2019</t>
        </is>
      </c>
      <c r="B1963" s="1" t="n">
        <v>43810</v>
      </c>
      <c r="C1963" s="1" t="n">
        <v>45810</v>
      </c>
      <c r="D1963" t="inlineStr">
        <is>
          <t>VÄRMLANDS LÄN</t>
        </is>
      </c>
      <c r="E1963" t="inlineStr">
        <is>
          <t>SUNNE</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66946-2019</t>
        </is>
      </c>
      <c r="B1964" s="1" t="n">
        <v>43810</v>
      </c>
      <c r="C1964" s="1" t="n">
        <v>45810</v>
      </c>
      <c r="D1964" t="inlineStr">
        <is>
          <t>VÄRMLANDS LÄN</t>
        </is>
      </c>
      <c r="E1964" t="inlineStr">
        <is>
          <t>KARLSTAD</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67091-2019</t>
        </is>
      </c>
      <c r="B1965" s="1" t="n">
        <v>43811</v>
      </c>
      <c r="C1965" s="1" t="n">
        <v>45810</v>
      </c>
      <c r="D1965" t="inlineStr">
        <is>
          <t>VÄRMLANDS LÄN</t>
        </is>
      </c>
      <c r="E1965" t="inlineStr">
        <is>
          <t>EDA</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67124-2019</t>
        </is>
      </c>
      <c r="B1966" s="1" t="n">
        <v>43811</v>
      </c>
      <c r="C1966" s="1" t="n">
        <v>45810</v>
      </c>
      <c r="D1966" t="inlineStr">
        <is>
          <t>VÄRMLANDS LÄN</t>
        </is>
      </c>
      <c r="E1966" t="inlineStr">
        <is>
          <t>EDA</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67045-2019</t>
        </is>
      </c>
      <c r="B1967" s="1" t="n">
        <v>43811</v>
      </c>
      <c r="C1967" s="1" t="n">
        <v>45810</v>
      </c>
      <c r="D1967" t="inlineStr">
        <is>
          <t>VÄRMLANDS LÄN</t>
        </is>
      </c>
      <c r="E1967" t="inlineStr">
        <is>
          <t>EDA</t>
        </is>
      </c>
      <c r="G1967" t="n">
        <v>3.7</v>
      </c>
      <c r="H1967" t="n">
        <v>0</v>
      </c>
      <c r="I1967" t="n">
        <v>0</v>
      </c>
      <c r="J1967" t="n">
        <v>0</v>
      </c>
      <c r="K1967" t="n">
        <v>0</v>
      </c>
      <c r="L1967" t="n">
        <v>0</v>
      </c>
      <c r="M1967" t="n">
        <v>0</v>
      </c>
      <c r="N1967" t="n">
        <v>0</v>
      </c>
      <c r="O1967" t="n">
        <v>0</v>
      </c>
      <c r="P1967" t="n">
        <v>0</v>
      </c>
      <c r="Q1967" t="n">
        <v>0</v>
      </c>
      <c r="R1967" s="2" t="inlineStr"/>
    </row>
    <row r="1968" ht="15" customHeight="1">
      <c r="A1968" t="inlineStr">
        <is>
          <t>A 67062-2019</t>
        </is>
      </c>
      <c r="B1968" s="1" t="n">
        <v>43811</v>
      </c>
      <c r="C1968" s="1" t="n">
        <v>45810</v>
      </c>
      <c r="D1968" t="inlineStr">
        <is>
          <t>VÄRMLANDS LÄN</t>
        </is>
      </c>
      <c r="E1968" t="inlineStr">
        <is>
          <t>EDA</t>
        </is>
      </c>
      <c r="G1968" t="n">
        <v>11.1</v>
      </c>
      <c r="H1968" t="n">
        <v>0</v>
      </c>
      <c r="I1968" t="n">
        <v>0</v>
      </c>
      <c r="J1968" t="n">
        <v>0</v>
      </c>
      <c r="K1968" t="n">
        <v>0</v>
      </c>
      <c r="L1968" t="n">
        <v>0</v>
      </c>
      <c r="M1968" t="n">
        <v>0</v>
      </c>
      <c r="N1968" t="n">
        <v>0</v>
      </c>
      <c r="O1968" t="n">
        <v>0</v>
      </c>
      <c r="P1968" t="n">
        <v>0</v>
      </c>
      <c r="Q1968" t="n">
        <v>0</v>
      </c>
      <c r="R1968" s="2" t="inlineStr"/>
    </row>
    <row r="1969" ht="15" customHeight="1">
      <c r="A1969" t="inlineStr">
        <is>
          <t>A 67134-2019</t>
        </is>
      </c>
      <c r="B1969" s="1" t="n">
        <v>43811</v>
      </c>
      <c r="C1969" s="1" t="n">
        <v>45810</v>
      </c>
      <c r="D1969" t="inlineStr">
        <is>
          <t>VÄRMLANDS LÄN</t>
        </is>
      </c>
      <c r="E1969" t="inlineStr">
        <is>
          <t>ARVIKA</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67176-2019</t>
        </is>
      </c>
      <c r="B1970" s="1" t="n">
        <v>43811</v>
      </c>
      <c r="C1970" s="1" t="n">
        <v>45810</v>
      </c>
      <c r="D1970" t="inlineStr">
        <is>
          <t>VÄRMLANDS LÄN</t>
        </is>
      </c>
      <c r="E1970" t="inlineStr">
        <is>
          <t>SUNNE</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67947-2019</t>
        </is>
      </c>
      <c r="B1971" s="1" t="n">
        <v>43811</v>
      </c>
      <c r="C1971" s="1" t="n">
        <v>45810</v>
      </c>
      <c r="D1971" t="inlineStr">
        <is>
          <t>VÄRMLANDS LÄN</t>
        </is>
      </c>
      <c r="E1971" t="inlineStr">
        <is>
          <t>SÄFFLE</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67258-2019</t>
        </is>
      </c>
      <c r="B1972" s="1" t="n">
        <v>43812</v>
      </c>
      <c r="C1972" s="1" t="n">
        <v>45810</v>
      </c>
      <c r="D1972" t="inlineStr">
        <is>
          <t>VÄRMLANDS LÄN</t>
        </is>
      </c>
      <c r="E1972" t="inlineStr">
        <is>
          <t>KARLSTAD</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67583-2019</t>
        </is>
      </c>
      <c r="B1973" s="1" t="n">
        <v>43815</v>
      </c>
      <c r="C1973" s="1" t="n">
        <v>45810</v>
      </c>
      <c r="D1973" t="inlineStr">
        <is>
          <t>VÄRMLANDS LÄN</t>
        </is>
      </c>
      <c r="E1973" t="inlineStr">
        <is>
          <t>EDA</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67670-2019</t>
        </is>
      </c>
      <c r="B1974" s="1" t="n">
        <v>43815</v>
      </c>
      <c r="C1974" s="1" t="n">
        <v>45810</v>
      </c>
      <c r="D1974" t="inlineStr">
        <is>
          <t>VÄRMLANDS LÄN</t>
        </is>
      </c>
      <c r="E1974" t="inlineStr">
        <is>
          <t>SÄFFLE</t>
        </is>
      </c>
      <c r="F1974" t="inlineStr">
        <is>
          <t>Kyrkan</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67728-2019</t>
        </is>
      </c>
      <c r="B1975" s="1" t="n">
        <v>43815</v>
      </c>
      <c r="C1975" s="1" t="n">
        <v>45810</v>
      </c>
      <c r="D1975" t="inlineStr">
        <is>
          <t>VÄRMLANDS LÄN</t>
        </is>
      </c>
      <c r="E1975" t="inlineStr">
        <is>
          <t>TORSBY</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68786-2019</t>
        </is>
      </c>
      <c r="B1976" s="1" t="n">
        <v>43815</v>
      </c>
      <c r="C1976" s="1" t="n">
        <v>45810</v>
      </c>
      <c r="D1976" t="inlineStr">
        <is>
          <t>VÄRMLANDS LÄN</t>
        </is>
      </c>
      <c r="E1976" t="inlineStr">
        <is>
          <t>EDA</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68960-2019</t>
        </is>
      </c>
      <c r="B1977" s="1" t="n">
        <v>43815</v>
      </c>
      <c r="C1977" s="1" t="n">
        <v>45810</v>
      </c>
      <c r="D1977" t="inlineStr">
        <is>
          <t>VÄRMLANDS LÄN</t>
        </is>
      </c>
      <c r="E1977" t="inlineStr">
        <is>
          <t>KARLSTAD</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68795-2019</t>
        </is>
      </c>
      <c r="B1978" s="1" t="n">
        <v>43815</v>
      </c>
      <c r="C1978" s="1" t="n">
        <v>45810</v>
      </c>
      <c r="D1978" t="inlineStr">
        <is>
          <t>VÄRMLANDS LÄN</t>
        </is>
      </c>
      <c r="E1978" t="inlineStr">
        <is>
          <t>ÅRJÄNG</t>
        </is>
      </c>
      <c r="G1978" t="n">
        <v>2.9</v>
      </c>
      <c r="H1978" t="n">
        <v>0</v>
      </c>
      <c r="I1978" t="n">
        <v>0</v>
      </c>
      <c r="J1978" t="n">
        <v>0</v>
      </c>
      <c r="K1978" t="n">
        <v>0</v>
      </c>
      <c r="L1978" t="n">
        <v>0</v>
      </c>
      <c r="M1978" t="n">
        <v>0</v>
      </c>
      <c r="N1978" t="n">
        <v>0</v>
      </c>
      <c r="O1978" t="n">
        <v>0</v>
      </c>
      <c r="P1978" t="n">
        <v>0</v>
      </c>
      <c r="Q1978" t="n">
        <v>0</v>
      </c>
      <c r="R1978" s="2" t="inlineStr"/>
    </row>
    <row r="1979" ht="15" customHeight="1">
      <c r="A1979" t="inlineStr">
        <is>
          <t>A 67700-2019</t>
        </is>
      </c>
      <c r="B1979" s="1" t="n">
        <v>43815</v>
      </c>
      <c r="C1979" s="1" t="n">
        <v>45810</v>
      </c>
      <c r="D1979" t="inlineStr">
        <is>
          <t>VÄRMLANDS LÄN</t>
        </is>
      </c>
      <c r="E1979" t="inlineStr">
        <is>
          <t>ARVIKA</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67873-2019</t>
        </is>
      </c>
      <c r="B1980" s="1" t="n">
        <v>43816</v>
      </c>
      <c r="C1980" s="1" t="n">
        <v>45810</v>
      </c>
      <c r="D1980" t="inlineStr">
        <is>
          <t>VÄRMLANDS LÄN</t>
        </is>
      </c>
      <c r="E1980" t="inlineStr">
        <is>
          <t>HAGFORS</t>
        </is>
      </c>
      <c r="F1980" t="inlineStr">
        <is>
          <t>Bergvik skog väst AB</t>
        </is>
      </c>
      <c r="G1980" t="n">
        <v>16.8</v>
      </c>
      <c r="H1980" t="n">
        <v>0</v>
      </c>
      <c r="I1980" t="n">
        <v>0</v>
      </c>
      <c r="J1980" t="n">
        <v>0</v>
      </c>
      <c r="K1980" t="n">
        <v>0</v>
      </c>
      <c r="L1980" t="n">
        <v>0</v>
      </c>
      <c r="M1980" t="n">
        <v>0</v>
      </c>
      <c r="N1980" t="n">
        <v>0</v>
      </c>
      <c r="O1980" t="n">
        <v>0</v>
      </c>
      <c r="P1980" t="n">
        <v>0</v>
      </c>
      <c r="Q1980" t="n">
        <v>0</v>
      </c>
      <c r="R1980" s="2" t="inlineStr"/>
    </row>
    <row r="1981" ht="15" customHeight="1">
      <c r="A1981" t="inlineStr">
        <is>
          <t>A 67904-2019</t>
        </is>
      </c>
      <c r="B1981" s="1" t="n">
        <v>43816</v>
      </c>
      <c r="C1981" s="1" t="n">
        <v>45810</v>
      </c>
      <c r="D1981" t="inlineStr">
        <is>
          <t>VÄRMLANDS LÄN</t>
        </is>
      </c>
      <c r="E1981" t="inlineStr">
        <is>
          <t>FILIPSTAD</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68056-2019</t>
        </is>
      </c>
      <c r="B1982" s="1" t="n">
        <v>43816</v>
      </c>
      <c r="C1982" s="1" t="n">
        <v>45810</v>
      </c>
      <c r="D1982" t="inlineStr">
        <is>
          <t>VÄRMLANDS LÄN</t>
        </is>
      </c>
      <c r="E1982" t="inlineStr">
        <is>
          <t>ARVIKA</t>
        </is>
      </c>
      <c r="G1982" t="n">
        <v>3.1</v>
      </c>
      <c r="H1982" t="n">
        <v>0</v>
      </c>
      <c r="I1982" t="n">
        <v>0</v>
      </c>
      <c r="J1982" t="n">
        <v>0</v>
      </c>
      <c r="K1982" t="n">
        <v>0</v>
      </c>
      <c r="L1982" t="n">
        <v>0</v>
      </c>
      <c r="M1982" t="n">
        <v>0</v>
      </c>
      <c r="N1982" t="n">
        <v>0</v>
      </c>
      <c r="O1982" t="n">
        <v>0</v>
      </c>
      <c r="P1982" t="n">
        <v>0</v>
      </c>
      <c r="Q1982" t="n">
        <v>0</v>
      </c>
      <c r="R1982" s="2" t="inlineStr"/>
    </row>
    <row r="1983" ht="15" customHeight="1">
      <c r="A1983" t="inlineStr">
        <is>
          <t>A 67903-2019</t>
        </is>
      </c>
      <c r="B1983" s="1" t="n">
        <v>43816</v>
      </c>
      <c r="C1983" s="1" t="n">
        <v>45810</v>
      </c>
      <c r="D1983" t="inlineStr">
        <is>
          <t>VÄRMLANDS LÄN</t>
        </is>
      </c>
      <c r="E1983" t="inlineStr">
        <is>
          <t>ARVIKA</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68059-2019</t>
        </is>
      </c>
      <c r="B1984" s="1" t="n">
        <v>43816</v>
      </c>
      <c r="C1984" s="1" t="n">
        <v>45810</v>
      </c>
      <c r="D1984" t="inlineStr">
        <is>
          <t>VÄRMLANDS LÄN</t>
        </is>
      </c>
      <c r="E1984" t="inlineStr">
        <is>
          <t>ARVIKA</t>
        </is>
      </c>
      <c r="G1984" t="n">
        <v>5.9</v>
      </c>
      <c r="H1984" t="n">
        <v>0</v>
      </c>
      <c r="I1984" t="n">
        <v>0</v>
      </c>
      <c r="J1984" t="n">
        <v>0</v>
      </c>
      <c r="K1984" t="n">
        <v>0</v>
      </c>
      <c r="L1984" t="n">
        <v>0</v>
      </c>
      <c r="M1984" t="n">
        <v>0</v>
      </c>
      <c r="N1984" t="n">
        <v>0</v>
      </c>
      <c r="O1984" t="n">
        <v>0</v>
      </c>
      <c r="P1984" t="n">
        <v>0</v>
      </c>
      <c r="Q1984" t="n">
        <v>0</v>
      </c>
      <c r="R1984" s="2" t="inlineStr"/>
    </row>
    <row r="1985" ht="15" customHeight="1">
      <c r="A1985" t="inlineStr">
        <is>
          <t>A 68372-2019</t>
        </is>
      </c>
      <c r="B1985" s="1" t="n">
        <v>43817</v>
      </c>
      <c r="C1985" s="1" t="n">
        <v>45810</v>
      </c>
      <c r="D1985" t="inlineStr">
        <is>
          <t>VÄRMLANDS LÄN</t>
        </is>
      </c>
      <c r="E1985" t="inlineStr">
        <is>
          <t>ARVIKA</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68259-2019</t>
        </is>
      </c>
      <c r="B1986" s="1" t="n">
        <v>43817</v>
      </c>
      <c r="C1986" s="1" t="n">
        <v>45810</v>
      </c>
      <c r="D1986" t="inlineStr">
        <is>
          <t>VÄRMLANDS LÄN</t>
        </is>
      </c>
      <c r="E1986" t="inlineStr">
        <is>
          <t>MUNKFORS</t>
        </is>
      </c>
      <c r="G1986" t="n">
        <v>14.2</v>
      </c>
      <c r="H1986" t="n">
        <v>0</v>
      </c>
      <c r="I1986" t="n">
        <v>0</v>
      </c>
      <c r="J1986" t="n">
        <v>0</v>
      </c>
      <c r="K1986" t="n">
        <v>0</v>
      </c>
      <c r="L1986" t="n">
        <v>0</v>
      </c>
      <c r="M1986" t="n">
        <v>0</v>
      </c>
      <c r="N1986" t="n">
        <v>0</v>
      </c>
      <c r="O1986" t="n">
        <v>0</v>
      </c>
      <c r="P1986" t="n">
        <v>0</v>
      </c>
      <c r="Q1986" t="n">
        <v>0</v>
      </c>
      <c r="R1986" s="2" t="inlineStr"/>
    </row>
    <row r="1987" ht="15" customHeight="1">
      <c r="A1987" t="inlineStr">
        <is>
          <t>A 68208-2019</t>
        </is>
      </c>
      <c r="B1987" s="1" t="n">
        <v>43817</v>
      </c>
      <c r="C1987" s="1" t="n">
        <v>45810</v>
      </c>
      <c r="D1987" t="inlineStr">
        <is>
          <t>VÄRMLANDS LÄN</t>
        </is>
      </c>
      <c r="E1987" t="inlineStr">
        <is>
          <t>SUNNE</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68418-2019</t>
        </is>
      </c>
      <c r="B1988" s="1" t="n">
        <v>43818</v>
      </c>
      <c r="C1988" s="1" t="n">
        <v>45810</v>
      </c>
      <c r="D1988" t="inlineStr">
        <is>
          <t>VÄRMLANDS LÄN</t>
        </is>
      </c>
      <c r="E1988" t="inlineStr">
        <is>
          <t>SUNNE</t>
        </is>
      </c>
      <c r="G1988" t="n">
        <v>4.9</v>
      </c>
      <c r="H1988" t="n">
        <v>0</v>
      </c>
      <c r="I1988" t="n">
        <v>0</v>
      </c>
      <c r="J1988" t="n">
        <v>0</v>
      </c>
      <c r="K1988" t="n">
        <v>0</v>
      </c>
      <c r="L1988" t="n">
        <v>0</v>
      </c>
      <c r="M1988" t="n">
        <v>0</v>
      </c>
      <c r="N1988" t="n">
        <v>0</v>
      </c>
      <c r="O1988" t="n">
        <v>0</v>
      </c>
      <c r="P1988" t="n">
        <v>0</v>
      </c>
      <c r="Q1988" t="n">
        <v>0</v>
      </c>
      <c r="R1988" s="2" t="inlineStr"/>
    </row>
    <row r="1989" ht="15" customHeight="1">
      <c r="A1989" t="inlineStr">
        <is>
          <t>A 68588-2019</t>
        </is>
      </c>
      <c r="B1989" s="1" t="n">
        <v>43818</v>
      </c>
      <c r="C1989" s="1" t="n">
        <v>45810</v>
      </c>
      <c r="D1989" t="inlineStr">
        <is>
          <t>VÄRMLANDS LÄN</t>
        </is>
      </c>
      <c r="E1989" t="inlineStr">
        <is>
          <t>SÄFFLE</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717-2020</t>
        </is>
      </c>
      <c r="B1990" s="1" t="n">
        <v>43818</v>
      </c>
      <c r="C1990" s="1" t="n">
        <v>45810</v>
      </c>
      <c r="D1990" t="inlineStr">
        <is>
          <t>VÄRMLANDS LÄN</t>
        </is>
      </c>
      <c r="E1990" t="inlineStr">
        <is>
          <t>KARLSTAD</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753-2020</t>
        </is>
      </c>
      <c r="B1991" s="1" t="n">
        <v>43818</v>
      </c>
      <c r="C1991" s="1" t="n">
        <v>45810</v>
      </c>
      <c r="D1991" t="inlineStr">
        <is>
          <t>VÄRMLANDS LÄN</t>
        </is>
      </c>
      <c r="E1991" t="inlineStr">
        <is>
          <t>KRISTINEHAMN</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718-2020</t>
        </is>
      </c>
      <c r="B1992" s="1" t="n">
        <v>43818</v>
      </c>
      <c r="C1992" s="1" t="n">
        <v>45810</v>
      </c>
      <c r="D1992" t="inlineStr">
        <is>
          <t>VÄRMLANDS LÄN</t>
        </is>
      </c>
      <c r="E1992" t="inlineStr">
        <is>
          <t>KARLSTAD</t>
        </is>
      </c>
      <c r="G1992" t="n">
        <v>4.3</v>
      </c>
      <c r="H1992" t="n">
        <v>0</v>
      </c>
      <c r="I1992" t="n">
        <v>0</v>
      </c>
      <c r="J1992" t="n">
        <v>0</v>
      </c>
      <c r="K1992" t="n">
        <v>0</v>
      </c>
      <c r="L1992" t="n">
        <v>0</v>
      </c>
      <c r="M1992" t="n">
        <v>0</v>
      </c>
      <c r="N1992" t="n">
        <v>0</v>
      </c>
      <c r="O1992" t="n">
        <v>0</v>
      </c>
      <c r="P1992" t="n">
        <v>0</v>
      </c>
      <c r="Q1992" t="n">
        <v>0</v>
      </c>
      <c r="R1992" s="2" t="inlineStr"/>
    </row>
    <row r="1993" ht="15" customHeight="1">
      <c r="A1993" t="inlineStr">
        <is>
          <t>A 757-2020</t>
        </is>
      </c>
      <c r="B1993" s="1" t="n">
        <v>43818</v>
      </c>
      <c r="C1993" s="1" t="n">
        <v>45810</v>
      </c>
      <c r="D1993" t="inlineStr">
        <is>
          <t>VÄRMLANDS LÄN</t>
        </is>
      </c>
      <c r="E1993" t="inlineStr">
        <is>
          <t>KRISTINEHAMN</t>
        </is>
      </c>
      <c r="G1993" t="n">
        <v>6.1</v>
      </c>
      <c r="H1993" t="n">
        <v>0</v>
      </c>
      <c r="I1993" t="n">
        <v>0</v>
      </c>
      <c r="J1993" t="n">
        <v>0</v>
      </c>
      <c r="K1993" t="n">
        <v>0</v>
      </c>
      <c r="L1993" t="n">
        <v>0</v>
      </c>
      <c r="M1993" t="n">
        <v>0</v>
      </c>
      <c r="N1993" t="n">
        <v>0</v>
      </c>
      <c r="O1993" t="n">
        <v>0</v>
      </c>
      <c r="P1993" t="n">
        <v>0</v>
      </c>
      <c r="Q1993" t="n">
        <v>0</v>
      </c>
      <c r="R1993" s="2" t="inlineStr"/>
    </row>
    <row r="1994" ht="15" customHeight="1">
      <c r="A1994" t="inlineStr">
        <is>
          <t>A 68354-2019</t>
        </is>
      </c>
      <c r="B1994" s="1" t="n">
        <v>43818</v>
      </c>
      <c r="C1994" s="1" t="n">
        <v>45810</v>
      </c>
      <c r="D1994" t="inlineStr">
        <is>
          <t>VÄRMLANDS LÄN</t>
        </is>
      </c>
      <c r="E1994" t="inlineStr">
        <is>
          <t>TORSBY</t>
        </is>
      </c>
      <c r="G1994" t="n">
        <v>61.1</v>
      </c>
      <c r="H1994" t="n">
        <v>0</v>
      </c>
      <c r="I1994" t="n">
        <v>0</v>
      </c>
      <c r="J1994" t="n">
        <v>0</v>
      </c>
      <c r="K1994" t="n">
        <v>0</v>
      </c>
      <c r="L1994" t="n">
        <v>0</v>
      </c>
      <c r="M1994" t="n">
        <v>0</v>
      </c>
      <c r="N1994" t="n">
        <v>0</v>
      </c>
      <c r="O1994" t="n">
        <v>0</v>
      </c>
      <c r="P1994" t="n">
        <v>0</v>
      </c>
      <c r="Q1994" t="n">
        <v>0</v>
      </c>
      <c r="R1994" s="2" t="inlineStr"/>
    </row>
    <row r="1995" ht="15" customHeight="1">
      <c r="A1995" t="inlineStr">
        <is>
          <t>A 750-2020</t>
        </is>
      </c>
      <c r="B1995" s="1" t="n">
        <v>43818</v>
      </c>
      <c r="C1995" s="1" t="n">
        <v>45810</v>
      </c>
      <c r="D1995" t="inlineStr">
        <is>
          <t>VÄRMLANDS LÄN</t>
        </is>
      </c>
      <c r="E1995" t="inlineStr">
        <is>
          <t>KRISTINEHAMN</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68344-2019</t>
        </is>
      </c>
      <c r="B1996" s="1" t="n">
        <v>43818</v>
      </c>
      <c r="C1996" s="1" t="n">
        <v>45810</v>
      </c>
      <c r="D1996" t="inlineStr">
        <is>
          <t>VÄRMLANDS LÄN</t>
        </is>
      </c>
      <c r="E1996" t="inlineStr">
        <is>
          <t>FORSHAGA</t>
        </is>
      </c>
      <c r="F1996" t="inlineStr">
        <is>
          <t>Bergvik skog väst AB</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746-2020</t>
        </is>
      </c>
      <c r="B1997" s="1" t="n">
        <v>43818</v>
      </c>
      <c r="C1997" s="1" t="n">
        <v>45810</v>
      </c>
      <c r="D1997" t="inlineStr">
        <is>
          <t>VÄRMLANDS LÄN</t>
        </is>
      </c>
      <c r="E1997" t="inlineStr">
        <is>
          <t>KARLSTAD</t>
        </is>
      </c>
      <c r="G1997" t="n">
        <v>6.6</v>
      </c>
      <c r="H1997" t="n">
        <v>0</v>
      </c>
      <c r="I1997" t="n">
        <v>0</v>
      </c>
      <c r="J1997" t="n">
        <v>0</v>
      </c>
      <c r="K1997" t="n">
        <v>0</v>
      </c>
      <c r="L1997" t="n">
        <v>0</v>
      </c>
      <c r="M1997" t="n">
        <v>0</v>
      </c>
      <c r="N1997" t="n">
        <v>0</v>
      </c>
      <c r="O1997" t="n">
        <v>0</v>
      </c>
      <c r="P1997" t="n">
        <v>0</v>
      </c>
      <c r="Q1997" t="n">
        <v>0</v>
      </c>
      <c r="R1997" s="2" t="inlineStr"/>
    </row>
    <row r="1998" ht="15" customHeight="1">
      <c r="A1998" t="inlineStr">
        <is>
          <t>A 766-2020</t>
        </is>
      </c>
      <c r="B1998" s="1" t="n">
        <v>43818</v>
      </c>
      <c r="C1998" s="1" t="n">
        <v>45810</v>
      </c>
      <c r="D1998" t="inlineStr">
        <is>
          <t>VÄRMLANDS LÄN</t>
        </is>
      </c>
      <c r="E1998" t="inlineStr">
        <is>
          <t>KRISTINEHAMN</t>
        </is>
      </c>
      <c r="F1998" t="inlineStr">
        <is>
          <t>Kommuner</t>
        </is>
      </c>
      <c r="G1998" t="n">
        <v>5.4</v>
      </c>
      <c r="H1998" t="n">
        <v>0</v>
      </c>
      <c r="I1998" t="n">
        <v>0</v>
      </c>
      <c r="J1998" t="n">
        <v>0</v>
      </c>
      <c r="K1998" t="n">
        <v>0</v>
      </c>
      <c r="L1998" t="n">
        <v>0</v>
      </c>
      <c r="M1998" t="n">
        <v>0</v>
      </c>
      <c r="N1998" t="n">
        <v>0</v>
      </c>
      <c r="O1998" t="n">
        <v>0</v>
      </c>
      <c r="P1998" t="n">
        <v>0</v>
      </c>
      <c r="Q1998" t="n">
        <v>0</v>
      </c>
      <c r="R1998" s="2" t="inlineStr"/>
    </row>
    <row r="1999" ht="15" customHeight="1">
      <c r="A1999" t="inlineStr">
        <is>
          <t>A 68360-2019</t>
        </is>
      </c>
      <c r="B1999" s="1" t="n">
        <v>43818</v>
      </c>
      <c r="C1999" s="1" t="n">
        <v>45810</v>
      </c>
      <c r="D1999" t="inlineStr">
        <is>
          <t>VÄRMLANDS LÄN</t>
        </is>
      </c>
      <c r="E1999" t="inlineStr">
        <is>
          <t>TORSBY</t>
        </is>
      </c>
      <c r="G1999" t="n">
        <v>9</v>
      </c>
      <c r="H1999" t="n">
        <v>0</v>
      </c>
      <c r="I1999" t="n">
        <v>0</v>
      </c>
      <c r="J1999" t="n">
        <v>0</v>
      </c>
      <c r="K1999" t="n">
        <v>0</v>
      </c>
      <c r="L1999" t="n">
        <v>0</v>
      </c>
      <c r="M1999" t="n">
        <v>0</v>
      </c>
      <c r="N1999" t="n">
        <v>0</v>
      </c>
      <c r="O1999" t="n">
        <v>0</v>
      </c>
      <c r="P1999" t="n">
        <v>0</v>
      </c>
      <c r="Q1999" t="n">
        <v>0</v>
      </c>
      <c r="R1999" s="2" t="inlineStr"/>
    </row>
    <row r="2000" ht="15" customHeight="1">
      <c r="A2000" t="inlineStr">
        <is>
          <t>A 68495-2019</t>
        </is>
      </c>
      <c r="B2000" s="1" t="n">
        <v>43818</v>
      </c>
      <c r="C2000" s="1" t="n">
        <v>45810</v>
      </c>
      <c r="D2000" t="inlineStr">
        <is>
          <t>VÄRMLANDS LÄN</t>
        </is>
      </c>
      <c r="E2000" t="inlineStr">
        <is>
          <t>FILIPSTAD</t>
        </is>
      </c>
      <c r="F2000" t="inlineStr">
        <is>
          <t>Bergvik skog väst AB</t>
        </is>
      </c>
      <c r="G2000" t="n">
        <v>9.800000000000001</v>
      </c>
      <c r="H2000" t="n">
        <v>0</v>
      </c>
      <c r="I2000" t="n">
        <v>0</v>
      </c>
      <c r="J2000" t="n">
        <v>0</v>
      </c>
      <c r="K2000" t="n">
        <v>0</v>
      </c>
      <c r="L2000" t="n">
        <v>0</v>
      </c>
      <c r="M2000" t="n">
        <v>0</v>
      </c>
      <c r="N2000" t="n">
        <v>0</v>
      </c>
      <c r="O2000" t="n">
        <v>0</v>
      </c>
      <c r="P2000" t="n">
        <v>0</v>
      </c>
      <c r="Q2000" t="n">
        <v>0</v>
      </c>
      <c r="R2000" s="2" t="inlineStr"/>
    </row>
    <row r="2001" ht="15" customHeight="1">
      <c r="A2001" t="inlineStr">
        <is>
          <t>A 68553-2019</t>
        </is>
      </c>
      <c r="B2001" s="1" t="n">
        <v>43818</v>
      </c>
      <c r="C2001" s="1" t="n">
        <v>45810</v>
      </c>
      <c r="D2001" t="inlineStr">
        <is>
          <t>VÄRMLANDS LÄN</t>
        </is>
      </c>
      <c r="E2001" t="inlineStr">
        <is>
          <t>TORSBY</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68567-2019</t>
        </is>
      </c>
      <c r="B2002" s="1" t="n">
        <v>43818</v>
      </c>
      <c r="C2002" s="1" t="n">
        <v>45810</v>
      </c>
      <c r="D2002" t="inlineStr">
        <is>
          <t>VÄRMLANDS LÄN</t>
        </is>
      </c>
      <c r="E2002" t="inlineStr">
        <is>
          <t>ARVIKA</t>
        </is>
      </c>
      <c r="F2002" t="inlineStr">
        <is>
          <t>Kommuner</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68587-2019</t>
        </is>
      </c>
      <c r="B2003" s="1" t="n">
        <v>43818</v>
      </c>
      <c r="C2003" s="1" t="n">
        <v>45810</v>
      </c>
      <c r="D2003" t="inlineStr">
        <is>
          <t>VÄRMLANDS LÄN</t>
        </is>
      </c>
      <c r="E2003" t="inlineStr">
        <is>
          <t>KRISTINEHAMN</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68560-2019</t>
        </is>
      </c>
      <c r="B2004" s="1" t="n">
        <v>43818</v>
      </c>
      <c r="C2004" s="1" t="n">
        <v>45810</v>
      </c>
      <c r="D2004" t="inlineStr">
        <is>
          <t>VÄRMLANDS LÄN</t>
        </is>
      </c>
      <c r="E2004" t="inlineStr">
        <is>
          <t>ARVIKA</t>
        </is>
      </c>
      <c r="F2004" t="inlineStr">
        <is>
          <t>Kommuner</t>
        </is>
      </c>
      <c r="G2004" t="n">
        <v>6</v>
      </c>
      <c r="H2004" t="n">
        <v>0</v>
      </c>
      <c r="I2004" t="n">
        <v>0</v>
      </c>
      <c r="J2004" t="n">
        <v>0</v>
      </c>
      <c r="K2004" t="n">
        <v>0</v>
      </c>
      <c r="L2004" t="n">
        <v>0</v>
      </c>
      <c r="M2004" t="n">
        <v>0</v>
      </c>
      <c r="N2004" t="n">
        <v>0</v>
      </c>
      <c r="O2004" t="n">
        <v>0</v>
      </c>
      <c r="P2004" t="n">
        <v>0</v>
      </c>
      <c r="Q2004" t="n">
        <v>0</v>
      </c>
      <c r="R2004" s="2" t="inlineStr"/>
    </row>
    <row r="2005" ht="15" customHeight="1">
      <c r="A2005" t="inlineStr">
        <is>
          <t>A 68577-2019</t>
        </is>
      </c>
      <c r="B2005" s="1" t="n">
        <v>43818</v>
      </c>
      <c r="C2005" s="1" t="n">
        <v>45810</v>
      </c>
      <c r="D2005" t="inlineStr">
        <is>
          <t>VÄRMLANDS LÄN</t>
        </is>
      </c>
      <c r="E2005" t="inlineStr">
        <is>
          <t>ARVIKA</t>
        </is>
      </c>
      <c r="F2005" t="inlineStr">
        <is>
          <t>Kommuner</t>
        </is>
      </c>
      <c r="G2005" t="n">
        <v>15.9</v>
      </c>
      <c r="H2005" t="n">
        <v>0</v>
      </c>
      <c r="I2005" t="n">
        <v>0</v>
      </c>
      <c r="J2005" t="n">
        <v>0</v>
      </c>
      <c r="K2005" t="n">
        <v>0</v>
      </c>
      <c r="L2005" t="n">
        <v>0</v>
      </c>
      <c r="M2005" t="n">
        <v>0</v>
      </c>
      <c r="N2005" t="n">
        <v>0</v>
      </c>
      <c r="O2005" t="n">
        <v>0</v>
      </c>
      <c r="P2005" t="n">
        <v>0</v>
      </c>
      <c r="Q2005" t="n">
        <v>0</v>
      </c>
      <c r="R2005" s="2" t="inlineStr"/>
    </row>
    <row r="2006" ht="15" customHeight="1">
      <c r="A2006" t="inlineStr">
        <is>
          <t>A 68589-2019</t>
        </is>
      </c>
      <c r="B2006" s="1" t="n">
        <v>43818</v>
      </c>
      <c r="C2006" s="1" t="n">
        <v>45810</v>
      </c>
      <c r="D2006" t="inlineStr">
        <is>
          <t>VÄRMLANDS LÄN</t>
        </is>
      </c>
      <c r="E2006" t="inlineStr">
        <is>
          <t>KARLSTAD</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342-2020</t>
        </is>
      </c>
      <c r="B2007" s="1" t="n">
        <v>43818</v>
      </c>
      <c r="C2007" s="1" t="n">
        <v>45810</v>
      </c>
      <c r="D2007" t="inlineStr">
        <is>
          <t>VÄRMLANDS LÄN</t>
        </is>
      </c>
      <c r="E2007" t="inlineStr">
        <is>
          <t>STORFORS</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68573-2019</t>
        </is>
      </c>
      <c r="B2008" s="1" t="n">
        <v>43818</v>
      </c>
      <c r="C2008" s="1" t="n">
        <v>45810</v>
      </c>
      <c r="D2008" t="inlineStr">
        <is>
          <t>VÄRMLANDS LÄN</t>
        </is>
      </c>
      <c r="E2008" t="inlineStr">
        <is>
          <t>ARVIKA</t>
        </is>
      </c>
      <c r="F2008" t="inlineStr">
        <is>
          <t>Kommuner</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68820-2019</t>
        </is>
      </c>
      <c r="B2009" s="1" t="n">
        <v>43818</v>
      </c>
      <c r="C2009" s="1" t="n">
        <v>45810</v>
      </c>
      <c r="D2009" t="inlineStr">
        <is>
          <t>VÄRMLANDS LÄN</t>
        </is>
      </c>
      <c r="E2009" t="inlineStr">
        <is>
          <t>SUNNE</t>
        </is>
      </c>
      <c r="G2009" t="n">
        <v>10</v>
      </c>
      <c r="H2009" t="n">
        <v>0</v>
      </c>
      <c r="I2009" t="n">
        <v>0</v>
      </c>
      <c r="J2009" t="n">
        <v>0</v>
      </c>
      <c r="K2009" t="n">
        <v>0</v>
      </c>
      <c r="L2009" t="n">
        <v>0</v>
      </c>
      <c r="M2009" t="n">
        <v>0</v>
      </c>
      <c r="N2009" t="n">
        <v>0</v>
      </c>
      <c r="O2009" t="n">
        <v>0</v>
      </c>
      <c r="P2009" t="n">
        <v>0</v>
      </c>
      <c r="Q2009" t="n">
        <v>0</v>
      </c>
      <c r="R2009" s="2" t="inlineStr"/>
    </row>
    <row r="2010" ht="15" customHeight="1">
      <c r="A2010" t="inlineStr">
        <is>
          <t>A 68631-2019</t>
        </is>
      </c>
      <c r="B2010" s="1" t="n">
        <v>43819</v>
      </c>
      <c r="C2010" s="1" t="n">
        <v>45810</v>
      </c>
      <c r="D2010" t="inlineStr">
        <is>
          <t>VÄRMLANDS LÄN</t>
        </is>
      </c>
      <c r="E2010" t="inlineStr">
        <is>
          <t>EDA</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68643-2019</t>
        </is>
      </c>
      <c r="B2011" s="1" t="n">
        <v>43819</v>
      </c>
      <c r="C2011" s="1" t="n">
        <v>45810</v>
      </c>
      <c r="D2011" t="inlineStr">
        <is>
          <t>VÄRMLANDS LÄN</t>
        </is>
      </c>
      <c r="E2011" t="inlineStr">
        <is>
          <t>ÅRJÄNG</t>
        </is>
      </c>
      <c r="G2011" t="n">
        <v>2.8</v>
      </c>
      <c r="H2011" t="n">
        <v>0</v>
      </c>
      <c r="I2011" t="n">
        <v>0</v>
      </c>
      <c r="J2011" t="n">
        <v>0</v>
      </c>
      <c r="K2011" t="n">
        <v>0</v>
      </c>
      <c r="L2011" t="n">
        <v>0</v>
      </c>
      <c r="M2011" t="n">
        <v>0</v>
      </c>
      <c r="N2011" t="n">
        <v>0</v>
      </c>
      <c r="O2011" t="n">
        <v>0</v>
      </c>
      <c r="P2011" t="n">
        <v>0</v>
      </c>
      <c r="Q2011" t="n">
        <v>0</v>
      </c>
      <c r="R2011" s="2" t="inlineStr"/>
    </row>
    <row r="2012" ht="15" customHeight="1">
      <c r="A2012" t="inlineStr">
        <is>
          <t>A 68639-2019</t>
        </is>
      </c>
      <c r="B2012" s="1" t="n">
        <v>43819</v>
      </c>
      <c r="C2012" s="1" t="n">
        <v>45810</v>
      </c>
      <c r="D2012" t="inlineStr">
        <is>
          <t>VÄRMLANDS LÄN</t>
        </is>
      </c>
      <c r="E2012" t="inlineStr">
        <is>
          <t>ÅRJÄNG</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68695-2019</t>
        </is>
      </c>
      <c r="B2013" s="1" t="n">
        <v>43819</v>
      </c>
      <c r="C2013" s="1" t="n">
        <v>45810</v>
      </c>
      <c r="D2013" t="inlineStr">
        <is>
          <t>VÄRMLANDS LÄN</t>
        </is>
      </c>
      <c r="E2013" t="inlineStr">
        <is>
          <t>KARLSTAD</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955-2020</t>
        </is>
      </c>
      <c r="B2014" s="1" t="n">
        <v>43819</v>
      </c>
      <c r="C2014" s="1" t="n">
        <v>45810</v>
      </c>
      <c r="D2014" t="inlineStr">
        <is>
          <t>VÄRMLANDS LÄN</t>
        </is>
      </c>
      <c r="E2014" t="inlineStr">
        <is>
          <t>KARLSTAD</t>
        </is>
      </c>
      <c r="G2014" t="n">
        <v>3.9</v>
      </c>
      <c r="H2014" t="n">
        <v>0</v>
      </c>
      <c r="I2014" t="n">
        <v>0</v>
      </c>
      <c r="J2014" t="n">
        <v>0</v>
      </c>
      <c r="K2014" t="n">
        <v>0</v>
      </c>
      <c r="L2014" t="n">
        <v>0</v>
      </c>
      <c r="M2014" t="n">
        <v>0</v>
      </c>
      <c r="N2014" t="n">
        <v>0</v>
      </c>
      <c r="O2014" t="n">
        <v>0</v>
      </c>
      <c r="P2014" t="n">
        <v>0</v>
      </c>
      <c r="Q2014" t="n">
        <v>0</v>
      </c>
      <c r="R2014" s="2" t="inlineStr"/>
    </row>
    <row r="2015" ht="15" customHeight="1">
      <c r="A2015" t="inlineStr">
        <is>
          <t>A 68635-2019</t>
        </is>
      </c>
      <c r="B2015" s="1" t="n">
        <v>43819</v>
      </c>
      <c r="C2015" s="1" t="n">
        <v>45810</v>
      </c>
      <c r="D2015" t="inlineStr">
        <is>
          <t>VÄRMLANDS LÄN</t>
        </is>
      </c>
      <c r="E2015" t="inlineStr">
        <is>
          <t>EDA</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68898-2019</t>
        </is>
      </c>
      <c r="B2016" s="1" t="n">
        <v>43821</v>
      </c>
      <c r="C2016" s="1" t="n">
        <v>45810</v>
      </c>
      <c r="D2016" t="inlineStr">
        <is>
          <t>VÄRMLANDS LÄN</t>
        </is>
      </c>
      <c r="E2016" t="inlineStr">
        <is>
          <t>KARLSTAD</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68895-2019</t>
        </is>
      </c>
      <c r="B2017" s="1" t="n">
        <v>43822</v>
      </c>
      <c r="C2017" s="1" t="n">
        <v>45810</v>
      </c>
      <c r="D2017" t="inlineStr">
        <is>
          <t>VÄRMLANDS LÄN</t>
        </is>
      </c>
      <c r="E2017" t="inlineStr">
        <is>
          <t>ARVIKA</t>
        </is>
      </c>
      <c r="F2017" t="inlineStr">
        <is>
          <t>Bergvik skog väst AB</t>
        </is>
      </c>
      <c r="G2017" t="n">
        <v>25.9</v>
      </c>
      <c r="H2017" t="n">
        <v>0</v>
      </c>
      <c r="I2017" t="n">
        <v>0</v>
      </c>
      <c r="J2017" t="n">
        <v>0</v>
      </c>
      <c r="K2017" t="n">
        <v>0</v>
      </c>
      <c r="L2017" t="n">
        <v>0</v>
      </c>
      <c r="M2017" t="n">
        <v>0</v>
      </c>
      <c r="N2017" t="n">
        <v>0</v>
      </c>
      <c r="O2017" t="n">
        <v>0</v>
      </c>
      <c r="P2017" t="n">
        <v>0</v>
      </c>
      <c r="Q2017" t="n">
        <v>0</v>
      </c>
      <c r="R2017" s="2" t="inlineStr"/>
    </row>
    <row r="2018" ht="15" customHeight="1">
      <c r="A2018" t="inlineStr">
        <is>
          <t>A 1386-2020</t>
        </is>
      </c>
      <c r="B2018" s="1" t="n">
        <v>43822</v>
      </c>
      <c r="C2018" s="1" t="n">
        <v>45810</v>
      </c>
      <c r="D2018" t="inlineStr">
        <is>
          <t>VÄRMLANDS LÄN</t>
        </is>
      </c>
      <c r="E2018" t="inlineStr">
        <is>
          <t>ÅRJÄNG</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68975-2019</t>
        </is>
      </c>
      <c r="B2019" s="1" t="n">
        <v>43822</v>
      </c>
      <c r="C2019" s="1" t="n">
        <v>45810</v>
      </c>
      <c r="D2019" t="inlineStr">
        <is>
          <t>VÄRMLANDS LÄN</t>
        </is>
      </c>
      <c r="E2019" t="inlineStr">
        <is>
          <t>SUNNE</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1392-2020</t>
        </is>
      </c>
      <c r="B2020" s="1" t="n">
        <v>43822</v>
      </c>
      <c r="C2020" s="1" t="n">
        <v>45810</v>
      </c>
      <c r="D2020" t="inlineStr">
        <is>
          <t>VÄRMLANDS LÄN</t>
        </is>
      </c>
      <c r="E2020" t="inlineStr">
        <is>
          <t>ÅRJÄNG</t>
        </is>
      </c>
      <c r="G2020" t="n">
        <v>8</v>
      </c>
      <c r="H2020" t="n">
        <v>0</v>
      </c>
      <c r="I2020" t="n">
        <v>0</v>
      </c>
      <c r="J2020" t="n">
        <v>0</v>
      </c>
      <c r="K2020" t="n">
        <v>0</v>
      </c>
      <c r="L2020" t="n">
        <v>0</v>
      </c>
      <c r="M2020" t="n">
        <v>0</v>
      </c>
      <c r="N2020" t="n">
        <v>0</v>
      </c>
      <c r="O2020" t="n">
        <v>0</v>
      </c>
      <c r="P2020" t="n">
        <v>0</v>
      </c>
      <c r="Q2020" t="n">
        <v>0</v>
      </c>
      <c r="R2020" s="2" t="inlineStr"/>
    </row>
    <row r="2021" ht="15" customHeight="1">
      <c r="A2021" t="inlineStr">
        <is>
          <t>A 69022-2019</t>
        </is>
      </c>
      <c r="B2021" s="1" t="n">
        <v>43826</v>
      </c>
      <c r="C2021" s="1" t="n">
        <v>45810</v>
      </c>
      <c r="D2021" t="inlineStr">
        <is>
          <t>VÄRMLANDS LÄN</t>
        </is>
      </c>
      <c r="E2021" t="inlineStr">
        <is>
          <t>KARLSTAD</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69037-2019</t>
        </is>
      </c>
      <c r="B2022" s="1" t="n">
        <v>43826</v>
      </c>
      <c r="C2022" s="1" t="n">
        <v>45810</v>
      </c>
      <c r="D2022" t="inlineStr">
        <is>
          <t>VÄRMLANDS LÄN</t>
        </is>
      </c>
      <c r="E2022" t="inlineStr">
        <is>
          <t>EDA</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69036-2019</t>
        </is>
      </c>
      <c r="B2023" s="1" t="n">
        <v>43826</v>
      </c>
      <c r="C2023" s="1" t="n">
        <v>45810</v>
      </c>
      <c r="D2023" t="inlineStr">
        <is>
          <t>VÄRMLANDS LÄN</t>
        </is>
      </c>
      <c r="E2023" t="inlineStr">
        <is>
          <t>EDA</t>
        </is>
      </c>
      <c r="G2023" t="n">
        <v>3.4</v>
      </c>
      <c r="H2023" t="n">
        <v>0</v>
      </c>
      <c r="I2023" t="n">
        <v>0</v>
      </c>
      <c r="J2023" t="n">
        <v>0</v>
      </c>
      <c r="K2023" t="n">
        <v>0</v>
      </c>
      <c r="L2023" t="n">
        <v>0</v>
      </c>
      <c r="M2023" t="n">
        <v>0</v>
      </c>
      <c r="N2023" t="n">
        <v>0</v>
      </c>
      <c r="O2023" t="n">
        <v>0</v>
      </c>
      <c r="P2023" t="n">
        <v>0</v>
      </c>
      <c r="Q2023" t="n">
        <v>0</v>
      </c>
      <c r="R2023" s="2" t="inlineStr"/>
    </row>
    <row r="2024" ht="15" customHeight="1">
      <c r="A2024" t="inlineStr">
        <is>
          <t>A 69092-2019</t>
        </is>
      </c>
      <c r="B2024" s="1" t="n">
        <v>43829</v>
      </c>
      <c r="C2024" s="1" t="n">
        <v>45810</v>
      </c>
      <c r="D2024" t="inlineStr">
        <is>
          <t>VÄRMLANDS LÄN</t>
        </is>
      </c>
      <c r="E2024" t="inlineStr">
        <is>
          <t>SUNNE</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69138-2019</t>
        </is>
      </c>
      <c r="B2025" s="1" t="n">
        <v>43829</v>
      </c>
      <c r="C2025" s="1" t="n">
        <v>45810</v>
      </c>
      <c r="D2025" t="inlineStr">
        <is>
          <t>VÄRMLANDS LÄN</t>
        </is>
      </c>
      <c r="E2025" t="inlineStr">
        <is>
          <t>FILIPSTAD</t>
        </is>
      </c>
      <c r="F2025" t="inlineStr">
        <is>
          <t>Bergvik skog väst AB</t>
        </is>
      </c>
      <c r="G2025" t="n">
        <v>11.5</v>
      </c>
      <c r="H2025" t="n">
        <v>0</v>
      </c>
      <c r="I2025" t="n">
        <v>0</v>
      </c>
      <c r="J2025" t="n">
        <v>0</v>
      </c>
      <c r="K2025" t="n">
        <v>0</v>
      </c>
      <c r="L2025" t="n">
        <v>0</v>
      </c>
      <c r="M2025" t="n">
        <v>0</v>
      </c>
      <c r="N2025" t="n">
        <v>0</v>
      </c>
      <c r="O2025" t="n">
        <v>0</v>
      </c>
      <c r="P2025" t="n">
        <v>0</v>
      </c>
      <c r="Q2025" t="n">
        <v>0</v>
      </c>
      <c r="R2025" s="2" t="inlineStr"/>
    </row>
    <row r="2026" ht="15" customHeight="1">
      <c r="A2026" t="inlineStr">
        <is>
          <t>A 69113-2019</t>
        </is>
      </c>
      <c r="B2026" s="1" t="n">
        <v>43829</v>
      </c>
      <c r="C2026" s="1" t="n">
        <v>45810</v>
      </c>
      <c r="D2026" t="inlineStr">
        <is>
          <t>VÄRMLANDS LÄN</t>
        </is>
      </c>
      <c r="E2026" t="inlineStr">
        <is>
          <t>FILIPSTAD</t>
        </is>
      </c>
      <c r="F2026" t="inlineStr">
        <is>
          <t>Bergvik skog väst AB</t>
        </is>
      </c>
      <c r="G2026" t="n">
        <v>3.5</v>
      </c>
      <c r="H2026" t="n">
        <v>0</v>
      </c>
      <c r="I2026" t="n">
        <v>0</v>
      </c>
      <c r="J2026" t="n">
        <v>0</v>
      </c>
      <c r="K2026" t="n">
        <v>0</v>
      </c>
      <c r="L2026" t="n">
        <v>0</v>
      </c>
      <c r="M2026" t="n">
        <v>0</v>
      </c>
      <c r="N2026" t="n">
        <v>0</v>
      </c>
      <c r="O2026" t="n">
        <v>0</v>
      </c>
      <c r="P2026" t="n">
        <v>0</v>
      </c>
      <c r="Q2026" t="n">
        <v>0</v>
      </c>
      <c r="R2026" s="2" t="inlineStr"/>
    </row>
    <row r="2027" ht="15" customHeight="1">
      <c r="A2027" t="inlineStr">
        <is>
          <t>A 69089-2019</t>
        </is>
      </c>
      <c r="B2027" s="1" t="n">
        <v>43829</v>
      </c>
      <c r="C2027" s="1" t="n">
        <v>45810</v>
      </c>
      <c r="D2027" t="inlineStr">
        <is>
          <t>VÄRMLANDS LÄN</t>
        </is>
      </c>
      <c r="E2027" t="inlineStr">
        <is>
          <t>SUNNE</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1611-2020</t>
        </is>
      </c>
      <c r="B2028" s="1" t="n">
        <v>43829</v>
      </c>
      <c r="C2028" s="1" t="n">
        <v>45810</v>
      </c>
      <c r="D2028" t="inlineStr">
        <is>
          <t>VÄRMLANDS LÄN</t>
        </is>
      </c>
      <c r="E2028" t="inlineStr">
        <is>
          <t>HAGFORS</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69090-2019</t>
        </is>
      </c>
      <c r="B2029" s="1" t="n">
        <v>43829</v>
      </c>
      <c r="C2029" s="1" t="n">
        <v>45810</v>
      </c>
      <c r="D2029" t="inlineStr">
        <is>
          <t>VÄRMLANDS LÄN</t>
        </is>
      </c>
      <c r="E2029" t="inlineStr">
        <is>
          <t>KRISTINEHAMN</t>
        </is>
      </c>
      <c r="G2029" t="n">
        <v>2.5</v>
      </c>
      <c r="H2029" t="n">
        <v>0</v>
      </c>
      <c r="I2029" t="n">
        <v>0</v>
      </c>
      <c r="J2029" t="n">
        <v>0</v>
      </c>
      <c r="K2029" t="n">
        <v>0</v>
      </c>
      <c r="L2029" t="n">
        <v>0</v>
      </c>
      <c r="M2029" t="n">
        <v>0</v>
      </c>
      <c r="N2029" t="n">
        <v>0</v>
      </c>
      <c r="O2029" t="n">
        <v>0</v>
      </c>
      <c r="P2029" t="n">
        <v>0</v>
      </c>
      <c r="Q2029" t="n">
        <v>0</v>
      </c>
      <c r="R2029" s="2" t="inlineStr"/>
    </row>
    <row r="2030" ht="15" customHeight="1">
      <c r="A2030" t="inlineStr">
        <is>
          <t>A 69086-2019</t>
        </is>
      </c>
      <c r="B2030" s="1" t="n">
        <v>43829</v>
      </c>
      <c r="C2030" s="1" t="n">
        <v>45810</v>
      </c>
      <c r="D2030" t="inlineStr">
        <is>
          <t>VÄRMLANDS LÄN</t>
        </is>
      </c>
      <c r="E2030" t="inlineStr">
        <is>
          <t>ARVIKA</t>
        </is>
      </c>
      <c r="F2030" t="inlineStr">
        <is>
          <t>Bergvik skog väst AB</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91-2020</t>
        </is>
      </c>
      <c r="B2031" s="1" t="n">
        <v>43832</v>
      </c>
      <c r="C2031" s="1" t="n">
        <v>45810</v>
      </c>
      <c r="D2031" t="inlineStr">
        <is>
          <t>VÄRMLANDS LÄN</t>
        </is>
      </c>
      <c r="E2031" t="inlineStr">
        <is>
          <t>ARVIKA</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14-2020</t>
        </is>
      </c>
      <c r="B2032" s="1" t="n">
        <v>43832</v>
      </c>
      <c r="C2032" s="1" t="n">
        <v>45810</v>
      </c>
      <c r="D2032" t="inlineStr">
        <is>
          <t>VÄRMLANDS LÄN</t>
        </is>
      </c>
      <c r="E2032" t="inlineStr">
        <is>
          <t>ARVIKA</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94-2020</t>
        </is>
      </c>
      <c r="B2033" s="1" t="n">
        <v>43832</v>
      </c>
      <c r="C2033" s="1" t="n">
        <v>45810</v>
      </c>
      <c r="D2033" t="inlineStr">
        <is>
          <t>VÄRMLANDS LÄN</t>
        </is>
      </c>
      <c r="E2033" t="inlineStr">
        <is>
          <t>ARVIKA</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99-2020</t>
        </is>
      </c>
      <c r="B2034" s="1" t="n">
        <v>43832</v>
      </c>
      <c r="C2034" s="1" t="n">
        <v>45810</v>
      </c>
      <c r="D2034" t="inlineStr">
        <is>
          <t>VÄRMLANDS LÄN</t>
        </is>
      </c>
      <c r="E2034" t="inlineStr">
        <is>
          <t>FORSHAGA</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2167-2020</t>
        </is>
      </c>
      <c r="B2035" s="1" t="n">
        <v>43832</v>
      </c>
      <c r="C2035" s="1" t="n">
        <v>45810</v>
      </c>
      <c r="D2035" t="inlineStr">
        <is>
          <t>VÄRMLANDS LÄN</t>
        </is>
      </c>
      <c r="E2035" t="inlineStr">
        <is>
          <t>KARLSTAD</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1663-2020</t>
        </is>
      </c>
      <c r="B2036" s="1" t="n">
        <v>43832</v>
      </c>
      <c r="C2036" s="1" t="n">
        <v>45810</v>
      </c>
      <c r="D2036" t="inlineStr">
        <is>
          <t>VÄRMLANDS LÄN</t>
        </is>
      </c>
      <c r="E2036" t="inlineStr">
        <is>
          <t>KARLSTAD</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137-2020</t>
        </is>
      </c>
      <c r="B2037" s="1" t="n">
        <v>43833</v>
      </c>
      <c r="C2037" s="1" t="n">
        <v>45810</v>
      </c>
      <c r="D2037" t="inlineStr">
        <is>
          <t>VÄRMLANDS LÄN</t>
        </is>
      </c>
      <c r="E2037" t="inlineStr">
        <is>
          <t>EDA</t>
        </is>
      </c>
      <c r="F2037" t="inlineStr">
        <is>
          <t>Övriga Aktiebolag</t>
        </is>
      </c>
      <c r="G2037" t="n">
        <v>5.2</v>
      </c>
      <c r="H2037" t="n">
        <v>0</v>
      </c>
      <c r="I2037" t="n">
        <v>0</v>
      </c>
      <c r="J2037" t="n">
        <v>0</v>
      </c>
      <c r="K2037" t="n">
        <v>0</v>
      </c>
      <c r="L2037" t="n">
        <v>0</v>
      </c>
      <c r="M2037" t="n">
        <v>0</v>
      </c>
      <c r="N2037" t="n">
        <v>0</v>
      </c>
      <c r="O2037" t="n">
        <v>0</v>
      </c>
      <c r="P2037" t="n">
        <v>0</v>
      </c>
      <c r="Q2037" t="n">
        <v>0</v>
      </c>
      <c r="R2037" s="2" t="inlineStr"/>
    </row>
    <row r="2038" ht="15" customHeight="1">
      <c r="A2038" t="inlineStr">
        <is>
          <t>A 170-2020</t>
        </is>
      </c>
      <c r="B2038" s="1" t="n">
        <v>43833</v>
      </c>
      <c r="C2038" s="1" t="n">
        <v>45810</v>
      </c>
      <c r="D2038" t="inlineStr">
        <is>
          <t>VÄRMLANDS LÄN</t>
        </is>
      </c>
      <c r="E2038" t="inlineStr">
        <is>
          <t>MUNKFORS</t>
        </is>
      </c>
      <c r="F2038" t="inlineStr">
        <is>
          <t>Bergvik skog väst AB</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200-2020</t>
        </is>
      </c>
      <c r="B2039" s="1" t="n">
        <v>43833</v>
      </c>
      <c r="C2039" s="1" t="n">
        <v>45810</v>
      </c>
      <c r="D2039" t="inlineStr">
        <is>
          <t>VÄRMLANDS LÄN</t>
        </is>
      </c>
      <c r="E2039" t="inlineStr">
        <is>
          <t>ÅRJÄNG</t>
        </is>
      </c>
      <c r="G2039" t="n">
        <v>7.3</v>
      </c>
      <c r="H2039" t="n">
        <v>0</v>
      </c>
      <c r="I2039" t="n">
        <v>0</v>
      </c>
      <c r="J2039" t="n">
        <v>0</v>
      </c>
      <c r="K2039" t="n">
        <v>0</v>
      </c>
      <c r="L2039" t="n">
        <v>0</v>
      </c>
      <c r="M2039" t="n">
        <v>0</v>
      </c>
      <c r="N2039" t="n">
        <v>0</v>
      </c>
      <c r="O2039" t="n">
        <v>0</v>
      </c>
      <c r="P2039" t="n">
        <v>0</v>
      </c>
      <c r="Q2039" t="n">
        <v>0</v>
      </c>
      <c r="R2039" s="2" t="inlineStr"/>
    </row>
    <row r="2040" ht="15" customHeight="1">
      <c r="A2040" t="inlineStr">
        <is>
          <t>A 140-2020</t>
        </is>
      </c>
      <c r="B2040" s="1" t="n">
        <v>43833</v>
      </c>
      <c r="C2040" s="1" t="n">
        <v>45810</v>
      </c>
      <c r="D2040" t="inlineStr">
        <is>
          <t>VÄRMLANDS LÄN</t>
        </is>
      </c>
      <c r="E2040" t="inlineStr">
        <is>
          <t>TORSBY</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197-2020</t>
        </is>
      </c>
      <c r="B2041" s="1" t="n">
        <v>43833</v>
      </c>
      <c r="C2041" s="1" t="n">
        <v>45810</v>
      </c>
      <c r="D2041" t="inlineStr">
        <is>
          <t>VÄRMLANDS LÄN</t>
        </is>
      </c>
      <c r="E2041" t="inlineStr">
        <is>
          <t>ARVIKA</t>
        </is>
      </c>
      <c r="G2041" t="n">
        <v>6.1</v>
      </c>
      <c r="H2041" t="n">
        <v>0</v>
      </c>
      <c r="I2041" t="n">
        <v>0</v>
      </c>
      <c r="J2041" t="n">
        <v>0</v>
      </c>
      <c r="K2041" t="n">
        <v>0</v>
      </c>
      <c r="L2041" t="n">
        <v>0</v>
      </c>
      <c r="M2041" t="n">
        <v>0</v>
      </c>
      <c r="N2041" t="n">
        <v>0</v>
      </c>
      <c r="O2041" t="n">
        <v>0</v>
      </c>
      <c r="P2041" t="n">
        <v>0</v>
      </c>
      <c r="Q2041" t="n">
        <v>0</v>
      </c>
      <c r="R2041" s="2" t="inlineStr"/>
    </row>
    <row r="2042" ht="15" customHeight="1">
      <c r="A2042" t="inlineStr">
        <is>
          <t>A 1799-2020</t>
        </is>
      </c>
      <c r="B2042" s="1" t="n">
        <v>43835</v>
      </c>
      <c r="C2042" s="1" t="n">
        <v>45810</v>
      </c>
      <c r="D2042" t="inlineStr">
        <is>
          <t>VÄRMLANDS LÄN</t>
        </is>
      </c>
      <c r="E2042" t="inlineStr">
        <is>
          <t>SÄFFLE</t>
        </is>
      </c>
      <c r="G2042" t="n">
        <v>4.8</v>
      </c>
      <c r="H2042" t="n">
        <v>0</v>
      </c>
      <c r="I2042" t="n">
        <v>0</v>
      </c>
      <c r="J2042" t="n">
        <v>0</v>
      </c>
      <c r="K2042" t="n">
        <v>0</v>
      </c>
      <c r="L2042" t="n">
        <v>0</v>
      </c>
      <c r="M2042" t="n">
        <v>0</v>
      </c>
      <c r="N2042" t="n">
        <v>0</v>
      </c>
      <c r="O2042" t="n">
        <v>0</v>
      </c>
      <c r="P2042" t="n">
        <v>0</v>
      </c>
      <c r="Q2042" t="n">
        <v>0</v>
      </c>
      <c r="R2042" s="2" t="inlineStr"/>
    </row>
    <row r="2043" ht="15" customHeight="1">
      <c r="A2043" t="inlineStr">
        <is>
          <t>A 239-2020</t>
        </is>
      </c>
      <c r="B2043" s="1" t="n">
        <v>43835</v>
      </c>
      <c r="C2043" s="1" t="n">
        <v>45810</v>
      </c>
      <c r="D2043" t="inlineStr">
        <is>
          <t>VÄRMLANDS LÄN</t>
        </is>
      </c>
      <c r="E2043" t="inlineStr">
        <is>
          <t>ARVIKA</t>
        </is>
      </c>
      <c r="G2043" t="n">
        <v>0.3</v>
      </c>
      <c r="H2043" t="n">
        <v>0</v>
      </c>
      <c r="I2043" t="n">
        <v>0</v>
      </c>
      <c r="J2043" t="n">
        <v>0</v>
      </c>
      <c r="K2043" t="n">
        <v>0</v>
      </c>
      <c r="L2043" t="n">
        <v>0</v>
      </c>
      <c r="M2043" t="n">
        <v>0</v>
      </c>
      <c r="N2043" t="n">
        <v>0</v>
      </c>
      <c r="O2043" t="n">
        <v>0</v>
      </c>
      <c r="P2043" t="n">
        <v>0</v>
      </c>
      <c r="Q2043" t="n">
        <v>0</v>
      </c>
      <c r="R2043" s="2" t="inlineStr"/>
    </row>
    <row r="2044" ht="15" customHeight="1">
      <c r="A2044" t="inlineStr">
        <is>
          <t>A 344-2020</t>
        </is>
      </c>
      <c r="B2044" s="1" t="n">
        <v>43837</v>
      </c>
      <c r="C2044" s="1" t="n">
        <v>45810</v>
      </c>
      <c r="D2044" t="inlineStr">
        <is>
          <t>VÄRMLANDS LÄN</t>
        </is>
      </c>
      <c r="E2044" t="inlineStr">
        <is>
          <t>SÄFFLE</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349-2020</t>
        </is>
      </c>
      <c r="B2045" s="1" t="n">
        <v>43837</v>
      </c>
      <c r="C2045" s="1" t="n">
        <v>45810</v>
      </c>
      <c r="D2045" t="inlineStr">
        <is>
          <t>VÄRMLANDS LÄN</t>
        </is>
      </c>
      <c r="E2045" t="inlineStr">
        <is>
          <t>SÄFFLE</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266-2020</t>
        </is>
      </c>
      <c r="B2046" s="1" t="n">
        <v>43837</v>
      </c>
      <c r="C2046" s="1" t="n">
        <v>45810</v>
      </c>
      <c r="D2046" t="inlineStr">
        <is>
          <t>VÄRMLANDS LÄN</t>
        </is>
      </c>
      <c r="E2046" t="inlineStr">
        <is>
          <t>STORFORS</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323-2020</t>
        </is>
      </c>
      <c r="B2047" s="1" t="n">
        <v>43837</v>
      </c>
      <c r="C2047" s="1" t="n">
        <v>45810</v>
      </c>
      <c r="D2047" t="inlineStr">
        <is>
          <t>VÄRMLANDS LÄN</t>
        </is>
      </c>
      <c r="E2047" t="inlineStr">
        <is>
          <t>ARVIKA</t>
        </is>
      </c>
      <c r="F2047" t="inlineStr">
        <is>
          <t>Övriga Aktiebolag</t>
        </is>
      </c>
      <c r="G2047" t="n">
        <v>8.1</v>
      </c>
      <c r="H2047" t="n">
        <v>0</v>
      </c>
      <c r="I2047" t="n">
        <v>0</v>
      </c>
      <c r="J2047" t="n">
        <v>0</v>
      </c>
      <c r="K2047" t="n">
        <v>0</v>
      </c>
      <c r="L2047" t="n">
        <v>0</v>
      </c>
      <c r="M2047" t="n">
        <v>0</v>
      </c>
      <c r="N2047" t="n">
        <v>0</v>
      </c>
      <c r="O2047" t="n">
        <v>0</v>
      </c>
      <c r="P2047" t="n">
        <v>0</v>
      </c>
      <c r="Q2047" t="n">
        <v>0</v>
      </c>
      <c r="R2047" s="2" t="inlineStr"/>
    </row>
    <row r="2048" ht="15" customHeight="1">
      <c r="A2048" t="inlineStr">
        <is>
          <t>A 338-2020</t>
        </is>
      </c>
      <c r="B2048" s="1" t="n">
        <v>43837</v>
      </c>
      <c r="C2048" s="1" t="n">
        <v>45810</v>
      </c>
      <c r="D2048" t="inlineStr">
        <is>
          <t>VÄRMLANDS LÄN</t>
        </is>
      </c>
      <c r="E2048" t="inlineStr">
        <is>
          <t>TORSBY</t>
        </is>
      </c>
      <c r="G2048" t="n">
        <v>3.2</v>
      </c>
      <c r="H2048" t="n">
        <v>0</v>
      </c>
      <c r="I2048" t="n">
        <v>0</v>
      </c>
      <c r="J2048" t="n">
        <v>0</v>
      </c>
      <c r="K2048" t="n">
        <v>0</v>
      </c>
      <c r="L2048" t="n">
        <v>0</v>
      </c>
      <c r="M2048" t="n">
        <v>0</v>
      </c>
      <c r="N2048" t="n">
        <v>0</v>
      </c>
      <c r="O2048" t="n">
        <v>0</v>
      </c>
      <c r="P2048" t="n">
        <v>0</v>
      </c>
      <c r="Q2048" t="n">
        <v>0</v>
      </c>
      <c r="R2048" s="2" t="inlineStr"/>
    </row>
    <row r="2049" ht="15" customHeight="1">
      <c r="A2049" t="inlineStr">
        <is>
          <t>A 388-2020</t>
        </is>
      </c>
      <c r="B2049" s="1" t="n">
        <v>43837</v>
      </c>
      <c r="C2049" s="1" t="n">
        <v>45810</v>
      </c>
      <c r="D2049" t="inlineStr">
        <is>
          <t>VÄRMLANDS LÄN</t>
        </is>
      </c>
      <c r="E2049" t="inlineStr">
        <is>
          <t>TORSBY</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351-2020</t>
        </is>
      </c>
      <c r="B2050" s="1" t="n">
        <v>43837</v>
      </c>
      <c r="C2050" s="1" t="n">
        <v>45810</v>
      </c>
      <c r="D2050" t="inlineStr">
        <is>
          <t>VÄRMLANDS LÄN</t>
        </is>
      </c>
      <c r="E2050" t="inlineStr">
        <is>
          <t>ARVIKA</t>
        </is>
      </c>
      <c r="F2050" t="inlineStr">
        <is>
          <t>Kommuner</t>
        </is>
      </c>
      <c r="G2050" t="n">
        <v>8.199999999999999</v>
      </c>
      <c r="H2050" t="n">
        <v>0</v>
      </c>
      <c r="I2050" t="n">
        <v>0</v>
      </c>
      <c r="J2050" t="n">
        <v>0</v>
      </c>
      <c r="K2050" t="n">
        <v>0</v>
      </c>
      <c r="L2050" t="n">
        <v>0</v>
      </c>
      <c r="M2050" t="n">
        <v>0</v>
      </c>
      <c r="N2050" t="n">
        <v>0</v>
      </c>
      <c r="O2050" t="n">
        <v>0</v>
      </c>
      <c r="P2050" t="n">
        <v>0</v>
      </c>
      <c r="Q2050" t="n">
        <v>0</v>
      </c>
      <c r="R2050" s="2" t="inlineStr"/>
    </row>
    <row r="2051" ht="15" customHeight="1">
      <c r="A2051" t="inlineStr">
        <is>
          <t>A 372-2020</t>
        </is>
      </c>
      <c r="B2051" s="1" t="n">
        <v>43837</v>
      </c>
      <c r="C2051" s="1" t="n">
        <v>45810</v>
      </c>
      <c r="D2051" t="inlineStr">
        <is>
          <t>VÄRMLANDS LÄN</t>
        </is>
      </c>
      <c r="E2051" t="inlineStr">
        <is>
          <t>MUNKFORS</t>
        </is>
      </c>
      <c r="F2051" t="inlineStr">
        <is>
          <t>Bergvik skog väst AB</t>
        </is>
      </c>
      <c r="G2051" t="n">
        <v>12.6</v>
      </c>
      <c r="H2051" t="n">
        <v>0</v>
      </c>
      <c r="I2051" t="n">
        <v>0</v>
      </c>
      <c r="J2051" t="n">
        <v>0</v>
      </c>
      <c r="K2051" t="n">
        <v>0</v>
      </c>
      <c r="L2051" t="n">
        <v>0</v>
      </c>
      <c r="M2051" t="n">
        <v>0</v>
      </c>
      <c r="N2051" t="n">
        <v>0</v>
      </c>
      <c r="O2051" t="n">
        <v>0</v>
      </c>
      <c r="P2051" t="n">
        <v>0</v>
      </c>
      <c r="Q2051" t="n">
        <v>0</v>
      </c>
      <c r="R2051" s="2" t="inlineStr"/>
    </row>
    <row r="2052" ht="15" customHeight="1">
      <c r="A2052" t="inlineStr">
        <is>
          <t>A 510-2020</t>
        </is>
      </c>
      <c r="B2052" s="1" t="n">
        <v>43837</v>
      </c>
      <c r="C2052" s="1" t="n">
        <v>45810</v>
      </c>
      <c r="D2052" t="inlineStr">
        <is>
          <t>VÄRMLANDS LÄN</t>
        </is>
      </c>
      <c r="E2052" t="inlineStr">
        <is>
          <t>HAGFORS</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508-2020</t>
        </is>
      </c>
      <c r="B2053" s="1" t="n">
        <v>43837</v>
      </c>
      <c r="C2053" s="1" t="n">
        <v>45810</v>
      </c>
      <c r="D2053" t="inlineStr">
        <is>
          <t>VÄRMLANDS LÄN</t>
        </is>
      </c>
      <c r="E2053" t="inlineStr">
        <is>
          <t>HAGFORS</t>
        </is>
      </c>
      <c r="G2053" t="n">
        <v>0.2</v>
      </c>
      <c r="H2053" t="n">
        <v>0</v>
      </c>
      <c r="I2053" t="n">
        <v>0</v>
      </c>
      <c r="J2053" t="n">
        <v>0</v>
      </c>
      <c r="K2053" t="n">
        <v>0</v>
      </c>
      <c r="L2053" t="n">
        <v>0</v>
      </c>
      <c r="M2053" t="n">
        <v>0</v>
      </c>
      <c r="N2053" t="n">
        <v>0</v>
      </c>
      <c r="O2053" t="n">
        <v>0</v>
      </c>
      <c r="P2053" t="n">
        <v>0</v>
      </c>
      <c r="Q2053" t="n">
        <v>0</v>
      </c>
      <c r="R2053" s="2" t="inlineStr"/>
    </row>
    <row r="2054" ht="15" customHeight="1">
      <c r="A2054" t="inlineStr">
        <is>
          <t>A 1795-2020</t>
        </is>
      </c>
      <c r="B2054" s="1" t="n">
        <v>43837</v>
      </c>
      <c r="C2054" s="1" t="n">
        <v>45810</v>
      </c>
      <c r="D2054" t="inlineStr">
        <is>
          <t>VÄRMLANDS LÄN</t>
        </is>
      </c>
      <c r="E2054" t="inlineStr">
        <is>
          <t>ARVIKA</t>
        </is>
      </c>
      <c r="G2054" t="n">
        <v>3</v>
      </c>
      <c r="H2054" t="n">
        <v>0</v>
      </c>
      <c r="I2054" t="n">
        <v>0</v>
      </c>
      <c r="J2054" t="n">
        <v>0</v>
      </c>
      <c r="K2054" t="n">
        <v>0</v>
      </c>
      <c r="L2054" t="n">
        <v>0</v>
      </c>
      <c r="M2054" t="n">
        <v>0</v>
      </c>
      <c r="N2054" t="n">
        <v>0</v>
      </c>
      <c r="O2054" t="n">
        <v>0</v>
      </c>
      <c r="P2054" t="n">
        <v>0</v>
      </c>
      <c r="Q2054" t="n">
        <v>0</v>
      </c>
      <c r="R2054" s="2" t="inlineStr"/>
    </row>
    <row r="2055" ht="15" customHeight="1">
      <c r="A2055" t="inlineStr">
        <is>
          <t>A 1791-2020</t>
        </is>
      </c>
      <c r="B2055" s="1" t="n">
        <v>43837</v>
      </c>
      <c r="C2055" s="1" t="n">
        <v>45810</v>
      </c>
      <c r="D2055" t="inlineStr">
        <is>
          <t>VÄRMLANDS LÄN</t>
        </is>
      </c>
      <c r="E2055" t="inlineStr">
        <is>
          <t>ARVIKA</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785-2020</t>
        </is>
      </c>
      <c r="B2056" s="1" t="n">
        <v>43838</v>
      </c>
      <c r="C2056" s="1" t="n">
        <v>45810</v>
      </c>
      <c r="D2056" t="inlineStr">
        <is>
          <t>VÄRMLANDS LÄN</t>
        </is>
      </c>
      <c r="E2056" t="inlineStr">
        <is>
          <t>KRISTINEHAMN</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722-2020</t>
        </is>
      </c>
      <c r="B2057" s="1" t="n">
        <v>43838</v>
      </c>
      <c r="C2057" s="1" t="n">
        <v>45810</v>
      </c>
      <c r="D2057" t="inlineStr">
        <is>
          <t>VÄRMLANDS LÄN</t>
        </is>
      </c>
      <c r="E2057" t="inlineStr">
        <is>
          <t>SÄFFLE</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732-2020</t>
        </is>
      </c>
      <c r="B2058" s="1" t="n">
        <v>43838</v>
      </c>
      <c r="C2058" s="1" t="n">
        <v>45810</v>
      </c>
      <c r="D2058" t="inlineStr">
        <is>
          <t>VÄRMLANDS LÄN</t>
        </is>
      </c>
      <c r="E2058" t="inlineStr">
        <is>
          <t>SUNNE</t>
        </is>
      </c>
      <c r="G2058" t="n">
        <v>3</v>
      </c>
      <c r="H2058" t="n">
        <v>0</v>
      </c>
      <c r="I2058" t="n">
        <v>0</v>
      </c>
      <c r="J2058" t="n">
        <v>0</v>
      </c>
      <c r="K2058" t="n">
        <v>0</v>
      </c>
      <c r="L2058" t="n">
        <v>0</v>
      </c>
      <c r="M2058" t="n">
        <v>0</v>
      </c>
      <c r="N2058" t="n">
        <v>0</v>
      </c>
      <c r="O2058" t="n">
        <v>0</v>
      </c>
      <c r="P2058" t="n">
        <v>0</v>
      </c>
      <c r="Q2058" t="n">
        <v>0</v>
      </c>
      <c r="R2058" s="2" t="inlineStr"/>
    </row>
    <row r="2059" ht="15" customHeight="1">
      <c r="A2059" t="inlineStr">
        <is>
          <t>A 1939-2020</t>
        </is>
      </c>
      <c r="B2059" s="1" t="n">
        <v>43838</v>
      </c>
      <c r="C2059" s="1" t="n">
        <v>45810</v>
      </c>
      <c r="D2059" t="inlineStr">
        <is>
          <t>VÄRMLANDS LÄN</t>
        </is>
      </c>
      <c r="E2059" t="inlineStr">
        <is>
          <t>EDA</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1991-2020</t>
        </is>
      </c>
      <c r="B2060" s="1" t="n">
        <v>43838</v>
      </c>
      <c r="C2060" s="1" t="n">
        <v>45810</v>
      </c>
      <c r="D2060" t="inlineStr">
        <is>
          <t>VÄRMLANDS LÄN</t>
        </is>
      </c>
      <c r="E2060" t="inlineStr">
        <is>
          <t>SÄFFLE</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677-2020</t>
        </is>
      </c>
      <c r="B2061" s="1" t="n">
        <v>43838</v>
      </c>
      <c r="C2061" s="1" t="n">
        <v>45810</v>
      </c>
      <c r="D2061" t="inlineStr">
        <is>
          <t>VÄRMLANDS LÄN</t>
        </is>
      </c>
      <c r="E2061" t="inlineStr">
        <is>
          <t>FORSHAGA</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1990-2020</t>
        </is>
      </c>
      <c r="B2062" s="1" t="n">
        <v>43838</v>
      </c>
      <c r="C2062" s="1" t="n">
        <v>45810</v>
      </c>
      <c r="D2062" t="inlineStr">
        <is>
          <t>VÄRMLANDS LÄN</t>
        </is>
      </c>
      <c r="E2062" t="inlineStr">
        <is>
          <t>SÄFFLE</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1033-2020</t>
        </is>
      </c>
      <c r="B2063" s="1" t="n">
        <v>43839</v>
      </c>
      <c r="C2063" s="1" t="n">
        <v>45810</v>
      </c>
      <c r="D2063" t="inlineStr">
        <is>
          <t>VÄRMLANDS LÄN</t>
        </is>
      </c>
      <c r="E2063" t="inlineStr">
        <is>
          <t>KARLSTAD</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858-2020</t>
        </is>
      </c>
      <c r="B2064" s="1" t="n">
        <v>43839</v>
      </c>
      <c r="C2064" s="1" t="n">
        <v>45810</v>
      </c>
      <c r="D2064" t="inlineStr">
        <is>
          <t>VÄRMLANDS LÄN</t>
        </is>
      </c>
      <c r="E2064" t="inlineStr">
        <is>
          <t>ARVIKA</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953-2020</t>
        </is>
      </c>
      <c r="B2065" s="1" t="n">
        <v>43839</v>
      </c>
      <c r="C2065" s="1" t="n">
        <v>45810</v>
      </c>
      <c r="D2065" t="inlineStr">
        <is>
          <t>VÄRMLANDS LÄN</t>
        </is>
      </c>
      <c r="E2065" t="inlineStr">
        <is>
          <t>KRISTINEHAMN</t>
        </is>
      </c>
      <c r="G2065" t="n">
        <v>3.7</v>
      </c>
      <c r="H2065" t="n">
        <v>0</v>
      </c>
      <c r="I2065" t="n">
        <v>0</v>
      </c>
      <c r="J2065" t="n">
        <v>0</v>
      </c>
      <c r="K2065" t="n">
        <v>0</v>
      </c>
      <c r="L2065" t="n">
        <v>0</v>
      </c>
      <c r="M2065" t="n">
        <v>0</v>
      </c>
      <c r="N2065" t="n">
        <v>0</v>
      </c>
      <c r="O2065" t="n">
        <v>0</v>
      </c>
      <c r="P2065" t="n">
        <v>0</v>
      </c>
      <c r="Q2065" t="n">
        <v>0</v>
      </c>
      <c r="R2065" s="2" t="inlineStr"/>
    </row>
    <row r="2066" ht="15" customHeight="1">
      <c r="A2066" t="inlineStr">
        <is>
          <t>A 996-2020</t>
        </is>
      </c>
      <c r="B2066" s="1" t="n">
        <v>43839</v>
      </c>
      <c r="C2066" s="1" t="n">
        <v>45810</v>
      </c>
      <c r="D2066" t="inlineStr">
        <is>
          <t>VÄRMLANDS LÄN</t>
        </is>
      </c>
      <c r="E2066" t="inlineStr">
        <is>
          <t>ARVIKA</t>
        </is>
      </c>
      <c r="F2066" t="inlineStr">
        <is>
          <t>Övriga Aktiebolag</t>
        </is>
      </c>
      <c r="G2066" t="n">
        <v>8</v>
      </c>
      <c r="H2066" t="n">
        <v>0</v>
      </c>
      <c r="I2066" t="n">
        <v>0</v>
      </c>
      <c r="J2066" t="n">
        <v>0</v>
      </c>
      <c r="K2066" t="n">
        <v>0</v>
      </c>
      <c r="L2066" t="n">
        <v>0</v>
      </c>
      <c r="M2066" t="n">
        <v>0</v>
      </c>
      <c r="N2066" t="n">
        <v>0</v>
      </c>
      <c r="O2066" t="n">
        <v>0</v>
      </c>
      <c r="P2066" t="n">
        <v>0</v>
      </c>
      <c r="Q2066" t="n">
        <v>0</v>
      </c>
      <c r="R2066" s="2" t="inlineStr"/>
    </row>
    <row r="2067" ht="15" customHeight="1">
      <c r="A2067" t="inlineStr">
        <is>
          <t>A 854-2020</t>
        </is>
      </c>
      <c r="B2067" s="1" t="n">
        <v>43839</v>
      </c>
      <c r="C2067" s="1" t="n">
        <v>45810</v>
      </c>
      <c r="D2067" t="inlineStr">
        <is>
          <t>VÄRMLANDS LÄN</t>
        </is>
      </c>
      <c r="E2067" t="inlineStr">
        <is>
          <t>ARVIKA</t>
        </is>
      </c>
      <c r="G2067" t="n">
        <v>4.1</v>
      </c>
      <c r="H2067" t="n">
        <v>0</v>
      </c>
      <c r="I2067" t="n">
        <v>0</v>
      </c>
      <c r="J2067" t="n">
        <v>0</v>
      </c>
      <c r="K2067" t="n">
        <v>0</v>
      </c>
      <c r="L2067" t="n">
        <v>0</v>
      </c>
      <c r="M2067" t="n">
        <v>0</v>
      </c>
      <c r="N2067" t="n">
        <v>0</v>
      </c>
      <c r="O2067" t="n">
        <v>0</v>
      </c>
      <c r="P2067" t="n">
        <v>0</v>
      </c>
      <c r="Q2067" t="n">
        <v>0</v>
      </c>
      <c r="R2067" s="2" t="inlineStr"/>
    </row>
    <row r="2068" ht="15" customHeight="1">
      <c r="A2068" t="inlineStr">
        <is>
          <t>A 1100-2020</t>
        </is>
      </c>
      <c r="B2068" s="1" t="n">
        <v>43840</v>
      </c>
      <c r="C2068" s="1" t="n">
        <v>45810</v>
      </c>
      <c r="D2068" t="inlineStr">
        <is>
          <t>VÄRMLANDS LÄN</t>
        </is>
      </c>
      <c r="E2068" t="inlineStr">
        <is>
          <t>EDA</t>
        </is>
      </c>
      <c r="F2068" t="inlineStr">
        <is>
          <t>Övriga Aktiebolag</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1227-2020</t>
        </is>
      </c>
      <c r="B2069" s="1" t="n">
        <v>43840</v>
      </c>
      <c r="C2069" s="1" t="n">
        <v>45810</v>
      </c>
      <c r="D2069" t="inlineStr">
        <is>
          <t>VÄRMLANDS LÄN</t>
        </is>
      </c>
      <c r="E2069" t="inlineStr">
        <is>
          <t>SÄFFLE</t>
        </is>
      </c>
      <c r="G2069" t="n">
        <v>4.8</v>
      </c>
      <c r="H2069" t="n">
        <v>0</v>
      </c>
      <c r="I2069" t="n">
        <v>0</v>
      </c>
      <c r="J2069" t="n">
        <v>0</v>
      </c>
      <c r="K2069" t="n">
        <v>0</v>
      </c>
      <c r="L2069" t="n">
        <v>0</v>
      </c>
      <c r="M2069" t="n">
        <v>0</v>
      </c>
      <c r="N2069" t="n">
        <v>0</v>
      </c>
      <c r="O2069" t="n">
        <v>0</v>
      </c>
      <c r="P2069" t="n">
        <v>0</v>
      </c>
      <c r="Q2069" t="n">
        <v>0</v>
      </c>
      <c r="R2069" s="2" t="inlineStr"/>
    </row>
    <row r="2070" ht="15" customHeight="1">
      <c r="A2070" t="inlineStr">
        <is>
          <t>A 1091-2020</t>
        </is>
      </c>
      <c r="B2070" s="1" t="n">
        <v>43840</v>
      </c>
      <c r="C2070" s="1" t="n">
        <v>45810</v>
      </c>
      <c r="D2070" t="inlineStr">
        <is>
          <t>VÄRMLANDS LÄN</t>
        </is>
      </c>
      <c r="E2070" t="inlineStr">
        <is>
          <t>KIL</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1214-2020</t>
        </is>
      </c>
      <c r="B2071" s="1" t="n">
        <v>43840</v>
      </c>
      <c r="C2071" s="1" t="n">
        <v>45810</v>
      </c>
      <c r="D2071" t="inlineStr">
        <is>
          <t>VÄRMLANDS LÄN</t>
        </is>
      </c>
      <c r="E2071" t="inlineStr">
        <is>
          <t>EDA</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1277-2020</t>
        </is>
      </c>
      <c r="B2072" s="1" t="n">
        <v>43841</v>
      </c>
      <c r="C2072" s="1" t="n">
        <v>45810</v>
      </c>
      <c r="D2072" t="inlineStr">
        <is>
          <t>VÄRMLANDS LÄN</t>
        </is>
      </c>
      <c r="E2072" t="inlineStr">
        <is>
          <t>KIL</t>
        </is>
      </c>
      <c r="G2072" t="n">
        <v>0.4</v>
      </c>
      <c r="H2072" t="n">
        <v>0</v>
      </c>
      <c r="I2072" t="n">
        <v>0</v>
      </c>
      <c r="J2072" t="n">
        <v>0</v>
      </c>
      <c r="K2072" t="n">
        <v>0</v>
      </c>
      <c r="L2072" t="n">
        <v>0</v>
      </c>
      <c r="M2072" t="n">
        <v>0</v>
      </c>
      <c r="N2072" t="n">
        <v>0</v>
      </c>
      <c r="O2072" t="n">
        <v>0</v>
      </c>
      <c r="P2072" t="n">
        <v>0</v>
      </c>
      <c r="Q2072" t="n">
        <v>0</v>
      </c>
      <c r="R2072" s="2" t="inlineStr"/>
    </row>
    <row r="2073" ht="15" customHeight="1">
      <c r="A2073" t="inlineStr">
        <is>
          <t>A 1293-2020</t>
        </is>
      </c>
      <c r="B2073" s="1" t="n">
        <v>43842</v>
      </c>
      <c r="C2073" s="1" t="n">
        <v>45810</v>
      </c>
      <c r="D2073" t="inlineStr">
        <is>
          <t>VÄRMLANDS LÄN</t>
        </is>
      </c>
      <c r="E2073" t="inlineStr">
        <is>
          <t>KRISTINEHAMN</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1294-2020</t>
        </is>
      </c>
      <c r="B2074" s="1" t="n">
        <v>43842</v>
      </c>
      <c r="C2074" s="1" t="n">
        <v>45810</v>
      </c>
      <c r="D2074" t="inlineStr">
        <is>
          <t>VÄRMLANDS LÄN</t>
        </is>
      </c>
      <c r="E2074" t="inlineStr">
        <is>
          <t>KRISTINEHAMN</t>
        </is>
      </c>
      <c r="G2074" t="n">
        <v>6.6</v>
      </c>
      <c r="H2074" t="n">
        <v>0</v>
      </c>
      <c r="I2074" t="n">
        <v>0</v>
      </c>
      <c r="J2074" t="n">
        <v>0</v>
      </c>
      <c r="K2074" t="n">
        <v>0</v>
      </c>
      <c r="L2074" t="n">
        <v>0</v>
      </c>
      <c r="M2074" t="n">
        <v>0</v>
      </c>
      <c r="N2074" t="n">
        <v>0</v>
      </c>
      <c r="O2074" t="n">
        <v>0</v>
      </c>
      <c r="P2074" t="n">
        <v>0</v>
      </c>
      <c r="Q2074" t="n">
        <v>0</v>
      </c>
      <c r="R2074" s="2" t="inlineStr"/>
    </row>
    <row r="2075" ht="15" customHeight="1">
      <c r="A2075" t="inlineStr">
        <is>
          <t>A 1284-2020</t>
        </is>
      </c>
      <c r="B2075" s="1" t="n">
        <v>43842</v>
      </c>
      <c r="C2075" s="1" t="n">
        <v>45810</v>
      </c>
      <c r="D2075" t="inlineStr">
        <is>
          <t>VÄRMLANDS LÄN</t>
        </is>
      </c>
      <c r="E2075" t="inlineStr">
        <is>
          <t>MUNKFORS</t>
        </is>
      </c>
      <c r="F2075" t="inlineStr">
        <is>
          <t>Bergvik skog väst AB</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1297-2020</t>
        </is>
      </c>
      <c r="B2076" s="1" t="n">
        <v>43842</v>
      </c>
      <c r="C2076" s="1" t="n">
        <v>45810</v>
      </c>
      <c r="D2076" t="inlineStr">
        <is>
          <t>VÄRMLANDS LÄN</t>
        </is>
      </c>
      <c r="E2076" t="inlineStr">
        <is>
          <t>SUNNE</t>
        </is>
      </c>
      <c r="G2076" t="n">
        <v>4.9</v>
      </c>
      <c r="H2076" t="n">
        <v>0</v>
      </c>
      <c r="I2076" t="n">
        <v>0</v>
      </c>
      <c r="J2076" t="n">
        <v>0</v>
      </c>
      <c r="K2076" t="n">
        <v>0</v>
      </c>
      <c r="L2076" t="n">
        <v>0</v>
      </c>
      <c r="M2076" t="n">
        <v>0</v>
      </c>
      <c r="N2076" t="n">
        <v>0</v>
      </c>
      <c r="O2076" t="n">
        <v>0</v>
      </c>
      <c r="P2076" t="n">
        <v>0</v>
      </c>
      <c r="Q2076" t="n">
        <v>0</v>
      </c>
      <c r="R2076" s="2" t="inlineStr"/>
    </row>
    <row r="2077" ht="15" customHeight="1">
      <c r="A2077" t="inlineStr">
        <is>
          <t>A 1460-2020</t>
        </is>
      </c>
      <c r="B2077" s="1" t="n">
        <v>43843</v>
      </c>
      <c r="C2077" s="1" t="n">
        <v>45810</v>
      </c>
      <c r="D2077" t="inlineStr">
        <is>
          <t>VÄRMLANDS LÄN</t>
        </is>
      </c>
      <c r="E2077" t="inlineStr">
        <is>
          <t>ÅRJÄNG</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1474-2020</t>
        </is>
      </c>
      <c r="B2078" s="1" t="n">
        <v>43843</v>
      </c>
      <c r="C2078" s="1" t="n">
        <v>45810</v>
      </c>
      <c r="D2078" t="inlineStr">
        <is>
          <t>VÄRMLANDS LÄN</t>
        </is>
      </c>
      <c r="E2078" t="inlineStr">
        <is>
          <t>SÄFFLE</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1542-2020</t>
        </is>
      </c>
      <c r="B2079" s="1" t="n">
        <v>43843</v>
      </c>
      <c r="C2079" s="1" t="n">
        <v>45810</v>
      </c>
      <c r="D2079" t="inlineStr">
        <is>
          <t>VÄRMLANDS LÄN</t>
        </is>
      </c>
      <c r="E2079" t="inlineStr">
        <is>
          <t>SUNNE</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1322-2020</t>
        </is>
      </c>
      <c r="B2080" s="1" t="n">
        <v>43843</v>
      </c>
      <c r="C2080" s="1" t="n">
        <v>45810</v>
      </c>
      <c r="D2080" t="inlineStr">
        <is>
          <t>VÄRMLANDS LÄN</t>
        </is>
      </c>
      <c r="E2080" t="inlineStr">
        <is>
          <t>EDA</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1544-2020</t>
        </is>
      </c>
      <c r="B2081" s="1" t="n">
        <v>43843</v>
      </c>
      <c r="C2081" s="1" t="n">
        <v>45810</v>
      </c>
      <c r="D2081" t="inlineStr">
        <is>
          <t>VÄRMLANDS LÄN</t>
        </is>
      </c>
      <c r="E2081" t="inlineStr">
        <is>
          <t>SUNNE</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2513-2020</t>
        </is>
      </c>
      <c r="B2082" s="1" t="n">
        <v>43843</v>
      </c>
      <c r="C2082" s="1" t="n">
        <v>45810</v>
      </c>
      <c r="D2082" t="inlineStr">
        <is>
          <t>VÄRMLANDS LÄN</t>
        </is>
      </c>
      <c r="E2082" t="inlineStr">
        <is>
          <t>ARVIKA</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2910-2020</t>
        </is>
      </c>
      <c r="B2083" s="1" t="n">
        <v>43843</v>
      </c>
      <c r="C2083" s="1" t="n">
        <v>45810</v>
      </c>
      <c r="D2083" t="inlineStr">
        <is>
          <t>VÄRMLANDS LÄN</t>
        </is>
      </c>
      <c r="E2083" t="inlineStr">
        <is>
          <t>ÅRJÄNG</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1449-2020</t>
        </is>
      </c>
      <c r="B2084" s="1" t="n">
        <v>43843</v>
      </c>
      <c r="C2084" s="1" t="n">
        <v>45810</v>
      </c>
      <c r="D2084" t="inlineStr">
        <is>
          <t>VÄRMLANDS LÄN</t>
        </is>
      </c>
      <c r="E2084" t="inlineStr">
        <is>
          <t>SÄFFLE</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1546-2020</t>
        </is>
      </c>
      <c r="B2085" s="1" t="n">
        <v>43843</v>
      </c>
      <c r="C2085" s="1" t="n">
        <v>45810</v>
      </c>
      <c r="D2085" t="inlineStr">
        <is>
          <t>VÄRMLANDS LÄN</t>
        </is>
      </c>
      <c r="E2085" t="inlineStr">
        <is>
          <t>SUNNE</t>
        </is>
      </c>
      <c r="G2085" t="n">
        <v>3.8</v>
      </c>
      <c r="H2085" t="n">
        <v>0</v>
      </c>
      <c r="I2085" t="n">
        <v>0</v>
      </c>
      <c r="J2085" t="n">
        <v>0</v>
      </c>
      <c r="K2085" t="n">
        <v>0</v>
      </c>
      <c r="L2085" t="n">
        <v>0</v>
      </c>
      <c r="M2085" t="n">
        <v>0</v>
      </c>
      <c r="N2085" t="n">
        <v>0</v>
      </c>
      <c r="O2085" t="n">
        <v>0</v>
      </c>
      <c r="P2085" t="n">
        <v>0</v>
      </c>
      <c r="Q2085" t="n">
        <v>0</v>
      </c>
      <c r="R2085" s="2" t="inlineStr"/>
    </row>
    <row r="2086" ht="15" customHeight="1">
      <c r="A2086" t="inlineStr">
        <is>
          <t>A 2706-2020</t>
        </is>
      </c>
      <c r="B2086" s="1" t="n">
        <v>43843</v>
      </c>
      <c r="C2086" s="1" t="n">
        <v>45810</v>
      </c>
      <c r="D2086" t="inlineStr">
        <is>
          <t>VÄRMLANDS LÄN</t>
        </is>
      </c>
      <c r="E2086" t="inlineStr">
        <is>
          <t>ARVIKA</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2918-2020</t>
        </is>
      </c>
      <c r="B2087" s="1" t="n">
        <v>43843</v>
      </c>
      <c r="C2087" s="1" t="n">
        <v>45810</v>
      </c>
      <c r="D2087" t="inlineStr">
        <is>
          <t>VÄRMLANDS LÄN</t>
        </is>
      </c>
      <c r="E2087" t="inlineStr">
        <is>
          <t>ÅRJÄNG</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2842-2020</t>
        </is>
      </c>
      <c r="B2088" s="1" t="n">
        <v>43843</v>
      </c>
      <c r="C2088" s="1" t="n">
        <v>45810</v>
      </c>
      <c r="D2088" t="inlineStr">
        <is>
          <t>VÄRMLANDS LÄN</t>
        </is>
      </c>
      <c r="E2088" t="inlineStr">
        <is>
          <t>KIL</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2544-2020</t>
        </is>
      </c>
      <c r="B2089" s="1" t="n">
        <v>43843</v>
      </c>
      <c r="C2089" s="1" t="n">
        <v>45810</v>
      </c>
      <c r="D2089" t="inlineStr">
        <is>
          <t>VÄRMLANDS LÄN</t>
        </is>
      </c>
      <c r="E2089" t="inlineStr">
        <is>
          <t>KRISTINEHAMN</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2709-2020</t>
        </is>
      </c>
      <c r="B2090" s="1" t="n">
        <v>43843</v>
      </c>
      <c r="C2090" s="1" t="n">
        <v>45810</v>
      </c>
      <c r="D2090" t="inlineStr">
        <is>
          <t>VÄRMLANDS LÄN</t>
        </is>
      </c>
      <c r="E2090" t="inlineStr">
        <is>
          <t>ARVIKA</t>
        </is>
      </c>
      <c r="G2090" t="n">
        <v>3.8</v>
      </c>
      <c r="H2090" t="n">
        <v>0</v>
      </c>
      <c r="I2090" t="n">
        <v>0</v>
      </c>
      <c r="J2090" t="n">
        <v>0</v>
      </c>
      <c r="K2090" t="n">
        <v>0</v>
      </c>
      <c r="L2090" t="n">
        <v>0</v>
      </c>
      <c r="M2090" t="n">
        <v>0</v>
      </c>
      <c r="N2090" t="n">
        <v>0</v>
      </c>
      <c r="O2090" t="n">
        <v>0</v>
      </c>
      <c r="P2090" t="n">
        <v>0</v>
      </c>
      <c r="Q2090" t="n">
        <v>0</v>
      </c>
      <c r="R2090" s="2" t="inlineStr"/>
    </row>
    <row r="2091" ht="15" customHeight="1">
      <c r="A2091" t="inlineStr">
        <is>
          <t>A 2857-2020</t>
        </is>
      </c>
      <c r="B2091" s="1" t="n">
        <v>43843</v>
      </c>
      <c r="C2091" s="1" t="n">
        <v>45810</v>
      </c>
      <c r="D2091" t="inlineStr">
        <is>
          <t>VÄRMLANDS LÄN</t>
        </is>
      </c>
      <c r="E2091" t="inlineStr">
        <is>
          <t>EDA</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2771-2020</t>
        </is>
      </c>
      <c r="B2092" s="1" t="n">
        <v>43843</v>
      </c>
      <c r="C2092" s="1" t="n">
        <v>45810</v>
      </c>
      <c r="D2092" t="inlineStr">
        <is>
          <t>VÄRMLANDS LÄN</t>
        </is>
      </c>
      <c r="E2092" t="inlineStr">
        <is>
          <t>ARVIKA</t>
        </is>
      </c>
      <c r="G2092" t="n">
        <v>7.4</v>
      </c>
      <c r="H2092" t="n">
        <v>0</v>
      </c>
      <c r="I2092" t="n">
        <v>0</v>
      </c>
      <c r="J2092" t="n">
        <v>0</v>
      </c>
      <c r="K2092" t="n">
        <v>0</v>
      </c>
      <c r="L2092" t="n">
        <v>0</v>
      </c>
      <c r="M2092" t="n">
        <v>0</v>
      </c>
      <c r="N2092" t="n">
        <v>0</v>
      </c>
      <c r="O2092" t="n">
        <v>0</v>
      </c>
      <c r="P2092" t="n">
        <v>0</v>
      </c>
      <c r="Q2092" t="n">
        <v>0</v>
      </c>
      <c r="R2092" s="2" t="inlineStr"/>
    </row>
    <row r="2093" ht="15" customHeight="1">
      <c r="A2093" t="inlineStr">
        <is>
          <t>A 2873-2020</t>
        </is>
      </c>
      <c r="B2093" s="1" t="n">
        <v>43843</v>
      </c>
      <c r="C2093" s="1" t="n">
        <v>45810</v>
      </c>
      <c r="D2093" t="inlineStr">
        <is>
          <t>VÄRMLANDS LÄN</t>
        </is>
      </c>
      <c r="E2093" t="inlineStr">
        <is>
          <t>EDA</t>
        </is>
      </c>
      <c r="G2093" t="n">
        <v>3.9</v>
      </c>
      <c r="H2093" t="n">
        <v>0</v>
      </c>
      <c r="I2093" t="n">
        <v>0</v>
      </c>
      <c r="J2093" t="n">
        <v>0</v>
      </c>
      <c r="K2093" t="n">
        <v>0</v>
      </c>
      <c r="L2093" t="n">
        <v>0</v>
      </c>
      <c r="M2093" t="n">
        <v>0</v>
      </c>
      <c r="N2093" t="n">
        <v>0</v>
      </c>
      <c r="O2093" t="n">
        <v>0</v>
      </c>
      <c r="P2093" t="n">
        <v>0</v>
      </c>
      <c r="Q2093" t="n">
        <v>0</v>
      </c>
      <c r="R2093" s="2" t="inlineStr"/>
    </row>
    <row r="2094" ht="15" customHeight="1">
      <c r="A2094" t="inlineStr">
        <is>
          <t>A 1801-2020</t>
        </is>
      </c>
      <c r="B2094" s="1" t="n">
        <v>43844</v>
      </c>
      <c r="C2094" s="1" t="n">
        <v>45810</v>
      </c>
      <c r="D2094" t="inlineStr">
        <is>
          <t>VÄRMLANDS LÄN</t>
        </is>
      </c>
      <c r="E2094" t="inlineStr">
        <is>
          <t>STORFORS</t>
        </is>
      </c>
      <c r="G2094" t="n">
        <v>3.8</v>
      </c>
      <c r="H2094" t="n">
        <v>0</v>
      </c>
      <c r="I2094" t="n">
        <v>0</v>
      </c>
      <c r="J2094" t="n">
        <v>0</v>
      </c>
      <c r="K2094" t="n">
        <v>0</v>
      </c>
      <c r="L2094" t="n">
        <v>0</v>
      </c>
      <c r="M2094" t="n">
        <v>0</v>
      </c>
      <c r="N2094" t="n">
        <v>0</v>
      </c>
      <c r="O2094" t="n">
        <v>0</v>
      </c>
      <c r="P2094" t="n">
        <v>0</v>
      </c>
      <c r="Q2094" t="n">
        <v>0</v>
      </c>
      <c r="R2094" s="2" t="inlineStr"/>
    </row>
    <row r="2095" ht="15" customHeight="1">
      <c r="A2095" t="inlineStr">
        <is>
          <t>A 1631-2020</t>
        </is>
      </c>
      <c r="B2095" s="1" t="n">
        <v>43844</v>
      </c>
      <c r="C2095" s="1" t="n">
        <v>45810</v>
      </c>
      <c r="D2095" t="inlineStr">
        <is>
          <t>VÄRMLANDS LÄN</t>
        </is>
      </c>
      <c r="E2095" t="inlineStr">
        <is>
          <t>EDA</t>
        </is>
      </c>
      <c r="F2095" t="inlineStr">
        <is>
          <t>Övriga Aktiebolag</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1625-2020</t>
        </is>
      </c>
      <c r="B2096" s="1" t="n">
        <v>43844</v>
      </c>
      <c r="C2096" s="1" t="n">
        <v>45810</v>
      </c>
      <c r="D2096" t="inlineStr">
        <is>
          <t>VÄRMLANDS LÄN</t>
        </is>
      </c>
      <c r="E2096" t="inlineStr">
        <is>
          <t>EDA</t>
        </is>
      </c>
      <c r="F2096" t="inlineStr">
        <is>
          <t>Övriga Aktiebolag</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3263-2020</t>
        </is>
      </c>
      <c r="B2097" s="1" t="n">
        <v>43844</v>
      </c>
      <c r="C2097" s="1" t="n">
        <v>45810</v>
      </c>
      <c r="D2097" t="inlineStr">
        <is>
          <t>VÄRMLANDS LÄN</t>
        </is>
      </c>
      <c r="E2097" t="inlineStr">
        <is>
          <t>TORSBY</t>
        </is>
      </c>
      <c r="G2097" t="n">
        <v>14.7</v>
      </c>
      <c r="H2097" t="n">
        <v>0</v>
      </c>
      <c r="I2097" t="n">
        <v>0</v>
      </c>
      <c r="J2097" t="n">
        <v>0</v>
      </c>
      <c r="K2097" t="n">
        <v>0</v>
      </c>
      <c r="L2097" t="n">
        <v>0</v>
      </c>
      <c r="M2097" t="n">
        <v>0</v>
      </c>
      <c r="N2097" t="n">
        <v>0</v>
      </c>
      <c r="O2097" t="n">
        <v>0</v>
      </c>
      <c r="P2097" t="n">
        <v>0</v>
      </c>
      <c r="Q2097" t="n">
        <v>0</v>
      </c>
      <c r="R2097" s="2" t="inlineStr"/>
    </row>
    <row r="2098" ht="15" customHeight="1">
      <c r="A2098" t="inlineStr">
        <is>
          <t>A 3172-2020</t>
        </is>
      </c>
      <c r="B2098" s="1" t="n">
        <v>43844</v>
      </c>
      <c r="C2098" s="1" t="n">
        <v>45810</v>
      </c>
      <c r="D2098" t="inlineStr">
        <is>
          <t>VÄRMLANDS LÄN</t>
        </is>
      </c>
      <c r="E2098" t="inlineStr">
        <is>
          <t>TORSBY</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3419-2020</t>
        </is>
      </c>
      <c r="B2099" s="1" t="n">
        <v>43844</v>
      </c>
      <c r="C2099" s="1" t="n">
        <v>45810</v>
      </c>
      <c r="D2099" t="inlineStr">
        <is>
          <t>VÄRMLANDS LÄN</t>
        </is>
      </c>
      <c r="E2099" t="inlineStr">
        <is>
          <t>SÄFFLE</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1594-2020</t>
        </is>
      </c>
      <c r="B2100" s="1" t="n">
        <v>43844</v>
      </c>
      <c r="C2100" s="1" t="n">
        <v>45810</v>
      </c>
      <c r="D2100" t="inlineStr">
        <is>
          <t>VÄRMLANDS LÄN</t>
        </is>
      </c>
      <c r="E2100" t="inlineStr">
        <is>
          <t>KRISTINEHAMN</t>
        </is>
      </c>
      <c r="F2100" t="inlineStr">
        <is>
          <t>Naturvårdsverket</t>
        </is>
      </c>
      <c r="G2100" t="n">
        <v>3.9</v>
      </c>
      <c r="H2100" t="n">
        <v>0</v>
      </c>
      <c r="I2100" t="n">
        <v>0</v>
      </c>
      <c r="J2100" t="n">
        <v>0</v>
      </c>
      <c r="K2100" t="n">
        <v>0</v>
      </c>
      <c r="L2100" t="n">
        <v>0</v>
      </c>
      <c r="M2100" t="n">
        <v>0</v>
      </c>
      <c r="N2100" t="n">
        <v>0</v>
      </c>
      <c r="O2100" t="n">
        <v>0</v>
      </c>
      <c r="P2100" t="n">
        <v>0</v>
      </c>
      <c r="Q2100" t="n">
        <v>0</v>
      </c>
      <c r="R2100" s="2" t="inlineStr"/>
    </row>
    <row r="2101" ht="15" customHeight="1">
      <c r="A2101" t="inlineStr">
        <is>
          <t>A 1995-2020</t>
        </is>
      </c>
      <c r="B2101" s="1" t="n">
        <v>43845</v>
      </c>
      <c r="C2101" s="1" t="n">
        <v>45810</v>
      </c>
      <c r="D2101" t="inlineStr">
        <is>
          <t>VÄRMLANDS LÄN</t>
        </is>
      </c>
      <c r="E2101" t="inlineStr">
        <is>
          <t>SUNNE</t>
        </is>
      </c>
      <c r="G2101" t="n">
        <v>2.7</v>
      </c>
      <c r="H2101" t="n">
        <v>0</v>
      </c>
      <c r="I2101" t="n">
        <v>0</v>
      </c>
      <c r="J2101" t="n">
        <v>0</v>
      </c>
      <c r="K2101" t="n">
        <v>0</v>
      </c>
      <c r="L2101" t="n">
        <v>0</v>
      </c>
      <c r="M2101" t="n">
        <v>0</v>
      </c>
      <c r="N2101" t="n">
        <v>0</v>
      </c>
      <c r="O2101" t="n">
        <v>0</v>
      </c>
      <c r="P2101" t="n">
        <v>0</v>
      </c>
      <c r="Q2101" t="n">
        <v>0</v>
      </c>
      <c r="R2101" s="2" t="inlineStr"/>
    </row>
    <row r="2102" ht="15" customHeight="1">
      <c r="A2102" t="inlineStr">
        <is>
          <t>A 3364-2020</t>
        </is>
      </c>
      <c r="B2102" s="1" t="n">
        <v>43845</v>
      </c>
      <c r="C2102" s="1" t="n">
        <v>45810</v>
      </c>
      <c r="D2102" t="inlineStr">
        <is>
          <t>VÄRMLANDS LÄN</t>
        </is>
      </c>
      <c r="E2102" t="inlineStr">
        <is>
          <t>SÄFFLE</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1964-2020</t>
        </is>
      </c>
      <c r="B2103" s="1" t="n">
        <v>43845</v>
      </c>
      <c r="C2103" s="1" t="n">
        <v>45810</v>
      </c>
      <c r="D2103" t="inlineStr">
        <is>
          <t>VÄRMLANDS LÄN</t>
        </is>
      </c>
      <c r="E2103" t="inlineStr">
        <is>
          <t>HAGFORS</t>
        </is>
      </c>
      <c r="F2103" t="inlineStr">
        <is>
          <t>Bergvik skog väst AB</t>
        </is>
      </c>
      <c r="G2103" t="n">
        <v>51.8</v>
      </c>
      <c r="H2103" t="n">
        <v>0</v>
      </c>
      <c r="I2103" t="n">
        <v>0</v>
      </c>
      <c r="J2103" t="n">
        <v>0</v>
      </c>
      <c r="K2103" t="n">
        <v>0</v>
      </c>
      <c r="L2103" t="n">
        <v>0</v>
      </c>
      <c r="M2103" t="n">
        <v>0</v>
      </c>
      <c r="N2103" t="n">
        <v>0</v>
      </c>
      <c r="O2103" t="n">
        <v>0</v>
      </c>
      <c r="P2103" t="n">
        <v>0</v>
      </c>
      <c r="Q2103" t="n">
        <v>0</v>
      </c>
      <c r="R2103" s="2" t="inlineStr"/>
    </row>
    <row r="2104" ht="15" customHeight="1">
      <c r="A2104" t="inlineStr">
        <is>
          <t>A 2075-2020</t>
        </is>
      </c>
      <c r="B2104" s="1" t="n">
        <v>43845</v>
      </c>
      <c r="C2104" s="1" t="n">
        <v>45810</v>
      </c>
      <c r="D2104" t="inlineStr">
        <is>
          <t>VÄRMLANDS LÄN</t>
        </is>
      </c>
      <c r="E2104" t="inlineStr">
        <is>
          <t>ARVIKA</t>
        </is>
      </c>
      <c r="G2104" t="n">
        <v>4.6</v>
      </c>
      <c r="H2104" t="n">
        <v>0</v>
      </c>
      <c r="I2104" t="n">
        <v>0</v>
      </c>
      <c r="J2104" t="n">
        <v>0</v>
      </c>
      <c r="K2104" t="n">
        <v>0</v>
      </c>
      <c r="L2104" t="n">
        <v>0</v>
      </c>
      <c r="M2104" t="n">
        <v>0</v>
      </c>
      <c r="N2104" t="n">
        <v>0</v>
      </c>
      <c r="O2104" t="n">
        <v>0</v>
      </c>
      <c r="P2104" t="n">
        <v>0</v>
      </c>
      <c r="Q2104" t="n">
        <v>0</v>
      </c>
      <c r="R2104" s="2" t="inlineStr"/>
    </row>
    <row r="2105" ht="15" customHeight="1">
      <c r="A2105" t="inlineStr">
        <is>
          <t>A 2082-2020</t>
        </is>
      </c>
      <c r="B2105" s="1" t="n">
        <v>43845</v>
      </c>
      <c r="C2105" s="1" t="n">
        <v>45810</v>
      </c>
      <c r="D2105" t="inlineStr">
        <is>
          <t>VÄRMLANDS LÄN</t>
        </is>
      </c>
      <c r="E2105" t="inlineStr">
        <is>
          <t>TORSBY</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1875-2020</t>
        </is>
      </c>
      <c r="B2106" s="1" t="n">
        <v>43845</v>
      </c>
      <c r="C2106" s="1" t="n">
        <v>45810</v>
      </c>
      <c r="D2106" t="inlineStr">
        <is>
          <t>VÄRMLANDS LÄN</t>
        </is>
      </c>
      <c r="E2106" t="inlineStr">
        <is>
          <t>TORSBY</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2068-2020</t>
        </is>
      </c>
      <c r="B2107" s="1" t="n">
        <v>43845</v>
      </c>
      <c r="C2107" s="1" t="n">
        <v>45810</v>
      </c>
      <c r="D2107" t="inlineStr">
        <is>
          <t>VÄRMLANDS LÄN</t>
        </is>
      </c>
      <c r="E2107" t="inlineStr">
        <is>
          <t>TORSBY</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3564-2020</t>
        </is>
      </c>
      <c r="B2108" s="1" t="n">
        <v>43845</v>
      </c>
      <c r="C2108" s="1" t="n">
        <v>45810</v>
      </c>
      <c r="D2108" t="inlineStr">
        <is>
          <t>VÄRMLANDS LÄN</t>
        </is>
      </c>
      <c r="E2108" t="inlineStr">
        <is>
          <t>STORFORS</t>
        </is>
      </c>
      <c r="F2108" t="inlineStr">
        <is>
          <t>Bergvik skog väst AB</t>
        </is>
      </c>
      <c r="G2108" t="n">
        <v>33.5</v>
      </c>
      <c r="H2108" t="n">
        <v>0</v>
      </c>
      <c r="I2108" t="n">
        <v>0</v>
      </c>
      <c r="J2108" t="n">
        <v>0</v>
      </c>
      <c r="K2108" t="n">
        <v>0</v>
      </c>
      <c r="L2108" t="n">
        <v>0</v>
      </c>
      <c r="M2108" t="n">
        <v>0</v>
      </c>
      <c r="N2108" t="n">
        <v>0</v>
      </c>
      <c r="O2108" t="n">
        <v>0</v>
      </c>
      <c r="P2108" t="n">
        <v>0</v>
      </c>
      <c r="Q2108" t="n">
        <v>0</v>
      </c>
      <c r="R2108" s="2" t="inlineStr"/>
    </row>
    <row r="2109" ht="15" customHeight="1">
      <c r="A2109" t="inlineStr">
        <is>
          <t>A 3541-2020</t>
        </is>
      </c>
      <c r="B2109" s="1" t="n">
        <v>43845</v>
      </c>
      <c r="C2109" s="1" t="n">
        <v>45810</v>
      </c>
      <c r="D2109" t="inlineStr">
        <is>
          <t>VÄRMLANDS LÄN</t>
        </is>
      </c>
      <c r="E2109" t="inlineStr">
        <is>
          <t>SÄFFLE</t>
        </is>
      </c>
      <c r="G2109" t="n">
        <v>5.1</v>
      </c>
      <c r="H2109" t="n">
        <v>0</v>
      </c>
      <c r="I2109" t="n">
        <v>0</v>
      </c>
      <c r="J2109" t="n">
        <v>0</v>
      </c>
      <c r="K2109" t="n">
        <v>0</v>
      </c>
      <c r="L2109" t="n">
        <v>0</v>
      </c>
      <c r="M2109" t="n">
        <v>0</v>
      </c>
      <c r="N2109" t="n">
        <v>0</v>
      </c>
      <c r="O2109" t="n">
        <v>0</v>
      </c>
      <c r="P2109" t="n">
        <v>0</v>
      </c>
      <c r="Q2109" t="n">
        <v>0</v>
      </c>
      <c r="R2109" s="2" t="inlineStr"/>
    </row>
    <row r="2110" ht="15" customHeight="1">
      <c r="A2110" t="inlineStr">
        <is>
          <t>A 2171-2020</t>
        </is>
      </c>
      <c r="B2110" s="1" t="n">
        <v>43846</v>
      </c>
      <c r="C2110" s="1" t="n">
        <v>45810</v>
      </c>
      <c r="D2110" t="inlineStr">
        <is>
          <t>VÄRMLANDS LÄN</t>
        </is>
      </c>
      <c r="E2110" t="inlineStr">
        <is>
          <t>SÄFFLE</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2284-2020</t>
        </is>
      </c>
      <c r="B2111" s="1" t="n">
        <v>43846</v>
      </c>
      <c r="C2111" s="1" t="n">
        <v>45810</v>
      </c>
      <c r="D2111" t="inlineStr">
        <is>
          <t>VÄRMLANDS LÄN</t>
        </is>
      </c>
      <c r="E2111" t="inlineStr">
        <is>
          <t>KARLSTAD</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3903-2020</t>
        </is>
      </c>
      <c r="B2112" s="1" t="n">
        <v>43846</v>
      </c>
      <c r="C2112" s="1" t="n">
        <v>45810</v>
      </c>
      <c r="D2112" t="inlineStr">
        <is>
          <t>VÄRMLANDS LÄN</t>
        </is>
      </c>
      <c r="E2112" t="inlineStr">
        <is>
          <t>ARVIKA</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2120-2020</t>
        </is>
      </c>
      <c r="B2113" s="1" t="n">
        <v>43846</v>
      </c>
      <c r="C2113" s="1" t="n">
        <v>45810</v>
      </c>
      <c r="D2113" t="inlineStr">
        <is>
          <t>VÄRMLANDS LÄN</t>
        </is>
      </c>
      <c r="E2113" t="inlineStr">
        <is>
          <t>KRISTINEHAMN</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4017-2020</t>
        </is>
      </c>
      <c r="B2114" s="1" t="n">
        <v>43846</v>
      </c>
      <c r="C2114" s="1" t="n">
        <v>45810</v>
      </c>
      <c r="D2114" t="inlineStr">
        <is>
          <t>VÄRMLANDS LÄN</t>
        </is>
      </c>
      <c r="E2114" t="inlineStr">
        <is>
          <t>TORSBY</t>
        </is>
      </c>
      <c r="G2114" t="n">
        <v>2.7</v>
      </c>
      <c r="H2114" t="n">
        <v>0</v>
      </c>
      <c r="I2114" t="n">
        <v>0</v>
      </c>
      <c r="J2114" t="n">
        <v>0</v>
      </c>
      <c r="K2114" t="n">
        <v>0</v>
      </c>
      <c r="L2114" t="n">
        <v>0</v>
      </c>
      <c r="M2114" t="n">
        <v>0</v>
      </c>
      <c r="N2114" t="n">
        <v>0</v>
      </c>
      <c r="O2114" t="n">
        <v>0</v>
      </c>
      <c r="P2114" t="n">
        <v>0</v>
      </c>
      <c r="Q2114" t="n">
        <v>0</v>
      </c>
      <c r="R2114" s="2" t="inlineStr"/>
    </row>
    <row r="2115" ht="15" customHeight="1">
      <c r="A2115" t="inlineStr">
        <is>
          <t>A 2392-2020</t>
        </is>
      </c>
      <c r="B2115" s="1" t="n">
        <v>43847</v>
      </c>
      <c r="C2115" s="1" t="n">
        <v>45810</v>
      </c>
      <c r="D2115" t="inlineStr">
        <is>
          <t>VÄRMLANDS LÄN</t>
        </is>
      </c>
      <c r="E2115" t="inlineStr">
        <is>
          <t>ÅRJÄNG</t>
        </is>
      </c>
      <c r="G2115" t="n">
        <v>3.3</v>
      </c>
      <c r="H2115" t="n">
        <v>0</v>
      </c>
      <c r="I2115" t="n">
        <v>0</v>
      </c>
      <c r="J2115" t="n">
        <v>0</v>
      </c>
      <c r="K2115" t="n">
        <v>0</v>
      </c>
      <c r="L2115" t="n">
        <v>0</v>
      </c>
      <c r="M2115" t="n">
        <v>0</v>
      </c>
      <c r="N2115" t="n">
        <v>0</v>
      </c>
      <c r="O2115" t="n">
        <v>0</v>
      </c>
      <c r="P2115" t="n">
        <v>0</v>
      </c>
      <c r="Q2115" t="n">
        <v>0</v>
      </c>
      <c r="R2115" s="2" t="inlineStr"/>
    </row>
    <row r="2116" ht="15" customHeight="1">
      <c r="A2116" t="inlineStr">
        <is>
          <t>A 2437-2020</t>
        </is>
      </c>
      <c r="B2116" s="1" t="n">
        <v>43847</v>
      </c>
      <c r="C2116" s="1" t="n">
        <v>45810</v>
      </c>
      <c r="D2116" t="inlineStr">
        <is>
          <t>VÄRMLANDS LÄN</t>
        </is>
      </c>
      <c r="E2116" t="inlineStr">
        <is>
          <t>ÅRJÄNG</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2389-2020</t>
        </is>
      </c>
      <c r="B2117" s="1" t="n">
        <v>43847</v>
      </c>
      <c r="C2117" s="1" t="n">
        <v>45810</v>
      </c>
      <c r="D2117" t="inlineStr">
        <is>
          <t>VÄRMLANDS LÄN</t>
        </is>
      </c>
      <c r="E2117" t="inlineStr">
        <is>
          <t>ÅRJÄNG</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4276-2020</t>
        </is>
      </c>
      <c r="B2118" s="1" t="n">
        <v>43847</v>
      </c>
      <c r="C2118" s="1" t="n">
        <v>45810</v>
      </c>
      <c r="D2118" t="inlineStr">
        <is>
          <t>VÄRMLANDS LÄN</t>
        </is>
      </c>
      <c r="E2118" t="inlineStr">
        <is>
          <t>SÄFFLE</t>
        </is>
      </c>
      <c r="F2118" t="inlineStr">
        <is>
          <t>Bergvik skog väst AB</t>
        </is>
      </c>
      <c r="G2118" t="n">
        <v>5.5</v>
      </c>
      <c r="H2118" t="n">
        <v>0</v>
      </c>
      <c r="I2118" t="n">
        <v>0</v>
      </c>
      <c r="J2118" t="n">
        <v>0</v>
      </c>
      <c r="K2118" t="n">
        <v>0</v>
      </c>
      <c r="L2118" t="n">
        <v>0</v>
      </c>
      <c r="M2118" t="n">
        <v>0</v>
      </c>
      <c r="N2118" t="n">
        <v>0</v>
      </c>
      <c r="O2118" t="n">
        <v>0</v>
      </c>
      <c r="P2118" t="n">
        <v>0</v>
      </c>
      <c r="Q2118" t="n">
        <v>0</v>
      </c>
      <c r="R2118" s="2" t="inlineStr"/>
    </row>
    <row r="2119" ht="15" customHeight="1">
      <c r="A2119" t="inlineStr">
        <is>
          <t>A 2624-2020</t>
        </is>
      </c>
      <c r="B2119" s="1" t="n">
        <v>43847</v>
      </c>
      <c r="C2119" s="1" t="n">
        <v>45810</v>
      </c>
      <c r="D2119" t="inlineStr">
        <is>
          <t>VÄRMLANDS LÄN</t>
        </is>
      </c>
      <c r="E2119" t="inlineStr">
        <is>
          <t>ARVIKA</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2388-2020</t>
        </is>
      </c>
      <c r="B2120" s="1" t="n">
        <v>43847</v>
      </c>
      <c r="C2120" s="1" t="n">
        <v>45810</v>
      </c>
      <c r="D2120" t="inlineStr">
        <is>
          <t>VÄRMLANDS LÄN</t>
        </is>
      </c>
      <c r="E2120" t="inlineStr">
        <is>
          <t>ÅRJÄNG</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2657-2020</t>
        </is>
      </c>
      <c r="B2121" s="1" t="n">
        <v>43848</v>
      </c>
      <c r="C2121" s="1" t="n">
        <v>45810</v>
      </c>
      <c r="D2121" t="inlineStr">
        <is>
          <t>VÄRMLANDS LÄN</t>
        </is>
      </c>
      <c r="E2121" t="inlineStr">
        <is>
          <t>ÅRJÄNG</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2660-2020</t>
        </is>
      </c>
      <c r="B2122" s="1" t="n">
        <v>43848</v>
      </c>
      <c r="C2122" s="1" t="n">
        <v>45810</v>
      </c>
      <c r="D2122" t="inlineStr">
        <is>
          <t>VÄRMLANDS LÄN</t>
        </is>
      </c>
      <c r="E2122" t="inlineStr">
        <is>
          <t>SÄFFLE</t>
        </is>
      </c>
      <c r="G2122" t="n">
        <v>5.4</v>
      </c>
      <c r="H2122" t="n">
        <v>0</v>
      </c>
      <c r="I2122" t="n">
        <v>0</v>
      </c>
      <c r="J2122" t="n">
        <v>0</v>
      </c>
      <c r="K2122" t="n">
        <v>0</v>
      </c>
      <c r="L2122" t="n">
        <v>0</v>
      </c>
      <c r="M2122" t="n">
        <v>0</v>
      </c>
      <c r="N2122" t="n">
        <v>0</v>
      </c>
      <c r="O2122" t="n">
        <v>0</v>
      </c>
      <c r="P2122" t="n">
        <v>0</v>
      </c>
      <c r="Q2122" t="n">
        <v>0</v>
      </c>
      <c r="R2122" s="2" t="inlineStr"/>
    </row>
    <row r="2123" ht="15" customHeight="1">
      <c r="A2123" t="inlineStr">
        <is>
          <t>A 2656-2020</t>
        </is>
      </c>
      <c r="B2123" s="1" t="n">
        <v>43848</v>
      </c>
      <c r="C2123" s="1" t="n">
        <v>45810</v>
      </c>
      <c r="D2123" t="inlineStr">
        <is>
          <t>VÄRMLANDS LÄN</t>
        </is>
      </c>
      <c r="E2123" t="inlineStr">
        <is>
          <t>ÅRJÄNG</t>
        </is>
      </c>
      <c r="G2123" t="n">
        <v>3.8</v>
      </c>
      <c r="H2123" t="n">
        <v>0</v>
      </c>
      <c r="I2123" t="n">
        <v>0</v>
      </c>
      <c r="J2123" t="n">
        <v>0</v>
      </c>
      <c r="K2123" t="n">
        <v>0</v>
      </c>
      <c r="L2123" t="n">
        <v>0</v>
      </c>
      <c r="M2123" t="n">
        <v>0</v>
      </c>
      <c r="N2123" t="n">
        <v>0</v>
      </c>
      <c r="O2123" t="n">
        <v>0</v>
      </c>
      <c r="P2123" t="n">
        <v>0</v>
      </c>
      <c r="Q2123" t="n">
        <v>0</v>
      </c>
      <c r="R2123" s="2" t="inlineStr"/>
    </row>
    <row r="2124" ht="15" customHeight="1">
      <c r="A2124" t="inlineStr">
        <is>
          <t>A 2868-2020</t>
        </is>
      </c>
      <c r="B2124" s="1" t="n">
        <v>43850</v>
      </c>
      <c r="C2124" s="1" t="n">
        <v>45810</v>
      </c>
      <c r="D2124" t="inlineStr">
        <is>
          <t>VÄRMLANDS LÄN</t>
        </is>
      </c>
      <c r="E2124" t="inlineStr">
        <is>
          <t>STORFORS</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2720-2020</t>
        </is>
      </c>
      <c r="B2125" s="1" t="n">
        <v>43850</v>
      </c>
      <c r="C2125" s="1" t="n">
        <v>45810</v>
      </c>
      <c r="D2125" t="inlineStr">
        <is>
          <t>VÄRMLANDS LÄN</t>
        </is>
      </c>
      <c r="E2125" t="inlineStr">
        <is>
          <t>HAGFORS</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2902-2020</t>
        </is>
      </c>
      <c r="B2126" s="1" t="n">
        <v>43850</v>
      </c>
      <c r="C2126" s="1" t="n">
        <v>45810</v>
      </c>
      <c r="D2126" t="inlineStr">
        <is>
          <t>VÄRMLANDS LÄN</t>
        </is>
      </c>
      <c r="E2126" t="inlineStr">
        <is>
          <t>STORFORS</t>
        </is>
      </c>
      <c r="G2126" t="n">
        <v>12.3</v>
      </c>
      <c r="H2126" t="n">
        <v>0</v>
      </c>
      <c r="I2126" t="n">
        <v>0</v>
      </c>
      <c r="J2126" t="n">
        <v>0</v>
      </c>
      <c r="K2126" t="n">
        <v>0</v>
      </c>
      <c r="L2126" t="n">
        <v>0</v>
      </c>
      <c r="M2126" t="n">
        <v>0</v>
      </c>
      <c r="N2126" t="n">
        <v>0</v>
      </c>
      <c r="O2126" t="n">
        <v>0</v>
      </c>
      <c r="P2126" t="n">
        <v>0</v>
      </c>
      <c r="Q2126" t="n">
        <v>0</v>
      </c>
      <c r="R2126" s="2" t="inlineStr"/>
    </row>
    <row r="2127" ht="15" customHeight="1">
      <c r="A2127" t="inlineStr">
        <is>
          <t>A 2717-2020</t>
        </is>
      </c>
      <c r="B2127" s="1" t="n">
        <v>43850</v>
      </c>
      <c r="C2127" s="1" t="n">
        <v>45810</v>
      </c>
      <c r="D2127" t="inlineStr">
        <is>
          <t>VÄRMLANDS LÄN</t>
        </is>
      </c>
      <c r="E2127" t="inlineStr">
        <is>
          <t>EDA</t>
        </is>
      </c>
      <c r="F2127" t="inlineStr">
        <is>
          <t>Övriga Aktiebolag</t>
        </is>
      </c>
      <c r="G2127" t="n">
        <v>10.7</v>
      </c>
      <c r="H2127" t="n">
        <v>0</v>
      </c>
      <c r="I2127" t="n">
        <v>0</v>
      </c>
      <c r="J2127" t="n">
        <v>0</v>
      </c>
      <c r="K2127" t="n">
        <v>0</v>
      </c>
      <c r="L2127" t="n">
        <v>0</v>
      </c>
      <c r="M2127" t="n">
        <v>0</v>
      </c>
      <c r="N2127" t="n">
        <v>0</v>
      </c>
      <c r="O2127" t="n">
        <v>0</v>
      </c>
      <c r="P2127" t="n">
        <v>0</v>
      </c>
      <c r="Q2127" t="n">
        <v>0</v>
      </c>
      <c r="R2127" s="2" t="inlineStr"/>
    </row>
    <row r="2128" ht="15" customHeight="1">
      <c r="A2128" t="inlineStr">
        <is>
          <t>A 2906-2020</t>
        </is>
      </c>
      <c r="B2128" s="1" t="n">
        <v>43850</v>
      </c>
      <c r="C2128" s="1" t="n">
        <v>45810</v>
      </c>
      <c r="D2128" t="inlineStr">
        <is>
          <t>VÄRMLANDS LÄN</t>
        </is>
      </c>
      <c r="E2128" t="inlineStr">
        <is>
          <t>STORFORS</t>
        </is>
      </c>
      <c r="G2128" t="n">
        <v>0.3</v>
      </c>
      <c r="H2128" t="n">
        <v>0</v>
      </c>
      <c r="I2128" t="n">
        <v>0</v>
      </c>
      <c r="J2128" t="n">
        <v>0</v>
      </c>
      <c r="K2128" t="n">
        <v>0</v>
      </c>
      <c r="L2128" t="n">
        <v>0</v>
      </c>
      <c r="M2128" t="n">
        <v>0</v>
      </c>
      <c r="N2128" t="n">
        <v>0</v>
      </c>
      <c r="O2128" t="n">
        <v>0</v>
      </c>
      <c r="P2128" t="n">
        <v>0</v>
      </c>
      <c r="Q2128" t="n">
        <v>0</v>
      </c>
      <c r="R2128" s="2" t="inlineStr"/>
    </row>
    <row r="2129" ht="15" customHeight="1">
      <c r="A2129" t="inlineStr">
        <is>
          <t>A 2927-2020</t>
        </is>
      </c>
      <c r="B2129" s="1" t="n">
        <v>43850</v>
      </c>
      <c r="C2129" s="1" t="n">
        <v>45810</v>
      </c>
      <c r="D2129" t="inlineStr">
        <is>
          <t>VÄRMLANDS LÄN</t>
        </is>
      </c>
      <c r="E2129" t="inlineStr">
        <is>
          <t>SUNNE</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4469-2020</t>
        </is>
      </c>
      <c r="B2130" s="1" t="n">
        <v>43850</v>
      </c>
      <c r="C2130" s="1" t="n">
        <v>45810</v>
      </c>
      <c r="D2130" t="inlineStr">
        <is>
          <t>VÄRMLANDS LÄN</t>
        </is>
      </c>
      <c r="E2130" t="inlineStr">
        <is>
          <t>SÄFFLE</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4744-2020</t>
        </is>
      </c>
      <c r="B2131" s="1" t="n">
        <v>43850</v>
      </c>
      <c r="C2131" s="1" t="n">
        <v>45810</v>
      </c>
      <c r="D2131" t="inlineStr">
        <is>
          <t>VÄRMLANDS LÄN</t>
        </is>
      </c>
      <c r="E2131" t="inlineStr">
        <is>
          <t>SÄFFLE</t>
        </is>
      </c>
      <c r="F2131" t="inlineStr">
        <is>
          <t>Bergvik skog väst AB</t>
        </is>
      </c>
      <c r="G2131" t="n">
        <v>4.3</v>
      </c>
      <c r="H2131" t="n">
        <v>0</v>
      </c>
      <c r="I2131" t="n">
        <v>0</v>
      </c>
      <c r="J2131" t="n">
        <v>0</v>
      </c>
      <c r="K2131" t="n">
        <v>0</v>
      </c>
      <c r="L2131" t="n">
        <v>0</v>
      </c>
      <c r="M2131" t="n">
        <v>0</v>
      </c>
      <c r="N2131" t="n">
        <v>0</v>
      </c>
      <c r="O2131" t="n">
        <v>0</v>
      </c>
      <c r="P2131" t="n">
        <v>0</v>
      </c>
      <c r="Q2131" t="n">
        <v>0</v>
      </c>
      <c r="R2131" s="2" t="inlineStr"/>
    </row>
    <row r="2132" ht="15" customHeight="1">
      <c r="A2132" t="inlineStr">
        <is>
          <t>A 3016-2020</t>
        </is>
      </c>
      <c r="B2132" s="1" t="n">
        <v>43851</v>
      </c>
      <c r="C2132" s="1" t="n">
        <v>45810</v>
      </c>
      <c r="D2132" t="inlineStr">
        <is>
          <t>VÄRMLANDS LÄN</t>
        </is>
      </c>
      <c r="E2132" t="inlineStr">
        <is>
          <t>KARLSTAD</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4557-2020</t>
        </is>
      </c>
      <c r="B2133" s="1" t="n">
        <v>43851</v>
      </c>
      <c r="C2133" s="1" t="n">
        <v>45810</v>
      </c>
      <c r="D2133" t="inlineStr">
        <is>
          <t>VÄRMLANDS LÄN</t>
        </is>
      </c>
      <c r="E2133" t="inlineStr">
        <is>
          <t>SUNNE</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3053-2020</t>
        </is>
      </c>
      <c r="B2134" s="1" t="n">
        <v>43851</v>
      </c>
      <c r="C2134" s="1" t="n">
        <v>45810</v>
      </c>
      <c r="D2134" t="inlineStr">
        <is>
          <t>VÄRMLANDS LÄN</t>
        </is>
      </c>
      <c r="E2134" t="inlineStr">
        <is>
          <t>SUNNE</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3140-2020</t>
        </is>
      </c>
      <c r="B2135" s="1" t="n">
        <v>43851</v>
      </c>
      <c r="C2135" s="1" t="n">
        <v>45810</v>
      </c>
      <c r="D2135" t="inlineStr">
        <is>
          <t>VÄRMLANDS LÄN</t>
        </is>
      </c>
      <c r="E2135" t="inlineStr">
        <is>
          <t>SÄFFLE</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3149-2020</t>
        </is>
      </c>
      <c r="B2136" s="1" t="n">
        <v>43851</v>
      </c>
      <c r="C2136" s="1" t="n">
        <v>45810</v>
      </c>
      <c r="D2136" t="inlineStr">
        <is>
          <t>VÄRMLANDS LÄN</t>
        </is>
      </c>
      <c r="E2136" t="inlineStr">
        <is>
          <t>SÄFFLE</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3091-2020</t>
        </is>
      </c>
      <c r="B2137" s="1" t="n">
        <v>43851</v>
      </c>
      <c r="C2137" s="1" t="n">
        <v>45810</v>
      </c>
      <c r="D2137" t="inlineStr">
        <is>
          <t>VÄRMLANDS LÄN</t>
        </is>
      </c>
      <c r="E2137" t="inlineStr">
        <is>
          <t>HAGFORS</t>
        </is>
      </c>
      <c r="F2137" t="inlineStr">
        <is>
          <t>Bergvik skog väst AB</t>
        </is>
      </c>
      <c r="G2137" t="n">
        <v>29.7</v>
      </c>
      <c r="H2137" t="n">
        <v>0</v>
      </c>
      <c r="I2137" t="n">
        <v>0</v>
      </c>
      <c r="J2137" t="n">
        <v>0</v>
      </c>
      <c r="K2137" t="n">
        <v>0</v>
      </c>
      <c r="L2137" t="n">
        <v>0</v>
      </c>
      <c r="M2137" t="n">
        <v>0</v>
      </c>
      <c r="N2137" t="n">
        <v>0</v>
      </c>
      <c r="O2137" t="n">
        <v>0</v>
      </c>
      <c r="P2137" t="n">
        <v>0</v>
      </c>
      <c r="Q2137" t="n">
        <v>0</v>
      </c>
      <c r="R2137" s="2" t="inlineStr"/>
    </row>
    <row r="2138" ht="15" customHeight="1">
      <c r="A2138" t="inlineStr">
        <is>
          <t>A 3394-2020</t>
        </is>
      </c>
      <c r="B2138" s="1" t="n">
        <v>43852</v>
      </c>
      <c r="C2138" s="1" t="n">
        <v>45810</v>
      </c>
      <c r="D2138" t="inlineStr">
        <is>
          <t>VÄRMLANDS LÄN</t>
        </is>
      </c>
      <c r="E2138" t="inlineStr">
        <is>
          <t>ÅRJÄNG</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3420-2020</t>
        </is>
      </c>
      <c r="B2139" s="1" t="n">
        <v>43852</v>
      </c>
      <c r="C2139" s="1" t="n">
        <v>45810</v>
      </c>
      <c r="D2139" t="inlineStr">
        <is>
          <t>VÄRMLANDS LÄN</t>
        </is>
      </c>
      <c r="E2139" t="inlineStr">
        <is>
          <t>ARVIKA</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3316-2020</t>
        </is>
      </c>
      <c r="B2140" s="1" t="n">
        <v>43852</v>
      </c>
      <c r="C2140" s="1" t="n">
        <v>45810</v>
      </c>
      <c r="D2140" t="inlineStr">
        <is>
          <t>VÄRMLANDS LÄN</t>
        </is>
      </c>
      <c r="E2140" t="inlineStr">
        <is>
          <t>ÅRJÄNG</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3323-2020</t>
        </is>
      </c>
      <c r="B2141" s="1" t="n">
        <v>43852</v>
      </c>
      <c r="C2141" s="1" t="n">
        <v>45810</v>
      </c>
      <c r="D2141" t="inlineStr">
        <is>
          <t>VÄRMLANDS LÄN</t>
        </is>
      </c>
      <c r="E2141" t="inlineStr">
        <is>
          <t>ÅRJÄNG</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3351-2020</t>
        </is>
      </c>
      <c r="B2142" s="1" t="n">
        <v>43852</v>
      </c>
      <c r="C2142" s="1" t="n">
        <v>45810</v>
      </c>
      <c r="D2142" t="inlineStr">
        <is>
          <t>VÄRMLANDS LÄN</t>
        </is>
      </c>
      <c r="E2142" t="inlineStr">
        <is>
          <t>ÅRJÄNG</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4801-2020</t>
        </is>
      </c>
      <c r="B2143" s="1" t="n">
        <v>43852</v>
      </c>
      <c r="C2143" s="1" t="n">
        <v>45810</v>
      </c>
      <c r="D2143" t="inlineStr">
        <is>
          <t>VÄRMLANDS LÄN</t>
        </is>
      </c>
      <c r="E2143" t="inlineStr">
        <is>
          <t>SÄFFLE</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4676-2020</t>
        </is>
      </c>
      <c r="B2144" s="1" t="n">
        <v>43852</v>
      </c>
      <c r="C2144" s="1" t="n">
        <v>45810</v>
      </c>
      <c r="D2144" t="inlineStr">
        <is>
          <t>VÄRMLANDS LÄN</t>
        </is>
      </c>
      <c r="E2144" t="inlineStr">
        <is>
          <t>SUNNE</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3388-2020</t>
        </is>
      </c>
      <c r="B2145" s="1" t="n">
        <v>43852</v>
      </c>
      <c r="C2145" s="1" t="n">
        <v>45810</v>
      </c>
      <c r="D2145" t="inlineStr">
        <is>
          <t>VÄRMLANDS LÄN</t>
        </is>
      </c>
      <c r="E2145" t="inlineStr">
        <is>
          <t>ÅRJÄNG</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3245-2020</t>
        </is>
      </c>
      <c r="B2146" s="1" t="n">
        <v>43852</v>
      </c>
      <c r="C2146" s="1" t="n">
        <v>45810</v>
      </c>
      <c r="D2146" t="inlineStr">
        <is>
          <t>VÄRMLANDS LÄN</t>
        </is>
      </c>
      <c r="E2146" t="inlineStr">
        <is>
          <t>FORSHAGA</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3665-2020</t>
        </is>
      </c>
      <c r="B2147" s="1" t="n">
        <v>43853</v>
      </c>
      <c r="C2147" s="1" t="n">
        <v>45810</v>
      </c>
      <c r="D2147" t="inlineStr">
        <is>
          <t>VÄRMLANDS LÄN</t>
        </is>
      </c>
      <c r="E2147" t="inlineStr">
        <is>
          <t>KRISTINEHAMN</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4930-2020</t>
        </is>
      </c>
      <c r="B2148" s="1" t="n">
        <v>43853</v>
      </c>
      <c r="C2148" s="1" t="n">
        <v>45810</v>
      </c>
      <c r="D2148" t="inlineStr">
        <is>
          <t>VÄRMLANDS LÄN</t>
        </is>
      </c>
      <c r="E2148" t="inlineStr">
        <is>
          <t>SÄFFLE</t>
        </is>
      </c>
      <c r="G2148" t="n">
        <v>10.2</v>
      </c>
      <c r="H2148" t="n">
        <v>0</v>
      </c>
      <c r="I2148" t="n">
        <v>0</v>
      </c>
      <c r="J2148" t="n">
        <v>0</v>
      </c>
      <c r="K2148" t="n">
        <v>0</v>
      </c>
      <c r="L2148" t="n">
        <v>0</v>
      </c>
      <c r="M2148" t="n">
        <v>0</v>
      </c>
      <c r="N2148" t="n">
        <v>0</v>
      </c>
      <c r="O2148" t="n">
        <v>0</v>
      </c>
      <c r="P2148" t="n">
        <v>0</v>
      </c>
      <c r="Q2148" t="n">
        <v>0</v>
      </c>
      <c r="R2148" s="2" t="inlineStr"/>
    </row>
    <row r="2149" ht="15" customHeight="1">
      <c r="A2149" t="inlineStr">
        <is>
          <t>A 5030-2020</t>
        </is>
      </c>
      <c r="B2149" s="1" t="n">
        <v>43853</v>
      </c>
      <c r="C2149" s="1" t="n">
        <v>45810</v>
      </c>
      <c r="D2149" t="inlineStr">
        <is>
          <t>VÄRMLANDS LÄN</t>
        </is>
      </c>
      <c r="E2149" t="inlineStr">
        <is>
          <t>HAGFORS</t>
        </is>
      </c>
      <c r="G2149" t="n">
        <v>5</v>
      </c>
      <c r="H2149" t="n">
        <v>0</v>
      </c>
      <c r="I2149" t="n">
        <v>0</v>
      </c>
      <c r="J2149" t="n">
        <v>0</v>
      </c>
      <c r="K2149" t="n">
        <v>0</v>
      </c>
      <c r="L2149" t="n">
        <v>0</v>
      </c>
      <c r="M2149" t="n">
        <v>0</v>
      </c>
      <c r="N2149" t="n">
        <v>0</v>
      </c>
      <c r="O2149" t="n">
        <v>0</v>
      </c>
      <c r="P2149" t="n">
        <v>0</v>
      </c>
      <c r="Q2149" t="n">
        <v>0</v>
      </c>
      <c r="R2149" s="2" t="inlineStr"/>
    </row>
    <row r="2150" ht="15" customHeight="1">
      <c r="A2150" t="inlineStr">
        <is>
          <t>A 3927-2020</t>
        </is>
      </c>
      <c r="B2150" s="1" t="n">
        <v>43854</v>
      </c>
      <c r="C2150" s="1" t="n">
        <v>45810</v>
      </c>
      <c r="D2150" t="inlineStr">
        <is>
          <t>VÄRMLANDS LÄN</t>
        </is>
      </c>
      <c r="E2150" t="inlineStr">
        <is>
          <t>ARVIKA</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3748-2020</t>
        </is>
      </c>
      <c r="B2151" s="1" t="n">
        <v>43854</v>
      </c>
      <c r="C2151" s="1" t="n">
        <v>45810</v>
      </c>
      <c r="D2151" t="inlineStr">
        <is>
          <t>VÄRMLANDS LÄN</t>
        </is>
      </c>
      <c r="E2151" t="inlineStr">
        <is>
          <t>HAGFORS</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4105-2020</t>
        </is>
      </c>
      <c r="B2152" s="1" t="n">
        <v>43857</v>
      </c>
      <c r="C2152" s="1" t="n">
        <v>45810</v>
      </c>
      <c r="D2152" t="inlineStr">
        <is>
          <t>VÄRMLANDS LÄN</t>
        </is>
      </c>
      <c r="E2152" t="inlineStr">
        <is>
          <t>HAGFORS</t>
        </is>
      </c>
      <c r="F2152" t="inlineStr">
        <is>
          <t>Bergvik skog väst AB</t>
        </is>
      </c>
      <c r="G2152" t="n">
        <v>23.5</v>
      </c>
      <c r="H2152" t="n">
        <v>0</v>
      </c>
      <c r="I2152" t="n">
        <v>0</v>
      </c>
      <c r="J2152" t="n">
        <v>0</v>
      </c>
      <c r="K2152" t="n">
        <v>0</v>
      </c>
      <c r="L2152" t="n">
        <v>0</v>
      </c>
      <c r="M2152" t="n">
        <v>0</v>
      </c>
      <c r="N2152" t="n">
        <v>0</v>
      </c>
      <c r="O2152" t="n">
        <v>0</v>
      </c>
      <c r="P2152" t="n">
        <v>0</v>
      </c>
      <c r="Q2152" t="n">
        <v>0</v>
      </c>
      <c r="R2152" s="2" t="inlineStr"/>
    </row>
    <row r="2153" ht="15" customHeight="1">
      <c r="A2153" t="inlineStr">
        <is>
          <t>A 4215-2020</t>
        </is>
      </c>
      <c r="B2153" s="1" t="n">
        <v>43857</v>
      </c>
      <c r="C2153" s="1" t="n">
        <v>45810</v>
      </c>
      <c r="D2153" t="inlineStr">
        <is>
          <t>VÄRMLANDS LÄN</t>
        </is>
      </c>
      <c r="E2153" t="inlineStr">
        <is>
          <t>SÄFFLE</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4114-2020</t>
        </is>
      </c>
      <c r="B2154" s="1" t="n">
        <v>43857</v>
      </c>
      <c r="C2154" s="1" t="n">
        <v>45810</v>
      </c>
      <c r="D2154" t="inlineStr">
        <is>
          <t>VÄRMLANDS LÄN</t>
        </is>
      </c>
      <c r="E2154" t="inlineStr">
        <is>
          <t>EDA</t>
        </is>
      </c>
      <c r="G2154" t="n">
        <v>2.9</v>
      </c>
      <c r="H2154" t="n">
        <v>0</v>
      </c>
      <c r="I2154" t="n">
        <v>0</v>
      </c>
      <c r="J2154" t="n">
        <v>0</v>
      </c>
      <c r="K2154" t="n">
        <v>0</v>
      </c>
      <c r="L2154" t="n">
        <v>0</v>
      </c>
      <c r="M2154" t="n">
        <v>0</v>
      </c>
      <c r="N2154" t="n">
        <v>0</v>
      </c>
      <c r="O2154" t="n">
        <v>0</v>
      </c>
      <c r="P2154" t="n">
        <v>0</v>
      </c>
      <c r="Q2154" t="n">
        <v>0</v>
      </c>
      <c r="R2154" s="2" t="inlineStr"/>
    </row>
    <row r="2155" ht="15" customHeight="1">
      <c r="A2155" t="inlineStr">
        <is>
          <t>A 4210-2020</t>
        </is>
      </c>
      <c r="B2155" s="1" t="n">
        <v>43857</v>
      </c>
      <c r="C2155" s="1" t="n">
        <v>45810</v>
      </c>
      <c r="D2155" t="inlineStr">
        <is>
          <t>VÄRMLANDS LÄN</t>
        </is>
      </c>
      <c r="E2155" t="inlineStr">
        <is>
          <t>KRISTINEHAMN</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5357-2020</t>
        </is>
      </c>
      <c r="B2156" s="1" t="n">
        <v>43857</v>
      </c>
      <c r="C2156" s="1" t="n">
        <v>45810</v>
      </c>
      <c r="D2156" t="inlineStr">
        <is>
          <t>VÄRMLANDS LÄN</t>
        </is>
      </c>
      <c r="E2156" t="inlineStr">
        <is>
          <t>SÄFFLE</t>
        </is>
      </c>
      <c r="G2156" t="n">
        <v>6</v>
      </c>
      <c r="H2156" t="n">
        <v>0</v>
      </c>
      <c r="I2156" t="n">
        <v>0</v>
      </c>
      <c r="J2156" t="n">
        <v>0</v>
      </c>
      <c r="K2156" t="n">
        <v>0</v>
      </c>
      <c r="L2156" t="n">
        <v>0</v>
      </c>
      <c r="M2156" t="n">
        <v>0</v>
      </c>
      <c r="N2156" t="n">
        <v>0</v>
      </c>
      <c r="O2156" t="n">
        <v>0</v>
      </c>
      <c r="P2156" t="n">
        <v>0</v>
      </c>
      <c r="Q2156" t="n">
        <v>0</v>
      </c>
      <c r="R2156" s="2" t="inlineStr"/>
    </row>
    <row r="2157" ht="15" customHeight="1">
      <c r="A2157" t="inlineStr">
        <is>
          <t>A 5359-2020</t>
        </is>
      </c>
      <c r="B2157" s="1" t="n">
        <v>43857</v>
      </c>
      <c r="C2157" s="1" t="n">
        <v>45810</v>
      </c>
      <c r="D2157" t="inlineStr">
        <is>
          <t>VÄRMLANDS LÄN</t>
        </is>
      </c>
      <c r="E2157" t="inlineStr">
        <is>
          <t>ARVIKA</t>
        </is>
      </c>
      <c r="G2157" t="n">
        <v>10.8</v>
      </c>
      <c r="H2157" t="n">
        <v>0</v>
      </c>
      <c r="I2157" t="n">
        <v>0</v>
      </c>
      <c r="J2157" t="n">
        <v>0</v>
      </c>
      <c r="K2157" t="n">
        <v>0</v>
      </c>
      <c r="L2157" t="n">
        <v>0</v>
      </c>
      <c r="M2157" t="n">
        <v>0</v>
      </c>
      <c r="N2157" t="n">
        <v>0</v>
      </c>
      <c r="O2157" t="n">
        <v>0</v>
      </c>
      <c r="P2157" t="n">
        <v>0</v>
      </c>
      <c r="Q2157" t="n">
        <v>0</v>
      </c>
      <c r="R2157" s="2" t="inlineStr"/>
    </row>
    <row r="2158" ht="15" customHeight="1">
      <c r="A2158" t="inlineStr">
        <is>
          <t>A 4400-2020</t>
        </is>
      </c>
      <c r="B2158" s="1" t="n">
        <v>43858</v>
      </c>
      <c r="C2158" s="1" t="n">
        <v>45810</v>
      </c>
      <c r="D2158" t="inlineStr">
        <is>
          <t>VÄRMLANDS LÄN</t>
        </is>
      </c>
      <c r="E2158" t="inlineStr">
        <is>
          <t>GRUMS</t>
        </is>
      </c>
      <c r="G2158" t="n">
        <v>0.1</v>
      </c>
      <c r="H2158" t="n">
        <v>0</v>
      </c>
      <c r="I2158" t="n">
        <v>0</v>
      </c>
      <c r="J2158" t="n">
        <v>0</v>
      </c>
      <c r="K2158" t="n">
        <v>0</v>
      </c>
      <c r="L2158" t="n">
        <v>0</v>
      </c>
      <c r="M2158" t="n">
        <v>0</v>
      </c>
      <c r="N2158" t="n">
        <v>0</v>
      </c>
      <c r="O2158" t="n">
        <v>0</v>
      </c>
      <c r="P2158" t="n">
        <v>0</v>
      </c>
      <c r="Q2158" t="n">
        <v>0</v>
      </c>
      <c r="R2158" s="2" t="inlineStr"/>
    </row>
    <row r="2159" ht="15" customHeight="1">
      <c r="A2159" t="inlineStr">
        <is>
          <t>A 4661-2020</t>
        </is>
      </c>
      <c r="B2159" s="1" t="n">
        <v>43858</v>
      </c>
      <c r="C2159" s="1" t="n">
        <v>45810</v>
      </c>
      <c r="D2159" t="inlineStr">
        <is>
          <t>VÄRMLANDS LÄN</t>
        </is>
      </c>
      <c r="E2159" t="inlineStr">
        <is>
          <t>EDA</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4835-2020</t>
        </is>
      </c>
      <c r="B2160" s="1" t="n">
        <v>43859</v>
      </c>
      <c r="C2160" s="1" t="n">
        <v>45810</v>
      </c>
      <c r="D2160" t="inlineStr">
        <is>
          <t>VÄRMLANDS LÄN</t>
        </is>
      </c>
      <c r="E2160" t="inlineStr">
        <is>
          <t>SUNNE</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4753-2020</t>
        </is>
      </c>
      <c r="B2161" s="1" t="n">
        <v>43859</v>
      </c>
      <c r="C2161" s="1" t="n">
        <v>45810</v>
      </c>
      <c r="D2161" t="inlineStr">
        <is>
          <t>VÄRMLANDS LÄN</t>
        </is>
      </c>
      <c r="E2161" t="inlineStr">
        <is>
          <t>TORSBY</t>
        </is>
      </c>
      <c r="G2161" t="n">
        <v>4.5</v>
      </c>
      <c r="H2161" t="n">
        <v>0</v>
      </c>
      <c r="I2161" t="n">
        <v>0</v>
      </c>
      <c r="J2161" t="n">
        <v>0</v>
      </c>
      <c r="K2161" t="n">
        <v>0</v>
      </c>
      <c r="L2161" t="n">
        <v>0</v>
      </c>
      <c r="M2161" t="n">
        <v>0</v>
      </c>
      <c r="N2161" t="n">
        <v>0</v>
      </c>
      <c r="O2161" t="n">
        <v>0</v>
      </c>
      <c r="P2161" t="n">
        <v>0</v>
      </c>
      <c r="Q2161" t="n">
        <v>0</v>
      </c>
      <c r="R2161" s="2" t="inlineStr"/>
    </row>
    <row r="2162" ht="15" customHeight="1">
      <c r="A2162" t="inlineStr">
        <is>
          <t>A 4841-2020</t>
        </is>
      </c>
      <c r="B2162" s="1" t="n">
        <v>43859</v>
      </c>
      <c r="C2162" s="1" t="n">
        <v>45810</v>
      </c>
      <c r="D2162" t="inlineStr">
        <is>
          <t>VÄRMLANDS LÄN</t>
        </is>
      </c>
      <c r="E2162" t="inlineStr">
        <is>
          <t>GRUMS</t>
        </is>
      </c>
      <c r="G2162" t="n">
        <v>4.7</v>
      </c>
      <c r="H2162" t="n">
        <v>0</v>
      </c>
      <c r="I2162" t="n">
        <v>0</v>
      </c>
      <c r="J2162" t="n">
        <v>0</v>
      </c>
      <c r="K2162" t="n">
        <v>0</v>
      </c>
      <c r="L2162" t="n">
        <v>0</v>
      </c>
      <c r="M2162" t="n">
        <v>0</v>
      </c>
      <c r="N2162" t="n">
        <v>0</v>
      </c>
      <c r="O2162" t="n">
        <v>0</v>
      </c>
      <c r="P2162" t="n">
        <v>0</v>
      </c>
      <c r="Q2162" t="n">
        <v>0</v>
      </c>
      <c r="R2162" s="2" t="inlineStr"/>
    </row>
    <row r="2163" ht="15" customHeight="1">
      <c r="A2163" t="inlineStr">
        <is>
          <t>A 5180-2020</t>
        </is>
      </c>
      <c r="B2163" s="1" t="n">
        <v>43860</v>
      </c>
      <c r="C2163" s="1" t="n">
        <v>45810</v>
      </c>
      <c r="D2163" t="inlineStr">
        <is>
          <t>VÄRMLANDS LÄN</t>
        </is>
      </c>
      <c r="E2163" t="inlineStr">
        <is>
          <t>TORSBY</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5196-2020</t>
        </is>
      </c>
      <c r="B2164" s="1" t="n">
        <v>43860</v>
      </c>
      <c r="C2164" s="1" t="n">
        <v>45810</v>
      </c>
      <c r="D2164" t="inlineStr">
        <is>
          <t>VÄRMLANDS LÄN</t>
        </is>
      </c>
      <c r="E2164" t="inlineStr">
        <is>
          <t>FILIPSTAD</t>
        </is>
      </c>
      <c r="F2164" t="inlineStr">
        <is>
          <t>Bergvik skog väst AB</t>
        </is>
      </c>
      <c r="G2164" t="n">
        <v>4.8</v>
      </c>
      <c r="H2164" t="n">
        <v>0</v>
      </c>
      <c r="I2164" t="n">
        <v>0</v>
      </c>
      <c r="J2164" t="n">
        <v>0</v>
      </c>
      <c r="K2164" t="n">
        <v>0</v>
      </c>
      <c r="L2164" t="n">
        <v>0</v>
      </c>
      <c r="M2164" t="n">
        <v>0</v>
      </c>
      <c r="N2164" t="n">
        <v>0</v>
      </c>
      <c r="O2164" t="n">
        <v>0</v>
      </c>
      <c r="P2164" t="n">
        <v>0</v>
      </c>
      <c r="Q2164" t="n">
        <v>0</v>
      </c>
      <c r="R2164" s="2" t="inlineStr"/>
    </row>
    <row r="2165" ht="15" customHeight="1">
      <c r="A2165" t="inlineStr">
        <is>
          <t>A 5229-2020</t>
        </is>
      </c>
      <c r="B2165" s="1" t="n">
        <v>43860</v>
      </c>
      <c r="C2165" s="1" t="n">
        <v>45810</v>
      </c>
      <c r="D2165" t="inlineStr">
        <is>
          <t>VÄRMLANDS LÄN</t>
        </is>
      </c>
      <c r="E2165" t="inlineStr">
        <is>
          <t>FILIPSTAD</t>
        </is>
      </c>
      <c r="F2165" t="inlineStr">
        <is>
          <t>Bergvik skog väst AB</t>
        </is>
      </c>
      <c r="G2165" t="n">
        <v>21.9</v>
      </c>
      <c r="H2165" t="n">
        <v>0</v>
      </c>
      <c r="I2165" t="n">
        <v>0</v>
      </c>
      <c r="J2165" t="n">
        <v>0</v>
      </c>
      <c r="K2165" t="n">
        <v>0</v>
      </c>
      <c r="L2165" t="n">
        <v>0</v>
      </c>
      <c r="M2165" t="n">
        <v>0</v>
      </c>
      <c r="N2165" t="n">
        <v>0</v>
      </c>
      <c r="O2165" t="n">
        <v>0</v>
      </c>
      <c r="P2165" t="n">
        <v>0</v>
      </c>
      <c r="Q2165" t="n">
        <v>0</v>
      </c>
      <c r="R2165" s="2" t="inlineStr"/>
    </row>
    <row r="2166" ht="15" customHeight="1">
      <c r="A2166" t="inlineStr">
        <is>
          <t>A 5280-2020</t>
        </is>
      </c>
      <c r="B2166" s="1" t="n">
        <v>43860</v>
      </c>
      <c r="C2166" s="1" t="n">
        <v>45810</v>
      </c>
      <c r="D2166" t="inlineStr">
        <is>
          <t>VÄRMLANDS LÄN</t>
        </is>
      </c>
      <c r="E2166" t="inlineStr">
        <is>
          <t>FILIPSTAD</t>
        </is>
      </c>
      <c r="F2166" t="inlineStr">
        <is>
          <t>Bergvik skog väst AB</t>
        </is>
      </c>
      <c r="G2166" t="n">
        <v>49.8</v>
      </c>
      <c r="H2166" t="n">
        <v>0</v>
      </c>
      <c r="I2166" t="n">
        <v>0</v>
      </c>
      <c r="J2166" t="n">
        <v>0</v>
      </c>
      <c r="K2166" t="n">
        <v>0</v>
      </c>
      <c r="L2166" t="n">
        <v>0</v>
      </c>
      <c r="M2166" t="n">
        <v>0</v>
      </c>
      <c r="N2166" t="n">
        <v>0</v>
      </c>
      <c r="O2166" t="n">
        <v>0</v>
      </c>
      <c r="P2166" t="n">
        <v>0</v>
      </c>
      <c r="Q2166" t="n">
        <v>0</v>
      </c>
      <c r="R2166" s="2" t="inlineStr"/>
    </row>
    <row r="2167" ht="15" customHeight="1">
      <c r="A2167" t="inlineStr">
        <is>
          <t>A 5426-2020</t>
        </is>
      </c>
      <c r="B2167" s="1" t="n">
        <v>43861</v>
      </c>
      <c r="C2167" s="1" t="n">
        <v>45810</v>
      </c>
      <c r="D2167" t="inlineStr">
        <is>
          <t>VÄRMLANDS LÄN</t>
        </is>
      </c>
      <c r="E2167" t="inlineStr">
        <is>
          <t>TORSBY</t>
        </is>
      </c>
      <c r="G2167" t="n">
        <v>7.2</v>
      </c>
      <c r="H2167" t="n">
        <v>0</v>
      </c>
      <c r="I2167" t="n">
        <v>0</v>
      </c>
      <c r="J2167" t="n">
        <v>0</v>
      </c>
      <c r="K2167" t="n">
        <v>0</v>
      </c>
      <c r="L2167" t="n">
        <v>0</v>
      </c>
      <c r="M2167" t="n">
        <v>0</v>
      </c>
      <c r="N2167" t="n">
        <v>0</v>
      </c>
      <c r="O2167" t="n">
        <v>0</v>
      </c>
      <c r="P2167" t="n">
        <v>0</v>
      </c>
      <c r="Q2167" t="n">
        <v>0</v>
      </c>
      <c r="R2167" s="2" t="inlineStr"/>
    </row>
    <row r="2168" ht="15" customHeight="1">
      <c r="A2168" t="inlineStr">
        <is>
          <t>A 5425-2020</t>
        </is>
      </c>
      <c r="B2168" s="1" t="n">
        <v>43861</v>
      </c>
      <c r="C2168" s="1" t="n">
        <v>45810</v>
      </c>
      <c r="D2168" t="inlineStr">
        <is>
          <t>VÄRMLANDS LÄN</t>
        </is>
      </c>
      <c r="E2168" t="inlineStr">
        <is>
          <t>TORSBY</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5521-2020</t>
        </is>
      </c>
      <c r="B2169" s="1" t="n">
        <v>43861</v>
      </c>
      <c r="C2169" s="1" t="n">
        <v>45810</v>
      </c>
      <c r="D2169" t="inlineStr">
        <is>
          <t>VÄRMLANDS LÄN</t>
        </is>
      </c>
      <c r="E2169" t="inlineStr">
        <is>
          <t>SÄFFLE</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5443-2020</t>
        </is>
      </c>
      <c r="B2170" s="1" t="n">
        <v>43861</v>
      </c>
      <c r="C2170" s="1" t="n">
        <v>45810</v>
      </c>
      <c r="D2170" t="inlineStr">
        <is>
          <t>VÄRMLANDS LÄN</t>
        </is>
      </c>
      <c r="E2170" t="inlineStr">
        <is>
          <t>KRISTINEHAMN</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5513-2020</t>
        </is>
      </c>
      <c r="B2171" s="1" t="n">
        <v>43861</v>
      </c>
      <c r="C2171" s="1" t="n">
        <v>45810</v>
      </c>
      <c r="D2171" t="inlineStr">
        <is>
          <t>VÄRMLANDS LÄN</t>
        </is>
      </c>
      <c r="E2171" t="inlineStr">
        <is>
          <t>SUNNE</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5427-2020</t>
        </is>
      </c>
      <c r="B2172" s="1" t="n">
        <v>43861</v>
      </c>
      <c r="C2172" s="1" t="n">
        <v>45810</v>
      </c>
      <c r="D2172" t="inlineStr">
        <is>
          <t>VÄRMLANDS LÄN</t>
        </is>
      </c>
      <c r="E2172" t="inlineStr">
        <is>
          <t>TORSBY</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5602-2020</t>
        </is>
      </c>
      <c r="B2173" s="1" t="n">
        <v>43861</v>
      </c>
      <c r="C2173" s="1" t="n">
        <v>45810</v>
      </c>
      <c r="D2173" t="inlineStr">
        <is>
          <t>VÄRMLANDS LÄN</t>
        </is>
      </c>
      <c r="E2173" t="inlineStr">
        <is>
          <t>ARVIKA</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5787-2020</t>
        </is>
      </c>
      <c r="B2174" s="1" t="n">
        <v>43861</v>
      </c>
      <c r="C2174" s="1" t="n">
        <v>45810</v>
      </c>
      <c r="D2174" t="inlineStr">
        <is>
          <t>VÄRMLANDS LÄN</t>
        </is>
      </c>
      <c r="E2174" t="inlineStr">
        <is>
          <t>ÅRJÄNG</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5797-2020</t>
        </is>
      </c>
      <c r="B2175" s="1" t="n">
        <v>43861</v>
      </c>
      <c r="C2175" s="1" t="n">
        <v>45810</v>
      </c>
      <c r="D2175" t="inlineStr">
        <is>
          <t>VÄRMLANDS LÄN</t>
        </is>
      </c>
      <c r="E2175" t="inlineStr">
        <is>
          <t>ÅRJÄNG</t>
        </is>
      </c>
      <c r="G2175" t="n">
        <v>4.7</v>
      </c>
      <c r="H2175" t="n">
        <v>0</v>
      </c>
      <c r="I2175" t="n">
        <v>0</v>
      </c>
      <c r="J2175" t="n">
        <v>0</v>
      </c>
      <c r="K2175" t="n">
        <v>0</v>
      </c>
      <c r="L2175" t="n">
        <v>0</v>
      </c>
      <c r="M2175" t="n">
        <v>0</v>
      </c>
      <c r="N2175" t="n">
        <v>0</v>
      </c>
      <c r="O2175" t="n">
        <v>0</v>
      </c>
      <c r="P2175" t="n">
        <v>0</v>
      </c>
      <c r="Q2175" t="n">
        <v>0</v>
      </c>
      <c r="R2175" s="2" t="inlineStr"/>
    </row>
    <row r="2176" ht="15" customHeight="1">
      <c r="A2176" t="inlineStr">
        <is>
          <t>A 5783-2020</t>
        </is>
      </c>
      <c r="B2176" s="1" t="n">
        <v>43861</v>
      </c>
      <c r="C2176" s="1" t="n">
        <v>45810</v>
      </c>
      <c r="D2176" t="inlineStr">
        <is>
          <t>VÄRMLANDS LÄN</t>
        </is>
      </c>
      <c r="E2176" t="inlineStr">
        <is>
          <t>ÅRJÄNG</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5796-2020</t>
        </is>
      </c>
      <c r="B2177" s="1" t="n">
        <v>43861</v>
      </c>
      <c r="C2177" s="1" t="n">
        <v>45810</v>
      </c>
      <c r="D2177" t="inlineStr">
        <is>
          <t>VÄRMLANDS LÄN</t>
        </is>
      </c>
      <c r="E2177" t="inlineStr">
        <is>
          <t>ÅRJÄNG</t>
        </is>
      </c>
      <c r="G2177" t="n">
        <v>4.2</v>
      </c>
      <c r="H2177" t="n">
        <v>0</v>
      </c>
      <c r="I2177" t="n">
        <v>0</v>
      </c>
      <c r="J2177" t="n">
        <v>0</v>
      </c>
      <c r="K2177" t="n">
        <v>0</v>
      </c>
      <c r="L2177" t="n">
        <v>0</v>
      </c>
      <c r="M2177" t="n">
        <v>0</v>
      </c>
      <c r="N2177" t="n">
        <v>0</v>
      </c>
      <c r="O2177" t="n">
        <v>0</v>
      </c>
      <c r="P2177" t="n">
        <v>0</v>
      </c>
      <c r="Q2177" t="n">
        <v>0</v>
      </c>
      <c r="R2177" s="2" t="inlineStr"/>
    </row>
    <row r="2178" ht="15" customHeight="1">
      <c r="A2178" t="inlineStr">
        <is>
          <t>A 5547-2020</t>
        </is>
      </c>
      <c r="B2178" s="1" t="n">
        <v>43861</v>
      </c>
      <c r="C2178" s="1" t="n">
        <v>45810</v>
      </c>
      <c r="D2178" t="inlineStr">
        <is>
          <t>VÄRMLANDS LÄN</t>
        </is>
      </c>
      <c r="E2178" t="inlineStr">
        <is>
          <t>SUNNE</t>
        </is>
      </c>
      <c r="G2178" t="n">
        <v>3.3</v>
      </c>
      <c r="H2178" t="n">
        <v>0</v>
      </c>
      <c r="I2178" t="n">
        <v>0</v>
      </c>
      <c r="J2178" t="n">
        <v>0</v>
      </c>
      <c r="K2178" t="n">
        <v>0</v>
      </c>
      <c r="L2178" t="n">
        <v>0</v>
      </c>
      <c r="M2178" t="n">
        <v>0</v>
      </c>
      <c r="N2178" t="n">
        <v>0</v>
      </c>
      <c r="O2178" t="n">
        <v>0</v>
      </c>
      <c r="P2178" t="n">
        <v>0</v>
      </c>
      <c r="Q2178" t="n">
        <v>0</v>
      </c>
      <c r="R2178" s="2" t="inlineStr"/>
    </row>
    <row r="2179" ht="15" customHeight="1">
      <c r="A2179" t="inlineStr">
        <is>
          <t>A 5794-2020</t>
        </is>
      </c>
      <c r="B2179" s="1" t="n">
        <v>43861</v>
      </c>
      <c r="C2179" s="1" t="n">
        <v>45810</v>
      </c>
      <c r="D2179" t="inlineStr">
        <is>
          <t>VÄRMLANDS LÄN</t>
        </is>
      </c>
      <c r="E2179" t="inlineStr">
        <is>
          <t>ÅRJÄNG</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5793-2020</t>
        </is>
      </c>
      <c r="B2180" s="1" t="n">
        <v>43861</v>
      </c>
      <c r="C2180" s="1" t="n">
        <v>45810</v>
      </c>
      <c r="D2180" t="inlineStr">
        <is>
          <t>VÄRMLANDS LÄN</t>
        </is>
      </c>
      <c r="E2180" t="inlineStr">
        <is>
          <t>ÅRJÄNG</t>
        </is>
      </c>
      <c r="G2180" t="n">
        <v>2.7</v>
      </c>
      <c r="H2180" t="n">
        <v>0</v>
      </c>
      <c r="I2180" t="n">
        <v>0</v>
      </c>
      <c r="J2180" t="n">
        <v>0</v>
      </c>
      <c r="K2180" t="n">
        <v>0</v>
      </c>
      <c r="L2180" t="n">
        <v>0</v>
      </c>
      <c r="M2180" t="n">
        <v>0</v>
      </c>
      <c r="N2180" t="n">
        <v>0</v>
      </c>
      <c r="O2180" t="n">
        <v>0</v>
      </c>
      <c r="P2180" t="n">
        <v>0</v>
      </c>
      <c r="Q2180" t="n">
        <v>0</v>
      </c>
      <c r="R2180" s="2" t="inlineStr"/>
    </row>
    <row r="2181" ht="15" customHeight="1">
      <c r="A2181" t="inlineStr">
        <is>
          <t>A 5455-2020</t>
        </is>
      </c>
      <c r="B2181" s="1" t="n">
        <v>43861</v>
      </c>
      <c r="C2181" s="1" t="n">
        <v>45810</v>
      </c>
      <c r="D2181" t="inlineStr">
        <is>
          <t>VÄRMLANDS LÄN</t>
        </is>
      </c>
      <c r="E2181" t="inlineStr">
        <is>
          <t>KRISTINEHAMN</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6059-2020</t>
        </is>
      </c>
      <c r="B2182" s="1" t="n">
        <v>43864</v>
      </c>
      <c r="C2182" s="1" t="n">
        <v>45810</v>
      </c>
      <c r="D2182" t="inlineStr">
        <is>
          <t>VÄRMLANDS LÄN</t>
        </is>
      </c>
      <c r="E2182" t="inlineStr">
        <is>
          <t>KRISTINEHAMN</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6129-2020</t>
        </is>
      </c>
      <c r="B2183" s="1" t="n">
        <v>43864</v>
      </c>
      <c r="C2183" s="1" t="n">
        <v>45810</v>
      </c>
      <c r="D2183" t="inlineStr">
        <is>
          <t>VÄRMLANDS LÄN</t>
        </is>
      </c>
      <c r="E2183" t="inlineStr">
        <is>
          <t>GRUMS</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5949-2020</t>
        </is>
      </c>
      <c r="B2184" s="1" t="n">
        <v>43864</v>
      </c>
      <c r="C2184" s="1" t="n">
        <v>45810</v>
      </c>
      <c r="D2184" t="inlineStr">
        <is>
          <t>VÄRMLANDS LÄN</t>
        </is>
      </c>
      <c r="E2184" t="inlineStr">
        <is>
          <t>KRISTINEHAMN</t>
        </is>
      </c>
      <c r="G2184" t="n">
        <v>17.4</v>
      </c>
      <c r="H2184" t="n">
        <v>0</v>
      </c>
      <c r="I2184" t="n">
        <v>0</v>
      </c>
      <c r="J2184" t="n">
        <v>0</v>
      </c>
      <c r="K2184" t="n">
        <v>0</v>
      </c>
      <c r="L2184" t="n">
        <v>0</v>
      </c>
      <c r="M2184" t="n">
        <v>0</v>
      </c>
      <c r="N2184" t="n">
        <v>0</v>
      </c>
      <c r="O2184" t="n">
        <v>0</v>
      </c>
      <c r="P2184" t="n">
        <v>0</v>
      </c>
      <c r="Q2184" t="n">
        <v>0</v>
      </c>
      <c r="R2184" s="2" t="inlineStr"/>
    </row>
    <row r="2185" ht="15" customHeight="1">
      <c r="A2185" t="inlineStr">
        <is>
          <t>A 6416-2020</t>
        </is>
      </c>
      <c r="B2185" s="1" t="n">
        <v>43864</v>
      </c>
      <c r="C2185" s="1" t="n">
        <v>45810</v>
      </c>
      <c r="D2185" t="inlineStr">
        <is>
          <t>VÄRMLANDS LÄN</t>
        </is>
      </c>
      <c r="E2185" t="inlineStr">
        <is>
          <t>SÄFFLE</t>
        </is>
      </c>
      <c r="G2185" t="n">
        <v>4.4</v>
      </c>
      <c r="H2185" t="n">
        <v>0</v>
      </c>
      <c r="I2185" t="n">
        <v>0</v>
      </c>
      <c r="J2185" t="n">
        <v>0</v>
      </c>
      <c r="K2185" t="n">
        <v>0</v>
      </c>
      <c r="L2185" t="n">
        <v>0</v>
      </c>
      <c r="M2185" t="n">
        <v>0</v>
      </c>
      <c r="N2185" t="n">
        <v>0</v>
      </c>
      <c r="O2185" t="n">
        <v>0</v>
      </c>
      <c r="P2185" t="n">
        <v>0</v>
      </c>
      <c r="Q2185" t="n">
        <v>0</v>
      </c>
      <c r="R2185" s="2" t="inlineStr"/>
    </row>
    <row r="2186" ht="15" customHeight="1">
      <c r="A2186" t="inlineStr">
        <is>
          <t>A 6125-2020</t>
        </is>
      </c>
      <c r="B2186" s="1" t="n">
        <v>43864</v>
      </c>
      <c r="C2186" s="1" t="n">
        <v>45810</v>
      </c>
      <c r="D2186" t="inlineStr">
        <is>
          <t>VÄRMLANDS LÄN</t>
        </is>
      </c>
      <c r="E2186" t="inlineStr">
        <is>
          <t>GRUMS</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6410-2020</t>
        </is>
      </c>
      <c r="B2187" s="1" t="n">
        <v>43864</v>
      </c>
      <c r="C2187" s="1" t="n">
        <v>45810</v>
      </c>
      <c r="D2187" t="inlineStr">
        <is>
          <t>VÄRMLANDS LÄN</t>
        </is>
      </c>
      <c r="E2187" t="inlineStr">
        <is>
          <t>GRUMS</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6031-2020</t>
        </is>
      </c>
      <c r="B2188" s="1" t="n">
        <v>43865</v>
      </c>
      <c r="C2188" s="1" t="n">
        <v>45810</v>
      </c>
      <c r="D2188" t="inlineStr">
        <is>
          <t>VÄRMLANDS LÄN</t>
        </is>
      </c>
      <c r="E2188" t="inlineStr">
        <is>
          <t>KRISTINEHAMN</t>
        </is>
      </c>
      <c r="G2188" t="n">
        <v>4.3</v>
      </c>
      <c r="H2188" t="n">
        <v>0</v>
      </c>
      <c r="I2188" t="n">
        <v>0</v>
      </c>
      <c r="J2188" t="n">
        <v>0</v>
      </c>
      <c r="K2188" t="n">
        <v>0</v>
      </c>
      <c r="L2188" t="n">
        <v>0</v>
      </c>
      <c r="M2188" t="n">
        <v>0</v>
      </c>
      <c r="N2188" t="n">
        <v>0</v>
      </c>
      <c r="O2188" t="n">
        <v>0</v>
      </c>
      <c r="P2188" t="n">
        <v>0</v>
      </c>
      <c r="Q2188" t="n">
        <v>0</v>
      </c>
      <c r="R2188" s="2" t="inlineStr"/>
    </row>
    <row r="2189" ht="15" customHeight="1">
      <c r="A2189" t="inlineStr">
        <is>
          <t>A 6169-2020</t>
        </is>
      </c>
      <c r="B2189" s="1" t="n">
        <v>43865</v>
      </c>
      <c r="C2189" s="1" t="n">
        <v>45810</v>
      </c>
      <c r="D2189" t="inlineStr">
        <is>
          <t>VÄRMLANDS LÄN</t>
        </is>
      </c>
      <c r="E2189" t="inlineStr">
        <is>
          <t>ARVIKA</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6069-2020</t>
        </is>
      </c>
      <c r="B2190" s="1" t="n">
        <v>43865</v>
      </c>
      <c r="C2190" s="1" t="n">
        <v>45810</v>
      </c>
      <c r="D2190" t="inlineStr">
        <is>
          <t>VÄRMLANDS LÄN</t>
        </is>
      </c>
      <c r="E2190" t="inlineStr">
        <is>
          <t>HAGFORS</t>
        </is>
      </c>
      <c r="F2190" t="inlineStr">
        <is>
          <t>Bergvik skog väst AB</t>
        </is>
      </c>
      <c r="G2190" t="n">
        <v>10.5</v>
      </c>
      <c r="H2190" t="n">
        <v>0</v>
      </c>
      <c r="I2190" t="n">
        <v>0</v>
      </c>
      <c r="J2190" t="n">
        <v>0</v>
      </c>
      <c r="K2190" t="n">
        <v>0</v>
      </c>
      <c r="L2190" t="n">
        <v>0</v>
      </c>
      <c r="M2190" t="n">
        <v>0</v>
      </c>
      <c r="N2190" t="n">
        <v>0</v>
      </c>
      <c r="O2190" t="n">
        <v>0</v>
      </c>
      <c r="P2190" t="n">
        <v>0</v>
      </c>
      <c r="Q2190" t="n">
        <v>0</v>
      </c>
      <c r="R2190" s="2" t="inlineStr"/>
    </row>
    <row r="2191" ht="15" customHeight="1">
      <c r="A2191" t="inlineStr">
        <is>
          <t>A 6181-2020</t>
        </is>
      </c>
      <c r="B2191" s="1" t="n">
        <v>43865</v>
      </c>
      <c r="C2191" s="1" t="n">
        <v>45810</v>
      </c>
      <c r="D2191" t="inlineStr">
        <is>
          <t>VÄRMLANDS LÄN</t>
        </is>
      </c>
      <c r="E2191" t="inlineStr">
        <is>
          <t>FILIPSTAD</t>
        </is>
      </c>
      <c r="G2191" t="n">
        <v>4.8</v>
      </c>
      <c r="H2191" t="n">
        <v>0</v>
      </c>
      <c r="I2191" t="n">
        <v>0</v>
      </c>
      <c r="J2191" t="n">
        <v>0</v>
      </c>
      <c r="K2191" t="n">
        <v>0</v>
      </c>
      <c r="L2191" t="n">
        <v>0</v>
      </c>
      <c r="M2191" t="n">
        <v>0</v>
      </c>
      <c r="N2191" t="n">
        <v>0</v>
      </c>
      <c r="O2191" t="n">
        <v>0</v>
      </c>
      <c r="P2191" t="n">
        <v>0</v>
      </c>
      <c r="Q2191" t="n">
        <v>0</v>
      </c>
      <c r="R2191" s="2" t="inlineStr"/>
    </row>
    <row r="2192" ht="15" customHeight="1">
      <c r="A2192" t="inlineStr">
        <is>
          <t>A 6288-2020</t>
        </is>
      </c>
      <c r="B2192" s="1" t="n">
        <v>43866</v>
      </c>
      <c r="C2192" s="1" t="n">
        <v>45810</v>
      </c>
      <c r="D2192" t="inlineStr">
        <is>
          <t>VÄRMLANDS LÄN</t>
        </is>
      </c>
      <c r="E2192" t="inlineStr">
        <is>
          <t>KARLSTAD</t>
        </is>
      </c>
      <c r="F2192" t="inlineStr">
        <is>
          <t>Kommuner</t>
        </is>
      </c>
      <c r="G2192" t="n">
        <v>4.2</v>
      </c>
      <c r="H2192" t="n">
        <v>0</v>
      </c>
      <c r="I2192" t="n">
        <v>0</v>
      </c>
      <c r="J2192" t="n">
        <v>0</v>
      </c>
      <c r="K2192" t="n">
        <v>0</v>
      </c>
      <c r="L2192" t="n">
        <v>0</v>
      </c>
      <c r="M2192" t="n">
        <v>0</v>
      </c>
      <c r="N2192" t="n">
        <v>0</v>
      </c>
      <c r="O2192" t="n">
        <v>0</v>
      </c>
      <c r="P2192" t="n">
        <v>0</v>
      </c>
      <c r="Q2192" t="n">
        <v>0</v>
      </c>
      <c r="R2192" s="2" t="inlineStr"/>
    </row>
    <row r="2193" ht="15" customHeight="1">
      <c r="A2193" t="inlineStr">
        <is>
          <t>A 6309-2020</t>
        </is>
      </c>
      <c r="B2193" s="1" t="n">
        <v>43866</v>
      </c>
      <c r="C2193" s="1" t="n">
        <v>45810</v>
      </c>
      <c r="D2193" t="inlineStr">
        <is>
          <t>VÄRMLANDS LÄN</t>
        </is>
      </c>
      <c r="E2193" t="inlineStr">
        <is>
          <t>KARLSTAD</t>
        </is>
      </c>
      <c r="F2193" t="inlineStr">
        <is>
          <t>Kommuner</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6426-2020</t>
        </is>
      </c>
      <c r="B2194" s="1" t="n">
        <v>43866</v>
      </c>
      <c r="C2194" s="1" t="n">
        <v>45810</v>
      </c>
      <c r="D2194" t="inlineStr">
        <is>
          <t>VÄRMLANDS LÄN</t>
        </is>
      </c>
      <c r="E2194" t="inlineStr">
        <is>
          <t>ÅRJÄNG</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6494-2020</t>
        </is>
      </c>
      <c r="B2195" s="1" t="n">
        <v>43866</v>
      </c>
      <c r="C2195" s="1" t="n">
        <v>45810</v>
      </c>
      <c r="D2195" t="inlineStr">
        <is>
          <t>VÄRMLANDS LÄN</t>
        </is>
      </c>
      <c r="E2195" t="inlineStr">
        <is>
          <t>SUNNE</t>
        </is>
      </c>
      <c r="G2195" t="n">
        <v>5.4</v>
      </c>
      <c r="H2195" t="n">
        <v>0</v>
      </c>
      <c r="I2195" t="n">
        <v>0</v>
      </c>
      <c r="J2195" t="n">
        <v>0</v>
      </c>
      <c r="K2195" t="n">
        <v>0</v>
      </c>
      <c r="L2195" t="n">
        <v>0</v>
      </c>
      <c r="M2195" t="n">
        <v>0</v>
      </c>
      <c r="N2195" t="n">
        <v>0</v>
      </c>
      <c r="O2195" t="n">
        <v>0</v>
      </c>
      <c r="P2195" t="n">
        <v>0</v>
      </c>
      <c r="Q2195" t="n">
        <v>0</v>
      </c>
      <c r="R2195" s="2" t="inlineStr"/>
    </row>
    <row r="2196" ht="15" customHeight="1">
      <c r="A2196" t="inlineStr">
        <is>
          <t>A 6720-2020</t>
        </is>
      </c>
      <c r="B2196" s="1" t="n">
        <v>43866</v>
      </c>
      <c r="C2196" s="1" t="n">
        <v>45810</v>
      </c>
      <c r="D2196" t="inlineStr">
        <is>
          <t>VÄRMLANDS LÄN</t>
        </is>
      </c>
      <c r="E2196" t="inlineStr">
        <is>
          <t>SÄFFLE</t>
        </is>
      </c>
      <c r="G2196" t="n">
        <v>2.9</v>
      </c>
      <c r="H2196" t="n">
        <v>0</v>
      </c>
      <c r="I2196" t="n">
        <v>0</v>
      </c>
      <c r="J2196" t="n">
        <v>0</v>
      </c>
      <c r="K2196" t="n">
        <v>0</v>
      </c>
      <c r="L2196" t="n">
        <v>0</v>
      </c>
      <c r="M2196" t="n">
        <v>0</v>
      </c>
      <c r="N2196" t="n">
        <v>0</v>
      </c>
      <c r="O2196" t="n">
        <v>0</v>
      </c>
      <c r="P2196" t="n">
        <v>0</v>
      </c>
      <c r="Q2196" t="n">
        <v>0</v>
      </c>
      <c r="R2196" s="2" t="inlineStr"/>
    </row>
    <row r="2197" ht="15" customHeight="1">
      <c r="A2197" t="inlineStr">
        <is>
          <t>A 6591-2020</t>
        </is>
      </c>
      <c r="B2197" s="1" t="n">
        <v>43867</v>
      </c>
      <c r="C2197" s="1" t="n">
        <v>45810</v>
      </c>
      <c r="D2197" t="inlineStr">
        <is>
          <t>VÄRMLANDS LÄN</t>
        </is>
      </c>
      <c r="E2197" t="inlineStr">
        <is>
          <t>EDA</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6637-2020</t>
        </is>
      </c>
      <c r="B2198" s="1" t="n">
        <v>43867</v>
      </c>
      <c r="C2198" s="1" t="n">
        <v>45810</v>
      </c>
      <c r="D2198" t="inlineStr">
        <is>
          <t>VÄRMLANDS LÄN</t>
        </is>
      </c>
      <c r="E2198" t="inlineStr">
        <is>
          <t>SUNNE</t>
        </is>
      </c>
      <c r="G2198" t="n">
        <v>3.3</v>
      </c>
      <c r="H2198" t="n">
        <v>0</v>
      </c>
      <c r="I2198" t="n">
        <v>0</v>
      </c>
      <c r="J2198" t="n">
        <v>0</v>
      </c>
      <c r="K2198" t="n">
        <v>0</v>
      </c>
      <c r="L2198" t="n">
        <v>0</v>
      </c>
      <c r="M2198" t="n">
        <v>0</v>
      </c>
      <c r="N2198" t="n">
        <v>0</v>
      </c>
      <c r="O2198" t="n">
        <v>0</v>
      </c>
      <c r="P2198" t="n">
        <v>0</v>
      </c>
      <c r="Q2198" t="n">
        <v>0</v>
      </c>
      <c r="R2198" s="2" t="inlineStr"/>
    </row>
    <row r="2199" ht="15" customHeight="1">
      <c r="A2199" t="inlineStr">
        <is>
          <t>A 6770-2020</t>
        </is>
      </c>
      <c r="B2199" s="1" t="n">
        <v>43867</v>
      </c>
      <c r="C2199" s="1" t="n">
        <v>45810</v>
      </c>
      <c r="D2199" t="inlineStr">
        <is>
          <t>VÄRMLANDS LÄN</t>
        </is>
      </c>
      <c r="E2199" t="inlineStr">
        <is>
          <t>ARVIKA</t>
        </is>
      </c>
      <c r="F2199" t="inlineStr">
        <is>
          <t>Bergvik skog väst AB</t>
        </is>
      </c>
      <c r="G2199" t="n">
        <v>3.7</v>
      </c>
      <c r="H2199" t="n">
        <v>0</v>
      </c>
      <c r="I2199" t="n">
        <v>0</v>
      </c>
      <c r="J2199" t="n">
        <v>0</v>
      </c>
      <c r="K2199" t="n">
        <v>0</v>
      </c>
      <c r="L2199" t="n">
        <v>0</v>
      </c>
      <c r="M2199" t="n">
        <v>0</v>
      </c>
      <c r="N2199" t="n">
        <v>0</v>
      </c>
      <c r="O2199" t="n">
        <v>0</v>
      </c>
      <c r="P2199" t="n">
        <v>0</v>
      </c>
      <c r="Q2199" t="n">
        <v>0</v>
      </c>
      <c r="R2199" s="2" t="inlineStr"/>
    </row>
    <row r="2200" ht="15" customHeight="1">
      <c r="A2200" t="inlineStr">
        <is>
          <t>A 6587-2020</t>
        </is>
      </c>
      <c r="B2200" s="1" t="n">
        <v>43867</v>
      </c>
      <c r="C2200" s="1" t="n">
        <v>45810</v>
      </c>
      <c r="D2200" t="inlineStr">
        <is>
          <t>VÄRMLANDS LÄN</t>
        </is>
      </c>
      <c r="E2200" t="inlineStr">
        <is>
          <t>EDA</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6696-2020</t>
        </is>
      </c>
      <c r="B2201" s="1" t="n">
        <v>43867</v>
      </c>
      <c r="C2201" s="1" t="n">
        <v>45810</v>
      </c>
      <c r="D2201" t="inlineStr">
        <is>
          <t>VÄRMLANDS LÄN</t>
        </is>
      </c>
      <c r="E2201" t="inlineStr">
        <is>
          <t>ARVIKA</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6866-2020</t>
        </is>
      </c>
      <c r="B2202" s="1" t="n">
        <v>43867</v>
      </c>
      <c r="C2202" s="1" t="n">
        <v>45810</v>
      </c>
      <c r="D2202" t="inlineStr">
        <is>
          <t>VÄRMLANDS LÄN</t>
        </is>
      </c>
      <c r="E2202" t="inlineStr">
        <is>
          <t>SÄFFLE</t>
        </is>
      </c>
      <c r="G2202" t="n">
        <v>17.9</v>
      </c>
      <c r="H2202" t="n">
        <v>0</v>
      </c>
      <c r="I2202" t="n">
        <v>0</v>
      </c>
      <c r="J2202" t="n">
        <v>0</v>
      </c>
      <c r="K2202" t="n">
        <v>0</v>
      </c>
      <c r="L2202" t="n">
        <v>0</v>
      </c>
      <c r="M2202" t="n">
        <v>0</v>
      </c>
      <c r="N2202" t="n">
        <v>0</v>
      </c>
      <c r="O2202" t="n">
        <v>0</v>
      </c>
      <c r="P2202" t="n">
        <v>0</v>
      </c>
      <c r="Q2202" t="n">
        <v>0</v>
      </c>
      <c r="R2202" s="2" t="inlineStr"/>
    </row>
    <row r="2203" ht="15" customHeight="1">
      <c r="A2203" t="inlineStr">
        <is>
          <t>A 6961-2020</t>
        </is>
      </c>
      <c r="B2203" s="1" t="n">
        <v>43868</v>
      </c>
      <c r="C2203" s="1" t="n">
        <v>45810</v>
      </c>
      <c r="D2203" t="inlineStr">
        <is>
          <t>VÄRMLANDS LÄN</t>
        </is>
      </c>
      <c r="E2203" t="inlineStr">
        <is>
          <t>ÅRJÄNG</t>
        </is>
      </c>
      <c r="G2203" t="n">
        <v>9.9</v>
      </c>
      <c r="H2203" t="n">
        <v>0</v>
      </c>
      <c r="I2203" t="n">
        <v>0</v>
      </c>
      <c r="J2203" t="n">
        <v>0</v>
      </c>
      <c r="K2203" t="n">
        <v>0</v>
      </c>
      <c r="L2203" t="n">
        <v>0</v>
      </c>
      <c r="M2203" t="n">
        <v>0</v>
      </c>
      <c r="N2203" t="n">
        <v>0</v>
      </c>
      <c r="O2203" t="n">
        <v>0</v>
      </c>
      <c r="P2203" t="n">
        <v>0</v>
      </c>
      <c r="Q2203" t="n">
        <v>0</v>
      </c>
      <c r="R2203" s="2" t="inlineStr"/>
    </row>
    <row r="2204" ht="15" customHeight="1">
      <c r="A2204" t="inlineStr">
        <is>
          <t>A 7000-2020</t>
        </is>
      </c>
      <c r="B2204" s="1" t="n">
        <v>43868</v>
      </c>
      <c r="C2204" s="1" t="n">
        <v>45810</v>
      </c>
      <c r="D2204" t="inlineStr">
        <is>
          <t>VÄRMLANDS LÄN</t>
        </is>
      </c>
      <c r="E2204" t="inlineStr">
        <is>
          <t>TORSBY</t>
        </is>
      </c>
      <c r="G2204" t="n">
        <v>2.8</v>
      </c>
      <c r="H2204" t="n">
        <v>0</v>
      </c>
      <c r="I2204" t="n">
        <v>0</v>
      </c>
      <c r="J2204" t="n">
        <v>0</v>
      </c>
      <c r="K2204" t="n">
        <v>0</v>
      </c>
      <c r="L2204" t="n">
        <v>0</v>
      </c>
      <c r="M2204" t="n">
        <v>0</v>
      </c>
      <c r="N2204" t="n">
        <v>0</v>
      </c>
      <c r="O2204" t="n">
        <v>0</v>
      </c>
      <c r="P2204" t="n">
        <v>0</v>
      </c>
      <c r="Q2204" t="n">
        <v>0</v>
      </c>
      <c r="R2204" s="2" t="inlineStr"/>
    </row>
    <row r="2205" ht="15" customHeight="1">
      <c r="A2205" t="inlineStr">
        <is>
          <t>A 7035-2020</t>
        </is>
      </c>
      <c r="B2205" s="1" t="n">
        <v>43868</v>
      </c>
      <c r="C2205" s="1" t="n">
        <v>45810</v>
      </c>
      <c r="D2205" t="inlineStr">
        <is>
          <t>VÄRMLANDS LÄN</t>
        </is>
      </c>
      <c r="E2205" t="inlineStr">
        <is>
          <t>KRISTINEHAMN</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7232-2020</t>
        </is>
      </c>
      <c r="B2206" s="1" t="n">
        <v>43868</v>
      </c>
      <c r="C2206" s="1" t="n">
        <v>45810</v>
      </c>
      <c r="D2206" t="inlineStr">
        <is>
          <t>VÄRMLANDS LÄN</t>
        </is>
      </c>
      <c r="E2206" t="inlineStr">
        <is>
          <t>ÅRJÄNG</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6862-2020</t>
        </is>
      </c>
      <c r="B2207" s="1" t="n">
        <v>43868</v>
      </c>
      <c r="C2207" s="1" t="n">
        <v>45810</v>
      </c>
      <c r="D2207" t="inlineStr">
        <is>
          <t>VÄRMLANDS LÄN</t>
        </is>
      </c>
      <c r="E2207" t="inlineStr">
        <is>
          <t>TORSBY</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7142-2020</t>
        </is>
      </c>
      <c r="B2208" s="1" t="n">
        <v>43869</v>
      </c>
      <c r="C2208" s="1" t="n">
        <v>45810</v>
      </c>
      <c r="D2208" t="inlineStr">
        <is>
          <t>VÄRMLANDS LÄN</t>
        </is>
      </c>
      <c r="E2208" t="inlineStr">
        <is>
          <t>HAGFORS</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7141-2020</t>
        </is>
      </c>
      <c r="B2209" s="1" t="n">
        <v>43869</v>
      </c>
      <c r="C2209" s="1" t="n">
        <v>45810</v>
      </c>
      <c r="D2209" t="inlineStr">
        <is>
          <t>VÄRMLANDS LÄN</t>
        </is>
      </c>
      <c r="E2209" t="inlineStr">
        <is>
          <t>HAGFORS</t>
        </is>
      </c>
      <c r="G2209" t="n">
        <v>4.4</v>
      </c>
      <c r="H2209" t="n">
        <v>0</v>
      </c>
      <c r="I2209" t="n">
        <v>0</v>
      </c>
      <c r="J2209" t="n">
        <v>0</v>
      </c>
      <c r="K2209" t="n">
        <v>0</v>
      </c>
      <c r="L2209" t="n">
        <v>0</v>
      </c>
      <c r="M2209" t="n">
        <v>0</v>
      </c>
      <c r="N2209" t="n">
        <v>0</v>
      </c>
      <c r="O2209" t="n">
        <v>0</v>
      </c>
      <c r="P2209" t="n">
        <v>0</v>
      </c>
      <c r="Q2209" t="n">
        <v>0</v>
      </c>
      <c r="R2209" s="2" t="inlineStr"/>
    </row>
    <row r="2210" ht="15" customHeight="1">
      <c r="A2210" t="inlineStr">
        <is>
          <t>A 7163-2020</t>
        </is>
      </c>
      <c r="B2210" s="1" t="n">
        <v>43870</v>
      </c>
      <c r="C2210" s="1" t="n">
        <v>45810</v>
      </c>
      <c r="D2210" t="inlineStr">
        <is>
          <t>VÄRMLANDS LÄN</t>
        </is>
      </c>
      <c r="E2210" t="inlineStr">
        <is>
          <t>SÄFFLE</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7153-2020</t>
        </is>
      </c>
      <c r="B2211" s="1" t="n">
        <v>43870</v>
      </c>
      <c r="C2211" s="1" t="n">
        <v>45810</v>
      </c>
      <c r="D2211" t="inlineStr">
        <is>
          <t>VÄRMLANDS LÄN</t>
        </is>
      </c>
      <c r="E2211" t="inlineStr">
        <is>
          <t>TORSBY</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7279-2020</t>
        </is>
      </c>
      <c r="B2212" s="1" t="n">
        <v>43871</v>
      </c>
      <c r="C2212" s="1" t="n">
        <v>45810</v>
      </c>
      <c r="D2212" t="inlineStr">
        <is>
          <t>VÄRMLANDS LÄN</t>
        </is>
      </c>
      <c r="E2212" t="inlineStr">
        <is>
          <t>TORSBY</t>
        </is>
      </c>
      <c r="G2212" t="n">
        <v>6.7</v>
      </c>
      <c r="H2212" t="n">
        <v>0</v>
      </c>
      <c r="I2212" t="n">
        <v>0</v>
      </c>
      <c r="J2212" t="n">
        <v>0</v>
      </c>
      <c r="K2212" t="n">
        <v>0</v>
      </c>
      <c r="L2212" t="n">
        <v>0</v>
      </c>
      <c r="M2212" t="n">
        <v>0</v>
      </c>
      <c r="N2212" t="n">
        <v>0</v>
      </c>
      <c r="O2212" t="n">
        <v>0</v>
      </c>
      <c r="P2212" t="n">
        <v>0</v>
      </c>
      <c r="Q2212" t="n">
        <v>0</v>
      </c>
      <c r="R2212" s="2" t="inlineStr"/>
    </row>
    <row r="2213" ht="15" customHeight="1">
      <c r="A2213" t="inlineStr">
        <is>
          <t>A 7248-2020</t>
        </is>
      </c>
      <c r="B2213" s="1" t="n">
        <v>43871</v>
      </c>
      <c r="C2213" s="1" t="n">
        <v>45810</v>
      </c>
      <c r="D2213" t="inlineStr">
        <is>
          <t>VÄRMLANDS LÄN</t>
        </is>
      </c>
      <c r="E2213" t="inlineStr">
        <is>
          <t>SUNNE</t>
        </is>
      </c>
      <c r="G2213" t="n">
        <v>6.5</v>
      </c>
      <c r="H2213" t="n">
        <v>0</v>
      </c>
      <c r="I2213" t="n">
        <v>0</v>
      </c>
      <c r="J2213" t="n">
        <v>0</v>
      </c>
      <c r="K2213" t="n">
        <v>0</v>
      </c>
      <c r="L2213" t="n">
        <v>0</v>
      </c>
      <c r="M2213" t="n">
        <v>0</v>
      </c>
      <c r="N2213" t="n">
        <v>0</v>
      </c>
      <c r="O2213" t="n">
        <v>0</v>
      </c>
      <c r="P2213" t="n">
        <v>0</v>
      </c>
      <c r="Q2213" t="n">
        <v>0</v>
      </c>
      <c r="R2213" s="2" t="inlineStr"/>
    </row>
    <row r="2214" ht="15" customHeight="1">
      <c r="A2214" t="inlineStr">
        <is>
          <t>A 7217-2020</t>
        </is>
      </c>
      <c r="B2214" s="1" t="n">
        <v>43871</v>
      </c>
      <c r="C2214" s="1" t="n">
        <v>45810</v>
      </c>
      <c r="D2214" t="inlineStr">
        <is>
          <t>VÄRMLANDS LÄN</t>
        </is>
      </c>
      <c r="E2214" t="inlineStr">
        <is>
          <t>EDA</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7359-2020</t>
        </is>
      </c>
      <c r="B2215" s="1" t="n">
        <v>43871</v>
      </c>
      <c r="C2215" s="1" t="n">
        <v>45810</v>
      </c>
      <c r="D2215" t="inlineStr">
        <is>
          <t>VÄRMLANDS LÄN</t>
        </is>
      </c>
      <c r="E2215" t="inlineStr">
        <is>
          <t>HAGFORS</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7377-2020</t>
        </is>
      </c>
      <c r="B2216" s="1" t="n">
        <v>43871</v>
      </c>
      <c r="C2216" s="1" t="n">
        <v>45810</v>
      </c>
      <c r="D2216" t="inlineStr">
        <is>
          <t>VÄRMLANDS LÄN</t>
        </is>
      </c>
      <c r="E2216" t="inlineStr">
        <is>
          <t>SUNNE</t>
        </is>
      </c>
      <c r="G2216" t="n">
        <v>4.1</v>
      </c>
      <c r="H2216" t="n">
        <v>0</v>
      </c>
      <c r="I2216" t="n">
        <v>0</v>
      </c>
      <c r="J2216" t="n">
        <v>0</v>
      </c>
      <c r="K2216" t="n">
        <v>0</v>
      </c>
      <c r="L2216" t="n">
        <v>0</v>
      </c>
      <c r="M2216" t="n">
        <v>0</v>
      </c>
      <c r="N2216" t="n">
        <v>0</v>
      </c>
      <c r="O2216" t="n">
        <v>0</v>
      </c>
      <c r="P2216" t="n">
        <v>0</v>
      </c>
      <c r="Q2216" t="n">
        <v>0</v>
      </c>
      <c r="R2216" s="2" t="inlineStr"/>
    </row>
    <row r="2217" ht="15" customHeight="1">
      <c r="A2217" t="inlineStr">
        <is>
          <t>A 7526-2020</t>
        </is>
      </c>
      <c r="B2217" s="1" t="n">
        <v>43871</v>
      </c>
      <c r="C2217" s="1" t="n">
        <v>45810</v>
      </c>
      <c r="D2217" t="inlineStr">
        <is>
          <t>VÄRMLANDS LÄN</t>
        </is>
      </c>
      <c r="E2217" t="inlineStr">
        <is>
          <t>TORSBY</t>
        </is>
      </c>
      <c r="G2217" t="n">
        <v>11.8</v>
      </c>
      <c r="H2217" t="n">
        <v>0</v>
      </c>
      <c r="I2217" t="n">
        <v>0</v>
      </c>
      <c r="J2217" t="n">
        <v>0</v>
      </c>
      <c r="K2217" t="n">
        <v>0</v>
      </c>
      <c r="L2217" t="n">
        <v>0</v>
      </c>
      <c r="M2217" t="n">
        <v>0</v>
      </c>
      <c r="N2217" t="n">
        <v>0</v>
      </c>
      <c r="O2217" t="n">
        <v>0</v>
      </c>
      <c r="P2217" t="n">
        <v>0</v>
      </c>
      <c r="Q2217" t="n">
        <v>0</v>
      </c>
      <c r="R2217" s="2" t="inlineStr"/>
    </row>
    <row r="2218" ht="15" customHeight="1">
      <c r="A2218" t="inlineStr">
        <is>
          <t>A 7582-2020</t>
        </is>
      </c>
      <c r="B2218" s="1" t="n">
        <v>43871</v>
      </c>
      <c r="C2218" s="1" t="n">
        <v>45810</v>
      </c>
      <c r="D2218" t="inlineStr">
        <is>
          <t>VÄRMLANDS LÄN</t>
        </is>
      </c>
      <c r="E2218" t="inlineStr">
        <is>
          <t>TORSBY</t>
        </is>
      </c>
      <c r="G2218" t="n">
        <v>7.4</v>
      </c>
      <c r="H2218" t="n">
        <v>0</v>
      </c>
      <c r="I2218" t="n">
        <v>0</v>
      </c>
      <c r="J2218" t="n">
        <v>0</v>
      </c>
      <c r="K2218" t="n">
        <v>0</v>
      </c>
      <c r="L2218" t="n">
        <v>0</v>
      </c>
      <c r="M2218" t="n">
        <v>0</v>
      </c>
      <c r="N2218" t="n">
        <v>0</v>
      </c>
      <c r="O2218" t="n">
        <v>0</v>
      </c>
      <c r="P2218" t="n">
        <v>0</v>
      </c>
      <c r="Q2218" t="n">
        <v>0</v>
      </c>
      <c r="R2218" s="2" t="inlineStr"/>
    </row>
    <row r="2219" ht="15" customHeight="1">
      <c r="A2219" t="inlineStr">
        <is>
          <t>A 7677-2020</t>
        </is>
      </c>
      <c r="B2219" s="1" t="n">
        <v>43872</v>
      </c>
      <c r="C2219" s="1" t="n">
        <v>45810</v>
      </c>
      <c r="D2219" t="inlineStr">
        <is>
          <t>VÄRMLANDS LÄN</t>
        </is>
      </c>
      <c r="E2219" t="inlineStr">
        <is>
          <t>EDA</t>
        </is>
      </c>
      <c r="G2219" t="n">
        <v>4.2</v>
      </c>
      <c r="H2219" t="n">
        <v>0</v>
      </c>
      <c r="I2219" t="n">
        <v>0</v>
      </c>
      <c r="J2219" t="n">
        <v>0</v>
      </c>
      <c r="K2219" t="n">
        <v>0</v>
      </c>
      <c r="L2219" t="n">
        <v>0</v>
      </c>
      <c r="M2219" t="n">
        <v>0</v>
      </c>
      <c r="N2219" t="n">
        <v>0</v>
      </c>
      <c r="O2219" t="n">
        <v>0</v>
      </c>
      <c r="P2219" t="n">
        <v>0</v>
      </c>
      <c r="Q2219" t="n">
        <v>0</v>
      </c>
      <c r="R2219" s="2" t="inlineStr"/>
    </row>
    <row r="2220" ht="15" customHeight="1">
      <c r="A2220" t="inlineStr">
        <is>
          <t>A 7641-2020</t>
        </is>
      </c>
      <c r="B2220" s="1" t="n">
        <v>43872</v>
      </c>
      <c r="C2220" s="1" t="n">
        <v>45810</v>
      </c>
      <c r="D2220" t="inlineStr">
        <is>
          <t>VÄRMLANDS LÄN</t>
        </is>
      </c>
      <c r="E2220" t="inlineStr">
        <is>
          <t>KRISTINEHAMN</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7656-2020</t>
        </is>
      </c>
      <c r="B2221" s="1" t="n">
        <v>43872</v>
      </c>
      <c r="C2221" s="1" t="n">
        <v>45810</v>
      </c>
      <c r="D2221" t="inlineStr">
        <is>
          <t>VÄRMLANDS LÄN</t>
        </is>
      </c>
      <c r="E2221" t="inlineStr">
        <is>
          <t>FILIPSTAD</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7524-2020</t>
        </is>
      </c>
      <c r="B2222" s="1" t="n">
        <v>43872</v>
      </c>
      <c r="C2222" s="1" t="n">
        <v>45810</v>
      </c>
      <c r="D2222" t="inlineStr">
        <is>
          <t>VÄRMLANDS LÄN</t>
        </is>
      </c>
      <c r="E2222" t="inlineStr">
        <is>
          <t>ÅRJÄNG</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7546-2020</t>
        </is>
      </c>
      <c r="B2223" s="1" t="n">
        <v>43872</v>
      </c>
      <c r="C2223" s="1" t="n">
        <v>45810</v>
      </c>
      <c r="D2223" t="inlineStr">
        <is>
          <t>VÄRMLANDS LÄN</t>
        </is>
      </c>
      <c r="E2223" t="inlineStr">
        <is>
          <t>EDA</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7749-2020</t>
        </is>
      </c>
      <c r="B2224" s="1" t="n">
        <v>43872</v>
      </c>
      <c r="C2224" s="1" t="n">
        <v>45810</v>
      </c>
      <c r="D2224" t="inlineStr">
        <is>
          <t>VÄRMLANDS LÄN</t>
        </is>
      </c>
      <c r="E2224" t="inlineStr">
        <is>
          <t>TORSBY</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7831-2020</t>
        </is>
      </c>
      <c r="B2225" s="1" t="n">
        <v>43872</v>
      </c>
      <c r="C2225" s="1" t="n">
        <v>45810</v>
      </c>
      <c r="D2225" t="inlineStr">
        <is>
          <t>VÄRMLANDS LÄN</t>
        </is>
      </c>
      <c r="E2225" t="inlineStr">
        <is>
          <t>FILIPSTAD</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7859-2020</t>
        </is>
      </c>
      <c r="B2226" s="1" t="n">
        <v>43872</v>
      </c>
      <c r="C2226" s="1" t="n">
        <v>45810</v>
      </c>
      <c r="D2226" t="inlineStr">
        <is>
          <t>VÄRMLANDS LÄN</t>
        </is>
      </c>
      <c r="E2226" t="inlineStr">
        <is>
          <t>FILIPSTAD</t>
        </is>
      </c>
      <c r="F2226" t="inlineStr">
        <is>
          <t>Kommuner</t>
        </is>
      </c>
      <c r="G2226" t="n">
        <v>5.1</v>
      </c>
      <c r="H2226" t="n">
        <v>0</v>
      </c>
      <c r="I2226" t="n">
        <v>0</v>
      </c>
      <c r="J2226" t="n">
        <v>0</v>
      </c>
      <c r="K2226" t="n">
        <v>0</v>
      </c>
      <c r="L2226" t="n">
        <v>0</v>
      </c>
      <c r="M2226" t="n">
        <v>0</v>
      </c>
      <c r="N2226" t="n">
        <v>0</v>
      </c>
      <c r="O2226" t="n">
        <v>0</v>
      </c>
      <c r="P2226" t="n">
        <v>0</v>
      </c>
      <c r="Q2226" t="n">
        <v>0</v>
      </c>
      <c r="R2226" s="2" t="inlineStr"/>
    </row>
    <row r="2227" ht="15" customHeight="1">
      <c r="A2227" t="inlineStr">
        <is>
          <t>A 7667-2020</t>
        </is>
      </c>
      <c r="B2227" s="1" t="n">
        <v>43872</v>
      </c>
      <c r="C2227" s="1" t="n">
        <v>45810</v>
      </c>
      <c r="D2227" t="inlineStr">
        <is>
          <t>VÄRMLANDS LÄN</t>
        </is>
      </c>
      <c r="E2227" t="inlineStr">
        <is>
          <t>EDA</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7828-2020</t>
        </is>
      </c>
      <c r="B2228" s="1" t="n">
        <v>43872</v>
      </c>
      <c r="C2228" s="1" t="n">
        <v>45810</v>
      </c>
      <c r="D2228" t="inlineStr">
        <is>
          <t>VÄRMLANDS LÄN</t>
        </is>
      </c>
      <c r="E2228" t="inlineStr">
        <is>
          <t>FILIPSTAD</t>
        </is>
      </c>
      <c r="F2228" t="inlineStr">
        <is>
          <t>Kommuner</t>
        </is>
      </c>
      <c r="G2228" t="n">
        <v>3.3</v>
      </c>
      <c r="H2228" t="n">
        <v>0</v>
      </c>
      <c r="I2228" t="n">
        <v>0</v>
      </c>
      <c r="J2228" t="n">
        <v>0</v>
      </c>
      <c r="K2228" t="n">
        <v>0</v>
      </c>
      <c r="L2228" t="n">
        <v>0</v>
      </c>
      <c r="M2228" t="n">
        <v>0</v>
      </c>
      <c r="N2228" t="n">
        <v>0</v>
      </c>
      <c r="O2228" t="n">
        <v>0</v>
      </c>
      <c r="P2228" t="n">
        <v>0</v>
      </c>
      <c r="Q2228" t="n">
        <v>0</v>
      </c>
      <c r="R2228" s="2" t="inlineStr"/>
    </row>
    <row r="2229" ht="15" customHeight="1">
      <c r="A2229" t="inlineStr">
        <is>
          <t>A 7936-2020</t>
        </is>
      </c>
      <c r="B2229" s="1" t="n">
        <v>43873</v>
      </c>
      <c r="C2229" s="1" t="n">
        <v>45810</v>
      </c>
      <c r="D2229" t="inlineStr">
        <is>
          <t>VÄRMLANDS LÄN</t>
        </is>
      </c>
      <c r="E2229" t="inlineStr">
        <is>
          <t>ARVIKA</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7816-2020</t>
        </is>
      </c>
      <c r="B2230" s="1" t="n">
        <v>43873</v>
      </c>
      <c r="C2230" s="1" t="n">
        <v>45810</v>
      </c>
      <c r="D2230" t="inlineStr">
        <is>
          <t>VÄRMLANDS LÄN</t>
        </is>
      </c>
      <c r="E2230" t="inlineStr">
        <is>
          <t>KRISTINEHAMN</t>
        </is>
      </c>
      <c r="F2230" t="inlineStr">
        <is>
          <t>Sveaskog</t>
        </is>
      </c>
      <c r="G2230" t="n">
        <v>2.9</v>
      </c>
      <c r="H2230" t="n">
        <v>0</v>
      </c>
      <c r="I2230" t="n">
        <v>0</v>
      </c>
      <c r="J2230" t="n">
        <v>0</v>
      </c>
      <c r="K2230" t="n">
        <v>0</v>
      </c>
      <c r="L2230" t="n">
        <v>0</v>
      </c>
      <c r="M2230" t="n">
        <v>0</v>
      </c>
      <c r="N2230" t="n">
        <v>0</v>
      </c>
      <c r="O2230" t="n">
        <v>0</v>
      </c>
      <c r="P2230" t="n">
        <v>0</v>
      </c>
      <c r="Q2230" t="n">
        <v>0</v>
      </c>
      <c r="R2230" s="2" t="inlineStr"/>
    </row>
    <row r="2231" ht="15" customHeight="1">
      <c r="A2231" t="inlineStr">
        <is>
          <t>A 7897-2020</t>
        </is>
      </c>
      <c r="B2231" s="1" t="n">
        <v>43873</v>
      </c>
      <c r="C2231" s="1" t="n">
        <v>45810</v>
      </c>
      <c r="D2231" t="inlineStr">
        <is>
          <t>VÄRMLANDS LÄN</t>
        </is>
      </c>
      <c r="E2231" t="inlineStr">
        <is>
          <t>KARLSTAD</t>
        </is>
      </c>
      <c r="G2231" t="n">
        <v>7</v>
      </c>
      <c r="H2231" t="n">
        <v>0</v>
      </c>
      <c r="I2231" t="n">
        <v>0</v>
      </c>
      <c r="J2231" t="n">
        <v>0</v>
      </c>
      <c r="K2231" t="n">
        <v>0</v>
      </c>
      <c r="L2231" t="n">
        <v>0</v>
      </c>
      <c r="M2231" t="n">
        <v>0</v>
      </c>
      <c r="N2231" t="n">
        <v>0</v>
      </c>
      <c r="O2231" t="n">
        <v>0</v>
      </c>
      <c r="P2231" t="n">
        <v>0</v>
      </c>
      <c r="Q2231" t="n">
        <v>0</v>
      </c>
      <c r="R2231" s="2" t="inlineStr"/>
    </row>
    <row r="2232" ht="15" customHeight="1">
      <c r="A2232" t="inlineStr">
        <is>
          <t>A 7954-2020</t>
        </is>
      </c>
      <c r="B2232" s="1" t="n">
        <v>43873</v>
      </c>
      <c r="C2232" s="1" t="n">
        <v>45810</v>
      </c>
      <c r="D2232" t="inlineStr">
        <is>
          <t>VÄRMLANDS LÄN</t>
        </is>
      </c>
      <c r="E2232" t="inlineStr">
        <is>
          <t>KARLSTAD</t>
        </is>
      </c>
      <c r="G2232" t="n">
        <v>5.2</v>
      </c>
      <c r="H2232" t="n">
        <v>0</v>
      </c>
      <c r="I2232" t="n">
        <v>0</v>
      </c>
      <c r="J2232" t="n">
        <v>0</v>
      </c>
      <c r="K2232" t="n">
        <v>0</v>
      </c>
      <c r="L2232" t="n">
        <v>0</v>
      </c>
      <c r="M2232" t="n">
        <v>0</v>
      </c>
      <c r="N2232" t="n">
        <v>0</v>
      </c>
      <c r="O2232" t="n">
        <v>0</v>
      </c>
      <c r="P2232" t="n">
        <v>0</v>
      </c>
      <c r="Q2232" t="n">
        <v>0</v>
      </c>
      <c r="R2232" s="2" t="inlineStr"/>
    </row>
    <row r="2233" ht="15" customHeight="1">
      <c r="A2233" t="inlineStr">
        <is>
          <t>A 7980-2020</t>
        </is>
      </c>
      <c r="B2233" s="1" t="n">
        <v>43873</v>
      </c>
      <c r="C2233" s="1" t="n">
        <v>45810</v>
      </c>
      <c r="D2233" t="inlineStr">
        <is>
          <t>VÄRMLANDS LÄN</t>
        </is>
      </c>
      <c r="E2233" t="inlineStr">
        <is>
          <t>KRISTINEHAMN</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7986-2020</t>
        </is>
      </c>
      <c r="B2234" s="1" t="n">
        <v>43873</v>
      </c>
      <c r="C2234" s="1" t="n">
        <v>45810</v>
      </c>
      <c r="D2234" t="inlineStr">
        <is>
          <t>VÄRMLANDS LÄN</t>
        </is>
      </c>
      <c r="E2234" t="inlineStr">
        <is>
          <t>SUNNE</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7975-2020</t>
        </is>
      </c>
      <c r="B2235" s="1" t="n">
        <v>43873</v>
      </c>
      <c r="C2235" s="1" t="n">
        <v>45810</v>
      </c>
      <c r="D2235" t="inlineStr">
        <is>
          <t>VÄRMLANDS LÄN</t>
        </is>
      </c>
      <c r="E2235" t="inlineStr">
        <is>
          <t>HAGFORS</t>
        </is>
      </c>
      <c r="G2235" t="n">
        <v>6.8</v>
      </c>
      <c r="H2235" t="n">
        <v>0</v>
      </c>
      <c r="I2235" t="n">
        <v>0</v>
      </c>
      <c r="J2235" t="n">
        <v>0</v>
      </c>
      <c r="K2235" t="n">
        <v>0</v>
      </c>
      <c r="L2235" t="n">
        <v>0</v>
      </c>
      <c r="M2235" t="n">
        <v>0</v>
      </c>
      <c r="N2235" t="n">
        <v>0</v>
      </c>
      <c r="O2235" t="n">
        <v>0</v>
      </c>
      <c r="P2235" t="n">
        <v>0</v>
      </c>
      <c r="Q2235" t="n">
        <v>0</v>
      </c>
      <c r="R2235" s="2" t="inlineStr"/>
    </row>
    <row r="2236" ht="15" customHeight="1">
      <c r="A2236" t="inlineStr">
        <is>
          <t>A 7981-2020</t>
        </is>
      </c>
      <c r="B2236" s="1" t="n">
        <v>43873</v>
      </c>
      <c r="C2236" s="1" t="n">
        <v>45810</v>
      </c>
      <c r="D2236" t="inlineStr">
        <is>
          <t>VÄRMLANDS LÄN</t>
        </is>
      </c>
      <c r="E2236" t="inlineStr">
        <is>
          <t>KARLSTAD</t>
        </is>
      </c>
      <c r="G2236" t="n">
        <v>12.3</v>
      </c>
      <c r="H2236" t="n">
        <v>0</v>
      </c>
      <c r="I2236" t="n">
        <v>0</v>
      </c>
      <c r="J2236" t="n">
        <v>0</v>
      </c>
      <c r="K2236" t="n">
        <v>0</v>
      </c>
      <c r="L2236" t="n">
        <v>0</v>
      </c>
      <c r="M2236" t="n">
        <v>0</v>
      </c>
      <c r="N2236" t="n">
        <v>0</v>
      </c>
      <c r="O2236" t="n">
        <v>0</v>
      </c>
      <c r="P2236" t="n">
        <v>0</v>
      </c>
      <c r="Q2236" t="n">
        <v>0</v>
      </c>
      <c r="R2236" s="2" t="inlineStr"/>
    </row>
    <row r="2237" ht="15" customHeight="1">
      <c r="A2237" t="inlineStr">
        <is>
          <t>A 7988-2020</t>
        </is>
      </c>
      <c r="B2237" s="1" t="n">
        <v>43873</v>
      </c>
      <c r="C2237" s="1" t="n">
        <v>45810</v>
      </c>
      <c r="D2237" t="inlineStr">
        <is>
          <t>VÄRMLANDS LÄN</t>
        </is>
      </c>
      <c r="E2237" t="inlineStr">
        <is>
          <t>KARLSTAD</t>
        </is>
      </c>
      <c r="G2237" t="n">
        <v>5.4</v>
      </c>
      <c r="H2237" t="n">
        <v>0</v>
      </c>
      <c r="I2237" t="n">
        <v>0</v>
      </c>
      <c r="J2237" t="n">
        <v>0</v>
      </c>
      <c r="K2237" t="n">
        <v>0</v>
      </c>
      <c r="L2237" t="n">
        <v>0</v>
      </c>
      <c r="M2237" t="n">
        <v>0</v>
      </c>
      <c r="N2237" t="n">
        <v>0</v>
      </c>
      <c r="O2237" t="n">
        <v>0</v>
      </c>
      <c r="P2237" t="n">
        <v>0</v>
      </c>
      <c r="Q2237" t="n">
        <v>0</v>
      </c>
      <c r="R2237" s="2" t="inlineStr"/>
    </row>
    <row r="2238" ht="15" customHeight="1">
      <c r="A2238" t="inlineStr">
        <is>
          <t>A 7977-2020</t>
        </is>
      </c>
      <c r="B2238" s="1" t="n">
        <v>43873</v>
      </c>
      <c r="C2238" s="1" t="n">
        <v>45810</v>
      </c>
      <c r="D2238" t="inlineStr">
        <is>
          <t>VÄRMLANDS LÄN</t>
        </is>
      </c>
      <c r="E2238" t="inlineStr">
        <is>
          <t>KRISTINEHAMN</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7856-2020</t>
        </is>
      </c>
      <c r="B2239" s="1" t="n">
        <v>43873</v>
      </c>
      <c r="C2239" s="1" t="n">
        <v>45810</v>
      </c>
      <c r="D2239" t="inlineStr">
        <is>
          <t>VÄRMLANDS LÄN</t>
        </is>
      </c>
      <c r="E2239" t="inlineStr">
        <is>
          <t>TORSBY</t>
        </is>
      </c>
      <c r="G2239" t="n">
        <v>4.5</v>
      </c>
      <c r="H2239" t="n">
        <v>0</v>
      </c>
      <c r="I2239" t="n">
        <v>0</v>
      </c>
      <c r="J2239" t="n">
        <v>0</v>
      </c>
      <c r="K2239" t="n">
        <v>0</v>
      </c>
      <c r="L2239" t="n">
        <v>0</v>
      </c>
      <c r="M2239" t="n">
        <v>0</v>
      </c>
      <c r="N2239" t="n">
        <v>0</v>
      </c>
      <c r="O2239" t="n">
        <v>0</v>
      </c>
      <c r="P2239" t="n">
        <v>0</v>
      </c>
      <c r="Q2239" t="n">
        <v>0</v>
      </c>
      <c r="R2239" s="2" t="inlineStr"/>
    </row>
    <row r="2240" ht="15" customHeight="1">
      <c r="A2240" t="inlineStr">
        <is>
          <t>A 7991-2020</t>
        </is>
      </c>
      <c r="B2240" s="1" t="n">
        <v>43873</v>
      </c>
      <c r="C2240" s="1" t="n">
        <v>45810</v>
      </c>
      <c r="D2240" t="inlineStr">
        <is>
          <t>VÄRMLANDS LÄN</t>
        </is>
      </c>
      <c r="E2240" t="inlineStr">
        <is>
          <t>KARLSTAD</t>
        </is>
      </c>
      <c r="G2240" t="n">
        <v>3</v>
      </c>
      <c r="H2240" t="n">
        <v>0</v>
      </c>
      <c r="I2240" t="n">
        <v>0</v>
      </c>
      <c r="J2240" t="n">
        <v>0</v>
      </c>
      <c r="K2240" t="n">
        <v>0</v>
      </c>
      <c r="L2240" t="n">
        <v>0</v>
      </c>
      <c r="M2240" t="n">
        <v>0</v>
      </c>
      <c r="N2240" t="n">
        <v>0</v>
      </c>
      <c r="O2240" t="n">
        <v>0</v>
      </c>
      <c r="P2240" t="n">
        <v>0</v>
      </c>
      <c r="Q2240" t="n">
        <v>0</v>
      </c>
      <c r="R2240" s="2" t="inlineStr"/>
    </row>
    <row r="2241" ht="15" customHeight="1">
      <c r="A2241" t="inlineStr">
        <is>
          <t>A 7985-2020</t>
        </is>
      </c>
      <c r="B2241" s="1" t="n">
        <v>43873</v>
      </c>
      <c r="C2241" s="1" t="n">
        <v>45810</v>
      </c>
      <c r="D2241" t="inlineStr">
        <is>
          <t>VÄRMLANDS LÄN</t>
        </is>
      </c>
      <c r="E2241" t="inlineStr">
        <is>
          <t>KARLSTAD</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7960-2020</t>
        </is>
      </c>
      <c r="B2242" s="1" t="n">
        <v>43873</v>
      </c>
      <c r="C2242" s="1" t="n">
        <v>45810</v>
      </c>
      <c r="D2242" t="inlineStr">
        <is>
          <t>VÄRMLANDS LÄN</t>
        </is>
      </c>
      <c r="E2242" t="inlineStr">
        <is>
          <t>ÅRJÄNG</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7904-2020</t>
        </is>
      </c>
      <c r="B2243" s="1" t="n">
        <v>43873</v>
      </c>
      <c r="C2243" s="1" t="n">
        <v>45810</v>
      </c>
      <c r="D2243" t="inlineStr">
        <is>
          <t>VÄRMLANDS LÄN</t>
        </is>
      </c>
      <c r="E2243" t="inlineStr">
        <is>
          <t>GRUMS</t>
        </is>
      </c>
      <c r="G2243" t="n">
        <v>2.4</v>
      </c>
      <c r="H2243" t="n">
        <v>0</v>
      </c>
      <c r="I2243" t="n">
        <v>0</v>
      </c>
      <c r="J2243" t="n">
        <v>0</v>
      </c>
      <c r="K2243" t="n">
        <v>0</v>
      </c>
      <c r="L2243" t="n">
        <v>0</v>
      </c>
      <c r="M2243" t="n">
        <v>0</v>
      </c>
      <c r="N2243" t="n">
        <v>0</v>
      </c>
      <c r="O2243" t="n">
        <v>0</v>
      </c>
      <c r="P2243" t="n">
        <v>0</v>
      </c>
      <c r="Q2243" t="n">
        <v>0</v>
      </c>
      <c r="R2243" s="2" t="inlineStr"/>
    </row>
    <row r="2244" ht="15" customHeight="1">
      <c r="A2244" t="inlineStr">
        <is>
          <t>A 8134-2020</t>
        </is>
      </c>
      <c r="B2244" s="1" t="n">
        <v>43874</v>
      </c>
      <c r="C2244" s="1" t="n">
        <v>45810</v>
      </c>
      <c r="D2244" t="inlineStr">
        <is>
          <t>VÄRMLANDS LÄN</t>
        </is>
      </c>
      <c r="E2244" t="inlineStr">
        <is>
          <t>SUNNE</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8097-2020</t>
        </is>
      </c>
      <c r="B2245" s="1" t="n">
        <v>43874</v>
      </c>
      <c r="C2245" s="1" t="n">
        <v>45810</v>
      </c>
      <c r="D2245" t="inlineStr">
        <is>
          <t>VÄRMLANDS LÄN</t>
        </is>
      </c>
      <c r="E2245" t="inlineStr">
        <is>
          <t>KARLSTAD</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8342-2020</t>
        </is>
      </c>
      <c r="B2246" s="1" t="n">
        <v>43874</v>
      </c>
      <c r="C2246" s="1" t="n">
        <v>45810</v>
      </c>
      <c r="D2246" t="inlineStr">
        <is>
          <t>VÄRMLANDS LÄN</t>
        </is>
      </c>
      <c r="E2246" t="inlineStr">
        <is>
          <t>ARVIKA</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8631-2020</t>
        </is>
      </c>
      <c r="B2247" s="1" t="n">
        <v>43874</v>
      </c>
      <c r="C2247" s="1" t="n">
        <v>45810</v>
      </c>
      <c r="D2247" t="inlineStr">
        <is>
          <t>VÄRMLANDS LÄN</t>
        </is>
      </c>
      <c r="E2247" t="inlineStr">
        <is>
          <t>TORSBY</t>
        </is>
      </c>
      <c r="G2247" t="n">
        <v>3.3</v>
      </c>
      <c r="H2247" t="n">
        <v>0</v>
      </c>
      <c r="I2247" t="n">
        <v>0</v>
      </c>
      <c r="J2247" t="n">
        <v>0</v>
      </c>
      <c r="K2247" t="n">
        <v>0</v>
      </c>
      <c r="L2247" t="n">
        <v>0</v>
      </c>
      <c r="M2247" t="n">
        <v>0</v>
      </c>
      <c r="N2247" t="n">
        <v>0</v>
      </c>
      <c r="O2247" t="n">
        <v>0</v>
      </c>
      <c r="P2247" t="n">
        <v>0</v>
      </c>
      <c r="Q2247" t="n">
        <v>0</v>
      </c>
      <c r="R2247" s="2" t="inlineStr"/>
    </row>
    <row r="2248" ht="15" customHeight="1">
      <c r="A2248" t="inlineStr">
        <is>
          <t>A 8208-2020</t>
        </is>
      </c>
      <c r="B2248" s="1" t="n">
        <v>43874</v>
      </c>
      <c r="C2248" s="1" t="n">
        <v>45810</v>
      </c>
      <c r="D2248" t="inlineStr">
        <is>
          <t>VÄRMLANDS LÄN</t>
        </is>
      </c>
      <c r="E2248" t="inlineStr">
        <is>
          <t>KRISTINEHAMN</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8288-2020</t>
        </is>
      </c>
      <c r="B2249" s="1" t="n">
        <v>43874</v>
      </c>
      <c r="C2249" s="1" t="n">
        <v>45810</v>
      </c>
      <c r="D2249" t="inlineStr">
        <is>
          <t>VÄRMLANDS LÄN</t>
        </is>
      </c>
      <c r="E2249" t="inlineStr">
        <is>
          <t>ÅRJÄNG</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8211-2020</t>
        </is>
      </c>
      <c r="B2250" s="1" t="n">
        <v>43874</v>
      </c>
      <c r="C2250" s="1" t="n">
        <v>45810</v>
      </c>
      <c r="D2250" t="inlineStr">
        <is>
          <t>VÄRMLANDS LÄN</t>
        </is>
      </c>
      <c r="E2250" t="inlineStr">
        <is>
          <t>KRISTINEHAMN</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8452-2020</t>
        </is>
      </c>
      <c r="B2251" s="1" t="n">
        <v>43875</v>
      </c>
      <c r="C2251" s="1" t="n">
        <v>45810</v>
      </c>
      <c r="D2251" t="inlineStr">
        <is>
          <t>VÄRMLANDS LÄN</t>
        </is>
      </c>
      <c r="E2251" t="inlineStr">
        <is>
          <t>HAGFORS</t>
        </is>
      </c>
      <c r="F2251" t="inlineStr">
        <is>
          <t>Bergvik skog väst AB</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8434-2020</t>
        </is>
      </c>
      <c r="B2252" s="1" t="n">
        <v>43875</v>
      </c>
      <c r="C2252" s="1" t="n">
        <v>45810</v>
      </c>
      <c r="D2252" t="inlineStr">
        <is>
          <t>VÄRMLANDS LÄN</t>
        </is>
      </c>
      <c r="E2252" t="inlineStr">
        <is>
          <t>SÄFFLE</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8474-2020</t>
        </is>
      </c>
      <c r="B2253" s="1" t="n">
        <v>43875</v>
      </c>
      <c r="C2253" s="1" t="n">
        <v>45810</v>
      </c>
      <c r="D2253" t="inlineStr">
        <is>
          <t>VÄRMLANDS LÄN</t>
        </is>
      </c>
      <c r="E2253" t="inlineStr">
        <is>
          <t>SUNNE</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8473-2020</t>
        </is>
      </c>
      <c r="B2254" s="1" t="n">
        <v>43875</v>
      </c>
      <c r="C2254" s="1" t="n">
        <v>45810</v>
      </c>
      <c r="D2254" t="inlineStr">
        <is>
          <t>VÄRMLANDS LÄN</t>
        </is>
      </c>
      <c r="E2254" t="inlineStr">
        <is>
          <t>SUNNE</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8621-2020</t>
        </is>
      </c>
      <c r="B2255" s="1" t="n">
        <v>43875</v>
      </c>
      <c r="C2255" s="1" t="n">
        <v>45810</v>
      </c>
      <c r="D2255" t="inlineStr">
        <is>
          <t>VÄRMLANDS LÄN</t>
        </is>
      </c>
      <c r="E2255" t="inlineStr">
        <is>
          <t>SUNNE</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8469-2020</t>
        </is>
      </c>
      <c r="B2256" s="1" t="n">
        <v>43875</v>
      </c>
      <c r="C2256" s="1" t="n">
        <v>45810</v>
      </c>
      <c r="D2256" t="inlineStr">
        <is>
          <t>VÄRMLANDS LÄN</t>
        </is>
      </c>
      <c r="E2256" t="inlineStr">
        <is>
          <t>SUNNE</t>
        </is>
      </c>
      <c r="G2256" t="n">
        <v>4.2</v>
      </c>
      <c r="H2256" t="n">
        <v>0</v>
      </c>
      <c r="I2256" t="n">
        <v>0</v>
      </c>
      <c r="J2256" t="n">
        <v>0</v>
      </c>
      <c r="K2256" t="n">
        <v>0</v>
      </c>
      <c r="L2256" t="n">
        <v>0</v>
      </c>
      <c r="M2256" t="n">
        <v>0</v>
      </c>
      <c r="N2256" t="n">
        <v>0</v>
      </c>
      <c r="O2256" t="n">
        <v>0</v>
      </c>
      <c r="P2256" t="n">
        <v>0</v>
      </c>
      <c r="Q2256" t="n">
        <v>0</v>
      </c>
      <c r="R2256" s="2" t="inlineStr"/>
    </row>
    <row r="2257" ht="15" customHeight="1">
      <c r="A2257" t="inlineStr">
        <is>
          <t>A 8629-2020</t>
        </is>
      </c>
      <c r="B2257" s="1" t="n">
        <v>43875</v>
      </c>
      <c r="C2257" s="1" t="n">
        <v>45810</v>
      </c>
      <c r="D2257" t="inlineStr">
        <is>
          <t>VÄRMLANDS LÄN</t>
        </is>
      </c>
      <c r="E2257" t="inlineStr">
        <is>
          <t>SUNNE</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8551-2020</t>
        </is>
      </c>
      <c r="B2258" s="1" t="n">
        <v>43877</v>
      </c>
      <c r="C2258" s="1" t="n">
        <v>45810</v>
      </c>
      <c r="D2258" t="inlineStr">
        <is>
          <t>VÄRMLANDS LÄN</t>
        </is>
      </c>
      <c r="E2258" t="inlineStr">
        <is>
          <t>KARLSTAD</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8573-2020</t>
        </is>
      </c>
      <c r="B2259" s="1" t="n">
        <v>43878</v>
      </c>
      <c r="C2259" s="1" t="n">
        <v>45810</v>
      </c>
      <c r="D2259" t="inlineStr">
        <is>
          <t>VÄRMLANDS LÄN</t>
        </is>
      </c>
      <c r="E2259" t="inlineStr">
        <is>
          <t>KRISTINEHAMN</t>
        </is>
      </c>
      <c r="F2259" t="inlineStr">
        <is>
          <t>Naturvårdsverket</t>
        </is>
      </c>
      <c r="G2259" t="n">
        <v>5.4</v>
      </c>
      <c r="H2259" t="n">
        <v>0</v>
      </c>
      <c r="I2259" t="n">
        <v>0</v>
      </c>
      <c r="J2259" t="n">
        <v>0</v>
      </c>
      <c r="K2259" t="n">
        <v>0</v>
      </c>
      <c r="L2259" t="n">
        <v>0</v>
      </c>
      <c r="M2259" t="n">
        <v>0</v>
      </c>
      <c r="N2259" t="n">
        <v>0</v>
      </c>
      <c r="O2259" t="n">
        <v>0</v>
      </c>
      <c r="P2259" t="n">
        <v>0</v>
      </c>
      <c r="Q2259" t="n">
        <v>0</v>
      </c>
      <c r="R2259" s="2" t="inlineStr"/>
    </row>
    <row r="2260" ht="15" customHeight="1">
      <c r="A2260" t="inlineStr">
        <is>
          <t>A 8761-2020</t>
        </is>
      </c>
      <c r="B2260" s="1" t="n">
        <v>43878</v>
      </c>
      <c r="C2260" s="1" t="n">
        <v>45810</v>
      </c>
      <c r="D2260" t="inlineStr">
        <is>
          <t>VÄRMLANDS LÄN</t>
        </is>
      </c>
      <c r="E2260" t="inlineStr">
        <is>
          <t>STORFORS</t>
        </is>
      </c>
      <c r="G2260" t="n">
        <v>6.9</v>
      </c>
      <c r="H2260" t="n">
        <v>0</v>
      </c>
      <c r="I2260" t="n">
        <v>0</v>
      </c>
      <c r="J2260" t="n">
        <v>0</v>
      </c>
      <c r="K2260" t="n">
        <v>0</v>
      </c>
      <c r="L2260" t="n">
        <v>0</v>
      </c>
      <c r="M2260" t="n">
        <v>0</v>
      </c>
      <c r="N2260" t="n">
        <v>0</v>
      </c>
      <c r="O2260" t="n">
        <v>0</v>
      </c>
      <c r="P2260" t="n">
        <v>0</v>
      </c>
      <c r="Q2260" t="n">
        <v>0</v>
      </c>
      <c r="R2260" s="2" t="inlineStr"/>
    </row>
    <row r="2261" ht="15" customHeight="1">
      <c r="A2261" t="inlineStr">
        <is>
          <t>A 8845-2020</t>
        </is>
      </c>
      <c r="B2261" s="1" t="n">
        <v>43878</v>
      </c>
      <c r="C2261" s="1" t="n">
        <v>45810</v>
      </c>
      <c r="D2261" t="inlineStr">
        <is>
          <t>VÄRMLANDS LÄN</t>
        </is>
      </c>
      <c r="E2261" t="inlineStr">
        <is>
          <t>SÄFFLE</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8652-2020</t>
        </is>
      </c>
      <c r="B2262" s="1" t="n">
        <v>43878</v>
      </c>
      <c r="C2262" s="1" t="n">
        <v>45810</v>
      </c>
      <c r="D2262" t="inlineStr">
        <is>
          <t>VÄRMLANDS LÄN</t>
        </is>
      </c>
      <c r="E2262" t="inlineStr">
        <is>
          <t>ÅRJÄNG</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8657-2020</t>
        </is>
      </c>
      <c r="B2263" s="1" t="n">
        <v>43878</v>
      </c>
      <c r="C2263" s="1" t="n">
        <v>45810</v>
      </c>
      <c r="D2263" t="inlineStr">
        <is>
          <t>VÄRMLANDS LÄN</t>
        </is>
      </c>
      <c r="E2263" t="inlineStr">
        <is>
          <t>ÅRJÄNG</t>
        </is>
      </c>
      <c r="G2263" t="n">
        <v>3.3</v>
      </c>
      <c r="H2263" t="n">
        <v>0</v>
      </c>
      <c r="I2263" t="n">
        <v>0</v>
      </c>
      <c r="J2263" t="n">
        <v>0</v>
      </c>
      <c r="K2263" t="n">
        <v>0</v>
      </c>
      <c r="L2263" t="n">
        <v>0</v>
      </c>
      <c r="M2263" t="n">
        <v>0</v>
      </c>
      <c r="N2263" t="n">
        <v>0</v>
      </c>
      <c r="O2263" t="n">
        <v>0</v>
      </c>
      <c r="P2263" t="n">
        <v>0</v>
      </c>
      <c r="Q2263" t="n">
        <v>0</v>
      </c>
      <c r="R2263" s="2" t="inlineStr"/>
    </row>
    <row r="2264" ht="15" customHeight="1">
      <c r="A2264" t="inlineStr">
        <is>
          <t>A 8749-2020</t>
        </is>
      </c>
      <c r="B2264" s="1" t="n">
        <v>43878</v>
      </c>
      <c r="C2264" s="1" t="n">
        <v>45810</v>
      </c>
      <c r="D2264" t="inlineStr">
        <is>
          <t>VÄRMLANDS LÄN</t>
        </is>
      </c>
      <c r="E2264" t="inlineStr">
        <is>
          <t>ÅRJÄNG</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8899-2020</t>
        </is>
      </c>
      <c r="B2265" s="1" t="n">
        <v>43878</v>
      </c>
      <c r="C2265" s="1" t="n">
        <v>45810</v>
      </c>
      <c r="D2265" t="inlineStr">
        <is>
          <t>VÄRMLANDS LÄN</t>
        </is>
      </c>
      <c r="E2265" t="inlineStr">
        <is>
          <t>TORSBY</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8912-2020</t>
        </is>
      </c>
      <c r="B2266" s="1" t="n">
        <v>43878</v>
      </c>
      <c r="C2266" s="1" t="n">
        <v>45810</v>
      </c>
      <c r="D2266" t="inlineStr">
        <is>
          <t>VÄRMLANDS LÄN</t>
        </is>
      </c>
      <c r="E2266" t="inlineStr">
        <is>
          <t>HAGFORS</t>
        </is>
      </c>
      <c r="F2266" t="inlineStr">
        <is>
          <t>Bergvik skog väst AB</t>
        </is>
      </c>
      <c r="G2266" t="n">
        <v>4.3</v>
      </c>
      <c r="H2266" t="n">
        <v>0</v>
      </c>
      <c r="I2266" t="n">
        <v>0</v>
      </c>
      <c r="J2266" t="n">
        <v>0</v>
      </c>
      <c r="K2266" t="n">
        <v>0</v>
      </c>
      <c r="L2266" t="n">
        <v>0</v>
      </c>
      <c r="M2266" t="n">
        <v>0</v>
      </c>
      <c r="N2266" t="n">
        <v>0</v>
      </c>
      <c r="O2266" t="n">
        <v>0</v>
      </c>
      <c r="P2266" t="n">
        <v>0</v>
      </c>
      <c r="Q2266" t="n">
        <v>0</v>
      </c>
      <c r="R2266" s="2" t="inlineStr"/>
    </row>
    <row r="2267" ht="15" customHeight="1">
      <c r="A2267" t="inlineStr">
        <is>
          <t>A 8952-2020</t>
        </is>
      </c>
      <c r="B2267" s="1" t="n">
        <v>43879</v>
      </c>
      <c r="C2267" s="1" t="n">
        <v>45810</v>
      </c>
      <c r="D2267" t="inlineStr">
        <is>
          <t>VÄRMLANDS LÄN</t>
        </is>
      </c>
      <c r="E2267" t="inlineStr">
        <is>
          <t>SÄFFLE</t>
        </is>
      </c>
      <c r="F2267" t="inlineStr">
        <is>
          <t>Kyrkan</t>
        </is>
      </c>
      <c r="G2267" t="n">
        <v>2.4</v>
      </c>
      <c r="H2267" t="n">
        <v>0</v>
      </c>
      <c r="I2267" t="n">
        <v>0</v>
      </c>
      <c r="J2267" t="n">
        <v>0</v>
      </c>
      <c r="K2267" t="n">
        <v>0</v>
      </c>
      <c r="L2267" t="n">
        <v>0</v>
      </c>
      <c r="M2267" t="n">
        <v>0</v>
      </c>
      <c r="N2267" t="n">
        <v>0</v>
      </c>
      <c r="O2267" t="n">
        <v>0</v>
      </c>
      <c r="P2267" t="n">
        <v>0</v>
      </c>
      <c r="Q2267" t="n">
        <v>0</v>
      </c>
      <c r="R2267" s="2" t="inlineStr"/>
    </row>
    <row r="2268" ht="15" customHeight="1">
      <c r="A2268" t="inlineStr">
        <is>
          <t>A 8991-2020</t>
        </is>
      </c>
      <c r="B2268" s="1" t="n">
        <v>43879</v>
      </c>
      <c r="C2268" s="1" t="n">
        <v>45810</v>
      </c>
      <c r="D2268" t="inlineStr">
        <is>
          <t>VÄRMLANDS LÄN</t>
        </is>
      </c>
      <c r="E2268" t="inlineStr">
        <is>
          <t>SUNNE</t>
        </is>
      </c>
      <c r="F2268" t="inlineStr">
        <is>
          <t>Övriga Aktiebolag</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9136-2020</t>
        </is>
      </c>
      <c r="B2269" s="1" t="n">
        <v>43879</v>
      </c>
      <c r="C2269" s="1" t="n">
        <v>45810</v>
      </c>
      <c r="D2269" t="inlineStr">
        <is>
          <t>VÄRMLANDS LÄN</t>
        </is>
      </c>
      <c r="E2269" t="inlineStr">
        <is>
          <t>MUNKFORS</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9146-2020</t>
        </is>
      </c>
      <c r="B2270" s="1" t="n">
        <v>43879</v>
      </c>
      <c r="C2270" s="1" t="n">
        <v>45810</v>
      </c>
      <c r="D2270" t="inlineStr">
        <is>
          <t>VÄRMLANDS LÄN</t>
        </is>
      </c>
      <c r="E2270" t="inlineStr">
        <is>
          <t>KARLSTAD</t>
        </is>
      </c>
      <c r="G2270" t="n">
        <v>4.6</v>
      </c>
      <c r="H2270" t="n">
        <v>0</v>
      </c>
      <c r="I2270" t="n">
        <v>0</v>
      </c>
      <c r="J2270" t="n">
        <v>0</v>
      </c>
      <c r="K2270" t="n">
        <v>0</v>
      </c>
      <c r="L2270" t="n">
        <v>0</v>
      </c>
      <c r="M2270" t="n">
        <v>0</v>
      </c>
      <c r="N2270" t="n">
        <v>0</v>
      </c>
      <c r="O2270" t="n">
        <v>0</v>
      </c>
      <c r="P2270" t="n">
        <v>0</v>
      </c>
      <c r="Q2270" t="n">
        <v>0</v>
      </c>
      <c r="R2270" s="2" t="inlineStr"/>
    </row>
    <row r="2271" ht="15" customHeight="1">
      <c r="A2271" t="inlineStr">
        <is>
          <t>A 9117-2020</t>
        </is>
      </c>
      <c r="B2271" s="1" t="n">
        <v>43879</v>
      </c>
      <c r="C2271" s="1" t="n">
        <v>45810</v>
      </c>
      <c r="D2271" t="inlineStr">
        <is>
          <t>VÄRMLANDS LÄN</t>
        </is>
      </c>
      <c r="E2271" t="inlineStr">
        <is>
          <t>FILIPSTAD</t>
        </is>
      </c>
      <c r="G2271" t="n">
        <v>7.7</v>
      </c>
      <c r="H2271" t="n">
        <v>0</v>
      </c>
      <c r="I2271" t="n">
        <v>0</v>
      </c>
      <c r="J2271" t="n">
        <v>0</v>
      </c>
      <c r="K2271" t="n">
        <v>0</v>
      </c>
      <c r="L2271" t="n">
        <v>0</v>
      </c>
      <c r="M2271" t="n">
        <v>0</v>
      </c>
      <c r="N2271" t="n">
        <v>0</v>
      </c>
      <c r="O2271" t="n">
        <v>0</v>
      </c>
      <c r="P2271" t="n">
        <v>0</v>
      </c>
      <c r="Q2271" t="n">
        <v>0</v>
      </c>
      <c r="R2271" s="2" t="inlineStr"/>
    </row>
    <row r="2272" ht="15" customHeight="1">
      <c r="A2272" t="inlineStr">
        <is>
          <t>A 9203-2020</t>
        </is>
      </c>
      <c r="B2272" s="1" t="n">
        <v>43879</v>
      </c>
      <c r="C2272" s="1" t="n">
        <v>45810</v>
      </c>
      <c r="D2272" t="inlineStr">
        <is>
          <t>VÄRMLANDS LÄN</t>
        </is>
      </c>
      <c r="E2272" t="inlineStr">
        <is>
          <t>ÅRJÄNG</t>
        </is>
      </c>
      <c r="G2272" t="n">
        <v>3.6</v>
      </c>
      <c r="H2272" t="n">
        <v>0</v>
      </c>
      <c r="I2272" t="n">
        <v>0</v>
      </c>
      <c r="J2272" t="n">
        <v>0</v>
      </c>
      <c r="K2272" t="n">
        <v>0</v>
      </c>
      <c r="L2272" t="n">
        <v>0</v>
      </c>
      <c r="M2272" t="n">
        <v>0</v>
      </c>
      <c r="N2272" t="n">
        <v>0</v>
      </c>
      <c r="O2272" t="n">
        <v>0</v>
      </c>
      <c r="P2272" t="n">
        <v>0</v>
      </c>
      <c r="Q2272" t="n">
        <v>0</v>
      </c>
      <c r="R2272" s="2" t="inlineStr"/>
    </row>
    <row r="2273" ht="15" customHeight="1">
      <c r="A2273" t="inlineStr">
        <is>
          <t>A 9192-2020</t>
        </is>
      </c>
      <c r="B2273" s="1" t="n">
        <v>43879</v>
      </c>
      <c r="C2273" s="1" t="n">
        <v>45810</v>
      </c>
      <c r="D2273" t="inlineStr">
        <is>
          <t>VÄRMLANDS LÄN</t>
        </is>
      </c>
      <c r="E2273" t="inlineStr">
        <is>
          <t>TORSBY</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9242-2020</t>
        </is>
      </c>
      <c r="B2274" s="1" t="n">
        <v>43879</v>
      </c>
      <c r="C2274" s="1" t="n">
        <v>45810</v>
      </c>
      <c r="D2274" t="inlineStr">
        <is>
          <t>VÄRMLANDS LÄN</t>
        </is>
      </c>
      <c r="E2274" t="inlineStr">
        <is>
          <t>ÅRJÄNG</t>
        </is>
      </c>
      <c r="G2274" t="n">
        <v>5.7</v>
      </c>
      <c r="H2274" t="n">
        <v>0</v>
      </c>
      <c r="I2274" t="n">
        <v>0</v>
      </c>
      <c r="J2274" t="n">
        <v>0</v>
      </c>
      <c r="K2274" t="n">
        <v>0</v>
      </c>
      <c r="L2274" t="n">
        <v>0</v>
      </c>
      <c r="M2274" t="n">
        <v>0</v>
      </c>
      <c r="N2274" t="n">
        <v>0</v>
      </c>
      <c r="O2274" t="n">
        <v>0</v>
      </c>
      <c r="P2274" t="n">
        <v>0</v>
      </c>
      <c r="Q2274" t="n">
        <v>0</v>
      </c>
      <c r="R2274" s="2" t="inlineStr"/>
    </row>
    <row r="2275" ht="15" customHeight="1">
      <c r="A2275" t="inlineStr">
        <is>
          <t>A 9766-2020</t>
        </is>
      </c>
      <c r="B2275" s="1" t="n">
        <v>43879</v>
      </c>
      <c r="C2275" s="1" t="n">
        <v>45810</v>
      </c>
      <c r="D2275" t="inlineStr">
        <is>
          <t>VÄRMLANDS LÄN</t>
        </is>
      </c>
      <c r="E2275" t="inlineStr">
        <is>
          <t>TORSBY</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9760-2020</t>
        </is>
      </c>
      <c r="B2276" s="1" t="n">
        <v>43879</v>
      </c>
      <c r="C2276" s="1" t="n">
        <v>45810</v>
      </c>
      <c r="D2276" t="inlineStr">
        <is>
          <t>VÄRMLANDS LÄN</t>
        </is>
      </c>
      <c r="E2276" t="inlineStr">
        <is>
          <t>TORSBY</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9385-2020</t>
        </is>
      </c>
      <c r="B2277" s="1" t="n">
        <v>43880</v>
      </c>
      <c r="C2277" s="1" t="n">
        <v>45810</v>
      </c>
      <c r="D2277" t="inlineStr">
        <is>
          <t>VÄRMLANDS LÄN</t>
        </is>
      </c>
      <c r="E2277" t="inlineStr">
        <is>
          <t>EDA</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9395-2020</t>
        </is>
      </c>
      <c r="B2278" s="1" t="n">
        <v>43880</v>
      </c>
      <c r="C2278" s="1" t="n">
        <v>45810</v>
      </c>
      <c r="D2278" t="inlineStr">
        <is>
          <t>VÄRMLANDS LÄN</t>
        </is>
      </c>
      <c r="E2278" t="inlineStr">
        <is>
          <t>FILIPSTAD</t>
        </is>
      </c>
      <c r="F2278" t="inlineStr">
        <is>
          <t>Bergvik skog väst AB</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9496-2020</t>
        </is>
      </c>
      <c r="B2279" s="1" t="n">
        <v>43880</v>
      </c>
      <c r="C2279" s="1" t="n">
        <v>45810</v>
      </c>
      <c r="D2279" t="inlineStr">
        <is>
          <t>VÄRMLANDS LÄN</t>
        </is>
      </c>
      <c r="E2279" t="inlineStr">
        <is>
          <t>SUNNE</t>
        </is>
      </c>
      <c r="G2279" t="n">
        <v>5.5</v>
      </c>
      <c r="H2279" t="n">
        <v>0</v>
      </c>
      <c r="I2279" t="n">
        <v>0</v>
      </c>
      <c r="J2279" t="n">
        <v>0</v>
      </c>
      <c r="K2279" t="n">
        <v>0</v>
      </c>
      <c r="L2279" t="n">
        <v>0</v>
      </c>
      <c r="M2279" t="n">
        <v>0</v>
      </c>
      <c r="N2279" t="n">
        <v>0</v>
      </c>
      <c r="O2279" t="n">
        <v>0</v>
      </c>
      <c r="P2279" t="n">
        <v>0</v>
      </c>
      <c r="Q2279" t="n">
        <v>0</v>
      </c>
      <c r="R2279" s="2" t="inlineStr"/>
    </row>
    <row r="2280" ht="15" customHeight="1">
      <c r="A2280" t="inlineStr">
        <is>
          <t>A 9600-2020</t>
        </is>
      </c>
      <c r="B2280" s="1" t="n">
        <v>43881</v>
      </c>
      <c r="C2280" s="1" t="n">
        <v>45810</v>
      </c>
      <c r="D2280" t="inlineStr">
        <is>
          <t>VÄRMLANDS LÄN</t>
        </is>
      </c>
      <c r="E2280" t="inlineStr">
        <is>
          <t>TORSBY</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9862-2020</t>
        </is>
      </c>
      <c r="B2281" s="1" t="n">
        <v>43881</v>
      </c>
      <c r="C2281" s="1" t="n">
        <v>45810</v>
      </c>
      <c r="D2281" t="inlineStr">
        <is>
          <t>VÄRMLANDS LÄN</t>
        </is>
      </c>
      <c r="E2281" t="inlineStr">
        <is>
          <t>SÄFFLE</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9702-2020</t>
        </is>
      </c>
      <c r="B2282" s="1" t="n">
        <v>43881</v>
      </c>
      <c r="C2282" s="1" t="n">
        <v>45810</v>
      </c>
      <c r="D2282" t="inlineStr">
        <is>
          <t>VÄRMLANDS LÄN</t>
        </is>
      </c>
      <c r="E2282" t="inlineStr">
        <is>
          <t>KARLSTAD</t>
        </is>
      </c>
      <c r="G2282" t="n">
        <v>2.5</v>
      </c>
      <c r="H2282" t="n">
        <v>0</v>
      </c>
      <c r="I2282" t="n">
        <v>0</v>
      </c>
      <c r="J2282" t="n">
        <v>0</v>
      </c>
      <c r="K2282" t="n">
        <v>0</v>
      </c>
      <c r="L2282" t="n">
        <v>0</v>
      </c>
      <c r="M2282" t="n">
        <v>0</v>
      </c>
      <c r="N2282" t="n">
        <v>0</v>
      </c>
      <c r="O2282" t="n">
        <v>0</v>
      </c>
      <c r="P2282" t="n">
        <v>0</v>
      </c>
      <c r="Q2282" t="n">
        <v>0</v>
      </c>
      <c r="R2282" s="2" t="inlineStr"/>
    </row>
    <row r="2283" ht="15" customHeight="1">
      <c r="A2283" t="inlineStr">
        <is>
          <t>A 9957-2020</t>
        </is>
      </c>
      <c r="B2283" s="1" t="n">
        <v>43882</v>
      </c>
      <c r="C2283" s="1" t="n">
        <v>45810</v>
      </c>
      <c r="D2283" t="inlineStr">
        <is>
          <t>VÄRMLANDS LÄN</t>
        </is>
      </c>
      <c r="E2283" t="inlineStr">
        <is>
          <t>SUNNE</t>
        </is>
      </c>
      <c r="F2283" t="inlineStr">
        <is>
          <t>Övriga Aktiebolag</t>
        </is>
      </c>
      <c r="G2283" t="n">
        <v>3.4</v>
      </c>
      <c r="H2283" t="n">
        <v>0</v>
      </c>
      <c r="I2283" t="n">
        <v>0</v>
      </c>
      <c r="J2283" t="n">
        <v>0</v>
      </c>
      <c r="K2283" t="n">
        <v>0</v>
      </c>
      <c r="L2283" t="n">
        <v>0</v>
      </c>
      <c r="M2283" t="n">
        <v>0</v>
      </c>
      <c r="N2283" t="n">
        <v>0</v>
      </c>
      <c r="O2283" t="n">
        <v>0</v>
      </c>
      <c r="P2283" t="n">
        <v>0</v>
      </c>
      <c r="Q2283" t="n">
        <v>0</v>
      </c>
      <c r="R2283" s="2" t="inlineStr"/>
    </row>
    <row r="2284" ht="15" customHeight="1">
      <c r="A2284" t="inlineStr">
        <is>
          <t>A 9923-2020</t>
        </is>
      </c>
      <c r="B2284" s="1" t="n">
        <v>43882</v>
      </c>
      <c r="C2284" s="1" t="n">
        <v>45810</v>
      </c>
      <c r="D2284" t="inlineStr">
        <is>
          <t>VÄRMLANDS LÄN</t>
        </is>
      </c>
      <c r="E2284" t="inlineStr">
        <is>
          <t>KRISTINEHAMN</t>
        </is>
      </c>
      <c r="G2284" t="n">
        <v>6.5</v>
      </c>
      <c r="H2284" t="n">
        <v>0</v>
      </c>
      <c r="I2284" t="n">
        <v>0</v>
      </c>
      <c r="J2284" t="n">
        <v>0</v>
      </c>
      <c r="K2284" t="n">
        <v>0</v>
      </c>
      <c r="L2284" t="n">
        <v>0</v>
      </c>
      <c r="M2284" t="n">
        <v>0</v>
      </c>
      <c r="N2284" t="n">
        <v>0</v>
      </c>
      <c r="O2284" t="n">
        <v>0</v>
      </c>
      <c r="P2284" t="n">
        <v>0</v>
      </c>
      <c r="Q2284" t="n">
        <v>0</v>
      </c>
      <c r="R2284" s="2" t="inlineStr"/>
    </row>
    <row r="2285" ht="15" customHeight="1">
      <c r="A2285" t="inlineStr">
        <is>
          <t>A 9931-2020</t>
        </is>
      </c>
      <c r="B2285" s="1" t="n">
        <v>43882</v>
      </c>
      <c r="C2285" s="1" t="n">
        <v>45810</v>
      </c>
      <c r="D2285" t="inlineStr">
        <is>
          <t>VÄRMLANDS LÄN</t>
        </is>
      </c>
      <c r="E2285" t="inlineStr">
        <is>
          <t>FILIPSTAD</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9942-2020</t>
        </is>
      </c>
      <c r="B2286" s="1" t="n">
        <v>43882</v>
      </c>
      <c r="C2286" s="1" t="n">
        <v>45810</v>
      </c>
      <c r="D2286" t="inlineStr">
        <is>
          <t>VÄRMLANDS LÄN</t>
        </is>
      </c>
      <c r="E2286" t="inlineStr">
        <is>
          <t>HAGFORS</t>
        </is>
      </c>
      <c r="F2286" t="inlineStr">
        <is>
          <t>Bergvik skog väst AB</t>
        </is>
      </c>
      <c r="G2286" t="n">
        <v>7.1</v>
      </c>
      <c r="H2286" t="n">
        <v>0</v>
      </c>
      <c r="I2286" t="n">
        <v>0</v>
      </c>
      <c r="J2286" t="n">
        <v>0</v>
      </c>
      <c r="K2286" t="n">
        <v>0</v>
      </c>
      <c r="L2286" t="n">
        <v>0</v>
      </c>
      <c r="M2286" t="n">
        <v>0</v>
      </c>
      <c r="N2286" t="n">
        <v>0</v>
      </c>
      <c r="O2286" t="n">
        <v>0</v>
      </c>
      <c r="P2286" t="n">
        <v>0</v>
      </c>
      <c r="Q2286" t="n">
        <v>0</v>
      </c>
      <c r="R2286" s="2" t="inlineStr"/>
    </row>
    <row r="2287" ht="15" customHeight="1">
      <c r="A2287" t="inlineStr">
        <is>
          <t>A 9939-2020</t>
        </is>
      </c>
      <c r="B2287" s="1" t="n">
        <v>43882</v>
      </c>
      <c r="C2287" s="1" t="n">
        <v>45810</v>
      </c>
      <c r="D2287" t="inlineStr">
        <is>
          <t>VÄRMLANDS LÄN</t>
        </is>
      </c>
      <c r="E2287" t="inlineStr">
        <is>
          <t>FILIPSTAD</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10053-2020</t>
        </is>
      </c>
      <c r="B2288" s="1" t="n">
        <v>43882</v>
      </c>
      <c r="C2288" s="1" t="n">
        <v>45810</v>
      </c>
      <c r="D2288" t="inlineStr">
        <is>
          <t>VÄRMLANDS LÄN</t>
        </is>
      </c>
      <c r="E2288" t="inlineStr">
        <is>
          <t>KIL</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10675-2020</t>
        </is>
      </c>
      <c r="B2289" s="1" t="n">
        <v>43883</v>
      </c>
      <c r="C2289" s="1" t="n">
        <v>45810</v>
      </c>
      <c r="D2289" t="inlineStr">
        <is>
          <t>VÄRMLANDS LÄN</t>
        </is>
      </c>
      <c r="E2289" t="inlineStr">
        <is>
          <t>SÄFFLE</t>
        </is>
      </c>
      <c r="G2289" t="n">
        <v>4.2</v>
      </c>
      <c r="H2289" t="n">
        <v>0</v>
      </c>
      <c r="I2289" t="n">
        <v>0</v>
      </c>
      <c r="J2289" t="n">
        <v>0</v>
      </c>
      <c r="K2289" t="n">
        <v>0</v>
      </c>
      <c r="L2289" t="n">
        <v>0</v>
      </c>
      <c r="M2289" t="n">
        <v>0</v>
      </c>
      <c r="N2289" t="n">
        <v>0</v>
      </c>
      <c r="O2289" t="n">
        <v>0</v>
      </c>
      <c r="P2289" t="n">
        <v>0</v>
      </c>
      <c r="Q2289" t="n">
        <v>0</v>
      </c>
      <c r="R2289" s="2" t="inlineStr"/>
    </row>
    <row r="2290" ht="15" customHeight="1">
      <c r="A2290" t="inlineStr">
        <is>
          <t>A 10683-2020</t>
        </is>
      </c>
      <c r="B2290" s="1" t="n">
        <v>43883</v>
      </c>
      <c r="C2290" s="1" t="n">
        <v>45810</v>
      </c>
      <c r="D2290" t="inlineStr">
        <is>
          <t>VÄRMLANDS LÄN</t>
        </is>
      </c>
      <c r="E2290" t="inlineStr">
        <is>
          <t>SÄFFLE</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10077-2020</t>
        </is>
      </c>
      <c r="B2291" s="1" t="n">
        <v>43884</v>
      </c>
      <c r="C2291" s="1" t="n">
        <v>45810</v>
      </c>
      <c r="D2291" t="inlineStr">
        <is>
          <t>VÄRMLANDS LÄN</t>
        </is>
      </c>
      <c r="E2291" t="inlineStr">
        <is>
          <t>KIL</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10183-2020</t>
        </is>
      </c>
      <c r="B2292" s="1" t="n">
        <v>43885</v>
      </c>
      <c r="C2292" s="1" t="n">
        <v>45810</v>
      </c>
      <c r="D2292" t="inlineStr">
        <is>
          <t>VÄRMLANDS LÄN</t>
        </is>
      </c>
      <c r="E2292" t="inlineStr">
        <is>
          <t>ÅRJÄNG</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10187-2020</t>
        </is>
      </c>
      <c r="B2293" s="1" t="n">
        <v>43885</v>
      </c>
      <c r="C2293" s="1" t="n">
        <v>45810</v>
      </c>
      <c r="D2293" t="inlineStr">
        <is>
          <t>VÄRMLANDS LÄN</t>
        </is>
      </c>
      <c r="E2293" t="inlineStr">
        <is>
          <t>EDA</t>
        </is>
      </c>
      <c r="F2293" t="inlineStr">
        <is>
          <t>Kommuner</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10281-2020</t>
        </is>
      </c>
      <c r="B2294" s="1" t="n">
        <v>43885</v>
      </c>
      <c r="C2294" s="1" t="n">
        <v>45810</v>
      </c>
      <c r="D2294" t="inlineStr">
        <is>
          <t>VÄRMLANDS LÄN</t>
        </is>
      </c>
      <c r="E2294" t="inlineStr">
        <is>
          <t>SUNNE</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10289-2020</t>
        </is>
      </c>
      <c r="B2295" s="1" t="n">
        <v>43885</v>
      </c>
      <c r="C2295" s="1" t="n">
        <v>45810</v>
      </c>
      <c r="D2295" t="inlineStr">
        <is>
          <t>VÄRMLANDS LÄN</t>
        </is>
      </c>
      <c r="E2295" t="inlineStr">
        <is>
          <t>SUNNE</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10184-2020</t>
        </is>
      </c>
      <c r="B2296" s="1" t="n">
        <v>43885</v>
      </c>
      <c r="C2296" s="1" t="n">
        <v>45810</v>
      </c>
      <c r="D2296" t="inlineStr">
        <is>
          <t>VÄRMLANDS LÄN</t>
        </is>
      </c>
      <c r="E2296" t="inlineStr">
        <is>
          <t>ÅRJÄNG</t>
        </is>
      </c>
      <c r="G2296" t="n">
        <v>4.1</v>
      </c>
      <c r="H2296" t="n">
        <v>0</v>
      </c>
      <c r="I2296" t="n">
        <v>0</v>
      </c>
      <c r="J2296" t="n">
        <v>0</v>
      </c>
      <c r="K2296" t="n">
        <v>0</v>
      </c>
      <c r="L2296" t="n">
        <v>0</v>
      </c>
      <c r="M2296" t="n">
        <v>0</v>
      </c>
      <c r="N2296" t="n">
        <v>0</v>
      </c>
      <c r="O2296" t="n">
        <v>0</v>
      </c>
      <c r="P2296" t="n">
        <v>0</v>
      </c>
      <c r="Q2296" t="n">
        <v>0</v>
      </c>
      <c r="R2296" s="2" t="inlineStr"/>
    </row>
    <row r="2297" ht="15" customHeight="1">
      <c r="A2297" t="inlineStr">
        <is>
          <t>A 10272-2020</t>
        </is>
      </c>
      <c r="B2297" s="1" t="n">
        <v>43885</v>
      </c>
      <c r="C2297" s="1" t="n">
        <v>45810</v>
      </c>
      <c r="D2297" t="inlineStr">
        <is>
          <t>VÄRMLANDS LÄN</t>
        </is>
      </c>
      <c r="E2297" t="inlineStr">
        <is>
          <t>ÅRJÄNG</t>
        </is>
      </c>
      <c r="G2297" t="n">
        <v>3.3</v>
      </c>
      <c r="H2297" t="n">
        <v>0</v>
      </c>
      <c r="I2297" t="n">
        <v>0</v>
      </c>
      <c r="J2297" t="n">
        <v>0</v>
      </c>
      <c r="K2297" t="n">
        <v>0</v>
      </c>
      <c r="L2297" t="n">
        <v>0</v>
      </c>
      <c r="M2297" t="n">
        <v>0</v>
      </c>
      <c r="N2297" t="n">
        <v>0</v>
      </c>
      <c r="O2297" t="n">
        <v>0</v>
      </c>
      <c r="P2297" t="n">
        <v>0</v>
      </c>
      <c r="Q2297" t="n">
        <v>0</v>
      </c>
      <c r="R2297" s="2" t="inlineStr"/>
    </row>
    <row r="2298" ht="15" customHeight="1">
      <c r="A2298" t="inlineStr">
        <is>
          <t>A 10899-2020</t>
        </is>
      </c>
      <c r="B2298" s="1" t="n">
        <v>43885</v>
      </c>
      <c r="C2298" s="1" t="n">
        <v>45810</v>
      </c>
      <c r="D2298" t="inlineStr">
        <is>
          <t>VÄRMLANDS LÄN</t>
        </is>
      </c>
      <c r="E2298" t="inlineStr">
        <is>
          <t>TORSBY</t>
        </is>
      </c>
      <c r="G2298" t="n">
        <v>7.4</v>
      </c>
      <c r="H2298" t="n">
        <v>0</v>
      </c>
      <c r="I2298" t="n">
        <v>0</v>
      </c>
      <c r="J2298" t="n">
        <v>0</v>
      </c>
      <c r="K2298" t="n">
        <v>0</v>
      </c>
      <c r="L2298" t="n">
        <v>0</v>
      </c>
      <c r="M2298" t="n">
        <v>0</v>
      </c>
      <c r="N2298" t="n">
        <v>0</v>
      </c>
      <c r="O2298" t="n">
        <v>0</v>
      </c>
      <c r="P2298" t="n">
        <v>0</v>
      </c>
      <c r="Q2298" t="n">
        <v>0</v>
      </c>
      <c r="R2298" s="2" t="inlineStr"/>
    </row>
    <row r="2299" ht="15" customHeight="1">
      <c r="A2299" t="inlineStr">
        <is>
          <t>A 10392-2020</t>
        </is>
      </c>
      <c r="B2299" s="1" t="n">
        <v>43885</v>
      </c>
      <c r="C2299" s="1" t="n">
        <v>45810</v>
      </c>
      <c r="D2299" t="inlineStr">
        <is>
          <t>VÄRMLANDS LÄN</t>
        </is>
      </c>
      <c r="E2299" t="inlineStr">
        <is>
          <t>SUNNE</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10721-2020</t>
        </is>
      </c>
      <c r="B2300" s="1" t="n">
        <v>43885</v>
      </c>
      <c r="C2300" s="1" t="n">
        <v>45810</v>
      </c>
      <c r="D2300" t="inlineStr">
        <is>
          <t>VÄRMLANDS LÄN</t>
        </is>
      </c>
      <c r="E2300" t="inlineStr">
        <is>
          <t>FILIPSTAD</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11203-2020</t>
        </is>
      </c>
      <c r="B2301" s="1" t="n">
        <v>43885</v>
      </c>
      <c r="C2301" s="1" t="n">
        <v>45810</v>
      </c>
      <c r="D2301" t="inlineStr">
        <is>
          <t>VÄRMLANDS LÄN</t>
        </is>
      </c>
      <c r="E2301" t="inlineStr">
        <is>
          <t>KRISTINEHAMN</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11241-2020</t>
        </is>
      </c>
      <c r="B2302" s="1" t="n">
        <v>43885</v>
      </c>
      <c r="C2302" s="1" t="n">
        <v>45810</v>
      </c>
      <c r="D2302" t="inlineStr">
        <is>
          <t>VÄRMLANDS LÄN</t>
        </is>
      </c>
      <c r="E2302" t="inlineStr">
        <is>
          <t>KRISTINEHAMN</t>
        </is>
      </c>
      <c r="G2302" t="n">
        <v>5.8</v>
      </c>
      <c r="H2302" t="n">
        <v>0</v>
      </c>
      <c r="I2302" t="n">
        <v>0</v>
      </c>
      <c r="J2302" t="n">
        <v>0</v>
      </c>
      <c r="K2302" t="n">
        <v>0</v>
      </c>
      <c r="L2302" t="n">
        <v>0</v>
      </c>
      <c r="M2302" t="n">
        <v>0</v>
      </c>
      <c r="N2302" t="n">
        <v>0</v>
      </c>
      <c r="O2302" t="n">
        <v>0</v>
      </c>
      <c r="P2302" t="n">
        <v>0</v>
      </c>
      <c r="Q2302" t="n">
        <v>0</v>
      </c>
      <c r="R2302" s="2" t="inlineStr"/>
    </row>
    <row r="2303" ht="15" customHeight="1">
      <c r="A2303" t="inlineStr">
        <is>
          <t>A 10306-2020</t>
        </is>
      </c>
      <c r="B2303" s="1" t="n">
        <v>43886</v>
      </c>
      <c r="C2303" s="1" t="n">
        <v>45810</v>
      </c>
      <c r="D2303" t="inlineStr">
        <is>
          <t>VÄRMLANDS LÄN</t>
        </is>
      </c>
      <c r="E2303" t="inlineStr">
        <is>
          <t>SUNNE</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10483-2020</t>
        </is>
      </c>
      <c r="B2304" s="1" t="n">
        <v>43886</v>
      </c>
      <c r="C2304" s="1" t="n">
        <v>45810</v>
      </c>
      <c r="D2304" t="inlineStr">
        <is>
          <t>VÄRMLANDS LÄN</t>
        </is>
      </c>
      <c r="E2304" t="inlineStr">
        <is>
          <t>ÅRJÄNG</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10404-2020</t>
        </is>
      </c>
      <c r="B2305" s="1" t="n">
        <v>43886</v>
      </c>
      <c r="C2305" s="1" t="n">
        <v>45810</v>
      </c>
      <c r="D2305" t="inlineStr">
        <is>
          <t>VÄRMLANDS LÄN</t>
        </is>
      </c>
      <c r="E2305" t="inlineStr">
        <is>
          <t>HAGFORS</t>
        </is>
      </c>
      <c r="F2305" t="inlineStr">
        <is>
          <t>Bergvik skog väst AB</t>
        </is>
      </c>
      <c r="G2305" t="n">
        <v>8.199999999999999</v>
      </c>
      <c r="H2305" t="n">
        <v>0</v>
      </c>
      <c r="I2305" t="n">
        <v>0</v>
      </c>
      <c r="J2305" t="n">
        <v>0</v>
      </c>
      <c r="K2305" t="n">
        <v>0</v>
      </c>
      <c r="L2305" t="n">
        <v>0</v>
      </c>
      <c r="M2305" t="n">
        <v>0</v>
      </c>
      <c r="N2305" t="n">
        <v>0</v>
      </c>
      <c r="O2305" t="n">
        <v>0</v>
      </c>
      <c r="P2305" t="n">
        <v>0</v>
      </c>
      <c r="Q2305" t="n">
        <v>0</v>
      </c>
      <c r="R2305" s="2" t="inlineStr"/>
    </row>
    <row r="2306" ht="15" customHeight="1">
      <c r="A2306" t="inlineStr">
        <is>
          <t>A 10422-2020</t>
        </is>
      </c>
      <c r="B2306" s="1" t="n">
        <v>43886</v>
      </c>
      <c r="C2306" s="1" t="n">
        <v>45810</v>
      </c>
      <c r="D2306" t="inlineStr">
        <is>
          <t>VÄRMLANDS LÄN</t>
        </is>
      </c>
      <c r="E2306" t="inlineStr">
        <is>
          <t>TORSBY</t>
        </is>
      </c>
      <c r="G2306" t="n">
        <v>3.4</v>
      </c>
      <c r="H2306" t="n">
        <v>0</v>
      </c>
      <c r="I2306" t="n">
        <v>0</v>
      </c>
      <c r="J2306" t="n">
        <v>0</v>
      </c>
      <c r="K2306" t="n">
        <v>0</v>
      </c>
      <c r="L2306" t="n">
        <v>0</v>
      </c>
      <c r="M2306" t="n">
        <v>0</v>
      </c>
      <c r="N2306" t="n">
        <v>0</v>
      </c>
      <c r="O2306" t="n">
        <v>0</v>
      </c>
      <c r="P2306" t="n">
        <v>0</v>
      </c>
      <c r="Q2306" t="n">
        <v>0</v>
      </c>
      <c r="R2306" s="2" t="inlineStr"/>
    </row>
    <row r="2307" ht="15" customHeight="1">
      <c r="A2307" t="inlineStr">
        <is>
          <t>A 10449-2020</t>
        </is>
      </c>
      <c r="B2307" s="1" t="n">
        <v>43886</v>
      </c>
      <c r="C2307" s="1" t="n">
        <v>45810</v>
      </c>
      <c r="D2307" t="inlineStr">
        <is>
          <t>VÄRMLANDS LÄN</t>
        </is>
      </c>
      <c r="E2307" t="inlineStr">
        <is>
          <t>TORSBY</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10514-2020</t>
        </is>
      </c>
      <c r="B2308" s="1" t="n">
        <v>43886</v>
      </c>
      <c r="C2308" s="1" t="n">
        <v>45810</v>
      </c>
      <c r="D2308" t="inlineStr">
        <is>
          <t>VÄRMLANDS LÄN</t>
        </is>
      </c>
      <c r="E2308" t="inlineStr">
        <is>
          <t>SUNNE</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10313-2020</t>
        </is>
      </c>
      <c r="B2309" s="1" t="n">
        <v>43886</v>
      </c>
      <c r="C2309" s="1" t="n">
        <v>45810</v>
      </c>
      <c r="D2309" t="inlineStr">
        <is>
          <t>VÄRMLANDS LÄN</t>
        </is>
      </c>
      <c r="E2309" t="inlineStr">
        <is>
          <t>SUNNE</t>
        </is>
      </c>
      <c r="G2309" t="n">
        <v>16.7</v>
      </c>
      <c r="H2309" t="n">
        <v>0</v>
      </c>
      <c r="I2309" t="n">
        <v>0</v>
      </c>
      <c r="J2309" t="n">
        <v>0</v>
      </c>
      <c r="K2309" t="n">
        <v>0</v>
      </c>
      <c r="L2309" t="n">
        <v>0</v>
      </c>
      <c r="M2309" t="n">
        <v>0</v>
      </c>
      <c r="N2309" t="n">
        <v>0</v>
      </c>
      <c r="O2309" t="n">
        <v>0</v>
      </c>
      <c r="P2309" t="n">
        <v>0</v>
      </c>
      <c r="Q2309" t="n">
        <v>0</v>
      </c>
      <c r="R2309" s="2" t="inlineStr"/>
    </row>
    <row r="2310" ht="15" customHeight="1">
      <c r="A2310" t="inlineStr">
        <is>
          <t>A 10420-2020</t>
        </is>
      </c>
      <c r="B2310" s="1" t="n">
        <v>43886</v>
      </c>
      <c r="C2310" s="1" t="n">
        <v>45810</v>
      </c>
      <c r="D2310" t="inlineStr">
        <is>
          <t>VÄRMLANDS LÄN</t>
        </is>
      </c>
      <c r="E2310" t="inlineStr">
        <is>
          <t>ÅRJÄNG</t>
        </is>
      </c>
      <c r="G2310" t="n">
        <v>4.2</v>
      </c>
      <c r="H2310" t="n">
        <v>0</v>
      </c>
      <c r="I2310" t="n">
        <v>0</v>
      </c>
      <c r="J2310" t="n">
        <v>0</v>
      </c>
      <c r="K2310" t="n">
        <v>0</v>
      </c>
      <c r="L2310" t="n">
        <v>0</v>
      </c>
      <c r="M2310" t="n">
        <v>0</v>
      </c>
      <c r="N2310" t="n">
        <v>0</v>
      </c>
      <c r="O2310" t="n">
        <v>0</v>
      </c>
      <c r="P2310" t="n">
        <v>0</v>
      </c>
      <c r="Q2310" t="n">
        <v>0</v>
      </c>
      <c r="R2310" s="2" t="inlineStr"/>
    </row>
    <row r="2311" ht="15" customHeight="1">
      <c r="A2311" t="inlineStr">
        <is>
          <t>A 10424-2020</t>
        </is>
      </c>
      <c r="B2311" s="1" t="n">
        <v>43886</v>
      </c>
      <c r="C2311" s="1" t="n">
        <v>45810</v>
      </c>
      <c r="D2311" t="inlineStr">
        <is>
          <t>VÄRMLANDS LÄN</t>
        </is>
      </c>
      <c r="E2311" t="inlineStr">
        <is>
          <t>ARVIKA</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10500-2020</t>
        </is>
      </c>
      <c r="B2312" s="1" t="n">
        <v>43886</v>
      </c>
      <c r="C2312" s="1" t="n">
        <v>45810</v>
      </c>
      <c r="D2312" t="inlineStr">
        <is>
          <t>VÄRMLANDS LÄN</t>
        </is>
      </c>
      <c r="E2312" t="inlineStr">
        <is>
          <t>FORSHAGA</t>
        </is>
      </c>
      <c r="F2312" t="inlineStr">
        <is>
          <t>Bergvik skog väst AB</t>
        </is>
      </c>
      <c r="G2312" t="n">
        <v>3</v>
      </c>
      <c r="H2312" t="n">
        <v>0</v>
      </c>
      <c r="I2312" t="n">
        <v>0</v>
      </c>
      <c r="J2312" t="n">
        <v>0</v>
      </c>
      <c r="K2312" t="n">
        <v>0</v>
      </c>
      <c r="L2312" t="n">
        <v>0</v>
      </c>
      <c r="M2312" t="n">
        <v>0</v>
      </c>
      <c r="N2312" t="n">
        <v>0</v>
      </c>
      <c r="O2312" t="n">
        <v>0</v>
      </c>
      <c r="P2312" t="n">
        <v>0</v>
      </c>
      <c r="Q2312" t="n">
        <v>0</v>
      </c>
      <c r="R2312" s="2" t="inlineStr"/>
    </row>
    <row r="2313" ht="15" customHeight="1">
      <c r="A2313" t="inlineStr">
        <is>
          <t>A 10163-2020</t>
        </is>
      </c>
      <c r="B2313" s="1" t="n">
        <v>43886</v>
      </c>
      <c r="C2313" s="1" t="n">
        <v>45810</v>
      </c>
      <c r="D2313" t="inlineStr">
        <is>
          <t>VÄRMLANDS LÄN</t>
        </is>
      </c>
      <c r="E2313" t="inlineStr">
        <is>
          <t>FORSHAGA</t>
        </is>
      </c>
      <c r="F2313" t="inlineStr">
        <is>
          <t>Bergvik skog väst AB</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10538-2020</t>
        </is>
      </c>
      <c r="B2314" s="1" t="n">
        <v>43886</v>
      </c>
      <c r="C2314" s="1" t="n">
        <v>45810</v>
      </c>
      <c r="D2314" t="inlineStr">
        <is>
          <t>VÄRMLANDS LÄN</t>
        </is>
      </c>
      <c r="E2314" t="inlineStr">
        <is>
          <t>ÅRJÄNG</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11219-2020</t>
        </is>
      </c>
      <c r="B2315" s="1" t="n">
        <v>43886</v>
      </c>
      <c r="C2315" s="1" t="n">
        <v>45810</v>
      </c>
      <c r="D2315" t="inlineStr">
        <is>
          <t>VÄRMLANDS LÄN</t>
        </is>
      </c>
      <c r="E2315" t="inlineStr">
        <is>
          <t>FILIPSTAD</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11355-2020</t>
        </is>
      </c>
      <c r="B2316" s="1" t="n">
        <v>43886</v>
      </c>
      <c r="C2316" s="1" t="n">
        <v>45810</v>
      </c>
      <c r="D2316" t="inlineStr">
        <is>
          <t>VÄRMLANDS LÄN</t>
        </is>
      </c>
      <c r="E2316" t="inlineStr">
        <is>
          <t>SUNNE</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10139-2020</t>
        </is>
      </c>
      <c r="B2317" s="1" t="n">
        <v>43886</v>
      </c>
      <c r="C2317" s="1" t="n">
        <v>45810</v>
      </c>
      <c r="D2317" t="inlineStr">
        <is>
          <t>VÄRMLANDS LÄN</t>
        </is>
      </c>
      <c r="E2317" t="inlineStr">
        <is>
          <t>STORFORS</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10464-2020</t>
        </is>
      </c>
      <c r="B2318" s="1" t="n">
        <v>43886</v>
      </c>
      <c r="C2318" s="1" t="n">
        <v>45810</v>
      </c>
      <c r="D2318" t="inlineStr">
        <is>
          <t>VÄRMLANDS LÄN</t>
        </is>
      </c>
      <c r="E2318" t="inlineStr">
        <is>
          <t>FILIPSTAD</t>
        </is>
      </c>
      <c r="G2318" t="n">
        <v>17.3</v>
      </c>
      <c r="H2318" t="n">
        <v>0</v>
      </c>
      <c r="I2318" t="n">
        <v>0</v>
      </c>
      <c r="J2318" t="n">
        <v>0</v>
      </c>
      <c r="K2318" t="n">
        <v>0</v>
      </c>
      <c r="L2318" t="n">
        <v>0</v>
      </c>
      <c r="M2318" t="n">
        <v>0</v>
      </c>
      <c r="N2318" t="n">
        <v>0</v>
      </c>
      <c r="O2318" t="n">
        <v>0</v>
      </c>
      <c r="P2318" t="n">
        <v>0</v>
      </c>
      <c r="Q2318" t="n">
        <v>0</v>
      </c>
      <c r="R2318" s="2" t="inlineStr"/>
    </row>
    <row r="2319" ht="15" customHeight="1">
      <c r="A2319" t="inlineStr">
        <is>
          <t>A 10497-2020</t>
        </is>
      </c>
      <c r="B2319" s="1" t="n">
        <v>43886</v>
      </c>
      <c r="C2319" s="1" t="n">
        <v>45810</v>
      </c>
      <c r="D2319" t="inlineStr">
        <is>
          <t>VÄRMLANDS LÄN</t>
        </is>
      </c>
      <c r="E2319" t="inlineStr">
        <is>
          <t>FILIPSTAD</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10525-2020</t>
        </is>
      </c>
      <c r="B2320" s="1" t="n">
        <v>43886</v>
      </c>
      <c r="C2320" s="1" t="n">
        <v>45810</v>
      </c>
      <c r="D2320" t="inlineStr">
        <is>
          <t>VÄRMLANDS LÄN</t>
        </is>
      </c>
      <c r="E2320" t="inlineStr">
        <is>
          <t>EDA</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10319-2020</t>
        </is>
      </c>
      <c r="B2321" s="1" t="n">
        <v>43887</v>
      </c>
      <c r="C2321" s="1" t="n">
        <v>45810</v>
      </c>
      <c r="D2321" t="inlineStr">
        <is>
          <t>VÄRMLANDS LÄN</t>
        </is>
      </c>
      <c r="E2321" t="inlineStr">
        <is>
          <t>FILIPSTAD</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10131-2020</t>
        </is>
      </c>
      <c r="B2322" s="1" t="n">
        <v>43887</v>
      </c>
      <c r="C2322" s="1" t="n">
        <v>45810</v>
      </c>
      <c r="D2322" t="inlineStr">
        <is>
          <t>VÄRMLANDS LÄN</t>
        </is>
      </c>
      <c r="E2322" t="inlineStr">
        <is>
          <t>ÅRJÄNG</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10560-2020</t>
        </is>
      </c>
      <c r="B2323" s="1" t="n">
        <v>43887</v>
      </c>
      <c r="C2323" s="1" t="n">
        <v>45810</v>
      </c>
      <c r="D2323" t="inlineStr">
        <is>
          <t>VÄRMLANDS LÄN</t>
        </is>
      </c>
      <c r="E2323" t="inlineStr">
        <is>
          <t>FILIPSTAD</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10269-2020</t>
        </is>
      </c>
      <c r="B2324" s="1" t="n">
        <v>43887</v>
      </c>
      <c r="C2324" s="1" t="n">
        <v>45810</v>
      </c>
      <c r="D2324" t="inlineStr">
        <is>
          <t>VÄRMLANDS LÄN</t>
        </is>
      </c>
      <c r="E2324" t="inlineStr">
        <is>
          <t>SUNNE</t>
        </is>
      </c>
      <c r="F2324" t="inlineStr">
        <is>
          <t>Övriga Aktiebolag</t>
        </is>
      </c>
      <c r="G2324" t="n">
        <v>14.3</v>
      </c>
      <c r="H2324" t="n">
        <v>0</v>
      </c>
      <c r="I2324" t="n">
        <v>0</v>
      </c>
      <c r="J2324" t="n">
        <v>0</v>
      </c>
      <c r="K2324" t="n">
        <v>0</v>
      </c>
      <c r="L2324" t="n">
        <v>0</v>
      </c>
      <c r="M2324" t="n">
        <v>0</v>
      </c>
      <c r="N2324" t="n">
        <v>0</v>
      </c>
      <c r="O2324" t="n">
        <v>0</v>
      </c>
      <c r="P2324" t="n">
        <v>0</v>
      </c>
      <c r="Q2324" t="n">
        <v>0</v>
      </c>
      <c r="R2324" s="2" t="inlineStr"/>
    </row>
    <row r="2325" ht="15" customHeight="1">
      <c r="A2325" t="inlineStr">
        <is>
          <t>A 11974-2020</t>
        </is>
      </c>
      <c r="B2325" s="1" t="n">
        <v>43887</v>
      </c>
      <c r="C2325" s="1" t="n">
        <v>45810</v>
      </c>
      <c r="D2325" t="inlineStr">
        <is>
          <t>VÄRMLANDS LÄN</t>
        </is>
      </c>
      <c r="E2325" t="inlineStr">
        <is>
          <t>HAGFORS</t>
        </is>
      </c>
      <c r="F2325" t="inlineStr">
        <is>
          <t>Kyrkan</t>
        </is>
      </c>
      <c r="G2325" t="n">
        <v>2.9</v>
      </c>
      <c r="H2325" t="n">
        <v>0</v>
      </c>
      <c r="I2325" t="n">
        <v>0</v>
      </c>
      <c r="J2325" t="n">
        <v>0</v>
      </c>
      <c r="K2325" t="n">
        <v>0</v>
      </c>
      <c r="L2325" t="n">
        <v>0</v>
      </c>
      <c r="M2325" t="n">
        <v>0</v>
      </c>
      <c r="N2325" t="n">
        <v>0</v>
      </c>
      <c r="O2325" t="n">
        <v>0</v>
      </c>
      <c r="P2325" t="n">
        <v>0</v>
      </c>
      <c r="Q2325" t="n">
        <v>0</v>
      </c>
      <c r="R2325" s="2" t="inlineStr"/>
    </row>
    <row r="2326" ht="15" customHeight="1">
      <c r="A2326" t="inlineStr">
        <is>
          <t>A 10333-2020</t>
        </is>
      </c>
      <c r="B2326" s="1" t="n">
        <v>43887</v>
      </c>
      <c r="C2326" s="1" t="n">
        <v>45810</v>
      </c>
      <c r="D2326" t="inlineStr">
        <is>
          <t>VÄRMLANDS LÄN</t>
        </is>
      </c>
      <c r="E2326" t="inlineStr">
        <is>
          <t>HAGFORS</t>
        </is>
      </c>
      <c r="F2326" t="inlineStr">
        <is>
          <t>Bergvik skog väst AB</t>
        </is>
      </c>
      <c r="G2326" t="n">
        <v>5.3</v>
      </c>
      <c r="H2326" t="n">
        <v>0</v>
      </c>
      <c r="I2326" t="n">
        <v>0</v>
      </c>
      <c r="J2326" t="n">
        <v>0</v>
      </c>
      <c r="K2326" t="n">
        <v>0</v>
      </c>
      <c r="L2326" t="n">
        <v>0</v>
      </c>
      <c r="M2326" t="n">
        <v>0</v>
      </c>
      <c r="N2326" t="n">
        <v>0</v>
      </c>
      <c r="O2326" t="n">
        <v>0</v>
      </c>
      <c r="P2326" t="n">
        <v>0</v>
      </c>
      <c r="Q2326" t="n">
        <v>0</v>
      </c>
      <c r="R2326" s="2" t="inlineStr"/>
    </row>
    <row r="2327" ht="15" customHeight="1">
      <c r="A2327" t="inlineStr">
        <is>
          <t>A 10168-2020</t>
        </is>
      </c>
      <c r="B2327" s="1" t="n">
        <v>43887</v>
      </c>
      <c r="C2327" s="1" t="n">
        <v>45810</v>
      </c>
      <c r="D2327" t="inlineStr">
        <is>
          <t>VÄRMLANDS LÄN</t>
        </is>
      </c>
      <c r="E2327" t="inlineStr">
        <is>
          <t>SUNNE</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10746-2020</t>
        </is>
      </c>
      <c r="B2328" s="1" t="n">
        <v>43888</v>
      </c>
      <c r="C2328" s="1" t="n">
        <v>45810</v>
      </c>
      <c r="D2328" t="inlineStr">
        <is>
          <t>VÄRMLANDS LÄN</t>
        </is>
      </c>
      <c r="E2328" t="inlineStr">
        <is>
          <t>SUNNE</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10812-2020</t>
        </is>
      </c>
      <c r="B2329" s="1" t="n">
        <v>43888</v>
      </c>
      <c r="C2329" s="1" t="n">
        <v>45810</v>
      </c>
      <c r="D2329" t="inlineStr">
        <is>
          <t>VÄRMLANDS LÄN</t>
        </is>
      </c>
      <c r="E2329" t="inlineStr">
        <is>
          <t>SUNNE</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10835-2020</t>
        </is>
      </c>
      <c r="B2330" s="1" t="n">
        <v>43888</v>
      </c>
      <c r="C2330" s="1" t="n">
        <v>45810</v>
      </c>
      <c r="D2330" t="inlineStr">
        <is>
          <t>VÄRMLANDS LÄN</t>
        </is>
      </c>
      <c r="E2330" t="inlineStr">
        <is>
          <t>HAGFORS</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10818-2020</t>
        </is>
      </c>
      <c r="B2331" s="1" t="n">
        <v>43888</v>
      </c>
      <c r="C2331" s="1" t="n">
        <v>45810</v>
      </c>
      <c r="D2331" t="inlineStr">
        <is>
          <t>VÄRMLANDS LÄN</t>
        </is>
      </c>
      <c r="E2331" t="inlineStr">
        <is>
          <t>SUNNE</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10827-2020</t>
        </is>
      </c>
      <c r="B2332" s="1" t="n">
        <v>43888</v>
      </c>
      <c r="C2332" s="1" t="n">
        <v>45810</v>
      </c>
      <c r="D2332" t="inlineStr">
        <is>
          <t>VÄRMLANDS LÄN</t>
        </is>
      </c>
      <c r="E2332" t="inlineStr">
        <is>
          <t>MUNKFORS</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11741-2020</t>
        </is>
      </c>
      <c r="B2333" s="1" t="n">
        <v>43888</v>
      </c>
      <c r="C2333" s="1" t="n">
        <v>45810</v>
      </c>
      <c r="D2333" t="inlineStr">
        <is>
          <t>VÄRMLANDS LÄN</t>
        </is>
      </c>
      <c r="E2333" t="inlineStr">
        <is>
          <t>EDA</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10658-2020</t>
        </is>
      </c>
      <c r="B2334" s="1" t="n">
        <v>43888</v>
      </c>
      <c r="C2334" s="1" t="n">
        <v>45810</v>
      </c>
      <c r="D2334" t="inlineStr">
        <is>
          <t>VÄRMLANDS LÄN</t>
        </is>
      </c>
      <c r="E2334" t="inlineStr">
        <is>
          <t>ÅRJÄNG</t>
        </is>
      </c>
      <c r="G2334" t="n">
        <v>2.7</v>
      </c>
      <c r="H2334" t="n">
        <v>0</v>
      </c>
      <c r="I2334" t="n">
        <v>0</v>
      </c>
      <c r="J2334" t="n">
        <v>0</v>
      </c>
      <c r="K2334" t="n">
        <v>0</v>
      </c>
      <c r="L2334" t="n">
        <v>0</v>
      </c>
      <c r="M2334" t="n">
        <v>0</v>
      </c>
      <c r="N2334" t="n">
        <v>0</v>
      </c>
      <c r="O2334" t="n">
        <v>0</v>
      </c>
      <c r="P2334" t="n">
        <v>0</v>
      </c>
      <c r="Q2334" t="n">
        <v>0</v>
      </c>
      <c r="R2334" s="2" t="inlineStr"/>
    </row>
    <row r="2335" ht="15" customHeight="1">
      <c r="A2335" t="inlineStr">
        <is>
          <t>A 11873-2020</t>
        </is>
      </c>
      <c r="B2335" s="1" t="n">
        <v>43888</v>
      </c>
      <c r="C2335" s="1" t="n">
        <v>45810</v>
      </c>
      <c r="D2335" t="inlineStr">
        <is>
          <t>VÄRMLANDS LÄN</t>
        </is>
      </c>
      <c r="E2335" t="inlineStr">
        <is>
          <t>SÄFFLE</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10853-2020</t>
        </is>
      </c>
      <c r="B2336" s="1" t="n">
        <v>43889</v>
      </c>
      <c r="C2336" s="1" t="n">
        <v>45810</v>
      </c>
      <c r="D2336" t="inlineStr">
        <is>
          <t>VÄRMLANDS LÄN</t>
        </is>
      </c>
      <c r="E2336" t="inlineStr">
        <is>
          <t>SÄFFLE</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10912-2020</t>
        </is>
      </c>
      <c r="B2337" s="1" t="n">
        <v>43889</v>
      </c>
      <c r="C2337" s="1" t="n">
        <v>45810</v>
      </c>
      <c r="D2337" t="inlineStr">
        <is>
          <t>VÄRMLANDS LÄN</t>
        </is>
      </c>
      <c r="E2337" t="inlineStr">
        <is>
          <t>KARLSTAD</t>
        </is>
      </c>
      <c r="F2337" t="inlineStr">
        <is>
          <t>Kommuner</t>
        </is>
      </c>
      <c r="G2337" t="n">
        <v>0.2</v>
      </c>
      <c r="H2337" t="n">
        <v>0</v>
      </c>
      <c r="I2337" t="n">
        <v>0</v>
      </c>
      <c r="J2337" t="n">
        <v>0</v>
      </c>
      <c r="K2337" t="n">
        <v>0</v>
      </c>
      <c r="L2337" t="n">
        <v>0</v>
      </c>
      <c r="M2337" t="n">
        <v>0</v>
      </c>
      <c r="N2337" t="n">
        <v>0</v>
      </c>
      <c r="O2337" t="n">
        <v>0</v>
      </c>
      <c r="P2337" t="n">
        <v>0</v>
      </c>
      <c r="Q2337" t="n">
        <v>0</v>
      </c>
      <c r="R2337" s="2" t="inlineStr"/>
    </row>
    <row r="2338" ht="15" customHeight="1">
      <c r="A2338" t="inlineStr">
        <is>
          <t>A 10937-2020</t>
        </is>
      </c>
      <c r="B2338" s="1" t="n">
        <v>43889</v>
      </c>
      <c r="C2338" s="1" t="n">
        <v>45810</v>
      </c>
      <c r="D2338" t="inlineStr">
        <is>
          <t>VÄRMLANDS LÄN</t>
        </is>
      </c>
      <c r="E2338" t="inlineStr">
        <is>
          <t>ÅRJÄNG</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10998-2020</t>
        </is>
      </c>
      <c r="B2339" s="1" t="n">
        <v>43889</v>
      </c>
      <c r="C2339" s="1" t="n">
        <v>45810</v>
      </c>
      <c r="D2339" t="inlineStr">
        <is>
          <t>VÄRMLANDS LÄN</t>
        </is>
      </c>
      <c r="E2339" t="inlineStr">
        <is>
          <t>HAGFORS</t>
        </is>
      </c>
      <c r="F2339" t="inlineStr">
        <is>
          <t>Bergvik skog väst AB</t>
        </is>
      </c>
      <c r="G2339" t="n">
        <v>13.9</v>
      </c>
      <c r="H2339" t="n">
        <v>0</v>
      </c>
      <c r="I2339" t="n">
        <v>0</v>
      </c>
      <c r="J2339" t="n">
        <v>0</v>
      </c>
      <c r="K2339" t="n">
        <v>0</v>
      </c>
      <c r="L2339" t="n">
        <v>0</v>
      </c>
      <c r="M2339" t="n">
        <v>0</v>
      </c>
      <c r="N2339" t="n">
        <v>0</v>
      </c>
      <c r="O2339" t="n">
        <v>0</v>
      </c>
      <c r="P2339" t="n">
        <v>0</v>
      </c>
      <c r="Q2339" t="n">
        <v>0</v>
      </c>
      <c r="R2339" s="2" t="inlineStr"/>
    </row>
    <row r="2340" ht="15" customHeight="1">
      <c r="A2340" t="inlineStr">
        <is>
          <t>A 11100-2020</t>
        </is>
      </c>
      <c r="B2340" s="1" t="n">
        <v>43889</v>
      </c>
      <c r="C2340" s="1" t="n">
        <v>45810</v>
      </c>
      <c r="D2340" t="inlineStr">
        <is>
          <t>VÄRMLANDS LÄN</t>
        </is>
      </c>
      <c r="E2340" t="inlineStr">
        <is>
          <t>KRISTINEHAMN</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11031-2020</t>
        </is>
      </c>
      <c r="B2341" s="1" t="n">
        <v>43889</v>
      </c>
      <c r="C2341" s="1" t="n">
        <v>45810</v>
      </c>
      <c r="D2341" t="inlineStr">
        <is>
          <t>VÄRMLANDS LÄN</t>
        </is>
      </c>
      <c r="E2341" t="inlineStr">
        <is>
          <t>KARLSTAD</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11033-2020</t>
        </is>
      </c>
      <c r="B2342" s="1" t="n">
        <v>43889</v>
      </c>
      <c r="C2342" s="1" t="n">
        <v>45810</v>
      </c>
      <c r="D2342" t="inlineStr">
        <is>
          <t>VÄRMLANDS LÄN</t>
        </is>
      </c>
      <c r="E2342" t="inlineStr">
        <is>
          <t>KARLSTAD</t>
        </is>
      </c>
      <c r="G2342" t="n">
        <v>5.2</v>
      </c>
      <c r="H2342" t="n">
        <v>0</v>
      </c>
      <c r="I2342" t="n">
        <v>0</v>
      </c>
      <c r="J2342" t="n">
        <v>0</v>
      </c>
      <c r="K2342" t="n">
        <v>0</v>
      </c>
      <c r="L2342" t="n">
        <v>0</v>
      </c>
      <c r="M2342" t="n">
        <v>0</v>
      </c>
      <c r="N2342" t="n">
        <v>0</v>
      </c>
      <c r="O2342" t="n">
        <v>0</v>
      </c>
      <c r="P2342" t="n">
        <v>0</v>
      </c>
      <c r="Q2342" t="n">
        <v>0</v>
      </c>
      <c r="R2342" s="2" t="inlineStr"/>
    </row>
    <row r="2343" ht="15" customHeight="1">
      <c r="A2343" t="inlineStr">
        <is>
          <t>A 11944-2020</t>
        </is>
      </c>
      <c r="B2343" s="1" t="n">
        <v>43889</v>
      </c>
      <c r="C2343" s="1" t="n">
        <v>45810</v>
      </c>
      <c r="D2343" t="inlineStr">
        <is>
          <t>VÄRMLANDS LÄN</t>
        </is>
      </c>
      <c r="E2343" t="inlineStr">
        <is>
          <t>FILIPSTAD</t>
        </is>
      </c>
      <c r="G2343" t="n">
        <v>0.3</v>
      </c>
      <c r="H2343" t="n">
        <v>0</v>
      </c>
      <c r="I2343" t="n">
        <v>0</v>
      </c>
      <c r="J2343" t="n">
        <v>0</v>
      </c>
      <c r="K2343" t="n">
        <v>0</v>
      </c>
      <c r="L2343" t="n">
        <v>0</v>
      </c>
      <c r="M2343" t="n">
        <v>0</v>
      </c>
      <c r="N2343" t="n">
        <v>0</v>
      </c>
      <c r="O2343" t="n">
        <v>0</v>
      </c>
      <c r="P2343" t="n">
        <v>0</v>
      </c>
      <c r="Q2343" t="n">
        <v>0</v>
      </c>
      <c r="R2343" s="2" t="inlineStr"/>
    </row>
    <row r="2344" ht="15" customHeight="1">
      <c r="A2344" t="inlineStr">
        <is>
          <t>A 11143-2020</t>
        </is>
      </c>
      <c r="B2344" s="1" t="n">
        <v>43891</v>
      </c>
      <c r="C2344" s="1" t="n">
        <v>45810</v>
      </c>
      <c r="D2344" t="inlineStr">
        <is>
          <t>VÄRMLANDS LÄN</t>
        </is>
      </c>
      <c r="E2344" t="inlineStr">
        <is>
          <t>GRUMS</t>
        </is>
      </c>
      <c r="G2344" t="n">
        <v>10.1</v>
      </c>
      <c r="H2344" t="n">
        <v>0</v>
      </c>
      <c r="I2344" t="n">
        <v>0</v>
      </c>
      <c r="J2344" t="n">
        <v>0</v>
      </c>
      <c r="K2344" t="n">
        <v>0</v>
      </c>
      <c r="L2344" t="n">
        <v>0</v>
      </c>
      <c r="M2344" t="n">
        <v>0</v>
      </c>
      <c r="N2344" t="n">
        <v>0</v>
      </c>
      <c r="O2344" t="n">
        <v>0</v>
      </c>
      <c r="P2344" t="n">
        <v>0</v>
      </c>
      <c r="Q2344" t="n">
        <v>0</v>
      </c>
      <c r="R2344" s="2" t="inlineStr"/>
    </row>
    <row r="2345" ht="15" customHeight="1">
      <c r="A2345" t="inlineStr">
        <is>
          <t>A 11169-2020</t>
        </is>
      </c>
      <c r="B2345" s="1" t="n">
        <v>43891</v>
      </c>
      <c r="C2345" s="1" t="n">
        <v>45810</v>
      </c>
      <c r="D2345" t="inlineStr">
        <is>
          <t>VÄRMLANDS LÄN</t>
        </is>
      </c>
      <c r="E2345" t="inlineStr">
        <is>
          <t>SÄFFLE</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12152-2020</t>
        </is>
      </c>
      <c r="B2346" s="1" t="n">
        <v>43891</v>
      </c>
      <c r="C2346" s="1" t="n">
        <v>45810</v>
      </c>
      <c r="D2346" t="inlineStr">
        <is>
          <t>VÄRMLANDS LÄN</t>
        </is>
      </c>
      <c r="E2346" t="inlineStr">
        <is>
          <t>GRUMS</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11142-2020</t>
        </is>
      </c>
      <c r="B2347" s="1" t="n">
        <v>43891</v>
      </c>
      <c r="C2347" s="1" t="n">
        <v>45810</v>
      </c>
      <c r="D2347" t="inlineStr">
        <is>
          <t>VÄRMLANDS LÄN</t>
        </is>
      </c>
      <c r="E2347" t="inlineStr">
        <is>
          <t>GRUMS</t>
        </is>
      </c>
      <c r="G2347" t="n">
        <v>3.1</v>
      </c>
      <c r="H2347" t="n">
        <v>0</v>
      </c>
      <c r="I2347" t="n">
        <v>0</v>
      </c>
      <c r="J2347" t="n">
        <v>0</v>
      </c>
      <c r="K2347" t="n">
        <v>0</v>
      </c>
      <c r="L2347" t="n">
        <v>0</v>
      </c>
      <c r="M2347" t="n">
        <v>0</v>
      </c>
      <c r="N2347" t="n">
        <v>0</v>
      </c>
      <c r="O2347" t="n">
        <v>0</v>
      </c>
      <c r="P2347" t="n">
        <v>0</v>
      </c>
      <c r="Q2347" t="n">
        <v>0</v>
      </c>
      <c r="R2347" s="2" t="inlineStr"/>
    </row>
    <row r="2348" ht="15" customHeight="1">
      <c r="A2348" t="inlineStr">
        <is>
          <t>A 11168-2020</t>
        </is>
      </c>
      <c r="B2348" s="1" t="n">
        <v>43891</v>
      </c>
      <c r="C2348" s="1" t="n">
        <v>45810</v>
      </c>
      <c r="D2348" t="inlineStr">
        <is>
          <t>VÄRMLANDS LÄN</t>
        </is>
      </c>
      <c r="E2348" t="inlineStr">
        <is>
          <t>SÄFFLE</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12149-2020</t>
        </is>
      </c>
      <c r="B2349" s="1" t="n">
        <v>43891</v>
      </c>
      <c r="C2349" s="1" t="n">
        <v>45810</v>
      </c>
      <c r="D2349" t="inlineStr">
        <is>
          <t>VÄRMLANDS LÄN</t>
        </is>
      </c>
      <c r="E2349" t="inlineStr">
        <is>
          <t>GRUMS</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11141-2020</t>
        </is>
      </c>
      <c r="B2350" s="1" t="n">
        <v>43891</v>
      </c>
      <c r="C2350" s="1" t="n">
        <v>45810</v>
      </c>
      <c r="D2350" t="inlineStr">
        <is>
          <t>VÄRMLANDS LÄN</t>
        </is>
      </c>
      <c r="E2350" t="inlineStr">
        <is>
          <t>GRUMS</t>
        </is>
      </c>
      <c r="G2350" t="n">
        <v>6.7</v>
      </c>
      <c r="H2350" t="n">
        <v>0</v>
      </c>
      <c r="I2350" t="n">
        <v>0</v>
      </c>
      <c r="J2350" t="n">
        <v>0</v>
      </c>
      <c r="K2350" t="n">
        <v>0</v>
      </c>
      <c r="L2350" t="n">
        <v>0</v>
      </c>
      <c r="M2350" t="n">
        <v>0</v>
      </c>
      <c r="N2350" t="n">
        <v>0</v>
      </c>
      <c r="O2350" t="n">
        <v>0</v>
      </c>
      <c r="P2350" t="n">
        <v>0</v>
      </c>
      <c r="Q2350" t="n">
        <v>0</v>
      </c>
      <c r="R2350" s="2" t="inlineStr"/>
    </row>
    <row r="2351" ht="15" customHeight="1">
      <c r="A2351" t="inlineStr">
        <is>
          <t>A 11160-2020</t>
        </is>
      </c>
      <c r="B2351" s="1" t="n">
        <v>43891</v>
      </c>
      <c r="C2351" s="1" t="n">
        <v>45810</v>
      </c>
      <c r="D2351" t="inlineStr">
        <is>
          <t>VÄRMLANDS LÄN</t>
        </is>
      </c>
      <c r="E2351" t="inlineStr">
        <is>
          <t>FILIPSTAD</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11170-2020</t>
        </is>
      </c>
      <c r="B2352" s="1" t="n">
        <v>43891</v>
      </c>
      <c r="C2352" s="1" t="n">
        <v>45810</v>
      </c>
      <c r="D2352" t="inlineStr">
        <is>
          <t>VÄRMLANDS LÄN</t>
        </is>
      </c>
      <c r="E2352" t="inlineStr">
        <is>
          <t>ARVIKA</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12155-2020</t>
        </is>
      </c>
      <c r="B2353" s="1" t="n">
        <v>43891</v>
      </c>
      <c r="C2353" s="1" t="n">
        <v>45810</v>
      </c>
      <c r="D2353" t="inlineStr">
        <is>
          <t>VÄRMLANDS LÄN</t>
        </is>
      </c>
      <c r="E2353" t="inlineStr">
        <is>
          <t>KIL</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11206-2020</t>
        </is>
      </c>
      <c r="B2354" s="1" t="n">
        <v>43892</v>
      </c>
      <c r="C2354" s="1" t="n">
        <v>45810</v>
      </c>
      <c r="D2354" t="inlineStr">
        <is>
          <t>VÄRMLANDS LÄN</t>
        </is>
      </c>
      <c r="E2354" t="inlineStr">
        <is>
          <t>ÅRJÄNG</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11224-2020</t>
        </is>
      </c>
      <c r="B2355" s="1" t="n">
        <v>43892</v>
      </c>
      <c r="C2355" s="1" t="n">
        <v>45810</v>
      </c>
      <c r="D2355" t="inlineStr">
        <is>
          <t>VÄRMLANDS LÄN</t>
        </is>
      </c>
      <c r="E2355" t="inlineStr">
        <is>
          <t>SUNNE</t>
        </is>
      </c>
      <c r="F2355" t="inlineStr">
        <is>
          <t>Bergvik skog väst AB</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12454-2020</t>
        </is>
      </c>
      <c r="B2356" s="1" t="n">
        <v>43892</v>
      </c>
      <c r="C2356" s="1" t="n">
        <v>45810</v>
      </c>
      <c r="D2356" t="inlineStr">
        <is>
          <t>VÄRMLANDS LÄN</t>
        </is>
      </c>
      <c r="E2356" t="inlineStr">
        <is>
          <t>KRISTINEHAMN</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11205-2020</t>
        </is>
      </c>
      <c r="B2357" s="1" t="n">
        <v>43892</v>
      </c>
      <c r="C2357" s="1" t="n">
        <v>45810</v>
      </c>
      <c r="D2357" t="inlineStr">
        <is>
          <t>VÄRMLANDS LÄN</t>
        </is>
      </c>
      <c r="E2357" t="inlineStr">
        <is>
          <t>EDA</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12575-2020</t>
        </is>
      </c>
      <c r="B2358" s="1" t="n">
        <v>43892</v>
      </c>
      <c r="C2358" s="1" t="n">
        <v>45810</v>
      </c>
      <c r="D2358" t="inlineStr">
        <is>
          <t>VÄRMLANDS LÄN</t>
        </is>
      </c>
      <c r="E2358" t="inlineStr">
        <is>
          <t>ÅRJÄNG</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11398-2020</t>
        </is>
      </c>
      <c r="B2359" s="1" t="n">
        <v>43892</v>
      </c>
      <c r="C2359" s="1" t="n">
        <v>45810</v>
      </c>
      <c r="D2359" t="inlineStr">
        <is>
          <t>VÄRMLANDS LÄN</t>
        </is>
      </c>
      <c r="E2359" t="inlineStr">
        <is>
          <t>SUNNE</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12573-2020</t>
        </is>
      </c>
      <c r="B2360" s="1" t="n">
        <v>43892</v>
      </c>
      <c r="C2360" s="1" t="n">
        <v>45810</v>
      </c>
      <c r="D2360" t="inlineStr">
        <is>
          <t>VÄRMLANDS LÄN</t>
        </is>
      </c>
      <c r="E2360" t="inlineStr">
        <is>
          <t>ÅRJÄNG</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11313-2020</t>
        </is>
      </c>
      <c r="B2361" s="1" t="n">
        <v>43892</v>
      </c>
      <c r="C2361" s="1" t="n">
        <v>45810</v>
      </c>
      <c r="D2361" t="inlineStr">
        <is>
          <t>VÄRMLANDS LÄN</t>
        </is>
      </c>
      <c r="E2361" t="inlineStr">
        <is>
          <t>ARVIKA</t>
        </is>
      </c>
      <c r="G2361" t="n">
        <v>3.8</v>
      </c>
      <c r="H2361" t="n">
        <v>0</v>
      </c>
      <c r="I2361" t="n">
        <v>0</v>
      </c>
      <c r="J2361" t="n">
        <v>0</v>
      </c>
      <c r="K2361" t="n">
        <v>0</v>
      </c>
      <c r="L2361" t="n">
        <v>0</v>
      </c>
      <c r="M2361" t="n">
        <v>0</v>
      </c>
      <c r="N2361" t="n">
        <v>0</v>
      </c>
      <c r="O2361" t="n">
        <v>0</v>
      </c>
      <c r="P2361" t="n">
        <v>0</v>
      </c>
      <c r="Q2361" t="n">
        <v>0</v>
      </c>
      <c r="R2361" s="2" t="inlineStr"/>
    </row>
    <row r="2362" ht="15" customHeight="1">
      <c r="A2362" t="inlineStr">
        <is>
          <t>A 11213-2020</t>
        </is>
      </c>
      <c r="B2362" s="1" t="n">
        <v>43892</v>
      </c>
      <c r="C2362" s="1" t="n">
        <v>45810</v>
      </c>
      <c r="D2362" t="inlineStr">
        <is>
          <t>VÄRMLANDS LÄN</t>
        </is>
      </c>
      <c r="E2362" t="inlineStr">
        <is>
          <t>TORSBY</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11463-2020</t>
        </is>
      </c>
      <c r="B2363" s="1" t="n">
        <v>43893</v>
      </c>
      <c r="C2363" s="1" t="n">
        <v>45810</v>
      </c>
      <c r="D2363" t="inlineStr">
        <is>
          <t>VÄRMLANDS LÄN</t>
        </is>
      </c>
      <c r="E2363" t="inlineStr">
        <is>
          <t>ÅRJÄNG</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11580-2020</t>
        </is>
      </c>
      <c r="B2364" s="1" t="n">
        <v>43893</v>
      </c>
      <c r="C2364" s="1" t="n">
        <v>45810</v>
      </c>
      <c r="D2364" t="inlineStr">
        <is>
          <t>VÄRMLANDS LÄN</t>
        </is>
      </c>
      <c r="E2364" t="inlineStr">
        <is>
          <t>GRUMS</t>
        </is>
      </c>
      <c r="G2364" t="n">
        <v>3</v>
      </c>
      <c r="H2364" t="n">
        <v>0</v>
      </c>
      <c r="I2364" t="n">
        <v>0</v>
      </c>
      <c r="J2364" t="n">
        <v>0</v>
      </c>
      <c r="K2364" t="n">
        <v>0</v>
      </c>
      <c r="L2364" t="n">
        <v>0</v>
      </c>
      <c r="M2364" t="n">
        <v>0</v>
      </c>
      <c r="N2364" t="n">
        <v>0</v>
      </c>
      <c r="O2364" t="n">
        <v>0</v>
      </c>
      <c r="P2364" t="n">
        <v>0</v>
      </c>
      <c r="Q2364" t="n">
        <v>0</v>
      </c>
      <c r="R2364" s="2" t="inlineStr"/>
    </row>
    <row r="2365" ht="15" customHeight="1">
      <c r="A2365" t="inlineStr">
        <is>
          <t>A 11660-2020</t>
        </is>
      </c>
      <c r="B2365" s="1" t="n">
        <v>43893</v>
      </c>
      <c r="C2365" s="1" t="n">
        <v>45810</v>
      </c>
      <c r="D2365" t="inlineStr">
        <is>
          <t>VÄRMLANDS LÄN</t>
        </is>
      </c>
      <c r="E2365" t="inlineStr">
        <is>
          <t>ARVIKA</t>
        </is>
      </c>
      <c r="G2365" t="n">
        <v>3.6</v>
      </c>
      <c r="H2365" t="n">
        <v>0</v>
      </c>
      <c r="I2365" t="n">
        <v>0</v>
      </c>
      <c r="J2365" t="n">
        <v>0</v>
      </c>
      <c r="K2365" t="n">
        <v>0</v>
      </c>
      <c r="L2365" t="n">
        <v>0</v>
      </c>
      <c r="M2365" t="n">
        <v>0</v>
      </c>
      <c r="N2365" t="n">
        <v>0</v>
      </c>
      <c r="O2365" t="n">
        <v>0</v>
      </c>
      <c r="P2365" t="n">
        <v>0</v>
      </c>
      <c r="Q2365" t="n">
        <v>0</v>
      </c>
      <c r="R2365" s="2" t="inlineStr"/>
    </row>
    <row r="2366" ht="15" customHeight="1">
      <c r="A2366" t="inlineStr">
        <is>
          <t>A 11949-2020</t>
        </is>
      </c>
      <c r="B2366" s="1" t="n">
        <v>43894</v>
      </c>
      <c r="C2366" s="1" t="n">
        <v>45810</v>
      </c>
      <c r="D2366" t="inlineStr">
        <is>
          <t>VÄRMLANDS LÄN</t>
        </is>
      </c>
      <c r="E2366" t="inlineStr">
        <is>
          <t>SUNNE</t>
        </is>
      </c>
      <c r="G2366" t="n">
        <v>4.6</v>
      </c>
      <c r="H2366" t="n">
        <v>0</v>
      </c>
      <c r="I2366" t="n">
        <v>0</v>
      </c>
      <c r="J2366" t="n">
        <v>0</v>
      </c>
      <c r="K2366" t="n">
        <v>0</v>
      </c>
      <c r="L2366" t="n">
        <v>0</v>
      </c>
      <c r="M2366" t="n">
        <v>0</v>
      </c>
      <c r="N2366" t="n">
        <v>0</v>
      </c>
      <c r="O2366" t="n">
        <v>0</v>
      </c>
      <c r="P2366" t="n">
        <v>0</v>
      </c>
      <c r="Q2366" t="n">
        <v>0</v>
      </c>
      <c r="R2366" s="2" t="inlineStr"/>
    </row>
    <row r="2367" ht="15" customHeight="1">
      <c r="A2367" t="inlineStr">
        <is>
          <t>A 11866-2020</t>
        </is>
      </c>
      <c r="B2367" s="1" t="n">
        <v>43894</v>
      </c>
      <c r="C2367" s="1" t="n">
        <v>45810</v>
      </c>
      <c r="D2367" t="inlineStr">
        <is>
          <t>VÄRMLANDS LÄN</t>
        </is>
      </c>
      <c r="E2367" t="inlineStr">
        <is>
          <t>SÄFFLE</t>
        </is>
      </c>
      <c r="F2367" t="inlineStr">
        <is>
          <t>Kyrkan</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12022-2020</t>
        </is>
      </c>
      <c r="B2368" s="1" t="n">
        <v>43894</v>
      </c>
      <c r="C2368" s="1" t="n">
        <v>45810</v>
      </c>
      <c r="D2368" t="inlineStr">
        <is>
          <t>VÄRMLANDS LÄN</t>
        </is>
      </c>
      <c r="E2368" t="inlineStr">
        <is>
          <t>GRUMS</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12009-2020</t>
        </is>
      </c>
      <c r="B2369" s="1" t="n">
        <v>43894</v>
      </c>
      <c r="C2369" s="1" t="n">
        <v>45810</v>
      </c>
      <c r="D2369" t="inlineStr">
        <is>
          <t>VÄRMLANDS LÄN</t>
        </is>
      </c>
      <c r="E2369" t="inlineStr">
        <is>
          <t>STORFORS</t>
        </is>
      </c>
      <c r="G2369" t="n">
        <v>4.2</v>
      </c>
      <c r="H2369" t="n">
        <v>0</v>
      </c>
      <c r="I2369" t="n">
        <v>0</v>
      </c>
      <c r="J2369" t="n">
        <v>0</v>
      </c>
      <c r="K2369" t="n">
        <v>0</v>
      </c>
      <c r="L2369" t="n">
        <v>0</v>
      </c>
      <c r="M2369" t="n">
        <v>0</v>
      </c>
      <c r="N2369" t="n">
        <v>0</v>
      </c>
      <c r="O2369" t="n">
        <v>0</v>
      </c>
      <c r="P2369" t="n">
        <v>0</v>
      </c>
      <c r="Q2369" t="n">
        <v>0</v>
      </c>
      <c r="R2369" s="2" t="inlineStr"/>
    </row>
    <row r="2370" ht="15" customHeight="1">
      <c r="A2370" t="inlineStr">
        <is>
          <t>A 12053-2020</t>
        </is>
      </c>
      <c r="B2370" s="1" t="n">
        <v>43894</v>
      </c>
      <c r="C2370" s="1" t="n">
        <v>45810</v>
      </c>
      <c r="D2370" t="inlineStr">
        <is>
          <t>VÄRMLANDS LÄN</t>
        </is>
      </c>
      <c r="E2370" t="inlineStr">
        <is>
          <t>KRISTINEHAMN</t>
        </is>
      </c>
      <c r="G2370" t="n">
        <v>6.5</v>
      </c>
      <c r="H2370" t="n">
        <v>0</v>
      </c>
      <c r="I2370" t="n">
        <v>0</v>
      </c>
      <c r="J2370" t="n">
        <v>0</v>
      </c>
      <c r="K2370" t="n">
        <v>0</v>
      </c>
      <c r="L2370" t="n">
        <v>0</v>
      </c>
      <c r="M2370" t="n">
        <v>0</v>
      </c>
      <c r="N2370" t="n">
        <v>0</v>
      </c>
      <c r="O2370" t="n">
        <v>0</v>
      </c>
      <c r="P2370" t="n">
        <v>0</v>
      </c>
      <c r="Q2370" t="n">
        <v>0</v>
      </c>
      <c r="R2370" s="2" t="inlineStr"/>
    </row>
    <row r="2371" ht="15" customHeight="1">
      <c r="A2371" t="inlineStr">
        <is>
          <t>A 12180-2020</t>
        </is>
      </c>
      <c r="B2371" s="1" t="n">
        <v>43895</v>
      </c>
      <c r="C2371" s="1" t="n">
        <v>45810</v>
      </c>
      <c r="D2371" t="inlineStr">
        <is>
          <t>VÄRMLANDS LÄN</t>
        </is>
      </c>
      <c r="E2371" t="inlineStr">
        <is>
          <t>SÄFFLE</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12232-2020</t>
        </is>
      </c>
      <c r="B2372" s="1" t="n">
        <v>43895</v>
      </c>
      <c r="C2372" s="1" t="n">
        <v>45810</v>
      </c>
      <c r="D2372" t="inlineStr">
        <is>
          <t>VÄRMLANDS LÄN</t>
        </is>
      </c>
      <c r="E2372" t="inlineStr">
        <is>
          <t>EDA</t>
        </is>
      </c>
      <c r="G2372" t="n">
        <v>7.1</v>
      </c>
      <c r="H2372" t="n">
        <v>0</v>
      </c>
      <c r="I2372" t="n">
        <v>0</v>
      </c>
      <c r="J2372" t="n">
        <v>0</v>
      </c>
      <c r="K2372" t="n">
        <v>0</v>
      </c>
      <c r="L2372" t="n">
        <v>0</v>
      </c>
      <c r="M2372" t="n">
        <v>0</v>
      </c>
      <c r="N2372" t="n">
        <v>0</v>
      </c>
      <c r="O2372" t="n">
        <v>0</v>
      </c>
      <c r="P2372" t="n">
        <v>0</v>
      </c>
      <c r="Q2372" t="n">
        <v>0</v>
      </c>
      <c r="R2372" s="2" t="inlineStr"/>
    </row>
    <row r="2373" ht="15" customHeight="1">
      <c r="A2373" t="inlineStr">
        <is>
          <t>A 12210-2020</t>
        </is>
      </c>
      <c r="B2373" s="1" t="n">
        <v>43895</v>
      </c>
      <c r="C2373" s="1" t="n">
        <v>45810</v>
      </c>
      <c r="D2373" t="inlineStr">
        <is>
          <t>VÄRMLANDS LÄN</t>
        </is>
      </c>
      <c r="E2373" t="inlineStr">
        <is>
          <t>ARVIKA</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12234-2020</t>
        </is>
      </c>
      <c r="B2374" s="1" t="n">
        <v>43895</v>
      </c>
      <c r="C2374" s="1" t="n">
        <v>45810</v>
      </c>
      <c r="D2374" t="inlineStr">
        <is>
          <t>VÄRMLANDS LÄN</t>
        </is>
      </c>
      <c r="E2374" t="inlineStr">
        <is>
          <t>SÄFFLE</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12363-2020</t>
        </is>
      </c>
      <c r="B2375" s="1" t="n">
        <v>43896</v>
      </c>
      <c r="C2375" s="1" t="n">
        <v>45810</v>
      </c>
      <c r="D2375" t="inlineStr">
        <is>
          <t>VÄRMLANDS LÄN</t>
        </is>
      </c>
      <c r="E2375" t="inlineStr">
        <is>
          <t>EDA</t>
        </is>
      </c>
      <c r="G2375" t="n">
        <v>6</v>
      </c>
      <c r="H2375" t="n">
        <v>0</v>
      </c>
      <c r="I2375" t="n">
        <v>0</v>
      </c>
      <c r="J2375" t="n">
        <v>0</v>
      </c>
      <c r="K2375" t="n">
        <v>0</v>
      </c>
      <c r="L2375" t="n">
        <v>0</v>
      </c>
      <c r="M2375" t="n">
        <v>0</v>
      </c>
      <c r="N2375" t="n">
        <v>0</v>
      </c>
      <c r="O2375" t="n">
        <v>0</v>
      </c>
      <c r="P2375" t="n">
        <v>0</v>
      </c>
      <c r="Q2375" t="n">
        <v>0</v>
      </c>
      <c r="R2375" s="2" t="inlineStr"/>
    </row>
    <row r="2376" ht="15" customHeight="1">
      <c r="A2376" t="inlineStr">
        <is>
          <t>A 12372-2020</t>
        </is>
      </c>
      <c r="B2376" s="1" t="n">
        <v>43896</v>
      </c>
      <c r="C2376" s="1" t="n">
        <v>45810</v>
      </c>
      <c r="D2376" t="inlineStr">
        <is>
          <t>VÄRMLANDS LÄN</t>
        </is>
      </c>
      <c r="E2376" t="inlineStr">
        <is>
          <t>FILIPSTAD</t>
        </is>
      </c>
      <c r="G2376" t="n">
        <v>4.8</v>
      </c>
      <c r="H2376" t="n">
        <v>0</v>
      </c>
      <c r="I2376" t="n">
        <v>0</v>
      </c>
      <c r="J2376" t="n">
        <v>0</v>
      </c>
      <c r="K2376" t="n">
        <v>0</v>
      </c>
      <c r="L2376" t="n">
        <v>0</v>
      </c>
      <c r="M2376" t="n">
        <v>0</v>
      </c>
      <c r="N2376" t="n">
        <v>0</v>
      </c>
      <c r="O2376" t="n">
        <v>0</v>
      </c>
      <c r="P2376" t="n">
        <v>0</v>
      </c>
      <c r="Q2376" t="n">
        <v>0</v>
      </c>
      <c r="R2376" s="2" t="inlineStr"/>
    </row>
    <row r="2377" ht="15" customHeight="1">
      <c r="A2377" t="inlineStr">
        <is>
          <t>A 12417-2020</t>
        </is>
      </c>
      <c r="B2377" s="1" t="n">
        <v>43896</v>
      </c>
      <c r="C2377" s="1" t="n">
        <v>45810</v>
      </c>
      <c r="D2377" t="inlineStr">
        <is>
          <t>VÄRMLANDS LÄN</t>
        </is>
      </c>
      <c r="E2377" t="inlineStr">
        <is>
          <t>SÄFFLE</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12425-2020</t>
        </is>
      </c>
      <c r="B2378" s="1" t="n">
        <v>43896</v>
      </c>
      <c r="C2378" s="1" t="n">
        <v>45810</v>
      </c>
      <c r="D2378" t="inlineStr">
        <is>
          <t>VÄRMLANDS LÄN</t>
        </is>
      </c>
      <c r="E2378" t="inlineStr">
        <is>
          <t>SUNNE</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12399-2020</t>
        </is>
      </c>
      <c r="B2379" s="1" t="n">
        <v>43896</v>
      </c>
      <c r="C2379" s="1" t="n">
        <v>45810</v>
      </c>
      <c r="D2379" t="inlineStr">
        <is>
          <t>VÄRMLANDS LÄN</t>
        </is>
      </c>
      <c r="E2379" t="inlineStr">
        <is>
          <t>ARVIKA</t>
        </is>
      </c>
      <c r="F2379" t="inlineStr">
        <is>
          <t>Bergvik skog väst AB</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12428-2020</t>
        </is>
      </c>
      <c r="B2380" s="1" t="n">
        <v>43896</v>
      </c>
      <c r="C2380" s="1" t="n">
        <v>45810</v>
      </c>
      <c r="D2380" t="inlineStr">
        <is>
          <t>VÄRMLANDS LÄN</t>
        </is>
      </c>
      <c r="E2380" t="inlineStr">
        <is>
          <t>TORSBY</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12506-2020</t>
        </is>
      </c>
      <c r="B2381" s="1" t="n">
        <v>43896</v>
      </c>
      <c r="C2381" s="1" t="n">
        <v>45810</v>
      </c>
      <c r="D2381" t="inlineStr">
        <is>
          <t>VÄRMLANDS LÄN</t>
        </is>
      </c>
      <c r="E2381" t="inlineStr">
        <is>
          <t>ARVIKA</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13849-2020</t>
        </is>
      </c>
      <c r="B2382" s="1" t="n">
        <v>43896</v>
      </c>
      <c r="C2382" s="1" t="n">
        <v>45810</v>
      </c>
      <c r="D2382" t="inlineStr">
        <is>
          <t>VÄRMLANDS LÄN</t>
        </is>
      </c>
      <c r="E2382" t="inlineStr">
        <is>
          <t>SUNNE</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12655-2020</t>
        </is>
      </c>
      <c r="B2383" s="1" t="n">
        <v>43897</v>
      </c>
      <c r="C2383" s="1" t="n">
        <v>45810</v>
      </c>
      <c r="D2383" t="inlineStr">
        <is>
          <t>VÄRMLANDS LÄN</t>
        </is>
      </c>
      <c r="E2383" t="inlineStr">
        <is>
          <t>KRISTINEHAMN</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12547-2020</t>
        </is>
      </c>
      <c r="B2384" s="1" t="n">
        <v>43897</v>
      </c>
      <c r="C2384" s="1" t="n">
        <v>45810</v>
      </c>
      <c r="D2384" t="inlineStr">
        <is>
          <t>VÄRMLANDS LÄN</t>
        </is>
      </c>
      <c r="E2384" t="inlineStr">
        <is>
          <t>GRUMS</t>
        </is>
      </c>
      <c r="G2384" t="n">
        <v>22</v>
      </c>
      <c r="H2384" t="n">
        <v>0</v>
      </c>
      <c r="I2384" t="n">
        <v>0</v>
      </c>
      <c r="J2384" t="n">
        <v>0</v>
      </c>
      <c r="K2384" t="n">
        <v>0</v>
      </c>
      <c r="L2384" t="n">
        <v>0</v>
      </c>
      <c r="M2384" t="n">
        <v>0</v>
      </c>
      <c r="N2384" t="n">
        <v>0</v>
      </c>
      <c r="O2384" t="n">
        <v>0</v>
      </c>
      <c r="P2384" t="n">
        <v>0</v>
      </c>
      <c r="Q2384" t="n">
        <v>0</v>
      </c>
      <c r="R2384" s="2" t="inlineStr"/>
    </row>
    <row r="2385" ht="15" customHeight="1">
      <c r="A2385" t="inlineStr">
        <is>
          <t>A 12659-2020</t>
        </is>
      </c>
      <c r="B2385" s="1" t="n">
        <v>43898</v>
      </c>
      <c r="C2385" s="1" t="n">
        <v>45810</v>
      </c>
      <c r="D2385" t="inlineStr">
        <is>
          <t>VÄRMLANDS LÄN</t>
        </is>
      </c>
      <c r="E2385" t="inlineStr">
        <is>
          <t>KRISTINEHAMN</t>
        </is>
      </c>
      <c r="G2385" t="n">
        <v>5.9</v>
      </c>
      <c r="H2385" t="n">
        <v>0</v>
      </c>
      <c r="I2385" t="n">
        <v>0</v>
      </c>
      <c r="J2385" t="n">
        <v>0</v>
      </c>
      <c r="K2385" t="n">
        <v>0</v>
      </c>
      <c r="L2385" t="n">
        <v>0</v>
      </c>
      <c r="M2385" t="n">
        <v>0</v>
      </c>
      <c r="N2385" t="n">
        <v>0</v>
      </c>
      <c r="O2385" t="n">
        <v>0</v>
      </c>
      <c r="P2385" t="n">
        <v>0</v>
      </c>
      <c r="Q2385" t="n">
        <v>0</v>
      </c>
      <c r="R2385" s="2" t="inlineStr"/>
    </row>
    <row r="2386" ht="15" customHeight="1">
      <c r="A2386" t="inlineStr">
        <is>
          <t>A 12559-2020</t>
        </is>
      </c>
      <c r="B2386" s="1" t="n">
        <v>43898</v>
      </c>
      <c r="C2386" s="1" t="n">
        <v>45810</v>
      </c>
      <c r="D2386" t="inlineStr">
        <is>
          <t>VÄRMLANDS LÄN</t>
        </is>
      </c>
      <c r="E2386" t="inlineStr">
        <is>
          <t>ARVIKA</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12662-2020</t>
        </is>
      </c>
      <c r="B2387" s="1" t="n">
        <v>43899</v>
      </c>
      <c r="C2387" s="1" t="n">
        <v>45810</v>
      </c>
      <c r="D2387" t="inlineStr">
        <is>
          <t>VÄRMLANDS LÄN</t>
        </is>
      </c>
      <c r="E2387" t="inlineStr">
        <is>
          <t>SÄFFLE</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12665-2020</t>
        </is>
      </c>
      <c r="B2388" s="1" t="n">
        <v>43899</v>
      </c>
      <c r="C2388" s="1" t="n">
        <v>45810</v>
      </c>
      <c r="D2388" t="inlineStr">
        <is>
          <t>VÄRMLANDS LÄN</t>
        </is>
      </c>
      <c r="E2388" t="inlineStr">
        <is>
          <t>SUNNE</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12737-2020</t>
        </is>
      </c>
      <c r="B2389" s="1" t="n">
        <v>43899</v>
      </c>
      <c r="C2389" s="1" t="n">
        <v>45810</v>
      </c>
      <c r="D2389" t="inlineStr">
        <is>
          <t>VÄRMLANDS LÄN</t>
        </is>
      </c>
      <c r="E2389" t="inlineStr">
        <is>
          <t>SÄFFLE</t>
        </is>
      </c>
      <c r="F2389" t="inlineStr">
        <is>
          <t>Kyrkan</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12796-2020</t>
        </is>
      </c>
      <c r="B2390" s="1" t="n">
        <v>43899</v>
      </c>
      <c r="C2390" s="1" t="n">
        <v>45810</v>
      </c>
      <c r="D2390" t="inlineStr">
        <is>
          <t>VÄRMLANDS LÄN</t>
        </is>
      </c>
      <c r="E2390" t="inlineStr">
        <is>
          <t>STORFORS</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12822-2020</t>
        </is>
      </c>
      <c r="B2391" s="1" t="n">
        <v>43899</v>
      </c>
      <c r="C2391" s="1" t="n">
        <v>45810</v>
      </c>
      <c r="D2391" t="inlineStr">
        <is>
          <t>VÄRMLANDS LÄN</t>
        </is>
      </c>
      <c r="E2391" t="inlineStr">
        <is>
          <t>KARLSTAD</t>
        </is>
      </c>
      <c r="G2391" t="n">
        <v>0.3</v>
      </c>
      <c r="H2391" t="n">
        <v>0</v>
      </c>
      <c r="I2391" t="n">
        <v>0</v>
      </c>
      <c r="J2391" t="n">
        <v>0</v>
      </c>
      <c r="K2391" t="n">
        <v>0</v>
      </c>
      <c r="L2391" t="n">
        <v>0</v>
      </c>
      <c r="M2391" t="n">
        <v>0</v>
      </c>
      <c r="N2391" t="n">
        <v>0</v>
      </c>
      <c r="O2391" t="n">
        <v>0</v>
      </c>
      <c r="P2391" t="n">
        <v>0</v>
      </c>
      <c r="Q2391" t="n">
        <v>0</v>
      </c>
      <c r="R2391" s="2" t="inlineStr"/>
    </row>
    <row r="2392" ht="15" customHeight="1">
      <c r="A2392" t="inlineStr">
        <is>
          <t>A 12855-2020</t>
        </is>
      </c>
      <c r="B2392" s="1" t="n">
        <v>43899</v>
      </c>
      <c r="C2392" s="1" t="n">
        <v>45810</v>
      </c>
      <c r="D2392" t="inlineStr">
        <is>
          <t>VÄRMLANDS LÄN</t>
        </is>
      </c>
      <c r="E2392" t="inlineStr">
        <is>
          <t>TORSBY</t>
        </is>
      </c>
      <c r="G2392" t="n">
        <v>5.9</v>
      </c>
      <c r="H2392" t="n">
        <v>0</v>
      </c>
      <c r="I2392" t="n">
        <v>0</v>
      </c>
      <c r="J2392" t="n">
        <v>0</v>
      </c>
      <c r="K2392" t="n">
        <v>0</v>
      </c>
      <c r="L2392" t="n">
        <v>0</v>
      </c>
      <c r="M2392" t="n">
        <v>0</v>
      </c>
      <c r="N2392" t="n">
        <v>0</v>
      </c>
      <c r="O2392" t="n">
        <v>0</v>
      </c>
      <c r="P2392" t="n">
        <v>0</v>
      </c>
      <c r="Q2392" t="n">
        <v>0</v>
      </c>
      <c r="R2392" s="2" t="inlineStr"/>
    </row>
    <row r="2393" ht="15" customHeight="1">
      <c r="A2393" t="inlineStr">
        <is>
          <t>A 14104-2020</t>
        </is>
      </c>
      <c r="B2393" s="1" t="n">
        <v>43899</v>
      </c>
      <c r="C2393" s="1" t="n">
        <v>45810</v>
      </c>
      <c r="D2393" t="inlineStr">
        <is>
          <t>VÄRMLANDS LÄN</t>
        </is>
      </c>
      <c r="E2393" t="inlineStr">
        <is>
          <t>ÅRJÄNG</t>
        </is>
      </c>
      <c r="G2393" t="n">
        <v>4.6</v>
      </c>
      <c r="H2393" t="n">
        <v>0</v>
      </c>
      <c r="I2393" t="n">
        <v>0</v>
      </c>
      <c r="J2393" t="n">
        <v>0</v>
      </c>
      <c r="K2393" t="n">
        <v>0</v>
      </c>
      <c r="L2393" t="n">
        <v>0</v>
      </c>
      <c r="M2393" t="n">
        <v>0</v>
      </c>
      <c r="N2393" t="n">
        <v>0</v>
      </c>
      <c r="O2393" t="n">
        <v>0</v>
      </c>
      <c r="P2393" t="n">
        <v>0</v>
      </c>
      <c r="Q2393" t="n">
        <v>0</v>
      </c>
      <c r="R2393" s="2" t="inlineStr"/>
    </row>
    <row r="2394" ht="15" customHeight="1">
      <c r="A2394" t="inlineStr">
        <is>
          <t>A 13968-2020</t>
        </is>
      </c>
      <c r="B2394" s="1" t="n">
        <v>43899</v>
      </c>
      <c r="C2394" s="1" t="n">
        <v>45810</v>
      </c>
      <c r="D2394" t="inlineStr">
        <is>
          <t>VÄRMLANDS LÄN</t>
        </is>
      </c>
      <c r="E2394" t="inlineStr">
        <is>
          <t>SÄFFLE</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14013-2020</t>
        </is>
      </c>
      <c r="B2395" s="1" t="n">
        <v>43899</v>
      </c>
      <c r="C2395" s="1" t="n">
        <v>45810</v>
      </c>
      <c r="D2395" t="inlineStr">
        <is>
          <t>VÄRMLANDS LÄN</t>
        </is>
      </c>
      <c r="E2395" t="inlineStr">
        <is>
          <t>KRISTINEHAMN</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18662-2020</t>
        </is>
      </c>
      <c r="B2396" s="1" t="n">
        <v>43899</v>
      </c>
      <c r="C2396" s="1" t="n">
        <v>45810</v>
      </c>
      <c r="D2396" t="inlineStr">
        <is>
          <t>VÄRMLANDS LÄN</t>
        </is>
      </c>
      <c r="E2396" t="inlineStr">
        <is>
          <t>ÅRJÄNG</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12881-2020</t>
        </is>
      </c>
      <c r="B2397" s="1" t="n">
        <v>43900</v>
      </c>
      <c r="C2397" s="1" t="n">
        <v>45810</v>
      </c>
      <c r="D2397" t="inlineStr">
        <is>
          <t>VÄRMLANDS LÄN</t>
        </is>
      </c>
      <c r="E2397" t="inlineStr">
        <is>
          <t>TORSBY</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12995-2020</t>
        </is>
      </c>
      <c r="B2398" s="1" t="n">
        <v>43900</v>
      </c>
      <c r="C2398" s="1" t="n">
        <v>45810</v>
      </c>
      <c r="D2398" t="inlineStr">
        <is>
          <t>VÄRMLANDS LÄN</t>
        </is>
      </c>
      <c r="E2398" t="inlineStr">
        <is>
          <t>ARVIKA</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14246-2020</t>
        </is>
      </c>
      <c r="B2399" s="1" t="n">
        <v>43900</v>
      </c>
      <c r="C2399" s="1" t="n">
        <v>45810</v>
      </c>
      <c r="D2399" t="inlineStr">
        <is>
          <t>VÄRMLANDS LÄN</t>
        </is>
      </c>
      <c r="E2399" t="inlineStr">
        <is>
          <t>TORSBY</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12901-2020</t>
        </is>
      </c>
      <c r="B2400" s="1" t="n">
        <v>43900</v>
      </c>
      <c r="C2400" s="1" t="n">
        <v>45810</v>
      </c>
      <c r="D2400" t="inlineStr">
        <is>
          <t>VÄRMLANDS LÄN</t>
        </is>
      </c>
      <c r="E2400" t="inlineStr">
        <is>
          <t>SUNNE</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13060-2020</t>
        </is>
      </c>
      <c r="B2401" s="1" t="n">
        <v>43900</v>
      </c>
      <c r="C2401" s="1" t="n">
        <v>45810</v>
      </c>
      <c r="D2401" t="inlineStr">
        <is>
          <t>VÄRMLANDS LÄN</t>
        </is>
      </c>
      <c r="E2401" t="inlineStr">
        <is>
          <t>ARVIKA</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13007-2020</t>
        </is>
      </c>
      <c r="B2402" s="1" t="n">
        <v>43900</v>
      </c>
      <c r="C2402" s="1" t="n">
        <v>45810</v>
      </c>
      <c r="D2402" t="inlineStr">
        <is>
          <t>VÄRMLANDS LÄN</t>
        </is>
      </c>
      <c r="E2402" t="inlineStr">
        <is>
          <t>SUNNE</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13091-2020</t>
        </is>
      </c>
      <c r="B2403" s="1" t="n">
        <v>43901</v>
      </c>
      <c r="C2403" s="1" t="n">
        <v>45810</v>
      </c>
      <c r="D2403" t="inlineStr">
        <is>
          <t>VÄRMLANDS LÄN</t>
        </is>
      </c>
      <c r="E2403" t="inlineStr">
        <is>
          <t>ÅRJÄNG</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13275-2020</t>
        </is>
      </c>
      <c r="B2404" s="1" t="n">
        <v>43901</v>
      </c>
      <c r="C2404" s="1" t="n">
        <v>45810</v>
      </c>
      <c r="D2404" t="inlineStr">
        <is>
          <t>VÄRMLANDS LÄN</t>
        </is>
      </c>
      <c r="E2404" t="inlineStr">
        <is>
          <t>KRISTINEHAMN</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13153-2020</t>
        </is>
      </c>
      <c r="B2405" s="1" t="n">
        <v>43901</v>
      </c>
      <c r="C2405" s="1" t="n">
        <v>45810</v>
      </c>
      <c r="D2405" t="inlineStr">
        <is>
          <t>VÄRMLANDS LÄN</t>
        </is>
      </c>
      <c r="E2405" t="inlineStr">
        <is>
          <t>TORSBY</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13122-2020</t>
        </is>
      </c>
      <c r="B2406" s="1" t="n">
        <v>43901</v>
      </c>
      <c r="C2406" s="1" t="n">
        <v>45810</v>
      </c>
      <c r="D2406" t="inlineStr">
        <is>
          <t>VÄRMLANDS LÄN</t>
        </is>
      </c>
      <c r="E2406" t="inlineStr">
        <is>
          <t>EDA</t>
        </is>
      </c>
      <c r="G2406" t="n">
        <v>4.6</v>
      </c>
      <c r="H2406" t="n">
        <v>0</v>
      </c>
      <c r="I2406" t="n">
        <v>0</v>
      </c>
      <c r="J2406" t="n">
        <v>0</v>
      </c>
      <c r="K2406" t="n">
        <v>0</v>
      </c>
      <c r="L2406" t="n">
        <v>0</v>
      </c>
      <c r="M2406" t="n">
        <v>0</v>
      </c>
      <c r="N2406" t="n">
        <v>0</v>
      </c>
      <c r="O2406" t="n">
        <v>0</v>
      </c>
      <c r="P2406" t="n">
        <v>0</v>
      </c>
      <c r="Q2406" t="n">
        <v>0</v>
      </c>
      <c r="R2406" s="2" t="inlineStr"/>
    </row>
    <row r="2407" ht="15" customHeight="1">
      <c r="A2407" t="inlineStr">
        <is>
          <t>A 13250-2020</t>
        </is>
      </c>
      <c r="B2407" s="1" t="n">
        <v>43901</v>
      </c>
      <c r="C2407" s="1" t="n">
        <v>45810</v>
      </c>
      <c r="D2407" t="inlineStr">
        <is>
          <t>VÄRMLANDS LÄN</t>
        </is>
      </c>
      <c r="E2407" t="inlineStr">
        <is>
          <t>TORSBY</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13206-2020</t>
        </is>
      </c>
      <c r="B2408" s="1" t="n">
        <v>43901</v>
      </c>
      <c r="C2408" s="1" t="n">
        <v>45810</v>
      </c>
      <c r="D2408" t="inlineStr">
        <is>
          <t>VÄRMLANDS LÄN</t>
        </is>
      </c>
      <c r="E2408" t="inlineStr">
        <is>
          <t>SÄFFLE</t>
        </is>
      </c>
      <c r="G2408" t="n">
        <v>8.800000000000001</v>
      </c>
      <c r="H2408" t="n">
        <v>0</v>
      </c>
      <c r="I2408" t="n">
        <v>0</v>
      </c>
      <c r="J2408" t="n">
        <v>0</v>
      </c>
      <c r="K2408" t="n">
        <v>0</v>
      </c>
      <c r="L2408" t="n">
        <v>0</v>
      </c>
      <c r="M2408" t="n">
        <v>0</v>
      </c>
      <c r="N2408" t="n">
        <v>0</v>
      </c>
      <c r="O2408" t="n">
        <v>0</v>
      </c>
      <c r="P2408" t="n">
        <v>0</v>
      </c>
      <c r="Q2408" t="n">
        <v>0</v>
      </c>
      <c r="R2408" s="2" t="inlineStr"/>
    </row>
    <row r="2409" ht="15" customHeight="1">
      <c r="A2409" t="inlineStr">
        <is>
          <t>A 13211-2020</t>
        </is>
      </c>
      <c r="B2409" s="1" t="n">
        <v>43901</v>
      </c>
      <c r="C2409" s="1" t="n">
        <v>45810</v>
      </c>
      <c r="D2409" t="inlineStr">
        <is>
          <t>VÄRMLANDS LÄN</t>
        </is>
      </c>
      <c r="E2409" t="inlineStr">
        <is>
          <t>SÄFFLE</t>
        </is>
      </c>
      <c r="G2409" t="n">
        <v>5.1</v>
      </c>
      <c r="H2409" t="n">
        <v>0</v>
      </c>
      <c r="I2409" t="n">
        <v>0</v>
      </c>
      <c r="J2409" t="n">
        <v>0</v>
      </c>
      <c r="K2409" t="n">
        <v>0</v>
      </c>
      <c r="L2409" t="n">
        <v>0</v>
      </c>
      <c r="M2409" t="n">
        <v>0</v>
      </c>
      <c r="N2409" t="n">
        <v>0</v>
      </c>
      <c r="O2409" t="n">
        <v>0</v>
      </c>
      <c r="P2409" t="n">
        <v>0</v>
      </c>
      <c r="Q2409" t="n">
        <v>0</v>
      </c>
      <c r="R2409" s="2" t="inlineStr"/>
    </row>
    <row r="2410" ht="15" customHeight="1">
      <c r="A2410" t="inlineStr">
        <is>
          <t>A 13622-2020</t>
        </is>
      </c>
      <c r="B2410" s="1" t="n">
        <v>43901</v>
      </c>
      <c r="C2410" s="1" t="n">
        <v>45810</v>
      </c>
      <c r="D2410" t="inlineStr">
        <is>
          <t>VÄRMLANDS LÄN</t>
        </is>
      </c>
      <c r="E2410" t="inlineStr">
        <is>
          <t>SÄFFLE</t>
        </is>
      </c>
      <c r="G2410" t="n">
        <v>4.5</v>
      </c>
      <c r="H2410" t="n">
        <v>0</v>
      </c>
      <c r="I2410" t="n">
        <v>0</v>
      </c>
      <c r="J2410" t="n">
        <v>0</v>
      </c>
      <c r="K2410" t="n">
        <v>0</v>
      </c>
      <c r="L2410" t="n">
        <v>0</v>
      </c>
      <c r="M2410" t="n">
        <v>0</v>
      </c>
      <c r="N2410" t="n">
        <v>0</v>
      </c>
      <c r="O2410" t="n">
        <v>0</v>
      </c>
      <c r="P2410" t="n">
        <v>0</v>
      </c>
      <c r="Q2410" t="n">
        <v>0</v>
      </c>
      <c r="R2410" s="2" t="inlineStr"/>
    </row>
    <row r="2411" ht="15" customHeight="1">
      <c r="A2411" t="inlineStr">
        <is>
          <t>A 13094-2020</t>
        </is>
      </c>
      <c r="B2411" s="1" t="n">
        <v>43901</v>
      </c>
      <c r="C2411" s="1" t="n">
        <v>45810</v>
      </c>
      <c r="D2411" t="inlineStr">
        <is>
          <t>VÄRMLANDS LÄN</t>
        </is>
      </c>
      <c r="E2411" t="inlineStr">
        <is>
          <t>ÅRJÄNG</t>
        </is>
      </c>
      <c r="G2411" t="n">
        <v>3.6</v>
      </c>
      <c r="H2411" t="n">
        <v>0</v>
      </c>
      <c r="I2411" t="n">
        <v>0</v>
      </c>
      <c r="J2411" t="n">
        <v>0</v>
      </c>
      <c r="K2411" t="n">
        <v>0</v>
      </c>
      <c r="L2411" t="n">
        <v>0</v>
      </c>
      <c r="M2411" t="n">
        <v>0</v>
      </c>
      <c r="N2411" t="n">
        <v>0</v>
      </c>
      <c r="O2411" t="n">
        <v>0</v>
      </c>
      <c r="P2411" t="n">
        <v>0</v>
      </c>
      <c r="Q2411" t="n">
        <v>0</v>
      </c>
      <c r="R2411" s="2" t="inlineStr"/>
    </row>
    <row r="2412" ht="15" customHeight="1">
      <c r="A2412" t="inlineStr">
        <is>
          <t>A 13318-2020</t>
        </is>
      </c>
      <c r="B2412" s="1" t="n">
        <v>43902</v>
      </c>
      <c r="C2412" s="1" t="n">
        <v>45810</v>
      </c>
      <c r="D2412" t="inlineStr">
        <is>
          <t>VÄRMLANDS LÄN</t>
        </is>
      </c>
      <c r="E2412" t="inlineStr">
        <is>
          <t>KARLSTAD</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13357-2020</t>
        </is>
      </c>
      <c r="B2413" s="1" t="n">
        <v>43902</v>
      </c>
      <c r="C2413" s="1" t="n">
        <v>45810</v>
      </c>
      <c r="D2413" t="inlineStr">
        <is>
          <t>VÄRMLANDS LÄN</t>
        </is>
      </c>
      <c r="E2413" t="inlineStr">
        <is>
          <t>GRUMS</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13369-2020</t>
        </is>
      </c>
      <c r="B2414" s="1" t="n">
        <v>43902</v>
      </c>
      <c r="C2414" s="1" t="n">
        <v>45810</v>
      </c>
      <c r="D2414" t="inlineStr">
        <is>
          <t>VÄRMLANDS LÄN</t>
        </is>
      </c>
      <c r="E2414" t="inlineStr">
        <is>
          <t>HAGFORS</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13417-2020</t>
        </is>
      </c>
      <c r="B2415" s="1" t="n">
        <v>43902</v>
      </c>
      <c r="C2415" s="1" t="n">
        <v>45810</v>
      </c>
      <c r="D2415" t="inlineStr">
        <is>
          <t>VÄRMLANDS LÄN</t>
        </is>
      </c>
      <c r="E2415" t="inlineStr">
        <is>
          <t>EDA</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13359-2020</t>
        </is>
      </c>
      <c r="B2416" s="1" t="n">
        <v>43902</v>
      </c>
      <c r="C2416" s="1" t="n">
        <v>45810</v>
      </c>
      <c r="D2416" t="inlineStr">
        <is>
          <t>VÄRMLANDS LÄN</t>
        </is>
      </c>
      <c r="E2416" t="inlineStr">
        <is>
          <t>GRUMS</t>
        </is>
      </c>
      <c r="G2416" t="n">
        <v>4.3</v>
      </c>
      <c r="H2416" t="n">
        <v>0</v>
      </c>
      <c r="I2416" t="n">
        <v>0</v>
      </c>
      <c r="J2416" t="n">
        <v>0</v>
      </c>
      <c r="K2416" t="n">
        <v>0</v>
      </c>
      <c r="L2416" t="n">
        <v>0</v>
      </c>
      <c r="M2416" t="n">
        <v>0</v>
      </c>
      <c r="N2416" t="n">
        <v>0</v>
      </c>
      <c r="O2416" t="n">
        <v>0</v>
      </c>
      <c r="P2416" t="n">
        <v>0</v>
      </c>
      <c r="Q2416" t="n">
        <v>0</v>
      </c>
      <c r="R2416" s="2" t="inlineStr"/>
    </row>
    <row r="2417" ht="15" customHeight="1">
      <c r="A2417" t="inlineStr">
        <is>
          <t>A 13549-2020</t>
        </is>
      </c>
      <c r="B2417" s="1" t="n">
        <v>43902</v>
      </c>
      <c r="C2417" s="1" t="n">
        <v>45810</v>
      </c>
      <c r="D2417" t="inlineStr">
        <is>
          <t>VÄRMLANDS LÄN</t>
        </is>
      </c>
      <c r="E2417" t="inlineStr">
        <is>
          <t>ÅRJÄNG</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13459-2020</t>
        </is>
      </c>
      <c r="B2418" s="1" t="n">
        <v>43902</v>
      </c>
      <c r="C2418" s="1" t="n">
        <v>45810</v>
      </c>
      <c r="D2418" t="inlineStr">
        <is>
          <t>VÄRMLANDS LÄN</t>
        </is>
      </c>
      <c r="E2418" t="inlineStr">
        <is>
          <t>ARVIKA</t>
        </is>
      </c>
      <c r="G2418" t="n">
        <v>3.6</v>
      </c>
      <c r="H2418" t="n">
        <v>0</v>
      </c>
      <c r="I2418" t="n">
        <v>0</v>
      </c>
      <c r="J2418" t="n">
        <v>0</v>
      </c>
      <c r="K2418" t="n">
        <v>0</v>
      </c>
      <c r="L2418" t="n">
        <v>0</v>
      </c>
      <c r="M2418" t="n">
        <v>0</v>
      </c>
      <c r="N2418" t="n">
        <v>0</v>
      </c>
      <c r="O2418" t="n">
        <v>0</v>
      </c>
      <c r="P2418" t="n">
        <v>0</v>
      </c>
      <c r="Q2418" t="n">
        <v>0</v>
      </c>
      <c r="R2418" s="2" t="inlineStr"/>
    </row>
    <row r="2419" ht="15" customHeight="1">
      <c r="A2419" t="inlineStr">
        <is>
          <t>A 13508-2020</t>
        </is>
      </c>
      <c r="B2419" s="1" t="n">
        <v>43902</v>
      </c>
      <c r="C2419" s="1" t="n">
        <v>45810</v>
      </c>
      <c r="D2419" t="inlineStr">
        <is>
          <t>VÄRMLANDS LÄN</t>
        </is>
      </c>
      <c r="E2419" t="inlineStr">
        <is>
          <t>KRISTINEHAMN</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13543-2020</t>
        </is>
      </c>
      <c r="B2420" s="1" t="n">
        <v>43902</v>
      </c>
      <c r="C2420" s="1" t="n">
        <v>45810</v>
      </c>
      <c r="D2420" t="inlineStr">
        <is>
          <t>VÄRMLANDS LÄN</t>
        </is>
      </c>
      <c r="E2420" t="inlineStr">
        <is>
          <t>SUNNE</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14608-2020</t>
        </is>
      </c>
      <c r="B2421" s="1" t="n">
        <v>43902</v>
      </c>
      <c r="C2421" s="1" t="n">
        <v>45810</v>
      </c>
      <c r="D2421" t="inlineStr">
        <is>
          <t>VÄRMLANDS LÄN</t>
        </is>
      </c>
      <c r="E2421" t="inlineStr">
        <is>
          <t>ÅRJÄNG</t>
        </is>
      </c>
      <c r="G2421" t="n">
        <v>2.5</v>
      </c>
      <c r="H2421" t="n">
        <v>0</v>
      </c>
      <c r="I2421" t="n">
        <v>0</v>
      </c>
      <c r="J2421" t="n">
        <v>0</v>
      </c>
      <c r="K2421" t="n">
        <v>0</v>
      </c>
      <c r="L2421" t="n">
        <v>0</v>
      </c>
      <c r="M2421" t="n">
        <v>0</v>
      </c>
      <c r="N2421" t="n">
        <v>0</v>
      </c>
      <c r="O2421" t="n">
        <v>0</v>
      </c>
      <c r="P2421" t="n">
        <v>0</v>
      </c>
      <c r="Q2421" t="n">
        <v>0</v>
      </c>
      <c r="R2421" s="2" t="inlineStr"/>
    </row>
    <row r="2422" ht="15" customHeight="1">
      <c r="A2422" t="inlineStr">
        <is>
          <t>A 14759-2020</t>
        </is>
      </c>
      <c r="B2422" s="1" t="n">
        <v>43902</v>
      </c>
      <c r="C2422" s="1" t="n">
        <v>45810</v>
      </c>
      <c r="D2422" t="inlineStr">
        <is>
          <t>VÄRMLANDS LÄN</t>
        </is>
      </c>
      <c r="E2422" t="inlineStr">
        <is>
          <t>SÄFFLE</t>
        </is>
      </c>
      <c r="G2422" t="n">
        <v>4.1</v>
      </c>
      <c r="H2422" t="n">
        <v>0</v>
      </c>
      <c r="I2422" t="n">
        <v>0</v>
      </c>
      <c r="J2422" t="n">
        <v>0</v>
      </c>
      <c r="K2422" t="n">
        <v>0</v>
      </c>
      <c r="L2422" t="n">
        <v>0</v>
      </c>
      <c r="M2422" t="n">
        <v>0</v>
      </c>
      <c r="N2422" t="n">
        <v>0</v>
      </c>
      <c r="O2422" t="n">
        <v>0</v>
      </c>
      <c r="P2422" t="n">
        <v>0</v>
      </c>
      <c r="Q2422" t="n">
        <v>0</v>
      </c>
      <c r="R2422" s="2" t="inlineStr"/>
    </row>
    <row r="2423" ht="15" customHeight="1">
      <c r="A2423" t="inlineStr">
        <is>
          <t>A 14709-2020</t>
        </is>
      </c>
      <c r="B2423" s="1" t="n">
        <v>43902</v>
      </c>
      <c r="C2423" s="1" t="n">
        <v>45810</v>
      </c>
      <c r="D2423" t="inlineStr">
        <is>
          <t>VÄRMLANDS LÄN</t>
        </is>
      </c>
      <c r="E2423" t="inlineStr">
        <is>
          <t>SUNNE</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14605-2020</t>
        </is>
      </c>
      <c r="B2424" s="1" t="n">
        <v>43902</v>
      </c>
      <c r="C2424" s="1" t="n">
        <v>45810</v>
      </c>
      <c r="D2424" t="inlineStr">
        <is>
          <t>VÄRMLANDS LÄN</t>
        </is>
      </c>
      <c r="E2424" t="inlineStr">
        <is>
          <t>ÅRJÄNG</t>
        </is>
      </c>
      <c r="G2424" t="n">
        <v>3</v>
      </c>
      <c r="H2424" t="n">
        <v>0</v>
      </c>
      <c r="I2424" t="n">
        <v>0</v>
      </c>
      <c r="J2424" t="n">
        <v>0</v>
      </c>
      <c r="K2424" t="n">
        <v>0</v>
      </c>
      <c r="L2424" t="n">
        <v>0</v>
      </c>
      <c r="M2424" t="n">
        <v>0</v>
      </c>
      <c r="N2424" t="n">
        <v>0</v>
      </c>
      <c r="O2424" t="n">
        <v>0</v>
      </c>
      <c r="P2424" t="n">
        <v>0</v>
      </c>
      <c r="Q2424" t="n">
        <v>0</v>
      </c>
      <c r="R2424" s="2" t="inlineStr"/>
    </row>
    <row r="2425" ht="15" customHeight="1">
      <c r="A2425" t="inlineStr">
        <is>
          <t>A 14399-2020</t>
        </is>
      </c>
      <c r="B2425" s="1" t="n">
        <v>43902</v>
      </c>
      <c r="C2425" s="1" t="n">
        <v>45810</v>
      </c>
      <c r="D2425" t="inlineStr">
        <is>
          <t>VÄRMLANDS LÄN</t>
        </is>
      </c>
      <c r="E2425" t="inlineStr">
        <is>
          <t>SÄFFLE</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14619-2020</t>
        </is>
      </c>
      <c r="B2426" s="1" t="n">
        <v>43902</v>
      </c>
      <c r="C2426" s="1" t="n">
        <v>45810</v>
      </c>
      <c r="D2426" t="inlineStr">
        <is>
          <t>VÄRMLANDS LÄN</t>
        </is>
      </c>
      <c r="E2426" t="inlineStr">
        <is>
          <t>EDA</t>
        </is>
      </c>
      <c r="G2426" t="n">
        <v>11.5</v>
      </c>
      <c r="H2426" t="n">
        <v>0</v>
      </c>
      <c r="I2426" t="n">
        <v>0</v>
      </c>
      <c r="J2426" t="n">
        <v>0</v>
      </c>
      <c r="K2426" t="n">
        <v>0</v>
      </c>
      <c r="L2426" t="n">
        <v>0</v>
      </c>
      <c r="M2426" t="n">
        <v>0</v>
      </c>
      <c r="N2426" t="n">
        <v>0</v>
      </c>
      <c r="O2426" t="n">
        <v>0</v>
      </c>
      <c r="P2426" t="n">
        <v>0</v>
      </c>
      <c r="Q2426" t="n">
        <v>0</v>
      </c>
      <c r="R2426" s="2" t="inlineStr"/>
    </row>
    <row r="2427" ht="15" customHeight="1">
      <c r="A2427" t="inlineStr">
        <is>
          <t>A 13623-2020</t>
        </is>
      </c>
      <c r="B2427" s="1" t="n">
        <v>43903</v>
      </c>
      <c r="C2427" s="1" t="n">
        <v>45810</v>
      </c>
      <c r="D2427" t="inlineStr">
        <is>
          <t>VÄRMLANDS LÄN</t>
        </is>
      </c>
      <c r="E2427" t="inlineStr">
        <is>
          <t>ARVIKA</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13694-2020</t>
        </is>
      </c>
      <c r="B2428" s="1" t="n">
        <v>43903</v>
      </c>
      <c r="C2428" s="1" t="n">
        <v>45810</v>
      </c>
      <c r="D2428" t="inlineStr">
        <is>
          <t>VÄRMLANDS LÄN</t>
        </is>
      </c>
      <c r="E2428" t="inlineStr">
        <is>
          <t>SUNNE</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14695-2020</t>
        </is>
      </c>
      <c r="B2429" s="1" t="n">
        <v>43903</v>
      </c>
      <c r="C2429" s="1" t="n">
        <v>45810</v>
      </c>
      <c r="D2429" t="inlineStr">
        <is>
          <t>VÄRMLANDS LÄN</t>
        </is>
      </c>
      <c r="E2429" t="inlineStr">
        <is>
          <t>TORSBY</t>
        </is>
      </c>
      <c r="G2429" t="n">
        <v>8</v>
      </c>
      <c r="H2429" t="n">
        <v>0</v>
      </c>
      <c r="I2429" t="n">
        <v>0</v>
      </c>
      <c r="J2429" t="n">
        <v>0</v>
      </c>
      <c r="K2429" t="n">
        <v>0</v>
      </c>
      <c r="L2429" t="n">
        <v>0</v>
      </c>
      <c r="M2429" t="n">
        <v>0</v>
      </c>
      <c r="N2429" t="n">
        <v>0</v>
      </c>
      <c r="O2429" t="n">
        <v>0</v>
      </c>
      <c r="P2429" t="n">
        <v>0</v>
      </c>
      <c r="Q2429" t="n">
        <v>0</v>
      </c>
      <c r="R2429" s="2" t="inlineStr"/>
    </row>
    <row r="2430" ht="15" customHeight="1">
      <c r="A2430" t="inlineStr">
        <is>
          <t>A 14693-2020</t>
        </is>
      </c>
      <c r="B2430" s="1" t="n">
        <v>43903</v>
      </c>
      <c r="C2430" s="1" t="n">
        <v>45810</v>
      </c>
      <c r="D2430" t="inlineStr">
        <is>
          <t>VÄRMLANDS LÄN</t>
        </is>
      </c>
      <c r="E2430" t="inlineStr">
        <is>
          <t>TORSBY</t>
        </is>
      </c>
      <c r="G2430" t="n">
        <v>2.9</v>
      </c>
      <c r="H2430" t="n">
        <v>0</v>
      </c>
      <c r="I2430" t="n">
        <v>0</v>
      </c>
      <c r="J2430" t="n">
        <v>0</v>
      </c>
      <c r="K2430" t="n">
        <v>0</v>
      </c>
      <c r="L2430" t="n">
        <v>0</v>
      </c>
      <c r="M2430" t="n">
        <v>0</v>
      </c>
      <c r="N2430" t="n">
        <v>0</v>
      </c>
      <c r="O2430" t="n">
        <v>0</v>
      </c>
      <c r="P2430" t="n">
        <v>0</v>
      </c>
      <c r="Q2430" t="n">
        <v>0</v>
      </c>
      <c r="R2430" s="2" t="inlineStr"/>
    </row>
    <row r="2431" ht="15" customHeight="1">
      <c r="A2431" t="inlineStr">
        <is>
          <t>A 13615-2020</t>
        </is>
      </c>
      <c r="B2431" s="1" t="n">
        <v>43903</v>
      </c>
      <c r="C2431" s="1" t="n">
        <v>45810</v>
      </c>
      <c r="D2431" t="inlineStr">
        <is>
          <t>VÄRMLANDS LÄN</t>
        </is>
      </c>
      <c r="E2431" t="inlineStr">
        <is>
          <t>ARVIKA</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13630-2020</t>
        </is>
      </c>
      <c r="B2432" s="1" t="n">
        <v>43903</v>
      </c>
      <c r="C2432" s="1" t="n">
        <v>45810</v>
      </c>
      <c r="D2432" t="inlineStr">
        <is>
          <t>VÄRMLANDS LÄN</t>
        </is>
      </c>
      <c r="E2432" t="inlineStr">
        <is>
          <t>ÅRJÄNG</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13740-2020</t>
        </is>
      </c>
      <c r="B2433" s="1" t="n">
        <v>43903</v>
      </c>
      <c r="C2433" s="1" t="n">
        <v>45810</v>
      </c>
      <c r="D2433" t="inlineStr">
        <is>
          <t>VÄRMLANDS LÄN</t>
        </is>
      </c>
      <c r="E2433" t="inlineStr">
        <is>
          <t>FILIPSTAD</t>
        </is>
      </c>
      <c r="G2433" t="n">
        <v>2.9</v>
      </c>
      <c r="H2433" t="n">
        <v>0</v>
      </c>
      <c r="I2433" t="n">
        <v>0</v>
      </c>
      <c r="J2433" t="n">
        <v>0</v>
      </c>
      <c r="K2433" t="n">
        <v>0</v>
      </c>
      <c r="L2433" t="n">
        <v>0</v>
      </c>
      <c r="M2433" t="n">
        <v>0</v>
      </c>
      <c r="N2433" t="n">
        <v>0</v>
      </c>
      <c r="O2433" t="n">
        <v>0</v>
      </c>
      <c r="P2433" t="n">
        <v>0</v>
      </c>
      <c r="Q2433" t="n">
        <v>0</v>
      </c>
      <c r="R2433" s="2" t="inlineStr"/>
    </row>
    <row r="2434" ht="15" customHeight="1">
      <c r="A2434" t="inlineStr">
        <is>
          <t>A 13819-2020</t>
        </is>
      </c>
      <c r="B2434" s="1" t="n">
        <v>43905</v>
      </c>
      <c r="C2434" s="1" t="n">
        <v>45810</v>
      </c>
      <c r="D2434" t="inlineStr">
        <is>
          <t>VÄRMLANDS LÄN</t>
        </is>
      </c>
      <c r="E2434" t="inlineStr">
        <is>
          <t>KARLSTAD</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13828-2020</t>
        </is>
      </c>
      <c r="B2435" s="1" t="n">
        <v>43905</v>
      </c>
      <c r="C2435" s="1" t="n">
        <v>45810</v>
      </c>
      <c r="D2435" t="inlineStr">
        <is>
          <t>VÄRMLANDS LÄN</t>
        </is>
      </c>
      <c r="E2435" t="inlineStr">
        <is>
          <t>ARVIKA</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14879-2020</t>
        </is>
      </c>
      <c r="B2436" s="1" t="n">
        <v>43905</v>
      </c>
      <c r="C2436" s="1" t="n">
        <v>45810</v>
      </c>
      <c r="D2436" t="inlineStr">
        <is>
          <t>VÄRMLANDS LÄN</t>
        </is>
      </c>
      <c r="E2436" t="inlineStr">
        <is>
          <t>SÄFFLE</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13818-2020</t>
        </is>
      </c>
      <c r="B2437" s="1" t="n">
        <v>43905</v>
      </c>
      <c r="C2437" s="1" t="n">
        <v>45810</v>
      </c>
      <c r="D2437" t="inlineStr">
        <is>
          <t>VÄRMLANDS LÄN</t>
        </is>
      </c>
      <c r="E2437" t="inlineStr">
        <is>
          <t>KARLSTAD</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13824-2020</t>
        </is>
      </c>
      <c r="B2438" s="1" t="n">
        <v>43905</v>
      </c>
      <c r="C2438" s="1" t="n">
        <v>45810</v>
      </c>
      <c r="D2438" t="inlineStr">
        <is>
          <t>VÄRMLANDS LÄN</t>
        </is>
      </c>
      <c r="E2438" t="inlineStr">
        <is>
          <t>KRISTINEHAMN</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13904-2020</t>
        </is>
      </c>
      <c r="B2439" s="1" t="n">
        <v>43906</v>
      </c>
      <c r="C2439" s="1" t="n">
        <v>45810</v>
      </c>
      <c r="D2439" t="inlineStr">
        <is>
          <t>VÄRMLANDS LÄN</t>
        </is>
      </c>
      <c r="E2439" t="inlineStr">
        <is>
          <t>SUNNE</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13962-2020</t>
        </is>
      </c>
      <c r="B2440" s="1" t="n">
        <v>43906</v>
      </c>
      <c r="C2440" s="1" t="n">
        <v>45810</v>
      </c>
      <c r="D2440" t="inlineStr">
        <is>
          <t>VÄRMLANDS LÄN</t>
        </is>
      </c>
      <c r="E2440" t="inlineStr">
        <is>
          <t>KRISTINEHAMN</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13973-2020</t>
        </is>
      </c>
      <c r="B2441" s="1" t="n">
        <v>43906</v>
      </c>
      <c r="C2441" s="1" t="n">
        <v>45810</v>
      </c>
      <c r="D2441" t="inlineStr">
        <is>
          <t>VÄRMLANDS LÄN</t>
        </is>
      </c>
      <c r="E2441" t="inlineStr">
        <is>
          <t>KRISTINEHAMN</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13926-2020</t>
        </is>
      </c>
      <c r="B2442" s="1" t="n">
        <v>43906</v>
      </c>
      <c r="C2442" s="1" t="n">
        <v>45810</v>
      </c>
      <c r="D2442" t="inlineStr">
        <is>
          <t>VÄRMLANDS LÄN</t>
        </is>
      </c>
      <c r="E2442" t="inlineStr">
        <is>
          <t>ÅRJÄNG</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13833-2020</t>
        </is>
      </c>
      <c r="B2443" s="1" t="n">
        <v>43906</v>
      </c>
      <c r="C2443" s="1" t="n">
        <v>45810</v>
      </c>
      <c r="D2443" t="inlineStr">
        <is>
          <t>VÄRMLANDS LÄN</t>
        </is>
      </c>
      <c r="E2443" t="inlineStr">
        <is>
          <t>EDA</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13903-2020</t>
        </is>
      </c>
      <c r="B2444" s="1" t="n">
        <v>43906</v>
      </c>
      <c r="C2444" s="1" t="n">
        <v>45810</v>
      </c>
      <c r="D2444" t="inlineStr">
        <is>
          <t>VÄRMLANDS LÄN</t>
        </is>
      </c>
      <c r="E2444" t="inlineStr">
        <is>
          <t>SUNNE</t>
        </is>
      </c>
      <c r="G2444" t="n">
        <v>4.3</v>
      </c>
      <c r="H2444" t="n">
        <v>0</v>
      </c>
      <c r="I2444" t="n">
        <v>0</v>
      </c>
      <c r="J2444" t="n">
        <v>0</v>
      </c>
      <c r="K2444" t="n">
        <v>0</v>
      </c>
      <c r="L2444" t="n">
        <v>0</v>
      </c>
      <c r="M2444" t="n">
        <v>0</v>
      </c>
      <c r="N2444" t="n">
        <v>0</v>
      </c>
      <c r="O2444" t="n">
        <v>0</v>
      </c>
      <c r="P2444" t="n">
        <v>0</v>
      </c>
      <c r="Q2444" t="n">
        <v>0</v>
      </c>
      <c r="R2444" s="2" t="inlineStr"/>
    </row>
    <row r="2445" ht="15" customHeight="1">
      <c r="A2445" t="inlineStr">
        <is>
          <t>A 13929-2020</t>
        </is>
      </c>
      <c r="B2445" s="1" t="n">
        <v>43906</v>
      </c>
      <c r="C2445" s="1" t="n">
        <v>45810</v>
      </c>
      <c r="D2445" t="inlineStr">
        <is>
          <t>VÄRMLANDS LÄN</t>
        </is>
      </c>
      <c r="E2445" t="inlineStr">
        <is>
          <t>ÅRJÄNG</t>
        </is>
      </c>
      <c r="G2445" t="n">
        <v>5.3</v>
      </c>
      <c r="H2445" t="n">
        <v>0</v>
      </c>
      <c r="I2445" t="n">
        <v>0</v>
      </c>
      <c r="J2445" t="n">
        <v>0</v>
      </c>
      <c r="K2445" t="n">
        <v>0</v>
      </c>
      <c r="L2445" t="n">
        <v>0</v>
      </c>
      <c r="M2445" t="n">
        <v>0</v>
      </c>
      <c r="N2445" t="n">
        <v>0</v>
      </c>
      <c r="O2445" t="n">
        <v>0</v>
      </c>
      <c r="P2445" t="n">
        <v>0</v>
      </c>
      <c r="Q2445" t="n">
        <v>0</v>
      </c>
      <c r="R2445" s="2" t="inlineStr"/>
    </row>
    <row r="2446" ht="15" customHeight="1">
      <c r="A2446" t="inlineStr">
        <is>
          <t>A 13853-2020</t>
        </is>
      </c>
      <c r="B2446" s="1" t="n">
        <v>43906</v>
      </c>
      <c r="C2446" s="1" t="n">
        <v>45810</v>
      </c>
      <c r="D2446" t="inlineStr">
        <is>
          <t>VÄRMLANDS LÄN</t>
        </is>
      </c>
      <c r="E2446" t="inlineStr">
        <is>
          <t>EDA</t>
        </is>
      </c>
      <c r="G2446" t="n">
        <v>14.9</v>
      </c>
      <c r="H2446" t="n">
        <v>0</v>
      </c>
      <c r="I2446" t="n">
        <v>0</v>
      </c>
      <c r="J2446" t="n">
        <v>0</v>
      </c>
      <c r="K2446" t="n">
        <v>0</v>
      </c>
      <c r="L2446" t="n">
        <v>0</v>
      </c>
      <c r="M2446" t="n">
        <v>0</v>
      </c>
      <c r="N2446" t="n">
        <v>0</v>
      </c>
      <c r="O2446" t="n">
        <v>0</v>
      </c>
      <c r="P2446" t="n">
        <v>0</v>
      </c>
      <c r="Q2446" t="n">
        <v>0</v>
      </c>
      <c r="R2446" s="2" t="inlineStr"/>
    </row>
    <row r="2447" ht="15" customHeight="1">
      <c r="A2447" t="inlineStr">
        <is>
          <t>A 14057-2020</t>
        </is>
      </c>
      <c r="B2447" s="1" t="n">
        <v>43906</v>
      </c>
      <c r="C2447" s="1" t="n">
        <v>45810</v>
      </c>
      <c r="D2447" t="inlineStr">
        <is>
          <t>VÄRMLANDS LÄN</t>
        </is>
      </c>
      <c r="E2447" t="inlineStr">
        <is>
          <t>ÅRJÄNG</t>
        </is>
      </c>
      <c r="G2447" t="n">
        <v>9.199999999999999</v>
      </c>
      <c r="H2447" t="n">
        <v>0</v>
      </c>
      <c r="I2447" t="n">
        <v>0</v>
      </c>
      <c r="J2447" t="n">
        <v>0</v>
      </c>
      <c r="K2447" t="n">
        <v>0</v>
      </c>
      <c r="L2447" t="n">
        <v>0</v>
      </c>
      <c r="M2447" t="n">
        <v>0</v>
      </c>
      <c r="N2447" t="n">
        <v>0</v>
      </c>
      <c r="O2447" t="n">
        <v>0</v>
      </c>
      <c r="P2447" t="n">
        <v>0</v>
      </c>
      <c r="Q2447" t="n">
        <v>0</v>
      </c>
      <c r="R2447" s="2" t="inlineStr"/>
    </row>
    <row r="2448" ht="15" customHeight="1">
      <c r="A2448" t="inlineStr">
        <is>
          <t>A 14892-2020</t>
        </is>
      </c>
      <c r="B2448" s="1" t="n">
        <v>43906</v>
      </c>
      <c r="C2448" s="1" t="n">
        <v>45810</v>
      </c>
      <c r="D2448" t="inlineStr">
        <is>
          <t>VÄRMLANDS LÄN</t>
        </is>
      </c>
      <c r="E2448" t="inlineStr">
        <is>
          <t>ÅRJÄNG</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14943-2020</t>
        </is>
      </c>
      <c r="B2449" s="1" t="n">
        <v>43906</v>
      </c>
      <c r="C2449" s="1" t="n">
        <v>45810</v>
      </c>
      <c r="D2449" t="inlineStr">
        <is>
          <t>VÄRMLANDS LÄN</t>
        </is>
      </c>
      <c r="E2449" t="inlineStr">
        <is>
          <t>FORSHAGA</t>
        </is>
      </c>
      <c r="G2449" t="n">
        <v>2.6</v>
      </c>
      <c r="H2449" t="n">
        <v>0</v>
      </c>
      <c r="I2449" t="n">
        <v>0</v>
      </c>
      <c r="J2449" t="n">
        <v>0</v>
      </c>
      <c r="K2449" t="n">
        <v>0</v>
      </c>
      <c r="L2449" t="n">
        <v>0</v>
      </c>
      <c r="M2449" t="n">
        <v>0</v>
      </c>
      <c r="N2449" t="n">
        <v>0</v>
      </c>
      <c r="O2449" t="n">
        <v>0</v>
      </c>
      <c r="P2449" t="n">
        <v>0</v>
      </c>
      <c r="Q2449" t="n">
        <v>0</v>
      </c>
      <c r="R2449" s="2" t="inlineStr"/>
    </row>
    <row r="2450" ht="15" customHeight="1">
      <c r="A2450" t="inlineStr">
        <is>
          <t>A 14015-2020</t>
        </is>
      </c>
      <c r="B2450" s="1" t="n">
        <v>43906</v>
      </c>
      <c r="C2450" s="1" t="n">
        <v>45810</v>
      </c>
      <c r="D2450" t="inlineStr">
        <is>
          <t>VÄRMLANDS LÄN</t>
        </is>
      </c>
      <c r="E2450" t="inlineStr">
        <is>
          <t>SUNNE</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15011-2020</t>
        </is>
      </c>
      <c r="B2451" s="1" t="n">
        <v>43906</v>
      </c>
      <c r="C2451" s="1" t="n">
        <v>45810</v>
      </c>
      <c r="D2451" t="inlineStr">
        <is>
          <t>VÄRMLANDS LÄN</t>
        </is>
      </c>
      <c r="E2451" t="inlineStr">
        <is>
          <t>GRUMS</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14933-2020</t>
        </is>
      </c>
      <c r="B2452" s="1" t="n">
        <v>43906</v>
      </c>
      <c r="C2452" s="1" t="n">
        <v>45810</v>
      </c>
      <c r="D2452" t="inlineStr">
        <is>
          <t>VÄRMLANDS LÄN</t>
        </is>
      </c>
      <c r="E2452" t="inlineStr">
        <is>
          <t>KARLSTAD</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14059-2020</t>
        </is>
      </c>
      <c r="B2453" s="1" t="n">
        <v>43906</v>
      </c>
      <c r="C2453" s="1" t="n">
        <v>45810</v>
      </c>
      <c r="D2453" t="inlineStr">
        <is>
          <t>VÄRMLANDS LÄN</t>
        </is>
      </c>
      <c r="E2453" t="inlineStr">
        <is>
          <t>ÅRJÄNG</t>
        </is>
      </c>
      <c r="G2453" t="n">
        <v>5</v>
      </c>
      <c r="H2453" t="n">
        <v>0</v>
      </c>
      <c r="I2453" t="n">
        <v>0</v>
      </c>
      <c r="J2453" t="n">
        <v>0</v>
      </c>
      <c r="K2453" t="n">
        <v>0</v>
      </c>
      <c r="L2453" t="n">
        <v>0</v>
      </c>
      <c r="M2453" t="n">
        <v>0</v>
      </c>
      <c r="N2453" t="n">
        <v>0</v>
      </c>
      <c r="O2453" t="n">
        <v>0</v>
      </c>
      <c r="P2453" t="n">
        <v>0</v>
      </c>
      <c r="Q2453" t="n">
        <v>0</v>
      </c>
      <c r="R2453" s="2" t="inlineStr"/>
    </row>
    <row r="2454" ht="15" customHeight="1">
      <c r="A2454" t="inlineStr">
        <is>
          <t>A 14058-2020</t>
        </is>
      </c>
      <c r="B2454" s="1" t="n">
        <v>43906</v>
      </c>
      <c r="C2454" s="1" t="n">
        <v>45810</v>
      </c>
      <c r="D2454" t="inlineStr">
        <is>
          <t>VÄRMLANDS LÄN</t>
        </is>
      </c>
      <c r="E2454" t="inlineStr">
        <is>
          <t>ÅRJÄNG</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13931-2020</t>
        </is>
      </c>
      <c r="B2455" s="1" t="n">
        <v>43906</v>
      </c>
      <c r="C2455" s="1" t="n">
        <v>45810</v>
      </c>
      <c r="D2455" t="inlineStr">
        <is>
          <t>VÄRMLANDS LÄN</t>
        </is>
      </c>
      <c r="E2455" t="inlineStr">
        <is>
          <t>SÄFFLE</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14052-2020</t>
        </is>
      </c>
      <c r="B2456" s="1" t="n">
        <v>43906</v>
      </c>
      <c r="C2456" s="1" t="n">
        <v>45810</v>
      </c>
      <c r="D2456" t="inlineStr">
        <is>
          <t>VÄRMLANDS LÄN</t>
        </is>
      </c>
      <c r="E2456" t="inlineStr">
        <is>
          <t>ARVIKA</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14061-2020</t>
        </is>
      </c>
      <c r="B2457" s="1" t="n">
        <v>43906</v>
      </c>
      <c r="C2457" s="1" t="n">
        <v>45810</v>
      </c>
      <c r="D2457" t="inlineStr">
        <is>
          <t>VÄRMLANDS LÄN</t>
        </is>
      </c>
      <c r="E2457" t="inlineStr">
        <is>
          <t>ÅRJÄNG</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15586-2020</t>
        </is>
      </c>
      <c r="B2458" s="1" t="n">
        <v>43907</v>
      </c>
      <c r="C2458" s="1" t="n">
        <v>45810</v>
      </c>
      <c r="D2458" t="inlineStr">
        <is>
          <t>VÄRMLANDS LÄN</t>
        </is>
      </c>
      <c r="E2458" t="inlineStr">
        <is>
          <t>SÄFFLE</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14973-2020</t>
        </is>
      </c>
      <c r="B2459" s="1" t="n">
        <v>43907</v>
      </c>
      <c r="C2459" s="1" t="n">
        <v>45810</v>
      </c>
      <c r="D2459" t="inlineStr">
        <is>
          <t>VÄRMLANDS LÄN</t>
        </is>
      </c>
      <c r="E2459" t="inlineStr">
        <is>
          <t>EDA</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15564-2020</t>
        </is>
      </c>
      <c r="B2460" s="1" t="n">
        <v>43907</v>
      </c>
      <c r="C2460" s="1" t="n">
        <v>45810</v>
      </c>
      <c r="D2460" t="inlineStr">
        <is>
          <t>VÄRMLANDS LÄN</t>
        </is>
      </c>
      <c r="E2460" t="inlineStr">
        <is>
          <t>FORSHAGA</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14238-2020</t>
        </is>
      </c>
      <c r="B2461" s="1" t="n">
        <v>43907</v>
      </c>
      <c r="C2461" s="1" t="n">
        <v>45810</v>
      </c>
      <c r="D2461" t="inlineStr">
        <is>
          <t>VÄRMLANDS LÄN</t>
        </is>
      </c>
      <c r="E2461" t="inlineStr">
        <is>
          <t>EDA</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14962-2020</t>
        </is>
      </c>
      <c r="B2462" s="1" t="n">
        <v>43907</v>
      </c>
      <c r="C2462" s="1" t="n">
        <v>45810</v>
      </c>
      <c r="D2462" t="inlineStr">
        <is>
          <t>VÄRMLANDS LÄN</t>
        </is>
      </c>
      <c r="E2462" t="inlineStr">
        <is>
          <t>TORSBY</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15028-2020</t>
        </is>
      </c>
      <c r="B2463" s="1" t="n">
        <v>43907</v>
      </c>
      <c r="C2463" s="1" t="n">
        <v>45810</v>
      </c>
      <c r="D2463" t="inlineStr">
        <is>
          <t>VÄRMLANDS LÄN</t>
        </is>
      </c>
      <c r="E2463" t="inlineStr">
        <is>
          <t>GRUMS</t>
        </is>
      </c>
      <c r="F2463" t="inlineStr">
        <is>
          <t>Bergvik skog väst AB</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15583-2020</t>
        </is>
      </c>
      <c r="B2464" s="1" t="n">
        <v>43907</v>
      </c>
      <c r="C2464" s="1" t="n">
        <v>45810</v>
      </c>
      <c r="D2464" t="inlineStr">
        <is>
          <t>VÄRMLANDS LÄN</t>
        </is>
      </c>
      <c r="E2464" t="inlineStr">
        <is>
          <t>SÄFFLE</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16322-2020</t>
        </is>
      </c>
      <c r="B2465" s="1" t="n">
        <v>43907</v>
      </c>
      <c r="C2465" s="1" t="n">
        <v>45810</v>
      </c>
      <c r="D2465" t="inlineStr">
        <is>
          <t>VÄRMLANDS LÄN</t>
        </is>
      </c>
      <c r="E2465" t="inlineStr">
        <is>
          <t>FILIPSTAD</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16305-2020</t>
        </is>
      </c>
      <c r="B2466" s="1" t="n">
        <v>43907</v>
      </c>
      <c r="C2466" s="1" t="n">
        <v>45810</v>
      </c>
      <c r="D2466" t="inlineStr">
        <is>
          <t>VÄRMLANDS LÄN</t>
        </is>
      </c>
      <c r="E2466" t="inlineStr">
        <is>
          <t>FILIPSTAD</t>
        </is>
      </c>
      <c r="G2466" t="n">
        <v>0.2</v>
      </c>
      <c r="H2466" t="n">
        <v>0</v>
      </c>
      <c r="I2466" t="n">
        <v>0</v>
      </c>
      <c r="J2466" t="n">
        <v>0</v>
      </c>
      <c r="K2466" t="n">
        <v>0</v>
      </c>
      <c r="L2466" t="n">
        <v>0</v>
      </c>
      <c r="M2466" t="n">
        <v>0</v>
      </c>
      <c r="N2466" t="n">
        <v>0</v>
      </c>
      <c r="O2466" t="n">
        <v>0</v>
      </c>
      <c r="P2466" t="n">
        <v>0</v>
      </c>
      <c r="Q2466" t="n">
        <v>0</v>
      </c>
      <c r="R2466" s="2" t="inlineStr"/>
    </row>
    <row r="2467" ht="15" customHeight="1">
      <c r="A2467" t="inlineStr">
        <is>
          <t>A 14128-2020</t>
        </is>
      </c>
      <c r="B2467" s="1" t="n">
        <v>43907</v>
      </c>
      <c r="C2467" s="1" t="n">
        <v>45810</v>
      </c>
      <c r="D2467" t="inlineStr">
        <is>
          <t>VÄRMLANDS LÄN</t>
        </is>
      </c>
      <c r="E2467" t="inlineStr">
        <is>
          <t>ÅRJÄNG</t>
        </is>
      </c>
      <c r="G2467" t="n">
        <v>3.5</v>
      </c>
      <c r="H2467" t="n">
        <v>0</v>
      </c>
      <c r="I2467" t="n">
        <v>0</v>
      </c>
      <c r="J2467" t="n">
        <v>0</v>
      </c>
      <c r="K2467" t="n">
        <v>0</v>
      </c>
      <c r="L2467" t="n">
        <v>0</v>
      </c>
      <c r="M2467" t="n">
        <v>0</v>
      </c>
      <c r="N2467" t="n">
        <v>0</v>
      </c>
      <c r="O2467" t="n">
        <v>0</v>
      </c>
      <c r="P2467" t="n">
        <v>0</v>
      </c>
      <c r="Q2467" t="n">
        <v>0</v>
      </c>
      <c r="R2467" s="2" t="inlineStr"/>
    </row>
    <row r="2468" ht="15" customHeight="1">
      <c r="A2468" t="inlineStr">
        <is>
          <t>A 14222-2020</t>
        </is>
      </c>
      <c r="B2468" s="1" t="n">
        <v>43907</v>
      </c>
      <c r="C2468" s="1" t="n">
        <v>45810</v>
      </c>
      <c r="D2468" t="inlineStr">
        <is>
          <t>VÄRMLANDS LÄN</t>
        </is>
      </c>
      <c r="E2468" t="inlineStr">
        <is>
          <t>EDA</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14270-2020</t>
        </is>
      </c>
      <c r="B2469" s="1" t="n">
        <v>43907</v>
      </c>
      <c r="C2469" s="1" t="n">
        <v>45810</v>
      </c>
      <c r="D2469" t="inlineStr">
        <is>
          <t>VÄRMLANDS LÄN</t>
        </is>
      </c>
      <c r="E2469" t="inlineStr">
        <is>
          <t>FORSHAGA</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15536-2020</t>
        </is>
      </c>
      <c r="B2470" s="1" t="n">
        <v>43907</v>
      </c>
      <c r="C2470" s="1" t="n">
        <v>45810</v>
      </c>
      <c r="D2470" t="inlineStr">
        <is>
          <t>VÄRMLANDS LÄN</t>
        </is>
      </c>
      <c r="E2470" t="inlineStr">
        <is>
          <t>FORSHAGA</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15013-2020</t>
        </is>
      </c>
      <c r="B2471" s="1" t="n">
        <v>43907</v>
      </c>
      <c r="C2471" s="1" t="n">
        <v>45810</v>
      </c>
      <c r="D2471" t="inlineStr">
        <is>
          <t>VÄRMLANDS LÄN</t>
        </is>
      </c>
      <c r="E2471" t="inlineStr">
        <is>
          <t>KRISTINEHAMN</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14968-2020</t>
        </is>
      </c>
      <c r="B2472" s="1" t="n">
        <v>43907</v>
      </c>
      <c r="C2472" s="1" t="n">
        <v>45810</v>
      </c>
      <c r="D2472" t="inlineStr">
        <is>
          <t>VÄRMLANDS LÄN</t>
        </is>
      </c>
      <c r="E2472" t="inlineStr">
        <is>
          <t>TORSBY</t>
        </is>
      </c>
      <c r="G2472" t="n">
        <v>3.2</v>
      </c>
      <c r="H2472" t="n">
        <v>0</v>
      </c>
      <c r="I2472" t="n">
        <v>0</v>
      </c>
      <c r="J2472" t="n">
        <v>0</v>
      </c>
      <c r="K2472" t="n">
        <v>0</v>
      </c>
      <c r="L2472" t="n">
        <v>0</v>
      </c>
      <c r="M2472" t="n">
        <v>0</v>
      </c>
      <c r="N2472" t="n">
        <v>0</v>
      </c>
      <c r="O2472" t="n">
        <v>0</v>
      </c>
      <c r="P2472" t="n">
        <v>0</v>
      </c>
      <c r="Q2472" t="n">
        <v>0</v>
      </c>
      <c r="R2472" s="2" t="inlineStr"/>
    </row>
    <row r="2473" ht="15" customHeight="1">
      <c r="A2473" t="inlineStr">
        <is>
          <t>A 14132-2020</t>
        </is>
      </c>
      <c r="B2473" s="1" t="n">
        <v>43907</v>
      </c>
      <c r="C2473" s="1" t="n">
        <v>45810</v>
      </c>
      <c r="D2473" t="inlineStr">
        <is>
          <t>VÄRMLANDS LÄN</t>
        </is>
      </c>
      <c r="E2473" t="inlineStr">
        <is>
          <t>ÅRJÄNG</t>
        </is>
      </c>
      <c r="G2473" t="n">
        <v>4.4</v>
      </c>
      <c r="H2473" t="n">
        <v>0</v>
      </c>
      <c r="I2473" t="n">
        <v>0</v>
      </c>
      <c r="J2473" t="n">
        <v>0</v>
      </c>
      <c r="K2473" t="n">
        <v>0</v>
      </c>
      <c r="L2473" t="n">
        <v>0</v>
      </c>
      <c r="M2473" t="n">
        <v>0</v>
      </c>
      <c r="N2473" t="n">
        <v>0</v>
      </c>
      <c r="O2473" t="n">
        <v>0</v>
      </c>
      <c r="P2473" t="n">
        <v>0</v>
      </c>
      <c r="Q2473" t="n">
        <v>0</v>
      </c>
      <c r="R2473" s="2" t="inlineStr"/>
    </row>
    <row r="2474" ht="15" customHeight="1">
      <c r="A2474" t="inlineStr">
        <is>
          <t>A 14341-2020</t>
        </is>
      </c>
      <c r="B2474" s="1" t="n">
        <v>43908</v>
      </c>
      <c r="C2474" s="1" t="n">
        <v>45810</v>
      </c>
      <c r="D2474" t="inlineStr">
        <is>
          <t>VÄRMLANDS LÄN</t>
        </is>
      </c>
      <c r="E2474" t="inlineStr">
        <is>
          <t>EDA</t>
        </is>
      </c>
      <c r="G2474" t="n">
        <v>4.2</v>
      </c>
      <c r="H2474" t="n">
        <v>0</v>
      </c>
      <c r="I2474" t="n">
        <v>0</v>
      </c>
      <c r="J2474" t="n">
        <v>0</v>
      </c>
      <c r="K2474" t="n">
        <v>0</v>
      </c>
      <c r="L2474" t="n">
        <v>0</v>
      </c>
      <c r="M2474" t="n">
        <v>0</v>
      </c>
      <c r="N2474" t="n">
        <v>0</v>
      </c>
      <c r="O2474" t="n">
        <v>0</v>
      </c>
      <c r="P2474" t="n">
        <v>0</v>
      </c>
      <c r="Q2474" t="n">
        <v>0</v>
      </c>
      <c r="R2474" s="2" t="inlineStr"/>
    </row>
    <row r="2475" ht="15" customHeight="1">
      <c r="A2475" t="inlineStr">
        <is>
          <t>A 14445-2020</t>
        </is>
      </c>
      <c r="B2475" s="1" t="n">
        <v>43908</v>
      </c>
      <c r="C2475" s="1" t="n">
        <v>45810</v>
      </c>
      <c r="D2475" t="inlineStr">
        <is>
          <t>VÄRMLANDS LÄN</t>
        </is>
      </c>
      <c r="E2475" t="inlineStr">
        <is>
          <t>ARVIKA</t>
        </is>
      </c>
      <c r="G2475" t="n">
        <v>4.4</v>
      </c>
      <c r="H2475" t="n">
        <v>0</v>
      </c>
      <c r="I2475" t="n">
        <v>0</v>
      </c>
      <c r="J2475" t="n">
        <v>0</v>
      </c>
      <c r="K2475" t="n">
        <v>0</v>
      </c>
      <c r="L2475" t="n">
        <v>0</v>
      </c>
      <c r="M2475" t="n">
        <v>0</v>
      </c>
      <c r="N2475" t="n">
        <v>0</v>
      </c>
      <c r="O2475" t="n">
        <v>0</v>
      </c>
      <c r="P2475" t="n">
        <v>0</v>
      </c>
      <c r="Q2475" t="n">
        <v>0</v>
      </c>
      <c r="R2475" s="2" t="inlineStr"/>
    </row>
    <row r="2476" ht="15" customHeight="1">
      <c r="A2476" t="inlineStr">
        <is>
          <t>A 14455-2020</t>
        </is>
      </c>
      <c r="B2476" s="1" t="n">
        <v>43908</v>
      </c>
      <c r="C2476" s="1" t="n">
        <v>45810</v>
      </c>
      <c r="D2476" t="inlineStr">
        <is>
          <t>VÄRMLANDS LÄN</t>
        </is>
      </c>
      <c r="E2476" t="inlineStr">
        <is>
          <t>SUNNE</t>
        </is>
      </c>
      <c r="G2476" t="n">
        <v>10.1</v>
      </c>
      <c r="H2476" t="n">
        <v>0</v>
      </c>
      <c r="I2476" t="n">
        <v>0</v>
      </c>
      <c r="J2476" t="n">
        <v>0</v>
      </c>
      <c r="K2476" t="n">
        <v>0</v>
      </c>
      <c r="L2476" t="n">
        <v>0</v>
      </c>
      <c r="M2476" t="n">
        <v>0</v>
      </c>
      <c r="N2476" t="n">
        <v>0</v>
      </c>
      <c r="O2476" t="n">
        <v>0</v>
      </c>
      <c r="P2476" t="n">
        <v>0</v>
      </c>
      <c r="Q2476" t="n">
        <v>0</v>
      </c>
      <c r="R2476" s="2" t="inlineStr"/>
    </row>
    <row r="2477" ht="15" customHeight="1">
      <c r="A2477" t="inlineStr">
        <is>
          <t>A 14353-2020</t>
        </is>
      </c>
      <c r="B2477" s="1" t="n">
        <v>43908</v>
      </c>
      <c r="C2477" s="1" t="n">
        <v>45810</v>
      </c>
      <c r="D2477" t="inlineStr">
        <is>
          <t>VÄRMLANDS LÄN</t>
        </is>
      </c>
      <c r="E2477" t="inlineStr">
        <is>
          <t>ARVIKA</t>
        </is>
      </c>
      <c r="G2477" t="n">
        <v>3.9</v>
      </c>
      <c r="H2477" t="n">
        <v>0</v>
      </c>
      <c r="I2477" t="n">
        <v>0</v>
      </c>
      <c r="J2477" t="n">
        <v>0</v>
      </c>
      <c r="K2477" t="n">
        <v>0</v>
      </c>
      <c r="L2477" t="n">
        <v>0</v>
      </c>
      <c r="M2477" t="n">
        <v>0</v>
      </c>
      <c r="N2477" t="n">
        <v>0</v>
      </c>
      <c r="O2477" t="n">
        <v>0</v>
      </c>
      <c r="P2477" t="n">
        <v>0</v>
      </c>
      <c r="Q2477" t="n">
        <v>0</v>
      </c>
      <c r="R2477" s="2" t="inlineStr"/>
    </row>
    <row r="2478" ht="15" customHeight="1">
      <c r="A2478" t="inlineStr">
        <is>
          <t>A 14501-2020</t>
        </is>
      </c>
      <c r="B2478" s="1" t="n">
        <v>43908</v>
      </c>
      <c r="C2478" s="1" t="n">
        <v>45810</v>
      </c>
      <c r="D2478" t="inlineStr">
        <is>
          <t>VÄRMLANDS LÄN</t>
        </is>
      </c>
      <c r="E2478" t="inlineStr">
        <is>
          <t>FILIPSTAD</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16344-2020</t>
        </is>
      </c>
      <c r="B2479" s="1" t="n">
        <v>43908</v>
      </c>
      <c r="C2479" s="1" t="n">
        <v>45810</v>
      </c>
      <c r="D2479" t="inlineStr">
        <is>
          <t>VÄRMLANDS LÄN</t>
        </is>
      </c>
      <c r="E2479" t="inlineStr">
        <is>
          <t>GRUMS</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14702-2020</t>
        </is>
      </c>
      <c r="B2480" s="1" t="n">
        <v>43909</v>
      </c>
      <c r="C2480" s="1" t="n">
        <v>45810</v>
      </c>
      <c r="D2480" t="inlineStr">
        <is>
          <t>VÄRMLANDS LÄN</t>
        </is>
      </c>
      <c r="E2480" t="inlineStr">
        <is>
          <t>TORSBY</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14798-2020</t>
        </is>
      </c>
      <c r="B2481" s="1" t="n">
        <v>43909</v>
      </c>
      <c r="C2481" s="1" t="n">
        <v>45810</v>
      </c>
      <c r="D2481" t="inlineStr">
        <is>
          <t>VÄRMLANDS LÄN</t>
        </is>
      </c>
      <c r="E2481" t="inlineStr">
        <is>
          <t>FORSHAGA</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14593-2020</t>
        </is>
      </c>
      <c r="B2482" s="1" t="n">
        <v>43909</v>
      </c>
      <c r="C2482" s="1" t="n">
        <v>45810</v>
      </c>
      <c r="D2482" t="inlineStr">
        <is>
          <t>VÄRMLANDS LÄN</t>
        </is>
      </c>
      <c r="E2482" t="inlineStr">
        <is>
          <t>KARLSTAD</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14661-2020</t>
        </is>
      </c>
      <c r="B2483" s="1" t="n">
        <v>43909</v>
      </c>
      <c r="C2483" s="1" t="n">
        <v>45810</v>
      </c>
      <c r="D2483" t="inlineStr">
        <is>
          <t>VÄRMLANDS LÄN</t>
        </is>
      </c>
      <c r="E2483" t="inlineStr">
        <is>
          <t>ARVIKA</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14694-2020</t>
        </is>
      </c>
      <c r="B2484" s="1" t="n">
        <v>43909</v>
      </c>
      <c r="C2484" s="1" t="n">
        <v>45810</v>
      </c>
      <c r="D2484" t="inlineStr">
        <is>
          <t>VÄRMLANDS LÄN</t>
        </is>
      </c>
      <c r="E2484" t="inlineStr">
        <is>
          <t>TORSBY</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14851-2020</t>
        </is>
      </c>
      <c r="B2485" s="1" t="n">
        <v>43909</v>
      </c>
      <c r="C2485" s="1" t="n">
        <v>45810</v>
      </c>
      <c r="D2485" t="inlineStr">
        <is>
          <t>VÄRMLANDS LÄN</t>
        </is>
      </c>
      <c r="E2485" t="inlineStr">
        <is>
          <t>TORSBY</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16457-2020</t>
        </is>
      </c>
      <c r="B2486" s="1" t="n">
        <v>43909</v>
      </c>
      <c r="C2486" s="1" t="n">
        <v>45810</v>
      </c>
      <c r="D2486" t="inlineStr">
        <is>
          <t>VÄRMLANDS LÄN</t>
        </is>
      </c>
      <c r="E2486" t="inlineStr">
        <is>
          <t>KARLSTAD</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16455-2020</t>
        </is>
      </c>
      <c r="B2487" s="1" t="n">
        <v>43909</v>
      </c>
      <c r="C2487" s="1" t="n">
        <v>45810</v>
      </c>
      <c r="D2487" t="inlineStr">
        <is>
          <t>VÄRMLANDS LÄN</t>
        </is>
      </c>
      <c r="E2487" t="inlineStr">
        <is>
          <t>KIL</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16576-2020</t>
        </is>
      </c>
      <c r="B2488" s="1" t="n">
        <v>43909</v>
      </c>
      <c r="C2488" s="1" t="n">
        <v>45810</v>
      </c>
      <c r="D2488" t="inlineStr">
        <is>
          <t>VÄRMLANDS LÄN</t>
        </is>
      </c>
      <c r="E2488" t="inlineStr">
        <is>
          <t>KARLSTAD</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16512-2020</t>
        </is>
      </c>
      <c r="B2489" s="1" t="n">
        <v>43909</v>
      </c>
      <c r="C2489" s="1" t="n">
        <v>45810</v>
      </c>
      <c r="D2489" t="inlineStr">
        <is>
          <t>VÄRMLANDS LÄN</t>
        </is>
      </c>
      <c r="E2489" t="inlineStr">
        <is>
          <t>SUNNE</t>
        </is>
      </c>
      <c r="G2489" t="n">
        <v>3.6</v>
      </c>
      <c r="H2489" t="n">
        <v>0</v>
      </c>
      <c r="I2489" t="n">
        <v>0</v>
      </c>
      <c r="J2489" t="n">
        <v>0</v>
      </c>
      <c r="K2489" t="n">
        <v>0</v>
      </c>
      <c r="L2489" t="n">
        <v>0</v>
      </c>
      <c r="M2489" t="n">
        <v>0</v>
      </c>
      <c r="N2489" t="n">
        <v>0</v>
      </c>
      <c r="O2489" t="n">
        <v>0</v>
      </c>
      <c r="P2489" t="n">
        <v>0</v>
      </c>
      <c r="Q2489" t="n">
        <v>0</v>
      </c>
      <c r="R2489" s="2" t="inlineStr"/>
    </row>
    <row r="2490" ht="15" customHeight="1">
      <c r="A2490" t="inlineStr">
        <is>
          <t>A 14606-2020</t>
        </is>
      </c>
      <c r="B2490" s="1" t="n">
        <v>43909</v>
      </c>
      <c r="C2490" s="1" t="n">
        <v>45810</v>
      </c>
      <c r="D2490" t="inlineStr">
        <is>
          <t>VÄRMLANDS LÄN</t>
        </is>
      </c>
      <c r="E2490" t="inlineStr">
        <is>
          <t>ARVIKA</t>
        </is>
      </c>
      <c r="G2490" t="n">
        <v>8.800000000000001</v>
      </c>
      <c r="H2490" t="n">
        <v>0</v>
      </c>
      <c r="I2490" t="n">
        <v>0</v>
      </c>
      <c r="J2490" t="n">
        <v>0</v>
      </c>
      <c r="K2490" t="n">
        <v>0</v>
      </c>
      <c r="L2490" t="n">
        <v>0</v>
      </c>
      <c r="M2490" t="n">
        <v>0</v>
      </c>
      <c r="N2490" t="n">
        <v>0</v>
      </c>
      <c r="O2490" t="n">
        <v>0</v>
      </c>
      <c r="P2490" t="n">
        <v>0</v>
      </c>
      <c r="Q2490" t="n">
        <v>0</v>
      </c>
      <c r="R2490" s="2" t="inlineStr"/>
    </row>
    <row r="2491" ht="15" customHeight="1">
      <c r="A2491" t="inlineStr">
        <is>
          <t>A 16557-2020</t>
        </is>
      </c>
      <c r="B2491" s="1" t="n">
        <v>43909</v>
      </c>
      <c r="C2491" s="1" t="n">
        <v>45810</v>
      </c>
      <c r="D2491" t="inlineStr">
        <is>
          <t>VÄRMLANDS LÄN</t>
        </is>
      </c>
      <c r="E2491" t="inlineStr">
        <is>
          <t>KRISTINEHAMN</t>
        </is>
      </c>
      <c r="G2491" t="n">
        <v>3.7</v>
      </c>
      <c r="H2491" t="n">
        <v>0</v>
      </c>
      <c r="I2491" t="n">
        <v>0</v>
      </c>
      <c r="J2491" t="n">
        <v>0</v>
      </c>
      <c r="K2491" t="n">
        <v>0</v>
      </c>
      <c r="L2491" t="n">
        <v>0</v>
      </c>
      <c r="M2491" t="n">
        <v>0</v>
      </c>
      <c r="N2491" t="n">
        <v>0</v>
      </c>
      <c r="O2491" t="n">
        <v>0</v>
      </c>
      <c r="P2491" t="n">
        <v>0</v>
      </c>
      <c r="Q2491" t="n">
        <v>0</v>
      </c>
      <c r="R2491" s="2" t="inlineStr"/>
    </row>
    <row r="2492" ht="15" customHeight="1">
      <c r="A2492" t="inlineStr">
        <is>
          <t>A 16560-2020</t>
        </is>
      </c>
      <c r="B2492" s="1" t="n">
        <v>43909</v>
      </c>
      <c r="C2492" s="1" t="n">
        <v>45810</v>
      </c>
      <c r="D2492" t="inlineStr">
        <is>
          <t>VÄRMLANDS LÄN</t>
        </is>
      </c>
      <c r="E2492" t="inlineStr">
        <is>
          <t>KRISTINEHAMN</t>
        </is>
      </c>
      <c r="G2492" t="n">
        <v>2.8</v>
      </c>
      <c r="H2492" t="n">
        <v>0</v>
      </c>
      <c r="I2492" t="n">
        <v>0</v>
      </c>
      <c r="J2492" t="n">
        <v>0</v>
      </c>
      <c r="K2492" t="n">
        <v>0</v>
      </c>
      <c r="L2492" t="n">
        <v>0</v>
      </c>
      <c r="M2492" t="n">
        <v>0</v>
      </c>
      <c r="N2492" t="n">
        <v>0</v>
      </c>
      <c r="O2492" t="n">
        <v>0</v>
      </c>
      <c r="P2492" t="n">
        <v>0</v>
      </c>
      <c r="Q2492" t="n">
        <v>0</v>
      </c>
      <c r="R2492" s="2" t="inlineStr"/>
    </row>
    <row r="2493" ht="15" customHeight="1">
      <c r="A2493" t="inlineStr">
        <is>
          <t>A 16503-2020</t>
        </is>
      </c>
      <c r="B2493" s="1" t="n">
        <v>43909</v>
      </c>
      <c r="C2493" s="1" t="n">
        <v>45810</v>
      </c>
      <c r="D2493" t="inlineStr">
        <is>
          <t>VÄRMLANDS LÄN</t>
        </is>
      </c>
      <c r="E2493" t="inlineStr">
        <is>
          <t>KIL</t>
        </is>
      </c>
      <c r="G2493" t="n">
        <v>5.8</v>
      </c>
      <c r="H2493" t="n">
        <v>0</v>
      </c>
      <c r="I2493" t="n">
        <v>0</v>
      </c>
      <c r="J2493" t="n">
        <v>0</v>
      </c>
      <c r="K2493" t="n">
        <v>0</v>
      </c>
      <c r="L2493" t="n">
        <v>0</v>
      </c>
      <c r="M2493" t="n">
        <v>0</v>
      </c>
      <c r="N2493" t="n">
        <v>0</v>
      </c>
      <c r="O2493" t="n">
        <v>0</v>
      </c>
      <c r="P2493" t="n">
        <v>0</v>
      </c>
      <c r="Q2493" t="n">
        <v>0</v>
      </c>
      <c r="R2493" s="2" t="inlineStr"/>
    </row>
    <row r="2494" ht="15" customHeight="1">
      <c r="A2494" t="inlineStr">
        <is>
          <t>A 14916-2020</t>
        </is>
      </c>
      <c r="B2494" s="1" t="n">
        <v>43910</v>
      </c>
      <c r="C2494" s="1" t="n">
        <v>45810</v>
      </c>
      <c r="D2494" t="inlineStr">
        <is>
          <t>VÄRMLANDS LÄN</t>
        </is>
      </c>
      <c r="E2494" t="inlineStr">
        <is>
          <t>KIL</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15019-2020</t>
        </is>
      </c>
      <c r="B2495" s="1" t="n">
        <v>43910</v>
      </c>
      <c r="C2495" s="1" t="n">
        <v>45810</v>
      </c>
      <c r="D2495" t="inlineStr">
        <is>
          <t>VÄRMLANDS LÄN</t>
        </is>
      </c>
      <c r="E2495" t="inlineStr">
        <is>
          <t>SUNNE</t>
        </is>
      </c>
      <c r="F2495" t="inlineStr">
        <is>
          <t>Bergvik skog väst AB</t>
        </is>
      </c>
      <c r="G2495" t="n">
        <v>4</v>
      </c>
      <c r="H2495" t="n">
        <v>0</v>
      </c>
      <c r="I2495" t="n">
        <v>0</v>
      </c>
      <c r="J2495" t="n">
        <v>0</v>
      </c>
      <c r="K2495" t="n">
        <v>0</v>
      </c>
      <c r="L2495" t="n">
        <v>0</v>
      </c>
      <c r="M2495" t="n">
        <v>0</v>
      </c>
      <c r="N2495" t="n">
        <v>0</v>
      </c>
      <c r="O2495" t="n">
        <v>0</v>
      </c>
      <c r="P2495" t="n">
        <v>0</v>
      </c>
      <c r="Q2495" t="n">
        <v>0</v>
      </c>
      <c r="R2495" s="2" t="inlineStr"/>
    </row>
    <row r="2496" ht="15" customHeight="1">
      <c r="A2496" t="inlineStr">
        <is>
          <t>A 14928-2020</t>
        </is>
      </c>
      <c r="B2496" s="1" t="n">
        <v>43910</v>
      </c>
      <c r="C2496" s="1" t="n">
        <v>45810</v>
      </c>
      <c r="D2496" t="inlineStr">
        <is>
          <t>VÄRMLANDS LÄN</t>
        </is>
      </c>
      <c r="E2496" t="inlineStr">
        <is>
          <t>ÅRJÄNG</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14948-2020</t>
        </is>
      </c>
      <c r="B2497" s="1" t="n">
        <v>43910</v>
      </c>
      <c r="C2497" s="1" t="n">
        <v>45810</v>
      </c>
      <c r="D2497" t="inlineStr">
        <is>
          <t>VÄRMLANDS LÄN</t>
        </is>
      </c>
      <c r="E2497" t="inlineStr">
        <is>
          <t>KARLSTAD</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14961-2020</t>
        </is>
      </c>
      <c r="B2498" s="1" t="n">
        <v>43910</v>
      </c>
      <c r="C2498" s="1" t="n">
        <v>45810</v>
      </c>
      <c r="D2498" t="inlineStr">
        <is>
          <t>VÄRMLANDS LÄN</t>
        </is>
      </c>
      <c r="E2498" t="inlineStr">
        <is>
          <t>KARLSTAD</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15022-2020</t>
        </is>
      </c>
      <c r="B2499" s="1" t="n">
        <v>43910</v>
      </c>
      <c r="C2499" s="1" t="n">
        <v>45810</v>
      </c>
      <c r="D2499" t="inlineStr">
        <is>
          <t>VÄRMLANDS LÄN</t>
        </is>
      </c>
      <c r="E2499" t="inlineStr">
        <is>
          <t>ARVIKA</t>
        </is>
      </c>
      <c r="G2499" t="n">
        <v>29.3</v>
      </c>
      <c r="H2499" t="n">
        <v>0</v>
      </c>
      <c r="I2499" t="n">
        <v>0</v>
      </c>
      <c r="J2499" t="n">
        <v>0</v>
      </c>
      <c r="K2499" t="n">
        <v>0</v>
      </c>
      <c r="L2499" t="n">
        <v>0</v>
      </c>
      <c r="M2499" t="n">
        <v>0</v>
      </c>
      <c r="N2499" t="n">
        <v>0</v>
      </c>
      <c r="O2499" t="n">
        <v>0</v>
      </c>
      <c r="P2499" t="n">
        <v>0</v>
      </c>
      <c r="Q2499" t="n">
        <v>0</v>
      </c>
      <c r="R2499" s="2" t="inlineStr"/>
    </row>
    <row r="2500" ht="15" customHeight="1">
      <c r="A2500" t="inlineStr">
        <is>
          <t>A 14965-2020</t>
        </is>
      </c>
      <c r="B2500" s="1" t="n">
        <v>43910</v>
      </c>
      <c r="C2500" s="1" t="n">
        <v>45810</v>
      </c>
      <c r="D2500" t="inlineStr">
        <is>
          <t>VÄRMLANDS LÄN</t>
        </is>
      </c>
      <c r="E2500" t="inlineStr">
        <is>
          <t>KARLSTAD</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15064-2020</t>
        </is>
      </c>
      <c r="B2501" s="1" t="n">
        <v>43910</v>
      </c>
      <c r="C2501" s="1" t="n">
        <v>45810</v>
      </c>
      <c r="D2501" t="inlineStr">
        <is>
          <t>VÄRMLANDS LÄN</t>
        </is>
      </c>
      <c r="E2501" t="inlineStr">
        <is>
          <t>HAGFORS</t>
        </is>
      </c>
      <c r="F2501" t="inlineStr">
        <is>
          <t>Bergvik skog väst AB</t>
        </is>
      </c>
      <c r="G2501" t="n">
        <v>4.8</v>
      </c>
      <c r="H2501" t="n">
        <v>0</v>
      </c>
      <c r="I2501" t="n">
        <v>0</v>
      </c>
      <c r="J2501" t="n">
        <v>0</v>
      </c>
      <c r="K2501" t="n">
        <v>0</v>
      </c>
      <c r="L2501" t="n">
        <v>0</v>
      </c>
      <c r="M2501" t="n">
        <v>0</v>
      </c>
      <c r="N2501" t="n">
        <v>0</v>
      </c>
      <c r="O2501" t="n">
        <v>0</v>
      </c>
      <c r="P2501" t="n">
        <v>0</v>
      </c>
      <c r="Q2501" t="n">
        <v>0</v>
      </c>
      <c r="R2501" s="2" t="inlineStr"/>
    </row>
    <row r="2502" ht="15" customHeight="1">
      <c r="A2502" t="inlineStr">
        <is>
          <t>A 14955-2020</t>
        </is>
      </c>
      <c r="B2502" s="1" t="n">
        <v>43910</v>
      </c>
      <c r="C2502" s="1" t="n">
        <v>45810</v>
      </c>
      <c r="D2502" t="inlineStr">
        <is>
          <t>VÄRMLANDS LÄN</t>
        </is>
      </c>
      <c r="E2502" t="inlineStr">
        <is>
          <t>SÄFFLE</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14964-2020</t>
        </is>
      </c>
      <c r="B2503" s="1" t="n">
        <v>43910</v>
      </c>
      <c r="C2503" s="1" t="n">
        <v>45810</v>
      </c>
      <c r="D2503" t="inlineStr">
        <is>
          <t>VÄRMLANDS LÄN</t>
        </is>
      </c>
      <c r="E2503" t="inlineStr">
        <is>
          <t>KARLSTAD</t>
        </is>
      </c>
      <c r="G2503" t="n">
        <v>0.2</v>
      </c>
      <c r="H2503" t="n">
        <v>0</v>
      </c>
      <c r="I2503" t="n">
        <v>0</v>
      </c>
      <c r="J2503" t="n">
        <v>0</v>
      </c>
      <c r="K2503" t="n">
        <v>0</v>
      </c>
      <c r="L2503" t="n">
        <v>0</v>
      </c>
      <c r="M2503" t="n">
        <v>0</v>
      </c>
      <c r="N2503" t="n">
        <v>0</v>
      </c>
      <c r="O2503" t="n">
        <v>0</v>
      </c>
      <c r="P2503" t="n">
        <v>0</v>
      </c>
      <c r="Q2503" t="n">
        <v>0</v>
      </c>
      <c r="R2503" s="2" t="inlineStr"/>
    </row>
    <row r="2504" ht="15" customHeight="1">
      <c r="A2504" t="inlineStr">
        <is>
          <t>A 15044-2020</t>
        </is>
      </c>
      <c r="B2504" s="1" t="n">
        <v>43910</v>
      </c>
      <c r="C2504" s="1" t="n">
        <v>45810</v>
      </c>
      <c r="D2504" t="inlineStr">
        <is>
          <t>VÄRMLANDS LÄN</t>
        </is>
      </c>
      <c r="E2504" t="inlineStr">
        <is>
          <t>ÅRJÄNG</t>
        </is>
      </c>
      <c r="G2504" t="n">
        <v>2.7</v>
      </c>
      <c r="H2504" t="n">
        <v>0</v>
      </c>
      <c r="I2504" t="n">
        <v>0</v>
      </c>
      <c r="J2504" t="n">
        <v>0</v>
      </c>
      <c r="K2504" t="n">
        <v>0</v>
      </c>
      <c r="L2504" t="n">
        <v>0</v>
      </c>
      <c r="M2504" t="n">
        <v>0</v>
      </c>
      <c r="N2504" t="n">
        <v>0</v>
      </c>
      <c r="O2504" t="n">
        <v>0</v>
      </c>
      <c r="P2504" t="n">
        <v>0</v>
      </c>
      <c r="Q2504" t="n">
        <v>0</v>
      </c>
      <c r="R2504" s="2" t="inlineStr"/>
    </row>
    <row r="2505" ht="15" customHeight="1">
      <c r="A2505" t="inlineStr">
        <is>
          <t>A 15046-2020</t>
        </is>
      </c>
      <c r="B2505" s="1" t="n">
        <v>43910</v>
      </c>
      <c r="C2505" s="1" t="n">
        <v>45810</v>
      </c>
      <c r="D2505" t="inlineStr">
        <is>
          <t>VÄRMLANDS LÄN</t>
        </is>
      </c>
      <c r="E2505" t="inlineStr">
        <is>
          <t>HAGFORS</t>
        </is>
      </c>
      <c r="G2505" t="n">
        <v>5.6</v>
      </c>
      <c r="H2505" t="n">
        <v>0</v>
      </c>
      <c r="I2505" t="n">
        <v>0</v>
      </c>
      <c r="J2505" t="n">
        <v>0</v>
      </c>
      <c r="K2505" t="n">
        <v>0</v>
      </c>
      <c r="L2505" t="n">
        <v>0</v>
      </c>
      <c r="M2505" t="n">
        <v>0</v>
      </c>
      <c r="N2505" t="n">
        <v>0</v>
      </c>
      <c r="O2505" t="n">
        <v>0</v>
      </c>
      <c r="P2505" t="n">
        <v>0</v>
      </c>
      <c r="Q2505" t="n">
        <v>0</v>
      </c>
      <c r="R2505" s="2" t="inlineStr"/>
    </row>
    <row r="2506" ht="15" customHeight="1">
      <c r="A2506" t="inlineStr">
        <is>
          <t>A 15144-2020</t>
        </is>
      </c>
      <c r="B2506" s="1" t="n">
        <v>43911</v>
      </c>
      <c r="C2506" s="1" t="n">
        <v>45810</v>
      </c>
      <c r="D2506" t="inlineStr">
        <is>
          <t>VÄRMLANDS LÄN</t>
        </is>
      </c>
      <c r="E2506" t="inlineStr">
        <is>
          <t>KIL</t>
        </is>
      </c>
      <c r="G2506" t="n">
        <v>6.1</v>
      </c>
      <c r="H2506" t="n">
        <v>0</v>
      </c>
      <c r="I2506" t="n">
        <v>0</v>
      </c>
      <c r="J2506" t="n">
        <v>0</v>
      </c>
      <c r="K2506" t="n">
        <v>0</v>
      </c>
      <c r="L2506" t="n">
        <v>0</v>
      </c>
      <c r="M2506" t="n">
        <v>0</v>
      </c>
      <c r="N2506" t="n">
        <v>0</v>
      </c>
      <c r="O2506" t="n">
        <v>0</v>
      </c>
      <c r="P2506" t="n">
        <v>0</v>
      </c>
      <c r="Q2506" t="n">
        <v>0</v>
      </c>
      <c r="R2506" s="2" t="inlineStr"/>
    </row>
    <row r="2507" ht="15" customHeight="1">
      <c r="A2507" t="inlineStr">
        <is>
          <t>A 15143-2020</t>
        </is>
      </c>
      <c r="B2507" s="1" t="n">
        <v>43911</v>
      </c>
      <c r="C2507" s="1" t="n">
        <v>45810</v>
      </c>
      <c r="D2507" t="inlineStr">
        <is>
          <t>VÄRMLANDS LÄN</t>
        </is>
      </c>
      <c r="E2507" t="inlineStr">
        <is>
          <t>KIL</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15142-2020</t>
        </is>
      </c>
      <c r="B2508" s="1" t="n">
        <v>43911</v>
      </c>
      <c r="C2508" s="1" t="n">
        <v>45810</v>
      </c>
      <c r="D2508" t="inlineStr">
        <is>
          <t>VÄRMLANDS LÄN</t>
        </is>
      </c>
      <c r="E2508" t="inlineStr">
        <is>
          <t>KIL</t>
        </is>
      </c>
      <c r="G2508" t="n">
        <v>2.7</v>
      </c>
      <c r="H2508" t="n">
        <v>0</v>
      </c>
      <c r="I2508" t="n">
        <v>0</v>
      </c>
      <c r="J2508" t="n">
        <v>0</v>
      </c>
      <c r="K2508" t="n">
        <v>0</v>
      </c>
      <c r="L2508" t="n">
        <v>0</v>
      </c>
      <c r="M2508" t="n">
        <v>0</v>
      </c>
      <c r="N2508" t="n">
        <v>0</v>
      </c>
      <c r="O2508" t="n">
        <v>0</v>
      </c>
      <c r="P2508" t="n">
        <v>0</v>
      </c>
      <c r="Q2508" t="n">
        <v>0</v>
      </c>
      <c r="R2508" s="2" t="inlineStr"/>
    </row>
    <row r="2509" ht="15" customHeight="1">
      <c r="A2509" t="inlineStr">
        <is>
          <t>A 15146-2020</t>
        </is>
      </c>
      <c r="B2509" s="1" t="n">
        <v>43911</v>
      </c>
      <c r="C2509" s="1" t="n">
        <v>45810</v>
      </c>
      <c r="D2509" t="inlineStr">
        <is>
          <t>VÄRMLANDS LÄN</t>
        </is>
      </c>
      <c r="E2509" t="inlineStr">
        <is>
          <t>KIL</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15140-2020</t>
        </is>
      </c>
      <c r="B2510" s="1" t="n">
        <v>43911</v>
      </c>
      <c r="C2510" s="1" t="n">
        <v>45810</v>
      </c>
      <c r="D2510" t="inlineStr">
        <is>
          <t>VÄRMLANDS LÄN</t>
        </is>
      </c>
      <c r="E2510" t="inlineStr">
        <is>
          <t>KIL</t>
        </is>
      </c>
      <c r="G2510" t="n">
        <v>8.5</v>
      </c>
      <c r="H2510" t="n">
        <v>0</v>
      </c>
      <c r="I2510" t="n">
        <v>0</v>
      </c>
      <c r="J2510" t="n">
        <v>0</v>
      </c>
      <c r="K2510" t="n">
        <v>0</v>
      </c>
      <c r="L2510" t="n">
        <v>0</v>
      </c>
      <c r="M2510" t="n">
        <v>0</v>
      </c>
      <c r="N2510" t="n">
        <v>0</v>
      </c>
      <c r="O2510" t="n">
        <v>0</v>
      </c>
      <c r="P2510" t="n">
        <v>0</v>
      </c>
      <c r="Q2510" t="n">
        <v>0</v>
      </c>
      <c r="R2510" s="2" t="inlineStr"/>
    </row>
    <row r="2511" ht="15" customHeight="1">
      <c r="A2511" t="inlineStr">
        <is>
          <t>A 15145-2020</t>
        </is>
      </c>
      <c r="B2511" s="1" t="n">
        <v>43911</v>
      </c>
      <c r="C2511" s="1" t="n">
        <v>45810</v>
      </c>
      <c r="D2511" t="inlineStr">
        <is>
          <t>VÄRMLANDS LÄN</t>
        </is>
      </c>
      <c r="E2511" t="inlineStr">
        <is>
          <t>KIL</t>
        </is>
      </c>
      <c r="G2511" t="n">
        <v>4.5</v>
      </c>
      <c r="H2511" t="n">
        <v>0</v>
      </c>
      <c r="I2511" t="n">
        <v>0</v>
      </c>
      <c r="J2511" t="n">
        <v>0</v>
      </c>
      <c r="K2511" t="n">
        <v>0</v>
      </c>
      <c r="L2511" t="n">
        <v>0</v>
      </c>
      <c r="M2511" t="n">
        <v>0</v>
      </c>
      <c r="N2511" t="n">
        <v>0</v>
      </c>
      <c r="O2511" t="n">
        <v>0</v>
      </c>
      <c r="P2511" t="n">
        <v>0</v>
      </c>
      <c r="Q2511" t="n">
        <v>0</v>
      </c>
      <c r="R2511" s="2" t="inlineStr"/>
    </row>
    <row r="2512" ht="15" customHeight="1">
      <c r="A2512" t="inlineStr">
        <is>
          <t>A 15162-2020</t>
        </is>
      </c>
      <c r="B2512" s="1" t="n">
        <v>43912</v>
      </c>
      <c r="C2512" s="1" t="n">
        <v>45810</v>
      </c>
      <c r="D2512" t="inlineStr">
        <is>
          <t>VÄRMLANDS LÄN</t>
        </is>
      </c>
      <c r="E2512" t="inlineStr">
        <is>
          <t>SUNNE</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15161-2020</t>
        </is>
      </c>
      <c r="B2513" s="1" t="n">
        <v>43912</v>
      </c>
      <c r="C2513" s="1" t="n">
        <v>45810</v>
      </c>
      <c r="D2513" t="inlineStr">
        <is>
          <t>VÄRMLANDS LÄN</t>
        </is>
      </c>
      <c r="E2513" t="inlineStr">
        <is>
          <t>TORSBY</t>
        </is>
      </c>
      <c r="G2513" t="n">
        <v>2.7</v>
      </c>
      <c r="H2513" t="n">
        <v>0</v>
      </c>
      <c r="I2513" t="n">
        <v>0</v>
      </c>
      <c r="J2513" t="n">
        <v>0</v>
      </c>
      <c r="K2513" t="n">
        <v>0</v>
      </c>
      <c r="L2513" t="n">
        <v>0</v>
      </c>
      <c r="M2513" t="n">
        <v>0</v>
      </c>
      <c r="N2513" t="n">
        <v>0</v>
      </c>
      <c r="O2513" t="n">
        <v>0</v>
      </c>
      <c r="P2513" t="n">
        <v>0</v>
      </c>
      <c r="Q2513" t="n">
        <v>0</v>
      </c>
      <c r="R2513" s="2" t="inlineStr"/>
    </row>
    <row r="2514" ht="15" customHeight="1">
      <c r="A2514" t="inlineStr">
        <is>
          <t>A 15290-2020</t>
        </is>
      </c>
      <c r="B2514" s="1" t="n">
        <v>43913</v>
      </c>
      <c r="C2514" s="1" t="n">
        <v>45810</v>
      </c>
      <c r="D2514" t="inlineStr">
        <is>
          <t>VÄRMLANDS LÄN</t>
        </is>
      </c>
      <c r="E2514" t="inlineStr">
        <is>
          <t>MUNKFORS</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15346-2020</t>
        </is>
      </c>
      <c r="B2515" s="1" t="n">
        <v>43913</v>
      </c>
      <c r="C2515" s="1" t="n">
        <v>45810</v>
      </c>
      <c r="D2515" t="inlineStr">
        <is>
          <t>VÄRMLANDS LÄN</t>
        </is>
      </c>
      <c r="E2515" t="inlineStr">
        <is>
          <t>SUNNE</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15256-2020</t>
        </is>
      </c>
      <c r="B2516" s="1" t="n">
        <v>43913</v>
      </c>
      <c r="C2516" s="1" t="n">
        <v>45810</v>
      </c>
      <c r="D2516" t="inlineStr">
        <is>
          <t>VÄRMLANDS LÄN</t>
        </is>
      </c>
      <c r="E2516" t="inlineStr">
        <is>
          <t>ARVIKA</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15259-2020</t>
        </is>
      </c>
      <c r="B2517" s="1" t="n">
        <v>43913</v>
      </c>
      <c r="C2517" s="1" t="n">
        <v>45810</v>
      </c>
      <c r="D2517" t="inlineStr">
        <is>
          <t>VÄRMLANDS LÄN</t>
        </is>
      </c>
      <c r="E2517" t="inlineStr">
        <is>
          <t>ARVIKA</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15283-2020</t>
        </is>
      </c>
      <c r="B2518" s="1" t="n">
        <v>43913</v>
      </c>
      <c r="C2518" s="1" t="n">
        <v>45810</v>
      </c>
      <c r="D2518" t="inlineStr">
        <is>
          <t>VÄRMLANDS LÄN</t>
        </is>
      </c>
      <c r="E2518" t="inlineStr">
        <is>
          <t>HAGFORS</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15339-2020</t>
        </is>
      </c>
      <c r="B2519" s="1" t="n">
        <v>43913</v>
      </c>
      <c r="C2519" s="1" t="n">
        <v>45810</v>
      </c>
      <c r="D2519" t="inlineStr">
        <is>
          <t>VÄRMLANDS LÄN</t>
        </is>
      </c>
      <c r="E2519" t="inlineStr">
        <is>
          <t>ARVIKA</t>
        </is>
      </c>
      <c r="G2519" t="n">
        <v>21.4</v>
      </c>
      <c r="H2519" t="n">
        <v>0</v>
      </c>
      <c r="I2519" t="n">
        <v>0</v>
      </c>
      <c r="J2519" t="n">
        <v>0</v>
      </c>
      <c r="K2519" t="n">
        <v>0</v>
      </c>
      <c r="L2519" t="n">
        <v>0</v>
      </c>
      <c r="M2519" t="n">
        <v>0</v>
      </c>
      <c r="N2519" t="n">
        <v>0</v>
      </c>
      <c r="O2519" t="n">
        <v>0</v>
      </c>
      <c r="P2519" t="n">
        <v>0</v>
      </c>
      <c r="Q2519" t="n">
        <v>0</v>
      </c>
      <c r="R2519" s="2" t="inlineStr"/>
    </row>
    <row r="2520" ht="15" customHeight="1">
      <c r="A2520" t="inlineStr">
        <is>
          <t>A 15278-2020</t>
        </is>
      </c>
      <c r="B2520" s="1" t="n">
        <v>43913</v>
      </c>
      <c r="C2520" s="1" t="n">
        <v>45810</v>
      </c>
      <c r="D2520" t="inlineStr">
        <is>
          <t>VÄRMLANDS LÄN</t>
        </is>
      </c>
      <c r="E2520" t="inlineStr">
        <is>
          <t>STORFORS</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15280-2020</t>
        </is>
      </c>
      <c r="B2521" s="1" t="n">
        <v>43913</v>
      </c>
      <c r="C2521" s="1" t="n">
        <v>45810</v>
      </c>
      <c r="D2521" t="inlineStr">
        <is>
          <t>VÄRMLANDS LÄN</t>
        </is>
      </c>
      <c r="E2521" t="inlineStr">
        <is>
          <t>TORSBY</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15316-2020</t>
        </is>
      </c>
      <c r="B2522" s="1" t="n">
        <v>43913</v>
      </c>
      <c r="C2522" s="1" t="n">
        <v>45810</v>
      </c>
      <c r="D2522" t="inlineStr">
        <is>
          <t>VÄRMLANDS LÄN</t>
        </is>
      </c>
      <c r="E2522" t="inlineStr">
        <is>
          <t>KIL</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15385-2020</t>
        </is>
      </c>
      <c r="B2523" s="1" t="n">
        <v>43913</v>
      </c>
      <c r="C2523" s="1" t="n">
        <v>45810</v>
      </c>
      <c r="D2523" t="inlineStr">
        <is>
          <t>VÄRMLANDS LÄN</t>
        </is>
      </c>
      <c r="E2523" t="inlineStr">
        <is>
          <t>HAGFORS</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16440-2020</t>
        </is>
      </c>
      <c r="B2524" s="1" t="n">
        <v>43913</v>
      </c>
      <c r="C2524" s="1" t="n">
        <v>45810</v>
      </c>
      <c r="D2524" t="inlineStr">
        <is>
          <t>VÄRMLANDS LÄN</t>
        </is>
      </c>
      <c r="E2524" t="inlineStr">
        <is>
          <t>SÄFFLE</t>
        </is>
      </c>
      <c r="G2524" t="n">
        <v>2.9</v>
      </c>
      <c r="H2524" t="n">
        <v>0</v>
      </c>
      <c r="I2524" t="n">
        <v>0</v>
      </c>
      <c r="J2524" t="n">
        <v>0</v>
      </c>
      <c r="K2524" t="n">
        <v>0</v>
      </c>
      <c r="L2524" t="n">
        <v>0</v>
      </c>
      <c r="M2524" t="n">
        <v>0</v>
      </c>
      <c r="N2524" t="n">
        <v>0</v>
      </c>
      <c r="O2524" t="n">
        <v>0</v>
      </c>
      <c r="P2524" t="n">
        <v>0</v>
      </c>
      <c r="Q2524" t="n">
        <v>0</v>
      </c>
      <c r="R2524" s="2" t="inlineStr"/>
    </row>
    <row r="2525" ht="15" customHeight="1">
      <c r="A2525" t="inlineStr">
        <is>
          <t>A 16712-2020</t>
        </is>
      </c>
      <c r="B2525" s="1" t="n">
        <v>43913</v>
      </c>
      <c r="C2525" s="1" t="n">
        <v>45810</v>
      </c>
      <c r="D2525" t="inlineStr">
        <is>
          <t>VÄRMLANDS LÄN</t>
        </is>
      </c>
      <c r="E2525" t="inlineStr">
        <is>
          <t>SÄFFLE</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16706-2020</t>
        </is>
      </c>
      <c r="B2526" s="1" t="n">
        <v>43913</v>
      </c>
      <c r="C2526" s="1" t="n">
        <v>45810</v>
      </c>
      <c r="D2526" t="inlineStr">
        <is>
          <t>VÄRMLANDS LÄN</t>
        </is>
      </c>
      <c r="E2526" t="inlineStr">
        <is>
          <t>SÄFFLE</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16702-2020</t>
        </is>
      </c>
      <c r="B2527" s="1" t="n">
        <v>43913</v>
      </c>
      <c r="C2527" s="1" t="n">
        <v>45810</v>
      </c>
      <c r="D2527" t="inlineStr">
        <is>
          <t>VÄRMLANDS LÄN</t>
        </is>
      </c>
      <c r="E2527" t="inlineStr">
        <is>
          <t>SÄFFLE</t>
        </is>
      </c>
      <c r="G2527" t="n">
        <v>3</v>
      </c>
      <c r="H2527" t="n">
        <v>0</v>
      </c>
      <c r="I2527" t="n">
        <v>0</v>
      </c>
      <c r="J2527" t="n">
        <v>0</v>
      </c>
      <c r="K2527" t="n">
        <v>0</v>
      </c>
      <c r="L2527" t="n">
        <v>0</v>
      </c>
      <c r="M2527" t="n">
        <v>0</v>
      </c>
      <c r="N2527" t="n">
        <v>0</v>
      </c>
      <c r="O2527" t="n">
        <v>0</v>
      </c>
      <c r="P2527" t="n">
        <v>0</v>
      </c>
      <c r="Q2527" t="n">
        <v>0</v>
      </c>
      <c r="R2527" s="2" t="inlineStr"/>
    </row>
    <row r="2528" ht="15" customHeight="1">
      <c r="A2528" t="inlineStr">
        <is>
          <t>A 16715-2020</t>
        </is>
      </c>
      <c r="B2528" s="1" t="n">
        <v>43913</v>
      </c>
      <c r="C2528" s="1" t="n">
        <v>45810</v>
      </c>
      <c r="D2528" t="inlineStr">
        <is>
          <t>VÄRMLANDS LÄN</t>
        </is>
      </c>
      <c r="E2528" t="inlineStr">
        <is>
          <t>SÄFFLE</t>
        </is>
      </c>
      <c r="G2528" t="n">
        <v>11.7</v>
      </c>
      <c r="H2528" t="n">
        <v>0</v>
      </c>
      <c r="I2528" t="n">
        <v>0</v>
      </c>
      <c r="J2528" t="n">
        <v>0</v>
      </c>
      <c r="K2528" t="n">
        <v>0</v>
      </c>
      <c r="L2528" t="n">
        <v>0</v>
      </c>
      <c r="M2528" t="n">
        <v>0</v>
      </c>
      <c r="N2528" t="n">
        <v>0</v>
      </c>
      <c r="O2528" t="n">
        <v>0</v>
      </c>
      <c r="P2528" t="n">
        <v>0</v>
      </c>
      <c r="Q2528" t="n">
        <v>0</v>
      </c>
      <c r="R2528" s="2" t="inlineStr"/>
    </row>
    <row r="2529" ht="15" customHeight="1">
      <c r="A2529" t="inlineStr">
        <is>
          <t>A 16788-2020</t>
        </is>
      </c>
      <c r="B2529" s="1" t="n">
        <v>43913</v>
      </c>
      <c r="C2529" s="1" t="n">
        <v>45810</v>
      </c>
      <c r="D2529" t="inlineStr">
        <is>
          <t>VÄRMLANDS LÄN</t>
        </is>
      </c>
      <c r="E2529" t="inlineStr">
        <is>
          <t>SÄFFLE</t>
        </is>
      </c>
      <c r="G2529" t="n">
        <v>7.1</v>
      </c>
      <c r="H2529" t="n">
        <v>0</v>
      </c>
      <c r="I2529" t="n">
        <v>0</v>
      </c>
      <c r="J2529" t="n">
        <v>0</v>
      </c>
      <c r="K2529" t="n">
        <v>0</v>
      </c>
      <c r="L2529" t="n">
        <v>0</v>
      </c>
      <c r="M2529" t="n">
        <v>0</v>
      </c>
      <c r="N2529" t="n">
        <v>0</v>
      </c>
      <c r="O2529" t="n">
        <v>0</v>
      </c>
      <c r="P2529" t="n">
        <v>0</v>
      </c>
      <c r="Q2529" t="n">
        <v>0</v>
      </c>
      <c r="R2529" s="2" t="inlineStr"/>
    </row>
    <row r="2530" ht="15" customHeight="1">
      <c r="A2530" t="inlineStr">
        <is>
          <t>A 16708-2020</t>
        </is>
      </c>
      <c r="B2530" s="1" t="n">
        <v>43913</v>
      </c>
      <c r="C2530" s="1" t="n">
        <v>45810</v>
      </c>
      <c r="D2530" t="inlineStr">
        <is>
          <t>VÄRMLANDS LÄN</t>
        </is>
      </c>
      <c r="E2530" t="inlineStr">
        <is>
          <t>SÄFFLE</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15569-2020</t>
        </is>
      </c>
      <c r="B2531" s="1" t="n">
        <v>43914</v>
      </c>
      <c r="C2531" s="1" t="n">
        <v>45810</v>
      </c>
      <c r="D2531" t="inlineStr">
        <is>
          <t>VÄRMLANDS LÄN</t>
        </is>
      </c>
      <c r="E2531" t="inlineStr">
        <is>
          <t>KARLSTAD</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15578-2020</t>
        </is>
      </c>
      <c r="B2532" s="1" t="n">
        <v>43914</v>
      </c>
      <c r="C2532" s="1" t="n">
        <v>45810</v>
      </c>
      <c r="D2532" t="inlineStr">
        <is>
          <t>VÄRMLANDS LÄN</t>
        </is>
      </c>
      <c r="E2532" t="inlineStr">
        <is>
          <t>KRISTINEHAMN</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15589-2020</t>
        </is>
      </c>
      <c r="B2533" s="1" t="n">
        <v>43914</v>
      </c>
      <c r="C2533" s="1" t="n">
        <v>45810</v>
      </c>
      <c r="D2533" t="inlineStr">
        <is>
          <t>VÄRMLANDS LÄN</t>
        </is>
      </c>
      <c r="E2533" t="inlineStr">
        <is>
          <t>TORSBY</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15535-2020</t>
        </is>
      </c>
      <c r="B2534" s="1" t="n">
        <v>43914</v>
      </c>
      <c r="C2534" s="1" t="n">
        <v>45810</v>
      </c>
      <c r="D2534" t="inlineStr">
        <is>
          <t>VÄRMLANDS LÄN</t>
        </is>
      </c>
      <c r="E2534" t="inlineStr">
        <is>
          <t>KARLSTAD</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15598-2020</t>
        </is>
      </c>
      <c r="B2535" s="1" t="n">
        <v>43914</v>
      </c>
      <c r="C2535" s="1" t="n">
        <v>45810</v>
      </c>
      <c r="D2535" t="inlineStr">
        <is>
          <t>VÄRMLANDS LÄN</t>
        </is>
      </c>
      <c r="E2535" t="inlineStr">
        <is>
          <t>FILIPSTAD</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15426-2020</t>
        </is>
      </c>
      <c r="B2536" s="1" t="n">
        <v>43914</v>
      </c>
      <c r="C2536" s="1" t="n">
        <v>45810</v>
      </c>
      <c r="D2536" t="inlineStr">
        <is>
          <t>VÄRMLANDS LÄN</t>
        </is>
      </c>
      <c r="E2536" t="inlineStr">
        <is>
          <t>EDA</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15538-2020</t>
        </is>
      </c>
      <c r="B2537" s="1" t="n">
        <v>43914</v>
      </c>
      <c r="C2537" s="1" t="n">
        <v>45810</v>
      </c>
      <c r="D2537" t="inlineStr">
        <is>
          <t>VÄRMLANDS LÄN</t>
        </is>
      </c>
      <c r="E2537" t="inlineStr">
        <is>
          <t>KARLSTAD</t>
        </is>
      </c>
      <c r="G2537" t="n">
        <v>2.5</v>
      </c>
      <c r="H2537" t="n">
        <v>0</v>
      </c>
      <c r="I2537" t="n">
        <v>0</v>
      </c>
      <c r="J2537" t="n">
        <v>0</v>
      </c>
      <c r="K2537" t="n">
        <v>0</v>
      </c>
      <c r="L2537" t="n">
        <v>0</v>
      </c>
      <c r="M2537" t="n">
        <v>0</v>
      </c>
      <c r="N2537" t="n">
        <v>0</v>
      </c>
      <c r="O2537" t="n">
        <v>0</v>
      </c>
      <c r="P2537" t="n">
        <v>0</v>
      </c>
      <c r="Q2537" t="n">
        <v>0</v>
      </c>
      <c r="R2537" s="2" t="inlineStr"/>
    </row>
    <row r="2538" ht="15" customHeight="1">
      <c r="A2538" t="inlineStr">
        <is>
          <t>A 15575-2020</t>
        </is>
      </c>
      <c r="B2538" s="1" t="n">
        <v>43914</v>
      </c>
      <c r="C2538" s="1" t="n">
        <v>45810</v>
      </c>
      <c r="D2538" t="inlineStr">
        <is>
          <t>VÄRMLANDS LÄN</t>
        </is>
      </c>
      <c r="E2538" t="inlineStr">
        <is>
          <t>KRISTINEHAMN</t>
        </is>
      </c>
      <c r="G2538" t="n">
        <v>3.1</v>
      </c>
      <c r="H2538" t="n">
        <v>0</v>
      </c>
      <c r="I2538" t="n">
        <v>0</v>
      </c>
      <c r="J2538" t="n">
        <v>0</v>
      </c>
      <c r="K2538" t="n">
        <v>0</v>
      </c>
      <c r="L2538" t="n">
        <v>0</v>
      </c>
      <c r="M2538" t="n">
        <v>0</v>
      </c>
      <c r="N2538" t="n">
        <v>0</v>
      </c>
      <c r="O2538" t="n">
        <v>0</v>
      </c>
      <c r="P2538" t="n">
        <v>0</v>
      </c>
      <c r="Q2538" t="n">
        <v>0</v>
      </c>
      <c r="R2538" s="2" t="inlineStr"/>
    </row>
    <row r="2539" ht="15" customHeight="1">
      <c r="A2539" t="inlineStr">
        <is>
          <t>A 15539-2020</t>
        </is>
      </c>
      <c r="B2539" s="1" t="n">
        <v>43914</v>
      </c>
      <c r="C2539" s="1" t="n">
        <v>45810</v>
      </c>
      <c r="D2539" t="inlineStr">
        <is>
          <t>VÄRMLANDS LÄN</t>
        </is>
      </c>
      <c r="E2539" t="inlineStr">
        <is>
          <t>SUNNE</t>
        </is>
      </c>
      <c r="G2539" t="n">
        <v>5.3</v>
      </c>
      <c r="H2539" t="n">
        <v>0</v>
      </c>
      <c r="I2539" t="n">
        <v>0</v>
      </c>
      <c r="J2539" t="n">
        <v>0</v>
      </c>
      <c r="K2539" t="n">
        <v>0</v>
      </c>
      <c r="L2539" t="n">
        <v>0</v>
      </c>
      <c r="M2539" t="n">
        <v>0</v>
      </c>
      <c r="N2539" t="n">
        <v>0</v>
      </c>
      <c r="O2539" t="n">
        <v>0</v>
      </c>
      <c r="P2539" t="n">
        <v>0</v>
      </c>
      <c r="Q2539" t="n">
        <v>0</v>
      </c>
      <c r="R2539" s="2" t="inlineStr"/>
    </row>
    <row r="2540" ht="15" customHeight="1">
      <c r="A2540" t="inlineStr">
        <is>
          <t>A 15627-2020</t>
        </is>
      </c>
      <c r="B2540" s="1" t="n">
        <v>43914</v>
      </c>
      <c r="C2540" s="1" t="n">
        <v>45810</v>
      </c>
      <c r="D2540" t="inlineStr">
        <is>
          <t>VÄRMLANDS LÄN</t>
        </is>
      </c>
      <c r="E2540" t="inlineStr">
        <is>
          <t>ARVIKA</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15864-2020</t>
        </is>
      </c>
      <c r="B2541" s="1" t="n">
        <v>43915</v>
      </c>
      <c r="C2541" s="1" t="n">
        <v>45810</v>
      </c>
      <c r="D2541" t="inlineStr">
        <is>
          <t>VÄRMLANDS LÄN</t>
        </is>
      </c>
      <c r="E2541" t="inlineStr">
        <is>
          <t>ÅRJÄNG</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15657-2020</t>
        </is>
      </c>
      <c r="B2542" s="1" t="n">
        <v>43915</v>
      </c>
      <c r="C2542" s="1" t="n">
        <v>45810</v>
      </c>
      <c r="D2542" t="inlineStr">
        <is>
          <t>VÄRMLANDS LÄN</t>
        </is>
      </c>
      <c r="E2542" t="inlineStr">
        <is>
          <t>ARVIKA</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15701-2020</t>
        </is>
      </c>
      <c r="B2543" s="1" t="n">
        <v>43915</v>
      </c>
      <c r="C2543" s="1" t="n">
        <v>45810</v>
      </c>
      <c r="D2543" t="inlineStr">
        <is>
          <t>VÄRMLANDS LÄN</t>
        </is>
      </c>
      <c r="E2543" t="inlineStr">
        <is>
          <t>TORSBY</t>
        </is>
      </c>
      <c r="G2543" t="n">
        <v>2.9</v>
      </c>
      <c r="H2543" t="n">
        <v>0</v>
      </c>
      <c r="I2543" t="n">
        <v>0</v>
      </c>
      <c r="J2543" t="n">
        <v>0</v>
      </c>
      <c r="K2543" t="n">
        <v>0</v>
      </c>
      <c r="L2543" t="n">
        <v>0</v>
      </c>
      <c r="M2543" t="n">
        <v>0</v>
      </c>
      <c r="N2543" t="n">
        <v>0</v>
      </c>
      <c r="O2543" t="n">
        <v>0</v>
      </c>
      <c r="P2543" t="n">
        <v>0</v>
      </c>
      <c r="Q2543" t="n">
        <v>0</v>
      </c>
      <c r="R2543" s="2" t="inlineStr"/>
    </row>
    <row r="2544" ht="15" customHeight="1">
      <c r="A2544" t="inlineStr">
        <is>
          <t>A 17152-2020</t>
        </is>
      </c>
      <c r="B2544" s="1" t="n">
        <v>43915</v>
      </c>
      <c r="C2544" s="1" t="n">
        <v>45810</v>
      </c>
      <c r="D2544" t="inlineStr">
        <is>
          <t>VÄRMLANDS LÄN</t>
        </is>
      </c>
      <c r="E2544" t="inlineStr">
        <is>
          <t>KRISTINEHAMN</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15967-2020</t>
        </is>
      </c>
      <c r="B2545" s="1" t="n">
        <v>43915</v>
      </c>
      <c r="C2545" s="1" t="n">
        <v>45810</v>
      </c>
      <c r="D2545" t="inlineStr">
        <is>
          <t>VÄRMLANDS LÄN</t>
        </is>
      </c>
      <c r="E2545" t="inlineStr">
        <is>
          <t>KRISTINEHAMN</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15674-2020</t>
        </is>
      </c>
      <c r="B2546" s="1" t="n">
        <v>43915</v>
      </c>
      <c r="C2546" s="1" t="n">
        <v>45810</v>
      </c>
      <c r="D2546" t="inlineStr">
        <is>
          <t>VÄRMLANDS LÄN</t>
        </is>
      </c>
      <c r="E2546" t="inlineStr">
        <is>
          <t>ÅRJÄNG</t>
        </is>
      </c>
      <c r="G2546" t="n">
        <v>3.4</v>
      </c>
      <c r="H2546" t="n">
        <v>0</v>
      </c>
      <c r="I2546" t="n">
        <v>0</v>
      </c>
      <c r="J2546" t="n">
        <v>0</v>
      </c>
      <c r="K2546" t="n">
        <v>0</v>
      </c>
      <c r="L2546" t="n">
        <v>0</v>
      </c>
      <c r="M2546" t="n">
        <v>0</v>
      </c>
      <c r="N2546" t="n">
        <v>0</v>
      </c>
      <c r="O2546" t="n">
        <v>0</v>
      </c>
      <c r="P2546" t="n">
        <v>0</v>
      </c>
      <c r="Q2546" t="n">
        <v>0</v>
      </c>
      <c r="R2546" s="2" t="inlineStr"/>
    </row>
    <row r="2547" ht="15" customHeight="1">
      <c r="A2547" t="inlineStr">
        <is>
          <t>A 15817-2020</t>
        </is>
      </c>
      <c r="B2547" s="1" t="n">
        <v>43915</v>
      </c>
      <c r="C2547" s="1" t="n">
        <v>45810</v>
      </c>
      <c r="D2547" t="inlineStr">
        <is>
          <t>VÄRMLANDS LÄN</t>
        </is>
      </c>
      <c r="E2547" t="inlineStr">
        <is>
          <t>SUNNE</t>
        </is>
      </c>
      <c r="F2547" t="inlineStr">
        <is>
          <t>Övriga Aktiebolag</t>
        </is>
      </c>
      <c r="G2547" t="n">
        <v>12.3</v>
      </c>
      <c r="H2547" t="n">
        <v>0</v>
      </c>
      <c r="I2547" t="n">
        <v>0</v>
      </c>
      <c r="J2547" t="n">
        <v>0</v>
      </c>
      <c r="K2547" t="n">
        <v>0</v>
      </c>
      <c r="L2547" t="n">
        <v>0</v>
      </c>
      <c r="M2547" t="n">
        <v>0</v>
      </c>
      <c r="N2547" t="n">
        <v>0</v>
      </c>
      <c r="O2547" t="n">
        <v>0</v>
      </c>
      <c r="P2547" t="n">
        <v>0</v>
      </c>
      <c r="Q2547" t="n">
        <v>0</v>
      </c>
      <c r="R2547" s="2" t="inlineStr"/>
    </row>
    <row r="2548" ht="15" customHeight="1">
      <c r="A2548" t="inlineStr">
        <is>
          <t>A 15853-2020</t>
        </is>
      </c>
      <c r="B2548" s="1" t="n">
        <v>43915</v>
      </c>
      <c r="C2548" s="1" t="n">
        <v>45810</v>
      </c>
      <c r="D2548" t="inlineStr">
        <is>
          <t>VÄRMLANDS LÄN</t>
        </is>
      </c>
      <c r="E2548" t="inlineStr">
        <is>
          <t>ARVIKA</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15953-2020</t>
        </is>
      </c>
      <c r="B2549" s="1" t="n">
        <v>43915</v>
      </c>
      <c r="C2549" s="1" t="n">
        <v>45810</v>
      </c>
      <c r="D2549" t="inlineStr">
        <is>
          <t>VÄRMLANDS LÄN</t>
        </is>
      </c>
      <c r="E2549" t="inlineStr">
        <is>
          <t>SUNNE</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15969-2020</t>
        </is>
      </c>
      <c r="B2550" s="1" t="n">
        <v>43915</v>
      </c>
      <c r="C2550" s="1" t="n">
        <v>45810</v>
      </c>
      <c r="D2550" t="inlineStr">
        <is>
          <t>VÄRMLANDS LÄN</t>
        </is>
      </c>
      <c r="E2550" t="inlineStr">
        <is>
          <t>KRISTINEHAMN</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15768-2020</t>
        </is>
      </c>
      <c r="B2551" s="1" t="n">
        <v>43915</v>
      </c>
      <c r="C2551" s="1" t="n">
        <v>45810</v>
      </c>
      <c r="D2551" t="inlineStr">
        <is>
          <t>VÄRMLANDS LÄN</t>
        </is>
      </c>
      <c r="E2551" t="inlineStr">
        <is>
          <t>TORSBY</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15702-2020</t>
        </is>
      </c>
      <c r="B2552" s="1" t="n">
        <v>43915</v>
      </c>
      <c r="C2552" s="1" t="n">
        <v>45810</v>
      </c>
      <c r="D2552" t="inlineStr">
        <is>
          <t>VÄRMLANDS LÄN</t>
        </is>
      </c>
      <c r="E2552" t="inlineStr">
        <is>
          <t>FILIPSTAD</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15962-2020</t>
        </is>
      </c>
      <c r="B2553" s="1" t="n">
        <v>43915</v>
      </c>
      <c r="C2553" s="1" t="n">
        <v>45810</v>
      </c>
      <c r="D2553" t="inlineStr">
        <is>
          <t>VÄRMLANDS LÄN</t>
        </is>
      </c>
      <c r="E2553" t="inlineStr">
        <is>
          <t>KRISTINEHAMN</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17151-2020</t>
        </is>
      </c>
      <c r="B2554" s="1" t="n">
        <v>43915</v>
      </c>
      <c r="C2554" s="1" t="n">
        <v>45810</v>
      </c>
      <c r="D2554" t="inlineStr">
        <is>
          <t>VÄRMLANDS LÄN</t>
        </is>
      </c>
      <c r="E2554" t="inlineStr">
        <is>
          <t>KRISTINEHAMN</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17289-2020</t>
        </is>
      </c>
      <c r="B2555" s="1" t="n">
        <v>43915</v>
      </c>
      <c r="C2555" s="1" t="n">
        <v>45810</v>
      </c>
      <c r="D2555" t="inlineStr">
        <is>
          <t>VÄRMLANDS LÄN</t>
        </is>
      </c>
      <c r="E2555" t="inlineStr">
        <is>
          <t>KARLSTAD</t>
        </is>
      </c>
      <c r="G2555" t="n">
        <v>11.8</v>
      </c>
      <c r="H2555" t="n">
        <v>0</v>
      </c>
      <c r="I2555" t="n">
        <v>0</v>
      </c>
      <c r="J2555" t="n">
        <v>0</v>
      </c>
      <c r="K2555" t="n">
        <v>0</v>
      </c>
      <c r="L2555" t="n">
        <v>0</v>
      </c>
      <c r="M2555" t="n">
        <v>0</v>
      </c>
      <c r="N2555" t="n">
        <v>0</v>
      </c>
      <c r="O2555" t="n">
        <v>0</v>
      </c>
      <c r="P2555" t="n">
        <v>0</v>
      </c>
      <c r="Q2555" t="n">
        <v>0</v>
      </c>
      <c r="R2555" s="2" t="inlineStr"/>
    </row>
    <row r="2556" ht="15" customHeight="1">
      <c r="A2556" t="inlineStr">
        <is>
          <t>A 15669-2020</t>
        </is>
      </c>
      <c r="B2556" s="1" t="n">
        <v>43915</v>
      </c>
      <c r="C2556" s="1" t="n">
        <v>45810</v>
      </c>
      <c r="D2556" t="inlineStr">
        <is>
          <t>VÄRMLANDS LÄN</t>
        </is>
      </c>
      <c r="E2556" t="inlineStr">
        <is>
          <t>ÅRJÄNG</t>
        </is>
      </c>
      <c r="G2556" t="n">
        <v>4.6</v>
      </c>
      <c r="H2556" t="n">
        <v>0</v>
      </c>
      <c r="I2556" t="n">
        <v>0</v>
      </c>
      <c r="J2556" t="n">
        <v>0</v>
      </c>
      <c r="K2556" t="n">
        <v>0</v>
      </c>
      <c r="L2556" t="n">
        <v>0</v>
      </c>
      <c r="M2556" t="n">
        <v>0</v>
      </c>
      <c r="N2556" t="n">
        <v>0</v>
      </c>
      <c r="O2556" t="n">
        <v>0</v>
      </c>
      <c r="P2556" t="n">
        <v>0</v>
      </c>
      <c r="Q2556" t="n">
        <v>0</v>
      </c>
      <c r="R2556" s="2" t="inlineStr"/>
    </row>
    <row r="2557" ht="15" customHeight="1">
      <c r="A2557" t="inlineStr">
        <is>
          <t>A 15944-2020</t>
        </is>
      </c>
      <c r="B2557" s="1" t="n">
        <v>43916</v>
      </c>
      <c r="C2557" s="1" t="n">
        <v>45810</v>
      </c>
      <c r="D2557" t="inlineStr">
        <is>
          <t>VÄRMLANDS LÄN</t>
        </is>
      </c>
      <c r="E2557" t="inlineStr">
        <is>
          <t>SÄFFLE</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16032-2020</t>
        </is>
      </c>
      <c r="B2558" s="1" t="n">
        <v>43916</v>
      </c>
      <c r="C2558" s="1" t="n">
        <v>45810</v>
      </c>
      <c r="D2558" t="inlineStr">
        <is>
          <t>VÄRMLANDS LÄN</t>
        </is>
      </c>
      <c r="E2558" t="inlineStr">
        <is>
          <t>KARLSTAD</t>
        </is>
      </c>
      <c r="G2558" t="n">
        <v>3.9</v>
      </c>
      <c r="H2558" t="n">
        <v>0</v>
      </c>
      <c r="I2558" t="n">
        <v>0</v>
      </c>
      <c r="J2558" t="n">
        <v>0</v>
      </c>
      <c r="K2558" t="n">
        <v>0</v>
      </c>
      <c r="L2558" t="n">
        <v>0</v>
      </c>
      <c r="M2558" t="n">
        <v>0</v>
      </c>
      <c r="N2558" t="n">
        <v>0</v>
      </c>
      <c r="O2558" t="n">
        <v>0</v>
      </c>
      <c r="P2558" t="n">
        <v>0</v>
      </c>
      <c r="Q2558" t="n">
        <v>0</v>
      </c>
      <c r="R2558" s="2" t="inlineStr"/>
    </row>
    <row r="2559" ht="15" customHeight="1">
      <c r="A2559" t="inlineStr">
        <is>
          <t>A 15927-2020</t>
        </is>
      </c>
      <c r="B2559" s="1" t="n">
        <v>43916</v>
      </c>
      <c r="C2559" s="1" t="n">
        <v>45810</v>
      </c>
      <c r="D2559" t="inlineStr">
        <is>
          <t>VÄRMLANDS LÄN</t>
        </is>
      </c>
      <c r="E2559" t="inlineStr">
        <is>
          <t>SUNNE</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15941-2020</t>
        </is>
      </c>
      <c r="B2560" s="1" t="n">
        <v>43916</v>
      </c>
      <c r="C2560" s="1" t="n">
        <v>45810</v>
      </c>
      <c r="D2560" t="inlineStr">
        <is>
          <t>VÄRMLANDS LÄN</t>
        </is>
      </c>
      <c r="E2560" t="inlineStr">
        <is>
          <t>SÄFFLE</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16030-2020</t>
        </is>
      </c>
      <c r="B2561" s="1" t="n">
        <v>43916</v>
      </c>
      <c r="C2561" s="1" t="n">
        <v>45810</v>
      </c>
      <c r="D2561" t="inlineStr">
        <is>
          <t>VÄRMLANDS LÄN</t>
        </is>
      </c>
      <c r="E2561" t="inlineStr">
        <is>
          <t>ARVIKA</t>
        </is>
      </c>
      <c r="G2561" t="n">
        <v>6.9</v>
      </c>
      <c r="H2561" t="n">
        <v>0</v>
      </c>
      <c r="I2561" t="n">
        <v>0</v>
      </c>
      <c r="J2561" t="n">
        <v>0</v>
      </c>
      <c r="K2561" t="n">
        <v>0</v>
      </c>
      <c r="L2561" t="n">
        <v>0</v>
      </c>
      <c r="M2561" t="n">
        <v>0</v>
      </c>
      <c r="N2561" t="n">
        <v>0</v>
      </c>
      <c r="O2561" t="n">
        <v>0</v>
      </c>
      <c r="P2561" t="n">
        <v>0</v>
      </c>
      <c r="Q2561" t="n">
        <v>0</v>
      </c>
      <c r="R2561" s="2" t="inlineStr"/>
    </row>
    <row r="2562" ht="15" customHeight="1">
      <c r="A2562" t="inlineStr">
        <is>
          <t>A 16037-2020</t>
        </is>
      </c>
      <c r="B2562" s="1" t="n">
        <v>43916</v>
      </c>
      <c r="C2562" s="1" t="n">
        <v>45810</v>
      </c>
      <c r="D2562" t="inlineStr">
        <is>
          <t>VÄRMLANDS LÄN</t>
        </is>
      </c>
      <c r="E2562" t="inlineStr">
        <is>
          <t>FORSHAGA</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16079-2020</t>
        </is>
      </c>
      <c r="B2563" s="1" t="n">
        <v>43916</v>
      </c>
      <c r="C2563" s="1" t="n">
        <v>45810</v>
      </c>
      <c r="D2563" t="inlineStr">
        <is>
          <t>VÄRMLANDS LÄN</t>
        </is>
      </c>
      <c r="E2563" t="inlineStr">
        <is>
          <t>SUNNE</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15912-2020</t>
        </is>
      </c>
      <c r="B2564" s="1" t="n">
        <v>43916</v>
      </c>
      <c r="C2564" s="1" t="n">
        <v>45810</v>
      </c>
      <c r="D2564" t="inlineStr">
        <is>
          <t>VÄRMLANDS LÄN</t>
        </is>
      </c>
      <c r="E2564" t="inlineStr">
        <is>
          <t>SÄFFLE</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16027-2020</t>
        </is>
      </c>
      <c r="B2565" s="1" t="n">
        <v>43916</v>
      </c>
      <c r="C2565" s="1" t="n">
        <v>45810</v>
      </c>
      <c r="D2565" t="inlineStr">
        <is>
          <t>VÄRMLANDS LÄN</t>
        </is>
      </c>
      <c r="E2565" t="inlineStr">
        <is>
          <t>FORSHAGA</t>
        </is>
      </c>
      <c r="G2565" t="n">
        <v>5.3</v>
      </c>
      <c r="H2565" t="n">
        <v>0</v>
      </c>
      <c r="I2565" t="n">
        <v>0</v>
      </c>
      <c r="J2565" t="n">
        <v>0</v>
      </c>
      <c r="K2565" t="n">
        <v>0</v>
      </c>
      <c r="L2565" t="n">
        <v>0</v>
      </c>
      <c r="M2565" t="n">
        <v>0</v>
      </c>
      <c r="N2565" t="n">
        <v>0</v>
      </c>
      <c r="O2565" t="n">
        <v>0</v>
      </c>
      <c r="P2565" t="n">
        <v>0</v>
      </c>
      <c r="Q2565" t="n">
        <v>0</v>
      </c>
      <c r="R2565" s="2" t="inlineStr"/>
    </row>
    <row r="2566" ht="15" customHeight="1">
      <c r="A2566" t="inlineStr">
        <is>
          <t>A 16035-2020</t>
        </is>
      </c>
      <c r="B2566" s="1" t="n">
        <v>43916</v>
      </c>
      <c r="C2566" s="1" t="n">
        <v>45810</v>
      </c>
      <c r="D2566" t="inlineStr">
        <is>
          <t>VÄRMLANDS LÄN</t>
        </is>
      </c>
      <c r="E2566" t="inlineStr">
        <is>
          <t>ARVIKA</t>
        </is>
      </c>
      <c r="G2566" t="n">
        <v>4</v>
      </c>
      <c r="H2566" t="n">
        <v>0</v>
      </c>
      <c r="I2566" t="n">
        <v>0</v>
      </c>
      <c r="J2566" t="n">
        <v>0</v>
      </c>
      <c r="K2566" t="n">
        <v>0</v>
      </c>
      <c r="L2566" t="n">
        <v>0</v>
      </c>
      <c r="M2566" t="n">
        <v>0</v>
      </c>
      <c r="N2566" t="n">
        <v>0</v>
      </c>
      <c r="O2566" t="n">
        <v>0</v>
      </c>
      <c r="P2566" t="n">
        <v>0</v>
      </c>
      <c r="Q2566" t="n">
        <v>0</v>
      </c>
      <c r="R2566" s="2" t="inlineStr"/>
    </row>
    <row r="2567" ht="15" customHeight="1">
      <c r="A2567" t="inlineStr">
        <is>
          <t>A 16064-2020</t>
        </is>
      </c>
      <c r="B2567" s="1" t="n">
        <v>43916</v>
      </c>
      <c r="C2567" s="1" t="n">
        <v>45810</v>
      </c>
      <c r="D2567" t="inlineStr">
        <is>
          <t>VÄRMLANDS LÄN</t>
        </is>
      </c>
      <c r="E2567" t="inlineStr">
        <is>
          <t>ARVIKA</t>
        </is>
      </c>
      <c r="G2567" t="n">
        <v>3.7</v>
      </c>
      <c r="H2567" t="n">
        <v>0</v>
      </c>
      <c r="I2567" t="n">
        <v>0</v>
      </c>
      <c r="J2567" t="n">
        <v>0</v>
      </c>
      <c r="K2567" t="n">
        <v>0</v>
      </c>
      <c r="L2567" t="n">
        <v>0</v>
      </c>
      <c r="M2567" t="n">
        <v>0</v>
      </c>
      <c r="N2567" t="n">
        <v>0</v>
      </c>
      <c r="O2567" t="n">
        <v>0</v>
      </c>
      <c r="P2567" t="n">
        <v>0</v>
      </c>
      <c r="Q2567" t="n">
        <v>0</v>
      </c>
      <c r="R2567" s="2" t="inlineStr"/>
    </row>
    <row r="2568" ht="15" customHeight="1">
      <c r="A2568" t="inlineStr">
        <is>
          <t>A 16072-2020</t>
        </is>
      </c>
      <c r="B2568" s="1" t="n">
        <v>43916</v>
      </c>
      <c r="C2568" s="1" t="n">
        <v>45810</v>
      </c>
      <c r="D2568" t="inlineStr">
        <is>
          <t>VÄRMLANDS LÄN</t>
        </is>
      </c>
      <c r="E2568" t="inlineStr">
        <is>
          <t>HAGFORS</t>
        </is>
      </c>
      <c r="G2568" t="n">
        <v>3.7</v>
      </c>
      <c r="H2568" t="n">
        <v>0</v>
      </c>
      <c r="I2568" t="n">
        <v>0</v>
      </c>
      <c r="J2568" t="n">
        <v>0</v>
      </c>
      <c r="K2568" t="n">
        <v>0</v>
      </c>
      <c r="L2568" t="n">
        <v>0</v>
      </c>
      <c r="M2568" t="n">
        <v>0</v>
      </c>
      <c r="N2568" t="n">
        <v>0</v>
      </c>
      <c r="O2568" t="n">
        <v>0</v>
      </c>
      <c r="P2568" t="n">
        <v>0</v>
      </c>
      <c r="Q2568" t="n">
        <v>0</v>
      </c>
      <c r="R2568" s="2" t="inlineStr"/>
    </row>
    <row r="2569" ht="15" customHeight="1">
      <c r="A2569" t="inlineStr">
        <is>
          <t>A 16215-2020</t>
        </is>
      </c>
      <c r="B2569" s="1" t="n">
        <v>43917</v>
      </c>
      <c r="C2569" s="1" t="n">
        <v>45810</v>
      </c>
      <c r="D2569" t="inlineStr">
        <is>
          <t>VÄRMLANDS LÄN</t>
        </is>
      </c>
      <c r="E2569" t="inlineStr">
        <is>
          <t>KRISTINEHAMN</t>
        </is>
      </c>
      <c r="F2569" t="inlineStr">
        <is>
          <t>Bergvik skog väst AB</t>
        </is>
      </c>
      <c r="G2569" t="n">
        <v>9</v>
      </c>
      <c r="H2569" t="n">
        <v>0</v>
      </c>
      <c r="I2569" t="n">
        <v>0</v>
      </c>
      <c r="J2569" t="n">
        <v>0</v>
      </c>
      <c r="K2569" t="n">
        <v>0</v>
      </c>
      <c r="L2569" t="n">
        <v>0</v>
      </c>
      <c r="M2569" t="n">
        <v>0</v>
      </c>
      <c r="N2569" t="n">
        <v>0</v>
      </c>
      <c r="O2569" t="n">
        <v>0</v>
      </c>
      <c r="P2569" t="n">
        <v>0</v>
      </c>
      <c r="Q2569" t="n">
        <v>0</v>
      </c>
      <c r="R2569" s="2" t="inlineStr"/>
    </row>
    <row r="2570" ht="15" customHeight="1">
      <c r="A2570" t="inlineStr">
        <is>
          <t>A 16299-2020</t>
        </is>
      </c>
      <c r="B2570" s="1" t="n">
        <v>43917</v>
      </c>
      <c r="C2570" s="1" t="n">
        <v>45810</v>
      </c>
      <c r="D2570" t="inlineStr">
        <is>
          <t>VÄRMLANDS LÄN</t>
        </is>
      </c>
      <c r="E2570" t="inlineStr">
        <is>
          <t>KRISTINEHAMN</t>
        </is>
      </c>
      <c r="F2570" t="inlineStr">
        <is>
          <t>Bergvik skog väst AB</t>
        </is>
      </c>
      <c r="G2570" t="n">
        <v>3.9</v>
      </c>
      <c r="H2570" t="n">
        <v>0</v>
      </c>
      <c r="I2570" t="n">
        <v>0</v>
      </c>
      <c r="J2570" t="n">
        <v>0</v>
      </c>
      <c r="K2570" t="n">
        <v>0</v>
      </c>
      <c r="L2570" t="n">
        <v>0</v>
      </c>
      <c r="M2570" t="n">
        <v>0</v>
      </c>
      <c r="N2570" t="n">
        <v>0</v>
      </c>
      <c r="O2570" t="n">
        <v>0</v>
      </c>
      <c r="P2570" t="n">
        <v>0</v>
      </c>
      <c r="Q2570" t="n">
        <v>0</v>
      </c>
      <c r="R2570" s="2" t="inlineStr"/>
    </row>
    <row r="2571" ht="15" customHeight="1">
      <c r="A2571" t="inlineStr">
        <is>
          <t>A 16239-2020</t>
        </is>
      </c>
      <c r="B2571" s="1" t="n">
        <v>43917</v>
      </c>
      <c r="C2571" s="1" t="n">
        <v>45810</v>
      </c>
      <c r="D2571" t="inlineStr">
        <is>
          <t>VÄRMLANDS LÄN</t>
        </is>
      </c>
      <c r="E2571" t="inlineStr">
        <is>
          <t>HAGFORS</t>
        </is>
      </c>
      <c r="F2571" t="inlineStr">
        <is>
          <t>Bergvik skog väst AB</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16329-2020</t>
        </is>
      </c>
      <c r="B2572" s="1" t="n">
        <v>43917</v>
      </c>
      <c r="C2572" s="1" t="n">
        <v>45810</v>
      </c>
      <c r="D2572" t="inlineStr">
        <is>
          <t>VÄRMLANDS LÄN</t>
        </is>
      </c>
      <c r="E2572" t="inlineStr">
        <is>
          <t>ARVIKA</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16241-2020</t>
        </is>
      </c>
      <c r="B2573" s="1" t="n">
        <v>43917</v>
      </c>
      <c r="C2573" s="1" t="n">
        <v>45810</v>
      </c>
      <c r="D2573" t="inlineStr">
        <is>
          <t>VÄRMLANDS LÄN</t>
        </is>
      </c>
      <c r="E2573" t="inlineStr">
        <is>
          <t>HAGFORS</t>
        </is>
      </c>
      <c r="F2573" t="inlineStr">
        <is>
          <t>Bergvik skog väst AB</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16280-2020</t>
        </is>
      </c>
      <c r="B2574" s="1" t="n">
        <v>43917</v>
      </c>
      <c r="C2574" s="1" t="n">
        <v>45810</v>
      </c>
      <c r="D2574" t="inlineStr">
        <is>
          <t>VÄRMLANDS LÄN</t>
        </is>
      </c>
      <c r="E2574" t="inlineStr">
        <is>
          <t>KARLSTAD</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16244-2020</t>
        </is>
      </c>
      <c r="B2575" s="1" t="n">
        <v>43917</v>
      </c>
      <c r="C2575" s="1" t="n">
        <v>45810</v>
      </c>
      <c r="D2575" t="inlineStr">
        <is>
          <t>VÄRMLANDS LÄN</t>
        </is>
      </c>
      <c r="E2575" t="inlineStr">
        <is>
          <t>STORFORS</t>
        </is>
      </c>
      <c r="F2575" t="inlineStr">
        <is>
          <t>Bergvik skog väst AB</t>
        </is>
      </c>
      <c r="G2575" t="n">
        <v>4.4</v>
      </c>
      <c r="H2575" t="n">
        <v>0</v>
      </c>
      <c r="I2575" t="n">
        <v>0</v>
      </c>
      <c r="J2575" t="n">
        <v>0</v>
      </c>
      <c r="K2575" t="n">
        <v>0</v>
      </c>
      <c r="L2575" t="n">
        <v>0</v>
      </c>
      <c r="M2575" t="n">
        <v>0</v>
      </c>
      <c r="N2575" t="n">
        <v>0</v>
      </c>
      <c r="O2575" t="n">
        <v>0</v>
      </c>
      <c r="P2575" t="n">
        <v>0</v>
      </c>
      <c r="Q2575" t="n">
        <v>0</v>
      </c>
      <c r="R2575" s="2" t="inlineStr"/>
    </row>
    <row r="2576" ht="15" customHeight="1">
      <c r="A2576" t="inlineStr">
        <is>
          <t>A 16364-2020</t>
        </is>
      </c>
      <c r="B2576" s="1" t="n">
        <v>43917</v>
      </c>
      <c r="C2576" s="1" t="n">
        <v>45810</v>
      </c>
      <c r="D2576" t="inlineStr">
        <is>
          <t>VÄRMLANDS LÄN</t>
        </is>
      </c>
      <c r="E2576" t="inlineStr">
        <is>
          <t>TORSBY</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17534-2020</t>
        </is>
      </c>
      <c r="B2577" s="1" t="n">
        <v>43917</v>
      </c>
      <c r="C2577" s="1" t="n">
        <v>45810</v>
      </c>
      <c r="D2577" t="inlineStr">
        <is>
          <t>VÄRMLANDS LÄN</t>
        </is>
      </c>
      <c r="E2577" t="inlineStr">
        <is>
          <t>KRISTINEHAMN</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17456-2020</t>
        </is>
      </c>
      <c r="B2578" s="1" t="n">
        <v>43918</v>
      </c>
      <c r="C2578" s="1" t="n">
        <v>45810</v>
      </c>
      <c r="D2578" t="inlineStr">
        <is>
          <t>VÄRMLANDS LÄN</t>
        </is>
      </c>
      <c r="E2578" t="inlineStr">
        <is>
          <t>GRUMS</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16437-2020</t>
        </is>
      </c>
      <c r="B2579" s="1" t="n">
        <v>43919</v>
      </c>
      <c r="C2579" s="1" t="n">
        <v>45810</v>
      </c>
      <c r="D2579" t="inlineStr">
        <is>
          <t>VÄRMLANDS LÄN</t>
        </is>
      </c>
      <c r="E2579" t="inlineStr">
        <is>
          <t>TORSBY</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16501-2020</t>
        </is>
      </c>
      <c r="B2580" s="1" t="n">
        <v>43920</v>
      </c>
      <c r="C2580" s="1" t="n">
        <v>45810</v>
      </c>
      <c r="D2580" t="inlineStr">
        <is>
          <t>VÄRMLANDS LÄN</t>
        </is>
      </c>
      <c r="E2580" t="inlineStr">
        <is>
          <t>EDA</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16751-2020</t>
        </is>
      </c>
      <c r="B2581" s="1" t="n">
        <v>43920</v>
      </c>
      <c r="C2581" s="1" t="n">
        <v>45810</v>
      </c>
      <c r="D2581" t="inlineStr">
        <is>
          <t>VÄRMLANDS LÄN</t>
        </is>
      </c>
      <c r="E2581" t="inlineStr">
        <is>
          <t>KRISTINEHAMN</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16697-2020</t>
        </is>
      </c>
      <c r="B2582" s="1" t="n">
        <v>43920</v>
      </c>
      <c r="C2582" s="1" t="n">
        <v>45810</v>
      </c>
      <c r="D2582" t="inlineStr">
        <is>
          <t>VÄRMLANDS LÄN</t>
        </is>
      </c>
      <c r="E2582" t="inlineStr">
        <is>
          <t>KRISTINEHAMN</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16718-2020</t>
        </is>
      </c>
      <c r="B2583" s="1" t="n">
        <v>43920</v>
      </c>
      <c r="C2583" s="1" t="n">
        <v>45810</v>
      </c>
      <c r="D2583" t="inlineStr">
        <is>
          <t>VÄRMLANDS LÄN</t>
        </is>
      </c>
      <c r="E2583" t="inlineStr">
        <is>
          <t>SUNNE</t>
        </is>
      </c>
      <c r="F2583" t="inlineStr">
        <is>
          <t>Övriga statliga verk och myndigheter</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16749-2020</t>
        </is>
      </c>
      <c r="B2584" s="1" t="n">
        <v>43920</v>
      </c>
      <c r="C2584" s="1" t="n">
        <v>45810</v>
      </c>
      <c r="D2584" t="inlineStr">
        <is>
          <t>VÄRMLANDS LÄN</t>
        </is>
      </c>
      <c r="E2584" t="inlineStr">
        <is>
          <t>KRISTINEHAMN</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16745-2020</t>
        </is>
      </c>
      <c r="B2585" s="1" t="n">
        <v>43920</v>
      </c>
      <c r="C2585" s="1" t="n">
        <v>45810</v>
      </c>
      <c r="D2585" t="inlineStr">
        <is>
          <t>VÄRMLANDS LÄN</t>
        </is>
      </c>
      <c r="E2585" t="inlineStr">
        <is>
          <t>KRISTINEHAMN</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17514-2020</t>
        </is>
      </c>
      <c r="B2586" s="1" t="n">
        <v>43920</v>
      </c>
      <c r="C2586" s="1" t="n">
        <v>45810</v>
      </c>
      <c r="D2586" t="inlineStr">
        <is>
          <t>VÄRMLANDS LÄN</t>
        </is>
      </c>
      <c r="E2586" t="inlineStr">
        <is>
          <t>SÄFFLE</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17544-2020</t>
        </is>
      </c>
      <c r="B2587" s="1" t="n">
        <v>43920</v>
      </c>
      <c r="C2587" s="1" t="n">
        <v>45810</v>
      </c>
      <c r="D2587" t="inlineStr">
        <is>
          <t>VÄRMLANDS LÄN</t>
        </is>
      </c>
      <c r="E2587" t="inlineStr">
        <is>
          <t>KRISTINEHAMN</t>
        </is>
      </c>
      <c r="G2587" t="n">
        <v>3.7</v>
      </c>
      <c r="H2587" t="n">
        <v>0</v>
      </c>
      <c r="I2587" t="n">
        <v>0</v>
      </c>
      <c r="J2587" t="n">
        <v>0</v>
      </c>
      <c r="K2587" t="n">
        <v>0</v>
      </c>
      <c r="L2587" t="n">
        <v>0</v>
      </c>
      <c r="M2587" t="n">
        <v>0</v>
      </c>
      <c r="N2587" t="n">
        <v>0</v>
      </c>
      <c r="O2587" t="n">
        <v>0</v>
      </c>
      <c r="P2587" t="n">
        <v>0</v>
      </c>
      <c r="Q2587" t="n">
        <v>0</v>
      </c>
      <c r="R2587" s="2" t="inlineStr"/>
    </row>
    <row r="2588" ht="15" customHeight="1">
      <c r="A2588" t="inlineStr">
        <is>
          <t>A 16454-2020</t>
        </is>
      </c>
      <c r="B2588" s="1" t="n">
        <v>43920</v>
      </c>
      <c r="C2588" s="1" t="n">
        <v>45810</v>
      </c>
      <c r="D2588" t="inlineStr">
        <is>
          <t>VÄRMLANDS LÄN</t>
        </is>
      </c>
      <c r="E2588" t="inlineStr">
        <is>
          <t>ÅRJÄNG</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17545-2020</t>
        </is>
      </c>
      <c r="B2589" s="1" t="n">
        <v>43920</v>
      </c>
      <c r="C2589" s="1" t="n">
        <v>45810</v>
      </c>
      <c r="D2589" t="inlineStr">
        <is>
          <t>VÄRMLANDS LÄN</t>
        </is>
      </c>
      <c r="E2589" t="inlineStr">
        <is>
          <t>KARLSTAD</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16798-2020</t>
        </is>
      </c>
      <c r="B2590" s="1" t="n">
        <v>43921</v>
      </c>
      <c r="C2590" s="1" t="n">
        <v>45810</v>
      </c>
      <c r="D2590" t="inlineStr">
        <is>
          <t>VÄRMLANDS LÄN</t>
        </is>
      </c>
      <c r="E2590" t="inlineStr">
        <is>
          <t>HAGFORS</t>
        </is>
      </c>
      <c r="F2590" t="inlineStr">
        <is>
          <t>Bergvik skog väst AB</t>
        </is>
      </c>
      <c r="G2590" t="n">
        <v>7.6</v>
      </c>
      <c r="H2590" t="n">
        <v>0</v>
      </c>
      <c r="I2590" t="n">
        <v>0</v>
      </c>
      <c r="J2590" t="n">
        <v>0</v>
      </c>
      <c r="K2590" t="n">
        <v>0</v>
      </c>
      <c r="L2590" t="n">
        <v>0</v>
      </c>
      <c r="M2590" t="n">
        <v>0</v>
      </c>
      <c r="N2590" t="n">
        <v>0</v>
      </c>
      <c r="O2590" t="n">
        <v>0</v>
      </c>
      <c r="P2590" t="n">
        <v>0</v>
      </c>
      <c r="Q2590" t="n">
        <v>0</v>
      </c>
      <c r="R2590" s="2" t="inlineStr"/>
    </row>
    <row r="2591" ht="15" customHeight="1">
      <c r="A2591" t="inlineStr">
        <is>
          <t>A 16833-2020</t>
        </is>
      </c>
      <c r="B2591" s="1" t="n">
        <v>43921</v>
      </c>
      <c r="C2591" s="1" t="n">
        <v>45810</v>
      </c>
      <c r="D2591" t="inlineStr">
        <is>
          <t>VÄRMLANDS LÄN</t>
        </is>
      </c>
      <c r="E2591" t="inlineStr">
        <is>
          <t>MUNKFORS</t>
        </is>
      </c>
      <c r="F2591" t="inlineStr">
        <is>
          <t>Kyrkan</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16963-2020</t>
        </is>
      </c>
      <c r="B2592" s="1" t="n">
        <v>43921</v>
      </c>
      <c r="C2592" s="1" t="n">
        <v>45810</v>
      </c>
      <c r="D2592" t="inlineStr">
        <is>
          <t>VÄRMLANDS LÄN</t>
        </is>
      </c>
      <c r="E2592" t="inlineStr">
        <is>
          <t>SÄFFLE</t>
        </is>
      </c>
      <c r="F2592" t="inlineStr">
        <is>
          <t>Bergvik skog väst AB</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17021-2020</t>
        </is>
      </c>
      <c r="B2593" s="1" t="n">
        <v>43921</v>
      </c>
      <c r="C2593" s="1" t="n">
        <v>45810</v>
      </c>
      <c r="D2593" t="inlineStr">
        <is>
          <t>VÄRMLANDS LÄN</t>
        </is>
      </c>
      <c r="E2593" t="inlineStr">
        <is>
          <t>TORSBY</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16792-2020</t>
        </is>
      </c>
      <c r="B2594" s="1" t="n">
        <v>43921</v>
      </c>
      <c r="C2594" s="1" t="n">
        <v>45810</v>
      </c>
      <c r="D2594" t="inlineStr">
        <is>
          <t>VÄRMLANDS LÄN</t>
        </is>
      </c>
      <c r="E2594" t="inlineStr">
        <is>
          <t>EDA</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16930-2020</t>
        </is>
      </c>
      <c r="B2595" s="1" t="n">
        <v>43921</v>
      </c>
      <c r="C2595" s="1" t="n">
        <v>45810</v>
      </c>
      <c r="D2595" t="inlineStr">
        <is>
          <t>VÄRMLANDS LÄN</t>
        </is>
      </c>
      <c r="E2595" t="inlineStr">
        <is>
          <t>STORFORS</t>
        </is>
      </c>
      <c r="G2595" t="n">
        <v>6.6</v>
      </c>
      <c r="H2595" t="n">
        <v>0</v>
      </c>
      <c r="I2595" t="n">
        <v>0</v>
      </c>
      <c r="J2595" t="n">
        <v>0</v>
      </c>
      <c r="K2595" t="n">
        <v>0</v>
      </c>
      <c r="L2595" t="n">
        <v>0</v>
      </c>
      <c r="M2595" t="n">
        <v>0</v>
      </c>
      <c r="N2595" t="n">
        <v>0</v>
      </c>
      <c r="O2595" t="n">
        <v>0</v>
      </c>
      <c r="P2595" t="n">
        <v>0</v>
      </c>
      <c r="Q2595" t="n">
        <v>0</v>
      </c>
      <c r="R2595" s="2" t="inlineStr"/>
    </row>
    <row r="2596" ht="15" customHeight="1">
      <c r="A2596" t="inlineStr">
        <is>
          <t>A 16999-2020</t>
        </is>
      </c>
      <c r="B2596" s="1" t="n">
        <v>43921</v>
      </c>
      <c r="C2596" s="1" t="n">
        <v>45810</v>
      </c>
      <c r="D2596" t="inlineStr">
        <is>
          <t>VÄRMLANDS LÄN</t>
        </is>
      </c>
      <c r="E2596" t="inlineStr">
        <is>
          <t>TORSBY</t>
        </is>
      </c>
      <c r="G2596" t="n">
        <v>6.6</v>
      </c>
      <c r="H2596" t="n">
        <v>0</v>
      </c>
      <c r="I2596" t="n">
        <v>0</v>
      </c>
      <c r="J2596" t="n">
        <v>0</v>
      </c>
      <c r="K2596" t="n">
        <v>0</v>
      </c>
      <c r="L2596" t="n">
        <v>0</v>
      </c>
      <c r="M2596" t="n">
        <v>0</v>
      </c>
      <c r="N2596" t="n">
        <v>0</v>
      </c>
      <c r="O2596" t="n">
        <v>0</v>
      </c>
      <c r="P2596" t="n">
        <v>0</v>
      </c>
      <c r="Q2596" t="n">
        <v>0</v>
      </c>
      <c r="R2596" s="2" t="inlineStr"/>
    </row>
    <row r="2597" ht="15" customHeight="1">
      <c r="A2597" t="inlineStr">
        <is>
          <t>A 17036-2020</t>
        </is>
      </c>
      <c r="B2597" s="1" t="n">
        <v>43921</v>
      </c>
      <c r="C2597" s="1" t="n">
        <v>45810</v>
      </c>
      <c r="D2597" t="inlineStr">
        <is>
          <t>VÄRMLANDS LÄN</t>
        </is>
      </c>
      <c r="E2597" t="inlineStr">
        <is>
          <t>ARVIKA</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17596-2020</t>
        </is>
      </c>
      <c r="B2598" s="1" t="n">
        <v>43921</v>
      </c>
      <c r="C2598" s="1" t="n">
        <v>45810</v>
      </c>
      <c r="D2598" t="inlineStr">
        <is>
          <t>VÄRMLANDS LÄN</t>
        </is>
      </c>
      <c r="E2598" t="inlineStr">
        <is>
          <t>ÅRJÄNG</t>
        </is>
      </c>
      <c r="G2598" t="n">
        <v>2.8</v>
      </c>
      <c r="H2598" t="n">
        <v>0</v>
      </c>
      <c r="I2598" t="n">
        <v>0</v>
      </c>
      <c r="J2598" t="n">
        <v>0</v>
      </c>
      <c r="K2598" t="n">
        <v>0</v>
      </c>
      <c r="L2598" t="n">
        <v>0</v>
      </c>
      <c r="M2598" t="n">
        <v>0</v>
      </c>
      <c r="N2598" t="n">
        <v>0</v>
      </c>
      <c r="O2598" t="n">
        <v>0</v>
      </c>
      <c r="P2598" t="n">
        <v>0</v>
      </c>
      <c r="Q2598" t="n">
        <v>0</v>
      </c>
      <c r="R2598" s="2" t="inlineStr"/>
    </row>
    <row r="2599" ht="15" customHeight="1">
      <c r="A2599" t="inlineStr">
        <is>
          <t>A 16799-2020</t>
        </is>
      </c>
      <c r="B2599" s="1" t="n">
        <v>43921</v>
      </c>
      <c r="C2599" s="1" t="n">
        <v>45810</v>
      </c>
      <c r="D2599" t="inlineStr">
        <is>
          <t>VÄRMLANDS LÄN</t>
        </is>
      </c>
      <c r="E2599" t="inlineStr">
        <is>
          <t>EDA</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16895-2020</t>
        </is>
      </c>
      <c r="B2600" s="1" t="n">
        <v>43921</v>
      </c>
      <c r="C2600" s="1" t="n">
        <v>45810</v>
      </c>
      <c r="D2600" t="inlineStr">
        <is>
          <t>VÄRMLANDS LÄN</t>
        </is>
      </c>
      <c r="E2600" t="inlineStr">
        <is>
          <t>STORFORS</t>
        </is>
      </c>
      <c r="G2600" t="n">
        <v>6.1</v>
      </c>
      <c r="H2600" t="n">
        <v>0</v>
      </c>
      <c r="I2600" t="n">
        <v>0</v>
      </c>
      <c r="J2600" t="n">
        <v>0</v>
      </c>
      <c r="K2600" t="n">
        <v>0</v>
      </c>
      <c r="L2600" t="n">
        <v>0</v>
      </c>
      <c r="M2600" t="n">
        <v>0</v>
      </c>
      <c r="N2600" t="n">
        <v>0</v>
      </c>
      <c r="O2600" t="n">
        <v>0</v>
      </c>
      <c r="P2600" t="n">
        <v>0</v>
      </c>
      <c r="Q2600" t="n">
        <v>0</v>
      </c>
      <c r="R2600" s="2" t="inlineStr"/>
    </row>
    <row r="2601" ht="15" customHeight="1">
      <c r="A2601" t="inlineStr">
        <is>
          <t>A 17009-2020</t>
        </is>
      </c>
      <c r="B2601" s="1" t="n">
        <v>43921</v>
      </c>
      <c r="C2601" s="1" t="n">
        <v>45810</v>
      </c>
      <c r="D2601" t="inlineStr">
        <is>
          <t>VÄRMLANDS LÄN</t>
        </is>
      </c>
      <c r="E2601" t="inlineStr">
        <is>
          <t>TORSBY</t>
        </is>
      </c>
      <c r="G2601" t="n">
        <v>3.3</v>
      </c>
      <c r="H2601" t="n">
        <v>0</v>
      </c>
      <c r="I2601" t="n">
        <v>0</v>
      </c>
      <c r="J2601" t="n">
        <v>0</v>
      </c>
      <c r="K2601" t="n">
        <v>0</v>
      </c>
      <c r="L2601" t="n">
        <v>0</v>
      </c>
      <c r="M2601" t="n">
        <v>0</v>
      </c>
      <c r="N2601" t="n">
        <v>0</v>
      </c>
      <c r="O2601" t="n">
        <v>0</v>
      </c>
      <c r="P2601" t="n">
        <v>0</v>
      </c>
      <c r="Q2601" t="n">
        <v>0</v>
      </c>
      <c r="R2601" s="2" t="inlineStr"/>
    </row>
    <row r="2602" ht="15" customHeight="1">
      <c r="A2602" t="inlineStr">
        <is>
          <t>A 17627-2020</t>
        </is>
      </c>
      <c r="B2602" s="1" t="n">
        <v>43921</v>
      </c>
      <c r="C2602" s="1" t="n">
        <v>45810</v>
      </c>
      <c r="D2602" t="inlineStr">
        <is>
          <t>VÄRMLANDS LÄN</t>
        </is>
      </c>
      <c r="E2602" t="inlineStr">
        <is>
          <t>KRISTINEHAMN</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17553-2020</t>
        </is>
      </c>
      <c r="B2603" s="1" t="n">
        <v>43921</v>
      </c>
      <c r="C2603" s="1" t="n">
        <v>45810</v>
      </c>
      <c r="D2603" t="inlineStr">
        <is>
          <t>VÄRMLANDS LÄN</t>
        </is>
      </c>
      <c r="E2603" t="inlineStr">
        <is>
          <t>HAGFORS</t>
        </is>
      </c>
      <c r="G2603" t="n">
        <v>13.1</v>
      </c>
      <c r="H2603" t="n">
        <v>0</v>
      </c>
      <c r="I2603" t="n">
        <v>0</v>
      </c>
      <c r="J2603" t="n">
        <v>0</v>
      </c>
      <c r="K2603" t="n">
        <v>0</v>
      </c>
      <c r="L2603" t="n">
        <v>0</v>
      </c>
      <c r="M2603" t="n">
        <v>0</v>
      </c>
      <c r="N2603" t="n">
        <v>0</v>
      </c>
      <c r="O2603" t="n">
        <v>0</v>
      </c>
      <c r="P2603" t="n">
        <v>0</v>
      </c>
      <c r="Q2603" t="n">
        <v>0</v>
      </c>
      <c r="R2603" s="2" t="inlineStr"/>
    </row>
    <row r="2604" ht="15" customHeight="1">
      <c r="A2604" t="inlineStr">
        <is>
          <t>A 17158-2020</t>
        </is>
      </c>
      <c r="B2604" s="1" t="n">
        <v>43922</v>
      </c>
      <c r="C2604" s="1" t="n">
        <v>45810</v>
      </c>
      <c r="D2604" t="inlineStr">
        <is>
          <t>VÄRMLANDS LÄN</t>
        </is>
      </c>
      <c r="E2604" t="inlineStr">
        <is>
          <t>SUNNE</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17249-2020</t>
        </is>
      </c>
      <c r="B2605" s="1" t="n">
        <v>43922</v>
      </c>
      <c r="C2605" s="1" t="n">
        <v>45810</v>
      </c>
      <c r="D2605" t="inlineStr">
        <is>
          <t>VÄRMLANDS LÄN</t>
        </is>
      </c>
      <c r="E2605" t="inlineStr">
        <is>
          <t>SÄFFLE</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17320-2020</t>
        </is>
      </c>
      <c r="B2606" s="1" t="n">
        <v>43922</v>
      </c>
      <c r="C2606" s="1" t="n">
        <v>45810</v>
      </c>
      <c r="D2606" t="inlineStr">
        <is>
          <t>VÄRMLANDS LÄN</t>
        </is>
      </c>
      <c r="E2606" t="inlineStr">
        <is>
          <t>SUNNE</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17475-2020</t>
        </is>
      </c>
      <c r="B2607" s="1" t="n">
        <v>43923</v>
      </c>
      <c r="C2607" s="1" t="n">
        <v>45810</v>
      </c>
      <c r="D2607" t="inlineStr">
        <is>
          <t>VÄRMLANDS LÄN</t>
        </is>
      </c>
      <c r="E2607" t="inlineStr">
        <is>
          <t>ÅRJÄNG</t>
        </is>
      </c>
      <c r="G2607" t="n">
        <v>4.2</v>
      </c>
      <c r="H2607" t="n">
        <v>0</v>
      </c>
      <c r="I2607" t="n">
        <v>0</v>
      </c>
      <c r="J2607" t="n">
        <v>0</v>
      </c>
      <c r="K2607" t="n">
        <v>0</v>
      </c>
      <c r="L2607" t="n">
        <v>0</v>
      </c>
      <c r="M2607" t="n">
        <v>0</v>
      </c>
      <c r="N2607" t="n">
        <v>0</v>
      </c>
      <c r="O2607" t="n">
        <v>0</v>
      </c>
      <c r="P2607" t="n">
        <v>0</v>
      </c>
      <c r="Q2607" t="n">
        <v>0</v>
      </c>
      <c r="R2607" s="2" t="inlineStr"/>
    </row>
    <row r="2608" ht="15" customHeight="1">
      <c r="A2608" t="inlineStr">
        <is>
          <t>A 17525-2020</t>
        </is>
      </c>
      <c r="B2608" s="1" t="n">
        <v>43923</v>
      </c>
      <c r="C2608" s="1" t="n">
        <v>45810</v>
      </c>
      <c r="D2608" t="inlineStr">
        <is>
          <t>VÄRMLANDS LÄN</t>
        </is>
      </c>
      <c r="E2608" t="inlineStr">
        <is>
          <t>SUNNE</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17573-2020</t>
        </is>
      </c>
      <c r="B2609" s="1" t="n">
        <v>43923</v>
      </c>
      <c r="C2609" s="1" t="n">
        <v>45810</v>
      </c>
      <c r="D2609" t="inlineStr">
        <is>
          <t>VÄRMLANDS LÄN</t>
        </is>
      </c>
      <c r="E2609" t="inlineStr">
        <is>
          <t>SÄFFLE</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17543-2020</t>
        </is>
      </c>
      <c r="B2610" s="1" t="n">
        <v>43923</v>
      </c>
      <c r="C2610" s="1" t="n">
        <v>45810</v>
      </c>
      <c r="D2610" t="inlineStr">
        <is>
          <t>VÄRMLANDS LÄN</t>
        </is>
      </c>
      <c r="E2610" t="inlineStr">
        <is>
          <t>SUNNE</t>
        </is>
      </c>
      <c r="G2610" t="n">
        <v>9.5</v>
      </c>
      <c r="H2610" t="n">
        <v>0</v>
      </c>
      <c r="I2610" t="n">
        <v>0</v>
      </c>
      <c r="J2610" t="n">
        <v>0</v>
      </c>
      <c r="K2610" t="n">
        <v>0</v>
      </c>
      <c r="L2610" t="n">
        <v>0</v>
      </c>
      <c r="M2610" t="n">
        <v>0</v>
      </c>
      <c r="N2610" t="n">
        <v>0</v>
      </c>
      <c r="O2610" t="n">
        <v>0</v>
      </c>
      <c r="P2610" t="n">
        <v>0</v>
      </c>
      <c r="Q2610" t="n">
        <v>0</v>
      </c>
      <c r="R2610" s="2" t="inlineStr"/>
    </row>
    <row r="2611" ht="15" customHeight="1">
      <c r="A2611" t="inlineStr">
        <is>
          <t>A 17519-2020</t>
        </is>
      </c>
      <c r="B2611" s="1" t="n">
        <v>43923</v>
      </c>
      <c r="C2611" s="1" t="n">
        <v>45810</v>
      </c>
      <c r="D2611" t="inlineStr">
        <is>
          <t>VÄRMLANDS LÄN</t>
        </is>
      </c>
      <c r="E2611" t="inlineStr">
        <is>
          <t>SÄFFLE</t>
        </is>
      </c>
      <c r="G2611" t="n">
        <v>4.9</v>
      </c>
      <c r="H2611" t="n">
        <v>0</v>
      </c>
      <c r="I2611" t="n">
        <v>0</v>
      </c>
      <c r="J2611" t="n">
        <v>0</v>
      </c>
      <c r="K2611" t="n">
        <v>0</v>
      </c>
      <c r="L2611" t="n">
        <v>0</v>
      </c>
      <c r="M2611" t="n">
        <v>0</v>
      </c>
      <c r="N2611" t="n">
        <v>0</v>
      </c>
      <c r="O2611" t="n">
        <v>0</v>
      </c>
      <c r="P2611" t="n">
        <v>0</v>
      </c>
      <c r="Q2611" t="n">
        <v>0</v>
      </c>
      <c r="R2611" s="2" t="inlineStr"/>
    </row>
    <row r="2612" ht="15" customHeight="1">
      <c r="A2612" t="inlineStr">
        <is>
          <t>A 17842-2020</t>
        </is>
      </c>
      <c r="B2612" s="1" t="n">
        <v>43923</v>
      </c>
      <c r="C2612" s="1" t="n">
        <v>45810</v>
      </c>
      <c r="D2612" t="inlineStr">
        <is>
          <t>VÄRMLANDS LÄN</t>
        </is>
      </c>
      <c r="E2612" t="inlineStr">
        <is>
          <t>GRUMS</t>
        </is>
      </c>
      <c r="G2612" t="n">
        <v>8.300000000000001</v>
      </c>
      <c r="H2612" t="n">
        <v>0</v>
      </c>
      <c r="I2612" t="n">
        <v>0</v>
      </c>
      <c r="J2612" t="n">
        <v>0</v>
      </c>
      <c r="K2612" t="n">
        <v>0</v>
      </c>
      <c r="L2612" t="n">
        <v>0</v>
      </c>
      <c r="M2612" t="n">
        <v>0</v>
      </c>
      <c r="N2612" t="n">
        <v>0</v>
      </c>
      <c r="O2612" t="n">
        <v>0</v>
      </c>
      <c r="P2612" t="n">
        <v>0</v>
      </c>
      <c r="Q2612" t="n">
        <v>0</v>
      </c>
      <c r="R2612" s="2" t="inlineStr"/>
    </row>
    <row r="2613" ht="15" customHeight="1">
      <c r="A2613" t="inlineStr">
        <is>
          <t>A 17908-2020</t>
        </is>
      </c>
      <c r="B2613" s="1" t="n">
        <v>43924</v>
      </c>
      <c r="C2613" s="1" t="n">
        <v>45810</v>
      </c>
      <c r="D2613" t="inlineStr">
        <is>
          <t>VÄRMLANDS LÄN</t>
        </is>
      </c>
      <c r="E2613" t="inlineStr">
        <is>
          <t>EDA</t>
        </is>
      </c>
      <c r="G2613" t="n">
        <v>3.5</v>
      </c>
      <c r="H2613" t="n">
        <v>0</v>
      </c>
      <c r="I2613" t="n">
        <v>0</v>
      </c>
      <c r="J2613" t="n">
        <v>0</v>
      </c>
      <c r="K2613" t="n">
        <v>0</v>
      </c>
      <c r="L2613" t="n">
        <v>0</v>
      </c>
      <c r="M2613" t="n">
        <v>0</v>
      </c>
      <c r="N2613" t="n">
        <v>0</v>
      </c>
      <c r="O2613" t="n">
        <v>0</v>
      </c>
      <c r="P2613" t="n">
        <v>0</v>
      </c>
      <c r="Q2613" t="n">
        <v>0</v>
      </c>
      <c r="R2613" s="2" t="inlineStr"/>
    </row>
    <row r="2614" ht="15" customHeight="1">
      <c r="A2614" t="inlineStr">
        <is>
          <t>A 17915-2020</t>
        </is>
      </c>
      <c r="B2614" s="1" t="n">
        <v>43924</v>
      </c>
      <c r="C2614" s="1" t="n">
        <v>45810</v>
      </c>
      <c r="D2614" t="inlineStr">
        <is>
          <t>VÄRMLANDS LÄN</t>
        </is>
      </c>
      <c r="E2614" t="inlineStr">
        <is>
          <t>KIL</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17732-2020</t>
        </is>
      </c>
      <c r="B2615" s="1" t="n">
        <v>43924</v>
      </c>
      <c r="C2615" s="1" t="n">
        <v>45810</v>
      </c>
      <c r="D2615" t="inlineStr">
        <is>
          <t>VÄRMLANDS LÄN</t>
        </is>
      </c>
      <c r="E2615" t="inlineStr">
        <is>
          <t>ARVIKA</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17751-2020</t>
        </is>
      </c>
      <c r="B2616" s="1" t="n">
        <v>43924</v>
      </c>
      <c r="C2616" s="1" t="n">
        <v>45810</v>
      </c>
      <c r="D2616" t="inlineStr">
        <is>
          <t>VÄRMLANDS LÄN</t>
        </is>
      </c>
      <c r="E2616" t="inlineStr">
        <is>
          <t>ÅRJÄNG</t>
        </is>
      </c>
      <c r="G2616" t="n">
        <v>5.8</v>
      </c>
      <c r="H2616" t="n">
        <v>0</v>
      </c>
      <c r="I2616" t="n">
        <v>0</v>
      </c>
      <c r="J2616" t="n">
        <v>0</v>
      </c>
      <c r="K2616" t="n">
        <v>0</v>
      </c>
      <c r="L2616" t="n">
        <v>0</v>
      </c>
      <c r="M2616" t="n">
        <v>0</v>
      </c>
      <c r="N2616" t="n">
        <v>0</v>
      </c>
      <c r="O2616" t="n">
        <v>0</v>
      </c>
      <c r="P2616" t="n">
        <v>0</v>
      </c>
      <c r="Q2616" t="n">
        <v>0</v>
      </c>
      <c r="R2616" s="2" t="inlineStr"/>
    </row>
    <row r="2617" ht="15" customHeight="1">
      <c r="A2617" t="inlineStr">
        <is>
          <t>A 17922-2020</t>
        </is>
      </c>
      <c r="B2617" s="1" t="n">
        <v>43924</v>
      </c>
      <c r="C2617" s="1" t="n">
        <v>45810</v>
      </c>
      <c r="D2617" t="inlineStr">
        <is>
          <t>VÄRMLANDS LÄN</t>
        </is>
      </c>
      <c r="E2617" t="inlineStr">
        <is>
          <t>ÅRJÄNG</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17892-2020</t>
        </is>
      </c>
      <c r="B2618" s="1" t="n">
        <v>43924</v>
      </c>
      <c r="C2618" s="1" t="n">
        <v>45810</v>
      </c>
      <c r="D2618" t="inlineStr">
        <is>
          <t>VÄRMLANDS LÄN</t>
        </is>
      </c>
      <c r="E2618" t="inlineStr">
        <is>
          <t>FILIPSTAD</t>
        </is>
      </c>
      <c r="F2618" t="inlineStr">
        <is>
          <t>Bergvik skog väst AB</t>
        </is>
      </c>
      <c r="G2618" t="n">
        <v>5</v>
      </c>
      <c r="H2618" t="n">
        <v>0</v>
      </c>
      <c r="I2618" t="n">
        <v>0</v>
      </c>
      <c r="J2618" t="n">
        <v>0</v>
      </c>
      <c r="K2618" t="n">
        <v>0</v>
      </c>
      <c r="L2618" t="n">
        <v>0</v>
      </c>
      <c r="M2618" t="n">
        <v>0</v>
      </c>
      <c r="N2618" t="n">
        <v>0</v>
      </c>
      <c r="O2618" t="n">
        <v>0</v>
      </c>
      <c r="P2618" t="n">
        <v>0</v>
      </c>
      <c r="Q2618" t="n">
        <v>0</v>
      </c>
      <c r="R2618" s="2" t="inlineStr"/>
    </row>
    <row r="2619" ht="15" customHeight="1">
      <c r="A2619" t="inlineStr">
        <is>
          <t>A 17879-2020</t>
        </is>
      </c>
      <c r="B2619" s="1" t="n">
        <v>43924</v>
      </c>
      <c r="C2619" s="1" t="n">
        <v>45810</v>
      </c>
      <c r="D2619" t="inlineStr">
        <is>
          <t>VÄRMLANDS LÄN</t>
        </is>
      </c>
      <c r="E2619" t="inlineStr">
        <is>
          <t>FILIPSTAD</t>
        </is>
      </c>
      <c r="F2619" t="inlineStr">
        <is>
          <t>Bergvik skog väst AB</t>
        </is>
      </c>
      <c r="G2619" t="n">
        <v>4.1</v>
      </c>
      <c r="H2619" t="n">
        <v>0</v>
      </c>
      <c r="I2619" t="n">
        <v>0</v>
      </c>
      <c r="J2619" t="n">
        <v>0</v>
      </c>
      <c r="K2619" t="n">
        <v>0</v>
      </c>
      <c r="L2619" t="n">
        <v>0</v>
      </c>
      <c r="M2619" t="n">
        <v>0</v>
      </c>
      <c r="N2619" t="n">
        <v>0</v>
      </c>
      <c r="O2619" t="n">
        <v>0</v>
      </c>
      <c r="P2619" t="n">
        <v>0</v>
      </c>
      <c r="Q2619" t="n">
        <v>0</v>
      </c>
      <c r="R2619" s="2" t="inlineStr"/>
    </row>
    <row r="2620" ht="15" customHeight="1">
      <c r="A2620" t="inlineStr">
        <is>
          <t>A 17970-2020</t>
        </is>
      </c>
      <c r="B2620" s="1" t="n">
        <v>43925</v>
      </c>
      <c r="C2620" s="1" t="n">
        <v>45810</v>
      </c>
      <c r="D2620" t="inlineStr">
        <is>
          <t>VÄRMLANDS LÄN</t>
        </is>
      </c>
      <c r="E2620" t="inlineStr">
        <is>
          <t>ARVIKA</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17958-2020</t>
        </is>
      </c>
      <c r="B2621" s="1" t="n">
        <v>43925</v>
      </c>
      <c r="C2621" s="1" t="n">
        <v>45810</v>
      </c>
      <c r="D2621" t="inlineStr">
        <is>
          <t>VÄRMLANDS LÄN</t>
        </is>
      </c>
      <c r="E2621" t="inlineStr">
        <is>
          <t>KARLSTAD</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17964-2020</t>
        </is>
      </c>
      <c r="B2622" s="1" t="n">
        <v>43925</v>
      </c>
      <c r="C2622" s="1" t="n">
        <v>45810</v>
      </c>
      <c r="D2622" t="inlineStr">
        <is>
          <t>VÄRMLANDS LÄN</t>
        </is>
      </c>
      <c r="E2622" t="inlineStr">
        <is>
          <t>KRISTINEHAMN</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17997-2020</t>
        </is>
      </c>
      <c r="B2623" s="1" t="n">
        <v>43926</v>
      </c>
      <c r="C2623" s="1" t="n">
        <v>45810</v>
      </c>
      <c r="D2623" t="inlineStr">
        <is>
          <t>VÄRMLANDS LÄN</t>
        </is>
      </c>
      <c r="E2623" t="inlineStr">
        <is>
          <t>SUNNE</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17999-2020</t>
        </is>
      </c>
      <c r="B2624" s="1" t="n">
        <v>43927</v>
      </c>
      <c r="C2624" s="1" t="n">
        <v>45810</v>
      </c>
      <c r="D2624" t="inlineStr">
        <is>
          <t>VÄRMLANDS LÄN</t>
        </is>
      </c>
      <c r="E2624" t="inlineStr">
        <is>
          <t>SUNNE</t>
        </is>
      </c>
      <c r="G2624" t="n">
        <v>3.7</v>
      </c>
      <c r="H2624" t="n">
        <v>0</v>
      </c>
      <c r="I2624" t="n">
        <v>0</v>
      </c>
      <c r="J2624" t="n">
        <v>0</v>
      </c>
      <c r="K2624" t="n">
        <v>0</v>
      </c>
      <c r="L2624" t="n">
        <v>0</v>
      </c>
      <c r="M2624" t="n">
        <v>0</v>
      </c>
      <c r="N2624" t="n">
        <v>0</v>
      </c>
      <c r="O2624" t="n">
        <v>0</v>
      </c>
      <c r="P2624" t="n">
        <v>0</v>
      </c>
      <c r="Q2624" t="n">
        <v>0</v>
      </c>
      <c r="R2624" s="2" t="inlineStr"/>
    </row>
    <row r="2625" ht="15" customHeight="1">
      <c r="A2625" t="inlineStr">
        <is>
          <t>A 18025-2020</t>
        </is>
      </c>
      <c r="B2625" s="1" t="n">
        <v>43927</v>
      </c>
      <c r="C2625" s="1" t="n">
        <v>45810</v>
      </c>
      <c r="D2625" t="inlineStr">
        <is>
          <t>VÄRMLANDS LÄN</t>
        </is>
      </c>
      <c r="E2625" t="inlineStr">
        <is>
          <t>FORSHAGA</t>
        </is>
      </c>
      <c r="F2625" t="inlineStr">
        <is>
          <t>Bergvik skog väst AB</t>
        </is>
      </c>
      <c r="G2625" t="n">
        <v>7.8</v>
      </c>
      <c r="H2625" t="n">
        <v>0</v>
      </c>
      <c r="I2625" t="n">
        <v>0</v>
      </c>
      <c r="J2625" t="n">
        <v>0</v>
      </c>
      <c r="K2625" t="n">
        <v>0</v>
      </c>
      <c r="L2625" t="n">
        <v>0</v>
      </c>
      <c r="M2625" t="n">
        <v>0</v>
      </c>
      <c r="N2625" t="n">
        <v>0</v>
      </c>
      <c r="O2625" t="n">
        <v>0</v>
      </c>
      <c r="P2625" t="n">
        <v>0</v>
      </c>
      <c r="Q2625" t="n">
        <v>0</v>
      </c>
      <c r="R2625" s="2" t="inlineStr"/>
    </row>
    <row r="2626" ht="15" customHeight="1">
      <c r="A2626" t="inlineStr">
        <is>
          <t>A 18157-2020</t>
        </is>
      </c>
      <c r="B2626" s="1" t="n">
        <v>43927</v>
      </c>
      <c r="C2626" s="1" t="n">
        <v>45810</v>
      </c>
      <c r="D2626" t="inlineStr">
        <is>
          <t>VÄRMLANDS LÄN</t>
        </is>
      </c>
      <c r="E2626" t="inlineStr">
        <is>
          <t>KARLSTAD</t>
        </is>
      </c>
      <c r="G2626" t="n">
        <v>4.5</v>
      </c>
      <c r="H2626" t="n">
        <v>0</v>
      </c>
      <c r="I2626" t="n">
        <v>0</v>
      </c>
      <c r="J2626" t="n">
        <v>0</v>
      </c>
      <c r="K2626" t="n">
        <v>0</v>
      </c>
      <c r="L2626" t="n">
        <v>0</v>
      </c>
      <c r="M2626" t="n">
        <v>0</v>
      </c>
      <c r="N2626" t="n">
        <v>0</v>
      </c>
      <c r="O2626" t="n">
        <v>0</v>
      </c>
      <c r="P2626" t="n">
        <v>0</v>
      </c>
      <c r="Q2626" t="n">
        <v>0</v>
      </c>
      <c r="R2626" s="2" t="inlineStr"/>
    </row>
    <row r="2627" ht="15" customHeight="1">
      <c r="A2627" t="inlineStr">
        <is>
          <t>A 18155-2020</t>
        </is>
      </c>
      <c r="B2627" s="1" t="n">
        <v>43927</v>
      </c>
      <c r="C2627" s="1" t="n">
        <v>45810</v>
      </c>
      <c r="D2627" t="inlineStr">
        <is>
          <t>VÄRMLANDS LÄN</t>
        </is>
      </c>
      <c r="E2627" t="inlineStr">
        <is>
          <t>TORSBY</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18070-2020</t>
        </is>
      </c>
      <c r="B2628" s="1" t="n">
        <v>43927</v>
      </c>
      <c r="C2628" s="1" t="n">
        <v>45810</v>
      </c>
      <c r="D2628" t="inlineStr">
        <is>
          <t>VÄRMLANDS LÄN</t>
        </is>
      </c>
      <c r="E2628" t="inlineStr">
        <is>
          <t>HAGFORS</t>
        </is>
      </c>
      <c r="G2628" t="n">
        <v>4.1</v>
      </c>
      <c r="H2628" t="n">
        <v>0</v>
      </c>
      <c r="I2628" t="n">
        <v>0</v>
      </c>
      <c r="J2628" t="n">
        <v>0</v>
      </c>
      <c r="K2628" t="n">
        <v>0</v>
      </c>
      <c r="L2628" t="n">
        <v>0</v>
      </c>
      <c r="M2628" t="n">
        <v>0</v>
      </c>
      <c r="N2628" t="n">
        <v>0</v>
      </c>
      <c r="O2628" t="n">
        <v>0</v>
      </c>
      <c r="P2628" t="n">
        <v>0</v>
      </c>
      <c r="Q2628" t="n">
        <v>0</v>
      </c>
      <c r="R2628" s="2" t="inlineStr"/>
    </row>
    <row r="2629" ht="15" customHeight="1">
      <c r="A2629" t="inlineStr">
        <is>
          <t>A 18263-2020</t>
        </is>
      </c>
      <c r="B2629" s="1" t="n">
        <v>43928</v>
      </c>
      <c r="C2629" s="1" t="n">
        <v>45810</v>
      </c>
      <c r="D2629" t="inlineStr">
        <is>
          <t>VÄRMLANDS LÄN</t>
        </is>
      </c>
      <c r="E2629" t="inlineStr">
        <is>
          <t>FORSHAGA</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18229-2020</t>
        </is>
      </c>
      <c r="B2630" s="1" t="n">
        <v>43928</v>
      </c>
      <c r="C2630" s="1" t="n">
        <v>45810</v>
      </c>
      <c r="D2630" t="inlineStr">
        <is>
          <t>VÄRMLANDS LÄN</t>
        </is>
      </c>
      <c r="E2630" t="inlineStr">
        <is>
          <t>KARLSTAD</t>
        </is>
      </c>
      <c r="G2630" t="n">
        <v>0.4</v>
      </c>
      <c r="H2630" t="n">
        <v>0</v>
      </c>
      <c r="I2630" t="n">
        <v>0</v>
      </c>
      <c r="J2630" t="n">
        <v>0</v>
      </c>
      <c r="K2630" t="n">
        <v>0</v>
      </c>
      <c r="L2630" t="n">
        <v>0</v>
      </c>
      <c r="M2630" t="n">
        <v>0</v>
      </c>
      <c r="N2630" t="n">
        <v>0</v>
      </c>
      <c r="O2630" t="n">
        <v>0</v>
      </c>
      <c r="P2630" t="n">
        <v>0</v>
      </c>
      <c r="Q2630" t="n">
        <v>0</v>
      </c>
      <c r="R2630" s="2" t="inlineStr"/>
    </row>
    <row r="2631" ht="15" customHeight="1">
      <c r="A2631" t="inlineStr">
        <is>
          <t>A 18258-2020</t>
        </is>
      </c>
      <c r="B2631" s="1" t="n">
        <v>43928</v>
      </c>
      <c r="C2631" s="1" t="n">
        <v>45810</v>
      </c>
      <c r="D2631" t="inlineStr">
        <is>
          <t>VÄRMLANDS LÄN</t>
        </is>
      </c>
      <c r="E2631" t="inlineStr">
        <is>
          <t>FORSHAGA</t>
        </is>
      </c>
      <c r="G2631" t="n">
        <v>2.6</v>
      </c>
      <c r="H2631" t="n">
        <v>0</v>
      </c>
      <c r="I2631" t="n">
        <v>0</v>
      </c>
      <c r="J2631" t="n">
        <v>0</v>
      </c>
      <c r="K2631" t="n">
        <v>0</v>
      </c>
      <c r="L2631" t="n">
        <v>0</v>
      </c>
      <c r="M2631" t="n">
        <v>0</v>
      </c>
      <c r="N2631" t="n">
        <v>0</v>
      </c>
      <c r="O2631" t="n">
        <v>0</v>
      </c>
      <c r="P2631" t="n">
        <v>0</v>
      </c>
      <c r="Q2631" t="n">
        <v>0</v>
      </c>
      <c r="R2631" s="2" t="inlineStr"/>
    </row>
    <row r="2632" ht="15" customHeight="1">
      <c r="A2632" t="inlineStr">
        <is>
          <t>A 18641-2020</t>
        </is>
      </c>
      <c r="B2632" s="1" t="n">
        <v>43928</v>
      </c>
      <c r="C2632" s="1" t="n">
        <v>45810</v>
      </c>
      <c r="D2632" t="inlineStr">
        <is>
          <t>VÄRMLANDS LÄN</t>
        </is>
      </c>
      <c r="E2632" t="inlineStr">
        <is>
          <t>TORSBY</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18473-2020</t>
        </is>
      </c>
      <c r="B2633" s="1" t="n">
        <v>43929</v>
      </c>
      <c r="C2633" s="1" t="n">
        <v>45810</v>
      </c>
      <c r="D2633" t="inlineStr">
        <is>
          <t>VÄRMLANDS LÄN</t>
        </is>
      </c>
      <c r="E2633" t="inlineStr">
        <is>
          <t>SUNNE</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18523-2020</t>
        </is>
      </c>
      <c r="B2634" s="1" t="n">
        <v>43929</v>
      </c>
      <c r="C2634" s="1" t="n">
        <v>45810</v>
      </c>
      <c r="D2634" t="inlineStr">
        <is>
          <t>VÄRMLANDS LÄN</t>
        </is>
      </c>
      <c r="E2634" t="inlineStr">
        <is>
          <t>KIL</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18456-2020</t>
        </is>
      </c>
      <c r="B2635" s="1" t="n">
        <v>43929</v>
      </c>
      <c r="C2635" s="1" t="n">
        <v>45810</v>
      </c>
      <c r="D2635" t="inlineStr">
        <is>
          <t>VÄRMLANDS LÄN</t>
        </is>
      </c>
      <c r="E2635" t="inlineStr">
        <is>
          <t>SUNNE</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18483-2020</t>
        </is>
      </c>
      <c r="B2636" s="1" t="n">
        <v>43929</v>
      </c>
      <c r="C2636" s="1" t="n">
        <v>45810</v>
      </c>
      <c r="D2636" t="inlineStr">
        <is>
          <t>VÄRMLANDS LÄN</t>
        </is>
      </c>
      <c r="E2636" t="inlineStr">
        <is>
          <t>SUNNE</t>
        </is>
      </c>
      <c r="G2636" t="n">
        <v>5.4</v>
      </c>
      <c r="H2636" t="n">
        <v>0</v>
      </c>
      <c r="I2636" t="n">
        <v>0</v>
      </c>
      <c r="J2636" t="n">
        <v>0</v>
      </c>
      <c r="K2636" t="n">
        <v>0</v>
      </c>
      <c r="L2636" t="n">
        <v>0</v>
      </c>
      <c r="M2636" t="n">
        <v>0</v>
      </c>
      <c r="N2636" t="n">
        <v>0</v>
      </c>
      <c r="O2636" t="n">
        <v>0</v>
      </c>
      <c r="P2636" t="n">
        <v>0</v>
      </c>
      <c r="Q2636" t="n">
        <v>0</v>
      </c>
      <c r="R2636" s="2" t="inlineStr"/>
    </row>
    <row r="2637" ht="15" customHeight="1">
      <c r="A2637" t="inlineStr">
        <is>
          <t>A 18600-2020</t>
        </is>
      </c>
      <c r="B2637" s="1" t="n">
        <v>43929</v>
      </c>
      <c r="C2637" s="1" t="n">
        <v>45810</v>
      </c>
      <c r="D2637" t="inlineStr">
        <is>
          <t>VÄRMLANDS LÄN</t>
        </is>
      </c>
      <c r="E2637" t="inlineStr">
        <is>
          <t>HAGFORS</t>
        </is>
      </c>
      <c r="F2637" t="inlineStr">
        <is>
          <t>Bergvik skog väst AB</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18942-2020</t>
        </is>
      </c>
      <c r="B2638" s="1" t="n">
        <v>43929</v>
      </c>
      <c r="C2638" s="1" t="n">
        <v>45810</v>
      </c>
      <c r="D2638" t="inlineStr">
        <is>
          <t>VÄRMLANDS LÄN</t>
        </is>
      </c>
      <c r="E2638" t="inlineStr">
        <is>
          <t>KIL</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18657-2020</t>
        </is>
      </c>
      <c r="B2639" s="1" t="n">
        <v>43930</v>
      </c>
      <c r="C2639" s="1" t="n">
        <v>45810</v>
      </c>
      <c r="D2639" t="inlineStr">
        <is>
          <t>VÄRMLANDS LÄN</t>
        </is>
      </c>
      <c r="E2639" t="inlineStr">
        <is>
          <t>KRISTINEHAMN</t>
        </is>
      </c>
      <c r="G2639" t="n">
        <v>0.4</v>
      </c>
      <c r="H2639" t="n">
        <v>0</v>
      </c>
      <c r="I2639" t="n">
        <v>0</v>
      </c>
      <c r="J2639" t="n">
        <v>0</v>
      </c>
      <c r="K2639" t="n">
        <v>0</v>
      </c>
      <c r="L2639" t="n">
        <v>0</v>
      </c>
      <c r="M2639" t="n">
        <v>0</v>
      </c>
      <c r="N2639" t="n">
        <v>0</v>
      </c>
      <c r="O2639" t="n">
        <v>0</v>
      </c>
      <c r="P2639" t="n">
        <v>0</v>
      </c>
      <c r="Q2639" t="n">
        <v>0</v>
      </c>
      <c r="R2639" s="2" t="inlineStr"/>
    </row>
    <row r="2640" ht="15" customHeight="1">
      <c r="A2640" t="inlineStr">
        <is>
          <t>A 18665-2020</t>
        </is>
      </c>
      <c r="B2640" s="1" t="n">
        <v>43930</v>
      </c>
      <c r="C2640" s="1" t="n">
        <v>45810</v>
      </c>
      <c r="D2640" t="inlineStr">
        <is>
          <t>VÄRMLANDS LÄN</t>
        </is>
      </c>
      <c r="E2640" t="inlineStr">
        <is>
          <t>GRUMS</t>
        </is>
      </c>
      <c r="G2640" t="n">
        <v>6.3</v>
      </c>
      <c r="H2640" t="n">
        <v>0</v>
      </c>
      <c r="I2640" t="n">
        <v>0</v>
      </c>
      <c r="J2640" t="n">
        <v>0</v>
      </c>
      <c r="K2640" t="n">
        <v>0</v>
      </c>
      <c r="L2640" t="n">
        <v>0</v>
      </c>
      <c r="M2640" t="n">
        <v>0</v>
      </c>
      <c r="N2640" t="n">
        <v>0</v>
      </c>
      <c r="O2640" t="n">
        <v>0</v>
      </c>
      <c r="P2640" t="n">
        <v>0</v>
      </c>
      <c r="Q2640" t="n">
        <v>0</v>
      </c>
      <c r="R2640" s="2" t="inlineStr"/>
    </row>
    <row r="2641" ht="15" customHeight="1">
      <c r="A2641" t="inlineStr">
        <is>
          <t>A 18675-2020</t>
        </is>
      </c>
      <c r="B2641" s="1" t="n">
        <v>43930</v>
      </c>
      <c r="C2641" s="1" t="n">
        <v>45810</v>
      </c>
      <c r="D2641" t="inlineStr">
        <is>
          <t>VÄRMLANDS LÄN</t>
        </is>
      </c>
      <c r="E2641" t="inlineStr">
        <is>
          <t>SUNNE</t>
        </is>
      </c>
      <c r="G2641" t="n">
        <v>0.2</v>
      </c>
      <c r="H2641" t="n">
        <v>0</v>
      </c>
      <c r="I2641" t="n">
        <v>0</v>
      </c>
      <c r="J2641" t="n">
        <v>0</v>
      </c>
      <c r="K2641" t="n">
        <v>0</v>
      </c>
      <c r="L2641" t="n">
        <v>0</v>
      </c>
      <c r="M2641" t="n">
        <v>0</v>
      </c>
      <c r="N2641" t="n">
        <v>0</v>
      </c>
      <c r="O2641" t="n">
        <v>0</v>
      </c>
      <c r="P2641" t="n">
        <v>0</v>
      </c>
      <c r="Q2641" t="n">
        <v>0</v>
      </c>
      <c r="R2641" s="2" t="inlineStr"/>
    </row>
    <row r="2642" ht="15" customHeight="1">
      <c r="A2642" t="inlineStr">
        <is>
          <t>A 18618-2020</t>
        </is>
      </c>
      <c r="B2642" s="1" t="n">
        <v>43930</v>
      </c>
      <c r="C2642" s="1" t="n">
        <v>45810</v>
      </c>
      <c r="D2642" t="inlineStr">
        <is>
          <t>VÄRMLANDS LÄN</t>
        </is>
      </c>
      <c r="E2642" t="inlineStr">
        <is>
          <t>EDA</t>
        </is>
      </c>
      <c r="G2642" t="n">
        <v>3.4</v>
      </c>
      <c r="H2642" t="n">
        <v>0</v>
      </c>
      <c r="I2642" t="n">
        <v>0</v>
      </c>
      <c r="J2642" t="n">
        <v>0</v>
      </c>
      <c r="K2642" t="n">
        <v>0</v>
      </c>
      <c r="L2642" t="n">
        <v>0</v>
      </c>
      <c r="M2642" t="n">
        <v>0</v>
      </c>
      <c r="N2642" t="n">
        <v>0</v>
      </c>
      <c r="O2642" t="n">
        <v>0</v>
      </c>
      <c r="P2642" t="n">
        <v>0</v>
      </c>
      <c r="Q2642" t="n">
        <v>0</v>
      </c>
      <c r="R2642" s="2" t="inlineStr"/>
    </row>
    <row r="2643" ht="15" customHeight="1">
      <c r="A2643" t="inlineStr">
        <is>
          <t>A 18707-2020</t>
        </is>
      </c>
      <c r="B2643" s="1" t="n">
        <v>43930</v>
      </c>
      <c r="C2643" s="1" t="n">
        <v>45810</v>
      </c>
      <c r="D2643" t="inlineStr">
        <is>
          <t>VÄRMLANDS LÄN</t>
        </is>
      </c>
      <c r="E2643" t="inlineStr">
        <is>
          <t>FILIPSTAD</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18659-2020</t>
        </is>
      </c>
      <c r="B2644" s="1" t="n">
        <v>43930</v>
      </c>
      <c r="C2644" s="1" t="n">
        <v>45810</v>
      </c>
      <c r="D2644" t="inlineStr">
        <is>
          <t>VÄRMLANDS LÄN</t>
        </is>
      </c>
      <c r="E2644" t="inlineStr">
        <is>
          <t>KRISTINEHAMN</t>
        </is>
      </c>
      <c r="G2644" t="n">
        <v>0.1</v>
      </c>
      <c r="H2644" t="n">
        <v>0</v>
      </c>
      <c r="I2644" t="n">
        <v>0</v>
      </c>
      <c r="J2644" t="n">
        <v>0</v>
      </c>
      <c r="K2644" t="n">
        <v>0</v>
      </c>
      <c r="L2644" t="n">
        <v>0</v>
      </c>
      <c r="M2644" t="n">
        <v>0</v>
      </c>
      <c r="N2644" t="n">
        <v>0</v>
      </c>
      <c r="O2644" t="n">
        <v>0</v>
      </c>
      <c r="P2644" t="n">
        <v>0</v>
      </c>
      <c r="Q2644" t="n">
        <v>0</v>
      </c>
      <c r="R2644" s="2" t="inlineStr"/>
    </row>
    <row r="2645" ht="15" customHeight="1">
      <c r="A2645" t="inlineStr">
        <is>
          <t>A 18670-2020</t>
        </is>
      </c>
      <c r="B2645" s="1" t="n">
        <v>43930</v>
      </c>
      <c r="C2645" s="1" t="n">
        <v>45810</v>
      </c>
      <c r="D2645" t="inlineStr">
        <is>
          <t>VÄRMLANDS LÄN</t>
        </is>
      </c>
      <c r="E2645" t="inlineStr">
        <is>
          <t>SUNNE</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18688-2020</t>
        </is>
      </c>
      <c r="B2646" s="1" t="n">
        <v>43930</v>
      </c>
      <c r="C2646" s="1" t="n">
        <v>45810</v>
      </c>
      <c r="D2646" t="inlineStr">
        <is>
          <t>VÄRMLANDS LÄN</t>
        </is>
      </c>
      <c r="E2646" t="inlineStr">
        <is>
          <t>KRISTINEHAMN</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18769-2020</t>
        </is>
      </c>
      <c r="B2647" s="1" t="n">
        <v>43930</v>
      </c>
      <c r="C2647" s="1" t="n">
        <v>45810</v>
      </c>
      <c r="D2647" t="inlineStr">
        <is>
          <t>VÄRMLANDS LÄN</t>
        </is>
      </c>
      <c r="E2647" t="inlineStr">
        <is>
          <t>TORSBY</t>
        </is>
      </c>
      <c r="G2647" t="n">
        <v>5.2</v>
      </c>
      <c r="H2647" t="n">
        <v>0</v>
      </c>
      <c r="I2647" t="n">
        <v>0</v>
      </c>
      <c r="J2647" t="n">
        <v>0</v>
      </c>
      <c r="K2647" t="n">
        <v>0</v>
      </c>
      <c r="L2647" t="n">
        <v>0</v>
      </c>
      <c r="M2647" t="n">
        <v>0</v>
      </c>
      <c r="N2647" t="n">
        <v>0</v>
      </c>
      <c r="O2647" t="n">
        <v>0</v>
      </c>
      <c r="P2647" t="n">
        <v>0</v>
      </c>
      <c r="Q2647" t="n">
        <v>0</v>
      </c>
      <c r="R2647" s="2" t="inlineStr"/>
    </row>
    <row r="2648" ht="15" customHeight="1">
      <c r="A2648" t="inlineStr">
        <is>
          <t>A 18770-2020</t>
        </is>
      </c>
      <c r="B2648" s="1" t="n">
        <v>43930</v>
      </c>
      <c r="C2648" s="1" t="n">
        <v>45810</v>
      </c>
      <c r="D2648" t="inlineStr">
        <is>
          <t>VÄRMLANDS LÄN</t>
        </is>
      </c>
      <c r="E2648" t="inlineStr">
        <is>
          <t>TORSBY</t>
        </is>
      </c>
      <c r="G2648" t="n">
        <v>4.2</v>
      </c>
      <c r="H2648" t="n">
        <v>0</v>
      </c>
      <c r="I2648" t="n">
        <v>0</v>
      </c>
      <c r="J2648" t="n">
        <v>0</v>
      </c>
      <c r="K2648" t="n">
        <v>0</v>
      </c>
      <c r="L2648" t="n">
        <v>0</v>
      </c>
      <c r="M2648" t="n">
        <v>0</v>
      </c>
      <c r="N2648" t="n">
        <v>0</v>
      </c>
      <c r="O2648" t="n">
        <v>0</v>
      </c>
      <c r="P2648" t="n">
        <v>0</v>
      </c>
      <c r="Q2648" t="n">
        <v>0</v>
      </c>
      <c r="R2648" s="2" t="inlineStr"/>
    </row>
    <row r="2649" ht="15" customHeight="1">
      <c r="A2649" t="inlineStr">
        <is>
          <t>A 18768-2020</t>
        </is>
      </c>
      <c r="B2649" s="1" t="n">
        <v>43930</v>
      </c>
      <c r="C2649" s="1" t="n">
        <v>45810</v>
      </c>
      <c r="D2649" t="inlineStr">
        <is>
          <t>VÄRMLANDS LÄN</t>
        </is>
      </c>
      <c r="E2649" t="inlineStr">
        <is>
          <t>KRISTINEHAMN</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18793-2020</t>
        </is>
      </c>
      <c r="B2650" s="1" t="n">
        <v>43932</v>
      </c>
      <c r="C2650" s="1" t="n">
        <v>45810</v>
      </c>
      <c r="D2650" t="inlineStr">
        <is>
          <t>VÄRMLANDS LÄN</t>
        </is>
      </c>
      <c r="E2650" t="inlineStr">
        <is>
          <t>ÅRJÄNG</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18804-2020</t>
        </is>
      </c>
      <c r="B2651" s="1" t="n">
        <v>43933</v>
      </c>
      <c r="C2651" s="1" t="n">
        <v>45810</v>
      </c>
      <c r="D2651" t="inlineStr">
        <is>
          <t>VÄRMLANDS LÄN</t>
        </is>
      </c>
      <c r="E2651" t="inlineStr">
        <is>
          <t>FILIPSTAD</t>
        </is>
      </c>
      <c r="G2651" t="n">
        <v>5.2</v>
      </c>
      <c r="H2651" t="n">
        <v>0</v>
      </c>
      <c r="I2651" t="n">
        <v>0</v>
      </c>
      <c r="J2651" t="n">
        <v>0</v>
      </c>
      <c r="K2651" t="n">
        <v>0</v>
      </c>
      <c r="L2651" t="n">
        <v>0</v>
      </c>
      <c r="M2651" t="n">
        <v>0</v>
      </c>
      <c r="N2651" t="n">
        <v>0</v>
      </c>
      <c r="O2651" t="n">
        <v>0</v>
      </c>
      <c r="P2651" t="n">
        <v>0</v>
      </c>
      <c r="Q2651" t="n">
        <v>0</v>
      </c>
      <c r="R2651" s="2" t="inlineStr"/>
    </row>
    <row r="2652" ht="15" customHeight="1">
      <c r="A2652" t="inlineStr">
        <is>
          <t>A 18890-2020</t>
        </is>
      </c>
      <c r="B2652" s="1" t="n">
        <v>43935</v>
      </c>
      <c r="C2652" s="1" t="n">
        <v>45810</v>
      </c>
      <c r="D2652" t="inlineStr">
        <is>
          <t>VÄRMLANDS LÄN</t>
        </is>
      </c>
      <c r="E2652" t="inlineStr">
        <is>
          <t>SUNNE</t>
        </is>
      </c>
      <c r="G2652" t="n">
        <v>2.4</v>
      </c>
      <c r="H2652" t="n">
        <v>0</v>
      </c>
      <c r="I2652" t="n">
        <v>0</v>
      </c>
      <c r="J2652" t="n">
        <v>0</v>
      </c>
      <c r="K2652" t="n">
        <v>0</v>
      </c>
      <c r="L2652" t="n">
        <v>0</v>
      </c>
      <c r="M2652" t="n">
        <v>0</v>
      </c>
      <c r="N2652" t="n">
        <v>0</v>
      </c>
      <c r="O2652" t="n">
        <v>0</v>
      </c>
      <c r="P2652" t="n">
        <v>0</v>
      </c>
      <c r="Q2652" t="n">
        <v>0</v>
      </c>
      <c r="R2652" s="2" t="inlineStr"/>
    </row>
    <row r="2653" ht="15" customHeight="1">
      <c r="A2653" t="inlineStr">
        <is>
          <t>A 18972-2020</t>
        </is>
      </c>
      <c r="B2653" s="1" t="n">
        <v>43935</v>
      </c>
      <c r="C2653" s="1" t="n">
        <v>45810</v>
      </c>
      <c r="D2653" t="inlineStr">
        <is>
          <t>VÄRMLANDS LÄN</t>
        </is>
      </c>
      <c r="E2653" t="inlineStr">
        <is>
          <t>TORSBY</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19007-2020</t>
        </is>
      </c>
      <c r="B2654" s="1" t="n">
        <v>43936</v>
      </c>
      <c r="C2654" s="1" t="n">
        <v>45810</v>
      </c>
      <c r="D2654" t="inlineStr">
        <is>
          <t>VÄRMLANDS LÄN</t>
        </is>
      </c>
      <c r="E2654" t="inlineStr">
        <is>
          <t>EDA</t>
        </is>
      </c>
      <c r="G2654" t="n">
        <v>7.6</v>
      </c>
      <c r="H2654" t="n">
        <v>0</v>
      </c>
      <c r="I2654" t="n">
        <v>0</v>
      </c>
      <c r="J2654" t="n">
        <v>0</v>
      </c>
      <c r="K2654" t="n">
        <v>0</v>
      </c>
      <c r="L2654" t="n">
        <v>0</v>
      </c>
      <c r="M2654" t="n">
        <v>0</v>
      </c>
      <c r="N2654" t="n">
        <v>0</v>
      </c>
      <c r="O2654" t="n">
        <v>0</v>
      </c>
      <c r="P2654" t="n">
        <v>0</v>
      </c>
      <c r="Q2654" t="n">
        <v>0</v>
      </c>
      <c r="R2654" s="2" t="inlineStr"/>
    </row>
    <row r="2655" ht="15" customHeight="1">
      <c r="A2655" t="inlineStr">
        <is>
          <t>A 19032-2020</t>
        </is>
      </c>
      <c r="B2655" s="1" t="n">
        <v>43936</v>
      </c>
      <c r="C2655" s="1" t="n">
        <v>45810</v>
      </c>
      <c r="D2655" t="inlineStr">
        <is>
          <t>VÄRMLANDS LÄN</t>
        </is>
      </c>
      <c r="E2655" t="inlineStr">
        <is>
          <t>TORSBY</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19133-2020</t>
        </is>
      </c>
      <c r="B2656" s="1" t="n">
        <v>43936</v>
      </c>
      <c r="C2656" s="1" t="n">
        <v>45810</v>
      </c>
      <c r="D2656" t="inlineStr">
        <is>
          <t>VÄRMLANDS LÄN</t>
        </is>
      </c>
      <c r="E2656" t="inlineStr">
        <is>
          <t>KIL</t>
        </is>
      </c>
      <c r="G2656" t="n">
        <v>3.6</v>
      </c>
      <c r="H2656" t="n">
        <v>0</v>
      </c>
      <c r="I2656" t="n">
        <v>0</v>
      </c>
      <c r="J2656" t="n">
        <v>0</v>
      </c>
      <c r="K2656" t="n">
        <v>0</v>
      </c>
      <c r="L2656" t="n">
        <v>0</v>
      </c>
      <c r="M2656" t="n">
        <v>0</v>
      </c>
      <c r="N2656" t="n">
        <v>0</v>
      </c>
      <c r="O2656" t="n">
        <v>0</v>
      </c>
      <c r="P2656" t="n">
        <v>0</v>
      </c>
      <c r="Q2656" t="n">
        <v>0</v>
      </c>
      <c r="R2656" s="2" t="inlineStr"/>
    </row>
    <row r="2657" ht="15" customHeight="1">
      <c r="A2657" t="inlineStr">
        <is>
          <t>A 19282-2020</t>
        </is>
      </c>
      <c r="B2657" s="1" t="n">
        <v>43937</v>
      </c>
      <c r="C2657" s="1" t="n">
        <v>45810</v>
      </c>
      <c r="D2657" t="inlineStr">
        <is>
          <t>VÄRMLANDS LÄN</t>
        </is>
      </c>
      <c r="E2657" t="inlineStr">
        <is>
          <t>FILIPSTAD</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19296-2020</t>
        </is>
      </c>
      <c r="B2658" s="1" t="n">
        <v>43937</v>
      </c>
      <c r="C2658" s="1" t="n">
        <v>45810</v>
      </c>
      <c r="D2658" t="inlineStr">
        <is>
          <t>VÄRMLANDS LÄN</t>
        </is>
      </c>
      <c r="E2658" t="inlineStr">
        <is>
          <t>SUNNE</t>
        </is>
      </c>
      <c r="G2658" t="n">
        <v>6.3</v>
      </c>
      <c r="H2658" t="n">
        <v>0</v>
      </c>
      <c r="I2658" t="n">
        <v>0</v>
      </c>
      <c r="J2658" t="n">
        <v>0</v>
      </c>
      <c r="K2658" t="n">
        <v>0</v>
      </c>
      <c r="L2658" t="n">
        <v>0</v>
      </c>
      <c r="M2658" t="n">
        <v>0</v>
      </c>
      <c r="N2658" t="n">
        <v>0</v>
      </c>
      <c r="O2658" t="n">
        <v>0</v>
      </c>
      <c r="P2658" t="n">
        <v>0</v>
      </c>
      <c r="Q2658" t="n">
        <v>0</v>
      </c>
      <c r="R2658" s="2" t="inlineStr"/>
    </row>
    <row r="2659" ht="15" customHeight="1">
      <c r="A2659" t="inlineStr">
        <is>
          <t>A 19181-2020</t>
        </is>
      </c>
      <c r="B2659" s="1" t="n">
        <v>43937</v>
      </c>
      <c r="C2659" s="1" t="n">
        <v>45810</v>
      </c>
      <c r="D2659" t="inlineStr">
        <is>
          <t>VÄRMLANDS LÄN</t>
        </is>
      </c>
      <c r="E2659" t="inlineStr">
        <is>
          <t>TORSBY</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19376-2020</t>
        </is>
      </c>
      <c r="B2660" s="1" t="n">
        <v>43938</v>
      </c>
      <c r="C2660" s="1" t="n">
        <v>45810</v>
      </c>
      <c r="D2660" t="inlineStr">
        <is>
          <t>VÄRMLANDS LÄN</t>
        </is>
      </c>
      <c r="E2660" t="inlineStr">
        <is>
          <t>SUNNE</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19486-2020</t>
        </is>
      </c>
      <c r="B2661" s="1" t="n">
        <v>43938</v>
      </c>
      <c r="C2661" s="1" t="n">
        <v>45810</v>
      </c>
      <c r="D2661" t="inlineStr">
        <is>
          <t>VÄRMLANDS LÄN</t>
        </is>
      </c>
      <c r="E2661" t="inlineStr">
        <is>
          <t>GRUMS</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19384-2020</t>
        </is>
      </c>
      <c r="B2662" s="1" t="n">
        <v>43938</v>
      </c>
      <c r="C2662" s="1" t="n">
        <v>45810</v>
      </c>
      <c r="D2662" t="inlineStr">
        <is>
          <t>VÄRMLANDS LÄN</t>
        </is>
      </c>
      <c r="E2662" t="inlineStr">
        <is>
          <t>TORSBY</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19483-2020</t>
        </is>
      </c>
      <c r="B2663" s="1" t="n">
        <v>43938</v>
      </c>
      <c r="C2663" s="1" t="n">
        <v>45810</v>
      </c>
      <c r="D2663" t="inlineStr">
        <is>
          <t>VÄRMLANDS LÄN</t>
        </is>
      </c>
      <c r="E2663" t="inlineStr">
        <is>
          <t>GRUMS</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19462-2020</t>
        </is>
      </c>
      <c r="B2664" s="1" t="n">
        <v>43938</v>
      </c>
      <c r="C2664" s="1" t="n">
        <v>45810</v>
      </c>
      <c r="D2664" t="inlineStr">
        <is>
          <t>VÄRMLANDS LÄN</t>
        </is>
      </c>
      <c r="E2664" t="inlineStr">
        <is>
          <t>HAGFORS</t>
        </is>
      </c>
      <c r="F2664" t="inlineStr">
        <is>
          <t>Bergvik skog väst AB</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19519-2020</t>
        </is>
      </c>
      <c r="B2665" s="1" t="n">
        <v>43939</v>
      </c>
      <c r="C2665" s="1" t="n">
        <v>45810</v>
      </c>
      <c r="D2665" t="inlineStr">
        <is>
          <t>VÄRMLANDS LÄN</t>
        </is>
      </c>
      <c r="E2665" t="inlineStr">
        <is>
          <t>ARVIKA</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19835-2020</t>
        </is>
      </c>
      <c r="B2666" s="1" t="n">
        <v>43940</v>
      </c>
      <c r="C2666" s="1" t="n">
        <v>45810</v>
      </c>
      <c r="D2666" t="inlineStr">
        <is>
          <t>VÄRMLANDS LÄN</t>
        </is>
      </c>
      <c r="E2666" t="inlineStr">
        <is>
          <t>KIL</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19887-2020</t>
        </is>
      </c>
      <c r="B2667" s="1" t="n">
        <v>43941</v>
      </c>
      <c r="C2667" s="1" t="n">
        <v>45810</v>
      </c>
      <c r="D2667" t="inlineStr">
        <is>
          <t>VÄRMLANDS LÄN</t>
        </is>
      </c>
      <c r="E2667" t="inlineStr">
        <is>
          <t>MUNKFORS</t>
        </is>
      </c>
      <c r="F2667" t="inlineStr">
        <is>
          <t>Bergvik skog väst AB</t>
        </is>
      </c>
      <c r="G2667" t="n">
        <v>0.4</v>
      </c>
      <c r="H2667" t="n">
        <v>0</v>
      </c>
      <c r="I2667" t="n">
        <v>0</v>
      </c>
      <c r="J2667" t="n">
        <v>0</v>
      </c>
      <c r="K2667" t="n">
        <v>0</v>
      </c>
      <c r="L2667" t="n">
        <v>0</v>
      </c>
      <c r="M2667" t="n">
        <v>0</v>
      </c>
      <c r="N2667" t="n">
        <v>0</v>
      </c>
      <c r="O2667" t="n">
        <v>0</v>
      </c>
      <c r="P2667" t="n">
        <v>0</v>
      </c>
      <c r="Q2667" t="n">
        <v>0</v>
      </c>
      <c r="R2667" s="2" t="inlineStr"/>
    </row>
    <row r="2668" ht="15" customHeight="1">
      <c r="A2668" t="inlineStr">
        <is>
          <t>A 19963-2020</t>
        </is>
      </c>
      <c r="B2668" s="1" t="n">
        <v>43941</v>
      </c>
      <c r="C2668" s="1" t="n">
        <v>45810</v>
      </c>
      <c r="D2668" t="inlineStr">
        <is>
          <t>VÄRMLANDS LÄN</t>
        </is>
      </c>
      <c r="E2668" t="inlineStr">
        <is>
          <t>TORSBY</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20025-2020</t>
        </is>
      </c>
      <c r="B2669" s="1" t="n">
        <v>43943</v>
      </c>
      <c r="C2669" s="1" t="n">
        <v>45810</v>
      </c>
      <c r="D2669" t="inlineStr">
        <is>
          <t>VÄRMLANDS LÄN</t>
        </is>
      </c>
      <c r="E2669" t="inlineStr">
        <is>
          <t>TORSBY</t>
        </is>
      </c>
      <c r="F2669" t="inlineStr">
        <is>
          <t>Bergvik skog väst AB</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20094-2020</t>
        </is>
      </c>
      <c r="B2670" s="1" t="n">
        <v>43943</v>
      </c>
      <c r="C2670" s="1" t="n">
        <v>45810</v>
      </c>
      <c r="D2670" t="inlineStr">
        <is>
          <t>VÄRMLANDS LÄN</t>
        </is>
      </c>
      <c r="E2670" t="inlineStr">
        <is>
          <t>KIL</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19965-2020</t>
        </is>
      </c>
      <c r="B2671" s="1" t="n">
        <v>43943</v>
      </c>
      <c r="C2671" s="1" t="n">
        <v>45810</v>
      </c>
      <c r="D2671" t="inlineStr">
        <is>
          <t>VÄRMLANDS LÄN</t>
        </is>
      </c>
      <c r="E2671" t="inlineStr">
        <is>
          <t>KRISTINEHAMN</t>
        </is>
      </c>
      <c r="G2671" t="n">
        <v>3.1</v>
      </c>
      <c r="H2671" t="n">
        <v>0</v>
      </c>
      <c r="I2671" t="n">
        <v>0</v>
      </c>
      <c r="J2671" t="n">
        <v>0</v>
      </c>
      <c r="K2671" t="n">
        <v>0</v>
      </c>
      <c r="L2671" t="n">
        <v>0</v>
      </c>
      <c r="M2671" t="n">
        <v>0</v>
      </c>
      <c r="N2671" t="n">
        <v>0</v>
      </c>
      <c r="O2671" t="n">
        <v>0</v>
      </c>
      <c r="P2671" t="n">
        <v>0</v>
      </c>
      <c r="Q2671" t="n">
        <v>0</v>
      </c>
      <c r="R2671" s="2" t="inlineStr"/>
    </row>
    <row r="2672" ht="15" customHeight="1">
      <c r="A2672" t="inlineStr">
        <is>
          <t>A 20107-2020</t>
        </is>
      </c>
      <c r="B2672" s="1" t="n">
        <v>43944</v>
      </c>
      <c r="C2672" s="1" t="n">
        <v>45810</v>
      </c>
      <c r="D2672" t="inlineStr">
        <is>
          <t>VÄRMLANDS LÄN</t>
        </is>
      </c>
      <c r="E2672" t="inlineStr">
        <is>
          <t>HAGFORS</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20123-2020</t>
        </is>
      </c>
      <c r="B2673" s="1" t="n">
        <v>43944</v>
      </c>
      <c r="C2673" s="1" t="n">
        <v>45810</v>
      </c>
      <c r="D2673" t="inlineStr">
        <is>
          <t>VÄRMLANDS LÄN</t>
        </is>
      </c>
      <c r="E2673" t="inlineStr">
        <is>
          <t>HAGFORS</t>
        </is>
      </c>
      <c r="F2673" t="inlineStr">
        <is>
          <t>Bergvik skog väst AB</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20235-2020</t>
        </is>
      </c>
      <c r="B2674" s="1" t="n">
        <v>43944</v>
      </c>
      <c r="C2674" s="1" t="n">
        <v>45810</v>
      </c>
      <c r="D2674" t="inlineStr">
        <is>
          <t>VÄRMLANDS LÄN</t>
        </is>
      </c>
      <c r="E2674" t="inlineStr">
        <is>
          <t>ARVIKA</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20299-2020</t>
        </is>
      </c>
      <c r="B2675" s="1" t="n">
        <v>43944</v>
      </c>
      <c r="C2675" s="1" t="n">
        <v>45810</v>
      </c>
      <c r="D2675" t="inlineStr">
        <is>
          <t>VÄRMLANDS LÄN</t>
        </is>
      </c>
      <c r="E2675" t="inlineStr">
        <is>
          <t>HAGFORS</t>
        </is>
      </c>
      <c r="G2675" t="n">
        <v>7.6</v>
      </c>
      <c r="H2675" t="n">
        <v>0</v>
      </c>
      <c r="I2675" t="n">
        <v>0</v>
      </c>
      <c r="J2675" t="n">
        <v>0</v>
      </c>
      <c r="K2675" t="n">
        <v>0</v>
      </c>
      <c r="L2675" t="n">
        <v>0</v>
      </c>
      <c r="M2675" t="n">
        <v>0</v>
      </c>
      <c r="N2675" t="n">
        <v>0</v>
      </c>
      <c r="O2675" t="n">
        <v>0</v>
      </c>
      <c r="P2675" t="n">
        <v>0</v>
      </c>
      <c r="Q2675" t="n">
        <v>0</v>
      </c>
      <c r="R2675" s="2" t="inlineStr"/>
    </row>
    <row r="2676" ht="15" customHeight="1">
      <c r="A2676" t="inlineStr">
        <is>
          <t>A 20280-2020</t>
        </is>
      </c>
      <c r="B2676" s="1" t="n">
        <v>43945</v>
      </c>
      <c r="C2676" s="1" t="n">
        <v>45810</v>
      </c>
      <c r="D2676" t="inlineStr">
        <is>
          <t>VÄRMLANDS LÄN</t>
        </is>
      </c>
      <c r="E2676" t="inlineStr">
        <is>
          <t>TORSBY</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20310-2020</t>
        </is>
      </c>
      <c r="B2677" s="1" t="n">
        <v>43945</v>
      </c>
      <c r="C2677" s="1" t="n">
        <v>45810</v>
      </c>
      <c r="D2677" t="inlineStr">
        <is>
          <t>VÄRMLANDS LÄN</t>
        </is>
      </c>
      <c r="E2677" t="inlineStr">
        <is>
          <t>SUNNE</t>
        </is>
      </c>
      <c r="G2677" t="n">
        <v>9.4</v>
      </c>
      <c r="H2677" t="n">
        <v>0</v>
      </c>
      <c r="I2677" t="n">
        <v>0</v>
      </c>
      <c r="J2677" t="n">
        <v>0</v>
      </c>
      <c r="K2677" t="n">
        <v>0</v>
      </c>
      <c r="L2677" t="n">
        <v>0</v>
      </c>
      <c r="M2677" t="n">
        <v>0</v>
      </c>
      <c r="N2677" t="n">
        <v>0</v>
      </c>
      <c r="O2677" t="n">
        <v>0</v>
      </c>
      <c r="P2677" t="n">
        <v>0</v>
      </c>
      <c r="Q2677" t="n">
        <v>0</v>
      </c>
      <c r="R2677" s="2" t="inlineStr"/>
    </row>
    <row r="2678" ht="15" customHeight="1">
      <c r="A2678" t="inlineStr">
        <is>
          <t>A 20452-2020</t>
        </is>
      </c>
      <c r="B2678" s="1" t="n">
        <v>43945</v>
      </c>
      <c r="C2678" s="1" t="n">
        <v>45810</v>
      </c>
      <c r="D2678" t="inlineStr">
        <is>
          <t>VÄRMLANDS LÄN</t>
        </is>
      </c>
      <c r="E2678" t="inlineStr">
        <is>
          <t>SUNNE</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20789-2020</t>
        </is>
      </c>
      <c r="B2679" s="1" t="n">
        <v>43945</v>
      </c>
      <c r="C2679" s="1" t="n">
        <v>45810</v>
      </c>
      <c r="D2679" t="inlineStr">
        <is>
          <t>VÄRMLANDS LÄN</t>
        </is>
      </c>
      <c r="E2679" t="inlineStr">
        <is>
          <t>SÄFFLE</t>
        </is>
      </c>
      <c r="F2679" t="inlineStr">
        <is>
          <t>Bergvik skog väst AB</t>
        </is>
      </c>
      <c r="G2679" t="n">
        <v>4.1</v>
      </c>
      <c r="H2679" t="n">
        <v>0</v>
      </c>
      <c r="I2679" t="n">
        <v>0</v>
      </c>
      <c r="J2679" t="n">
        <v>0</v>
      </c>
      <c r="K2679" t="n">
        <v>0</v>
      </c>
      <c r="L2679" t="n">
        <v>0</v>
      </c>
      <c r="M2679" t="n">
        <v>0</v>
      </c>
      <c r="N2679" t="n">
        <v>0</v>
      </c>
      <c r="O2679" t="n">
        <v>0</v>
      </c>
      <c r="P2679" t="n">
        <v>0</v>
      </c>
      <c r="Q2679" t="n">
        <v>0</v>
      </c>
      <c r="R2679" s="2" t="inlineStr"/>
    </row>
    <row r="2680" ht="15" customHeight="1">
      <c r="A2680" t="inlineStr">
        <is>
          <t>A 20791-2020</t>
        </is>
      </c>
      <c r="B2680" s="1" t="n">
        <v>43945</v>
      </c>
      <c r="C2680" s="1" t="n">
        <v>45810</v>
      </c>
      <c r="D2680" t="inlineStr">
        <is>
          <t>VÄRMLANDS LÄN</t>
        </is>
      </c>
      <c r="E2680" t="inlineStr">
        <is>
          <t>SÄFFLE</t>
        </is>
      </c>
      <c r="F2680" t="inlineStr">
        <is>
          <t>Bergvik skog väst AB</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20564-2020</t>
        </is>
      </c>
      <c r="B2681" s="1" t="n">
        <v>43948</v>
      </c>
      <c r="C2681" s="1" t="n">
        <v>45810</v>
      </c>
      <c r="D2681" t="inlineStr">
        <is>
          <t>VÄRMLANDS LÄN</t>
        </is>
      </c>
      <c r="E2681" t="inlineStr">
        <is>
          <t>ARVIKA</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20872-2020</t>
        </is>
      </c>
      <c r="B2682" s="1" t="n">
        <v>43948</v>
      </c>
      <c r="C2682" s="1" t="n">
        <v>45810</v>
      </c>
      <c r="D2682" t="inlineStr">
        <is>
          <t>VÄRMLANDS LÄN</t>
        </is>
      </c>
      <c r="E2682" t="inlineStr">
        <is>
          <t>STORFORS</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20870-2020</t>
        </is>
      </c>
      <c r="B2683" s="1" t="n">
        <v>43948</v>
      </c>
      <c r="C2683" s="1" t="n">
        <v>45810</v>
      </c>
      <c r="D2683" t="inlineStr">
        <is>
          <t>VÄRMLANDS LÄN</t>
        </is>
      </c>
      <c r="E2683" t="inlineStr">
        <is>
          <t>STORFORS</t>
        </is>
      </c>
      <c r="G2683" t="n">
        <v>3.3</v>
      </c>
      <c r="H2683" t="n">
        <v>0</v>
      </c>
      <c r="I2683" t="n">
        <v>0</v>
      </c>
      <c r="J2683" t="n">
        <v>0</v>
      </c>
      <c r="K2683" t="n">
        <v>0</v>
      </c>
      <c r="L2683" t="n">
        <v>0</v>
      </c>
      <c r="M2683" t="n">
        <v>0</v>
      </c>
      <c r="N2683" t="n">
        <v>0</v>
      </c>
      <c r="O2683" t="n">
        <v>0</v>
      </c>
      <c r="P2683" t="n">
        <v>0</v>
      </c>
      <c r="Q2683" t="n">
        <v>0</v>
      </c>
      <c r="R2683" s="2" t="inlineStr"/>
    </row>
    <row r="2684" ht="15" customHeight="1">
      <c r="A2684" t="inlineStr">
        <is>
          <t>A 20464-2020</t>
        </is>
      </c>
      <c r="B2684" s="1" t="n">
        <v>43948</v>
      </c>
      <c r="C2684" s="1" t="n">
        <v>45810</v>
      </c>
      <c r="D2684" t="inlineStr">
        <is>
          <t>VÄRMLANDS LÄN</t>
        </is>
      </c>
      <c r="E2684" t="inlineStr">
        <is>
          <t>TORSBY</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20706-2020</t>
        </is>
      </c>
      <c r="B2685" s="1" t="n">
        <v>43949</v>
      </c>
      <c r="C2685" s="1" t="n">
        <v>45810</v>
      </c>
      <c r="D2685" t="inlineStr">
        <is>
          <t>VÄRMLANDS LÄN</t>
        </is>
      </c>
      <c r="E2685" t="inlineStr">
        <is>
          <t>FILIPSTAD</t>
        </is>
      </c>
      <c r="F2685" t="inlineStr">
        <is>
          <t>Bergvik skog väst AB</t>
        </is>
      </c>
      <c r="G2685" t="n">
        <v>3.7</v>
      </c>
      <c r="H2685" t="n">
        <v>0</v>
      </c>
      <c r="I2685" t="n">
        <v>0</v>
      </c>
      <c r="J2685" t="n">
        <v>0</v>
      </c>
      <c r="K2685" t="n">
        <v>0</v>
      </c>
      <c r="L2685" t="n">
        <v>0</v>
      </c>
      <c r="M2685" t="n">
        <v>0</v>
      </c>
      <c r="N2685" t="n">
        <v>0</v>
      </c>
      <c r="O2685" t="n">
        <v>0</v>
      </c>
      <c r="P2685" t="n">
        <v>0</v>
      </c>
      <c r="Q2685" t="n">
        <v>0</v>
      </c>
      <c r="R2685" s="2" t="inlineStr"/>
    </row>
    <row r="2686" ht="15" customHeight="1">
      <c r="A2686" t="inlineStr">
        <is>
          <t>A 20735-2020</t>
        </is>
      </c>
      <c r="B2686" s="1" t="n">
        <v>43949</v>
      </c>
      <c r="C2686" s="1" t="n">
        <v>45810</v>
      </c>
      <c r="D2686" t="inlineStr">
        <is>
          <t>VÄRMLANDS LÄN</t>
        </is>
      </c>
      <c r="E2686" t="inlineStr">
        <is>
          <t>FILIPSTAD</t>
        </is>
      </c>
      <c r="F2686" t="inlineStr">
        <is>
          <t>Bergvik skog väst AB</t>
        </is>
      </c>
      <c r="G2686" t="n">
        <v>5.8</v>
      </c>
      <c r="H2686" t="n">
        <v>0</v>
      </c>
      <c r="I2686" t="n">
        <v>0</v>
      </c>
      <c r="J2686" t="n">
        <v>0</v>
      </c>
      <c r="K2686" t="n">
        <v>0</v>
      </c>
      <c r="L2686" t="n">
        <v>0</v>
      </c>
      <c r="M2686" t="n">
        <v>0</v>
      </c>
      <c r="N2686" t="n">
        <v>0</v>
      </c>
      <c r="O2686" t="n">
        <v>0</v>
      </c>
      <c r="P2686" t="n">
        <v>0</v>
      </c>
      <c r="Q2686" t="n">
        <v>0</v>
      </c>
      <c r="R2686" s="2" t="inlineStr"/>
    </row>
    <row r="2687" ht="15" customHeight="1">
      <c r="A2687" t="inlineStr">
        <is>
          <t>A 20671-2020</t>
        </is>
      </c>
      <c r="B2687" s="1" t="n">
        <v>43949</v>
      </c>
      <c r="C2687" s="1" t="n">
        <v>45810</v>
      </c>
      <c r="D2687" t="inlineStr">
        <is>
          <t>VÄRMLANDS LÄN</t>
        </is>
      </c>
      <c r="E2687" t="inlineStr">
        <is>
          <t>FILIPSTAD</t>
        </is>
      </c>
      <c r="F2687" t="inlineStr">
        <is>
          <t>Bergvik skog väst AB</t>
        </is>
      </c>
      <c r="G2687" t="n">
        <v>0.3</v>
      </c>
      <c r="H2687" t="n">
        <v>0</v>
      </c>
      <c r="I2687" t="n">
        <v>0</v>
      </c>
      <c r="J2687" t="n">
        <v>0</v>
      </c>
      <c r="K2687" t="n">
        <v>0</v>
      </c>
      <c r="L2687" t="n">
        <v>0</v>
      </c>
      <c r="M2687" t="n">
        <v>0</v>
      </c>
      <c r="N2687" t="n">
        <v>0</v>
      </c>
      <c r="O2687" t="n">
        <v>0</v>
      </c>
      <c r="P2687" t="n">
        <v>0</v>
      </c>
      <c r="Q2687" t="n">
        <v>0</v>
      </c>
      <c r="R2687" s="2" t="inlineStr"/>
    </row>
    <row r="2688" ht="15" customHeight="1">
      <c r="A2688" t="inlineStr">
        <is>
          <t>A 20744-2020</t>
        </is>
      </c>
      <c r="B2688" s="1" t="n">
        <v>43949</v>
      </c>
      <c r="C2688" s="1" t="n">
        <v>45810</v>
      </c>
      <c r="D2688" t="inlineStr">
        <is>
          <t>VÄRMLANDS LÄN</t>
        </is>
      </c>
      <c r="E2688" t="inlineStr">
        <is>
          <t>FILIPSTAD</t>
        </is>
      </c>
      <c r="F2688" t="inlineStr">
        <is>
          <t>Bergvik skog väst AB</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20753-2020</t>
        </is>
      </c>
      <c r="B2689" s="1" t="n">
        <v>43949</v>
      </c>
      <c r="C2689" s="1" t="n">
        <v>45810</v>
      </c>
      <c r="D2689" t="inlineStr">
        <is>
          <t>VÄRMLANDS LÄN</t>
        </is>
      </c>
      <c r="E2689" t="inlineStr">
        <is>
          <t>FILIPSTAD</t>
        </is>
      </c>
      <c r="F2689" t="inlineStr">
        <is>
          <t>Bergvik skog väst AB</t>
        </is>
      </c>
      <c r="G2689" t="n">
        <v>20.2</v>
      </c>
      <c r="H2689" t="n">
        <v>0</v>
      </c>
      <c r="I2689" t="n">
        <v>0</v>
      </c>
      <c r="J2689" t="n">
        <v>0</v>
      </c>
      <c r="K2689" t="n">
        <v>0</v>
      </c>
      <c r="L2689" t="n">
        <v>0</v>
      </c>
      <c r="M2689" t="n">
        <v>0</v>
      </c>
      <c r="N2689" t="n">
        <v>0</v>
      </c>
      <c r="O2689" t="n">
        <v>0</v>
      </c>
      <c r="P2689" t="n">
        <v>0</v>
      </c>
      <c r="Q2689" t="n">
        <v>0</v>
      </c>
      <c r="R2689" s="2" t="inlineStr"/>
    </row>
    <row r="2690" ht="15" customHeight="1">
      <c r="A2690" t="inlineStr">
        <is>
          <t>A 20670-2020</t>
        </is>
      </c>
      <c r="B2690" s="1" t="n">
        <v>43949</v>
      </c>
      <c r="C2690" s="1" t="n">
        <v>45810</v>
      </c>
      <c r="D2690" t="inlineStr">
        <is>
          <t>VÄRMLANDS LÄN</t>
        </is>
      </c>
      <c r="E2690" t="inlineStr">
        <is>
          <t>FILIPSTAD</t>
        </is>
      </c>
      <c r="F2690" t="inlineStr">
        <is>
          <t>Bergvik skog väst AB</t>
        </is>
      </c>
      <c r="G2690" t="n">
        <v>0.3</v>
      </c>
      <c r="H2690" t="n">
        <v>0</v>
      </c>
      <c r="I2690" t="n">
        <v>0</v>
      </c>
      <c r="J2690" t="n">
        <v>0</v>
      </c>
      <c r="K2690" t="n">
        <v>0</v>
      </c>
      <c r="L2690" t="n">
        <v>0</v>
      </c>
      <c r="M2690" t="n">
        <v>0</v>
      </c>
      <c r="N2690" t="n">
        <v>0</v>
      </c>
      <c r="O2690" t="n">
        <v>0</v>
      </c>
      <c r="P2690" t="n">
        <v>0</v>
      </c>
      <c r="Q2690" t="n">
        <v>0</v>
      </c>
      <c r="R2690" s="2" t="inlineStr"/>
    </row>
    <row r="2691" ht="15" customHeight="1">
      <c r="A2691" t="inlineStr">
        <is>
          <t>A 20702-2020</t>
        </is>
      </c>
      <c r="B2691" s="1" t="n">
        <v>43949</v>
      </c>
      <c r="C2691" s="1" t="n">
        <v>45810</v>
      </c>
      <c r="D2691" t="inlineStr">
        <is>
          <t>VÄRMLANDS LÄN</t>
        </is>
      </c>
      <c r="E2691" t="inlineStr">
        <is>
          <t>FILIPSTAD</t>
        </is>
      </c>
      <c r="F2691" t="inlineStr">
        <is>
          <t>Bergvik skog väst AB</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20709-2020</t>
        </is>
      </c>
      <c r="B2692" s="1" t="n">
        <v>43949</v>
      </c>
      <c r="C2692" s="1" t="n">
        <v>45810</v>
      </c>
      <c r="D2692" t="inlineStr">
        <is>
          <t>VÄRMLANDS LÄN</t>
        </is>
      </c>
      <c r="E2692" t="inlineStr">
        <is>
          <t>FILIPSTAD</t>
        </is>
      </c>
      <c r="F2692" t="inlineStr">
        <is>
          <t>Bergvik skog väst AB</t>
        </is>
      </c>
      <c r="G2692" t="n">
        <v>10.1</v>
      </c>
      <c r="H2692" t="n">
        <v>0</v>
      </c>
      <c r="I2692" t="n">
        <v>0</v>
      </c>
      <c r="J2692" t="n">
        <v>0</v>
      </c>
      <c r="K2692" t="n">
        <v>0</v>
      </c>
      <c r="L2692" t="n">
        <v>0</v>
      </c>
      <c r="M2692" t="n">
        <v>0</v>
      </c>
      <c r="N2692" t="n">
        <v>0</v>
      </c>
      <c r="O2692" t="n">
        <v>0</v>
      </c>
      <c r="P2692" t="n">
        <v>0</v>
      </c>
      <c r="Q2692" t="n">
        <v>0</v>
      </c>
      <c r="R2692" s="2" t="inlineStr"/>
    </row>
    <row r="2693" ht="15" customHeight="1">
      <c r="A2693" t="inlineStr">
        <is>
          <t>A 20726-2020</t>
        </is>
      </c>
      <c r="B2693" s="1" t="n">
        <v>43949</v>
      </c>
      <c r="C2693" s="1" t="n">
        <v>45810</v>
      </c>
      <c r="D2693" t="inlineStr">
        <is>
          <t>VÄRMLANDS LÄN</t>
        </is>
      </c>
      <c r="E2693" t="inlineStr">
        <is>
          <t>FILIPSTAD</t>
        </is>
      </c>
      <c r="F2693" t="inlineStr">
        <is>
          <t>Bergvik skog väst AB</t>
        </is>
      </c>
      <c r="G2693" t="n">
        <v>16.6</v>
      </c>
      <c r="H2693" t="n">
        <v>0</v>
      </c>
      <c r="I2693" t="n">
        <v>0</v>
      </c>
      <c r="J2693" t="n">
        <v>0</v>
      </c>
      <c r="K2693" t="n">
        <v>0</v>
      </c>
      <c r="L2693" t="n">
        <v>0</v>
      </c>
      <c r="M2693" t="n">
        <v>0</v>
      </c>
      <c r="N2693" t="n">
        <v>0</v>
      </c>
      <c r="O2693" t="n">
        <v>0</v>
      </c>
      <c r="P2693" t="n">
        <v>0</v>
      </c>
      <c r="Q2693" t="n">
        <v>0</v>
      </c>
      <c r="R2693" s="2" t="inlineStr"/>
    </row>
    <row r="2694" ht="15" customHeight="1">
      <c r="A2694" t="inlineStr">
        <is>
          <t>A 20751-2020</t>
        </is>
      </c>
      <c r="B2694" s="1" t="n">
        <v>43949</v>
      </c>
      <c r="C2694" s="1" t="n">
        <v>45810</v>
      </c>
      <c r="D2694" t="inlineStr">
        <is>
          <t>VÄRMLANDS LÄN</t>
        </is>
      </c>
      <c r="E2694" t="inlineStr">
        <is>
          <t>FILIPSTAD</t>
        </is>
      </c>
      <c r="F2694" t="inlineStr">
        <is>
          <t>Bergvik skog väst AB</t>
        </is>
      </c>
      <c r="G2694" t="n">
        <v>4.4</v>
      </c>
      <c r="H2694" t="n">
        <v>0</v>
      </c>
      <c r="I2694" t="n">
        <v>0</v>
      </c>
      <c r="J2694" t="n">
        <v>0</v>
      </c>
      <c r="K2694" t="n">
        <v>0</v>
      </c>
      <c r="L2694" t="n">
        <v>0</v>
      </c>
      <c r="M2694" t="n">
        <v>0</v>
      </c>
      <c r="N2694" t="n">
        <v>0</v>
      </c>
      <c r="O2694" t="n">
        <v>0</v>
      </c>
      <c r="P2694" t="n">
        <v>0</v>
      </c>
      <c r="Q2694" t="n">
        <v>0</v>
      </c>
      <c r="R2694" s="2" t="inlineStr"/>
    </row>
    <row r="2695" ht="15" customHeight="1">
      <c r="A2695" t="inlineStr">
        <is>
          <t>A 20720-2020</t>
        </is>
      </c>
      <c r="B2695" s="1" t="n">
        <v>43949</v>
      </c>
      <c r="C2695" s="1" t="n">
        <v>45810</v>
      </c>
      <c r="D2695" t="inlineStr">
        <is>
          <t>VÄRMLANDS LÄN</t>
        </is>
      </c>
      <c r="E2695" t="inlineStr">
        <is>
          <t>EDA</t>
        </is>
      </c>
      <c r="G2695" t="n">
        <v>4.9</v>
      </c>
      <c r="H2695" t="n">
        <v>0</v>
      </c>
      <c r="I2695" t="n">
        <v>0</v>
      </c>
      <c r="J2695" t="n">
        <v>0</v>
      </c>
      <c r="K2695" t="n">
        <v>0</v>
      </c>
      <c r="L2695" t="n">
        <v>0</v>
      </c>
      <c r="M2695" t="n">
        <v>0</v>
      </c>
      <c r="N2695" t="n">
        <v>0</v>
      </c>
      <c r="O2695" t="n">
        <v>0</v>
      </c>
      <c r="P2695" t="n">
        <v>0</v>
      </c>
      <c r="Q2695" t="n">
        <v>0</v>
      </c>
      <c r="R2695" s="2" t="inlineStr"/>
    </row>
    <row r="2696" ht="15" customHeight="1">
      <c r="A2696" t="inlineStr">
        <is>
          <t>A 20734-2020</t>
        </is>
      </c>
      <c r="B2696" s="1" t="n">
        <v>43949</v>
      </c>
      <c r="C2696" s="1" t="n">
        <v>45810</v>
      </c>
      <c r="D2696" t="inlineStr">
        <is>
          <t>VÄRMLANDS LÄN</t>
        </is>
      </c>
      <c r="E2696" t="inlineStr">
        <is>
          <t>EDA</t>
        </is>
      </c>
      <c r="G2696" t="n">
        <v>4.6</v>
      </c>
      <c r="H2696" t="n">
        <v>0</v>
      </c>
      <c r="I2696" t="n">
        <v>0</v>
      </c>
      <c r="J2696" t="n">
        <v>0</v>
      </c>
      <c r="K2696" t="n">
        <v>0</v>
      </c>
      <c r="L2696" t="n">
        <v>0</v>
      </c>
      <c r="M2696" t="n">
        <v>0</v>
      </c>
      <c r="N2696" t="n">
        <v>0</v>
      </c>
      <c r="O2696" t="n">
        <v>0</v>
      </c>
      <c r="P2696" t="n">
        <v>0</v>
      </c>
      <c r="Q2696" t="n">
        <v>0</v>
      </c>
      <c r="R2696" s="2" t="inlineStr"/>
    </row>
    <row r="2697" ht="15" customHeight="1">
      <c r="A2697" t="inlineStr">
        <is>
          <t>A 20741-2020</t>
        </is>
      </c>
      <c r="B2697" s="1" t="n">
        <v>43949</v>
      </c>
      <c r="C2697" s="1" t="n">
        <v>45810</v>
      </c>
      <c r="D2697" t="inlineStr">
        <is>
          <t>VÄRMLANDS LÄN</t>
        </is>
      </c>
      <c r="E2697" t="inlineStr">
        <is>
          <t>FILIPSTAD</t>
        </is>
      </c>
      <c r="F2697" t="inlineStr">
        <is>
          <t>Bergvik skog väst AB</t>
        </is>
      </c>
      <c r="G2697" t="n">
        <v>7.3</v>
      </c>
      <c r="H2697" t="n">
        <v>0</v>
      </c>
      <c r="I2697" t="n">
        <v>0</v>
      </c>
      <c r="J2697" t="n">
        <v>0</v>
      </c>
      <c r="K2697" t="n">
        <v>0</v>
      </c>
      <c r="L2697" t="n">
        <v>0</v>
      </c>
      <c r="M2697" t="n">
        <v>0</v>
      </c>
      <c r="N2697" t="n">
        <v>0</v>
      </c>
      <c r="O2697" t="n">
        <v>0</v>
      </c>
      <c r="P2697" t="n">
        <v>0</v>
      </c>
      <c r="Q2697" t="n">
        <v>0</v>
      </c>
      <c r="R2697" s="2" t="inlineStr"/>
    </row>
    <row r="2698" ht="15" customHeight="1">
      <c r="A2698" t="inlineStr">
        <is>
          <t>A 20756-2020</t>
        </is>
      </c>
      <c r="B2698" s="1" t="n">
        <v>43949</v>
      </c>
      <c r="C2698" s="1" t="n">
        <v>45810</v>
      </c>
      <c r="D2698" t="inlineStr">
        <is>
          <t>VÄRMLANDS LÄN</t>
        </is>
      </c>
      <c r="E2698" t="inlineStr">
        <is>
          <t>HAGFORS</t>
        </is>
      </c>
      <c r="F2698" t="inlineStr">
        <is>
          <t>Bergvik skog väst AB</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21000-2020</t>
        </is>
      </c>
      <c r="B2699" s="1" t="n">
        <v>43949</v>
      </c>
      <c r="C2699" s="1" t="n">
        <v>45810</v>
      </c>
      <c r="D2699" t="inlineStr">
        <is>
          <t>VÄRMLANDS LÄN</t>
        </is>
      </c>
      <c r="E2699" t="inlineStr">
        <is>
          <t>KRISTINEHAMN</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20798-2020</t>
        </is>
      </c>
      <c r="B2700" s="1" t="n">
        <v>43949</v>
      </c>
      <c r="C2700" s="1" t="n">
        <v>45810</v>
      </c>
      <c r="D2700" t="inlineStr">
        <is>
          <t>VÄRMLANDS LÄN</t>
        </is>
      </c>
      <c r="E2700" t="inlineStr">
        <is>
          <t>ARVIKA</t>
        </is>
      </c>
      <c r="G2700" t="n">
        <v>3.7</v>
      </c>
      <c r="H2700" t="n">
        <v>0</v>
      </c>
      <c r="I2700" t="n">
        <v>0</v>
      </c>
      <c r="J2700" t="n">
        <v>0</v>
      </c>
      <c r="K2700" t="n">
        <v>0</v>
      </c>
      <c r="L2700" t="n">
        <v>0</v>
      </c>
      <c r="M2700" t="n">
        <v>0</v>
      </c>
      <c r="N2700" t="n">
        <v>0</v>
      </c>
      <c r="O2700" t="n">
        <v>0</v>
      </c>
      <c r="P2700" t="n">
        <v>0</v>
      </c>
      <c r="Q2700" t="n">
        <v>0</v>
      </c>
      <c r="R2700" s="2" t="inlineStr"/>
    </row>
    <row r="2701" ht="15" customHeight="1">
      <c r="A2701" t="inlineStr">
        <is>
          <t>A 20729-2020</t>
        </is>
      </c>
      <c r="B2701" s="1" t="n">
        <v>43949</v>
      </c>
      <c r="C2701" s="1" t="n">
        <v>45810</v>
      </c>
      <c r="D2701" t="inlineStr">
        <is>
          <t>VÄRMLANDS LÄN</t>
        </is>
      </c>
      <c r="E2701" t="inlineStr">
        <is>
          <t>FILIPSTAD</t>
        </is>
      </c>
      <c r="F2701" t="inlineStr">
        <is>
          <t>Bergvik skog väst AB</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20999-2020</t>
        </is>
      </c>
      <c r="B2702" s="1" t="n">
        <v>43949</v>
      </c>
      <c r="C2702" s="1" t="n">
        <v>45810</v>
      </c>
      <c r="D2702" t="inlineStr">
        <is>
          <t>VÄRMLANDS LÄN</t>
        </is>
      </c>
      <c r="E2702" t="inlineStr">
        <is>
          <t>SUNNE</t>
        </is>
      </c>
      <c r="G2702" t="n">
        <v>3.2</v>
      </c>
      <c r="H2702" t="n">
        <v>0</v>
      </c>
      <c r="I2702" t="n">
        <v>0</v>
      </c>
      <c r="J2702" t="n">
        <v>0</v>
      </c>
      <c r="K2702" t="n">
        <v>0</v>
      </c>
      <c r="L2702" t="n">
        <v>0</v>
      </c>
      <c r="M2702" t="n">
        <v>0</v>
      </c>
      <c r="N2702" t="n">
        <v>0</v>
      </c>
      <c r="O2702" t="n">
        <v>0</v>
      </c>
      <c r="P2702" t="n">
        <v>0</v>
      </c>
      <c r="Q2702" t="n">
        <v>0</v>
      </c>
      <c r="R2702" s="2" t="inlineStr"/>
    </row>
    <row r="2703" ht="15" customHeight="1">
      <c r="A2703" t="inlineStr">
        <is>
          <t>A 20886-2020</t>
        </is>
      </c>
      <c r="B2703" s="1" t="n">
        <v>43950</v>
      </c>
      <c r="C2703" s="1" t="n">
        <v>45810</v>
      </c>
      <c r="D2703" t="inlineStr">
        <is>
          <t>VÄRMLANDS LÄN</t>
        </is>
      </c>
      <c r="E2703" t="inlineStr">
        <is>
          <t>SUNNE</t>
        </is>
      </c>
      <c r="G2703" t="n">
        <v>3.7</v>
      </c>
      <c r="H2703" t="n">
        <v>0</v>
      </c>
      <c r="I2703" t="n">
        <v>0</v>
      </c>
      <c r="J2703" t="n">
        <v>0</v>
      </c>
      <c r="K2703" t="n">
        <v>0</v>
      </c>
      <c r="L2703" t="n">
        <v>0</v>
      </c>
      <c r="M2703" t="n">
        <v>0</v>
      </c>
      <c r="N2703" t="n">
        <v>0</v>
      </c>
      <c r="O2703" t="n">
        <v>0</v>
      </c>
      <c r="P2703" t="n">
        <v>0</v>
      </c>
      <c r="Q2703" t="n">
        <v>0</v>
      </c>
      <c r="R2703" s="2" t="inlineStr"/>
    </row>
    <row r="2704" ht="15" customHeight="1">
      <c r="A2704" t="inlineStr">
        <is>
          <t>A 20914-2020</t>
        </is>
      </c>
      <c r="B2704" s="1" t="n">
        <v>43950</v>
      </c>
      <c r="C2704" s="1" t="n">
        <v>45810</v>
      </c>
      <c r="D2704" t="inlineStr">
        <is>
          <t>VÄRMLANDS LÄN</t>
        </is>
      </c>
      <c r="E2704" t="inlineStr">
        <is>
          <t>SUNNE</t>
        </is>
      </c>
      <c r="G2704" t="n">
        <v>4.1</v>
      </c>
      <c r="H2704" t="n">
        <v>0</v>
      </c>
      <c r="I2704" t="n">
        <v>0</v>
      </c>
      <c r="J2704" t="n">
        <v>0</v>
      </c>
      <c r="K2704" t="n">
        <v>0</v>
      </c>
      <c r="L2704" t="n">
        <v>0</v>
      </c>
      <c r="M2704" t="n">
        <v>0</v>
      </c>
      <c r="N2704" t="n">
        <v>0</v>
      </c>
      <c r="O2704" t="n">
        <v>0</v>
      </c>
      <c r="P2704" t="n">
        <v>0</v>
      </c>
      <c r="Q2704" t="n">
        <v>0</v>
      </c>
      <c r="R2704" s="2" t="inlineStr"/>
    </row>
    <row r="2705" ht="15" customHeight="1">
      <c r="A2705" t="inlineStr">
        <is>
          <t>A 20945-2020</t>
        </is>
      </c>
      <c r="B2705" s="1" t="n">
        <v>43950</v>
      </c>
      <c r="C2705" s="1" t="n">
        <v>45810</v>
      </c>
      <c r="D2705" t="inlineStr">
        <is>
          <t>VÄRMLANDS LÄN</t>
        </is>
      </c>
      <c r="E2705" t="inlineStr">
        <is>
          <t>KARLSTAD</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20910-2020</t>
        </is>
      </c>
      <c r="B2706" s="1" t="n">
        <v>43950</v>
      </c>
      <c r="C2706" s="1" t="n">
        <v>45810</v>
      </c>
      <c r="D2706" t="inlineStr">
        <is>
          <t>VÄRMLANDS LÄN</t>
        </is>
      </c>
      <c r="E2706" t="inlineStr">
        <is>
          <t>SUNNE</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20959-2020</t>
        </is>
      </c>
      <c r="B2707" s="1" t="n">
        <v>43950</v>
      </c>
      <c r="C2707" s="1" t="n">
        <v>45810</v>
      </c>
      <c r="D2707" t="inlineStr">
        <is>
          <t>VÄRMLANDS LÄN</t>
        </is>
      </c>
      <c r="E2707" t="inlineStr">
        <is>
          <t>KARLSTAD</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21103-2020</t>
        </is>
      </c>
      <c r="B2708" s="1" t="n">
        <v>43950</v>
      </c>
      <c r="C2708" s="1" t="n">
        <v>45810</v>
      </c>
      <c r="D2708" t="inlineStr">
        <is>
          <t>VÄRMLANDS LÄN</t>
        </is>
      </c>
      <c r="E2708" t="inlineStr">
        <is>
          <t>GRUMS</t>
        </is>
      </c>
      <c r="F2708" t="inlineStr">
        <is>
          <t>Bergvik skog väst AB</t>
        </is>
      </c>
      <c r="G2708" t="n">
        <v>4.9</v>
      </c>
      <c r="H2708" t="n">
        <v>0</v>
      </c>
      <c r="I2708" t="n">
        <v>0</v>
      </c>
      <c r="J2708" t="n">
        <v>0</v>
      </c>
      <c r="K2708" t="n">
        <v>0</v>
      </c>
      <c r="L2708" t="n">
        <v>0</v>
      </c>
      <c r="M2708" t="n">
        <v>0</v>
      </c>
      <c r="N2708" t="n">
        <v>0</v>
      </c>
      <c r="O2708" t="n">
        <v>0</v>
      </c>
      <c r="P2708" t="n">
        <v>0</v>
      </c>
      <c r="Q2708" t="n">
        <v>0</v>
      </c>
      <c r="R2708" s="2" t="inlineStr"/>
    </row>
    <row r="2709" ht="15" customHeight="1">
      <c r="A2709" t="inlineStr">
        <is>
          <t>A 20898-2020</t>
        </is>
      </c>
      <c r="B2709" s="1" t="n">
        <v>43950</v>
      </c>
      <c r="C2709" s="1" t="n">
        <v>45810</v>
      </c>
      <c r="D2709" t="inlineStr">
        <is>
          <t>VÄRMLANDS LÄN</t>
        </is>
      </c>
      <c r="E2709" t="inlineStr">
        <is>
          <t>ARVIKA</t>
        </is>
      </c>
      <c r="G2709" t="n">
        <v>6.7</v>
      </c>
      <c r="H2709" t="n">
        <v>0</v>
      </c>
      <c r="I2709" t="n">
        <v>0</v>
      </c>
      <c r="J2709" t="n">
        <v>0</v>
      </c>
      <c r="K2709" t="n">
        <v>0</v>
      </c>
      <c r="L2709" t="n">
        <v>0</v>
      </c>
      <c r="M2709" t="n">
        <v>0</v>
      </c>
      <c r="N2709" t="n">
        <v>0</v>
      </c>
      <c r="O2709" t="n">
        <v>0</v>
      </c>
      <c r="P2709" t="n">
        <v>0</v>
      </c>
      <c r="Q2709" t="n">
        <v>0</v>
      </c>
      <c r="R2709" s="2" t="inlineStr"/>
    </row>
    <row r="2710" ht="15" customHeight="1">
      <c r="A2710" t="inlineStr">
        <is>
          <t>A 21099-2020</t>
        </is>
      </c>
      <c r="B2710" s="1" t="n">
        <v>43951</v>
      </c>
      <c r="C2710" s="1" t="n">
        <v>45810</v>
      </c>
      <c r="D2710" t="inlineStr">
        <is>
          <t>VÄRMLANDS LÄN</t>
        </is>
      </c>
      <c r="E2710" t="inlineStr">
        <is>
          <t>TORSBY</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21335-2020</t>
        </is>
      </c>
      <c r="B2711" s="1" t="n">
        <v>43951</v>
      </c>
      <c r="C2711" s="1" t="n">
        <v>45810</v>
      </c>
      <c r="D2711" t="inlineStr">
        <is>
          <t>VÄRMLANDS LÄN</t>
        </is>
      </c>
      <c r="E2711" t="inlineStr">
        <is>
          <t>TORSBY</t>
        </is>
      </c>
      <c r="F2711" t="inlineStr">
        <is>
          <t>Övriga Aktiebolag</t>
        </is>
      </c>
      <c r="G2711" t="n">
        <v>4</v>
      </c>
      <c r="H2711" t="n">
        <v>0</v>
      </c>
      <c r="I2711" t="n">
        <v>0</v>
      </c>
      <c r="J2711" t="n">
        <v>0</v>
      </c>
      <c r="K2711" t="n">
        <v>0</v>
      </c>
      <c r="L2711" t="n">
        <v>0</v>
      </c>
      <c r="M2711" t="n">
        <v>0</v>
      </c>
      <c r="N2711" t="n">
        <v>0</v>
      </c>
      <c r="O2711" t="n">
        <v>0</v>
      </c>
      <c r="P2711" t="n">
        <v>0</v>
      </c>
      <c r="Q2711" t="n">
        <v>0</v>
      </c>
      <c r="R2711" s="2" t="inlineStr"/>
    </row>
    <row r="2712" ht="15" customHeight="1">
      <c r="A2712" t="inlineStr">
        <is>
          <t>A 21369-2020</t>
        </is>
      </c>
      <c r="B2712" s="1" t="n">
        <v>43951</v>
      </c>
      <c r="C2712" s="1" t="n">
        <v>45810</v>
      </c>
      <c r="D2712" t="inlineStr">
        <is>
          <t>VÄRMLANDS LÄN</t>
        </is>
      </c>
      <c r="E2712" t="inlineStr">
        <is>
          <t>TORSBY</t>
        </is>
      </c>
      <c r="F2712" t="inlineStr">
        <is>
          <t>Övriga Aktiebolag</t>
        </is>
      </c>
      <c r="G2712" t="n">
        <v>3.5</v>
      </c>
      <c r="H2712" t="n">
        <v>0</v>
      </c>
      <c r="I2712" t="n">
        <v>0</v>
      </c>
      <c r="J2712" t="n">
        <v>0</v>
      </c>
      <c r="K2712" t="n">
        <v>0</v>
      </c>
      <c r="L2712" t="n">
        <v>0</v>
      </c>
      <c r="M2712" t="n">
        <v>0</v>
      </c>
      <c r="N2712" t="n">
        <v>0</v>
      </c>
      <c r="O2712" t="n">
        <v>0</v>
      </c>
      <c r="P2712" t="n">
        <v>0</v>
      </c>
      <c r="Q2712" t="n">
        <v>0</v>
      </c>
      <c r="R2712" s="2" t="inlineStr"/>
    </row>
    <row r="2713" ht="15" customHeight="1">
      <c r="A2713" t="inlineStr">
        <is>
          <t>A 21045-2020</t>
        </is>
      </c>
      <c r="B2713" s="1" t="n">
        <v>43951</v>
      </c>
      <c r="C2713" s="1" t="n">
        <v>45810</v>
      </c>
      <c r="D2713" t="inlineStr">
        <is>
          <t>VÄRMLANDS LÄN</t>
        </is>
      </c>
      <c r="E2713" t="inlineStr">
        <is>
          <t>TORSBY</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21347-2020</t>
        </is>
      </c>
      <c r="B2714" s="1" t="n">
        <v>43951</v>
      </c>
      <c r="C2714" s="1" t="n">
        <v>45810</v>
      </c>
      <c r="D2714" t="inlineStr">
        <is>
          <t>VÄRMLANDS LÄN</t>
        </is>
      </c>
      <c r="E2714" t="inlineStr">
        <is>
          <t>TORSBY</t>
        </is>
      </c>
      <c r="F2714" t="inlineStr">
        <is>
          <t>Övriga Aktiebolag</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21479-2020</t>
        </is>
      </c>
      <c r="B2715" s="1" t="n">
        <v>43951</v>
      </c>
      <c r="C2715" s="1" t="n">
        <v>45810</v>
      </c>
      <c r="D2715" t="inlineStr">
        <is>
          <t>VÄRMLANDS LÄN</t>
        </is>
      </c>
      <c r="E2715" t="inlineStr">
        <is>
          <t>SUNNE</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21230-2020</t>
        </is>
      </c>
      <c r="B2716" s="1" t="n">
        <v>43952</v>
      </c>
      <c r="C2716" s="1" t="n">
        <v>45810</v>
      </c>
      <c r="D2716" t="inlineStr">
        <is>
          <t>VÄRMLANDS LÄN</t>
        </is>
      </c>
      <c r="E2716" t="inlineStr">
        <is>
          <t>GRUMS</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21346-2020</t>
        </is>
      </c>
      <c r="B2717" s="1" t="n">
        <v>43955</v>
      </c>
      <c r="C2717" s="1" t="n">
        <v>45810</v>
      </c>
      <c r="D2717" t="inlineStr">
        <is>
          <t>VÄRMLANDS LÄN</t>
        </is>
      </c>
      <c r="E2717" t="inlineStr">
        <is>
          <t>SUNNE</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21386-2020</t>
        </is>
      </c>
      <c r="B2718" s="1" t="n">
        <v>43955</v>
      </c>
      <c r="C2718" s="1" t="n">
        <v>45810</v>
      </c>
      <c r="D2718" t="inlineStr">
        <is>
          <t>VÄRMLANDS LÄN</t>
        </is>
      </c>
      <c r="E2718" t="inlineStr">
        <is>
          <t>KIL</t>
        </is>
      </c>
      <c r="G2718" t="n">
        <v>3</v>
      </c>
      <c r="H2718" t="n">
        <v>0</v>
      </c>
      <c r="I2718" t="n">
        <v>0</v>
      </c>
      <c r="J2718" t="n">
        <v>0</v>
      </c>
      <c r="K2718" t="n">
        <v>0</v>
      </c>
      <c r="L2718" t="n">
        <v>0</v>
      </c>
      <c r="M2718" t="n">
        <v>0</v>
      </c>
      <c r="N2718" t="n">
        <v>0</v>
      </c>
      <c r="O2718" t="n">
        <v>0</v>
      </c>
      <c r="P2718" t="n">
        <v>0</v>
      </c>
      <c r="Q2718" t="n">
        <v>0</v>
      </c>
      <c r="R2718" s="2" t="inlineStr"/>
    </row>
    <row r="2719" ht="15" customHeight="1">
      <c r="A2719" t="inlineStr">
        <is>
          <t>A 21900-2020</t>
        </is>
      </c>
      <c r="B2719" s="1" t="n">
        <v>43955</v>
      </c>
      <c r="C2719" s="1" t="n">
        <v>45810</v>
      </c>
      <c r="D2719" t="inlineStr">
        <is>
          <t>VÄRMLANDS LÄN</t>
        </is>
      </c>
      <c r="E2719" t="inlineStr">
        <is>
          <t>TORSBY</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22211-2020</t>
        </is>
      </c>
      <c r="B2720" s="1" t="n">
        <v>43955</v>
      </c>
      <c r="C2720" s="1" t="n">
        <v>45810</v>
      </c>
      <c r="D2720" t="inlineStr">
        <is>
          <t>VÄRMLANDS LÄN</t>
        </is>
      </c>
      <c r="E2720" t="inlineStr">
        <is>
          <t>KRISTINEHAMN</t>
        </is>
      </c>
      <c r="G2720" t="n">
        <v>2.4</v>
      </c>
      <c r="H2720" t="n">
        <v>0</v>
      </c>
      <c r="I2720" t="n">
        <v>0</v>
      </c>
      <c r="J2720" t="n">
        <v>0</v>
      </c>
      <c r="K2720" t="n">
        <v>0</v>
      </c>
      <c r="L2720" t="n">
        <v>0</v>
      </c>
      <c r="M2720" t="n">
        <v>0</v>
      </c>
      <c r="N2720" t="n">
        <v>0</v>
      </c>
      <c r="O2720" t="n">
        <v>0</v>
      </c>
      <c r="P2720" t="n">
        <v>0</v>
      </c>
      <c r="Q2720" t="n">
        <v>0</v>
      </c>
      <c r="R2720" s="2" t="inlineStr"/>
    </row>
    <row r="2721" ht="15" customHeight="1">
      <c r="A2721" t="inlineStr">
        <is>
          <t>A 21256-2020</t>
        </is>
      </c>
      <c r="B2721" s="1" t="n">
        <v>43955</v>
      </c>
      <c r="C2721" s="1" t="n">
        <v>45810</v>
      </c>
      <c r="D2721" t="inlineStr">
        <is>
          <t>VÄRMLANDS LÄN</t>
        </is>
      </c>
      <c r="E2721" t="inlineStr">
        <is>
          <t>ÅRJÄNG</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21397-2020</t>
        </is>
      </c>
      <c r="B2722" s="1" t="n">
        <v>43955</v>
      </c>
      <c r="C2722" s="1" t="n">
        <v>45810</v>
      </c>
      <c r="D2722" t="inlineStr">
        <is>
          <t>VÄRMLANDS LÄN</t>
        </is>
      </c>
      <c r="E2722" t="inlineStr">
        <is>
          <t>KIL</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21943-2020</t>
        </is>
      </c>
      <c r="B2723" s="1" t="n">
        <v>43955</v>
      </c>
      <c r="C2723" s="1" t="n">
        <v>45810</v>
      </c>
      <c r="D2723" t="inlineStr">
        <is>
          <t>VÄRMLANDS LÄN</t>
        </is>
      </c>
      <c r="E2723" t="inlineStr">
        <is>
          <t>KRISTINEHAMN</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22215-2020</t>
        </is>
      </c>
      <c r="B2724" s="1" t="n">
        <v>43955</v>
      </c>
      <c r="C2724" s="1" t="n">
        <v>45810</v>
      </c>
      <c r="D2724" t="inlineStr">
        <is>
          <t>VÄRMLANDS LÄN</t>
        </is>
      </c>
      <c r="E2724" t="inlineStr">
        <is>
          <t>KRISTINEHAMN</t>
        </is>
      </c>
      <c r="G2724" t="n">
        <v>6.3</v>
      </c>
      <c r="H2724" t="n">
        <v>0</v>
      </c>
      <c r="I2724" t="n">
        <v>0</v>
      </c>
      <c r="J2724" t="n">
        <v>0</v>
      </c>
      <c r="K2724" t="n">
        <v>0</v>
      </c>
      <c r="L2724" t="n">
        <v>0</v>
      </c>
      <c r="M2724" t="n">
        <v>0</v>
      </c>
      <c r="N2724" t="n">
        <v>0</v>
      </c>
      <c r="O2724" t="n">
        <v>0</v>
      </c>
      <c r="P2724" t="n">
        <v>0</v>
      </c>
      <c r="Q2724" t="n">
        <v>0</v>
      </c>
      <c r="R2724" s="2" t="inlineStr"/>
    </row>
    <row r="2725" ht="15" customHeight="1">
      <c r="A2725" t="inlineStr">
        <is>
          <t>A 22223-2020</t>
        </is>
      </c>
      <c r="B2725" s="1" t="n">
        <v>43955</v>
      </c>
      <c r="C2725" s="1" t="n">
        <v>45810</v>
      </c>
      <c r="D2725" t="inlineStr">
        <is>
          <t>VÄRMLANDS LÄN</t>
        </is>
      </c>
      <c r="E2725" t="inlineStr">
        <is>
          <t>KRISTINEHAMN</t>
        </is>
      </c>
      <c r="G2725" t="n">
        <v>8.9</v>
      </c>
      <c r="H2725" t="n">
        <v>0</v>
      </c>
      <c r="I2725" t="n">
        <v>0</v>
      </c>
      <c r="J2725" t="n">
        <v>0</v>
      </c>
      <c r="K2725" t="n">
        <v>0</v>
      </c>
      <c r="L2725" t="n">
        <v>0</v>
      </c>
      <c r="M2725" t="n">
        <v>0</v>
      </c>
      <c r="N2725" t="n">
        <v>0</v>
      </c>
      <c r="O2725" t="n">
        <v>0</v>
      </c>
      <c r="P2725" t="n">
        <v>0</v>
      </c>
      <c r="Q2725" t="n">
        <v>0</v>
      </c>
      <c r="R2725" s="2" t="inlineStr"/>
    </row>
    <row r="2726" ht="15" customHeight="1">
      <c r="A2726" t="inlineStr">
        <is>
          <t>A 21540-2020</t>
        </is>
      </c>
      <c r="B2726" s="1" t="n">
        <v>43956</v>
      </c>
      <c r="C2726" s="1" t="n">
        <v>45810</v>
      </c>
      <c r="D2726" t="inlineStr">
        <is>
          <t>VÄRMLANDS LÄN</t>
        </is>
      </c>
      <c r="E2726" t="inlineStr">
        <is>
          <t>STORFORS</t>
        </is>
      </c>
      <c r="F2726" t="inlineStr">
        <is>
          <t>Bergvik skog väst AB</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21439-2020</t>
        </is>
      </c>
      <c r="B2727" s="1" t="n">
        <v>43956</v>
      </c>
      <c r="C2727" s="1" t="n">
        <v>45810</v>
      </c>
      <c r="D2727" t="inlineStr">
        <is>
          <t>VÄRMLANDS LÄN</t>
        </is>
      </c>
      <c r="E2727" t="inlineStr">
        <is>
          <t>SUNNE</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21585-2020</t>
        </is>
      </c>
      <c r="B2728" s="1" t="n">
        <v>43956</v>
      </c>
      <c r="C2728" s="1" t="n">
        <v>45810</v>
      </c>
      <c r="D2728" t="inlineStr">
        <is>
          <t>VÄRMLANDS LÄN</t>
        </is>
      </c>
      <c r="E2728" t="inlineStr">
        <is>
          <t>SÄFFLE</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21578-2020</t>
        </is>
      </c>
      <c r="B2729" s="1" t="n">
        <v>43956</v>
      </c>
      <c r="C2729" s="1" t="n">
        <v>45810</v>
      </c>
      <c r="D2729" t="inlineStr">
        <is>
          <t>VÄRMLANDS LÄN</t>
        </is>
      </c>
      <c r="E2729" t="inlineStr">
        <is>
          <t>KRISTINEHAMN</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21659-2020</t>
        </is>
      </c>
      <c r="B2730" s="1" t="n">
        <v>43957</v>
      </c>
      <c r="C2730" s="1" t="n">
        <v>45810</v>
      </c>
      <c r="D2730" t="inlineStr">
        <is>
          <t>VÄRMLANDS LÄN</t>
        </is>
      </c>
      <c r="E2730" t="inlineStr">
        <is>
          <t>SUNNE</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21672-2020</t>
        </is>
      </c>
      <c r="B2731" s="1" t="n">
        <v>43957</v>
      </c>
      <c r="C2731" s="1" t="n">
        <v>45810</v>
      </c>
      <c r="D2731" t="inlineStr">
        <is>
          <t>VÄRMLANDS LÄN</t>
        </is>
      </c>
      <c r="E2731" t="inlineStr">
        <is>
          <t>TORSBY</t>
        </is>
      </c>
      <c r="F2731" t="inlineStr">
        <is>
          <t>Bergvik skog väst AB</t>
        </is>
      </c>
      <c r="G2731" t="n">
        <v>44.1</v>
      </c>
      <c r="H2731" t="n">
        <v>0</v>
      </c>
      <c r="I2731" t="n">
        <v>0</v>
      </c>
      <c r="J2731" t="n">
        <v>0</v>
      </c>
      <c r="K2731" t="n">
        <v>0</v>
      </c>
      <c r="L2731" t="n">
        <v>0</v>
      </c>
      <c r="M2731" t="n">
        <v>0</v>
      </c>
      <c r="N2731" t="n">
        <v>0</v>
      </c>
      <c r="O2731" t="n">
        <v>0</v>
      </c>
      <c r="P2731" t="n">
        <v>0</v>
      </c>
      <c r="Q2731" t="n">
        <v>0</v>
      </c>
      <c r="R2731" s="2" t="inlineStr"/>
    </row>
    <row r="2732" ht="15" customHeight="1">
      <c r="A2732" t="inlineStr">
        <is>
          <t>A 21790-2020</t>
        </is>
      </c>
      <c r="B2732" s="1" t="n">
        <v>43958</v>
      </c>
      <c r="C2732" s="1" t="n">
        <v>45810</v>
      </c>
      <c r="D2732" t="inlineStr">
        <is>
          <t>VÄRMLANDS LÄN</t>
        </is>
      </c>
      <c r="E2732" t="inlineStr">
        <is>
          <t>GRUMS</t>
        </is>
      </c>
      <c r="G2732" t="n">
        <v>4.9</v>
      </c>
      <c r="H2732" t="n">
        <v>0</v>
      </c>
      <c r="I2732" t="n">
        <v>0</v>
      </c>
      <c r="J2732" t="n">
        <v>0</v>
      </c>
      <c r="K2732" t="n">
        <v>0</v>
      </c>
      <c r="L2732" t="n">
        <v>0</v>
      </c>
      <c r="M2732" t="n">
        <v>0</v>
      </c>
      <c r="N2732" t="n">
        <v>0</v>
      </c>
      <c r="O2732" t="n">
        <v>0</v>
      </c>
      <c r="P2732" t="n">
        <v>0</v>
      </c>
      <c r="Q2732" t="n">
        <v>0</v>
      </c>
      <c r="R2732" s="2" t="inlineStr"/>
    </row>
    <row r="2733" ht="15" customHeight="1">
      <c r="A2733" t="inlineStr">
        <is>
          <t>A 21872-2020</t>
        </is>
      </c>
      <c r="B2733" s="1" t="n">
        <v>43958</v>
      </c>
      <c r="C2733" s="1" t="n">
        <v>45810</v>
      </c>
      <c r="D2733" t="inlineStr">
        <is>
          <t>VÄRMLANDS LÄN</t>
        </is>
      </c>
      <c r="E2733" t="inlineStr">
        <is>
          <t>SUNNE</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22424-2020</t>
        </is>
      </c>
      <c r="B2734" s="1" t="n">
        <v>43958</v>
      </c>
      <c r="C2734" s="1" t="n">
        <v>45810</v>
      </c>
      <c r="D2734" t="inlineStr">
        <is>
          <t>VÄRMLANDS LÄN</t>
        </is>
      </c>
      <c r="E2734" t="inlineStr">
        <is>
          <t>SUNNE</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22086-2020</t>
        </is>
      </c>
      <c r="B2735" s="1" t="n">
        <v>43959</v>
      </c>
      <c r="C2735" s="1" t="n">
        <v>45810</v>
      </c>
      <c r="D2735" t="inlineStr">
        <is>
          <t>VÄRMLANDS LÄN</t>
        </is>
      </c>
      <c r="E2735" t="inlineStr">
        <is>
          <t>FILIPSTAD</t>
        </is>
      </c>
      <c r="F2735" t="inlineStr">
        <is>
          <t>Bergvik skog väst AB</t>
        </is>
      </c>
      <c r="G2735" t="n">
        <v>2.8</v>
      </c>
      <c r="H2735" t="n">
        <v>0</v>
      </c>
      <c r="I2735" t="n">
        <v>0</v>
      </c>
      <c r="J2735" t="n">
        <v>0</v>
      </c>
      <c r="K2735" t="n">
        <v>0</v>
      </c>
      <c r="L2735" t="n">
        <v>0</v>
      </c>
      <c r="M2735" t="n">
        <v>0</v>
      </c>
      <c r="N2735" t="n">
        <v>0</v>
      </c>
      <c r="O2735" t="n">
        <v>0</v>
      </c>
      <c r="P2735" t="n">
        <v>0</v>
      </c>
      <c r="Q2735" t="n">
        <v>0</v>
      </c>
      <c r="R2735" s="2" t="inlineStr"/>
    </row>
    <row r="2736" ht="15" customHeight="1">
      <c r="A2736" t="inlineStr">
        <is>
          <t>A 22125-2020</t>
        </is>
      </c>
      <c r="B2736" s="1" t="n">
        <v>43960</v>
      </c>
      <c r="C2736" s="1" t="n">
        <v>45810</v>
      </c>
      <c r="D2736" t="inlineStr">
        <is>
          <t>VÄRMLANDS LÄN</t>
        </is>
      </c>
      <c r="E2736" t="inlineStr">
        <is>
          <t>FILIPSTAD</t>
        </is>
      </c>
      <c r="F2736" t="inlineStr">
        <is>
          <t>Bergvik skog väst AB</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22134-2020</t>
        </is>
      </c>
      <c r="B2737" s="1" t="n">
        <v>43961</v>
      </c>
      <c r="C2737" s="1" t="n">
        <v>45810</v>
      </c>
      <c r="D2737" t="inlineStr">
        <is>
          <t>VÄRMLANDS LÄN</t>
        </is>
      </c>
      <c r="E2737" t="inlineStr">
        <is>
          <t>SUNNE</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22194-2020</t>
        </is>
      </c>
      <c r="B2738" s="1" t="n">
        <v>43962</v>
      </c>
      <c r="C2738" s="1" t="n">
        <v>45810</v>
      </c>
      <c r="D2738" t="inlineStr">
        <is>
          <t>VÄRMLANDS LÄN</t>
        </is>
      </c>
      <c r="E2738" t="inlineStr">
        <is>
          <t>TORSBY</t>
        </is>
      </c>
      <c r="G2738" t="n">
        <v>3.2</v>
      </c>
      <c r="H2738" t="n">
        <v>0</v>
      </c>
      <c r="I2738" t="n">
        <v>0</v>
      </c>
      <c r="J2738" t="n">
        <v>0</v>
      </c>
      <c r="K2738" t="n">
        <v>0</v>
      </c>
      <c r="L2738" t="n">
        <v>0</v>
      </c>
      <c r="M2738" t="n">
        <v>0</v>
      </c>
      <c r="N2738" t="n">
        <v>0</v>
      </c>
      <c r="O2738" t="n">
        <v>0</v>
      </c>
      <c r="P2738" t="n">
        <v>0</v>
      </c>
      <c r="Q2738" t="n">
        <v>0</v>
      </c>
      <c r="R2738" s="2" t="inlineStr"/>
    </row>
    <row r="2739" ht="15" customHeight="1">
      <c r="A2739" t="inlineStr">
        <is>
          <t>A 22200-2020</t>
        </is>
      </c>
      <c r="B2739" s="1" t="n">
        <v>43962</v>
      </c>
      <c r="C2739" s="1" t="n">
        <v>45810</v>
      </c>
      <c r="D2739" t="inlineStr">
        <is>
          <t>VÄRMLANDS LÄN</t>
        </is>
      </c>
      <c r="E2739" t="inlineStr">
        <is>
          <t>KARLSTAD</t>
        </is>
      </c>
      <c r="G2739" t="n">
        <v>0.1</v>
      </c>
      <c r="H2739" t="n">
        <v>0</v>
      </c>
      <c r="I2739" t="n">
        <v>0</v>
      </c>
      <c r="J2739" t="n">
        <v>0</v>
      </c>
      <c r="K2739" t="n">
        <v>0</v>
      </c>
      <c r="L2739" t="n">
        <v>0</v>
      </c>
      <c r="M2739" t="n">
        <v>0</v>
      </c>
      <c r="N2739" t="n">
        <v>0</v>
      </c>
      <c r="O2739" t="n">
        <v>0</v>
      </c>
      <c r="P2739" t="n">
        <v>0</v>
      </c>
      <c r="Q2739" t="n">
        <v>0</v>
      </c>
      <c r="R2739" s="2" t="inlineStr"/>
    </row>
    <row r="2740" ht="15" customHeight="1">
      <c r="A2740" t="inlineStr">
        <is>
          <t>A 22198-2020</t>
        </is>
      </c>
      <c r="B2740" s="1" t="n">
        <v>43962</v>
      </c>
      <c r="C2740" s="1" t="n">
        <v>45810</v>
      </c>
      <c r="D2740" t="inlineStr">
        <is>
          <t>VÄRMLANDS LÄN</t>
        </is>
      </c>
      <c r="E2740" t="inlineStr">
        <is>
          <t>KARLSTAD</t>
        </is>
      </c>
      <c r="G2740" t="n">
        <v>0.2</v>
      </c>
      <c r="H2740" t="n">
        <v>0</v>
      </c>
      <c r="I2740" t="n">
        <v>0</v>
      </c>
      <c r="J2740" t="n">
        <v>0</v>
      </c>
      <c r="K2740" t="n">
        <v>0</v>
      </c>
      <c r="L2740" t="n">
        <v>0</v>
      </c>
      <c r="M2740" t="n">
        <v>0</v>
      </c>
      <c r="N2740" t="n">
        <v>0</v>
      </c>
      <c r="O2740" t="n">
        <v>0</v>
      </c>
      <c r="P2740" t="n">
        <v>0</v>
      </c>
      <c r="Q2740" t="n">
        <v>0</v>
      </c>
      <c r="R2740" s="2" t="inlineStr"/>
    </row>
    <row r="2741" ht="15" customHeight="1">
      <c r="A2741" t="inlineStr">
        <is>
          <t>A 22209-2020</t>
        </is>
      </c>
      <c r="B2741" s="1" t="n">
        <v>43962</v>
      </c>
      <c r="C2741" s="1" t="n">
        <v>45810</v>
      </c>
      <c r="D2741" t="inlineStr">
        <is>
          <t>VÄRMLANDS LÄN</t>
        </is>
      </c>
      <c r="E2741" t="inlineStr">
        <is>
          <t>TORSBY</t>
        </is>
      </c>
      <c r="G2741" t="n">
        <v>0.4</v>
      </c>
      <c r="H2741" t="n">
        <v>0</v>
      </c>
      <c r="I2741" t="n">
        <v>0</v>
      </c>
      <c r="J2741" t="n">
        <v>0</v>
      </c>
      <c r="K2741" t="n">
        <v>0</v>
      </c>
      <c r="L2741" t="n">
        <v>0</v>
      </c>
      <c r="M2741" t="n">
        <v>0</v>
      </c>
      <c r="N2741" t="n">
        <v>0</v>
      </c>
      <c r="O2741" t="n">
        <v>0</v>
      </c>
      <c r="P2741" t="n">
        <v>0</v>
      </c>
      <c r="Q2741" t="n">
        <v>0</v>
      </c>
      <c r="R2741" s="2" t="inlineStr"/>
    </row>
    <row r="2742" ht="15" customHeight="1">
      <c r="A2742" t="inlineStr">
        <is>
          <t>A 22725-2020</t>
        </is>
      </c>
      <c r="B2742" s="1" t="n">
        <v>43962</v>
      </c>
      <c r="C2742" s="1" t="n">
        <v>45810</v>
      </c>
      <c r="D2742" t="inlineStr">
        <is>
          <t>VÄRMLANDS LÄN</t>
        </is>
      </c>
      <c r="E2742" t="inlineStr">
        <is>
          <t>HAGFORS</t>
        </is>
      </c>
      <c r="F2742" t="inlineStr">
        <is>
          <t>Kyrkan</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22724-2020</t>
        </is>
      </c>
      <c r="B2743" s="1" t="n">
        <v>43962</v>
      </c>
      <c r="C2743" s="1" t="n">
        <v>45810</v>
      </c>
      <c r="D2743" t="inlineStr">
        <is>
          <t>VÄRMLANDS LÄN</t>
        </is>
      </c>
      <c r="E2743" t="inlineStr">
        <is>
          <t>HAGFORS</t>
        </is>
      </c>
      <c r="F2743" t="inlineStr">
        <is>
          <t>Kyrkan</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22527-2020</t>
        </is>
      </c>
      <c r="B2744" s="1" t="n">
        <v>43963</v>
      </c>
      <c r="C2744" s="1" t="n">
        <v>45810</v>
      </c>
      <c r="D2744" t="inlineStr">
        <is>
          <t>VÄRMLANDS LÄN</t>
        </is>
      </c>
      <c r="E2744" t="inlineStr">
        <is>
          <t>STORFORS</t>
        </is>
      </c>
      <c r="F2744" t="inlineStr">
        <is>
          <t>Bergvik skog väst AB</t>
        </is>
      </c>
      <c r="G2744" t="n">
        <v>64.3</v>
      </c>
      <c r="H2744" t="n">
        <v>0</v>
      </c>
      <c r="I2744" t="n">
        <v>0</v>
      </c>
      <c r="J2744" t="n">
        <v>0</v>
      </c>
      <c r="K2744" t="n">
        <v>0</v>
      </c>
      <c r="L2744" t="n">
        <v>0</v>
      </c>
      <c r="M2744" t="n">
        <v>0</v>
      </c>
      <c r="N2744" t="n">
        <v>0</v>
      </c>
      <c r="O2744" t="n">
        <v>0</v>
      </c>
      <c r="P2744" t="n">
        <v>0</v>
      </c>
      <c r="Q2744" t="n">
        <v>0</v>
      </c>
      <c r="R2744" s="2" t="inlineStr"/>
    </row>
    <row r="2745" ht="15" customHeight="1">
      <c r="A2745" t="inlineStr">
        <is>
          <t>A 22513-2020</t>
        </is>
      </c>
      <c r="B2745" s="1" t="n">
        <v>43963</v>
      </c>
      <c r="C2745" s="1" t="n">
        <v>45810</v>
      </c>
      <c r="D2745" t="inlineStr">
        <is>
          <t>VÄRMLANDS LÄN</t>
        </is>
      </c>
      <c r="E2745" t="inlineStr">
        <is>
          <t>KARLSTAD</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22584-2020</t>
        </is>
      </c>
      <c r="B2746" s="1" t="n">
        <v>43963</v>
      </c>
      <c r="C2746" s="1" t="n">
        <v>45810</v>
      </c>
      <c r="D2746" t="inlineStr">
        <is>
          <t>VÄRMLANDS LÄN</t>
        </is>
      </c>
      <c r="E2746" t="inlineStr">
        <is>
          <t>ÅRJÄNG</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22600-2020</t>
        </is>
      </c>
      <c r="B2747" s="1" t="n">
        <v>43963</v>
      </c>
      <c r="C2747" s="1" t="n">
        <v>45810</v>
      </c>
      <c r="D2747" t="inlineStr">
        <is>
          <t>VÄRMLANDS LÄN</t>
        </is>
      </c>
      <c r="E2747" t="inlineStr">
        <is>
          <t>FILIPSTAD</t>
        </is>
      </c>
      <c r="G2747" t="n">
        <v>3</v>
      </c>
      <c r="H2747" t="n">
        <v>0</v>
      </c>
      <c r="I2747" t="n">
        <v>0</v>
      </c>
      <c r="J2747" t="n">
        <v>0</v>
      </c>
      <c r="K2747" t="n">
        <v>0</v>
      </c>
      <c r="L2747" t="n">
        <v>0</v>
      </c>
      <c r="M2747" t="n">
        <v>0</v>
      </c>
      <c r="N2747" t="n">
        <v>0</v>
      </c>
      <c r="O2747" t="n">
        <v>0</v>
      </c>
      <c r="P2747" t="n">
        <v>0</v>
      </c>
      <c r="Q2747" t="n">
        <v>0</v>
      </c>
      <c r="R2747" s="2" t="inlineStr"/>
    </row>
    <row r="2748" ht="15" customHeight="1">
      <c r="A2748" t="inlineStr">
        <is>
          <t>A 22965-2020</t>
        </is>
      </c>
      <c r="B2748" s="1" t="n">
        <v>43964</v>
      </c>
      <c r="C2748" s="1" t="n">
        <v>45810</v>
      </c>
      <c r="D2748" t="inlineStr">
        <is>
          <t>VÄRMLANDS LÄN</t>
        </is>
      </c>
      <c r="E2748" t="inlineStr">
        <is>
          <t>ÅRJÄNG</t>
        </is>
      </c>
      <c r="G2748" t="n">
        <v>4.7</v>
      </c>
      <c r="H2748" t="n">
        <v>0</v>
      </c>
      <c r="I2748" t="n">
        <v>0</v>
      </c>
      <c r="J2748" t="n">
        <v>0</v>
      </c>
      <c r="K2748" t="n">
        <v>0</v>
      </c>
      <c r="L2748" t="n">
        <v>0</v>
      </c>
      <c r="M2748" t="n">
        <v>0</v>
      </c>
      <c r="N2748" t="n">
        <v>0</v>
      </c>
      <c r="O2748" t="n">
        <v>0</v>
      </c>
      <c r="P2748" t="n">
        <v>0</v>
      </c>
      <c r="Q2748" t="n">
        <v>0</v>
      </c>
      <c r="R2748" s="2" t="inlineStr"/>
    </row>
    <row r="2749" ht="15" customHeight="1">
      <c r="A2749" t="inlineStr">
        <is>
          <t>A 22871-2020</t>
        </is>
      </c>
      <c r="B2749" s="1" t="n">
        <v>43964</v>
      </c>
      <c r="C2749" s="1" t="n">
        <v>45810</v>
      </c>
      <c r="D2749" t="inlineStr">
        <is>
          <t>VÄRMLANDS LÄN</t>
        </is>
      </c>
      <c r="E2749" t="inlineStr">
        <is>
          <t>FILIPSTAD</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22869-2020</t>
        </is>
      </c>
      <c r="B2750" s="1" t="n">
        <v>43964</v>
      </c>
      <c r="C2750" s="1" t="n">
        <v>45810</v>
      </c>
      <c r="D2750" t="inlineStr">
        <is>
          <t>VÄRMLANDS LÄN</t>
        </is>
      </c>
      <c r="E2750" t="inlineStr">
        <is>
          <t>FILIPSTAD</t>
        </is>
      </c>
      <c r="F2750" t="inlineStr">
        <is>
          <t>Bergvik skog väst AB</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23053-2020</t>
        </is>
      </c>
      <c r="B2751" s="1" t="n">
        <v>43964</v>
      </c>
      <c r="C2751" s="1" t="n">
        <v>45810</v>
      </c>
      <c r="D2751" t="inlineStr">
        <is>
          <t>VÄRMLANDS LÄN</t>
        </is>
      </c>
      <c r="E2751" t="inlineStr">
        <is>
          <t>SUNNE</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23078-2020</t>
        </is>
      </c>
      <c r="B2752" s="1" t="n">
        <v>43965</v>
      </c>
      <c r="C2752" s="1" t="n">
        <v>45810</v>
      </c>
      <c r="D2752" t="inlineStr">
        <is>
          <t>VÄRMLANDS LÄN</t>
        </is>
      </c>
      <c r="E2752" t="inlineStr">
        <is>
          <t>HAGFORS</t>
        </is>
      </c>
      <c r="F2752" t="inlineStr">
        <is>
          <t>Bergvik skog väst AB</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23216-2020</t>
        </is>
      </c>
      <c r="B2753" s="1" t="n">
        <v>43965</v>
      </c>
      <c r="C2753" s="1" t="n">
        <v>45810</v>
      </c>
      <c r="D2753" t="inlineStr">
        <is>
          <t>VÄRMLANDS LÄN</t>
        </is>
      </c>
      <c r="E2753" t="inlineStr">
        <is>
          <t>ÅRJÄNG</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23211-2020</t>
        </is>
      </c>
      <c r="B2754" s="1" t="n">
        <v>43965</v>
      </c>
      <c r="C2754" s="1" t="n">
        <v>45810</v>
      </c>
      <c r="D2754" t="inlineStr">
        <is>
          <t>VÄRMLANDS LÄN</t>
        </is>
      </c>
      <c r="E2754" t="inlineStr">
        <is>
          <t>ÅRJÄNG</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23206-2020</t>
        </is>
      </c>
      <c r="B2755" s="1" t="n">
        <v>43966</v>
      </c>
      <c r="C2755" s="1" t="n">
        <v>45810</v>
      </c>
      <c r="D2755" t="inlineStr">
        <is>
          <t>VÄRMLANDS LÄN</t>
        </is>
      </c>
      <c r="E2755" t="inlineStr">
        <is>
          <t>HAGFORS</t>
        </is>
      </c>
      <c r="F2755" t="inlineStr">
        <is>
          <t>Bergvik skog väst AB</t>
        </is>
      </c>
      <c r="G2755" t="n">
        <v>4.1</v>
      </c>
      <c r="H2755" t="n">
        <v>0</v>
      </c>
      <c r="I2755" t="n">
        <v>0</v>
      </c>
      <c r="J2755" t="n">
        <v>0</v>
      </c>
      <c r="K2755" t="n">
        <v>0</v>
      </c>
      <c r="L2755" t="n">
        <v>0</v>
      </c>
      <c r="M2755" t="n">
        <v>0</v>
      </c>
      <c r="N2755" t="n">
        <v>0</v>
      </c>
      <c r="O2755" t="n">
        <v>0</v>
      </c>
      <c r="P2755" t="n">
        <v>0</v>
      </c>
      <c r="Q2755" t="n">
        <v>0</v>
      </c>
      <c r="R2755" s="2" t="inlineStr"/>
    </row>
    <row r="2756" ht="15" customHeight="1">
      <c r="A2756" t="inlineStr">
        <is>
          <t>A 23159-2020</t>
        </is>
      </c>
      <c r="B2756" s="1" t="n">
        <v>43966</v>
      </c>
      <c r="C2756" s="1" t="n">
        <v>45810</v>
      </c>
      <c r="D2756" t="inlineStr">
        <is>
          <t>VÄRMLANDS LÄN</t>
        </is>
      </c>
      <c r="E2756" t="inlineStr">
        <is>
          <t>HAGFORS</t>
        </is>
      </c>
      <c r="F2756" t="inlineStr">
        <is>
          <t>Bergvik skog väst AB</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23257-2020</t>
        </is>
      </c>
      <c r="B2757" s="1" t="n">
        <v>43966</v>
      </c>
      <c r="C2757" s="1" t="n">
        <v>45810</v>
      </c>
      <c r="D2757" t="inlineStr">
        <is>
          <t>VÄRMLANDS LÄN</t>
        </is>
      </c>
      <c r="E2757" t="inlineStr">
        <is>
          <t>HAGFORS</t>
        </is>
      </c>
      <c r="G2757" t="n">
        <v>5.6</v>
      </c>
      <c r="H2757" t="n">
        <v>0</v>
      </c>
      <c r="I2757" t="n">
        <v>0</v>
      </c>
      <c r="J2757" t="n">
        <v>0</v>
      </c>
      <c r="K2757" t="n">
        <v>0</v>
      </c>
      <c r="L2757" t="n">
        <v>0</v>
      </c>
      <c r="M2757" t="n">
        <v>0</v>
      </c>
      <c r="N2757" t="n">
        <v>0</v>
      </c>
      <c r="O2757" t="n">
        <v>0</v>
      </c>
      <c r="P2757" t="n">
        <v>0</v>
      </c>
      <c r="Q2757" t="n">
        <v>0</v>
      </c>
      <c r="R2757" s="2" t="inlineStr"/>
    </row>
    <row r="2758" ht="15" customHeight="1">
      <c r="A2758" t="inlineStr">
        <is>
          <t>A 23165-2020</t>
        </is>
      </c>
      <c r="B2758" s="1" t="n">
        <v>43966</v>
      </c>
      <c r="C2758" s="1" t="n">
        <v>45810</v>
      </c>
      <c r="D2758" t="inlineStr">
        <is>
          <t>VÄRMLANDS LÄN</t>
        </is>
      </c>
      <c r="E2758" t="inlineStr">
        <is>
          <t>ARVIKA</t>
        </is>
      </c>
      <c r="F2758" t="inlineStr">
        <is>
          <t>Bergvik skog väst AB</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23183-2020</t>
        </is>
      </c>
      <c r="B2759" s="1" t="n">
        <v>43966</v>
      </c>
      <c r="C2759" s="1" t="n">
        <v>45810</v>
      </c>
      <c r="D2759" t="inlineStr">
        <is>
          <t>VÄRMLANDS LÄN</t>
        </is>
      </c>
      <c r="E2759" t="inlineStr">
        <is>
          <t>HAMMARÖ</t>
        </is>
      </c>
      <c r="F2759" t="inlineStr">
        <is>
          <t>Övriga Aktiebolag</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23329-2020</t>
        </is>
      </c>
      <c r="B2760" s="1" t="n">
        <v>43966</v>
      </c>
      <c r="C2760" s="1" t="n">
        <v>45810</v>
      </c>
      <c r="D2760" t="inlineStr">
        <is>
          <t>VÄRMLANDS LÄN</t>
        </is>
      </c>
      <c r="E2760" t="inlineStr">
        <is>
          <t>SUNNE</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23293-2020</t>
        </is>
      </c>
      <c r="B2761" s="1" t="n">
        <v>43966</v>
      </c>
      <c r="C2761" s="1" t="n">
        <v>45810</v>
      </c>
      <c r="D2761" t="inlineStr">
        <is>
          <t>VÄRMLANDS LÄN</t>
        </is>
      </c>
      <c r="E2761" t="inlineStr">
        <is>
          <t>FILIPSTAD</t>
        </is>
      </c>
      <c r="G2761" t="n">
        <v>13.1</v>
      </c>
      <c r="H2761" t="n">
        <v>0</v>
      </c>
      <c r="I2761" t="n">
        <v>0</v>
      </c>
      <c r="J2761" t="n">
        <v>0</v>
      </c>
      <c r="K2761" t="n">
        <v>0</v>
      </c>
      <c r="L2761" t="n">
        <v>0</v>
      </c>
      <c r="M2761" t="n">
        <v>0</v>
      </c>
      <c r="N2761" t="n">
        <v>0</v>
      </c>
      <c r="O2761" t="n">
        <v>0</v>
      </c>
      <c r="P2761" t="n">
        <v>0</v>
      </c>
      <c r="Q2761" t="n">
        <v>0</v>
      </c>
      <c r="R2761" s="2" t="inlineStr"/>
    </row>
    <row r="2762" ht="15" customHeight="1">
      <c r="A2762" t="inlineStr">
        <is>
          <t>A 23362-2020</t>
        </is>
      </c>
      <c r="B2762" s="1" t="n">
        <v>43967</v>
      </c>
      <c r="C2762" s="1" t="n">
        <v>45810</v>
      </c>
      <c r="D2762" t="inlineStr">
        <is>
          <t>VÄRMLANDS LÄN</t>
        </is>
      </c>
      <c r="E2762" t="inlineStr">
        <is>
          <t>ARVIKA</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23397-2020</t>
        </is>
      </c>
      <c r="B2763" s="1" t="n">
        <v>43968</v>
      </c>
      <c r="C2763" s="1" t="n">
        <v>45810</v>
      </c>
      <c r="D2763" t="inlineStr">
        <is>
          <t>VÄRMLANDS LÄN</t>
        </is>
      </c>
      <c r="E2763" t="inlineStr">
        <is>
          <t>SÄFFLE</t>
        </is>
      </c>
      <c r="G2763" t="n">
        <v>3.2</v>
      </c>
      <c r="H2763" t="n">
        <v>0</v>
      </c>
      <c r="I2763" t="n">
        <v>0</v>
      </c>
      <c r="J2763" t="n">
        <v>0</v>
      </c>
      <c r="K2763" t="n">
        <v>0</v>
      </c>
      <c r="L2763" t="n">
        <v>0</v>
      </c>
      <c r="M2763" t="n">
        <v>0</v>
      </c>
      <c r="N2763" t="n">
        <v>0</v>
      </c>
      <c r="O2763" t="n">
        <v>0</v>
      </c>
      <c r="P2763" t="n">
        <v>0</v>
      </c>
      <c r="Q2763" t="n">
        <v>0</v>
      </c>
      <c r="R2763" s="2" t="inlineStr"/>
    </row>
    <row r="2764" ht="15" customHeight="1">
      <c r="A2764" t="inlineStr">
        <is>
          <t>A 23493-2020</t>
        </is>
      </c>
      <c r="B2764" s="1" t="n">
        <v>43969</v>
      </c>
      <c r="C2764" s="1" t="n">
        <v>45810</v>
      </c>
      <c r="D2764" t="inlineStr">
        <is>
          <t>VÄRMLANDS LÄN</t>
        </is>
      </c>
      <c r="E2764" t="inlineStr">
        <is>
          <t>ÅRJÄNG</t>
        </is>
      </c>
      <c r="G2764" t="n">
        <v>3.5</v>
      </c>
      <c r="H2764" t="n">
        <v>0</v>
      </c>
      <c r="I2764" t="n">
        <v>0</v>
      </c>
      <c r="J2764" t="n">
        <v>0</v>
      </c>
      <c r="K2764" t="n">
        <v>0</v>
      </c>
      <c r="L2764" t="n">
        <v>0</v>
      </c>
      <c r="M2764" t="n">
        <v>0</v>
      </c>
      <c r="N2764" t="n">
        <v>0</v>
      </c>
      <c r="O2764" t="n">
        <v>0</v>
      </c>
      <c r="P2764" t="n">
        <v>0</v>
      </c>
      <c r="Q2764" t="n">
        <v>0</v>
      </c>
      <c r="R2764" s="2" t="inlineStr"/>
    </row>
    <row r="2765" ht="15" customHeight="1">
      <c r="A2765" t="inlineStr">
        <is>
          <t>A 23679-2020</t>
        </is>
      </c>
      <c r="B2765" s="1" t="n">
        <v>43970</v>
      </c>
      <c r="C2765" s="1" t="n">
        <v>45810</v>
      </c>
      <c r="D2765" t="inlineStr">
        <is>
          <t>VÄRMLANDS LÄN</t>
        </is>
      </c>
      <c r="E2765" t="inlineStr">
        <is>
          <t>SUNNE</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23694-2020</t>
        </is>
      </c>
      <c r="B2766" s="1" t="n">
        <v>43970</v>
      </c>
      <c r="C2766" s="1" t="n">
        <v>45810</v>
      </c>
      <c r="D2766" t="inlineStr">
        <is>
          <t>VÄRMLANDS LÄN</t>
        </is>
      </c>
      <c r="E2766" t="inlineStr">
        <is>
          <t>KARLSTAD</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23691-2020</t>
        </is>
      </c>
      <c r="B2767" s="1" t="n">
        <v>43970</v>
      </c>
      <c r="C2767" s="1" t="n">
        <v>45810</v>
      </c>
      <c r="D2767" t="inlineStr">
        <is>
          <t>VÄRMLANDS LÄN</t>
        </is>
      </c>
      <c r="E2767" t="inlineStr">
        <is>
          <t>KARLSTAD</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23955-2020</t>
        </is>
      </c>
      <c r="B2768" s="1" t="n">
        <v>43971</v>
      </c>
      <c r="C2768" s="1" t="n">
        <v>45810</v>
      </c>
      <c r="D2768" t="inlineStr">
        <is>
          <t>VÄRMLANDS LÄN</t>
        </is>
      </c>
      <c r="E2768" t="inlineStr">
        <is>
          <t>KRISTINEHAMN</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24210-2020</t>
        </is>
      </c>
      <c r="B2769" s="1" t="n">
        <v>43973</v>
      </c>
      <c r="C2769" s="1" t="n">
        <v>45810</v>
      </c>
      <c r="D2769" t="inlineStr">
        <is>
          <t>VÄRMLANDS LÄN</t>
        </is>
      </c>
      <c r="E2769" t="inlineStr">
        <is>
          <t>SUNNE</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24165-2020</t>
        </is>
      </c>
      <c r="B2770" s="1" t="n">
        <v>43975</v>
      </c>
      <c r="C2770" s="1" t="n">
        <v>45810</v>
      </c>
      <c r="D2770" t="inlineStr">
        <is>
          <t>VÄRMLANDS LÄN</t>
        </is>
      </c>
      <c r="E2770" t="inlineStr">
        <is>
          <t>ARVIKA</t>
        </is>
      </c>
      <c r="F2770" t="inlineStr">
        <is>
          <t>Bergvik skog väst AB</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24166-2020</t>
        </is>
      </c>
      <c r="B2771" s="1" t="n">
        <v>43975</v>
      </c>
      <c r="C2771" s="1" t="n">
        <v>45810</v>
      </c>
      <c r="D2771" t="inlineStr">
        <is>
          <t>VÄRMLANDS LÄN</t>
        </is>
      </c>
      <c r="E2771" t="inlineStr">
        <is>
          <t>ÅRJÄNG</t>
        </is>
      </c>
      <c r="G2771" t="n">
        <v>3.4</v>
      </c>
      <c r="H2771" t="n">
        <v>0</v>
      </c>
      <c r="I2771" t="n">
        <v>0</v>
      </c>
      <c r="J2771" t="n">
        <v>0</v>
      </c>
      <c r="K2771" t="n">
        <v>0</v>
      </c>
      <c r="L2771" t="n">
        <v>0</v>
      </c>
      <c r="M2771" t="n">
        <v>0</v>
      </c>
      <c r="N2771" t="n">
        <v>0</v>
      </c>
      <c r="O2771" t="n">
        <v>0</v>
      </c>
      <c r="P2771" t="n">
        <v>0</v>
      </c>
      <c r="Q2771" t="n">
        <v>0</v>
      </c>
      <c r="R2771" s="2" t="inlineStr"/>
    </row>
    <row r="2772" ht="15" customHeight="1">
      <c r="A2772" t="inlineStr">
        <is>
          <t>A 24327-2020</t>
        </is>
      </c>
      <c r="B2772" s="1" t="n">
        <v>43976</v>
      </c>
      <c r="C2772" s="1" t="n">
        <v>45810</v>
      </c>
      <c r="D2772" t="inlineStr">
        <is>
          <t>VÄRMLANDS LÄN</t>
        </is>
      </c>
      <c r="E2772" t="inlineStr">
        <is>
          <t>FORSHAGA</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24340-2020</t>
        </is>
      </c>
      <c r="B2773" s="1" t="n">
        <v>43976</v>
      </c>
      <c r="C2773" s="1" t="n">
        <v>45810</v>
      </c>
      <c r="D2773" t="inlineStr">
        <is>
          <t>VÄRMLANDS LÄN</t>
        </is>
      </c>
      <c r="E2773" t="inlineStr">
        <is>
          <t>HAGFORS</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24396-2020</t>
        </is>
      </c>
      <c r="B2774" s="1" t="n">
        <v>43976</v>
      </c>
      <c r="C2774" s="1" t="n">
        <v>45810</v>
      </c>
      <c r="D2774" t="inlineStr">
        <is>
          <t>VÄRMLANDS LÄN</t>
        </is>
      </c>
      <c r="E2774" t="inlineStr">
        <is>
          <t>STORFORS</t>
        </is>
      </c>
      <c r="F2774" t="inlineStr">
        <is>
          <t>Bergvik skog väst AB</t>
        </is>
      </c>
      <c r="G2774" t="n">
        <v>3.1</v>
      </c>
      <c r="H2774" t="n">
        <v>0</v>
      </c>
      <c r="I2774" t="n">
        <v>0</v>
      </c>
      <c r="J2774" t="n">
        <v>0</v>
      </c>
      <c r="K2774" t="n">
        <v>0</v>
      </c>
      <c r="L2774" t="n">
        <v>0</v>
      </c>
      <c r="M2774" t="n">
        <v>0</v>
      </c>
      <c r="N2774" t="n">
        <v>0</v>
      </c>
      <c r="O2774" t="n">
        <v>0</v>
      </c>
      <c r="P2774" t="n">
        <v>0</v>
      </c>
      <c r="Q2774" t="n">
        <v>0</v>
      </c>
      <c r="R2774" s="2" t="inlineStr"/>
    </row>
    <row r="2775" ht="15" customHeight="1">
      <c r="A2775" t="inlineStr">
        <is>
          <t>A 24489-2020</t>
        </is>
      </c>
      <c r="B2775" s="1" t="n">
        <v>43976</v>
      </c>
      <c r="C2775" s="1" t="n">
        <v>45810</v>
      </c>
      <c r="D2775" t="inlineStr">
        <is>
          <t>VÄRMLANDS LÄN</t>
        </is>
      </c>
      <c r="E2775" t="inlineStr">
        <is>
          <t>KIL</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24559-2020</t>
        </is>
      </c>
      <c r="B2776" s="1" t="n">
        <v>43977</v>
      </c>
      <c r="C2776" s="1" t="n">
        <v>45810</v>
      </c>
      <c r="D2776" t="inlineStr">
        <is>
          <t>VÄRMLANDS LÄN</t>
        </is>
      </c>
      <c r="E2776" t="inlineStr">
        <is>
          <t>EDA</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24737-2020</t>
        </is>
      </c>
      <c r="B2777" s="1" t="n">
        <v>43978</v>
      </c>
      <c r="C2777" s="1" t="n">
        <v>45810</v>
      </c>
      <c r="D2777" t="inlineStr">
        <is>
          <t>VÄRMLANDS LÄN</t>
        </is>
      </c>
      <c r="E2777" t="inlineStr">
        <is>
          <t>SÄFFLE</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24718-2020</t>
        </is>
      </c>
      <c r="B2778" s="1" t="n">
        <v>43978</v>
      </c>
      <c r="C2778" s="1" t="n">
        <v>45810</v>
      </c>
      <c r="D2778" t="inlineStr">
        <is>
          <t>VÄRMLANDS LÄN</t>
        </is>
      </c>
      <c r="E2778" t="inlineStr">
        <is>
          <t>ÅRJÄNG</t>
        </is>
      </c>
      <c r="G2778" t="n">
        <v>4.1</v>
      </c>
      <c r="H2778" t="n">
        <v>0</v>
      </c>
      <c r="I2778" t="n">
        <v>0</v>
      </c>
      <c r="J2778" t="n">
        <v>0</v>
      </c>
      <c r="K2778" t="n">
        <v>0</v>
      </c>
      <c r="L2778" t="n">
        <v>0</v>
      </c>
      <c r="M2778" t="n">
        <v>0</v>
      </c>
      <c r="N2778" t="n">
        <v>0</v>
      </c>
      <c r="O2778" t="n">
        <v>0</v>
      </c>
      <c r="P2778" t="n">
        <v>0</v>
      </c>
      <c r="Q2778" t="n">
        <v>0</v>
      </c>
      <c r="R2778" s="2" t="inlineStr"/>
    </row>
    <row r="2779" ht="15" customHeight="1">
      <c r="A2779" t="inlineStr">
        <is>
          <t>A 24798-2020</t>
        </is>
      </c>
      <c r="B2779" s="1" t="n">
        <v>43978</v>
      </c>
      <c r="C2779" s="1" t="n">
        <v>45810</v>
      </c>
      <c r="D2779" t="inlineStr">
        <is>
          <t>VÄRMLANDS LÄN</t>
        </is>
      </c>
      <c r="E2779" t="inlineStr">
        <is>
          <t>HAGFORS</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24676-2020</t>
        </is>
      </c>
      <c r="B2780" s="1" t="n">
        <v>43978</v>
      </c>
      <c r="C2780" s="1" t="n">
        <v>45810</v>
      </c>
      <c r="D2780" t="inlineStr">
        <is>
          <t>VÄRMLANDS LÄN</t>
        </is>
      </c>
      <c r="E2780" t="inlineStr">
        <is>
          <t>KARLSTAD</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24722-2020</t>
        </is>
      </c>
      <c r="B2781" s="1" t="n">
        <v>43978</v>
      </c>
      <c r="C2781" s="1" t="n">
        <v>45810</v>
      </c>
      <c r="D2781" t="inlineStr">
        <is>
          <t>VÄRMLANDS LÄN</t>
        </is>
      </c>
      <c r="E2781" t="inlineStr">
        <is>
          <t>ÅRJÄNG</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25231-2020</t>
        </is>
      </c>
      <c r="B2782" s="1" t="n">
        <v>43978</v>
      </c>
      <c r="C2782" s="1" t="n">
        <v>45810</v>
      </c>
      <c r="D2782" t="inlineStr">
        <is>
          <t>VÄRMLANDS LÄN</t>
        </is>
      </c>
      <c r="E2782" t="inlineStr">
        <is>
          <t>SÄFFLE</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24920-2020</t>
        </is>
      </c>
      <c r="B2783" s="1" t="n">
        <v>43979</v>
      </c>
      <c r="C2783" s="1" t="n">
        <v>45810</v>
      </c>
      <c r="D2783" t="inlineStr">
        <is>
          <t>VÄRMLANDS LÄN</t>
        </is>
      </c>
      <c r="E2783" t="inlineStr">
        <is>
          <t>ÅRJÄNG</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25237-2020</t>
        </is>
      </c>
      <c r="B2784" s="1" t="n">
        <v>43979</v>
      </c>
      <c r="C2784" s="1" t="n">
        <v>45810</v>
      </c>
      <c r="D2784" t="inlineStr">
        <is>
          <t>VÄRMLANDS LÄN</t>
        </is>
      </c>
      <c r="E2784" t="inlineStr">
        <is>
          <t>ARVIKA</t>
        </is>
      </c>
      <c r="G2784" t="n">
        <v>26.4</v>
      </c>
      <c r="H2784" t="n">
        <v>0</v>
      </c>
      <c r="I2784" t="n">
        <v>0</v>
      </c>
      <c r="J2784" t="n">
        <v>0</v>
      </c>
      <c r="K2784" t="n">
        <v>0</v>
      </c>
      <c r="L2784" t="n">
        <v>0</v>
      </c>
      <c r="M2784" t="n">
        <v>0</v>
      </c>
      <c r="N2784" t="n">
        <v>0</v>
      </c>
      <c r="O2784" t="n">
        <v>0</v>
      </c>
      <c r="P2784" t="n">
        <v>0</v>
      </c>
      <c r="Q2784" t="n">
        <v>0</v>
      </c>
      <c r="R2784" s="2" t="inlineStr"/>
    </row>
    <row r="2785" ht="15" customHeight="1">
      <c r="A2785" t="inlineStr">
        <is>
          <t>A 25234-2020</t>
        </is>
      </c>
      <c r="B2785" s="1" t="n">
        <v>43979</v>
      </c>
      <c r="C2785" s="1" t="n">
        <v>45810</v>
      </c>
      <c r="D2785" t="inlineStr">
        <is>
          <t>VÄRMLANDS LÄN</t>
        </is>
      </c>
      <c r="E2785" t="inlineStr">
        <is>
          <t>ARVIKA</t>
        </is>
      </c>
      <c r="G2785" t="n">
        <v>12.9</v>
      </c>
      <c r="H2785" t="n">
        <v>0</v>
      </c>
      <c r="I2785" t="n">
        <v>0</v>
      </c>
      <c r="J2785" t="n">
        <v>0</v>
      </c>
      <c r="K2785" t="n">
        <v>0</v>
      </c>
      <c r="L2785" t="n">
        <v>0</v>
      </c>
      <c r="M2785" t="n">
        <v>0</v>
      </c>
      <c r="N2785" t="n">
        <v>0</v>
      </c>
      <c r="O2785" t="n">
        <v>0</v>
      </c>
      <c r="P2785" t="n">
        <v>0</v>
      </c>
      <c r="Q2785" t="n">
        <v>0</v>
      </c>
      <c r="R2785" s="2" t="inlineStr"/>
    </row>
    <row r="2786" ht="15" customHeight="1">
      <c r="A2786" t="inlineStr">
        <is>
          <t>A 25233-2020</t>
        </is>
      </c>
      <c r="B2786" s="1" t="n">
        <v>43980</v>
      </c>
      <c r="C2786" s="1" t="n">
        <v>45810</v>
      </c>
      <c r="D2786" t="inlineStr">
        <is>
          <t>VÄRMLANDS LÄN</t>
        </is>
      </c>
      <c r="E2786" t="inlineStr">
        <is>
          <t>KRISTINEHAMN</t>
        </is>
      </c>
      <c r="F2786" t="inlineStr">
        <is>
          <t>Naturvårdsverket</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25253-2020</t>
        </is>
      </c>
      <c r="B2787" s="1" t="n">
        <v>43980</v>
      </c>
      <c r="C2787" s="1" t="n">
        <v>45810</v>
      </c>
      <c r="D2787" t="inlineStr">
        <is>
          <t>VÄRMLANDS LÄN</t>
        </is>
      </c>
      <c r="E2787" t="inlineStr">
        <is>
          <t>KRISTINEHAMN</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25211-2020</t>
        </is>
      </c>
      <c r="B2788" s="1" t="n">
        <v>43980</v>
      </c>
      <c r="C2788" s="1" t="n">
        <v>45810</v>
      </c>
      <c r="D2788" t="inlineStr">
        <is>
          <t>VÄRMLANDS LÄN</t>
        </is>
      </c>
      <c r="E2788" t="inlineStr">
        <is>
          <t>ARVIKA</t>
        </is>
      </c>
      <c r="G2788" t="n">
        <v>2.6</v>
      </c>
      <c r="H2788" t="n">
        <v>0</v>
      </c>
      <c r="I2788" t="n">
        <v>0</v>
      </c>
      <c r="J2788" t="n">
        <v>0</v>
      </c>
      <c r="K2788" t="n">
        <v>0</v>
      </c>
      <c r="L2788" t="n">
        <v>0</v>
      </c>
      <c r="M2788" t="n">
        <v>0</v>
      </c>
      <c r="N2788" t="n">
        <v>0</v>
      </c>
      <c r="O2788" t="n">
        <v>0</v>
      </c>
      <c r="P2788" t="n">
        <v>0</v>
      </c>
      <c r="Q2788" t="n">
        <v>0</v>
      </c>
      <c r="R2788" s="2" t="inlineStr"/>
    </row>
    <row r="2789" ht="15" customHeight="1">
      <c r="A2789" t="inlineStr">
        <is>
          <t>A 25570-2020</t>
        </is>
      </c>
      <c r="B2789" s="1" t="n">
        <v>43980</v>
      </c>
      <c r="C2789" s="1" t="n">
        <v>45810</v>
      </c>
      <c r="D2789" t="inlineStr">
        <is>
          <t>VÄRMLANDS LÄN</t>
        </is>
      </c>
      <c r="E2789" t="inlineStr">
        <is>
          <t>KRISTINEHAMN</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25582-2020</t>
        </is>
      </c>
      <c r="B2790" s="1" t="n">
        <v>43983</v>
      </c>
      <c r="C2790" s="1" t="n">
        <v>45810</v>
      </c>
      <c r="D2790" t="inlineStr">
        <is>
          <t>VÄRMLANDS LÄN</t>
        </is>
      </c>
      <c r="E2790" t="inlineStr">
        <is>
          <t>SÄFFLE</t>
        </is>
      </c>
      <c r="G2790" t="n">
        <v>5.2</v>
      </c>
      <c r="H2790" t="n">
        <v>0</v>
      </c>
      <c r="I2790" t="n">
        <v>0</v>
      </c>
      <c r="J2790" t="n">
        <v>0</v>
      </c>
      <c r="K2790" t="n">
        <v>0</v>
      </c>
      <c r="L2790" t="n">
        <v>0</v>
      </c>
      <c r="M2790" t="n">
        <v>0</v>
      </c>
      <c r="N2790" t="n">
        <v>0</v>
      </c>
      <c r="O2790" t="n">
        <v>0</v>
      </c>
      <c r="P2790" t="n">
        <v>0</v>
      </c>
      <c r="Q2790" t="n">
        <v>0</v>
      </c>
      <c r="R2790" s="2" t="inlineStr"/>
    </row>
    <row r="2791" ht="15" customHeight="1">
      <c r="A2791" t="inlineStr">
        <is>
          <t>A 25518-2020</t>
        </is>
      </c>
      <c r="B2791" s="1" t="n">
        <v>43983</v>
      </c>
      <c r="C2791" s="1" t="n">
        <v>45810</v>
      </c>
      <c r="D2791" t="inlineStr">
        <is>
          <t>VÄRMLANDS LÄN</t>
        </is>
      </c>
      <c r="E2791" t="inlineStr">
        <is>
          <t>TORSBY</t>
        </is>
      </c>
      <c r="G2791" t="n">
        <v>0.2</v>
      </c>
      <c r="H2791" t="n">
        <v>0</v>
      </c>
      <c r="I2791" t="n">
        <v>0</v>
      </c>
      <c r="J2791" t="n">
        <v>0</v>
      </c>
      <c r="K2791" t="n">
        <v>0</v>
      </c>
      <c r="L2791" t="n">
        <v>0</v>
      </c>
      <c r="M2791" t="n">
        <v>0</v>
      </c>
      <c r="N2791" t="n">
        <v>0</v>
      </c>
      <c r="O2791" t="n">
        <v>0</v>
      </c>
      <c r="P2791" t="n">
        <v>0</v>
      </c>
      <c r="Q2791" t="n">
        <v>0</v>
      </c>
      <c r="R2791" s="2" t="inlineStr"/>
    </row>
    <row r="2792" ht="15" customHeight="1">
      <c r="A2792" t="inlineStr">
        <is>
          <t>A 25528-2020</t>
        </is>
      </c>
      <c r="B2792" s="1" t="n">
        <v>43983</v>
      </c>
      <c r="C2792" s="1" t="n">
        <v>45810</v>
      </c>
      <c r="D2792" t="inlineStr">
        <is>
          <t>VÄRMLANDS LÄN</t>
        </is>
      </c>
      <c r="E2792" t="inlineStr">
        <is>
          <t>FILIPSTAD</t>
        </is>
      </c>
      <c r="F2792" t="inlineStr">
        <is>
          <t>Bergvik skog väst AB</t>
        </is>
      </c>
      <c r="G2792" t="n">
        <v>4.1</v>
      </c>
      <c r="H2792" t="n">
        <v>0</v>
      </c>
      <c r="I2792" t="n">
        <v>0</v>
      </c>
      <c r="J2792" t="n">
        <v>0</v>
      </c>
      <c r="K2792" t="n">
        <v>0</v>
      </c>
      <c r="L2792" t="n">
        <v>0</v>
      </c>
      <c r="M2792" t="n">
        <v>0</v>
      </c>
      <c r="N2792" t="n">
        <v>0</v>
      </c>
      <c r="O2792" t="n">
        <v>0</v>
      </c>
      <c r="P2792" t="n">
        <v>0</v>
      </c>
      <c r="Q2792" t="n">
        <v>0</v>
      </c>
      <c r="R2792" s="2" t="inlineStr"/>
    </row>
    <row r="2793" ht="15" customHeight="1">
      <c r="A2793" t="inlineStr">
        <is>
          <t>A 25571-2020</t>
        </is>
      </c>
      <c r="B2793" s="1" t="n">
        <v>43983</v>
      </c>
      <c r="C2793" s="1" t="n">
        <v>45810</v>
      </c>
      <c r="D2793" t="inlineStr">
        <is>
          <t>VÄRMLANDS LÄN</t>
        </is>
      </c>
      <c r="E2793" t="inlineStr">
        <is>
          <t>SÄFFLE</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25860-2020</t>
        </is>
      </c>
      <c r="B2794" s="1" t="n">
        <v>43983</v>
      </c>
      <c r="C2794" s="1" t="n">
        <v>45810</v>
      </c>
      <c r="D2794" t="inlineStr">
        <is>
          <t>VÄRMLANDS LÄN</t>
        </is>
      </c>
      <c r="E2794" t="inlineStr">
        <is>
          <t>KRISTINEHAMN</t>
        </is>
      </c>
      <c r="G2794" t="n">
        <v>10.8</v>
      </c>
      <c r="H2794" t="n">
        <v>0</v>
      </c>
      <c r="I2794" t="n">
        <v>0</v>
      </c>
      <c r="J2794" t="n">
        <v>0</v>
      </c>
      <c r="K2794" t="n">
        <v>0</v>
      </c>
      <c r="L2794" t="n">
        <v>0</v>
      </c>
      <c r="M2794" t="n">
        <v>0</v>
      </c>
      <c r="N2794" t="n">
        <v>0</v>
      </c>
      <c r="O2794" t="n">
        <v>0</v>
      </c>
      <c r="P2794" t="n">
        <v>0</v>
      </c>
      <c r="Q2794" t="n">
        <v>0</v>
      </c>
      <c r="R2794" s="2" t="inlineStr"/>
    </row>
    <row r="2795" ht="15" customHeight="1">
      <c r="A2795" t="inlineStr">
        <is>
          <t>A 26113-2020</t>
        </is>
      </c>
      <c r="B2795" s="1" t="n">
        <v>43984</v>
      </c>
      <c r="C2795" s="1" t="n">
        <v>45810</v>
      </c>
      <c r="D2795" t="inlineStr">
        <is>
          <t>VÄRMLANDS LÄN</t>
        </is>
      </c>
      <c r="E2795" t="inlineStr">
        <is>
          <t>KARLSTAD</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25971-2020</t>
        </is>
      </c>
      <c r="B2796" s="1" t="n">
        <v>43985</v>
      </c>
      <c r="C2796" s="1" t="n">
        <v>45810</v>
      </c>
      <c r="D2796" t="inlineStr">
        <is>
          <t>VÄRMLANDS LÄN</t>
        </is>
      </c>
      <c r="E2796" t="inlineStr">
        <is>
          <t>FILIPSTAD</t>
        </is>
      </c>
      <c r="F2796" t="inlineStr">
        <is>
          <t>Bergvik skog väst AB</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25977-2020</t>
        </is>
      </c>
      <c r="B2797" s="1" t="n">
        <v>43985</v>
      </c>
      <c r="C2797" s="1" t="n">
        <v>45810</v>
      </c>
      <c r="D2797" t="inlineStr">
        <is>
          <t>VÄRMLANDS LÄN</t>
        </is>
      </c>
      <c r="E2797" t="inlineStr">
        <is>
          <t>ARVIKA</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26132-2020</t>
        </is>
      </c>
      <c r="B2798" s="1" t="n">
        <v>43985</v>
      </c>
      <c r="C2798" s="1" t="n">
        <v>45810</v>
      </c>
      <c r="D2798" t="inlineStr">
        <is>
          <t>VÄRMLANDS LÄN</t>
        </is>
      </c>
      <c r="E2798" t="inlineStr">
        <is>
          <t>ÅRJÄNG</t>
        </is>
      </c>
      <c r="G2798" t="n">
        <v>3.7</v>
      </c>
      <c r="H2798" t="n">
        <v>0</v>
      </c>
      <c r="I2798" t="n">
        <v>0</v>
      </c>
      <c r="J2798" t="n">
        <v>0</v>
      </c>
      <c r="K2798" t="n">
        <v>0</v>
      </c>
      <c r="L2798" t="n">
        <v>0</v>
      </c>
      <c r="M2798" t="n">
        <v>0</v>
      </c>
      <c r="N2798" t="n">
        <v>0</v>
      </c>
      <c r="O2798" t="n">
        <v>0</v>
      </c>
      <c r="P2798" t="n">
        <v>0</v>
      </c>
      <c r="Q2798" t="n">
        <v>0</v>
      </c>
      <c r="R2798" s="2" t="inlineStr"/>
    </row>
    <row r="2799" ht="15" customHeight="1">
      <c r="A2799" t="inlineStr">
        <is>
          <t>A 25959-2020</t>
        </is>
      </c>
      <c r="B2799" s="1" t="n">
        <v>43985</v>
      </c>
      <c r="C2799" s="1" t="n">
        <v>45810</v>
      </c>
      <c r="D2799" t="inlineStr">
        <is>
          <t>VÄRMLANDS LÄN</t>
        </is>
      </c>
      <c r="E2799" t="inlineStr">
        <is>
          <t>SUNNE</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25976-2020</t>
        </is>
      </c>
      <c r="B2800" s="1" t="n">
        <v>43985</v>
      </c>
      <c r="C2800" s="1" t="n">
        <v>45810</v>
      </c>
      <c r="D2800" t="inlineStr">
        <is>
          <t>VÄRMLANDS LÄN</t>
        </is>
      </c>
      <c r="E2800" t="inlineStr">
        <is>
          <t>STORFORS</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26111-2020</t>
        </is>
      </c>
      <c r="B2801" s="1" t="n">
        <v>43985</v>
      </c>
      <c r="C2801" s="1" t="n">
        <v>45810</v>
      </c>
      <c r="D2801" t="inlineStr">
        <is>
          <t>VÄRMLANDS LÄN</t>
        </is>
      </c>
      <c r="E2801" t="inlineStr">
        <is>
          <t>EDA</t>
        </is>
      </c>
      <c r="G2801" t="n">
        <v>4.8</v>
      </c>
      <c r="H2801" t="n">
        <v>0</v>
      </c>
      <c r="I2801" t="n">
        <v>0</v>
      </c>
      <c r="J2801" t="n">
        <v>0</v>
      </c>
      <c r="K2801" t="n">
        <v>0</v>
      </c>
      <c r="L2801" t="n">
        <v>0</v>
      </c>
      <c r="M2801" t="n">
        <v>0</v>
      </c>
      <c r="N2801" t="n">
        <v>0</v>
      </c>
      <c r="O2801" t="n">
        <v>0</v>
      </c>
      <c r="P2801" t="n">
        <v>0</v>
      </c>
      <c r="Q2801" t="n">
        <v>0</v>
      </c>
      <c r="R2801" s="2" t="inlineStr"/>
    </row>
    <row r="2802" ht="15" customHeight="1">
      <c r="A2802" t="inlineStr">
        <is>
          <t>A 25953-2020</t>
        </is>
      </c>
      <c r="B2802" s="1" t="n">
        <v>43985</v>
      </c>
      <c r="C2802" s="1" t="n">
        <v>45810</v>
      </c>
      <c r="D2802" t="inlineStr">
        <is>
          <t>VÄRMLANDS LÄN</t>
        </is>
      </c>
      <c r="E2802" t="inlineStr">
        <is>
          <t>ARVIKA</t>
        </is>
      </c>
      <c r="G2802" t="n">
        <v>2.8</v>
      </c>
      <c r="H2802" t="n">
        <v>0</v>
      </c>
      <c r="I2802" t="n">
        <v>0</v>
      </c>
      <c r="J2802" t="n">
        <v>0</v>
      </c>
      <c r="K2802" t="n">
        <v>0</v>
      </c>
      <c r="L2802" t="n">
        <v>0</v>
      </c>
      <c r="M2802" t="n">
        <v>0</v>
      </c>
      <c r="N2802" t="n">
        <v>0</v>
      </c>
      <c r="O2802" t="n">
        <v>0</v>
      </c>
      <c r="P2802" t="n">
        <v>0</v>
      </c>
      <c r="Q2802" t="n">
        <v>0</v>
      </c>
      <c r="R2802" s="2" t="inlineStr"/>
    </row>
    <row r="2803" ht="15" customHeight="1">
      <c r="A2803" t="inlineStr">
        <is>
          <t>A 26202-2020</t>
        </is>
      </c>
      <c r="B2803" s="1" t="n">
        <v>43986</v>
      </c>
      <c r="C2803" s="1" t="n">
        <v>45810</v>
      </c>
      <c r="D2803" t="inlineStr">
        <is>
          <t>VÄRMLANDS LÄN</t>
        </is>
      </c>
      <c r="E2803" t="inlineStr">
        <is>
          <t>ÅRJÄNG</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26915-2020</t>
        </is>
      </c>
      <c r="B2804" s="1" t="n">
        <v>43986</v>
      </c>
      <c r="C2804" s="1" t="n">
        <v>45810</v>
      </c>
      <c r="D2804" t="inlineStr">
        <is>
          <t>VÄRMLANDS LÄN</t>
        </is>
      </c>
      <c r="E2804" t="inlineStr">
        <is>
          <t>TORSBY</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26926-2020</t>
        </is>
      </c>
      <c r="B2805" s="1" t="n">
        <v>43986</v>
      </c>
      <c r="C2805" s="1" t="n">
        <v>45810</v>
      </c>
      <c r="D2805" t="inlineStr">
        <is>
          <t>VÄRMLANDS LÄN</t>
        </is>
      </c>
      <c r="E2805" t="inlineStr">
        <is>
          <t>TORSBY</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26919-2020</t>
        </is>
      </c>
      <c r="B2806" s="1" t="n">
        <v>43986</v>
      </c>
      <c r="C2806" s="1" t="n">
        <v>45810</v>
      </c>
      <c r="D2806" t="inlineStr">
        <is>
          <t>VÄRMLANDS LÄN</t>
        </is>
      </c>
      <c r="E2806" t="inlineStr">
        <is>
          <t>TORSBY</t>
        </is>
      </c>
      <c r="G2806" t="n">
        <v>0.4</v>
      </c>
      <c r="H2806" t="n">
        <v>0</v>
      </c>
      <c r="I2806" t="n">
        <v>0</v>
      </c>
      <c r="J2806" t="n">
        <v>0</v>
      </c>
      <c r="K2806" t="n">
        <v>0</v>
      </c>
      <c r="L2806" t="n">
        <v>0</v>
      </c>
      <c r="M2806" t="n">
        <v>0</v>
      </c>
      <c r="N2806" t="n">
        <v>0</v>
      </c>
      <c r="O2806" t="n">
        <v>0</v>
      </c>
      <c r="P2806" t="n">
        <v>0</v>
      </c>
      <c r="Q2806" t="n">
        <v>0</v>
      </c>
      <c r="R2806" s="2" t="inlineStr"/>
    </row>
    <row r="2807" ht="15" customHeight="1">
      <c r="A2807" t="inlineStr">
        <is>
          <t>A 26440-2020</t>
        </is>
      </c>
      <c r="B2807" s="1" t="n">
        <v>43987</v>
      </c>
      <c r="C2807" s="1" t="n">
        <v>45810</v>
      </c>
      <c r="D2807" t="inlineStr">
        <is>
          <t>VÄRMLANDS LÄN</t>
        </is>
      </c>
      <c r="E2807" t="inlineStr">
        <is>
          <t>FILIPSTAD</t>
        </is>
      </c>
      <c r="F2807" t="inlineStr">
        <is>
          <t>Bergvik skog väst AB</t>
        </is>
      </c>
      <c r="G2807" t="n">
        <v>12.9</v>
      </c>
      <c r="H2807" t="n">
        <v>0</v>
      </c>
      <c r="I2807" t="n">
        <v>0</v>
      </c>
      <c r="J2807" t="n">
        <v>0</v>
      </c>
      <c r="K2807" t="n">
        <v>0</v>
      </c>
      <c r="L2807" t="n">
        <v>0</v>
      </c>
      <c r="M2807" t="n">
        <v>0</v>
      </c>
      <c r="N2807" t="n">
        <v>0</v>
      </c>
      <c r="O2807" t="n">
        <v>0</v>
      </c>
      <c r="P2807" t="n">
        <v>0</v>
      </c>
      <c r="Q2807" t="n">
        <v>0</v>
      </c>
      <c r="R2807" s="2" t="inlineStr"/>
    </row>
    <row r="2808" ht="15" customHeight="1">
      <c r="A2808" t="inlineStr">
        <is>
          <t>A 26516-2020</t>
        </is>
      </c>
      <c r="B2808" s="1" t="n">
        <v>43987</v>
      </c>
      <c r="C2808" s="1" t="n">
        <v>45810</v>
      </c>
      <c r="D2808" t="inlineStr">
        <is>
          <t>VÄRMLANDS LÄN</t>
        </is>
      </c>
      <c r="E2808" t="inlineStr">
        <is>
          <t>ÅRJÄNG</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26545-2020</t>
        </is>
      </c>
      <c r="B2809" s="1" t="n">
        <v>43987</v>
      </c>
      <c r="C2809" s="1" t="n">
        <v>45810</v>
      </c>
      <c r="D2809" t="inlineStr">
        <is>
          <t>VÄRMLANDS LÄN</t>
        </is>
      </c>
      <c r="E2809" t="inlineStr">
        <is>
          <t>FILIPSTAD</t>
        </is>
      </c>
      <c r="G2809" t="n">
        <v>3.5</v>
      </c>
      <c r="H2809" t="n">
        <v>0</v>
      </c>
      <c r="I2809" t="n">
        <v>0</v>
      </c>
      <c r="J2809" t="n">
        <v>0</v>
      </c>
      <c r="K2809" t="n">
        <v>0</v>
      </c>
      <c r="L2809" t="n">
        <v>0</v>
      </c>
      <c r="M2809" t="n">
        <v>0</v>
      </c>
      <c r="N2809" t="n">
        <v>0</v>
      </c>
      <c r="O2809" t="n">
        <v>0</v>
      </c>
      <c r="P2809" t="n">
        <v>0</v>
      </c>
      <c r="Q2809" t="n">
        <v>0</v>
      </c>
      <c r="R2809" s="2" t="inlineStr"/>
    </row>
    <row r="2810" ht="15" customHeight="1">
      <c r="A2810" t="inlineStr">
        <is>
          <t>A 26517-2020</t>
        </is>
      </c>
      <c r="B2810" s="1" t="n">
        <v>43987</v>
      </c>
      <c r="C2810" s="1" t="n">
        <v>45810</v>
      </c>
      <c r="D2810" t="inlineStr">
        <is>
          <t>VÄRMLANDS LÄN</t>
        </is>
      </c>
      <c r="E2810" t="inlineStr">
        <is>
          <t>FILIPSTAD</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26547-2020</t>
        </is>
      </c>
      <c r="B2811" s="1" t="n">
        <v>43987</v>
      </c>
      <c r="C2811" s="1" t="n">
        <v>45810</v>
      </c>
      <c r="D2811" t="inlineStr">
        <is>
          <t>VÄRMLANDS LÄN</t>
        </is>
      </c>
      <c r="E2811" t="inlineStr">
        <is>
          <t>ARVIKA</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26512-2020</t>
        </is>
      </c>
      <c r="B2812" s="1" t="n">
        <v>43987</v>
      </c>
      <c r="C2812" s="1" t="n">
        <v>45810</v>
      </c>
      <c r="D2812" t="inlineStr">
        <is>
          <t>VÄRMLANDS LÄN</t>
        </is>
      </c>
      <c r="E2812" t="inlineStr">
        <is>
          <t>ÅRJÄNG</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26786-2020</t>
        </is>
      </c>
      <c r="B2813" s="1" t="n">
        <v>43987</v>
      </c>
      <c r="C2813" s="1" t="n">
        <v>45810</v>
      </c>
      <c r="D2813" t="inlineStr">
        <is>
          <t>VÄRMLANDS LÄN</t>
        </is>
      </c>
      <c r="E2813" t="inlineStr">
        <is>
          <t>KARLSTAD</t>
        </is>
      </c>
      <c r="G2813" t="n">
        <v>6.5</v>
      </c>
      <c r="H2813" t="n">
        <v>0</v>
      </c>
      <c r="I2813" t="n">
        <v>0</v>
      </c>
      <c r="J2813" t="n">
        <v>0</v>
      </c>
      <c r="K2813" t="n">
        <v>0</v>
      </c>
      <c r="L2813" t="n">
        <v>0</v>
      </c>
      <c r="M2813" t="n">
        <v>0</v>
      </c>
      <c r="N2813" t="n">
        <v>0</v>
      </c>
      <c r="O2813" t="n">
        <v>0</v>
      </c>
      <c r="P2813" t="n">
        <v>0</v>
      </c>
      <c r="Q2813" t="n">
        <v>0</v>
      </c>
      <c r="R2813" s="2" t="inlineStr"/>
    </row>
    <row r="2814" ht="15" customHeight="1">
      <c r="A2814" t="inlineStr">
        <is>
          <t>A 26666-2020</t>
        </is>
      </c>
      <c r="B2814" s="1" t="n">
        <v>43989</v>
      </c>
      <c r="C2814" s="1" t="n">
        <v>45810</v>
      </c>
      <c r="D2814" t="inlineStr">
        <is>
          <t>VÄRMLANDS LÄN</t>
        </is>
      </c>
      <c r="E2814" t="inlineStr">
        <is>
          <t>TORSBY</t>
        </is>
      </c>
      <c r="G2814" t="n">
        <v>8.4</v>
      </c>
      <c r="H2814" t="n">
        <v>0</v>
      </c>
      <c r="I2814" t="n">
        <v>0</v>
      </c>
      <c r="J2814" t="n">
        <v>0</v>
      </c>
      <c r="K2814" t="n">
        <v>0</v>
      </c>
      <c r="L2814" t="n">
        <v>0</v>
      </c>
      <c r="M2814" t="n">
        <v>0</v>
      </c>
      <c r="N2814" t="n">
        <v>0</v>
      </c>
      <c r="O2814" t="n">
        <v>0</v>
      </c>
      <c r="P2814" t="n">
        <v>0</v>
      </c>
      <c r="Q2814" t="n">
        <v>0</v>
      </c>
      <c r="R2814" s="2" t="inlineStr"/>
    </row>
    <row r="2815" ht="15" customHeight="1">
      <c r="A2815" t="inlineStr">
        <is>
          <t>A 26864-2020</t>
        </is>
      </c>
      <c r="B2815" s="1" t="n">
        <v>43990</v>
      </c>
      <c r="C2815" s="1" t="n">
        <v>45810</v>
      </c>
      <c r="D2815" t="inlineStr">
        <is>
          <t>VÄRMLANDS LÄN</t>
        </is>
      </c>
      <c r="E2815" t="inlineStr">
        <is>
          <t>STORFORS</t>
        </is>
      </c>
      <c r="F2815" t="inlineStr">
        <is>
          <t>Naturvårdsverket</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26719-2020</t>
        </is>
      </c>
      <c r="B2816" s="1" t="n">
        <v>43990</v>
      </c>
      <c r="C2816" s="1" t="n">
        <v>45810</v>
      </c>
      <c r="D2816" t="inlineStr">
        <is>
          <t>VÄRMLANDS LÄN</t>
        </is>
      </c>
      <c r="E2816" t="inlineStr">
        <is>
          <t>SUNNE</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26892-2020</t>
        </is>
      </c>
      <c r="B2817" s="1" t="n">
        <v>43990</v>
      </c>
      <c r="C2817" s="1" t="n">
        <v>45810</v>
      </c>
      <c r="D2817" t="inlineStr">
        <is>
          <t>VÄRMLANDS LÄN</t>
        </is>
      </c>
      <c r="E2817" t="inlineStr">
        <is>
          <t>STORFORS</t>
        </is>
      </c>
      <c r="F2817" t="inlineStr">
        <is>
          <t>Naturvårdsverket</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27339-2020</t>
        </is>
      </c>
      <c r="B2818" s="1" t="n">
        <v>43990</v>
      </c>
      <c r="C2818" s="1" t="n">
        <v>45810</v>
      </c>
      <c r="D2818" t="inlineStr">
        <is>
          <t>VÄRMLANDS LÄN</t>
        </is>
      </c>
      <c r="E2818" t="inlineStr">
        <is>
          <t>TORSBY</t>
        </is>
      </c>
      <c r="G2818" t="n">
        <v>4.2</v>
      </c>
      <c r="H2818" t="n">
        <v>0</v>
      </c>
      <c r="I2818" t="n">
        <v>0</v>
      </c>
      <c r="J2818" t="n">
        <v>0</v>
      </c>
      <c r="K2818" t="n">
        <v>0</v>
      </c>
      <c r="L2818" t="n">
        <v>0</v>
      </c>
      <c r="M2818" t="n">
        <v>0</v>
      </c>
      <c r="N2818" t="n">
        <v>0</v>
      </c>
      <c r="O2818" t="n">
        <v>0</v>
      </c>
      <c r="P2818" t="n">
        <v>0</v>
      </c>
      <c r="Q2818" t="n">
        <v>0</v>
      </c>
      <c r="R2818" s="2" t="inlineStr"/>
    </row>
    <row r="2819" ht="15" customHeight="1">
      <c r="A2819" t="inlineStr">
        <is>
          <t>A 27009-2020</t>
        </is>
      </c>
      <c r="B2819" s="1" t="n">
        <v>43991</v>
      </c>
      <c r="C2819" s="1" t="n">
        <v>45810</v>
      </c>
      <c r="D2819" t="inlineStr">
        <is>
          <t>VÄRMLANDS LÄN</t>
        </is>
      </c>
      <c r="E2819" t="inlineStr">
        <is>
          <t>TORSBY</t>
        </is>
      </c>
      <c r="F2819" t="inlineStr">
        <is>
          <t>Bergvik skog väst AB</t>
        </is>
      </c>
      <c r="G2819" t="n">
        <v>3</v>
      </c>
      <c r="H2819" t="n">
        <v>0</v>
      </c>
      <c r="I2819" t="n">
        <v>0</v>
      </c>
      <c r="J2819" t="n">
        <v>0</v>
      </c>
      <c r="K2819" t="n">
        <v>0</v>
      </c>
      <c r="L2819" t="n">
        <v>0</v>
      </c>
      <c r="M2819" t="n">
        <v>0</v>
      </c>
      <c r="N2819" t="n">
        <v>0</v>
      </c>
      <c r="O2819" t="n">
        <v>0</v>
      </c>
      <c r="P2819" t="n">
        <v>0</v>
      </c>
      <c r="Q2819" t="n">
        <v>0</v>
      </c>
      <c r="R2819" s="2" t="inlineStr"/>
    </row>
    <row r="2820" ht="15" customHeight="1">
      <c r="A2820" t="inlineStr">
        <is>
          <t>A 27248-2020</t>
        </is>
      </c>
      <c r="B2820" s="1" t="n">
        <v>43991</v>
      </c>
      <c r="C2820" s="1" t="n">
        <v>45810</v>
      </c>
      <c r="D2820" t="inlineStr">
        <is>
          <t>VÄRMLANDS LÄN</t>
        </is>
      </c>
      <c r="E2820" t="inlineStr">
        <is>
          <t>KARLSTAD</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27225-2020</t>
        </is>
      </c>
      <c r="B2821" s="1" t="n">
        <v>43992</v>
      </c>
      <c r="C2821" s="1" t="n">
        <v>45810</v>
      </c>
      <c r="D2821" t="inlineStr">
        <is>
          <t>VÄRMLANDS LÄN</t>
        </is>
      </c>
      <c r="E2821" t="inlineStr">
        <is>
          <t>KARLSTAD</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27333-2020</t>
        </is>
      </c>
      <c r="B2822" s="1" t="n">
        <v>43992</v>
      </c>
      <c r="C2822" s="1" t="n">
        <v>45810</v>
      </c>
      <c r="D2822" t="inlineStr">
        <is>
          <t>VÄRMLANDS LÄN</t>
        </is>
      </c>
      <c r="E2822" t="inlineStr">
        <is>
          <t>GRUMS</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27224-2020</t>
        </is>
      </c>
      <c r="B2823" s="1" t="n">
        <v>43992</v>
      </c>
      <c r="C2823" s="1" t="n">
        <v>45810</v>
      </c>
      <c r="D2823" t="inlineStr">
        <is>
          <t>VÄRMLANDS LÄN</t>
        </is>
      </c>
      <c r="E2823" t="inlineStr">
        <is>
          <t>KARLSTAD</t>
        </is>
      </c>
      <c r="G2823" t="n">
        <v>3.2</v>
      </c>
      <c r="H2823" t="n">
        <v>0</v>
      </c>
      <c r="I2823" t="n">
        <v>0</v>
      </c>
      <c r="J2823" t="n">
        <v>0</v>
      </c>
      <c r="K2823" t="n">
        <v>0</v>
      </c>
      <c r="L2823" t="n">
        <v>0</v>
      </c>
      <c r="M2823" t="n">
        <v>0</v>
      </c>
      <c r="N2823" t="n">
        <v>0</v>
      </c>
      <c r="O2823" t="n">
        <v>0</v>
      </c>
      <c r="P2823" t="n">
        <v>0</v>
      </c>
      <c r="Q2823" t="n">
        <v>0</v>
      </c>
      <c r="R2823" s="2" t="inlineStr"/>
    </row>
    <row r="2824" ht="15" customHeight="1">
      <c r="A2824" t="inlineStr">
        <is>
          <t>A 27356-2020</t>
        </is>
      </c>
      <c r="B2824" s="1" t="n">
        <v>43992</v>
      </c>
      <c r="C2824" s="1" t="n">
        <v>45810</v>
      </c>
      <c r="D2824" t="inlineStr">
        <is>
          <t>VÄRMLANDS LÄN</t>
        </is>
      </c>
      <c r="E2824" t="inlineStr">
        <is>
          <t>SUNNE</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27521-2020</t>
        </is>
      </c>
      <c r="B2825" s="1" t="n">
        <v>43993</v>
      </c>
      <c r="C2825" s="1" t="n">
        <v>45810</v>
      </c>
      <c r="D2825" t="inlineStr">
        <is>
          <t>VÄRMLANDS LÄN</t>
        </is>
      </c>
      <c r="E2825" t="inlineStr">
        <is>
          <t>SUNNE</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27474-2020</t>
        </is>
      </c>
      <c r="B2826" s="1" t="n">
        <v>43993</v>
      </c>
      <c r="C2826" s="1" t="n">
        <v>45810</v>
      </c>
      <c r="D2826" t="inlineStr">
        <is>
          <t>VÄRMLANDS LÄN</t>
        </is>
      </c>
      <c r="E2826" t="inlineStr">
        <is>
          <t>ARVIKA</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27484-2020</t>
        </is>
      </c>
      <c r="B2827" s="1" t="n">
        <v>43993</v>
      </c>
      <c r="C2827" s="1" t="n">
        <v>45810</v>
      </c>
      <c r="D2827" t="inlineStr">
        <is>
          <t>VÄRMLANDS LÄN</t>
        </is>
      </c>
      <c r="E2827" t="inlineStr">
        <is>
          <t>EDA</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27549-2020</t>
        </is>
      </c>
      <c r="B2828" s="1" t="n">
        <v>43993</v>
      </c>
      <c r="C2828" s="1" t="n">
        <v>45810</v>
      </c>
      <c r="D2828" t="inlineStr">
        <is>
          <t>VÄRMLANDS LÄN</t>
        </is>
      </c>
      <c r="E2828" t="inlineStr">
        <is>
          <t>GRUMS</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27610-2020</t>
        </is>
      </c>
      <c r="B2829" s="1" t="n">
        <v>43993</v>
      </c>
      <c r="C2829" s="1" t="n">
        <v>45810</v>
      </c>
      <c r="D2829" t="inlineStr">
        <is>
          <t>VÄRMLANDS LÄN</t>
        </is>
      </c>
      <c r="E2829" t="inlineStr">
        <is>
          <t>GRUMS</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27463-2020</t>
        </is>
      </c>
      <c r="B2830" s="1" t="n">
        <v>43993</v>
      </c>
      <c r="C2830" s="1" t="n">
        <v>45810</v>
      </c>
      <c r="D2830" t="inlineStr">
        <is>
          <t>VÄRMLANDS LÄN</t>
        </is>
      </c>
      <c r="E2830" t="inlineStr">
        <is>
          <t>KARLSTAD</t>
        </is>
      </c>
      <c r="G2830" t="n">
        <v>3.3</v>
      </c>
      <c r="H2830" t="n">
        <v>0</v>
      </c>
      <c r="I2830" t="n">
        <v>0</v>
      </c>
      <c r="J2830" t="n">
        <v>0</v>
      </c>
      <c r="K2830" t="n">
        <v>0</v>
      </c>
      <c r="L2830" t="n">
        <v>0</v>
      </c>
      <c r="M2830" t="n">
        <v>0</v>
      </c>
      <c r="N2830" t="n">
        <v>0</v>
      </c>
      <c r="O2830" t="n">
        <v>0</v>
      </c>
      <c r="P2830" t="n">
        <v>0</v>
      </c>
      <c r="Q2830" t="n">
        <v>0</v>
      </c>
      <c r="R2830" s="2" t="inlineStr"/>
    </row>
    <row r="2831" ht="15" customHeight="1">
      <c r="A2831" t="inlineStr">
        <is>
          <t>A 27568-2020</t>
        </is>
      </c>
      <c r="B2831" s="1" t="n">
        <v>43993</v>
      </c>
      <c r="C2831" s="1" t="n">
        <v>45810</v>
      </c>
      <c r="D2831" t="inlineStr">
        <is>
          <t>VÄRMLANDS LÄN</t>
        </is>
      </c>
      <c r="E2831" t="inlineStr">
        <is>
          <t>GRUMS</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27592-2020</t>
        </is>
      </c>
      <c r="B2832" s="1" t="n">
        <v>43993</v>
      </c>
      <c r="C2832" s="1" t="n">
        <v>45810</v>
      </c>
      <c r="D2832" t="inlineStr">
        <is>
          <t>VÄRMLANDS LÄN</t>
        </is>
      </c>
      <c r="E2832" t="inlineStr">
        <is>
          <t>GRUMS</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27680-2020</t>
        </is>
      </c>
      <c r="B2833" s="1" t="n">
        <v>43994</v>
      </c>
      <c r="C2833" s="1" t="n">
        <v>45810</v>
      </c>
      <c r="D2833" t="inlineStr">
        <is>
          <t>VÄRMLANDS LÄN</t>
        </is>
      </c>
      <c r="E2833" t="inlineStr">
        <is>
          <t>KRISTINEHAMN</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27802-2020</t>
        </is>
      </c>
      <c r="B2834" s="1" t="n">
        <v>43994</v>
      </c>
      <c r="C2834" s="1" t="n">
        <v>45810</v>
      </c>
      <c r="D2834" t="inlineStr">
        <is>
          <t>VÄRMLANDS LÄN</t>
        </is>
      </c>
      <c r="E2834" t="inlineStr">
        <is>
          <t>KARLSTAD</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27756-2020</t>
        </is>
      </c>
      <c r="B2835" s="1" t="n">
        <v>43994</v>
      </c>
      <c r="C2835" s="1" t="n">
        <v>45810</v>
      </c>
      <c r="D2835" t="inlineStr">
        <is>
          <t>VÄRMLANDS LÄN</t>
        </is>
      </c>
      <c r="E2835" t="inlineStr">
        <is>
          <t>ARVIKA</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27797-2020</t>
        </is>
      </c>
      <c r="B2836" s="1" t="n">
        <v>43994</v>
      </c>
      <c r="C2836" s="1" t="n">
        <v>45810</v>
      </c>
      <c r="D2836" t="inlineStr">
        <is>
          <t>VÄRMLANDS LÄN</t>
        </is>
      </c>
      <c r="E2836" t="inlineStr">
        <is>
          <t>HAGFORS</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27804-2020</t>
        </is>
      </c>
      <c r="B2837" s="1" t="n">
        <v>43994</v>
      </c>
      <c r="C2837" s="1" t="n">
        <v>45810</v>
      </c>
      <c r="D2837" t="inlineStr">
        <is>
          <t>VÄRMLANDS LÄN</t>
        </is>
      </c>
      <c r="E2837" t="inlineStr">
        <is>
          <t>KARLSTAD</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28132-2020</t>
        </is>
      </c>
      <c r="B2838" s="1" t="n">
        <v>43997</v>
      </c>
      <c r="C2838" s="1" t="n">
        <v>45810</v>
      </c>
      <c r="D2838" t="inlineStr">
        <is>
          <t>VÄRMLANDS LÄN</t>
        </is>
      </c>
      <c r="E2838" t="inlineStr">
        <is>
          <t>HAGFORS</t>
        </is>
      </c>
      <c r="F2838" t="inlineStr">
        <is>
          <t>Bergvik skog väst AB</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28192-2020</t>
        </is>
      </c>
      <c r="B2839" s="1" t="n">
        <v>43997</v>
      </c>
      <c r="C2839" s="1" t="n">
        <v>45810</v>
      </c>
      <c r="D2839" t="inlineStr">
        <is>
          <t>VÄRMLANDS LÄN</t>
        </is>
      </c>
      <c r="E2839" t="inlineStr">
        <is>
          <t>EDA</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28156-2020</t>
        </is>
      </c>
      <c r="B2840" s="1" t="n">
        <v>43997</v>
      </c>
      <c r="C2840" s="1" t="n">
        <v>45810</v>
      </c>
      <c r="D2840" t="inlineStr">
        <is>
          <t>VÄRMLANDS LÄN</t>
        </is>
      </c>
      <c r="E2840" t="inlineStr">
        <is>
          <t>SÄFFLE</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27983-2020</t>
        </is>
      </c>
      <c r="B2841" s="1" t="n">
        <v>43997</v>
      </c>
      <c r="C2841" s="1" t="n">
        <v>45810</v>
      </c>
      <c r="D2841" t="inlineStr">
        <is>
          <t>VÄRMLANDS LÄN</t>
        </is>
      </c>
      <c r="E2841" t="inlineStr">
        <is>
          <t>SÄFFLE</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28301-2020</t>
        </is>
      </c>
      <c r="B2842" s="1" t="n">
        <v>43998</v>
      </c>
      <c r="C2842" s="1" t="n">
        <v>45810</v>
      </c>
      <c r="D2842" t="inlineStr">
        <is>
          <t>VÄRMLANDS LÄN</t>
        </is>
      </c>
      <c r="E2842" t="inlineStr">
        <is>
          <t>FILIPSTAD</t>
        </is>
      </c>
      <c r="F2842" t="inlineStr">
        <is>
          <t>Bergvik skog väst AB</t>
        </is>
      </c>
      <c r="G2842" t="n">
        <v>7.8</v>
      </c>
      <c r="H2842" t="n">
        <v>0</v>
      </c>
      <c r="I2842" t="n">
        <v>0</v>
      </c>
      <c r="J2842" t="n">
        <v>0</v>
      </c>
      <c r="K2842" t="n">
        <v>0</v>
      </c>
      <c r="L2842" t="n">
        <v>0</v>
      </c>
      <c r="M2842" t="n">
        <v>0</v>
      </c>
      <c r="N2842" t="n">
        <v>0</v>
      </c>
      <c r="O2842" t="n">
        <v>0</v>
      </c>
      <c r="P2842" t="n">
        <v>0</v>
      </c>
      <c r="Q2842" t="n">
        <v>0</v>
      </c>
      <c r="R2842" s="2" t="inlineStr"/>
    </row>
    <row r="2843" ht="15" customHeight="1">
      <c r="A2843" t="inlineStr">
        <is>
          <t>A 28387-2020</t>
        </is>
      </c>
      <c r="B2843" s="1" t="n">
        <v>43998</v>
      </c>
      <c r="C2843" s="1" t="n">
        <v>45810</v>
      </c>
      <c r="D2843" t="inlineStr">
        <is>
          <t>VÄRMLANDS LÄN</t>
        </is>
      </c>
      <c r="E2843" t="inlineStr">
        <is>
          <t>KRISTINEHAMN</t>
        </is>
      </c>
      <c r="G2843" t="n">
        <v>3.9</v>
      </c>
      <c r="H2843" t="n">
        <v>0</v>
      </c>
      <c r="I2843" t="n">
        <v>0</v>
      </c>
      <c r="J2843" t="n">
        <v>0</v>
      </c>
      <c r="K2843" t="n">
        <v>0</v>
      </c>
      <c r="L2843" t="n">
        <v>0</v>
      </c>
      <c r="M2843" t="n">
        <v>0</v>
      </c>
      <c r="N2843" t="n">
        <v>0</v>
      </c>
      <c r="O2843" t="n">
        <v>0</v>
      </c>
      <c r="P2843" t="n">
        <v>0</v>
      </c>
      <c r="Q2843" t="n">
        <v>0</v>
      </c>
      <c r="R2843" s="2" t="inlineStr"/>
    </row>
    <row r="2844" ht="15" customHeight="1">
      <c r="A2844" t="inlineStr">
        <is>
          <t>A 28397-2020</t>
        </is>
      </c>
      <c r="B2844" s="1" t="n">
        <v>43998</v>
      </c>
      <c r="C2844" s="1" t="n">
        <v>45810</v>
      </c>
      <c r="D2844" t="inlineStr">
        <is>
          <t>VÄRMLANDS LÄN</t>
        </is>
      </c>
      <c r="E2844" t="inlineStr">
        <is>
          <t>TORSBY</t>
        </is>
      </c>
      <c r="G2844" t="n">
        <v>7.3</v>
      </c>
      <c r="H2844" t="n">
        <v>0</v>
      </c>
      <c r="I2844" t="n">
        <v>0</v>
      </c>
      <c r="J2844" t="n">
        <v>0</v>
      </c>
      <c r="K2844" t="n">
        <v>0</v>
      </c>
      <c r="L2844" t="n">
        <v>0</v>
      </c>
      <c r="M2844" t="n">
        <v>0</v>
      </c>
      <c r="N2844" t="n">
        <v>0</v>
      </c>
      <c r="O2844" t="n">
        <v>0</v>
      </c>
      <c r="P2844" t="n">
        <v>0</v>
      </c>
      <c r="Q2844" t="n">
        <v>0</v>
      </c>
      <c r="R2844" s="2" t="inlineStr"/>
    </row>
    <row r="2845" ht="15" customHeight="1">
      <c r="A2845" t="inlineStr">
        <is>
          <t>A 28416-2020</t>
        </is>
      </c>
      <c r="B2845" s="1" t="n">
        <v>43998</v>
      </c>
      <c r="C2845" s="1" t="n">
        <v>45810</v>
      </c>
      <c r="D2845" t="inlineStr">
        <is>
          <t>VÄRMLANDS LÄN</t>
        </is>
      </c>
      <c r="E2845" t="inlineStr">
        <is>
          <t>TORSBY</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28522-2020</t>
        </is>
      </c>
      <c r="B2846" s="1" t="n">
        <v>43999</v>
      </c>
      <c r="C2846" s="1" t="n">
        <v>45810</v>
      </c>
      <c r="D2846" t="inlineStr">
        <is>
          <t>VÄRMLANDS LÄN</t>
        </is>
      </c>
      <c r="E2846" t="inlineStr">
        <is>
          <t>FILIPSTAD</t>
        </is>
      </c>
      <c r="F2846" t="inlineStr">
        <is>
          <t>Bergvik skog väst AB</t>
        </is>
      </c>
      <c r="G2846" t="n">
        <v>5.4</v>
      </c>
      <c r="H2846" t="n">
        <v>0</v>
      </c>
      <c r="I2846" t="n">
        <v>0</v>
      </c>
      <c r="J2846" t="n">
        <v>0</v>
      </c>
      <c r="K2846" t="n">
        <v>0</v>
      </c>
      <c r="L2846" t="n">
        <v>0</v>
      </c>
      <c r="M2846" t="n">
        <v>0</v>
      </c>
      <c r="N2846" t="n">
        <v>0</v>
      </c>
      <c r="O2846" t="n">
        <v>0</v>
      </c>
      <c r="P2846" t="n">
        <v>0</v>
      </c>
      <c r="Q2846" t="n">
        <v>0</v>
      </c>
      <c r="R2846" s="2" t="inlineStr"/>
    </row>
    <row r="2847" ht="15" customHeight="1">
      <c r="A2847" t="inlineStr">
        <is>
          <t>A 28703-2020</t>
        </is>
      </c>
      <c r="B2847" s="1" t="n">
        <v>43999</v>
      </c>
      <c r="C2847" s="1" t="n">
        <v>45810</v>
      </c>
      <c r="D2847" t="inlineStr">
        <is>
          <t>VÄRMLANDS LÄN</t>
        </is>
      </c>
      <c r="E2847" t="inlineStr">
        <is>
          <t>TORSBY</t>
        </is>
      </c>
      <c r="G2847" t="n">
        <v>4.3</v>
      </c>
      <c r="H2847" t="n">
        <v>0</v>
      </c>
      <c r="I2847" t="n">
        <v>0</v>
      </c>
      <c r="J2847" t="n">
        <v>0</v>
      </c>
      <c r="K2847" t="n">
        <v>0</v>
      </c>
      <c r="L2847" t="n">
        <v>0</v>
      </c>
      <c r="M2847" t="n">
        <v>0</v>
      </c>
      <c r="N2847" t="n">
        <v>0</v>
      </c>
      <c r="O2847" t="n">
        <v>0</v>
      </c>
      <c r="P2847" t="n">
        <v>0</v>
      </c>
      <c r="Q2847" t="n">
        <v>0</v>
      </c>
      <c r="R2847" s="2" t="inlineStr"/>
    </row>
    <row r="2848" ht="15" customHeight="1">
      <c r="A2848" t="inlineStr">
        <is>
          <t>A 28594-2020</t>
        </is>
      </c>
      <c r="B2848" s="1" t="n">
        <v>43999</v>
      </c>
      <c r="C2848" s="1" t="n">
        <v>45810</v>
      </c>
      <c r="D2848" t="inlineStr">
        <is>
          <t>VÄRMLANDS LÄN</t>
        </is>
      </c>
      <c r="E2848" t="inlineStr">
        <is>
          <t>ARVIKA</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28493-2020</t>
        </is>
      </c>
      <c r="B2849" s="1" t="n">
        <v>43999</v>
      </c>
      <c r="C2849" s="1" t="n">
        <v>45810</v>
      </c>
      <c r="D2849" t="inlineStr">
        <is>
          <t>VÄRMLANDS LÄN</t>
        </is>
      </c>
      <c r="E2849" t="inlineStr">
        <is>
          <t>KRISTINEHAMN</t>
        </is>
      </c>
      <c r="F2849" t="inlineStr">
        <is>
          <t>Kommuner</t>
        </is>
      </c>
      <c r="G2849" t="n">
        <v>6.2</v>
      </c>
      <c r="H2849" t="n">
        <v>0</v>
      </c>
      <c r="I2849" t="n">
        <v>0</v>
      </c>
      <c r="J2849" t="n">
        <v>0</v>
      </c>
      <c r="K2849" t="n">
        <v>0</v>
      </c>
      <c r="L2849" t="n">
        <v>0</v>
      </c>
      <c r="M2849" t="n">
        <v>0</v>
      </c>
      <c r="N2849" t="n">
        <v>0</v>
      </c>
      <c r="O2849" t="n">
        <v>0</v>
      </c>
      <c r="P2849" t="n">
        <v>0</v>
      </c>
      <c r="Q2849" t="n">
        <v>0</v>
      </c>
      <c r="R2849" s="2" t="inlineStr"/>
    </row>
    <row r="2850" ht="15" customHeight="1">
      <c r="A2850" t="inlineStr">
        <is>
          <t>A 28517-2020</t>
        </is>
      </c>
      <c r="B2850" s="1" t="n">
        <v>43999</v>
      </c>
      <c r="C2850" s="1" t="n">
        <v>45810</v>
      </c>
      <c r="D2850" t="inlineStr">
        <is>
          <t>VÄRMLANDS LÄN</t>
        </is>
      </c>
      <c r="E2850" t="inlineStr">
        <is>
          <t>HAGFORS</t>
        </is>
      </c>
      <c r="G2850" t="n">
        <v>2.7</v>
      </c>
      <c r="H2850" t="n">
        <v>0</v>
      </c>
      <c r="I2850" t="n">
        <v>0</v>
      </c>
      <c r="J2850" t="n">
        <v>0</v>
      </c>
      <c r="K2850" t="n">
        <v>0</v>
      </c>
      <c r="L2850" t="n">
        <v>0</v>
      </c>
      <c r="M2850" t="n">
        <v>0</v>
      </c>
      <c r="N2850" t="n">
        <v>0</v>
      </c>
      <c r="O2850" t="n">
        <v>0</v>
      </c>
      <c r="P2850" t="n">
        <v>0</v>
      </c>
      <c r="Q2850" t="n">
        <v>0</v>
      </c>
      <c r="R2850" s="2" t="inlineStr"/>
    </row>
    <row r="2851" ht="15" customHeight="1">
      <c r="A2851" t="inlineStr">
        <is>
          <t>A 28719-2020</t>
        </is>
      </c>
      <c r="B2851" s="1" t="n">
        <v>43999</v>
      </c>
      <c r="C2851" s="1" t="n">
        <v>45810</v>
      </c>
      <c r="D2851" t="inlineStr">
        <is>
          <t>VÄRMLANDS LÄN</t>
        </is>
      </c>
      <c r="E2851" t="inlineStr">
        <is>
          <t>EDA</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28827-2020</t>
        </is>
      </c>
      <c r="B2852" s="1" t="n">
        <v>44000</v>
      </c>
      <c r="C2852" s="1" t="n">
        <v>45810</v>
      </c>
      <c r="D2852" t="inlineStr">
        <is>
          <t>VÄRMLANDS LÄN</t>
        </is>
      </c>
      <c r="E2852" t="inlineStr">
        <is>
          <t>HAGFORS</t>
        </is>
      </c>
      <c r="F2852" t="inlineStr">
        <is>
          <t>Bergvik skog väst AB</t>
        </is>
      </c>
      <c r="G2852" t="n">
        <v>3.2</v>
      </c>
      <c r="H2852" t="n">
        <v>0</v>
      </c>
      <c r="I2852" t="n">
        <v>0</v>
      </c>
      <c r="J2852" t="n">
        <v>0</v>
      </c>
      <c r="K2852" t="n">
        <v>0</v>
      </c>
      <c r="L2852" t="n">
        <v>0</v>
      </c>
      <c r="M2852" t="n">
        <v>0</v>
      </c>
      <c r="N2852" t="n">
        <v>0</v>
      </c>
      <c r="O2852" t="n">
        <v>0</v>
      </c>
      <c r="P2852" t="n">
        <v>0</v>
      </c>
      <c r="Q2852" t="n">
        <v>0</v>
      </c>
      <c r="R2852" s="2" t="inlineStr"/>
    </row>
    <row r="2853" ht="15" customHeight="1">
      <c r="A2853" t="inlineStr">
        <is>
          <t>A 28849-2020</t>
        </is>
      </c>
      <c r="B2853" s="1" t="n">
        <v>44000</v>
      </c>
      <c r="C2853" s="1" t="n">
        <v>45810</v>
      </c>
      <c r="D2853" t="inlineStr">
        <is>
          <t>VÄRMLANDS LÄN</t>
        </is>
      </c>
      <c r="E2853" t="inlineStr">
        <is>
          <t>TORSBY</t>
        </is>
      </c>
      <c r="G2853" t="n">
        <v>10.9</v>
      </c>
      <c r="H2853" t="n">
        <v>0</v>
      </c>
      <c r="I2853" t="n">
        <v>0</v>
      </c>
      <c r="J2853" t="n">
        <v>0</v>
      </c>
      <c r="K2853" t="n">
        <v>0</v>
      </c>
      <c r="L2853" t="n">
        <v>0</v>
      </c>
      <c r="M2853" t="n">
        <v>0</v>
      </c>
      <c r="N2853" t="n">
        <v>0</v>
      </c>
      <c r="O2853" t="n">
        <v>0</v>
      </c>
      <c r="P2853" t="n">
        <v>0</v>
      </c>
      <c r="Q2853" t="n">
        <v>0</v>
      </c>
      <c r="R2853" s="2" t="inlineStr"/>
    </row>
    <row r="2854" ht="15" customHeight="1">
      <c r="A2854" t="inlineStr">
        <is>
          <t>A 28878-2020</t>
        </is>
      </c>
      <c r="B2854" s="1" t="n">
        <v>44000</v>
      </c>
      <c r="C2854" s="1" t="n">
        <v>45810</v>
      </c>
      <c r="D2854" t="inlineStr">
        <is>
          <t>VÄRMLANDS LÄN</t>
        </is>
      </c>
      <c r="E2854" t="inlineStr">
        <is>
          <t>GRUMS</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28897-2020</t>
        </is>
      </c>
      <c r="B2855" s="1" t="n">
        <v>44000</v>
      </c>
      <c r="C2855" s="1" t="n">
        <v>45810</v>
      </c>
      <c r="D2855" t="inlineStr">
        <is>
          <t>VÄRMLANDS LÄN</t>
        </is>
      </c>
      <c r="E2855" t="inlineStr">
        <is>
          <t>TORSBY</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28877-2020</t>
        </is>
      </c>
      <c r="B2856" s="1" t="n">
        <v>44000</v>
      </c>
      <c r="C2856" s="1" t="n">
        <v>45810</v>
      </c>
      <c r="D2856" t="inlineStr">
        <is>
          <t>VÄRMLANDS LÄN</t>
        </is>
      </c>
      <c r="E2856" t="inlineStr">
        <is>
          <t>MUNKFORS</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28911-2020</t>
        </is>
      </c>
      <c r="B2857" s="1" t="n">
        <v>44000</v>
      </c>
      <c r="C2857" s="1" t="n">
        <v>45810</v>
      </c>
      <c r="D2857" t="inlineStr">
        <is>
          <t>VÄRMLANDS LÄN</t>
        </is>
      </c>
      <c r="E2857" t="inlineStr">
        <is>
          <t>TORSBY</t>
        </is>
      </c>
      <c r="G2857" t="n">
        <v>9.699999999999999</v>
      </c>
      <c r="H2857" t="n">
        <v>0</v>
      </c>
      <c r="I2857" t="n">
        <v>0</v>
      </c>
      <c r="J2857" t="n">
        <v>0</v>
      </c>
      <c r="K2857" t="n">
        <v>0</v>
      </c>
      <c r="L2857" t="n">
        <v>0</v>
      </c>
      <c r="M2857" t="n">
        <v>0</v>
      </c>
      <c r="N2857" t="n">
        <v>0</v>
      </c>
      <c r="O2857" t="n">
        <v>0</v>
      </c>
      <c r="P2857" t="n">
        <v>0</v>
      </c>
      <c r="Q2857" t="n">
        <v>0</v>
      </c>
      <c r="R2857" s="2" t="inlineStr"/>
    </row>
    <row r="2858" ht="15" customHeight="1">
      <c r="A2858" t="inlineStr">
        <is>
          <t>A 28976-2020</t>
        </is>
      </c>
      <c r="B2858" s="1" t="n">
        <v>44000</v>
      </c>
      <c r="C2858" s="1" t="n">
        <v>45810</v>
      </c>
      <c r="D2858" t="inlineStr">
        <is>
          <t>VÄRMLANDS LÄN</t>
        </is>
      </c>
      <c r="E2858" t="inlineStr">
        <is>
          <t>TORSBY</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28851-2020</t>
        </is>
      </c>
      <c r="B2859" s="1" t="n">
        <v>44000</v>
      </c>
      <c r="C2859" s="1" t="n">
        <v>45810</v>
      </c>
      <c r="D2859" t="inlineStr">
        <is>
          <t>VÄRMLANDS LÄN</t>
        </is>
      </c>
      <c r="E2859" t="inlineStr">
        <is>
          <t>HAGFORS</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28987-2020</t>
        </is>
      </c>
      <c r="B2860" s="1" t="n">
        <v>44000</v>
      </c>
      <c r="C2860" s="1" t="n">
        <v>45810</v>
      </c>
      <c r="D2860" t="inlineStr">
        <is>
          <t>VÄRMLANDS LÄN</t>
        </is>
      </c>
      <c r="E2860" t="inlineStr">
        <is>
          <t>TORSBY</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29414-2020</t>
        </is>
      </c>
      <c r="B2861" s="1" t="n">
        <v>44000</v>
      </c>
      <c r="C2861" s="1" t="n">
        <v>45810</v>
      </c>
      <c r="D2861" t="inlineStr">
        <is>
          <t>VÄRMLANDS LÄN</t>
        </is>
      </c>
      <c r="E2861" t="inlineStr">
        <is>
          <t>SUNNE</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29108-2020</t>
        </is>
      </c>
      <c r="B2862" s="1" t="n">
        <v>44003</v>
      </c>
      <c r="C2862" s="1" t="n">
        <v>45810</v>
      </c>
      <c r="D2862" t="inlineStr">
        <is>
          <t>VÄRMLANDS LÄN</t>
        </is>
      </c>
      <c r="E2862" t="inlineStr">
        <is>
          <t>STORFORS</t>
        </is>
      </c>
      <c r="F2862" t="inlineStr">
        <is>
          <t>Bergvik skog väst AB</t>
        </is>
      </c>
      <c r="G2862" t="n">
        <v>16.1</v>
      </c>
      <c r="H2862" t="n">
        <v>0</v>
      </c>
      <c r="I2862" t="n">
        <v>0</v>
      </c>
      <c r="J2862" t="n">
        <v>0</v>
      </c>
      <c r="K2862" t="n">
        <v>0</v>
      </c>
      <c r="L2862" t="n">
        <v>0</v>
      </c>
      <c r="M2862" t="n">
        <v>0</v>
      </c>
      <c r="N2862" t="n">
        <v>0</v>
      </c>
      <c r="O2862" t="n">
        <v>0</v>
      </c>
      <c r="P2862" t="n">
        <v>0</v>
      </c>
      <c r="Q2862" t="n">
        <v>0</v>
      </c>
      <c r="R2862" s="2" t="inlineStr"/>
    </row>
    <row r="2863" ht="15" customHeight="1">
      <c r="A2863" t="inlineStr">
        <is>
          <t>A 29222-2020</t>
        </is>
      </c>
      <c r="B2863" s="1" t="n">
        <v>44004</v>
      </c>
      <c r="C2863" s="1" t="n">
        <v>45810</v>
      </c>
      <c r="D2863" t="inlineStr">
        <is>
          <t>VÄRMLANDS LÄN</t>
        </is>
      </c>
      <c r="E2863" t="inlineStr">
        <is>
          <t>SUNNE</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29380-2020</t>
        </is>
      </c>
      <c r="B2864" s="1" t="n">
        <v>44004</v>
      </c>
      <c r="C2864" s="1" t="n">
        <v>45810</v>
      </c>
      <c r="D2864" t="inlineStr">
        <is>
          <t>VÄRMLANDS LÄN</t>
        </is>
      </c>
      <c r="E2864" t="inlineStr">
        <is>
          <t>EDA</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29418-2020</t>
        </is>
      </c>
      <c r="B2865" s="1" t="n">
        <v>44004</v>
      </c>
      <c r="C2865" s="1" t="n">
        <v>45810</v>
      </c>
      <c r="D2865" t="inlineStr">
        <is>
          <t>VÄRMLANDS LÄN</t>
        </is>
      </c>
      <c r="E2865" t="inlineStr">
        <is>
          <t>ARVIKA</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29424-2020</t>
        </is>
      </c>
      <c r="B2866" s="1" t="n">
        <v>44004</v>
      </c>
      <c r="C2866" s="1" t="n">
        <v>45810</v>
      </c>
      <c r="D2866" t="inlineStr">
        <is>
          <t>VÄRMLANDS LÄN</t>
        </is>
      </c>
      <c r="E2866" t="inlineStr">
        <is>
          <t>ARVIKA</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29374-2020</t>
        </is>
      </c>
      <c r="B2867" s="1" t="n">
        <v>44004</v>
      </c>
      <c r="C2867" s="1" t="n">
        <v>45810</v>
      </c>
      <c r="D2867" t="inlineStr">
        <is>
          <t>VÄRMLANDS LÄN</t>
        </is>
      </c>
      <c r="E2867" t="inlineStr">
        <is>
          <t>SÄFFLE</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29409-2020</t>
        </is>
      </c>
      <c r="B2868" s="1" t="n">
        <v>44004</v>
      </c>
      <c r="C2868" s="1" t="n">
        <v>45810</v>
      </c>
      <c r="D2868" t="inlineStr">
        <is>
          <t>VÄRMLANDS LÄN</t>
        </is>
      </c>
      <c r="E2868" t="inlineStr">
        <is>
          <t>ÅRJÄNG</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29438-2020</t>
        </is>
      </c>
      <c r="B2869" s="1" t="n">
        <v>44004</v>
      </c>
      <c r="C2869" s="1" t="n">
        <v>45810</v>
      </c>
      <c r="D2869" t="inlineStr">
        <is>
          <t>VÄRMLANDS LÄN</t>
        </is>
      </c>
      <c r="E2869" t="inlineStr">
        <is>
          <t>ÅRJÄNG</t>
        </is>
      </c>
      <c r="G2869" t="n">
        <v>12.8</v>
      </c>
      <c r="H2869" t="n">
        <v>0</v>
      </c>
      <c r="I2869" t="n">
        <v>0</v>
      </c>
      <c r="J2869" t="n">
        <v>0</v>
      </c>
      <c r="K2869" t="n">
        <v>0</v>
      </c>
      <c r="L2869" t="n">
        <v>0</v>
      </c>
      <c r="M2869" t="n">
        <v>0</v>
      </c>
      <c r="N2869" t="n">
        <v>0</v>
      </c>
      <c r="O2869" t="n">
        <v>0</v>
      </c>
      <c r="P2869" t="n">
        <v>0</v>
      </c>
      <c r="Q2869" t="n">
        <v>0</v>
      </c>
      <c r="R2869" s="2" t="inlineStr"/>
    </row>
    <row r="2870" ht="15" customHeight="1">
      <c r="A2870" t="inlineStr">
        <is>
          <t>A 29465-2020</t>
        </is>
      </c>
      <c r="B2870" s="1" t="n">
        <v>44004</v>
      </c>
      <c r="C2870" s="1" t="n">
        <v>45810</v>
      </c>
      <c r="D2870" t="inlineStr">
        <is>
          <t>VÄRMLANDS LÄN</t>
        </is>
      </c>
      <c r="E2870" t="inlineStr">
        <is>
          <t>FORSHAGA</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29667-2020</t>
        </is>
      </c>
      <c r="B2871" s="1" t="n">
        <v>44004</v>
      </c>
      <c r="C2871" s="1" t="n">
        <v>45810</v>
      </c>
      <c r="D2871" t="inlineStr">
        <is>
          <t>VÄRMLANDS LÄN</t>
        </is>
      </c>
      <c r="E2871" t="inlineStr">
        <is>
          <t>SÄFFLE</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29568-2020</t>
        </is>
      </c>
      <c r="B2872" s="1" t="n">
        <v>44004</v>
      </c>
      <c r="C2872" s="1" t="n">
        <v>45810</v>
      </c>
      <c r="D2872" t="inlineStr">
        <is>
          <t>VÄRMLANDS LÄN</t>
        </is>
      </c>
      <c r="E2872" t="inlineStr">
        <is>
          <t>KARLSTAD</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29725-2020</t>
        </is>
      </c>
      <c r="B2873" s="1" t="n">
        <v>44005</v>
      </c>
      <c r="C2873" s="1" t="n">
        <v>45810</v>
      </c>
      <c r="D2873" t="inlineStr">
        <is>
          <t>VÄRMLANDS LÄN</t>
        </is>
      </c>
      <c r="E2873" t="inlineStr">
        <is>
          <t>ÅRJÄNG</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29681-2020</t>
        </is>
      </c>
      <c r="B2874" s="1" t="n">
        <v>44005</v>
      </c>
      <c r="C2874" s="1" t="n">
        <v>45810</v>
      </c>
      <c r="D2874" t="inlineStr">
        <is>
          <t>VÄRMLANDS LÄN</t>
        </is>
      </c>
      <c r="E2874" t="inlineStr">
        <is>
          <t>KARLSTAD</t>
        </is>
      </c>
      <c r="G2874" t="n">
        <v>6.3</v>
      </c>
      <c r="H2874" t="n">
        <v>0</v>
      </c>
      <c r="I2874" t="n">
        <v>0</v>
      </c>
      <c r="J2874" t="n">
        <v>0</v>
      </c>
      <c r="K2874" t="n">
        <v>0</v>
      </c>
      <c r="L2874" t="n">
        <v>0</v>
      </c>
      <c r="M2874" t="n">
        <v>0</v>
      </c>
      <c r="N2874" t="n">
        <v>0</v>
      </c>
      <c r="O2874" t="n">
        <v>0</v>
      </c>
      <c r="P2874" t="n">
        <v>0</v>
      </c>
      <c r="Q2874" t="n">
        <v>0</v>
      </c>
      <c r="R2874" s="2" t="inlineStr"/>
    </row>
    <row r="2875" ht="15" customHeight="1">
      <c r="A2875" t="inlineStr">
        <is>
          <t>A 29854-2020</t>
        </is>
      </c>
      <c r="B2875" s="1" t="n">
        <v>44005</v>
      </c>
      <c r="C2875" s="1" t="n">
        <v>45810</v>
      </c>
      <c r="D2875" t="inlineStr">
        <is>
          <t>VÄRMLANDS LÄN</t>
        </is>
      </c>
      <c r="E2875" t="inlineStr">
        <is>
          <t>FORSHAGA</t>
        </is>
      </c>
      <c r="G2875" t="n">
        <v>9.5</v>
      </c>
      <c r="H2875" t="n">
        <v>0</v>
      </c>
      <c r="I2875" t="n">
        <v>0</v>
      </c>
      <c r="J2875" t="n">
        <v>0</v>
      </c>
      <c r="K2875" t="n">
        <v>0</v>
      </c>
      <c r="L2875" t="n">
        <v>0</v>
      </c>
      <c r="M2875" t="n">
        <v>0</v>
      </c>
      <c r="N2875" t="n">
        <v>0</v>
      </c>
      <c r="O2875" t="n">
        <v>0</v>
      </c>
      <c r="P2875" t="n">
        <v>0</v>
      </c>
      <c r="Q2875" t="n">
        <v>0</v>
      </c>
      <c r="R2875" s="2" t="inlineStr"/>
    </row>
    <row r="2876" ht="15" customHeight="1">
      <c r="A2876" t="inlineStr">
        <is>
          <t>A 29808-2020</t>
        </is>
      </c>
      <c r="B2876" s="1" t="n">
        <v>44006</v>
      </c>
      <c r="C2876" s="1" t="n">
        <v>45810</v>
      </c>
      <c r="D2876" t="inlineStr">
        <is>
          <t>VÄRMLANDS LÄN</t>
        </is>
      </c>
      <c r="E2876" t="inlineStr">
        <is>
          <t>ÅRJÄNG</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29819-2020</t>
        </is>
      </c>
      <c r="B2877" s="1" t="n">
        <v>44006</v>
      </c>
      <c r="C2877" s="1" t="n">
        <v>45810</v>
      </c>
      <c r="D2877" t="inlineStr">
        <is>
          <t>VÄRMLANDS LÄN</t>
        </is>
      </c>
      <c r="E2877" t="inlineStr">
        <is>
          <t>ÅRJÄNG</t>
        </is>
      </c>
      <c r="G2877" t="n">
        <v>2.7</v>
      </c>
      <c r="H2877" t="n">
        <v>0</v>
      </c>
      <c r="I2877" t="n">
        <v>0</v>
      </c>
      <c r="J2877" t="n">
        <v>0</v>
      </c>
      <c r="K2877" t="n">
        <v>0</v>
      </c>
      <c r="L2877" t="n">
        <v>0</v>
      </c>
      <c r="M2877" t="n">
        <v>0</v>
      </c>
      <c r="N2877" t="n">
        <v>0</v>
      </c>
      <c r="O2877" t="n">
        <v>0</v>
      </c>
      <c r="P2877" t="n">
        <v>0</v>
      </c>
      <c r="Q2877" t="n">
        <v>0</v>
      </c>
      <c r="R2877" s="2" t="inlineStr"/>
    </row>
    <row r="2878" ht="15" customHeight="1">
      <c r="A2878" t="inlineStr">
        <is>
          <t>A 29890-2020</t>
        </is>
      </c>
      <c r="B2878" s="1" t="n">
        <v>44006</v>
      </c>
      <c r="C2878" s="1" t="n">
        <v>45810</v>
      </c>
      <c r="D2878" t="inlineStr">
        <is>
          <t>VÄRMLANDS LÄN</t>
        </is>
      </c>
      <c r="E2878" t="inlineStr">
        <is>
          <t>STORFORS</t>
        </is>
      </c>
      <c r="F2878" t="inlineStr">
        <is>
          <t>Bergvik skog väst AB</t>
        </is>
      </c>
      <c r="G2878" t="n">
        <v>5</v>
      </c>
      <c r="H2878" t="n">
        <v>0</v>
      </c>
      <c r="I2878" t="n">
        <v>0</v>
      </c>
      <c r="J2878" t="n">
        <v>0</v>
      </c>
      <c r="K2878" t="n">
        <v>0</v>
      </c>
      <c r="L2878" t="n">
        <v>0</v>
      </c>
      <c r="M2878" t="n">
        <v>0</v>
      </c>
      <c r="N2878" t="n">
        <v>0</v>
      </c>
      <c r="O2878" t="n">
        <v>0</v>
      </c>
      <c r="P2878" t="n">
        <v>0</v>
      </c>
      <c r="Q2878" t="n">
        <v>0</v>
      </c>
      <c r="R2878" s="2" t="inlineStr"/>
    </row>
    <row r="2879" ht="15" customHeight="1">
      <c r="A2879" t="inlineStr">
        <is>
          <t>A 29829-2020</t>
        </is>
      </c>
      <c r="B2879" s="1" t="n">
        <v>44006</v>
      </c>
      <c r="C2879" s="1" t="n">
        <v>45810</v>
      </c>
      <c r="D2879" t="inlineStr">
        <is>
          <t>VÄRMLANDS LÄN</t>
        </is>
      </c>
      <c r="E2879" t="inlineStr">
        <is>
          <t>ÅRJÄNG</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30017-2020</t>
        </is>
      </c>
      <c r="B2880" s="1" t="n">
        <v>44006</v>
      </c>
      <c r="C2880" s="1" t="n">
        <v>45810</v>
      </c>
      <c r="D2880" t="inlineStr">
        <is>
          <t>VÄRMLANDS LÄN</t>
        </is>
      </c>
      <c r="E2880" t="inlineStr">
        <is>
          <t>FILIPSTAD</t>
        </is>
      </c>
      <c r="G2880" t="n">
        <v>2.4</v>
      </c>
      <c r="H2880" t="n">
        <v>0</v>
      </c>
      <c r="I2880" t="n">
        <v>0</v>
      </c>
      <c r="J2880" t="n">
        <v>0</v>
      </c>
      <c r="K2880" t="n">
        <v>0</v>
      </c>
      <c r="L2880" t="n">
        <v>0</v>
      </c>
      <c r="M2880" t="n">
        <v>0</v>
      </c>
      <c r="N2880" t="n">
        <v>0</v>
      </c>
      <c r="O2880" t="n">
        <v>0</v>
      </c>
      <c r="P2880" t="n">
        <v>0</v>
      </c>
      <c r="Q2880" t="n">
        <v>0</v>
      </c>
      <c r="R2880" s="2" t="inlineStr"/>
    </row>
    <row r="2881" ht="15" customHeight="1">
      <c r="A2881" t="inlineStr">
        <is>
          <t>A 29976-2020</t>
        </is>
      </c>
      <c r="B2881" s="1" t="n">
        <v>44006</v>
      </c>
      <c r="C2881" s="1" t="n">
        <v>45810</v>
      </c>
      <c r="D2881" t="inlineStr">
        <is>
          <t>VÄRMLANDS LÄN</t>
        </is>
      </c>
      <c r="E2881" t="inlineStr">
        <is>
          <t>SUNNE</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30028-2020</t>
        </is>
      </c>
      <c r="B2882" s="1" t="n">
        <v>44006</v>
      </c>
      <c r="C2882" s="1" t="n">
        <v>45810</v>
      </c>
      <c r="D2882" t="inlineStr">
        <is>
          <t>VÄRMLANDS LÄN</t>
        </is>
      </c>
      <c r="E2882" t="inlineStr">
        <is>
          <t>FILIPSTAD</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30085-2020</t>
        </is>
      </c>
      <c r="B2883" s="1" t="n">
        <v>44006</v>
      </c>
      <c r="C2883" s="1" t="n">
        <v>45810</v>
      </c>
      <c r="D2883" t="inlineStr">
        <is>
          <t>VÄRMLANDS LÄN</t>
        </is>
      </c>
      <c r="E2883" t="inlineStr">
        <is>
          <t>FILIPSTAD</t>
        </is>
      </c>
      <c r="F2883" t="inlineStr">
        <is>
          <t>Bergvik skog väst AB</t>
        </is>
      </c>
      <c r="G2883" t="n">
        <v>7.2</v>
      </c>
      <c r="H2883" t="n">
        <v>0</v>
      </c>
      <c r="I2883" t="n">
        <v>0</v>
      </c>
      <c r="J2883" t="n">
        <v>0</v>
      </c>
      <c r="K2883" t="n">
        <v>0</v>
      </c>
      <c r="L2883" t="n">
        <v>0</v>
      </c>
      <c r="M2883" t="n">
        <v>0</v>
      </c>
      <c r="N2883" t="n">
        <v>0</v>
      </c>
      <c r="O2883" t="n">
        <v>0</v>
      </c>
      <c r="P2883" t="n">
        <v>0</v>
      </c>
      <c r="Q2883" t="n">
        <v>0</v>
      </c>
      <c r="R2883" s="2" t="inlineStr"/>
    </row>
    <row r="2884" ht="15" customHeight="1">
      <c r="A2884" t="inlineStr">
        <is>
          <t>A 30007-2020</t>
        </is>
      </c>
      <c r="B2884" s="1" t="n">
        <v>44006</v>
      </c>
      <c r="C2884" s="1" t="n">
        <v>45810</v>
      </c>
      <c r="D2884" t="inlineStr">
        <is>
          <t>VÄRMLANDS LÄN</t>
        </is>
      </c>
      <c r="E2884" t="inlineStr">
        <is>
          <t>FILIPSTAD</t>
        </is>
      </c>
      <c r="G2884" t="n">
        <v>5.7</v>
      </c>
      <c r="H2884" t="n">
        <v>0</v>
      </c>
      <c r="I2884" t="n">
        <v>0</v>
      </c>
      <c r="J2884" t="n">
        <v>0</v>
      </c>
      <c r="K2884" t="n">
        <v>0</v>
      </c>
      <c r="L2884" t="n">
        <v>0</v>
      </c>
      <c r="M2884" t="n">
        <v>0</v>
      </c>
      <c r="N2884" t="n">
        <v>0</v>
      </c>
      <c r="O2884" t="n">
        <v>0</v>
      </c>
      <c r="P2884" t="n">
        <v>0</v>
      </c>
      <c r="Q2884" t="n">
        <v>0</v>
      </c>
      <c r="R2884" s="2" t="inlineStr"/>
    </row>
    <row r="2885" ht="15" customHeight="1">
      <c r="A2885" t="inlineStr">
        <is>
          <t>A 29970-2020</t>
        </is>
      </c>
      <c r="B2885" s="1" t="n">
        <v>44006</v>
      </c>
      <c r="C2885" s="1" t="n">
        <v>45810</v>
      </c>
      <c r="D2885" t="inlineStr">
        <is>
          <t>VÄRMLANDS LÄN</t>
        </is>
      </c>
      <c r="E2885" t="inlineStr">
        <is>
          <t>TORSBY</t>
        </is>
      </c>
      <c r="F2885" t="inlineStr">
        <is>
          <t>Bergvik skog väst AB</t>
        </is>
      </c>
      <c r="G2885" t="n">
        <v>7.4</v>
      </c>
      <c r="H2885" t="n">
        <v>0</v>
      </c>
      <c r="I2885" t="n">
        <v>0</v>
      </c>
      <c r="J2885" t="n">
        <v>0</v>
      </c>
      <c r="K2885" t="n">
        <v>0</v>
      </c>
      <c r="L2885" t="n">
        <v>0</v>
      </c>
      <c r="M2885" t="n">
        <v>0</v>
      </c>
      <c r="N2885" t="n">
        <v>0</v>
      </c>
      <c r="O2885" t="n">
        <v>0</v>
      </c>
      <c r="P2885" t="n">
        <v>0</v>
      </c>
      <c r="Q2885" t="n">
        <v>0</v>
      </c>
      <c r="R2885" s="2" t="inlineStr"/>
    </row>
    <row r="2886" ht="15" customHeight="1">
      <c r="A2886" t="inlineStr">
        <is>
          <t>A 30291-2020</t>
        </is>
      </c>
      <c r="B2886" s="1" t="n">
        <v>44007</v>
      </c>
      <c r="C2886" s="1" t="n">
        <v>45810</v>
      </c>
      <c r="D2886" t="inlineStr">
        <is>
          <t>VÄRMLANDS LÄN</t>
        </is>
      </c>
      <c r="E2886" t="inlineStr">
        <is>
          <t>EDA</t>
        </is>
      </c>
      <c r="F2886" t="inlineStr">
        <is>
          <t>Kommuner</t>
        </is>
      </c>
      <c r="G2886" t="n">
        <v>6.4</v>
      </c>
      <c r="H2886" t="n">
        <v>0</v>
      </c>
      <c r="I2886" t="n">
        <v>0</v>
      </c>
      <c r="J2886" t="n">
        <v>0</v>
      </c>
      <c r="K2886" t="n">
        <v>0</v>
      </c>
      <c r="L2886" t="n">
        <v>0</v>
      </c>
      <c r="M2886" t="n">
        <v>0</v>
      </c>
      <c r="N2886" t="n">
        <v>0</v>
      </c>
      <c r="O2886" t="n">
        <v>0</v>
      </c>
      <c r="P2886" t="n">
        <v>0</v>
      </c>
      <c r="Q2886" t="n">
        <v>0</v>
      </c>
      <c r="R2886" s="2" t="inlineStr"/>
    </row>
    <row r="2887" ht="15" customHeight="1">
      <c r="A2887" t="inlineStr">
        <is>
          <t>A 30549-2020</t>
        </is>
      </c>
      <c r="B2887" s="1" t="n">
        <v>44007</v>
      </c>
      <c r="C2887" s="1" t="n">
        <v>45810</v>
      </c>
      <c r="D2887" t="inlineStr">
        <is>
          <t>VÄRMLANDS LÄN</t>
        </is>
      </c>
      <c r="E2887" t="inlineStr">
        <is>
          <t>SUNNE</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30684-2020</t>
        </is>
      </c>
      <c r="B2888" s="1" t="n">
        <v>44008</v>
      </c>
      <c r="C2888" s="1" t="n">
        <v>45810</v>
      </c>
      <c r="D2888" t="inlineStr">
        <is>
          <t>VÄRMLANDS LÄN</t>
        </is>
      </c>
      <c r="E2888" t="inlineStr">
        <is>
          <t>ARVIKA</t>
        </is>
      </c>
      <c r="F2888" t="inlineStr">
        <is>
          <t>Bergvik skog väst AB</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30543-2020</t>
        </is>
      </c>
      <c r="B2889" s="1" t="n">
        <v>44008</v>
      </c>
      <c r="C2889" s="1" t="n">
        <v>45810</v>
      </c>
      <c r="D2889" t="inlineStr">
        <is>
          <t>VÄRMLANDS LÄN</t>
        </is>
      </c>
      <c r="E2889" t="inlineStr">
        <is>
          <t>EDA</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30572-2020</t>
        </is>
      </c>
      <c r="B2890" s="1" t="n">
        <v>44008</v>
      </c>
      <c r="C2890" s="1" t="n">
        <v>45810</v>
      </c>
      <c r="D2890" t="inlineStr">
        <is>
          <t>VÄRMLANDS LÄN</t>
        </is>
      </c>
      <c r="E2890" t="inlineStr">
        <is>
          <t>TORSBY</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30690-2020</t>
        </is>
      </c>
      <c r="B2891" s="1" t="n">
        <v>44008</v>
      </c>
      <c r="C2891" s="1" t="n">
        <v>45810</v>
      </c>
      <c r="D2891" t="inlineStr">
        <is>
          <t>VÄRMLANDS LÄN</t>
        </is>
      </c>
      <c r="E2891" t="inlineStr">
        <is>
          <t>ARVIKA</t>
        </is>
      </c>
      <c r="G2891" t="n">
        <v>5.3</v>
      </c>
      <c r="H2891" t="n">
        <v>0</v>
      </c>
      <c r="I2891" t="n">
        <v>0</v>
      </c>
      <c r="J2891" t="n">
        <v>0</v>
      </c>
      <c r="K2891" t="n">
        <v>0</v>
      </c>
      <c r="L2891" t="n">
        <v>0</v>
      </c>
      <c r="M2891" t="n">
        <v>0</v>
      </c>
      <c r="N2891" t="n">
        <v>0</v>
      </c>
      <c r="O2891" t="n">
        <v>0</v>
      </c>
      <c r="P2891" t="n">
        <v>0</v>
      </c>
      <c r="Q2891" t="n">
        <v>0</v>
      </c>
      <c r="R2891" s="2" t="inlineStr"/>
    </row>
    <row r="2892" ht="15" customHeight="1">
      <c r="A2892" t="inlineStr">
        <is>
          <t>A 30768-2020</t>
        </is>
      </c>
      <c r="B2892" s="1" t="n">
        <v>44008</v>
      </c>
      <c r="C2892" s="1" t="n">
        <v>45810</v>
      </c>
      <c r="D2892" t="inlineStr">
        <is>
          <t>VÄRMLANDS LÄN</t>
        </is>
      </c>
      <c r="E2892" t="inlineStr">
        <is>
          <t>FILIPSTAD</t>
        </is>
      </c>
      <c r="F2892" t="inlineStr">
        <is>
          <t>Bergvik skog väst AB</t>
        </is>
      </c>
      <c r="G2892" t="n">
        <v>21.9</v>
      </c>
      <c r="H2892" t="n">
        <v>0</v>
      </c>
      <c r="I2892" t="n">
        <v>0</v>
      </c>
      <c r="J2892" t="n">
        <v>0</v>
      </c>
      <c r="K2892" t="n">
        <v>0</v>
      </c>
      <c r="L2892" t="n">
        <v>0</v>
      </c>
      <c r="M2892" t="n">
        <v>0</v>
      </c>
      <c r="N2892" t="n">
        <v>0</v>
      </c>
      <c r="O2892" t="n">
        <v>0</v>
      </c>
      <c r="P2892" t="n">
        <v>0</v>
      </c>
      <c r="Q2892" t="n">
        <v>0</v>
      </c>
      <c r="R2892" s="2" t="inlineStr"/>
    </row>
    <row r="2893" ht="15" customHeight="1">
      <c r="A2893" t="inlineStr">
        <is>
          <t>A 30767-2020</t>
        </is>
      </c>
      <c r="B2893" s="1" t="n">
        <v>44008</v>
      </c>
      <c r="C2893" s="1" t="n">
        <v>45810</v>
      </c>
      <c r="D2893" t="inlineStr">
        <is>
          <t>VÄRMLANDS LÄN</t>
        </is>
      </c>
      <c r="E2893" t="inlineStr">
        <is>
          <t>FILIPSTAD</t>
        </is>
      </c>
      <c r="F2893" t="inlineStr">
        <is>
          <t>Bergvik skog väst AB</t>
        </is>
      </c>
      <c r="G2893" t="n">
        <v>4.2</v>
      </c>
      <c r="H2893" t="n">
        <v>0</v>
      </c>
      <c r="I2893" t="n">
        <v>0</v>
      </c>
      <c r="J2893" t="n">
        <v>0</v>
      </c>
      <c r="K2893" t="n">
        <v>0</v>
      </c>
      <c r="L2893" t="n">
        <v>0</v>
      </c>
      <c r="M2893" t="n">
        <v>0</v>
      </c>
      <c r="N2893" t="n">
        <v>0</v>
      </c>
      <c r="O2893" t="n">
        <v>0</v>
      </c>
      <c r="P2893" t="n">
        <v>0</v>
      </c>
      <c r="Q2893" t="n">
        <v>0</v>
      </c>
      <c r="R2893" s="2" t="inlineStr"/>
    </row>
    <row r="2894" ht="15" customHeight="1">
      <c r="A2894" t="inlineStr">
        <is>
          <t>A 30982-2020</t>
        </is>
      </c>
      <c r="B2894" s="1" t="n">
        <v>44011</v>
      </c>
      <c r="C2894" s="1" t="n">
        <v>45810</v>
      </c>
      <c r="D2894" t="inlineStr">
        <is>
          <t>VÄRMLANDS LÄN</t>
        </is>
      </c>
      <c r="E2894" t="inlineStr">
        <is>
          <t>HAGFORS</t>
        </is>
      </c>
      <c r="F2894" t="inlineStr">
        <is>
          <t>Bergvik skog väst AB</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30996-2020</t>
        </is>
      </c>
      <c r="B2895" s="1" t="n">
        <v>44011</v>
      </c>
      <c r="C2895" s="1" t="n">
        <v>45810</v>
      </c>
      <c r="D2895" t="inlineStr">
        <is>
          <t>VÄRMLANDS LÄN</t>
        </is>
      </c>
      <c r="E2895" t="inlineStr">
        <is>
          <t>TORSBY</t>
        </is>
      </c>
      <c r="G2895" t="n">
        <v>0.4</v>
      </c>
      <c r="H2895" t="n">
        <v>0</v>
      </c>
      <c r="I2895" t="n">
        <v>0</v>
      </c>
      <c r="J2895" t="n">
        <v>0</v>
      </c>
      <c r="K2895" t="n">
        <v>0</v>
      </c>
      <c r="L2895" t="n">
        <v>0</v>
      </c>
      <c r="M2895" t="n">
        <v>0</v>
      </c>
      <c r="N2895" t="n">
        <v>0</v>
      </c>
      <c r="O2895" t="n">
        <v>0</v>
      </c>
      <c r="P2895" t="n">
        <v>0</v>
      </c>
      <c r="Q2895" t="n">
        <v>0</v>
      </c>
      <c r="R2895" s="2" t="inlineStr"/>
    </row>
    <row r="2896" ht="15" customHeight="1">
      <c r="A2896" t="inlineStr">
        <is>
          <t>A 30930-2020</t>
        </is>
      </c>
      <c r="B2896" s="1" t="n">
        <v>44011</v>
      </c>
      <c r="C2896" s="1" t="n">
        <v>45810</v>
      </c>
      <c r="D2896" t="inlineStr">
        <is>
          <t>VÄRMLANDS LÄN</t>
        </is>
      </c>
      <c r="E2896" t="inlineStr">
        <is>
          <t>TORSBY</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30960-2020</t>
        </is>
      </c>
      <c r="B2897" s="1" t="n">
        <v>44011</v>
      </c>
      <c r="C2897" s="1" t="n">
        <v>45810</v>
      </c>
      <c r="D2897" t="inlineStr">
        <is>
          <t>VÄRMLANDS LÄN</t>
        </is>
      </c>
      <c r="E2897" t="inlineStr">
        <is>
          <t>KARLSTAD</t>
        </is>
      </c>
      <c r="G2897" t="n">
        <v>4.8</v>
      </c>
      <c r="H2897" t="n">
        <v>0</v>
      </c>
      <c r="I2897" t="n">
        <v>0</v>
      </c>
      <c r="J2897" t="n">
        <v>0</v>
      </c>
      <c r="K2897" t="n">
        <v>0</v>
      </c>
      <c r="L2897" t="n">
        <v>0</v>
      </c>
      <c r="M2897" t="n">
        <v>0</v>
      </c>
      <c r="N2897" t="n">
        <v>0</v>
      </c>
      <c r="O2897" t="n">
        <v>0</v>
      </c>
      <c r="P2897" t="n">
        <v>0</v>
      </c>
      <c r="Q2897" t="n">
        <v>0</v>
      </c>
      <c r="R2897" s="2" t="inlineStr"/>
    </row>
    <row r="2898" ht="15" customHeight="1">
      <c r="A2898" t="inlineStr">
        <is>
          <t>A 31073-2020</t>
        </is>
      </c>
      <c r="B2898" s="1" t="n">
        <v>44012</v>
      </c>
      <c r="C2898" s="1" t="n">
        <v>45810</v>
      </c>
      <c r="D2898" t="inlineStr">
        <is>
          <t>VÄRMLANDS LÄN</t>
        </is>
      </c>
      <c r="E2898" t="inlineStr">
        <is>
          <t>HAGFORS</t>
        </is>
      </c>
      <c r="F2898" t="inlineStr">
        <is>
          <t>Bergvik skog väst AB</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31135-2020</t>
        </is>
      </c>
      <c r="B2899" s="1" t="n">
        <v>44012</v>
      </c>
      <c r="C2899" s="1" t="n">
        <v>45810</v>
      </c>
      <c r="D2899" t="inlineStr">
        <is>
          <t>VÄRMLANDS LÄN</t>
        </is>
      </c>
      <c r="E2899" t="inlineStr">
        <is>
          <t>ARVIKA</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31250-2020</t>
        </is>
      </c>
      <c r="B2900" s="1" t="n">
        <v>44012</v>
      </c>
      <c r="C2900" s="1" t="n">
        <v>45810</v>
      </c>
      <c r="D2900" t="inlineStr">
        <is>
          <t>VÄRMLANDS LÄN</t>
        </is>
      </c>
      <c r="E2900" t="inlineStr">
        <is>
          <t>SUNNE</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31192-2020</t>
        </is>
      </c>
      <c r="B2901" s="1" t="n">
        <v>44012</v>
      </c>
      <c r="C2901" s="1" t="n">
        <v>45810</v>
      </c>
      <c r="D2901" t="inlineStr">
        <is>
          <t>VÄRMLANDS LÄN</t>
        </is>
      </c>
      <c r="E2901" t="inlineStr">
        <is>
          <t>HAGFORS</t>
        </is>
      </c>
      <c r="F2901" t="inlineStr">
        <is>
          <t>Bergvik skog väst AB</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31262-2020</t>
        </is>
      </c>
      <c r="B2902" s="1" t="n">
        <v>44012</v>
      </c>
      <c r="C2902" s="1" t="n">
        <v>45810</v>
      </c>
      <c r="D2902" t="inlineStr">
        <is>
          <t>VÄRMLANDS LÄN</t>
        </is>
      </c>
      <c r="E2902" t="inlineStr">
        <is>
          <t>SÄFFLE</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31206-2020</t>
        </is>
      </c>
      <c r="B2903" s="1" t="n">
        <v>44012</v>
      </c>
      <c r="C2903" s="1" t="n">
        <v>45810</v>
      </c>
      <c r="D2903" t="inlineStr">
        <is>
          <t>VÄRMLANDS LÄN</t>
        </is>
      </c>
      <c r="E2903" t="inlineStr">
        <is>
          <t>SUNNE</t>
        </is>
      </c>
      <c r="F2903" t="inlineStr">
        <is>
          <t>Kommuner</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31224-2020</t>
        </is>
      </c>
      <c r="B2904" s="1" t="n">
        <v>44012</v>
      </c>
      <c r="C2904" s="1" t="n">
        <v>45810</v>
      </c>
      <c r="D2904" t="inlineStr">
        <is>
          <t>VÄRMLANDS LÄN</t>
        </is>
      </c>
      <c r="E2904" t="inlineStr">
        <is>
          <t>SUNNE</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31298-2020</t>
        </is>
      </c>
      <c r="B2905" s="1" t="n">
        <v>44012</v>
      </c>
      <c r="C2905" s="1" t="n">
        <v>45810</v>
      </c>
      <c r="D2905" t="inlineStr">
        <is>
          <t>VÄRMLANDS LÄN</t>
        </is>
      </c>
      <c r="E2905" t="inlineStr">
        <is>
          <t>TORSBY</t>
        </is>
      </c>
      <c r="G2905" t="n">
        <v>4.3</v>
      </c>
      <c r="H2905" t="n">
        <v>0</v>
      </c>
      <c r="I2905" t="n">
        <v>0</v>
      </c>
      <c r="J2905" t="n">
        <v>0</v>
      </c>
      <c r="K2905" t="n">
        <v>0</v>
      </c>
      <c r="L2905" t="n">
        <v>0</v>
      </c>
      <c r="M2905" t="n">
        <v>0</v>
      </c>
      <c r="N2905" t="n">
        <v>0</v>
      </c>
      <c r="O2905" t="n">
        <v>0</v>
      </c>
      <c r="P2905" t="n">
        <v>0</v>
      </c>
      <c r="Q2905" t="n">
        <v>0</v>
      </c>
      <c r="R2905" s="2" t="inlineStr"/>
    </row>
    <row r="2906" ht="15" customHeight="1">
      <c r="A2906" t="inlineStr">
        <is>
          <t>A 31381-2020</t>
        </is>
      </c>
      <c r="B2906" s="1" t="n">
        <v>44012</v>
      </c>
      <c r="C2906" s="1" t="n">
        <v>45810</v>
      </c>
      <c r="D2906" t="inlineStr">
        <is>
          <t>VÄRMLANDS LÄN</t>
        </is>
      </c>
      <c r="E2906" t="inlineStr">
        <is>
          <t>KARLSTAD</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31379-2020</t>
        </is>
      </c>
      <c r="B2907" s="1" t="n">
        <v>44012</v>
      </c>
      <c r="C2907" s="1" t="n">
        <v>45810</v>
      </c>
      <c r="D2907" t="inlineStr">
        <is>
          <t>VÄRMLANDS LÄN</t>
        </is>
      </c>
      <c r="E2907" t="inlineStr">
        <is>
          <t>KARLSTAD</t>
        </is>
      </c>
      <c r="G2907" t="n">
        <v>7.7</v>
      </c>
      <c r="H2907" t="n">
        <v>0</v>
      </c>
      <c r="I2907" t="n">
        <v>0</v>
      </c>
      <c r="J2907" t="n">
        <v>0</v>
      </c>
      <c r="K2907" t="n">
        <v>0</v>
      </c>
      <c r="L2907" t="n">
        <v>0</v>
      </c>
      <c r="M2907" t="n">
        <v>0</v>
      </c>
      <c r="N2907" t="n">
        <v>0</v>
      </c>
      <c r="O2907" t="n">
        <v>0</v>
      </c>
      <c r="P2907" t="n">
        <v>0</v>
      </c>
      <c r="Q2907" t="n">
        <v>0</v>
      </c>
      <c r="R2907" s="2" t="inlineStr"/>
    </row>
    <row r="2908" ht="15" customHeight="1">
      <c r="A2908" t="inlineStr">
        <is>
          <t>A 31252-2020</t>
        </is>
      </c>
      <c r="B2908" s="1" t="n">
        <v>44012</v>
      </c>
      <c r="C2908" s="1" t="n">
        <v>45810</v>
      </c>
      <c r="D2908" t="inlineStr">
        <is>
          <t>VÄRMLANDS LÄN</t>
        </is>
      </c>
      <c r="E2908" t="inlineStr">
        <is>
          <t>SÄFFLE</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31486-2020</t>
        </is>
      </c>
      <c r="B2909" s="1" t="n">
        <v>44013</v>
      </c>
      <c r="C2909" s="1" t="n">
        <v>45810</v>
      </c>
      <c r="D2909" t="inlineStr">
        <is>
          <t>VÄRMLANDS LÄN</t>
        </is>
      </c>
      <c r="E2909" t="inlineStr">
        <is>
          <t>SUNNE</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31436-2020</t>
        </is>
      </c>
      <c r="B2910" s="1" t="n">
        <v>44013</v>
      </c>
      <c r="C2910" s="1" t="n">
        <v>45810</v>
      </c>
      <c r="D2910" t="inlineStr">
        <is>
          <t>VÄRMLANDS LÄN</t>
        </is>
      </c>
      <c r="E2910" t="inlineStr">
        <is>
          <t>TORSBY</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31480-2020</t>
        </is>
      </c>
      <c r="B2911" s="1" t="n">
        <v>44013</v>
      </c>
      <c r="C2911" s="1" t="n">
        <v>45810</v>
      </c>
      <c r="D2911" t="inlineStr">
        <is>
          <t>VÄRMLANDS LÄN</t>
        </is>
      </c>
      <c r="E2911" t="inlineStr">
        <is>
          <t>SUNNE</t>
        </is>
      </c>
      <c r="G2911" t="n">
        <v>4.8</v>
      </c>
      <c r="H2911" t="n">
        <v>0</v>
      </c>
      <c r="I2911" t="n">
        <v>0</v>
      </c>
      <c r="J2911" t="n">
        <v>0</v>
      </c>
      <c r="K2911" t="n">
        <v>0</v>
      </c>
      <c r="L2911" t="n">
        <v>0</v>
      </c>
      <c r="M2911" t="n">
        <v>0</v>
      </c>
      <c r="N2911" t="n">
        <v>0</v>
      </c>
      <c r="O2911" t="n">
        <v>0</v>
      </c>
      <c r="P2911" t="n">
        <v>0</v>
      </c>
      <c r="Q2911" t="n">
        <v>0</v>
      </c>
      <c r="R2911" s="2" t="inlineStr"/>
    </row>
    <row r="2912" ht="15" customHeight="1">
      <c r="A2912" t="inlineStr">
        <is>
          <t>A 31577-2020</t>
        </is>
      </c>
      <c r="B2912" s="1" t="n">
        <v>44013</v>
      </c>
      <c r="C2912" s="1" t="n">
        <v>45810</v>
      </c>
      <c r="D2912" t="inlineStr">
        <is>
          <t>VÄRMLANDS LÄN</t>
        </is>
      </c>
      <c r="E2912" t="inlineStr">
        <is>
          <t>TORSBY</t>
        </is>
      </c>
      <c r="F2912" t="inlineStr">
        <is>
          <t>Kommuner</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31521-2020</t>
        </is>
      </c>
      <c r="B2913" s="1" t="n">
        <v>44013</v>
      </c>
      <c r="C2913" s="1" t="n">
        <v>45810</v>
      </c>
      <c r="D2913" t="inlineStr">
        <is>
          <t>VÄRMLANDS LÄN</t>
        </is>
      </c>
      <c r="E2913" t="inlineStr">
        <is>
          <t>ÅRJÄNG</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31665-2020</t>
        </is>
      </c>
      <c r="B2914" s="1" t="n">
        <v>44014</v>
      </c>
      <c r="C2914" s="1" t="n">
        <v>45810</v>
      </c>
      <c r="D2914" t="inlineStr">
        <is>
          <t>VÄRMLANDS LÄN</t>
        </is>
      </c>
      <c r="E2914" t="inlineStr">
        <is>
          <t>ÅRJÄNG</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31667-2020</t>
        </is>
      </c>
      <c r="B2915" s="1" t="n">
        <v>44013</v>
      </c>
      <c r="C2915" s="1" t="n">
        <v>45810</v>
      </c>
      <c r="D2915" t="inlineStr">
        <is>
          <t>VÄRMLANDS LÄN</t>
        </is>
      </c>
      <c r="E2915" t="inlineStr">
        <is>
          <t>ÅRJÄNG</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31684-2020</t>
        </is>
      </c>
      <c r="B2916" s="1" t="n">
        <v>44014</v>
      </c>
      <c r="C2916" s="1" t="n">
        <v>45810</v>
      </c>
      <c r="D2916" t="inlineStr">
        <is>
          <t>VÄRMLANDS LÄN</t>
        </is>
      </c>
      <c r="E2916" t="inlineStr">
        <is>
          <t>SUNNE</t>
        </is>
      </c>
      <c r="G2916" t="n">
        <v>5.4</v>
      </c>
      <c r="H2916" t="n">
        <v>0</v>
      </c>
      <c r="I2916" t="n">
        <v>0</v>
      </c>
      <c r="J2916" t="n">
        <v>0</v>
      </c>
      <c r="K2916" t="n">
        <v>0</v>
      </c>
      <c r="L2916" t="n">
        <v>0</v>
      </c>
      <c r="M2916" t="n">
        <v>0</v>
      </c>
      <c r="N2916" t="n">
        <v>0</v>
      </c>
      <c r="O2916" t="n">
        <v>0</v>
      </c>
      <c r="P2916" t="n">
        <v>0</v>
      </c>
      <c r="Q2916" t="n">
        <v>0</v>
      </c>
      <c r="R2916" s="2" t="inlineStr"/>
    </row>
    <row r="2917" ht="15" customHeight="1">
      <c r="A2917" t="inlineStr">
        <is>
          <t>A 31767-2020</t>
        </is>
      </c>
      <c r="B2917" s="1" t="n">
        <v>44014</v>
      </c>
      <c r="C2917" s="1" t="n">
        <v>45810</v>
      </c>
      <c r="D2917" t="inlineStr">
        <is>
          <t>VÄRMLANDS LÄN</t>
        </is>
      </c>
      <c r="E2917" t="inlineStr">
        <is>
          <t>SÄFFLE</t>
        </is>
      </c>
      <c r="G2917" t="n">
        <v>4</v>
      </c>
      <c r="H2917" t="n">
        <v>0</v>
      </c>
      <c r="I2917" t="n">
        <v>0</v>
      </c>
      <c r="J2917" t="n">
        <v>0</v>
      </c>
      <c r="K2917" t="n">
        <v>0</v>
      </c>
      <c r="L2917" t="n">
        <v>0</v>
      </c>
      <c r="M2917" t="n">
        <v>0</v>
      </c>
      <c r="N2917" t="n">
        <v>0</v>
      </c>
      <c r="O2917" t="n">
        <v>0</v>
      </c>
      <c r="P2917" t="n">
        <v>0</v>
      </c>
      <c r="Q2917" t="n">
        <v>0</v>
      </c>
      <c r="R2917" s="2" t="inlineStr"/>
    </row>
    <row r="2918" ht="15" customHeight="1">
      <c r="A2918" t="inlineStr">
        <is>
          <t>A 31680-2020</t>
        </is>
      </c>
      <c r="B2918" s="1" t="n">
        <v>44014</v>
      </c>
      <c r="C2918" s="1" t="n">
        <v>45810</v>
      </c>
      <c r="D2918" t="inlineStr">
        <is>
          <t>VÄRMLANDS LÄN</t>
        </is>
      </c>
      <c r="E2918" t="inlineStr">
        <is>
          <t>SUNNE</t>
        </is>
      </c>
      <c r="G2918" t="n">
        <v>4</v>
      </c>
      <c r="H2918" t="n">
        <v>0</v>
      </c>
      <c r="I2918" t="n">
        <v>0</v>
      </c>
      <c r="J2918" t="n">
        <v>0</v>
      </c>
      <c r="K2918" t="n">
        <v>0</v>
      </c>
      <c r="L2918" t="n">
        <v>0</v>
      </c>
      <c r="M2918" t="n">
        <v>0</v>
      </c>
      <c r="N2918" t="n">
        <v>0</v>
      </c>
      <c r="O2918" t="n">
        <v>0</v>
      </c>
      <c r="P2918" t="n">
        <v>0</v>
      </c>
      <c r="Q2918" t="n">
        <v>0</v>
      </c>
      <c r="R2918" s="2" t="inlineStr"/>
    </row>
    <row r="2919" ht="15" customHeight="1">
      <c r="A2919" t="inlineStr">
        <is>
          <t>A 31689-2020</t>
        </is>
      </c>
      <c r="B2919" s="1" t="n">
        <v>44014</v>
      </c>
      <c r="C2919" s="1" t="n">
        <v>45810</v>
      </c>
      <c r="D2919" t="inlineStr">
        <is>
          <t>VÄRMLANDS LÄN</t>
        </is>
      </c>
      <c r="E2919" t="inlineStr">
        <is>
          <t>ARVIKA</t>
        </is>
      </c>
      <c r="G2919" t="n">
        <v>3</v>
      </c>
      <c r="H2919" t="n">
        <v>0</v>
      </c>
      <c r="I2919" t="n">
        <v>0</v>
      </c>
      <c r="J2919" t="n">
        <v>0</v>
      </c>
      <c r="K2919" t="n">
        <v>0</v>
      </c>
      <c r="L2919" t="n">
        <v>0</v>
      </c>
      <c r="M2919" t="n">
        <v>0</v>
      </c>
      <c r="N2919" t="n">
        <v>0</v>
      </c>
      <c r="O2919" t="n">
        <v>0</v>
      </c>
      <c r="P2919" t="n">
        <v>0</v>
      </c>
      <c r="Q2919" t="n">
        <v>0</v>
      </c>
      <c r="R2919" s="2" t="inlineStr"/>
    </row>
    <row r="2920" ht="15" customHeight="1">
      <c r="A2920" t="inlineStr">
        <is>
          <t>A 31759-2020</t>
        </is>
      </c>
      <c r="B2920" s="1" t="n">
        <v>44014</v>
      </c>
      <c r="C2920" s="1" t="n">
        <v>45810</v>
      </c>
      <c r="D2920" t="inlineStr">
        <is>
          <t>VÄRMLANDS LÄN</t>
        </is>
      </c>
      <c r="E2920" t="inlineStr">
        <is>
          <t>TORSBY</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31769-2020</t>
        </is>
      </c>
      <c r="B2921" s="1" t="n">
        <v>44014</v>
      </c>
      <c r="C2921" s="1" t="n">
        <v>45810</v>
      </c>
      <c r="D2921" t="inlineStr">
        <is>
          <t>VÄRMLANDS LÄN</t>
        </is>
      </c>
      <c r="E2921" t="inlineStr">
        <is>
          <t>SÄFFLE</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32076-2020</t>
        </is>
      </c>
      <c r="B2922" s="1" t="n">
        <v>44015</v>
      </c>
      <c r="C2922" s="1" t="n">
        <v>45810</v>
      </c>
      <c r="D2922" t="inlineStr">
        <is>
          <t>VÄRMLANDS LÄN</t>
        </is>
      </c>
      <c r="E2922" t="inlineStr">
        <is>
          <t>SUNNE</t>
        </is>
      </c>
      <c r="G2922" t="n">
        <v>8.4</v>
      </c>
      <c r="H2922" t="n">
        <v>0</v>
      </c>
      <c r="I2922" t="n">
        <v>0</v>
      </c>
      <c r="J2922" t="n">
        <v>0</v>
      </c>
      <c r="K2922" t="n">
        <v>0</v>
      </c>
      <c r="L2922" t="n">
        <v>0</v>
      </c>
      <c r="M2922" t="n">
        <v>0</v>
      </c>
      <c r="N2922" t="n">
        <v>0</v>
      </c>
      <c r="O2922" t="n">
        <v>0</v>
      </c>
      <c r="P2922" t="n">
        <v>0</v>
      </c>
      <c r="Q2922" t="n">
        <v>0</v>
      </c>
      <c r="R2922" s="2" t="inlineStr"/>
    </row>
    <row r="2923" ht="15" customHeight="1">
      <c r="A2923" t="inlineStr">
        <is>
          <t>A 32171-2020</t>
        </is>
      </c>
      <c r="B2923" s="1" t="n">
        <v>44015</v>
      </c>
      <c r="C2923" s="1" t="n">
        <v>45810</v>
      </c>
      <c r="D2923" t="inlineStr">
        <is>
          <t>VÄRMLANDS LÄN</t>
        </is>
      </c>
      <c r="E2923" t="inlineStr">
        <is>
          <t>KARLSTAD</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32122-2020</t>
        </is>
      </c>
      <c r="B2924" s="1" t="n">
        <v>44015</v>
      </c>
      <c r="C2924" s="1" t="n">
        <v>45810</v>
      </c>
      <c r="D2924" t="inlineStr">
        <is>
          <t>VÄRMLANDS LÄN</t>
        </is>
      </c>
      <c r="E2924" t="inlineStr">
        <is>
          <t>TORSBY</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32354-2020</t>
        </is>
      </c>
      <c r="B2925" s="1" t="n">
        <v>44017</v>
      </c>
      <c r="C2925" s="1" t="n">
        <v>45810</v>
      </c>
      <c r="D2925" t="inlineStr">
        <is>
          <t>VÄRMLANDS LÄN</t>
        </is>
      </c>
      <c r="E2925" t="inlineStr">
        <is>
          <t>ARVIKA</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32399-2020</t>
        </is>
      </c>
      <c r="B2926" s="1" t="n">
        <v>44018</v>
      </c>
      <c r="C2926" s="1" t="n">
        <v>45810</v>
      </c>
      <c r="D2926" t="inlineStr">
        <is>
          <t>VÄRMLANDS LÄN</t>
        </is>
      </c>
      <c r="E2926" t="inlineStr">
        <is>
          <t>ÅRJÄNG</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32570-2020</t>
        </is>
      </c>
      <c r="B2927" s="1" t="n">
        <v>44018</v>
      </c>
      <c r="C2927" s="1" t="n">
        <v>45810</v>
      </c>
      <c r="D2927" t="inlineStr">
        <is>
          <t>VÄRMLANDS LÄN</t>
        </is>
      </c>
      <c r="E2927" t="inlineStr">
        <is>
          <t>ARVIKA</t>
        </is>
      </c>
      <c r="G2927" t="n">
        <v>4.2</v>
      </c>
      <c r="H2927" t="n">
        <v>0</v>
      </c>
      <c r="I2927" t="n">
        <v>0</v>
      </c>
      <c r="J2927" t="n">
        <v>0</v>
      </c>
      <c r="K2927" t="n">
        <v>0</v>
      </c>
      <c r="L2927" t="n">
        <v>0</v>
      </c>
      <c r="M2927" t="n">
        <v>0</v>
      </c>
      <c r="N2927" t="n">
        <v>0</v>
      </c>
      <c r="O2927" t="n">
        <v>0</v>
      </c>
      <c r="P2927" t="n">
        <v>0</v>
      </c>
      <c r="Q2927" t="n">
        <v>0</v>
      </c>
      <c r="R2927" s="2" t="inlineStr"/>
    </row>
    <row r="2928" ht="15" customHeight="1">
      <c r="A2928" t="inlineStr">
        <is>
          <t>A 32470-2020</t>
        </is>
      </c>
      <c r="B2928" s="1" t="n">
        <v>44018</v>
      </c>
      <c r="C2928" s="1" t="n">
        <v>45810</v>
      </c>
      <c r="D2928" t="inlineStr">
        <is>
          <t>VÄRMLANDS LÄN</t>
        </is>
      </c>
      <c r="E2928" t="inlineStr">
        <is>
          <t>HAGFORS</t>
        </is>
      </c>
      <c r="F2928" t="inlineStr">
        <is>
          <t>Bergvik skog väst AB</t>
        </is>
      </c>
      <c r="G2928" t="n">
        <v>13.6</v>
      </c>
      <c r="H2928" t="n">
        <v>0</v>
      </c>
      <c r="I2928" t="n">
        <v>0</v>
      </c>
      <c r="J2928" t="n">
        <v>0</v>
      </c>
      <c r="K2928" t="n">
        <v>0</v>
      </c>
      <c r="L2928" t="n">
        <v>0</v>
      </c>
      <c r="M2928" t="n">
        <v>0</v>
      </c>
      <c r="N2928" t="n">
        <v>0</v>
      </c>
      <c r="O2928" t="n">
        <v>0</v>
      </c>
      <c r="P2928" t="n">
        <v>0</v>
      </c>
      <c r="Q2928" t="n">
        <v>0</v>
      </c>
      <c r="R2928" s="2" t="inlineStr"/>
    </row>
    <row r="2929" ht="15" customHeight="1">
      <c r="A2929" t="inlineStr">
        <is>
          <t>A 32595-2020</t>
        </is>
      </c>
      <c r="B2929" s="1" t="n">
        <v>44019</v>
      </c>
      <c r="C2929" s="1" t="n">
        <v>45810</v>
      </c>
      <c r="D2929" t="inlineStr">
        <is>
          <t>VÄRMLANDS LÄN</t>
        </is>
      </c>
      <c r="E2929" t="inlineStr">
        <is>
          <t>EDA</t>
        </is>
      </c>
      <c r="F2929" t="inlineStr">
        <is>
          <t>Kyrkan</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32629-2020</t>
        </is>
      </c>
      <c r="B2930" s="1" t="n">
        <v>44019</v>
      </c>
      <c r="C2930" s="1" t="n">
        <v>45810</v>
      </c>
      <c r="D2930" t="inlineStr">
        <is>
          <t>VÄRMLANDS LÄN</t>
        </is>
      </c>
      <c r="E2930" t="inlineStr">
        <is>
          <t>SUNNE</t>
        </is>
      </c>
      <c r="G2930" t="n">
        <v>0.4</v>
      </c>
      <c r="H2930" t="n">
        <v>0</v>
      </c>
      <c r="I2930" t="n">
        <v>0</v>
      </c>
      <c r="J2930" t="n">
        <v>0</v>
      </c>
      <c r="K2930" t="n">
        <v>0</v>
      </c>
      <c r="L2930" t="n">
        <v>0</v>
      </c>
      <c r="M2930" t="n">
        <v>0</v>
      </c>
      <c r="N2930" t="n">
        <v>0</v>
      </c>
      <c r="O2930" t="n">
        <v>0</v>
      </c>
      <c r="P2930" t="n">
        <v>0</v>
      </c>
      <c r="Q2930" t="n">
        <v>0</v>
      </c>
      <c r="R2930" s="2" t="inlineStr"/>
    </row>
    <row r="2931" ht="15" customHeight="1">
      <c r="A2931" t="inlineStr">
        <is>
          <t>A 32600-2020</t>
        </is>
      </c>
      <c r="B2931" s="1" t="n">
        <v>44019</v>
      </c>
      <c r="C2931" s="1" t="n">
        <v>45810</v>
      </c>
      <c r="D2931" t="inlineStr">
        <is>
          <t>VÄRMLANDS LÄN</t>
        </is>
      </c>
      <c r="E2931" t="inlineStr">
        <is>
          <t>ARVIKA</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32623-2020</t>
        </is>
      </c>
      <c r="B2932" s="1" t="n">
        <v>44019</v>
      </c>
      <c r="C2932" s="1" t="n">
        <v>45810</v>
      </c>
      <c r="D2932" t="inlineStr">
        <is>
          <t>VÄRMLANDS LÄN</t>
        </is>
      </c>
      <c r="E2932" t="inlineStr">
        <is>
          <t>TORSBY</t>
        </is>
      </c>
      <c r="F2932" t="inlineStr">
        <is>
          <t>Kommuner</t>
        </is>
      </c>
      <c r="G2932" t="n">
        <v>13.9</v>
      </c>
      <c r="H2932" t="n">
        <v>0</v>
      </c>
      <c r="I2932" t="n">
        <v>0</v>
      </c>
      <c r="J2932" t="n">
        <v>0</v>
      </c>
      <c r="K2932" t="n">
        <v>0</v>
      </c>
      <c r="L2932" t="n">
        <v>0</v>
      </c>
      <c r="M2932" t="n">
        <v>0</v>
      </c>
      <c r="N2932" t="n">
        <v>0</v>
      </c>
      <c r="O2932" t="n">
        <v>0</v>
      </c>
      <c r="P2932" t="n">
        <v>0</v>
      </c>
      <c r="Q2932" t="n">
        <v>0</v>
      </c>
      <c r="R2932" s="2" t="inlineStr"/>
    </row>
    <row r="2933" ht="15" customHeight="1">
      <c r="A2933" t="inlineStr">
        <is>
          <t>A 32651-2020</t>
        </is>
      </c>
      <c r="B2933" s="1" t="n">
        <v>44019</v>
      </c>
      <c r="C2933" s="1" t="n">
        <v>45810</v>
      </c>
      <c r="D2933" t="inlineStr">
        <is>
          <t>VÄRMLANDS LÄN</t>
        </is>
      </c>
      <c r="E2933" t="inlineStr">
        <is>
          <t>TORSBY</t>
        </is>
      </c>
      <c r="F2933" t="inlineStr">
        <is>
          <t>Kommuner</t>
        </is>
      </c>
      <c r="G2933" t="n">
        <v>8.6</v>
      </c>
      <c r="H2933" t="n">
        <v>0</v>
      </c>
      <c r="I2933" t="n">
        <v>0</v>
      </c>
      <c r="J2933" t="n">
        <v>0</v>
      </c>
      <c r="K2933" t="n">
        <v>0</v>
      </c>
      <c r="L2933" t="n">
        <v>0</v>
      </c>
      <c r="M2933" t="n">
        <v>0</v>
      </c>
      <c r="N2933" t="n">
        <v>0</v>
      </c>
      <c r="O2933" t="n">
        <v>0</v>
      </c>
      <c r="P2933" t="n">
        <v>0</v>
      </c>
      <c r="Q2933" t="n">
        <v>0</v>
      </c>
      <c r="R2933" s="2" t="inlineStr"/>
    </row>
    <row r="2934" ht="15" customHeight="1">
      <c r="A2934" t="inlineStr">
        <is>
          <t>A 33027-2020</t>
        </is>
      </c>
      <c r="B2934" s="1" t="n">
        <v>44019</v>
      </c>
      <c r="C2934" s="1" t="n">
        <v>45810</v>
      </c>
      <c r="D2934" t="inlineStr">
        <is>
          <t>VÄRMLANDS LÄN</t>
        </is>
      </c>
      <c r="E2934" t="inlineStr">
        <is>
          <t>SUNNE</t>
        </is>
      </c>
      <c r="G2934" t="n">
        <v>5.6</v>
      </c>
      <c r="H2934" t="n">
        <v>0</v>
      </c>
      <c r="I2934" t="n">
        <v>0</v>
      </c>
      <c r="J2934" t="n">
        <v>0</v>
      </c>
      <c r="K2934" t="n">
        <v>0</v>
      </c>
      <c r="L2934" t="n">
        <v>0</v>
      </c>
      <c r="M2934" t="n">
        <v>0</v>
      </c>
      <c r="N2934" t="n">
        <v>0</v>
      </c>
      <c r="O2934" t="n">
        <v>0</v>
      </c>
      <c r="P2934" t="n">
        <v>0</v>
      </c>
      <c r="Q2934" t="n">
        <v>0</v>
      </c>
      <c r="R2934" s="2" t="inlineStr"/>
    </row>
    <row r="2935" ht="15" customHeight="1">
      <c r="A2935" t="inlineStr">
        <is>
          <t>A 32705-2020</t>
        </is>
      </c>
      <c r="B2935" s="1" t="n">
        <v>44019</v>
      </c>
      <c r="C2935" s="1" t="n">
        <v>45810</v>
      </c>
      <c r="D2935" t="inlineStr">
        <is>
          <t>VÄRMLANDS LÄN</t>
        </is>
      </c>
      <c r="E2935" t="inlineStr">
        <is>
          <t>GRUMS</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32956-2020</t>
        </is>
      </c>
      <c r="B2936" s="1" t="n">
        <v>44019</v>
      </c>
      <c r="C2936" s="1" t="n">
        <v>45810</v>
      </c>
      <c r="D2936" t="inlineStr">
        <is>
          <t>VÄRMLANDS LÄN</t>
        </is>
      </c>
      <c r="E2936" t="inlineStr">
        <is>
          <t>ÅRJÄNG</t>
        </is>
      </c>
      <c r="F2936" t="inlineStr">
        <is>
          <t>Övriga Aktiebolag</t>
        </is>
      </c>
      <c r="G2936" t="n">
        <v>3.8</v>
      </c>
      <c r="H2936" t="n">
        <v>0</v>
      </c>
      <c r="I2936" t="n">
        <v>0</v>
      </c>
      <c r="J2936" t="n">
        <v>0</v>
      </c>
      <c r="K2936" t="n">
        <v>0</v>
      </c>
      <c r="L2936" t="n">
        <v>0</v>
      </c>
      <c r="M2936" t="n">
        <v>0</v>
      </c>
      <c r="N2936" t="n">
        <v>0</v>
      </c>
      <c r="O2936" t="n">
        <v>0</v>
      </c>
      <c r="P2936" t="n">
        <v>0</v>
      </c>
      <c r="Q2936" t="n">
        <v>0</v>
      </c>
      <c r="R2936" s="2" t="inlineStr"/>
    </row>
    <row r="2937" ht="15" customHeight="1">
      <c r="A2937" t="inlineStr">
        <is>
          <t>A 32962-2020</t>
        </is>
      </c>
      <c r="B2937" s="1" t="n">
        <v>44019</v>
      </c>
      <c r="C2937" s="1" t="n">
        <v>45810</v>
      </c>
      <c r="D2937" t="inlineStr">
        <is>
          <t>VÄRMLANDS LÄN</t>
        </is>
      </c>
      <c r="E2937" t="inlineStr">
        <is>
          <t>ÅRJÄNG</t>
        </is>
      </c>
      <c r="F2937" t="inlineStr">
        <is>
          <t>Övriga Aktiebolag</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32978-2020</t>
        </is>
      </c>
      <c r="B2938" s="1" t="n">
        <v>44020</v>
      </c>
      <c r="C2938" s="1" t="n">
        <v>45810</v>
      </c>
      <c r="D2938" t="inlineStr">
        <is>
          <t>VÄRMLANDS LÄN</t>
        </is>
      </c>
      <c r="E2938" t="inlineStr">
        <is>
          <t>EDA</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33075-2020</t>
        </is>
      </c>
      <c r="B2939" s="1" t="n">
        <v>44021</v>
      </c>
      <c r="C2939" s="1" t="n">
        <v>45810</v>
      </c>
      <c r="D2939" t="inlineStr">
        <is>
          <t>VÄRMLANDS LÄN</t>
        </is>
      </c>
      <c r="E2939" t="inlineStr">
        <is>
          <t>EDA</t>
        </is>
      </c>
      <c r="G2939" t="n">
        <v>7.9</v>
      </c>
      <c r="H2939" t="n">
        <v>0</v>
      </c>
      <c r="I2939" t="n">
        <v>0</v>
      </c>
      <c r="J2939" t="n">
        <v>0</v>
      </c>
      <c r="K2939" t="n">
        <v>0</v>
      </c>
      <c r="L2939" t="n">
        <v>0</v>
      </c>
      <c r="M2939" t="n">
        <v>0</v>
      </c>
      <c r="N2939" t="n">
        <v>0</v>
      </c>
      <c r="O2939" t="n">
        <v>0</v>
      </c>
      <c r="P2939" t="n">
        <v>0</v>
      </c>
      <c r="Q2939" t="n">
        <v>0</v>
      </c>
      <c r="R2939" s="2" t="inlineStr"/>
    </row>
    <row r="2940" ht="15" customHeight="1">
      <c r="A2940" t="inlineStr">
        <is>
          <t>A 33157-2020</t>
        </is>
      </c>
      <c r="B2940" s="1" t="n">
        <v>44021</v>
      </c>
      <c r="C2940" s="1" t="n">
        <v>45810</v>
      </c>
      <c r="D2940" t="inlineStr">
        <is>
          <t>VÄRMLANDS LÄN</t>
        </is>
      </c>
      <c r="E2940" t="inlineStr">
        <is>
          <t>KARLSTAD</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33124-2020</t>
        </is>
      </c>
      <c r="B2941" s="1" t="n">
        <v>44021</v>
      </c>
      <c r="C2941" s="1" t="n">
        <v>45810</v>
      </c>
      <c r="D2941" t="inlineStr">
        <is>
          <t>VÄRMLANDS LÄN</t>
        </is>
      </c>
      <c r="E2941" t="inlineStr">
        <is>
          <t>TORSBY</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33164-2020</t>
        </is>
      </c>
      <c r="B2942" s="1" t="n">
        <v>44021</v>
      </c>
      <c r="C2942" s="1" t="n">
        <v>45810</v>
      </c>
      <c r="D2942" t="inlineStr">
        <is>
          <t>VÄRMLANDS LÄN</t>
        </is>
      </c>
      <c r="E2942" t="inlineStr">
        <is>
          <t>KARLSTAD</t>
        </is>
      </c>
      <c r="G2942" t="n">
        <v>4.5</v>
      </c>
      <c r="H2942" t="n">
        <v>0</v>
      </c>
      <c r="I2942" t="n">
        <v>0</v>
      </c>
      <c r="J2942" t="n">
        <v>0</v>
      </c>
      <c r="K2942" t="n">
        <v>0</v>
      </c>
      <c r="L2942" t="n">
        <v>0</v>
      </c>
      <c r="M2942" t="n">
        <v>0</v>
      </c>
      <c r="N2942" t="n">
        <v>0</v>
      </c>
      <c r="O2942" t="n">
        <v>0</v>
      </c>
      <c r="P2942" t="n">
        <v>0</v>
      </c>
      <c r="Q2942" t="n">
        <v>0</v>
      </c>
      <c r="R2942" s="2" t="inlineStr"/>
    </row>
    <row r="2943" ht="15" customHeight="1">
      <c r="A2943" t="inlineStr">
        <is>
          <t>A 33173-2020</t>
        </is>
      </c>
      <c r="B2943" s="1" t="n">
        <v>44021</v>
      </c>
      <c r="C2943" s="1" t="n">
        <v>45810</v>
      </c>
      <c r="D2943" t="inlineStr">
        <is>
          <t>VÄRMLANDS LÄN</t>
        </is>
      </c>
      <c r="E2943" t="inlineStr">
        <is>
          <t>KARLSTAD</t>
        </is>
      </c>
      <c r="G2943" t="n">
        <v>15.4</v>
      </c>
      <c r="H2943" t="n">
        <v>0</v>
      </c>
      <c r="I2943" t="n">
        <v>0</v>
      </c>
      <c r="J2943" t="n">
        <v>0</v>
      </c>
      <c r="K2943" t="n">
        <v>0</v>
      </c>
      <c r="L2943" t="n">
        <v>0</v>
      </c>
      <c r="M2943" t="n">
        <v>0</v>
      </c>
      <c r="N2943" t="n">
        <v>0</v>
      </c>
      <c r="O2943" t="n">
        <v>0</v>
      </c>
      <c r="P2943" t="n">
        <v>0</v>
      </c>
      <c r="Q2943" t="n">
        <v>0</v>
      </c>
      <c r="R2943" s="2" t="inlineStr"/>
    </row>
    <row r="2944" ht="15" customHeight="1">
      <c r="A2944" t="inlineStr">
        <is>
          <t>A 33095-2020</t>
        </is>
      </c>
      <c r="B2944" s="1" t="n">
        <v>44021</v>
      </c>
      <c r="C2944" s="1" t="n">
        <v>45810</v>
      </c>
      <c r="D2944" t="inlineStr">
        <is>
          <t>VÄRMLANDS LÄN</t>
        </is>
      </c>
      <c r="E2944" t="inlineStr">
        <is>
          <t>TORSBY</t>
        </is>
      </c>
      <c r="G2944" t="n">
        <v>3.1</v>
      </c>
      <c r="H2944" t="n">
        <v>0</v>
      </c>
      <c r="I2944" t="n">
        <v>0</v>
      </c>
      <c r="J2944" t="n">
        <v>0</v>
      </c>
      <c r="K2944" t="n">
        <v>0</v>
      </c>
      <c r="L2944" t="n">
        <v>0</v>
      </c>
      <c r="M2944" t="n">
        <v>0</v>
      </c>
      <c r="N2944" t="n">
        <v>0</v>
      </c>
      <c r="O2944" t="n">
        <v>0</v>
      </c>
      <c r="P2944" t="n">
        <v>0</v>
      </c>
      <c r="Q2944" t="n">
        <v>0</v>
      </c>
      <c r="R2944" s="2" t="inlineStr"/>
    </row>
    <row r="2945" ht="15" customHeight="1">
      <c r="A2945" t="inlineStr">
        <is>
          <t>A 33126-2020</t>
        </is>
      </c>
      <c r="B2945" s="1" t="n">
        <v>44021</v>
      </c>
      <c r="C2945" s="1" t="n">
        <v>45810</v>
      </c>
      <c r="D2945" t="inlineStr">
        <is>
          <t>VÄRMLANDS LÄN</t>
        </is>
      </c>
      <c r="E2945" t="inlineStr">
        <is>
          <t>TORSBY</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33160-2020</t>
        </is>
      </c>
      <c r="B2946" s="1" t="n">
        <v>44021</v>
      </c>
      <c r="C2946" s="1" t="n">
        <v>45810</v>
      </c>
      <c r="D2946" t="inlineStr">
        <is>
          <t>VÄRMLANDS LÄN</t>
        </is>
      </c>
      <c r="E2946" t="inlineStr">
        <is>
          <t>KARLSTAD</t>
        </is>
      </c>
      <c r="G2946" t="n">
        <v>4.5</v>
      </c>
      <c r="H2946" t="n">
        <v>0</v>
      </c>
      <c r="I2946" t="n">
        <v>0</v>
      </c>
      <c r="J2946" t="n">
        <v>0</v>
      </c>
      <c r="K2946" t="n">
        <v>0</v>
      </c>
      <c r="L2946" t="n">
        <v>0</v>
      </c>
      <c r="M2946" t="n">
        <v>0</v>
      </c>
      <c r="N2946" t="n">
        <v>0</v>
      </c>
      <c r="O2946" t="n">
        <v>0</v>
      </c>
      <c r="P2946" t="n">
        <v>0</v>
      </c>
      <c r="Q2946" t="n">
        <v>0</v>
      </c>
      <c r="R2946" s="2" t="inlineStr"/>
    </row>
    <row r="2947" ht="15" customHeight="1">
      <c r="A2947" t="inlineStr">
        <is>
          <t>A 33167-2020</t>
        </is>
      </c>
      <c r="B2947" s="1" t="n">
        <v>44021</v>
      </c>
      <c r="C2947" s="1" t="n">
        <v>45810</v>
      </c>
      <c r="D2947" t="inlineStr">
        <is>
          <t>VÄRMLANDS LÄN</t>
        </is>
      </c>
      <c r="E2947" t="inlineStr">
        <is>
          <t>KARLSTAD</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33150-2020</t>
        </is>
      </c>
      <c r="B2948" s="1" t="n">
        <v>44021</v>
      </c>
      <c r="C2948" s="1" t="n">
        <v>45810</v>
      </c>
      <c r="D2948" t="inlineStr">
        <is>
          <t>VÄRMLANDS LÄN</t>
        </is>
      </c>
      <c r="E2948" t="inlineStr">
        <is>
          <t>KARLSTAD</t>
        </is>
      </c>
      <c r="G2948" t="n">
        <v>25.3</v>
      </c>
      <c r="H2948" t="n">
        <v>0</v>
      </c>
      <c r="I2948" t="n">
        <v>0</v>
      </c>
      <c r="J2948" t="n">
        <v>0</v>
      </c>
      <c r="K2948" t="n">
        <v>0</v>
      </c>
      <c r="L2948" t="n">
        <v>0</v>
      </c>
      <c r="M2948" t="n">
        <v>0</v>
      </c>
      <c r="N2948" t="n">
        <v>0</v>
      </c>
      <c r="O2948" t="n">
        <v>0</v>
      </c>
      <c r="P2948" t="n">
        <v>0</v>
      </c>
      <c r="Q2948" t="n">
        <v>0</v>
      </c>
      <c r="R2948" s="2" t="inlineStr"/>
    </row>
    <row r="2949" ht="15" customHeight="1">
      <c r="A2949" t="inlineStr">
        <is>
          <t>A 33161-2020</t>
        </is>
      </c>
      <c r="B2949" s="1" t="n">
        <v>44021</v>
      </c>
      <c r="C2949" s="1" t="n">
        <v>45810</v>
      </c>
      <c r="D2949" t="inlineStr">
        <is>
          <t>VÄRMLANDS LÄN</t>
        </is>
      </c>
      <c r="E2949" t="inlineStr">
        <is>
          <t>KARLSTAD</t>
        </is>
      </c>
      <c r="G2949" t="n">
        <v>0.4</v>
      </c>
      <c r="H2949" t="n">
        <v>0</v>
      </c>
      <c r="I2949" t="n">
        <v>0</v>
      </c>
      <c r="J2949" t="n">
        <v>0</v>
      </c>
      <c r="K2949" t="n">
        <v>0</v>
      </c>
      <c r="L2949" t="n">
        <v>0</v>
      </c>
      <c r="M2949" t="n">
        <v>0</v>
      </c>
      <c r="N2949" t="n">
        <v>0</v>
      </c>
      <c r="O2949" t="n">
        <v>0</v>
      </c>
      <c r="P2949" t="n">
        <v>0</v>
      </c>
      <c r="Q2949" t="n">
        <v>0</v>
      </c>
      <c r="R2949" s="2" t="inlineStr"/>
    </row>
    <row r="2950" ht="15" customHeight="1">
      <c r="A2950" t="inlineStr">
        <is>
          <t>A 33169-2020</t>
        </is>
      </c>
      <c r="B2950" s="1" t="n">
        <v>44021</v>
      </c>
      <c r="C2950" s="1" t="n">
        <v>45810</v>
      </c>
      <c r="D2950" t="inlineStr">
        <is>
          <t>VÄRMLANDS LÄN</t>
        </is>
      </c>
      <c r="E2950" t="inlineStr">
        <is>
          <t>KARLSTAD</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33163-2020</t>
        </is>
      </c>
      <c r="B2951" s="1" t="n">
        <v>44021</v>
      </c>
      <c r="C2951" s="1" t="n">
        <v>45810</v>
      </c>
      <c r="D2951" t="inlineStr">
        <is>
          <t>VÄRMLANDS LÄN</t>
        </is>
      </c>
      <c r="E2951" t="inlineStr">
        <is>
          <t>KARLSTAD</t>
        </is>
      </c>
      <c r="G2951" t="n">
        <v>5.9</v>
      </c>
      <c r="H2951" t="n">
        <v>0</v>
      </c>
      <c r="I2951" t="n">
        <v>0</v>
      </c>
      <c r="J2951" t="n">
        <v>0</v>
      </c>
      <c r="K2951" t="n">
        <v>0</v>
      </c>
      <c r="L2951" t="n">
        <v>0</v>
      </c>
      <c r="M2951" t="n">
        <v>0</v>
      </c>
      <c r="N2951" t="n">
        <v>0</v>
      </c>
      <c r="O2951" t="n">
        <v>0</v>
      </c>
      <c r="P2951" t="n">
        <v>0</v>
      </c>
      <c r="Q2951" t="n">
        <v>0</v>
      </c>
      <c r="R2951" s="2" t="inlineStr"/>
    </row>
    <row r="2952" ht="15" customHeight="1">
      <c r="A2952" t="inlineStr">
        <is>
          <t>A 33691-2020</t>
        </is>
      </c>
      <c r="B2952" s="1" t="n">
        <v>44022</v>
      </c>
      <c r="C2952" s="1" t="n">
        <v>45810</v>
      </c>
      <c r="D2952" t="inlineStr">
        <is>
          <t>VÄRMLANDS LÄN</t>
        </is>
      </c>
      <c r="E2952" t="inlineStr">
        <is>
          <t>TORSBY</t>
        </is>
      </c>
      <c r="F2952" t="inlineStr">
        <is>
          <t>Övriga Aktiebolag</t>
        </is>
      </c>
      <c r="G2952" t="n">
        <v>3.8</v>
      </c>
      <c r="H2952" t="n">
        <v>0</v>
      </c>
      <c r="I2952" t="n">
        <v>0</v>
      </c>
      <c r="J2952" t="n">
        <v>0</v>
      </c>
      <c r="K2952" t="n">
        <v>0</v>
      </c>
      <c r="L2952" t="n">
        <v>0</v>
      </c>
      <c r="M2952" t="n">
        <v>0</v>
      </c>
      <c r="N2952" t="n">
        <v>0</v>
      </c>
      <c r="O2952" t="n">
        <v>0</v>
      </c>
      <c r="P2952" t="n">
        <v>0</v>
      </c>
      <c r="Q2952" t="n">
        <v>0</v>
      </c>
      <c r="R2952" s="2" t="inlineStr"/>
    </row>
    <row r="2953" ht="15" customHeight="1">
      <c r="A2953" t="inlineStr">
        <is>
          <t>A 33653-2020</t>
        </is>
      </c>
      <c r="B2953" s="1" t="n">
        <v>44022</v>
      </c>
      <c r="C2953" s="1" t="n">
        <v>45810</v>
      </c>
      <c r="D2953" t="inlineStr">
        <is>
          <t>VÄRMLANDS LÄN</t>
        </is>
      </c>
      <c r="E2953" t="inlineStr">
        <is>
          <t>SUNNE</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33695-2020</t>
        </is>
      </c>
      <c r="B2954" s="1" t="n">
        <v>44022</v>
      </c>
      <c r="C2954" s="1" t="n">
        <v>45810</v>
      </c>
      <c r="D2954" t="inlineStr">
        <is>
          <t>VÄRMLANDS LÄN</t>
        </is>
      </c>
      <c r="E2954" t="inlineStr">
        <is>
          <t>HAGFORS</t>
        </is>
      </c>
      <c r="G2954" t="n">
        <v>2.8</v>
      </c>
      <c r="H2954" t="n">
        <v>0</v>
      </c>
      <c r="I2954" t="n">
        <v>0</v>
      </c>
      <c r="J2954" t="n">
        <v>0</v>
      </c>
      <c r="K2954" t="n">
        <v>0</v>
      </c>
      <c r="L2954" t="n">
        <v>0</v>
      </c>
      <c r="M2954" t="n">
        <v>0</v>
      </c>
      <c r="N2954" t="n">
        <v>0</v>
      </c>
      <c r="O2954" t="n">
        <v>0</v>
      </c>
      <c r="P2954" t="n">
        <v>0</v>
      </c>
      <c r="Q2954" t="n">
        <v>0</v>
      </c>
      <c r="R2954" s="2" t="inlineStr"/>
    </row>
    <row r="2955" ht="15" customHeight="1">
      <c r="A2955" t="inlineStr">
        <is>
          <t>A 34901-2020</t>
        </is>
      </c>
      <c r="B2955" s="1" t="n">
        <v>44022</v>
      </c>
      <c r="C2955" s="1" t="n">
        <v>45810</v>
      </c>
      <c r="D2955" t="inlineStr">
        <is>
          <t>VÄRMLANDS LÄN</t>
        </is>
      </c>
      <c r="E2955" t="inlineStr">
        <is>
          <t>TORSBY</t>
        </is>
      </c>
      <c r="F2955" t="inlineStr">
        <is>
          <t>Övriga Aktiebolag</t>
        </is>
      </c>
      <c r="G2955" t="n">
        <v>0.4</v>
      </c>
      <c r="H2955" t="n">
        <v>0</v>
      </c>
      <c r="I2955" t="n">
        <v>0</v>
      </c>
      <c r="J2955" t="n">
        <v>0</v>
      </c>
      <c r="K2955" t="n">
        <v>0</v>
      </c>
      <c r="L2955" t="n">
        <v>0</v>
      </c>
      <c r="M2955" t="n">
        <v>0</v>
      </c>
      <c r="N2955" t="n">
        <v>0</v>
      </c>
      <c r="O2955" t="n">
        <v>0</v>
      </c>
      <c r="P2955" t="n">
        <v>0</v>
      </c>
      <c r="Q2955" t="n">
        <v>0</v>
      </c>
      <c r="R2955" s="2" t="inlineStr"/>
    </row>
    <row r="2956" ht="15" customHeight="1">
      <c r="A2956" t="inlineStr">
        <is>
          <t>A 33476-2020</t>
        </is>
      </c>
      <c r="B2956" s="1" t="n">
        <v>44023</v>
      </c>
      <c r="C2956" s="1" t="n">
        <v>45810</v>
      </c>
      <c r="D2956" t="inlineStr">
        <is>
          <t>VÄRMLANDS LÄN</t>
        </is>
      </c>
      <c r="E2956" t="inlineStr">
        <is>
          <t>FORSHAGA</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33547-2020</t>
        </is>
      </c>
      <c r="B2957" s="1" t="n">
        <v>44025</v>
      </c>
      <c r="C2957" s="1" t="n">
        <v>45810</v>
      </c>
      <c r="D2957" t="inlineStr">
        <is>
          <t>VÄRMLANDS LÄN</t>
        </is>
      </c>
      <c r="E2957" t="inlineStr">
        <is>
          <t>EDA</t>
        </is>
      </c>
      <c r="G2957" t="n">
        <v>2.7</v>
      </c>
      <c r="H2957" t="n">
        <v>0</v>
      </c>
      <c r="I2957" t="n">
        <v>0</v>
      </c>
      <c r="J2957" t="n">
        <v>0</v>
      </c>
      <c r="K2957" t="n">
        <v>0</v>
      </c>
      <c r="L2957" t="n">
        <v>0</v>
      </c>
      <c r="M2957" t="n">
        <v>0</v>
      </c>
      <c r="N2957" t="n">
        <v>0</v>
      </c>
      <c r="O2957" t="n">
        <v>0</v>
      </c>
      <c r="P2957" t="n">
        <v>0</v>
      </c>
      <c r="Q2957" t="n">
        <v>0</v>
      </c>
      <c r="R2957" s="2" t="inlineStr"/>
    </row>
    <row r="2958" ht="15" customHeight="1">
      <c r="A2958" t="inlineStr">
        <is>
          <t>A 34053-2020</t>
        </is>
      </c>
      <c r="B2958" s="1" t="n">
        <v>44026</v>
      </c>
      <c r="C2958" s="1" t="n">
        <v>45810</v>
      </c>
      <c r="D2958" t="inlineStr">
        <is>
          <t>VÄRMLANDS LÄN</t>
        </is>
      </c>
      <c r="E2958" t="inlineStr">
        <is>
          <t>ARVIKA</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34035-2020</t>
        </is>
      </c>
      <c r="B2959" s="1" t="n">
        <v>44026</v>
      </c>
      <c r="C2959" s="1" t="n">
        <v>45810</v>
      </c>
      <c r="D2959" t="inlineStr">
        <is>
          <t>VÄRMLANDS LÄN</t>
        </is>
      </c>
      <c r="E2959" t="inlineStr">
        <is>
          <t>ARVIKA</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34044-2020</t>
        </is>
      </c>
      <c r="B2960" s="1" t="n">
        <v>44026</v>
      </c>
      <c r="C2960" s="1" t="n">
        <v>45810</v>
      </c>
      <c r="D2960" t="inlineStr">
        <is>
          <t>VÄRMLANDS LÄN</t>
        </is>
      </c>
      <c r="E2960" t="inlineStr">
        <is>
          <t>ARVIKA</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34005-2020</t>
        </is>
      </c>
      <c r="B2961" s="1" t="n">
        <v>44026</v>
      </c>
      <c r="C2961" s="1" t="n">
        <v>45810</v>
      </c>
      <c r="D2961" t="inlineStr">
        <is>
          <t>VÄRMLANDS LÄN</t>
        </is>
      </c>
      <c r="E2961" t="inlineStr">
        <is>
          <t>SÄFFLE</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33822-2020</t>
        </is>
      </c>
      <c r="B2962" s="1" t="n">
        <v>44027</v>
      </c>
      <c r="C2962" s="1" t="n">
        <v>45810</v>
      </c>
      <c r="D2962" t="inlineStr">
        <is>
          <t>VÄRMLANDS LÄN</t>
        </is>
      </c>
      <c r="E2962" t="inlineStr">
        <is>
          <t>SUNNE</t>
        </is>
      </c>
      <c r="G2962" t="n">
        <v>3.8</v>
      </c>
      <c r="H2962" t="n">
        <v>0</v>
      </c>
      <c r="I2962" t="n">
        <v>0</v>
      </c>
      <c r="J2962" t="n">
        <v>0</v>
      </c>
      <c r="K2962" t="n">
        <v>0</v>
      </c>
      <c r="L2962" t="n">
        <v>0</v>
      </c>
      <c r="M2962" t="n">
        <v>0</v>
      </c>
      <c r="N2962" t="n">
        <v>0</v>
      </c>
      <c r="O2962" t="n">
        <v>0</v>
      </c>
      <c r="P2962" t="n">
        <v>0</v>
      </c>
      <c r="Q2962" t="n">
        <v>0</v>
      </c>
      <c r="R2962" s="2" t="inlineStr"/>
    </row>
    <row r="2963" ht="15" customHeight="1">
      <c r="A2963" t="inlineStr">
        <is>
          <t>A 33872-2020</t>
        </is>
      </c>
      <c r="B2963" s="1" t="n">
        <v>44027</v>
      </c>
      <c r="C2963" s="1" t="n">
        <v>45810</v>
      </c>
      <c r="D2963" t="inlineStr">
        <is>
          <t>VÄRMLANDS LÄN</t>
        </is>
      </c>
      <c r="E2963" t="inlineStr">
        <is>
          <t>FILIPSTAD</t>
        </is>
      </c>
      <c r="F2963" t="inlineStr">
        <is>
          <t>Bergvik skog väst AB</t>
        </is>
      </c>
      <c r="G2963" t="n">
        <v>10.9</v>
      </c>
      <c r="H2963" t="n">
        <v>0</v>
      </c>
      <c r="I2963" t="n">
        <v>0</v>
      </c>
      <c r="J2963" t="n">
        <v>0</v>
      </c>
      <c r="K2963" t="n">
        <v>0</v>
      </c>
      <c r="L2963" t="n">
        <v>0</v>
      </c>
      <c r="M2963" t="n">
        <v>0</v>
      </c>
      <c r="N2963" t="n">
        <v>0</v>
      </c>
      <c r="O2963" t="n">
        <v>0</v>
      </c>
      <c r="P2963" t="n">
        <v>0</v>
      </c>
      <c r="Q2963" t="n">
        <v>0</v>
      </c>
      <c r="R2963" s="2" t="inlineStr"/>
    </row>
    <row r="2964" ht="15" customHeight="1">
      <c r="A2964" t="inlineStr">
        <is>
          <t>A 33847-2020</t>
        </is>
      </c>
      <c r="B2964" s="1" t="n">
        <v>44027</v>
      </c>
      <c r="C2964" s="1" t="n">
        <v>45810</v>
      </c>
      <c r="D2964" t="inlineStr">
        <is>
          <t>VÄRMLANDS LÄN</t>
        </is>
      </c>
      <c r="E2964" t="inlineStr">
        <is>
          <t>ARVIKA</t>
        </is>
      </c>
      <c r="G2964" t="n">
        <v>2.9</v>
      </c>
      <c r="H2964" t="n">
        <v>0</v>
      </c>
      <c r="I2964" t="n">
        <v>0</v>
      </c>
      <c r="J2964" t="n">
        <v>0</v>
      </c>
      <c r="K2964" t="n">
        <v>0</v>
      </c>
      <c r="L2964" t="n">
        <v>0</v>
      </c>
      <c r="M2964" t="n">
        <v>0</v>
      </c>
      <c r="N2964" t="n">
        <v>0</v>
      </c>
      <c r="O2964" t="n">
        <v>0</v>
      </c>
      <c r="P2964" t="n">
        <v>0</v>
      </c>
      <c r="Q2964" t="n">
        <v>0</v>
      </c>
      <c r="R2964" s="2" t="inlineStr"/>
    </row>
    <row r="2965" ht="15" customHeight="1">
      <c r="A2965" t="inlineStr">
        <is>
          <t>A 33904-2020</t>
        </is>
      </c>
      <c r="B2965" s="1" t="n">
        <v>44027</v>
      </c>
      <c r="C2965" s="1" t="n">
        <v>45810</v>
      </c>
      <c r="D2965" t="inlineStr">
        <is>
          <t>VÄRMLANDS LÄN</t>
        </is>
      </c>
      <c r="E2965" t="inlineStr">
        <is>
          <t>KIL</t>
        </is>
      </c>
      <c r="G2965" t="n">
        <v>5.1</v>
      </c>
      <c r="H2965" t="n">
        <v>0</v>
      </c>
      <c r="I2965" t="n">
        <v>0</v>
      </c>
      <c r="J2965" t="n">
        <v>0</v>
      </c>
      <c r="K2965" t="n">
        <v>0</v>
      </c>
      <c r="L2965" t="n">
        <v>0</v>
      </c>
      <c r="M2965" t="n">
        <v>0</v>
      </c>
      <c r="N2965" t="n">
        <v>0</v>
      </c>
      <c r="O2965" t="n">
        <v>0</v>
      </c>
      <c r="P2965" t="n">
        <v>0</v>
      </c>
      <c r="Q2965" t="n">
        <v>0</v>
      </c>
      <c r="R2965" s="2" t="inlineStr"/>
    </row>
    <row r="2966" ht="15" customHeight="1">
      <c r="A2966" t="inlineStr">
        <is>
          <t>A 33908-2020</t>
        </is>
      </c>
      <c r="B2966" s="1" t="n">
        <v>44027</v>
      </c>
      <c r="C2966" s="1" t="n">
        <v>45810</v>
      </c>
      <c r="D2966" t="inlineStr">
        <is>
          <t>VÄRMLANDS LÄN</t>
        </is>
      </c>
      <c r="E2966" t="inlineStr">
        <is>
          <t>TORSBY</t>
        </is>
      </c>
      <c r="G2966" t="n">
        <v>3.6</v>
      </c>
      <c r="H2966" t="n">
        <v>0</v>
      </c>
      <c r="I2966" t="n">
        <v>0</v>
      </c>
      <c r="J2966" t="n">
        <v>0</v>
      </c>
      <c r="K2966" t="n">
        <v>0</v>
      </c>
      <c r="L2966" t="n">
        <v>0</v>
      </c>
      <c r="M2966" t="n">
        <v>0</v>
      </c>
      <c r="N2966" t="n">
        <v>0</v>
      </c>
      <c r="O2966" t="n">
        <v>0</v>
      </c>
      <c r="P2966" t="n">
        <v>0</v>
      </c>
      <c r="Q2966" t="n">
        <v>0</v>
      </c>
      <c r="R2966" s="2" t="inlineStr"/>
    </row>
    <row r="2967" ht="15" customHeight="1">
      <c r="A2967" t="inlineStr">
        <is>
          <t>A 33896-2020</t>
        </is>
      </c>
      <c r="B2967" s="1" t="n">
        <v>44027</v>
      </c>
      <c r="C2967" s="1" t="n">
        <v>45810</v>
      </c>
      <c r="D2967" t="inlineStr">
        <is>
          <t>VÄRMLANDS LÄN</t>
        </is>
      </c>
      <c r="E2967" t="inlineStr">
        <is>
          <t>KIL</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33864-2020</t>
        </is>
      </c>
      <c r="B2968" s="1" t="n">
        <v>44027</v>
      </c>
      <c r="C2968" s="1" t="n">
        <v>45810</v>
      </c>
      <c r="D2968" t="inlineStr">
        <is>
          <t>VÄRMLANDS LÄN</t>
        </is>
      </c>
      <c r="E2968" t="inlineStr">
        <is>
          <t>TORSBY</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34009-2020</t>
        </is>
      </c>
      <c r="B2969" s="1" t="n">
        <v>44028</v>
      </c>
      <c r="C2969" s="1" t="n">
        <v>45810</v>
      </c>
      <c r="D2969" t="inlineStr">
        <is>
          <t>VÄRMLANDS LÄN</t>
        </is>
      </c>
      <c r="E2969" t="inlineStr">
        <is>
          <t>SUNNE</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34105-2020</t>
        </is>
      </c>
      <c r="B2970" s="1" t="n">
        <v>44028</v>
      </c>
      <c r="C2970" s="1" t="n">
        <v>45810</v>
      </c>
      <c r="D2970" t="inlineStr">
        <is>
          <t>VÄRMLANDS LÄN</t>
        </is>
      </c>
      <c r="E2970" t="inlineStr">
        <is>
          <t>FILIPSTAD</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33969-2020</t>
        </is>
      </c>
      <c r="B2971" s="1" t="n">
        <v>44028</v>
      </c>
      <c r="C2971" s="1" t="n">
        <v>45810</v>
      </c>
      <c r="D2971" t="inlineStr">
        <is>
          <t>VÄRMLANDS LÄN</t>
        </is>
      </c>
      <c r="E2971" t="inlineStr">
        <is>
          <t>FILIPSTAD</t>
        </is>
      </c>
      <c r="F2971" t="inlineStr">
        <is>
          <t>Bergvik skog väst AB</t>
        </is>
      </c>
      <c r="G2971" t="n">
        <v>3</v>
      </c>
      <c r="H2971" t="n">
        <v>0</v>
      </c>
      <c r="I2971" t="n">
        <v>0</v>
      </c>
      <c r="J2971" t="n">
        <v>0</v>
      </c>
      <c r="K2971" t="n">
        <v>0</v>
      </c>
      <c r="L2971" t="n">
        <v>0</v>
      </c>
      <c r="M2971" t="n">
        <v>0</v>
      </c>
      <c r="N2971" t="n">
        <v>0</v>
      </c>
      <c r="O2971" t="n">
        <v>0</v>
      </c>
      <c r="P2971" t="n">
        <v>0</v>
      </c>
      <c r="Q2971" t="n">
        <v>0</v>
      </c>
      <c r="R2971" s="2" t="inlineStr"/>
    </row>
    <row r="2972" ht="15" customHeight="1">
      <c r="A2972" t="inlineStr">
        <is>
          <t>A 33996-2020</t>
        </is>
      </c>
      <c r="B2972" s="1" t="n">
        <v>44028</v>
      </c>
      <c r="C2972" s="1" t="n">
        <v>45810</v>
      </c>
      <c r="D2972" t="inlineStr">
        <is>
          <t>VÄRMLANDS LÄN</t>
        </is>
      </c>
      <c r="E2972" t="inlineStr">
        <is>
          <t>KRISTINEHAMN</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34003-2020</t>
        </is>
      </c>
      <c r="B2973" s="1" t="n">
        <v>44028</v>
      </c>
      <c r="C2973" s="1" t="n">
        <v>45810</v>
      </c>
      <c r="D2973" t="inlineStr">
        <is>
          <t>VÄRMLANDS LÄN</t>
        </is>
      </c>
      <c r="E2973" t="inlineStr">
        <is>
          <t>SUNNE</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34118-2020</t>
        </is>
      </c>
      <c r="B2974" s="1" t="n">
        <v>44028</v>
      </c>
      <c r="C2974" s="1" t="n">
        <v>45810</v>
      </c>
      <c r="D2974" t="inlineStr">
        <is>
          <t>VÄRMLANDS LÄN</t>
        </is>
      </c>
      <c r="E2974" t="inlineStr">
        <is>
          <t>TORSBY</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34132-2020</t>
        </is>
      </c>
      <c r="B2975" s="1" t="n">
        <v>44029</v>
      </c>
      <c r="C2975" s="1" t="n">
        <v>45810</v>
      </c>
      <c r="D2975" t="inlineStr">
        <is>
          <t>VÄRMLANDS LÄN</t>
        </is>
      </c>
      <c r="E2975" t="inlineStr">
        <is>
          <t>ÅRJÄNG</t>
        </is>
      </c>
      <c r="G2975" t="n">
        <v>5.3</v>
      </c>
      <c r="H2975" t="n">
        <v>0</v>
      </c>
      <c r="I2975" t="n">
        <v>0</v>
      </c>
      <c r="J2975" t="n">
        <v>0</v>
      </c>
      <c r="K2975" t="n">
        <v>0</v>
      </c>
      <c r="L2975" t="n">
        <v>0</v>
      </c>
      <c r="M2975" t="n">
        <v>0</v>
      </c>
      <c r="N2975" t="n">
        <v>0</v>
      </c>
      <c r="O2975" t="n">
        <v>0</v>
      </c>
      <c r="P2975" t="n">
        <v>0</v>
      </c>
      <c r="Q2975" t="n">
        <v>0</v>
      </c>
      <c r="R2975" s="2" t="inlineStr"/>
    </row>
    <row r="2976" ht="15" customHeight="1">
      <c r="A2976" t="inlineStr">
        <is>
          <t>A 34421-2020</t>
        </is>
      </c>
      <c r="B2976" s="1" t="n">
        <v>44029</v>
      </c>
      <c r="C2976" s="1" t="n">
        <v>45810</v>
      </c>
      <c r="D2976" t="inlineStr">
        <is>
          <t>VÄRMLANDS LÄN</t>
        </is>
      </c>
      <c r="E2976" t="inlineStr">
        <is>
          <t>STORFORS</t>
        </is>
      </c>
      <c r="G2976" t="n">
        <v>4.5</v>
      </c>
      <c r="H2976" t="n">
        <v>0</v>
      </c>
      <c r="I2976" t="n">
        <v>0</v>
      </c>
      <c r="J2976" t="n">
        <v>0</v>
      </c>
      <c r="K2976" t="n">
        <v>0</v>
      </c>
      <c r="L2976" t="n">
        <v>0</v>
      </c>
      <c r="M2976" t="n">
        <v>0</v>
      </c>
      <c r="N2976" t="n">
        <v>0</v>
      </c>
      <c r="O2976" t="n">
        <v>0</v>
      </c>
      <c r="P2976" t="n">
        <v>0</v>
      </c>
      <c r="Q2976" t="n">
        <v>0</v>
      </c>
      <c r="R2976" s="2" t="inlineStr"/>
    </row>
    <row r="2977" ht="15" customHeight="1">
      <c r="A2977" t="inlineStr">
        <is>
          <t>A 34166-2020</t>
        </is>
      </c>
      <c r="B2977" s="1" t="n">
        <v>44029</v>
      </c>
      <c r="C2977" s="1" t="n">
        <v>45810</v>
      </c>
      <c r="D2977" t="inlineStr">
        <is>
          <t>VÄRMLANDS LÄN</t>
        </is>
      </c>
      <c r="E2977" t="inlineStr">
        <is>
          <t>KRISTINEHAMN</t>
        </is>
      </c>
      <c r="F2977" t="inlineStr">
        <is>
          <t>Sveaskog</t>
        </is>
      </c>
      <c r="G2977" t="n">
        <v>5.8</v>
      </c>
      <c r="H2977" t="n">
        <v>0</v>
      </c>
      <c r="I2977" t="n">
        <v>0</v>
      </c>
      <c r="J2977" t="n">
        <v>0</v>
      </c>
      <c r="K2977" t="n">
        <v>0</v>
      </c>
      <c r="L2977" t="n">
        <v>0</v>
      </c>
      <c r="M2977" t="n">
        <v>0</v>
      </c>
      <c r="N2977" t="n">
        <v>0</v>
      </c>
      <c r="O2977" t="n">
        <v>0</v>
      </c>
      <c r="P2977" t="n">
        <v>0</v>
      </c>
      <c r="Q2977" t="n">
        <v>0</v>
      </c>
      <c r="R2977" s="2" t="inlineStr"/>
    </row>
    <row r="2978" ht="15" customHeight="1">
      <c r="A2978" t="inlineStr">
        <is>
          <t>A 34407-2020</t>
        </is>
      </c>
      <c r="B2978" s="1" t="n">
        <v>44029</v>
      </c>
      <c r="C2978" s="1" t="n">
        <v>45810</v>
      </c>
      <c r="D2978" t="inlineStr">
        <is>
          <t>VÄRMLANDS LÄN</t>
        </is>
      </c>
      <c r="E2978" t="inlineStr">
        <is>
          <t>STORFORS</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34247-2020</t>
        </is>
      </c>
      <c r="B2979" s="1" t="n">
        <v>44029</v>
      </c>
      <c r="C2979" s="1" t="n">
        <v>45810</v>
      </c>
      <c r="D2979" t="inlineStr">
        <is>
          <t>VÄRMLANDS LÄN</t>
        </is>
      </c>
      <c r="E2979" t="inlineStr">
        <is>
          <t>TORSBY</t>
        </is>
      </c>
      <c r="F2979" t="inlineStr">
        <is>
          <t>Kommuner</t>
        </is>
      </c>
      <c r="G2979" t="n">
        <v>3.3</v>
      </c>
      <c r="H2979" t="n">
        <v>0</v>
      </c>
      <c r="I2979" t="n">
        <v>0</v>
      </c>
      <c r="J2979" t="n">
        <v>0</v>
      </c>
      <c r="K2979" t="n">
        <v>0</v>
      </c>
      <c r="L2979" t="n">
        <v>0</v>
      </c>
      <c r="M2979" t="n">
        <v>0</v>
      </c>
      <c r="N2979" t="n">
        <v>0</v>
      </c>
      <c r="O2979" t="n">
        <v>0</v>
      </c>
      <c r="P2979" t="n">
        <v>0</v>
      </c>
      <c r="Q2979" t="n">
        <v>0</v>
      </c>
      <c r="R2979" s="2" t="inlineStr"/>
    </row>
    <row r="2980" ht="15" customHeight="1">
      <c r="A2980" t="inlineStr">
        <is>
          <t>A 34295-2020</t>
        </is>
      </c>
      <c r="B2980" s="1" t="n">
        <v>44030</v>
      </c>
      <c r="C2980" s="1" t="n">
        <v>45810</v>
      </c>
      <c r="D2980" t="inlineStr">
        <is>
          <t>VÄRMLANDS LÄN</t>
        </is>
      </c>
      <c r="E2980" t="inlineStr">
        <is>
          <t>EDA</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34296-2020</t>
        </is>
      </c>
      <c r="B2981" s="1" t="n">
        <v>44030</v>
      </c>
      <c r="C2981" s="1" t="n">
        <v>45810</v>
      </c>
      <c r="D2981" t="inlineStr">
        <is>
          <t>VÄRMLANDS LÄN</t>
        </is>
      </c>
      <c r="E2981" t="inlineStr">
        <is>
          <t>ARVIKA</t>
        </is>
      </c>
      <c r="G2981" t="n">
        <v>3</v>
      </c>
      <c r="H2981" t="n">
        <v>0</v>
      </c>
      <c r="I2981" t="n">
        <v>0</v>
      </c>
      <c r="J2981" t="n">
        <v>0</v>
      </c>
      <c r="K2981" t="n">
        <v>0</v>
      </c>
      <c r="L2981" t="n">
        <v>0</v>
      </c>
      <c r="M2981" t="n">
        <v>0</v>
      </c>
      <c r="N2981" t="n">
        <v>0</v>
      </c>
      <c r="O2981" t="n">
        <v>0</v>
      </c>
      <c r="P2981" t="n">
        <v>0</v>
      </c>
      <c r="Q2981" t="n">
        <v>0</v>
      </c>
      <c r="R2981" s="2" t="inlineStr"/>
    </row>
    <row r="2982" ht="15" customHeight="1">
      <c r="A2982" t="inlineStr">
        <is>
          <t>A 34293-2020</t>
        </is>
      </c>
      <c r="B2982" s="1" t="n">
        <v>44030</v>
      </c>
      <c r="C2982" s="1" t="n">
        <v>45810</v>
      </c>
      <c r="D2982" t="inlineStr">
        <is>
          <t>VÄRMLANDS LÄN</t>
        </is>
      </c>
      <c r="E2982" t="inlineStr">
        <is>
          <t>EDA</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34297-2020</t>
        </is>
      </c>
      <c r="B2983" s="1" t="n">
        <v>44030</v>
      </c>
      <c r="C2983" s="1" t="n">
        <v>45810</v>
      </c>
      <c r="D2983" t="inlineStr">
        <is>
          <t>VÄRMLANDS LÄN</t>
        </is>
      </c>
      <c r="E2983" t="inlineStr">
        <is>
          <t>ARVIKA</t>
        </is>
      </c>
      <c r="G2983" t="n">
        <v>3.8</v>
      </c>
      <c r="H2983" t="n">
        <v>0</v>
      </c>
      <c r="I2983" t="n">
        <v>0</v>
      </c>
      <c r="J2983" t="n">
        <v>0</v>
      </c>
      <c r="K2983" t="n">
        <v>0</v>
      </c>
      <c r="L2983" t="n">
        <v>0</v>
      </c>
      <c r="M2983" t="n">
        <v>0</v>
      </c>
      <c r="N2983" t="n">
        <v>0</v>
      </c>
      <c r="O2983" t="n">
        <v>0</v>
      </c>
      <c r="P2983" t="n">
        <v>0</v>
      </c>
      <c r="Q2983" t="n">
        <v>0</v>
      </c>
      <c r="R2983" s="2" t="inlineStr"/>
    </row>
    <row r="2984" ht="15" customHeight="1">
      <c r="A2984" t="inlineStr">
        <is>
          <t>A 34526-2020</t>
        </is>
      </c>
      <c r="B2984" s="1" t="n">
        <v>44031</v>
      </c>
      <c r="C2984" s="1" t="n">
        <v>45810</v>
      </c>
      <c r="D2984" t="inlineStr">
        <is>
          <t>VÄRMLANDS LÄN</t>
        </is>
      </c>
      <c r="E2984" t="inlineStr">
        <is>
          <t>KIL</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34305-2020</t>
        </is>
      </c>
      <c r="B2985" s="1" t="n">
        <v>44031</v>
      </c>
      <c r="C2985" s="1" t="n">
        <v>45810</v>
      </c>
      <c r="D2985" t="inlineStr">
        <is>
          <t>VÄRMLANDS LÄN</t>
        </is>
      </c>
      <c r="E2985" t="inlineStr">
        <is>
          <t>SUNNE</t>
        </is>
      </c>
      <c r="G2985" t="n">
        <v>11.5</v>
      </c>
      <c r="H2985" t="n">
        <v>0</v>
      </c>
      <c r="I2985" t="n">
        <v>0</v>
      </c>
      <c r="J2985" t="n">
        <v>0</v>
      </c>
      <c r="K2985" t="n">
        <v>0</v>
      </c>
      <c r="L2985" t="n">
        <v>0</v>
      </c>
      <c r="M2985" t="n">
        <v>0</v>
      </c>
      <c r="N2985" t="n">
        <v>0</v>
      </c>
      <c r="O2985" t="n">
        <v>0</v>
      </c>
      <c r="P2985" t="n">
        <v>0</v>
      </c>
      <c r="Q2985" t="n">
        <v>0</v>
      </c>
      <c r="R2985" s="2" t="inlineStr"/>
    </row>
    <row r="2986" ht="15" customHeight="1">
      <c r="A2986" t="inlineStr">
        <is>
          <t>A 34534-2020</t>
        </is>
      </c>
      <c r="B2986" s="1" t="n">
        <v>44031</v>
      </c>
      <c r="C2986" s="1" t="n">
        <v>45810</v>
      </c>
      <c r="D2986" t="inlineStr">
        <is>
          <t>VÄRMLANDS LÄN</t>
        </is>
      </c>
      <c r="E2986" t="inlineStr">
        <is>
          <t>ARVIKA</t>
        </is>
      </c>
      <c r="G2986" t="n">
        <v>3.6</v>
      </c>
      <c r="H2986" t="n">
        <v>0</v>
      </c>
      <c r="I2986" t="n">
        <v>0</v>
      </c>
      <c r="J2986" t="n">
        <v>0</v>
      </c>
      <c r="K2986" t="n">
        <v>0</v>
      </c>
      <c r="L2986" t="n">
        <v>0</v>
      </c>
      <c r="M2986" t="n">
        <v>0</v>
      </c>
      <c r="N2986" t="n">
        <v>0</v>
      </c>
      <c r="O2986" t="n">
        <v>0</v>
      </c>
      <c r="P2986" t="n">
        <v>0</v>
      </c>
      <c r="Q2986" t="n">
        <v>0</v>
      </c>
      <c r="R2986" s="2" t="inlineStr"/>
    </row>
    <row r="2987" ht="15" customHeight="1">
      <c r="A2987" t="inlineStr">
        <is>
          <t>A 34537-2020</t>
        </is>
      </c>
      <c r="B2987" s="1" t="n">
        <v>44031</v>
      </c>
      <c r="C2987" s="1" t="n">
        <v>45810</v>
      </c>
      <c r="D2987" t="inlineStr">
        <is>
          <t>VÄRMLANDS LÄN</t>
        </is>
      </c>
      <c r="E2987" t="inlineStr">
        <is>
          <t>KIL</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34535-2020</t>
        </is>
      </c>
      <c r="B2988" s="1" t="n">
        <v>44031</v>
      </c>
      <c r="C2988" s="1" t="n">
        <v>45810</v>
      </c>
      <c r="D2988" t="inlineStr">
        <is>
          <t>VÄRMLANDS LÄN</t>
        </is>
      </c>
      <c r="E2988" t="inlineStr">
        <is>
          <t>ARVIKA</t>
        </is>
      </c>
      <c r="G2988" t="n">
        <v>3.6</v>
      </c>
      <c r="H2988" t="n">
        <v>0</v>
      </c>
      <c r="I2988" t="n">
        <v>0</v>
      </c>
      <c r="J2988" t="n">
        <v>0</v>
      </c>
      <c r="K2988" t="n">
        <v>0</v>
      </c>
      <c r="L2988" t="n">
        <v>0</v>
      </c>
      <c r="M2988" t="n">
        <v>0</v>
      </c>
      <c r="N2988" t="n">
        <v>0</v>
      </c>
      <c r="O2988" t="n">
        <v>0</v>
      </c>
      <c r="P2988" t="n">
        <v>0</v>
      </c>
      <c r="Q2988" t="n">
        <v>0</v>
      </c>
      <c r="R2988" s="2" t="inlineStr"/>
    </row>
    <row r="2989" ht="15" customHeight="1">
      <c r="A2989" t="inlineStr">
        <is>
          <t>A 34370-2020</t>
        </is>
      </c>
      <c r="B2989" s="1" t="n">
        <v>44032</v>
      </c>
      <c r="C2989" s="1" t="n">
        <v>45810</v>
      </c>
      <c r="D2989" t="inlineStr">
        <is>
          <t>VÄRMLANDS LÄN</t>
        </is>
      </c>
      <c r="E2989" t="inlineStr">
        <is>
          <t>SÄFFLE</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34461-2020</t>
        </is>
      </c>
      <c r="B2990" s="1" t="n">
        <v>44032</v>
      </c>
      <c r="C2990" s="1" t="n">
        <v>45810</v>
      </c>
      <c r="D2990" t="inlineStr">
        <is>
          <t>VÄRMLANDS LÄN</t>
        </is>
      </c>
      <c r="E2990" t="inlineStr">
        <is>
          <t>FILIPSTAD</t>
        </is>
      </c>
      <c r="G2990" t="n">
        <v>4</v>
      </c>
      <c r="H2990" t="n">
        <v>0</v>
      </c>
      <c r="I2990" t="n">
        <v>0</v>
      </c>
      <c r="J2990" t="n">
        <v>0</v>
      </c>
      <c r="K2990" t="n">
        <v>0</v>
      </c>
      <c r="L2990" t="n">
        <v>0</v>
      </c>
      <c r="M2990" t="n">
        <v>0</v>
      </c>
      <c r="N2990" t="n">
        <v>0</v>
      </c>
      <c r="O2990" t="n">
        <v>0</v>
      </c>
      <c r="P2990" t="n">
        <v>0</v>
      </c>
      <c r="Q2990" t="n">
        <v>0</v>
      </c>
      <c r="R2990" s="2" t="inlineStr"/>
    </row>
    <row r="2991" ht="15" customHeight="1">
      <c r="A2991" t="inlineStr">
        <is>
          <t>A 34481-2020</t>
        </is>
      </c>
      <c r="B2991" s="1" t="n">
        <v>44033</v>
      </c>
      <c r="C2991" s="1" t="n">
        <v>45810</v>
      </c>
      <c r="D2991" t="inlineStr">
        <is>
          <t>VÄRMLANDS LÄN</t>
        </is>
      </c>
      <c r="E2991" t="inlineStr">
        <is>
          <t>SUNNE</t>
        </is>
      </c>
      <c r="G2991" t="n">
        <v>3.6</v>
      </c>
      <c r="H2991" t="n">
        <v>0</v>
      </c>
      <c r="I2991" t="n">
        <v>0</v>
      </c>
      <c r="J2991" t="n">
        <v>0</v>
      </c>
      <c r="K2991" t="n">
        <v>0</v>
      </c>
      <c r="L2991" t="n">
        <v>0</v>
      </c>
      <c r="M2991" t="n">
        <v>0</v>
      </c>
      <c r="N2991" t="n">
        <v>0</v>
      </c>
      <c r="O2991" t="n">
        <v>0</v>
      </c>
      <c r="P2991" t="n">
        <v>0</v>
      </c>
      <c r="Q2991" t="n">
        <v>0</v>
      </c>
      <c r="R2991" s="2" t="inlineStr"/>
    </row>
    <row r="2992" ht="15" customHeight="1">
      <c r="A2992" t="inlineStr">
        <is>
          <t>A 34593-2020</t>
        </is>
      </c>
      <c r="B2992" s="1" t="n">
        <v>44034</v>
      </c>
      <c r="C2992" s="1" t="n">
        <v>45810</v>
      </c>
      <c r="D2992" t="inlineStr">
        <is>
          <t>VÄRMLANDS LÄN</t>
        </is>
      </c>
      <c r="E2992" t="inlineStr">
        <is>
          <t>SUNNE</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34639-2020</t>
        </is>
      </c>
      <c r="B2993" s="1" t="n">
        <v>44034</v>
      </c>
      <c r="C2993" s="1" t="n">
        <v>45810</v>
      </c>
      <c r="D2993" t="inlineStr">
        <is>
          <t>VÄRMLANDS LÄN</t>
        </is>
      </c>
      <c r="E2993" t="inlineStr">
        <is>
          <t>GRUMS</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34652-2020</t>
        </is>
      </c>
      <c r="B2994" s="1" t="n">
        <v>44034</v>
      </c>
      <c r="C2994" s="1" t="n">
        <v>45810</v>
      </c>
      <c r="D2994" t="inlineStr">
        <is>
          <t>VÄRMLANDS LÄN</t>
        </is>
      </c>
      <c r="E2994" t="inlineStr">
        <is>
          <t>SUNNE</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34641-2020</t>
        </is>
      </c>
      <c r="B2995" s="1" t="n">
        <v>44034</v>
      </c>
      <c r="C2995" s="1" t="n">
        <v>45810</v>
      </c>
      <c r="D2995" t="inlineStr">
        <is>
          <t>VÄRMLANDS LÄN</t>
        </is>
      </c>
      <c r="E2995" t="inlineStr">
        <is>
          <t>GRUMS</t>
        </is>
      </c>
      <c r="G2995" t="n">
        <v>9.9</v>
      </c>
      <c r="H2995" t="n">
        <v>0</v>
      </c>
      <c r="I2995" t="n">
        <v>0</v>
      </c>
      <c r="J2995" t="n">
        <v>0</v>
      </c>
      <c r="K2995" t="n">
        <v>0</v>
      </c>
      <c r="L2995" t="n">
        <v>0</v>
      </c>
      <c r="M2995" t="n">
        <v>0</v>
      </c>
      <c r="N2995" t="n">
        <v>0</v>
      </c>
      <c r="O2995" t="n">
        <v>0</v>
      </c>
      <c r="P2995" t="n">
        <v>0</v>
      </c>
      <c r="Q2995" t="n">
        <v>0</v>
      </c>
      <c r="R2995" s="2" t="inlineStr"/>
    </row>
    <row r="2996" ht="15" customHeight="1">
      <c r="A2996" t="inlineStr">
        <is>
          <t>A 34707-2020</t>
        </is>
      </c>
      <c r="B2996" s="1" t="n">
        <v>44035</v>
      </c>
      <c r="C2996" s="1" t="n">
        <v>45810</v>
      </c>
      <c r="D2996" t="inlineStr">
        <is>
          <t>VÄRMLANDS LÄN</t>
        </is>
      </c>
      <c r="E2996" t="inlineStr">
        <is>
          <t>SUNNE</t>
        </is>
      </c>
      <c r="G2996" t="n">
        <v>3.4</v>
      </c>
      <c r="H2996" t="n">
        <v>0</v>
      </c>
      <c r="I2996" t="n">
        <v>0</v>
      </c>
      <c r="J2996" t="n">
        <v>0</v>
      </c>
      <c r="K2996" t="n">
        <v>0</v>
      </c>
      <c r="L2996" t="n">
        <v>0</v>
      </c>
      <c r="M2996" t="n">
        <v>0</v>
      </c>
      <c r="N2996" t="n">
        <v>0</v>
      </c>
      <c r="O2996" t="n">
        <v>0</v>
      </c>
      <c r="P2996" t="n">
        <v>0</v>
      </c>
      <c r="Q2996" t="n">
        <v>0</v>
      </c>
      <c r="R2996" s="2" t="inlineStr"/>
    </row>
    <row r="2997" ht="15" customHeight="1">
      <c r="A2997" t="inlineStr">
        <is>
          <t>A 34834-2020</t>
        </is>
      </c>
      <c r="B2997" s="1" t="n">
        <v>44036</v>
      </c>
      <c r="C2997" s="1" t="n">
        <v>45810</v>
      </c>
      <c r="D2997" t="inlineStr">
        <is>
          <t>VÄRMLANDS LÄN</t>
        </is>
      </c>
      <c r="E2997" t="inlineStr">
        <is>
          <t>ÅRJÄNG</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34849-2020</t>
        </is>
      </c>
      <c r="B2998" s="1" t="n">
        <v>44036</v>
      </c>
      <c r="C2998" s="1" t="n">
        <v>45810</v>
      </c>
      <c r="D2998" t="inlineStr">
        <is>
          <t>VÄRMLANDS LÄN</t>
        </is>
      </c>
      <c r="E2998" t="inlineStr">
        <is>
          <t>ÅRJÄNG</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34825-2020</t>
        </is>
      </c>
      <c r="B2999" s="1" t="n">
        <v>44036</v>
      </c>
      <c r="C2999" s="1" t="n">
        <v>45810</v>
      </c>
      <c r="D2999" t="inlineStr">
        <is>
          <t>VÄRMLANDS LÄN</t>
        </is>
      </c>
      <c r="E2999" t="inlineStr">
        <is>
          <t>ÅRJÄNG</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34830-2020</t>
        </is>
      </c>
      <c r="B3000" s="1" t="n">
        <v>44036</v>
      </c>
      <c r="C3000" s="1" t="n">
        <v>45810</v>
      </c>
      <c r="D3000" t="inlineStr">
        <is>
          <t>VÄRMLANDS LÄN</t>
        </is>
      </c>
      <c r="E3000" t="inlineStr">
        <is>
          <t>ÅRJÄNG</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34835-2020</t>
        </is>
      </c>
      <c r="B3001" s="1" t="n">
        <v>44036</v>
      </c>
      <c r="C3001" s="1" t="n">
        <v>45810</v>
      </c>
      <c r="D3001" t="inlineStr">
        <is>
          <t>VÄRMLANDS LÄN</t>
        </is>
      </c>
      <c r="E3001" t="inlineStr">
        <is>
          <t>ÅRJÄNG</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34844-2020</t>
        </is>
      </c>
      <c r="B3002" s="1" t="n">
        <v>44036</v>
      </c>
      <c r="C3002" s="1" t="n">
        <v>45810</v>
      </c>
      <c r="D3002" t="inlineStr">
        <is>
          <t>VÄRMLANDS LÄN</t>
        </is>
      </c>
      <c r="E3002" t="inlineStr">
        <is>
          <t>ÅRJÄNG</t>
        </is>
      </c>
      <c r="G3002" t="n">
        <v>2.5</v>
      </c>
      <c r="H3002" t="n">
        <v>0</v>
      </c>
      <c r="I3002" t="n">
        <v>0</v>
      </c>
      <c r="J3002" t="n">
        <v>0</v>
      </c>
      <c r="K3002" t="n">
        <v>0</v>
      </c>
      <c r="L3002" t="n">
        <v>0</v>
      </c>
      <c r="M3002" t="n">
        <v>0</v>
      </c>
      <c r="N3002" t="n">
        <v>0</v>
      </c>
      <c r="O3002" t="n">
        <v>0</v>
      </c>
      <c r="P3002" t="n">
        <v>0</v>
      </c>
      <c r="Q3002" t="n">
        <v>0</v>
      </c>
      <c r="R3002" s="2" t="inlineStr"/>
    </row>
    <row r="3003" ht="15" customHeight="1">
      <c r="A3003" t="inlineStr">
        <is>
          <t>A 34851-2020</t>
        </is>
      </c>
      <c r="B3003" s="1" t="n">
        <v>44036</v>
      </c>
      <c r="C3003" s="1" t="n">
        <v>45810</v>
      </c>
      <c r="D3003" t="inlineStr">
        <is>
          <t>VÄRMLANDS LÄN</t>
        </is>
      </c>
      <c r="E3003" t="inlineStr">
        <is>
          <t>ÅRJÄNG</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34803-2020</t>
        </is>
      </c>
      <c r="B3004" s="1" t="n">
        <v>44036</v>
      </c>
      <c r="C3004" s="1" t="n">
        <v>45810</v>
      </c>
      <c r="D3004" t="inlineStr">
        <is>
          <t>VÄRMLANDS LÄN</t>
        </is>
      </c>
      <c r="E3004" t="inlineStr">
        <is>
          <t>KIL</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34833-2020</t>
        </is>
      </c>
      <c r="B3005" s="1" t="n">
        <v>44036</v>
      </c>
      <c r="C3005" s="1" t="n">
        <v>45810</v>
      </c>
      <c r="D3005" t="inlineStr">
        <is>
          <t>VÄRMLANDS LÄN</t>
        </is>
      </c>
      <c r="E3005" t="inlineStr">
        <is>
          <t>ÅRJÄNG</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34832-2020</t>
        </is>
      </c>
      <c r="B3006" s="1" t="n">
        <v>44036</v>
      </c>
      <c r="C3006" s="1" t="n">
        <v>45810</v>
      </c>
      <c r="D3006" t="inlineStr">
        <is>
          <t>VÄRMLANDS LÄN</t>
        </is>
      </c>
      <c r="E3006" t="inlineStr">
        <is>
          <t>ÅRJÄNG</t>
        </is>
      </c>
      <c r="G3006" t="n">
        <v>3.1</v>
      </c>
      <c r="H3006" t="n">
        <v>0</v>
      </c>
      <c r="I3006" t="n">
        <v>0</v>
      </c>
      <c r="J3006" t="n">
        <v>0</v>
      </c>
      <c r="K3006" t="n">
        <v>0</v>
      </c>
      <c r="L3006" t="n">
        <v>0</v>
      </c>
      <c r="M3006" t="n">
        <v>0</v>
      </c>
      <c r="N3006" t="n">
        <v>0</v>
      </c>
      <c r="O3006" t="n">
        <v>0</v>
      </c>
      <c r="P3006" t="n">
        <v>0</v>
      </c>
      <c r="Q3006" t="n">
        <v>0</v>
      </c>
      <c r="R3006" s="2" t="inlineStr"/>
    </row>
    <row r="3007" ht="15" customHeight="1">
      <c r="A3007" t="inlineStr">
        <is>
          <t>A 34827-2020</t>
        </is>
      </c>
      <c r="B3007" s="1" t="n">
        <v>44036</v>
      </c>
      <c r="C3007" s="1" t="n">
        <v>45810</v>
      </c>
      <c r="D3007" t="inlineStr">
        <is>
          <t>VÄRMLANDS LÄN</t>
        </is>
      </c>
      <c r="E3007" t="inlineStr">
        <is>
          <t>ÅRJÄNG</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35163-2020</t>
        </is>
      </c>
      <c r="B3008" s="1" t="n">
        <v>44040</v>
      </c>
      <c r="C3008" s="1" t="n">
        <v>45810</v>
      </c>
      <c r="D3008" t="inlineStr">
        <is>
          <t>VÄRMLANDS LÄN</t>
        </is>
      </c>
      <c r="E3008" t="inlineStr">
        <is>
          <t>ÅRJÄNG</t>
        </is>
      </c>
      <c r="F3008" t="inlineStr">
        <is>
          <t>Övriga Aktiebolag</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35154-2020</t>
        </is>
      </c>
      <c r="B3009" s="1" t="n">
        <v>44040</v>
      </c>
      <c r="C3009" s="1" t="n">
        <v>45810</v>
      </c>
      <c r="D3009" t="inlineStr">
        <is>
          <t>VÄRMLANDS LÄN</t>
        </is>
      </c>
      <c r="E3009" t="inlineStr">
        <is>
          <t>SÄFFLE</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35194-2020</t>
        </is>
      </c>
      <c r="B3010" s="1" t="n">
        <v>44040</v>
      </c>
      <c r="C3010" s="1" t="n">
        <v>45810</v>
      </c>
      <c r="D3010" t="inlineStr">
        <is>
          <t>VÄRMLANDS LÄN</t>
        </is>
      </c>
      <c r="E3010" t="inlineStr">
        <is>
          <t>FILIPSTAD</t>
        </is>
      </c>
      <c r="F3010" t="inlineStr">
        <is>
          <t>Bergvik skog väst AB</t>
        </is>
      </c>
      <c r="G3010" t="n">
        <v>20.4</v>
      </c>
      <c r="H3010" t="n">
        <v>0</v>
      </c>
      <c r="I3010" t="n">
        <v>0</v>
      </c>
      <c r="J3010" t="n">
        <v>0</v>
      </c>
      <c r="K3010" t="n">
        <v>0</v>
      </c>
      <c r="L3010" t="n">
        <v>0</v>
      </c>
      <c r="M3010" t="n">
        <v>0</v>
      </c>
      <c r="N3010" t="n">
        <v>0</v>
      </c>
      <c r="O3010" t="n">
        <v>0</v>
      </c>
      <c r="P3010" t="n">
        <v>0</v>
      </c>
      <c r="Q3010" t="n">
        <v>0</v>
      </c>
      <c r="R3010" s="2" t="inlineStr"/>
    </row>
    <row r="3011" ht="15" customHeight="1">
      <c r="A3011" t="inlineStr">
        <is>
          <t>A 35132-2020</t>
        </is>
      </c>
      <c r="B3011" s="1" t="n">
        <v>44040</v>
      </c>
      <c r="C3011" s="1" t="n">
        <v>45810</v>
      </c>
      <c r="D3011" t="inlineStr">
        <is>
          <t>VÄRMLANDS LÄN</t>
        </is>
      </c>
      <c r="E3011" t="inlineStr">
        <is>
          <t>TORSBY</t>
        </is>
      </c>
      <c r="F3011" t="inlineStr">
        <is>
          <t>Kommuner</t>
        </is>
      </c>
      <c r="G3011" t="n">
        <v>5.3</v>
      </c>
      <c r="H3011" t="n">
        <v>0</v>
      </c>
      <c r="I3011" t="n">
        <v>0</v>
      </c>
      <c r="J3011" t="n">
        <v>0</v>
      </c>
      <c r="K3011" t="n">
        <v>0</v>
      </c>
      <c r="L3011" t="n">
        <v>0</v>
      </c>
      <c r="M3011" t="n">
        <v>0</v>
      </c>
      <c r="N3011" t="n">
        <v>0</v>
      </c>
      <c r="O3011" t="n">
        <v>0</v>
      </c>
      <c r="P3011" t="n">
        <v>0</v>
      </c>
      <c r="Q3011" t="n">
        <v>0</v>
      </c>
      <c r="R3011" s="2" t="inlineStr"/>
    </row>
    <row r="3012" ht="15" customHeight="1">
      <c r="A3012" t="inlineStr">
        <is>
          <t>A 35105-2020</t>
        </is>
      </c>
      <c r="B3012" s="1" t="n">
        <v>44040</v>
      </c>
      <c r="C3012" s="1" t="n">
        <v>45810</v>
      </c>
      <c r="D3012" t="inlineStr">
        <is>
          <t>VÄRMLANDS LÄN</t>
        </is>
      </c>
      <c r="E3012" t="inlineStr">
        <is>
          <t>EDA</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35174-2020</t>
        </is>
      </c>
      <c r="B3013" s="1" t="n">
        <v>44040</v>
      </c>
      <c r="C3013" s="1" t="n">
        <v>45810</v>
      </c>
      <c r="D3013" t="inlineStr">
        <is>
          <t>VÄRMLANDS LÄN</t>
        </is>
      </c>
      <c r="E3013" t="inlineStr">
        <is>
          <t>TORSBY</t>
        </is>
      </c>
      <c r="F3013" t="inlineStr">
        <is>
          <t>Kommuner</t>
        </is>
      </c>
      <c r="G3013" t="n">
        <v>5.3</v>
      </c>
      <c r="H3013" t="n">
        <v>0</v>
      </c>
      <c r="I3013" t="n">
        <v>0</v>
      </c>
      <c r="J3013" t="n">
        <v>0</v>
      </c>
      <c r="K3013" t="n">
        <v>0</v>
      </c>
      <c r="L3013" t="n">
        <v>0</v>
      </c>
      <c r="M3013" t="n">
        <v>0</v>
      </c>
      <c r="N3013" t="n">
        <v>0</v>
      </c>
      <c r="O3013" t="n">
        <v>0</v>
      </c>
      <c r="P3013" t="n">
        <v>0</v>
      </c>
      <c r="Q3013" t="n">
        <v>0</v>
      </c>
      <c r="R3013" s="2" t="inlineStr"/>
    </row>
    <row r="3014" ht="15" customHeight="1">
      <c r="A3014" t="inlineStr">
        <is>
          <t>A 35155-2020</t>
        </is>
      </c>
      <c r="B3014" s="1" t="n">
        <v>44040</v>
      </c>
      <c r="C3014" s="1" t="n">
        <v>45810</v>
      </c>
      <c r="D3014" t="inlineStr">
        <is>
          <t>VÄRMLANDS LÄN</t>
        </is>
      </c>
      <c r="E3014" t="inlineStr">
        <is>
          <t>SÄFFLE</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35310-2020</t>
        </is>
      </c>
      <c r="B3015" s="1" t="n">
        <v>44041</v>
      </c>
      <c r="C3015" s="1" t="n">
        <v>45810</v>
      </c>
      <c r="D3015" t="inlineStr">
        <is>
          <t>VÄRMLANDS LÄN</t>
        </is>
      </c>
      <c r="E3015" t="inlineStr">
        <is>
          <t>SUNNE</t>
        </is>
      </c>
      <c r="G3015" t="n">
        <v>3.6</v>
      </c>
      <c r="H3015" t="n">
        <v>0</v>
      </c>
      <c r="I3015" t="n">
        <v>0</v>
      </c>
      <c r="J3015" t="n">
        <v>0</v>
      </c>
      <c r="K3015" t="n">
        <v>0</v>
      </c>
      <c r="L3015" t="n">
        <v>0</v>
      </c>
      <c r="M3015" t="n">
        <v>0</v>
      </c>
      <c r="N3015" t="n">
        <v>0</v>
      </c>
      <c r="O3015" t="n">
        <v>0</v>
      </c>
      <c r="P3015" t="n">
        <v>0</v>
      </c>
      <c r="Q3015" t="n">
        <v>0</v>
      </c>
      <c r="R3015" s="2" t="inlineStr"/>
    </row>
    <row r="3016" ht="15" customHeight="1">
      <c r="A3016" t="inlineStr">
        <is>
          <t>A 35278-2020</t>
        </is>
      </c>
      <c r="B3016" s="1" t="n">
        <v>44041</v>
      </c>
      <c r="C3016" s="1" t="n">
        <v>45810</v>
      </c>
      <c r="D3016" t="inlineStr">
        <is>
          <t>VÄRMLANDS LÄN</t>
        </is>
      </c>
      <c r="E3016" t="inlineStr">
        <is>
          <t>KRISTINEHAMN</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35307-2020</t>
        </is>
      </c>
      <c r="B3017" s="1" t="n">
        <v>44041</v>
      </c>
      <c r="C3017" s="1" t="n">
        <v>45810</v>
      </c>
      <c r="D3017" t="inlineStr">
        <is>
          <t>VÄRMLANDS LÄN</t>
        </is>
      </c>
      <c r="E3017" t="inlineStr">
        <is>
          <t>EDA</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35420-2020</t>
        </is>
      </c>
      <c r="B3018" s="1" t="n">
        <v>44042</v>
      </c>
      <c r="C3018" s="1" t="n">
        <v>45810</v>
      </c>
      <c r="D3018" t="inlineStr">
        <is>
          <t>VÄRMLANDS LÄN</t>
        </is>
      </c>
      <c r="E3018" t="inlineStr">
        <is>
          <t>ARVIKA</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35424-2020</t>
        </is>
      </c>
      <c r="B3019" s="1" t="n">
        <v>44042</v>
      </c>
      <c r="C3019" s="1" t="n">
        <v>45810</v>
      </c>
      <c r="D3019" t="inlineStr">
        <is>
          <t>VÄRMLANDS LÄN</t>
        </is>
      </c>
      <c r="E3019" t="inlineStr">
        <is>
          <t>ARVIKA</t>
        </is>
      </c>
      <c r="G3019" t="n">
        <v>2.9</v>
      </c>
      <c r="H3019" t="n">
        <v>0</v>
      </c>
      <c r="I3019" t="n">
        <v>0</v>
      </c>
      <c r="J3019" t="n">
        <v>0</v>
      </c>
      <c r="K3019" t="n">
        <v>0</v>
      </c>
      <c r="L3019" t="n">
        <v>0</v>
      </c>
      <c r="M3019" t="n">
        <v>0</v>
      </c>
      <c r="N3019" t="n">
        <v>0</v>
      </c>
      <c r="O3019" t="n">
        <v>0</v>
      </c>
      <c r="P3019" t="n">
        <v>0</v>
      </c>
      <c r="Q3019" t="n">
        <v>0</v>
      </c>
      <c r="R3019" s="2" t="inlineStr"/>
    </row>
    <row r="3020" ht="15" customHeight="1">
      <c r="A3020" t="inlineStr">
        <is>
          <t>A 35431-2020</t>
        </is>
      </c>
      <c r="B3020" s="1" t="n">
        <v>44042</v>
      </c>
      <c r="C3020" s="1" t="n">
        <v>45810</v>
      </c>
      <c r="D3020" t="inlineStr">
        <is>
          <t>VÄRMLANDS LÄN</t>
        </is>
      </c>
      <c r="E3020" t="inlineStr">
        <is>
          <t>ARVIKA</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35481-2020</t>
        </is>
      </c>
      <c r="B3021" s="1" t="n">
        <v>44042</v>
      </c>
      <c r="C3021" s="1" t="n">
        <v>45810</v>
      </c>
      <c r="D3021" t="inlineStr">
        <is>
          <t>VÄRMLANDS LÄN</t>
        </is>
      </c>
      <c r="E3021" t="inlineStr">
        <is>
          <t>SUNNE</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35429-2020</t>
        </is>
      </c>
      <c r="B3022" s="1" t="n">
        <v>44042</v>
      </c>
      <c r="C3022" s="1" t="n">
        <v>45810</v>
      </c>
      <c r="D3022" t="inlineStr">
        <is>
          <t>VÄRMLANDS LÄN</t>
        </is>
      </c>
      <c r="E3022" t="inlineStr">
        <is>
          <t>ARVIKA</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35421-2020</t>
        </is>
      </c>
      <c r="B3023" s="1" t="n">
        <v>44042</v>
      </c>
      <c r="C3023" s="1" t="n">
        <v>45810</v>
      </c>
      <c r="D3023" t="inlineStr">
        <is>
          <t>VÄRMLANDS LÄN</t>
        </is>
      </c>
      <c r="E3023" t="inlineStr">
        <is>
          <t>ARVIKA</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35410-2020</t>
        </is>
      </c>
      <c r="B3024" s="1" t="n">
        <v>44042</v>
      </c>
      <c r="C3024" s="1" t="n">
        <v>45810</v>
      </c>
      <c r="D3024" t="inlineStr">
        <is>
          <t>VÄRMLANDS LÄN</t>
        </is>
      </c>
      <c r="E3024" t="inlineStr">
        <is>
          <t>ÅRJÄNG</t>
        </is>
      </c>
      <c r="G3024" t="n">
        <v>6.8</v>
      </c>
      <c r="H3024" t="n">
        <v>0</v>
      </c>
      <c r="I3024" t="n">
        <v>0</v>
      </c>
      <c r="J3024" t="n">
        <v>0</v>
      </c>
      <c r="K3024" t="n">
        <v>0</v>
      </c>
      <c r="L3024" t="n">
        <v>0</v>
      </c>
      <c r="M3024" t="n">
        <v>0</v>
      </c>
      <c r="N3024" t="n">
        <v>0</v>
      </c>
      <c r="O3024" t="n">
        <v>0</v>
      </c>
      <c r="P3024" t="n">
        <v>0</v>
      </c>
      <c r="Q3024" t="n">
        <v>0</v>
      </c>
      <c r="R3024" s="2" t="inlineStr"/>
    </row>
    <row r="3025" ht="15" customHeight="1">
      <c r="A3025" t="inlineStr">
        <is>
          <t>A 35417-2020</t>
        </is>
      </c>
      <c r="B3025" s="1" t="n">
        <v>44042</v>
      </c>
      <c r="C3025" s="1" t="n">
        <v>45810</v>
      </c>
      <c r="D3025" t="inlineStr">
        <is>
          <t>VÄRMLANDS LÄN</t>
        </is>
      </c>
      <c r="E3025" t="inlineStr">
        <is>
          <t>EDA</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35502-2020</t>
        </is>
      </c>
      <c r="B3026" s="1" t="n">
        <v>44043</v>
      </c>
      <c r="C3026" s="1" t="n">
        <v>45810</v>
      </c>
      <c r="D3026" t="inlineStr">
        <is>
          <t>VÄRMLANDS LÄN</t>
        </is>
      </c>
      <c r="E3026" t="inlineStr">
        <is>
          <t>STORFORS</t>
        </is>
      </c>
      <c r="F3026" t="inlineStr">
        <is>
          <t>Kyrkan</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35500-2020</t>
        </is>
      </c>
      <c r="B3027" s="1" t="n">
        <v>44043</v>
      </c>
      <c r="C3027" s="1" t="n">
        <v>45810</v>
      </c>
      <c r="D3027" t="inlineStr">
        <is>
          <t>VÄRMLANDS LÄN</t>
        </is>
      </c>
      <c r="E3027" t="inlineStr">
        <is>
          <t>TORSBY</t>
        </is>
      </c>
      <c r="F3027" t="inlineStr">
        <is>
          <t>Bergvik skog väst AB</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35704-2020</t>
        </is>
      </c>
      <c r="B3028" s="1" t="n">
        <v>44046</v>
      </c>
      <c r="C3028" s="1" t="n">
        <v>45810</v>
      </c>
      <c r="D3028" t="inlineStr">
        <is>
          <t>VÄRMLANDS LÄN</t>
        </is>
      </c>
      <c r="E3028" t="inlineStr">
        <is>
          <t>GRUMS</t>
        </is>
      </c>
      <c r="G3028" t="n">
        <v>6</v>
      </c>
      <c r="H3028" t="n">
        <v>0</v>
      </c>
      <c r="I3028" t="n">
        <v>0</v>
      </c>
      <c r="J3028" t="n">
        <v>0</v>
      </c>
      <c r="K3028" t="n">
        <v>0</v>
      </c>
      <c r="L3028" t="n">
        <v>0</v>
      </c>
      <c r="M3028" t="n">
        <v>0</v>
      </c>
      <c r="N3028" t="n">
        <v>0</v>
      </c>
      <c r="O3028" t="n">
        <v>0</v>
      </c>
      <c r="P3028" t="n">
        <v>0</v>
      </c>
      <c r="Q3028" t="n">
        <v>0</v>
      </c>
      <c r="R3028" s="2" t="inlineStr"/>
    </row>
    <row r="3029" ht="15" customHeight="1">
      <c r="A3029" t="inlineStr">
        <is>
          <t>A 35725-2020</t>
        </is>
      </c>
      <c r="B3029" s="1" t="n">
        <v>44046</v>
      </c>
      <c r="C3029" s="1" t="n">
        <v>45810</v>
      </c>
      <c r="D3029" t="inlineStr">
        <is>
          <t>VÄRMLANDS LÄN</t>
        </is>
      </c>
      <c r="E3029" t="inlineStr">
        <is>
          <t>SUNNE</t>
        </is>
      </c>
      <c r="G3029" t="n">
        <v>3.1</v>
      </c>
      <c r="H3029" t="n">
        <v>0</v>
      </c>
      <c r="I3029" t="n">
        <v>0</v>
      </c>
      <c r="J3029" t="n">
        <v>0</v>
      </c>
      <c r="K3029" t="n">
        <v>0</v>
      </c>
      <c r="L3029" t="n">
        <v>0</v>
      </c>
      <c r="M3029" t="n">
        <v>0</v>
      </c>
      <c r="N3029" t="n">
        <v>0</v>
      </c>
      <c r="O3029" t="n">
        <v>0</v>
      </c>
      <c r="P3029" t="n">
        <v>0</v>
      </c>
      <c r="Q3029" t="n">
        <v>0</v>
      </c>
      <c r="R3029" s="2" t="inlineStr"/>
    </row>
    <row r="3030" ht="15" customHeight="1">
      <c r="A3030" t="inlineStr">
        <is>
          <t>A 35745-2020</t>
        </is>
      </c>
      <c r="B3030" s="1" t="n">
        <v>44046</v>
      </c>
      <c r="C3030" s="1" t="n">
        <v>45810</v>
      </c>
      <c r="D3030" t="inlineStr">
        <is>
          <t>VÄRMLANDS LÄN</t>
        </is>
      </c>
      <c r="E3030" t="inlineStr">
        <is>
          <t>GRUMS</t>
        </is>
      </c>
      <c r="G3030" t="n">
        <v>3.2</v>
      </c>
      <c r="H3030" t="n">
        <v>0</v>
      </c>
      <c r="I3030" t="n">
        <v>0</v>
      </c>
      <c r="J3030" t="n">
        <v>0</v>
      </c>
      <c r="K3030" t="n">
        <v>0</v>
      </c>
      <c r="L3030" t="n">
        <v>0</v>
      </c>
      <c r="M3030" t="n">
        <v>0</v>
      </c>
      <c r="N3030" t="n">
        <v>0</v>
      </c>
      <c r="O3030" t="n">
        <v>0</v>
      </c>
      <c r="P3030" t="n">
        <v>0</v>
      </c>
      <c r="Q3030" t="n">
        <v>0</v>
      </c>
      <c r="R3030" s="2" t="inlineStr"/>
    </row>
    <row r="3031" ht="15" customHeight="1">
      <c r="A3031" t="inlineStr">
        <is>
          <t>A 35778-2020</t>
        </is>
      </c>
      <c r="B3031" s="1" t="n">
        <v>44046</v>
      </c>
      <c r="C3031" s="1" t="n">
        <v>45810</v>
      </c>
      <c r="D3031" t="inlineStr">
        <is>
          <t>VÄRMLANDS LÄN</t>
        </is>
      </c>
      <c r="E3031" t="inlineStr">
        <is>
          <t>TORSBY</t>
        </is>
      </c>
      <c r="G3031" t="n">
        <v>10.2</v>
      </c>
      <c r="H3031" t="n">
        <v>0</v>
      </c>
      <c r="I3031" t="n">
        <v>0</v>
      </c>
      <c r="J3031" t="n">
        <v>0</v>
      </c>
      <c r="K3031" t="n">
        <v>0</v>
      </c>
      <c r="L3031" t="n">
        <v>0</v>
      </c>
      <c r="M3031" t="n">
        <v>0</v>
      </c>
      <c r="N3031" t="n">
        <v>0</v>
      </c>
      <c r="O3031" t="n">
        <v>0</v>
      </c>
      <c r="P3031" t="n">
        <v>0</v>
      </c>
      <c r="Q3031" t="n">
        <v>0</v>
      </c>
      <c r="R3031" s="2" t="inlineStr"/>
    </row>
    <row r="3032" ht="15" customHeight="1">
      <c r="A3032" t="inlineStr">
        <is>
          <t>A 35842-2020</t>
        </is>
      </c>
      <c r="B3032" s="1" t="n">
        <v>44047</v>
      </c>
      <c r="C3032" s="1" t="n">
        <v>45810</v>
      </c>
      <c r="D3032" t="inlineStr">
        <is>
          <t>VÄRMLANDS LÄN</t>
        </is>
      </c>
      <c r="E3032" t="inlineStr">
        <is>
          <t>ÅRJÄNG</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35895-2020</t>
        </is>
      </c>
      <c r="B3033" s="1" t="n">
        <v>44047</v>
      </c>
      <c r="C3033" s="1" t="n">
        <v>45810</v>
      </c>
      <c r="D3033" t="inlineStr">
        <is>
          <t>VÄRMLANDS LÄN</t>
        </is>
      </c>
      <c r="E3033" t="inlineStr">
        <is>
          <t>HAGFORS</t>
        </is>
      </c>
      <c r="G3033" t="n">
        <v>5.1</v>
      </c>
      <c r="H3033" t="n">
        <v>0</v>
      </c>
      <c r="I3033" t="n">
        <v>0</v>
      </c>
      <c r="J3033" t="n">
        <v>0</v>
      </c>
      <c r="K3033" t="n">
        <v>0</v>
      </c>
      <c r="L3033" t="n">
        <v>0</v>
      </c>
      <c r="M3033" t="n">
        <v>0</v>
      </c>
      <c r="N3033" t="n">
        <v>0</v>
      </c>
      <c r="O3033" t="n">
        <v>0</v>
      </c>
      <c r="P3033" t="n">
        <v>0</v>
      </c>
      <c r="Q3033" t="n">
        <v>0</v>
      </c>
      <c r="R3033" s="2" t="inlineStr"/>
    </row>
    <row r="3034" ht="15" customHeight="1">
      <c r="A3034" t="inlineStr">
        <is>
          <t>A 35900-2020</t>
        </is>
      </c>
      <c r="B3034" s="1" t="n">
        <v>44047</v>
      </c>
      <c r="C3034" s="1" t="n">
        <v>45810</v>
      </c>
      <c r="D3034" t="inlineStr">
        <is>
          <t>VÄRMLANDS LÄN</t>
        </is>
      </c>
      <c r="E3034" t="inlineStr">
        <is>
          <t>TORSBY</t>
        </is>
      </c>
      <c r="G3034" t="n">
        <v>7.2</v>
      </c>
      <c r="H3034" t="n">
        <v>0</v>
      </c>
      <c r="I3034" t="n">
        <v>0</v>
      </c>
      <c r="J3034" t="n">
        <v>0</v>
      </c>
      <c r="K3034" t="n">
        <v>0</v>
      </c>
      <c r="L3034" t="n">
        <v>0</v>
      </c>
      <c r="M3034" t="n">
        <v>0</v>
      </c>
      <c r="N3034" t="n">
        <v>0</v>
      </c>
      <c r="O3034" t="n">
        <v>0</v>
      </c>
      <c r="P3034" t="n">
        <v>0</v>
      </c>
      <c r="Q3034" t="n">
        <v>0</v>
      </c>
      <c r="R3034" s="2" t="inlineStr"/>
    </row>
    <row r="3035" ht="15" customHeight="1">
      <c r="A3035" t="inlineStr">
        <is>
          <t>A 35935-2020</t>
        </is>
      </c>
      <c r="B3035" s="1" t="n">
        <v>44047</v>
      </c>
      <c r="C3035" s="1" t="n">
        <v>45810</v>
      </c>
      <c r="D3035" t="inlineStr">
        <is>
          <t>VÄRMLANDS LÄN</t>
        </is>
      </c>
      <c r="E3035" t="inlineStr">
        <is>
          <t>HAGFORS</t>
        </is>
      </c>
      <c r="G3035" t="n">
        <v>2.9</v>
      </c>
      <c r="H3035" t="n">
        <v>0</v>
      </c>
      <c r="I3035" t="n">
        <v>0</v>
      </c>
      <c r="J3035" t="n">
        <v>0</v>
      </c>
      <c r="K3035" t="n">
        <v>0</v>
      </c>
      <c r="L3035" t="n">
        <v>0</v>
      </c>
      <c r="M3035" t="n">
        <v>0</v>
      </c>
      <c r="N3035" t="n">
        <v>0</v>
      </c>
      <c r="O3035" t="n">
        <v>0</v>
      </c>
      <c r="P3035" t="n">
        <v>0</v>
      </c>
      <c r="Q3035" t="n">
        <v>0</v>
      </c>
      <c r="R3035" s="2" t="inlineStr"/>
    </row>
    <row r="3036" ht="15" customHeight="1">
      <c r="A3036" t="inlineStr">
        <is>
          <t>A 35955-2020</t>
        </is>
      </c>
      <c r="B3036" s="1" t="n">
        <v>44047</v>
      </c>
      <c r="C3036" s="1" t="n">
        <v>45810</v>
      </c>
      <c r="D3036" t="inlineStr">
        <is>
          <t>VÄRMLANDS LÄN</t>
        </is>
      </c>
      <c r="E3036" t="inlineStr">
        <is>
          <t>TORSBY</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35977-2020</t>
        </is>
      </c>
      <c r="B3037" s="1" t="n">
        <v>44047</v>
      </c>
      <c r="C3037" s="1" t="n">
        <v>45810</v>
      </c>
      <c r="D3037" t="inlineStr">
        <is>
          <t>VÄRMLANDS LÄN</t>
        </is>
      </c>
      <c r="E3037" t="inlineStr">
        <is>
          <t>MUNKFORS</t>
        </is>
      </c>
      <c r="F3037" t="inlineStr">
        <is>
          <t>Kyrkan</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35826-2020</t>
        </is>
      </c>
      <c r="B3038" s="1" t="n">
        <v>44047</v>
      </c>
      <c r="C3038" s="1" t="n">
        <v>45810</v>
      </c>
      <c r="D3038" t="inlineStr">
        <is>
          <t>VÄRMLANDS LÄN</t>
        </is>
      </c>
      <c r="E3038" t="inlineStr">
        <is>
          <t>TORSBY</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35887-2020</t>
        </is>
      </c>
      <c r="B3039" s="1" t="n">
        <v>44047</v>
      </c>
      <c r="C3039" s="1" t="n">
        <v>45810</v>
      </c>
      <c r="D3039" t="inlineStr">
        <is>
          <t>VÄRMLANDS LÄN</t>
        </is>
      </c>
      <c r="E3039" t="inlineStr">
        <is>
          <t>SUNNE</t>
        </is>
      </c>
      <c r="G3039" t="n">
        <v>3.3</v>
      </c>
      <c r="H3039" t="n">
        <v>0</v>
      </c>
      <c r="I3039" t="n">
        <v>0</v>
      </c>
      <c r="J3039" t="n">
        <v>0</v>
      </c>
      <c r="K3039" t="n">
        <v>0</v>
      </c>
      <c r="L3039" t="n">
        <v>0</v>
      </c>
      <c r="M3039" t="n">
        <v>0</v>
      </c>
      <c r="N3039" t="n">
        <v>0</v>
      </c>
      <c r="O3039" t="n">
        <v>0</v>
      </c>
      <c r="P3039" t="n">
        <v>0</v>
      </c>
      <c r="Q3039" t="n">
        <v>0</v>
      </c>
      <c r="R3039" s="2" t="inlineStr"/>
    </row>
    <row r="3040" ht="15" customHeight="1">
      <c r="A3040" t="inlineStr">
        <is>
          <t>A 36005-2020</t>
        </is>
      </c>
      <c r="B3040" s="1" t="n">
        <v>44047</v>
      </c>
      <c r="C3040" s="1" t="n">
        <v>45810</v>
      </c>
      <c r="D3040" t="inlineStr">
        <is>
          <t>VÄRMLANDS LÄN</t>
        </is>
      </c>
      <c r="E3040" t="inlineStr">
        <is>
          <t>KIL</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35852-2020</t>
        </is>
      </c>
      <c r="B3041" s="1" t="n">
        <v>44047</v>
      </c>
      <c r="C3041" s="1" t="n">
        <v>45810</v>
      </c>
      <c r="D3041" t="inlineStr">
        <is>
          <t>VÄRMLANDS LÄN</t>
        </is>
      </c>
      <c r="E3041" t="inlineStr">
        <is>
          <t>EDA</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35905-2020</t>
        </is>
      </c>
      <c r="B3042" s="1" t="n">
        <v>44047</v>
      </c>
      <c r="C3042" s="1" t="n">
        <v>45810</v>
      </c>
      <c r="D3042" t="inlineStr">
        <is>
          <t>VÄRMLANDS LÄN</t>
        </is>
      </c>
      <c r="E3042" t="inlineStr">
        <is>
          <t>TORSBY</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35925-2020</t>
        </is>
      </c>
      <c r="B3043" s="1" t="n">
        <v>44047</v>
      </c>
      <c r="C3043" s="1" t="n">
        <v>45810</v>
      </c>
      <c r="D3043" t="inlineStr">
        <is>
          <t>VÄRMLANDS LÄN</t>
        </is>
      </c>
      <c r="E3043" t="inlineStr">
        <is>
          <t>HAGFORS</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35999-2020</t>
        </is>
      </c>
      <c r="B3044" s="1" t="n">
        <v>44047</v>
      </c>
      <c r="C3044" s="1" t="n">
        <v>45810</v>
      </c>
      <c r="D3044" t="inlineStr">
        <is>
          <t>VÄRMLANDS LÄN</t>
        </is>
      </c>
      <c r="E3044" t="inlineStr">
        <is>
          <t>KARLSTAD</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36004-2020</t>
        </is>
      </c>
      <c r="B3045" s="1" t="n">
        <v>44047</v>
      </c>
      <c r="C3045" s="1" t="n">
        <v>45810</v>
      </c>
      <c r="D3045" t="inlineStr">
        <is>
          <t>VÄRMLANDS LÄN</t>
        </is>
      </c>
      <c r="E3045" t="inlineStr">
        <is>
          <t>KIL</t>
        </is>
      </c>
      <c r="G3045" t="n">
        <v>7.6</v>
      </c>
      <c r="H3045" t="n">
        <v>0</v>
      </c>
      <c r="I3045" t="n">
        <v>0</v>
      </c>
      <c r="J3045" t="n">
        <v>0</v>
      </c>
      <c r="K3045" t="n">
        <v>0</v>
      </c>
      <c r="L3045" t="n">
        <v>0</v>
      </c>
      <c r="M3045" t="n">
        <v>0</v>
      </c>
      <c r="N3045" t="n">
        <v>0</v>
      </c>
      <c r="O3045" t="n">
        <v>0</v>
      </c>
      <c r="P3045" t="n">
        <v>0</v>
      </c>
      <c r="Q3045" t="n">
        <v>0</v>
      </c>
      <c r="R3045" s="2" t="inlineStr"/>
    </row>
    <row r="3046" ht="15" customHeight="1">
      <c r="A3046" t="inlineStr">
        <is>
          <t>A 36038-2020</t>
        </is>
      </c>
      <c r="B3046" s="1" t="n">
        <v>44047</v>
      </c>
      <c r="C3046" s="1" t="n">
        <v>45810</v>
      </c>
      <c r="D3046" t="inlineStr">
        <is>
          <t>VÄRMLANDS LÄN</t>
        </is>
      </c>
      <c r="E3046" t="inlineStr">
        <is>
          <t>KARLSTAD</t>
        </is>
      </c>
      <c r="G3046" t="n">
        <v>2.7</v>
      </c>
      <c r="H3046" t="n">
        <v>0</v>
      </c>
      <c r="I3046" t="n">
        <v>0</v>
      </c>
      <c r="J3046" t="n">
        <v>0</v>
      </c>
      <c r="K3046" t="n">
        <v>0</v>
      </c>
      <c r="L3046" t="n">
        <v>0</v>
      </c>
      <c r="M3046" t="n">
        <v>0</v>
      </c>
      <c r="N3046" t="n">
        <v>0</v>
      </c>
      <c r="O3046" t="n">
        <v>0</v>
      </c>
      <c r="P3046" t="n">
        <v>0</v>
      </c>
      <c r="Q3046" t="n">
        <v>0</v>
      </c>
      <c r="R3046" s="2" t="inlineStr"/>
    </row>
    <row r="3047" ht="15" customHeight="1">
      <c r="A3047" t="inlineStr">
        <is>
          <t>A 35921-2020</t>
        </is>
      </c>
      <c r="B3047" s="1" t="n">
        <v>44047</v>
      </c>
      <c r="C3047" s="1" t="n">
        <v>45810</v>
      </c>
      <c r="D3047" t="inlineStr">
        <is>
          <t>VÄRMLANDS LÄN</t>
        </is>
      </c>
      <c r="E3047" t="inlineStr">
        <is>
          <t>HAGFORS</t>
        </is>
      </c>
      <c r="G3047" t="n">
        <v>7.3</v>
      </c>
      <c r="H3047" t="n">
        <v>0</v>
      </c>
      <c r="I3047" t="n">
        <v>0</v>
      </c>
      <c r="J3047" t="n">
        <v>0</v>
      </c>
      <c r="K3047" t="n">
        <v>0</v>
      </c>
      <c r="L3047" t="n">
        <v>0</v>
      </c>
      <c r="M3047" t="n">
        <v>0</v>
      </c>
      <c r="N3047" t="n">
        <v>0</v>
      </c>
      <c r="O3047" t="n">
        <v>0</v>
      </c>
      <c r="P3047" t="n">
        <v>0</v>
      </c>
      <c r="Q3047" t="n">
        <v>0</v>
      </c>
      <c r="R3047" s="2" t="inlineStr"/>
    </row>
    <row r="3048" ht="15" customHeight="1">
      <c r="A3048" t="inlineStr">
        <is>
          <t>A 35952-2020</t>
        </is>
      </c>
      <c r="B3048" s="1" t="n">
        <v>44047</v>
      </c>
      <c r="C3048" s="1" t="n">
        <v>45810</v>
      </c>
      <c r="D3048" t="inlineStr">
        <is>
          <t>VÄRMLANDS LÄN</t>
        </is>
      </c>
      <c r="E3048" t="inlineStr">
        <is>
          <t>SUNNE</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36006-2020</t>
        </is>
      </c>
      <c r="B3049" s="1" t="n">
        <v>44047</v>
      </c>
      <c r="C3049" s="1" t="n">
        <v>45810</v>
      </c>
      <c r="D3049" t="inlineStr">
        <is>
          <t>VÄRMLANDS LÄN</t>
        </is>
      </c>
      <c r="E3049" t="inlineStr">
        <is>
          <t>KIL</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36482-2020</t>
        </is>
      </c>
      <c r="B3050" s="1" t="n">
        <v>44048</v>
      </c>
      <c r="C3050" s="1" t="n">
        <v>45810</v>
      </c>
      <c r="D3050" t="inlineStr">
        <is>
          <t>VÄRMLANDS LÄN</t>
        </is>
      </c>
      <c r="E3050" t="inlineStr">
        <is>
          <t>TORSBY</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36056-2020</t>
        </is>
      </c>
      <c r="B3051" s="1" t="n">
        <v>44048</v>
      </c>
      <c r="C3051" s="1" t="n">
        <v>45810</v>
      </c>
      <c r="D3051" t="inlineStr">
        <is>
          <t>VÄRMLANDS LÄN</t>
        </is>
      </c>
      <c r="E3051" t="inlineStr">
        <is>
          <t>KARLSTAD</t>
        </is>
      </c>
      <c r="G3051" t="n">
        <v>6.8</v>
      </c>
      <c r="H3051" t="n">
        <v>0</v>
      </c>
      <c r="I3051" t="n">
        <v>0</v>
      </c>
      <c r="J3051" t="n">
        <v>0</v>
      </c>
      <c r="K3051" t="n">
        <v>0</v>
      </c>
      <c r="L3051" t="n">
        <v>0</v>
      </c>
      <c r="M3051" t="n">
        <v>0</v>
      </c>
      <c r="N3051" t="n">
        <v>0</v>
      </c>
      <c r="O3051" t="n">
        <v>0</v>
      </c>
      <c r="P3051" t="n">
        <v>0</v>
      </c>
      <c r="Q3051" t="n">
        <v>0</v>
      </c>
      <c r="R3051" s="2" t="inlineStr"/>
    </row>
    <row r="3052" ht="15" customHeight="1">
      <c r="A3052" t="inlineStr">
        <is>
          <t>A 36176-2020</t>
        </is>
      </c>
      <c r="B3052" s="1" t="n">
        <v>44048</v>
      </c>
      <c r="C3052" s="1" t="n">
        <v>45810</v>
      </c>
      <c r="D3052" t="inlineStr">
        <is>
          <t>VÄRMLANDS LÄN</t>
        </is>
      </c>
      <c r="E3052" t="inlineStr">
        <is>
          <t>SUNNE</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36126-2020</t>
        </is>
      </c>
      <c r="B3053" s="1" t="n">
        <v>44048</v>
      </c>
      <c r="C3053" s="1" t="n">
        <v>45810</v>
      </c>
      <c r="D3053" t="inlineStr">
        <is>
          <t>VÄRMLANDS LÄN</t>
        </is>
      </c>
      <c r="E3053" t="inlineStr">
        <is>
          <t>FILIPSTAD</t>
        </is>
      </c>
      <c r="F3053" t="inlineStr">
        <is>
          <t>Bergvik skog väst AB</t>
        </is>
      </c>
      <c r="G3053" t="n">
        <v>18.7</v>
      </c>
      <c r="H3053" t="n">
        <v>0</v>
      </c>
      <c r="I3053" t="n">
        <v>0</v>
      </c>
      <c r="J3053" t="n">
        <v>0</v>
      </c>
      <c r="K3053" t="n">
        <v>0</v>
      </c>
      <c r="L3053" t="n">
        <v>0</v>
      </c>
      <c r="M3053" t="n">
        <v>0</v>
      </c>
      <c r="N3053" t="n">
        <v>0</v>
      </c>
      <c r="O3053" t="n">
        <v>0</v>
      </c>
      <c r="P3053" t="n">
        <v>0</v>
      </c>
      <c r="Q3053" t="n">
        <v>0</v>
      </c>
      <c r="R3053" s="2" t="inlineStr"/>
    </row>
    <row r="3054" ht="15" customHeight="1">
      <c r="A3054" t="inlineStr">
        <is>
          <t>A 36109-2020</t>
        </is>
      </c>
      <c r="B3054" s="1" t="n">
        <v>44048</v>
      </c>
      <c r="C3054" s="1" t="n">
        <v>45810</v>
      </c>
      <c r="D3054" t="inlineStr">
        <is>
          <t>VÄRMLANDS LÄN</t>
        </is>
      </c>
      <c r="E3054" t="inlineStr">
        <is>
          <t>EDA</t>
        </is>
      </c>
      <c r="G3054" t="n">
        <v>6.7</v>
      </c>
      <c r="H3054" t="n">
        <v>0</v>
      </c>
      <c r="I3054" t="n">
        <v>0</v>
      </c>
      <c r="J3054" t="n">
        <v>0</v>
      </c>
      <c r="K3054" t="n">
        <v>0</v>
      </c>
      <c r="L3054" t="n">
        <v>0</v>
      </c>
      <c r="M3054" t="n">
        <v>0</v>
      </c>
      <c r="N3054" t="n">
        <v>0</v>
      </c>
      <c r="O3054" t="n">
        <v>0</v>
      </c>
      <c r="P3054" t="n">
        <v>0</v>
      </c>
      <c r="Q3054" t="n">
        <v>0</v>
      </c>
      <c r="R3054" s="2" t="inlineStr"/>
    </row>
    <row r="3055" ht="15" customHeight="1">
      <c r="A3055" t="inlineStr">
        <is>
          <t>A 36090-2020</t>
        </is>
      </c>
      <c r="B3055" s="1" t="n">
        <v>44048</v>
      </c>
      <c r="C3055" s="1" t="n">
        <v>45810</v>
      </c>
      <c r="D3055" t="inlineStr">
        <is>
          <t>VÄRMLANDS LÄN</t>
        </is>
      </c>
      <c r="E3055" t="inlineStr">
        <is>
          <t>FILIPSTAD</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36104-2020</t>
        </is>
      </c>
      <c r="B3056" s="1" t="n">
        <v>44048</v>
      </c>
      <c r="C3056" s="1" t="n">
        <v>45810</v>
      </c>
      <c r="D3056" t="inlineStr">
        <is>
          <t>VÄRMLANDS LÄN</t>
        </is>
      </c>
      <c r="E3056" t="inlineStr">
        <is>
          <t>TORSBY</t>
        </is>
      </c>
      <c r="G3056" t="n">
        <v>3.1</v>
      </c>
      <c r="H3056" t="n">
        <v>0</v>
      </c>
      <c r="I3056" t="n">
        <v>0</v>
      </c>
      <c r="J3056" t="n">
        <v>0</v>
      </c>
      <c r="K3056" t="n">
        <v>0</v>
      </c>
      <c r="L3056" t="n">
        <v>0</v>
      </c>
      <c r="M3056" t="n">
        <v>0</v>
      </c>
      <c r="N3056" t="n">
        <v>0</v>
      </c>
      <c r="O3056" t="n">
        <v>0</v>
      </c>
      <c r="P3056" t="n">
        <v>0</v>
      </c>
      <c r="Q3056" t="n">
        <v>0</v>
      </c>
      <c r="R3056" s="2" t="inlineStr"/>
    </row>
    <row r="3057" ht="15" customHeight="1">
      <c r="A3057" t="inlineStr">
        <is>
          <t>A 36192-2020</t>
        </is>
      </c>
      <c r="B3057" s="1" t="n">
        <v>44048</v>
      </c>
      <c r="C3057" s="1" t="n">
        <v>45810</v>
      </c>
      <c r="D3057" t="inlineStr">
        <is>
          <t>VÄRMLANDS LÄN</t>
        </is>
      </c>
      <c r="E3057" t="inlineStr">
        <is>
          <t>SUNNE</t>
        </is>
      </c>
      <c r="G3057" t="n">
        <v>4.1</v>
      </c>
      <c r="H3057" t="n">
        <v>0</v>
      </c>
      <c r="I3057" t="n">
        <v>0</v>
      </c>
      <c r="J3057" t="n">
        <v>0</v>
      </c>
      <c r="K3057" t="n">
        <v>0</v>
      </c>
      <c r="L3057" t="n">
        <v>0</v>
      </c>
      <c r="M3057" t="n">
        <v>0</v>
      </c>
      <c r="N3057" t="n">
        <v>0</v>
      </c>
      <c r="O3057" t="n">
        <v>0</v>
      </c>
      <c r="P3057" t="n">
        <v>0</v>
      </c>
      <c r="Q3057" t="n">
        <v>0</v>
      </c>
      <c r="R3057" s="2" t="inlineStr"/>
    </row>
    <row r="3058" ht="15" customHeight="1">
      <c r="A3058" t="inlineStr">
        <is>
          <t>A 36034-2020</t>
        </is>
      </c>
      <c r="B3058" s="1" t="n">
        <v>44048</v>
      </c>
      <c r="C3058" s="1" t="n">
        <v>45810</v>
      </c>
      <c r="D3058" t="inlineStr">
        <is>
          <t>VÄRMLANDS LÄN</t>
        </is>
      </c>
      <c r="E3058" t="inlineStr">
        <is>
          <t>SUNNE</t>
        </is>
      </c>
      <c r="F3058" t="inlineStr">
        <is>
          <t>Övriga statliga verk och myndigheter</t>
        </is>
      </c>
      <c r="G3058" t="n">
        <v>3.7</v>
      </c>
      <c r="H3058" t="n">
        <v>0</v>
      </c>
      <c r="I3058" t="n">
        <v>0</v>
      </c>
      <c r="J3058" t="n">
        <v>0</v>
      </c>
      <c r="K3058" t="n">
        <v>0</v>
      </c>
      <c r="L3058" t="n">
        <v>0</v>
      </c>
      <c r="M3058" t="n">
        <v>0</v>
      </c>
      <c r="N3058" t="n">
        <v>0</v>
      </c>
      <c r="O3058" t="n">
        <v>0</v>
      </c>
      <c r="P3058" t="n">
        <v>0</v>
      </c>
      <c r="Q3058" t="n">
        <v>0</v>
      </c>
      <c r="R3058" s="2" t="inlineStr"/>
    </row>
    <row r="3059" ht="15" customHeight="1">
      <c r="A3059" t="inlineStr">
        <is>
          <t>A 36062-2020</t>
        </is>
      </c>
      <c r="B3059" s="1" t="n">
        <v>44048</v>
      </c>
      <c r="C3059" s="1" t="n">
        <v>45810</v>
      </c>
      <c r="D3059" t="inlineStr">
        <is>
          <t>VÄRMLANDS LÄN</t>
        </is>
      </c>
      <c r="E3059" t="inlineStr">
        <is>
          <t>KARLSTAD</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36265-2020</t>
        </is>
      </c>
      <c r="B3060" s="1" t="n">
        <v>44049</v>
      </c>
      <c r="C3060" s="1" t="n">
        <v>45810</v>
      </c>
      <c r="D3060" t="inlineStr">
        <is>
          <t>VÄRMLANDS LÄN</t>
        </is>
      </c>
      <c r="E3060" t="inlineStr">
        <is>
          <t>TORSBY</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36370-2020</t>
        </is>
      </c>
      <c r="B3061" s="1" t="n">
        <v>44049</v>
      </c>
      <c r="C3061" s="1" t="n">
        <v>45810</v>
      </c>
      <c r="D3061" t="inlineStr">
        <is>
          <t>VÄRMLANDS LÄN</t>
        </is>
      </c>
      <c r="E3061" t="inlineStr">
        <is>
          <t>STORFORS</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36396-2020</t>
        </is>
      </c>
      <c r="B3062" s="1" t="n">
        <v>44049</v>
      </c>
      <c r="C3062" s="1" t="n">
        <v>45810</v>
      </c>
      <c r="D3062" t="inlineStr">
        <is>
          <t>VÄRMLANDS LÄN</t>
        </is>
      </c>
      <c r="E3062" t="inlineStr">
        <is>
          <t>TORSBY</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36476-2020</t>
        </is>
      </c>
      <c r="B3063" s="1" t="n">
        <v>44049</v>
      </c>
      <c r="C3063" s="1" t="n">
        <v>45810</v>
      </c>
      <c r="D3063" t="inlineStr">
        <is>
          <t>VÄRMLANDS LÄN</t>
        </is>
      </c>
      <c r="E3063" t="inlineStr">
        <is>
          <t>KARLSTAD</t>
        </is>
      </c>
      <c r="G3063" t="n">
        <v>13.6</v>
      </c>
      <c r="H3063" t="n">
        <v>0</v>
      </c>
      <c r="I3063" t="n">
        <v>0</v>
      </c>
      <c r="J3063" t="n">
        <v>0</v>
      </c>
      <c r="K3063" t="n">
        <v>0</v>
      </c>
      <c r="L3063" t="n">
        <v>0</v>
      </c>
      <c r="M3063" t="n">
        <v>0</v>
      </c>
      <c r="N3063" t="n">
        <v>0</v>
      </c>
      <c r="O3063" t="n">
        <v>0</v>
      </c>
      <c r="P3063" t="n">
        <v>0</v>
      </c>
      <c r="Q3063" t="n">
        <v>0</v>
      </c>
      <c r="R3063" s="2" t="inlineStr"/>
    </row>
    <row r="3064" ht="15" customHeight="1">
      <c r="A3064" t="inlineStr">
        <is>
          <t>A 36301-2020</t>
        </is>
      </c>
      <c r="B3064" s="1" t="n">
        <v>44049</v>
      </c>
      <c r="C3064" s="1" t="n">
        <v>45810</v>
      </c>
      <c r="D3064" t="inlineStr">
        <is>
          <t>VÄRMLANDS LÄN</t>
        </is>
      </c>
      <c r="E3064" t="inlineStr">
        <is>
          <t>ARVIKA</t>
        </is>
      </c>
      <c r="F3064" t="inlineStr">
        <is>
          <t>Bergvik skog väst AB</t>
        </is>
      </c>
      <c r="G3064" t="n">
        <v>8.800000000000001</v>
      </c>
      <c r="H3064" t="n">
        <v>0</v>
      </c>
      <c r="I3064" t="n">
        <v>0</v>
      </c>
      <c r="J3064" t="n">
        <v>0</v>
      </c>
      <c r="K3064" t="n">
        <v>0</v>
      </c>
      <c r="L3064" t="n">
        <v>0</v>
      </c>
      <c r="M3064" t="n">
        <v>0</v>
      </c>
      <c r="N3064" t="n">
        <v>0</v>
      </c>
      <c r="O3064" t="n">
        <v>0</v>
      </c>
      <c r="P3064" t="n">
        <v>0</v>
      </c>
      <c r="Q3064" t="n">
        <v>0</v>
      </c>
      <c r="R3064" s="2" t="inlineStr"/>
    </row>
    <row r="3065" ht="15" customHeight="1">
      <c r="A3065" t="inlineStr">
        <is>
          <t>A 36394-2020</t>
        </is>
      </c>
      <c r="B3065" s="1" t="n">
        <v>44049</v>
      </c>
      <c r="C3065" s="1" t="n">
        <v>45810</v>
      </c>
      <c r="D3065" t="inlineStr">
        <is>
          <t>VÄRMLANDS LÄN</t>
        </is>
      </c>
      <c r="E3065" t="inlineStr">
        <is>
          <t>TORSBY</t>
        </is>
      </c>
      <c r="G3065" t="n">
        <v>7</v>
      </c>
      <c r="H3065" t="n">
        <v>0</v>
      </c>
      <c r="I3065" t="n">
        <v>0</v>
      </c>
      <c r="J3065" t="n">
        <v>0</v>
      </c>
      <c r="K3065" t="n">
        <v>0</v>
      </c>
      <c r="L3065" t="n">
        <v>0</v>
      </c>
      <c r="M3065" t="n">
        <v>0</v>
      </c>
      <c r="N3065" t="n">
        <v>0</v>
      </c>
      <c r="O3065" t="n">
        <v>0</v>
      </c>
      <c r="P3065" t="n">
        <v>0</v>
      </c>
      <c r="Q3065" t="n">
        <v>0</v>
      </c>
      <c r="R3065" s="2" t="inlineStr"/>
    </row>
    <row r="3066" ht="15" customHeight="1">
      <c r="A3066" t="inlineStr">
        <is>
          <t>A 36537-2020</t>
        </is>
      </c>
      <c r="B3066" s="1" t="n">
        <v>44050</v>
      </c>
      <c r="C3066" s="1" t="n">
        <v>45810</v>
      </c>
      <c r="D3066" t="inlineStr">
        <is>
          <t>VÄRMLANDS LÄN</t>
        </is>
      </c>
      <c r="E3066" t="inlineStr">
        <is>
          <t>ÅRJÄNG</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36548-2020</t>
        </is>
      </c>
      <c r="B3067" s="1" t="n">
        <v>44050</v>
      </c>
      <c r="C3067" s="1" t="n">
        <v>45810</v>
      </c>
      <c r="D3067" t="inlineStr">
        <is>
          <t>VÄRMLANDS LÄN</t>
        </is>
      </c>
      <c r="E3067" t="inlineStr">
        <is>
          <t>ARVIKA</t>
        </is>
      </c>
      <c r="G3067" t="n">
        <v>3.5</v>
      </c>
      <c r="H3067" t="n">
        <v>0</v>
      </c>
      <c r="I3067" t="n">
        <v>0</v>
      </c>
      <c r="J3067" t="n">
        <v>0</v>
      </c>
      <c r="K3067" t="n">
        <v>0</v>
      </c>
      <c r="L3067" t="n">
        <v>0</v>
      </c>
      <c r="M3067" t="n">
        <v>0</v>
      </c>
      <c r="N3067" t="n">
        <v>0</v>
      </c>
      <c r="O3067" t="n">
        <v>0</v>
      </c>
      <c r="P3067" t="n">
        <v>0</v>
      </c>
      <c r="Q3067" t="n">
        <v>0</v>
      </c>
      <c r="R3067" s="2" t="inlineStr"/>
    </row>
    <row r="3068" ht="15" customHeight="1">
      <c r="A3068" t="inlineStr">
        <is>
          <t>A 36635-2020</t>
        </is>
      </c>
      <c r="B3068" s="1" t="n">
        <v>44050</v>
      </c>
      <c r="C3068" s="1" t="n">
        <v>45810</v>
      </c>
      <c r="D3068" t="inlineStr">
        <is>
          <t>VÄRMLANDS LÄN</t>
        </is>
      </c>
      <c r="E3068" t="inlineStr">
        <is>
          <t>SÄFFLE</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36629-2020</t>
        </is>
      </c>
      <c r="B3069" s="1" t="n">
        <v>44050</v>
      </c>
      <c r="C3069" s="1" t="n">
        <v>45810</v>
      </c>
      <c r="D3069" t="inlineStr">
        <is>
          <t>VÄRMLANDS LÄN</t>
        </is>
      </c>
      <c r="E3069" t="inlineStr">
        <is>
          <t>EDA</t>
        </is>
      </c>
      <c r="F3069" t="inlineStr">
        <is>
          <t>Kyrkan</t>
        </is>
      </c>
      <c r="G3069" t="n">
        <v>3.1</v>
      </c>
      <c r="H3069" t="n">
        <v>0</v>
      </c>
      <c r="I3069" t="n">
        <v>0</v>
      </c>
      <c r="J3069" t="n">
        <v>0</v>
      </c>
      <c r="K3069" t="n">
        <v>0</v>
      </c>
      <c r="L3069" t="n">
        <v>0</v>
      </c>
      <c r="M3069" t="n">
        <v>0</v>
      </c>
      <c r="N3069" t="n">
        <v>0</v>
      </c>
      <c r="O3069" t="n">
        <v>0</v>
      </c>
      <c r="P3069" t="n">
        <v>0</v>
      </c>
      <c r="Q3069" t="n">
        <v>0</v>
      </c>
      <c r="R3069" s="2" t="inlineStr"/>
    </row>
    <row r="3070" ht="15" customHeight="1">
      <c r="A3070" t="inlineStr">
        <is>
          <t>A 36637-2020</t>
        </is>
      </c>
      <c r="B3070" s="1" t="n">
        <v>44050</v>
      </c>
      <c r="C3070" s="1" t="n">
        <v>45810</v>
      </c>
      <c r="D3070" t="inlineStr">
        <is>
          <t>VÄRMLANDS LÄN</t>
        </is>
      </c>
      <c r="E3070" t="inlineStr">
        <is>
          <t>SÄFFLE</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36715-2020</t>
        </is>
      </c>
      <c r="B3071" s="1" t="n">
        <v>44050</v>
      </c>
      <c r="C3071" s="1" t="n">
        <v>45810</v>
      </c>
      <c r="D3071" t="inlineStr">
        <is>
          <t>VÄRMLANDS LÄN</t>
        </is>
      </c>
      <c r="E3071" t="inlineStr">
        <is>
          <t>GRUMS</t>
        </is>
      </c>
      <c r="G3071" t="n">
        <v>3.1</v>
      </c>
      <c r="H3071" t="n">
        <v>0</v>
      </c>
      <c r="I3071" t="n">
        <v>0</v>
      </c>
      <c r="J3071" t="n">
        <v>0</v>
      </c>
      <c r="K3071" t="n">
        <v>0</v>
      </c>
      <c r="L3071" t="n">
        <v>0</v>
      </c>
      <c r="M3071" t="n">
        <v>0</v>
      </c>
      <c r="N3071" t="n">
        <v>0</v>
      </c>
      <c r="O3071" t="n">
        <v>0</v>
      </c>
      <c r="P3071" t="n">
        <v>0</v>
      </c>
      <c r="Q3071" t="n">
        <v>0</v>
      </c>
      <c r="R3071" s="2" t="inlineStr"/>
    </row>
    <row r="3072" ht="15" customHeight="1">
      <c r="A3072" t="inlineStr">
        <is>
          <t>A 36619-2020</t>
        </is>
      </c>
      <c r="B3072" s="1" t="n">
        <v>44050</v>
      </c>
      <c r="C3072" s="1" t="n">
        <v>45810</v>
      </c>
      <c r="D3072" t="inlineStr">
        <is>
          <t>VÄRMLANDS LÄN</t>
        </is>
      </c>
      <c r="E3072" t="inlineStr">
        <is>
          <t>KARLSTAD</t>
        </is>
      </c>
      <c r="G3072" t="n">
        <v>0.4</v>
      </c>
      <c r="H3072" t="n">
        <v>0</v>
      </c>
      <c r="I3072" t="n">
        <v>0</v>
      </c>
      <c r="J3072" t="n">
        <v>0</v>
      </c>
      <c r="K3072" t="n">
        <v>0</v>
      </c>
      <c r="L3072" t="n">
        <v>0</v>
      </c>
      <c r="M3072" t="n">
        <v>0</v>
      </c>
      <c r="N3072" t="n">
        <v>0</v>
      </c>
      <c r="O3072" t="n">
        <v>0</v>
      </c>
      <c r="P3072" t="n">
        <v>0</v>
      </c>
      <c r="Q3072" t="n">
        <v>0</v>
      </c>
      <c r="R3072" s="2" t="inlineStr"/>
    </row>
    <row r="3073" ht="15" customHeight="1">
      <c r="A3073" t="inlineStr">
        <is>
          <t>A 36634-2020</t>
        </is>
      </c>
      <c r="B3073" s="1" t="n">
        <v>44050</v>
      </c>
      <c r="C3073" s="1" t="n">
        <v>45810</v>
      </c>
      <c r="D3073" t="inlineStr">
        <is>
          <t>VÄRMLANDS LÄN</t>
        </is>
      </c>
      <c r="E3073" t="inlineStr">
        <is>
          <t>SÄFFLE</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36712-2020</t>
        </is>
      </c>
      <c r="B3074" s="1" t="n">
        <v>44050</v>
      </c>
      <c r="C3074" s="1" t="n">
        <v>45810</v>
      </c>
      <c r="D3074" t="inlineStr">
        <is>
          <t>VÄRMLANDS LÄN</t>
        </is>
      </c>
      <c r="E3074" t="inlineStr">
        <is>
          <t>GRUMS</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36720-2020</t>
        </is>
      </c>
      <c r="B3075" s="1" t="n">
        <v>44050</v>
      </c>
      <c r="C3075" s="1" t="n">
        <v>45810</v>
      </c>
      <c r="D3075" t="inlineStr">
        <is>
          <t>VÄRMLANDS LÄN</t>
        </is>
      </c>
      <c r="E3075" t="inlineStr">
        <is>
          <t>GRUMS</t>
        </is>
      </c>
      <c r="G3075" t="n">
        <v>2.2</v>
      </c>
      <c r="H3075" t="n">
        <v>0</v>
      </c>
      <c r="I3075" t="n">
        <v>0</v>
      </c>
      <c r="J3075" t="n">
        <v>0</v>
      </c>
      <c r="K3075" t="n">
        <v>0</v>
      </c>
      <c r="L3075" t="n">
        <v>0</v>
      </c>
      <c r="M3075" t="n">
        <v>0</v>
      </c>
      <c r="N3075" t="n">
        <v>0</v>
      </c>
      <c r="O3075" t="n">
        <v>0</v>
      </c>
      <c r="P3075" t="n">
        <v>0</v>
      </c>
      <c r="Q3075" t="n">
        <v>0</v>
      </c>
      <c r="R3075" s="2" t="inlineStr"/>
    </row>
    <row r="3076" ht="15" customHeight="1">
      <c r="A3076" t="inlineStr">
        <is>
          <t>A 36732-2020</t>
        </is>
      </c>
      <c r="B3076" s="1" t="n">
        <v>44053</v>
      </c>
      <c r="C3076" s="1" t="n">
        <v>45810</v>
      </c>
      <c r="D3076" t="inlineStr">
        <is>
          <t>VÄRMLANDS LÄN</t>
        </is>
      </c>
      <c r="E3076" t="inlineStr">
        <is>
          <t>KIL</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36827-2020</t>
        </is>
      </c>
      <c r="B3077" s="1" t="n">
        <v>44053</v>
      </c>
      <c r="C3077" s="1" t="n">
        <v>45810</v>
      </c>
      <c r="D3077" t="inlineStr">
        <is>
          <t>VÄRMLANDS LÄN</t>
        </is>
      </c>
      <c r="E3077" t="inlineStr">
        <is>
          <t>ARVIKA</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36689-2020</t>
        </is>
      </c>
      <c r="B3078" s="1" t="n">
        <v>44053</v>
      </c>
      <c r="C3078" s="1" t="n">
        <v>45810</v>
      </c>
      <c r="D3078" t="inlineStr">
        <is>
          <t>VÄRMLANDS LÄN</t>
        </is>
      </c>
      <c r="E3078" t="inlineStr">
        <is>
          <t>EDA</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36820-2020</t>
        </is>
      </c>
      <c r="B3079" s="1" t="n">
        <v>44053</v>
      </c>
      <c r="C3079" s="1" t="n">
        <v>45810</v>
      </c>
      <c r="D3079" t="inlineStr">
        <is>
          <t>VÄRMLANDS LÄN</t>
        </is>
      </c>
      <c r="E3079" t="inlineStr">
        <is>
          <t>ARVIKA</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36847-2020</t>
        </is>
      </c>
      <c r="B3080" s="1" t="n">
        <v>44053</v>
      </c>
      <c r="C3080" s="1" t="n">
        <v>45810</v>
      </c>
      <c r="D3080" t="inlineStr">
        <is>
          <t>VÄRMLANDS LÄN</t>
        </is>
      </c>
      <c r="E3080" t="inlineStr">
        <is>
          <t>TORSBY</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36901-2020</t>
        </is>
      </c>
      <c r="B3081" s="1" t="n">
        <v>44053</v>
      </c>
      <c r="C3081" s="1" t="n">
        <v>45810</v>
      </c>
      <c r="D3081" t="inlineStr">
        <is>
          <t>VÄRMLANDS LÄN</t>
        </is>
      </c>
      <c r="E3081" t="inlineStr">
        <is>
          <t>TORSBY</t>
        </is>
      </c>
      <c r="G3081" t="n">
        <v>3.1</v>
      </c>
      <c r="H3081" t="n">
        <v>0</v>
      </c>
      <c r="I3081" t="n">
        <v>0</v>
      </c>
      <c r="J3081" t="n">
        <v>0</v>
      </c>
      <c r="K3081" t="n">
        <v>0</v>
      </c>
      <c r="L3081" t="n">
        <v>0</v>
      </c>
      <c r="M3081" t="n">
        <v>0</v>
      </c>
      <c r="N3081" t="n">
        <v>0</v>
      </c>
      <c r="O3081" t="n">
        <v>0</v>
      </c>
      <c r="P3081" t="n">
        <v>0</v>
      </c>
      <c r="Q3081" t="n">
        <v>0</v>
      </c>
      <c r="R3081" s="2" t="inlineStr"/>
    </row>
    <row r="3082" ht="15" customHeight="1">
      <c r="A3082" t="inlineStr">
        <is>
          <t>A 37059-2020</t>
        </is>
      </c>
      <c r="B3082" s="1" t="n">
        <v>44053</v>
      </c>
      <c r="C3082" s="1" t="n">
        <v>45810</v>
      </c>
      <c r="D3082" t="inlineStr">
        <is>
          <t>VÄRMLANDS LÄN</t>
        </is>
      </c>
      <c r="E3082" t="inlineStr">
        <is>
          <t>GRUMS</t>
        </is>
      </c>
      <c r="G3082" t="n">
        <v>6.1</v>
      </c>
      <c r="H3082" t="n">
        <v>0</v>
      </c>
      <c r="I3082" t="n">
        <v>0</v>
      </c>
      <c r="J3082" t="n">
        <v>0</v>
      </c>
      <c r="K3082" t="n">
        <v>0</v>
      </c>
      <c r="L3082" t="n">
        <v>0</v>
      </c>
      <c r="M3082" t="n">
        <v>0</v>
      </c>
      <c r="N3082" t="n">
        <v>0</v>
      </c>
      <c r="O3082" t="n">
        <v>0</v>
      </c>
      <c r="P3082" t="n">
        <v>0</v>
      </c>
      <c r="Q3082" t="n">
        <v>0</v>
      </c>
      <c r="R3082" s="2" t="inlineStr"/>
    </row>
    <row r="3083" ht="15" customHeight="1">
      <c r="A3083" t="inlineStr">
        <is>
          <t>A 37050-2020</t>
        </is>
      </c>
      <c r="B3083" s="1" t="n">
        <v>44053</v>
      </c>
      <c r="C3083" s="1" t="n">
        <v>45810</v>
      </c>
      <c r="D3083" t="inlineStr">
        <is>
          <t>VÄRMLANDS LÄN</t>
        </is>
      </c>
      <c r="E3083" t="inlineStr">
        <is>
          <t>SÄFFLE</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37055-2020</t>
        </is>
      </c>
      <c r="B3084" s="1" t="n">
        <v>44053</v>
      </c>
      <c r="C3084" s="1" t="n">
        <v>45810</v>
      </c>
      <c r="D3084" t="inlineStr">
        <is>
          <t>VÄRMLANDS LÄN</t>
        </is>
      </c>
      <c r="E3084" t="inlineStr">
        <is>
          <t>SÄFFLE</t>
        </is>
      </c>
      <c r="G3084" t="n">
        <v>8</v>
      </c>
      <c r="H3084" t="n">
        <v>0</v>
      </c>
      <c r="I3084" t="n">
        <v>0</v>
      </c>
      <c r="J3084" t="n">
        <v>0</v>
      </c>
      <c r="K3084" t="n">
        <v>0</v>
      </c>
      <c r="L3084" t="n">
        <v>0</v>
      </c>
      <c r="M3084" t="n">
        <v>0</v>
      </c>
      <c r="N3084" t="n">
        <v>0</v>
      </c>
      <c r="O3084" t="n">
        <v>0</v>
      </c>
      <c r="P3084" t="n">
        <v>0</v>
      </c>
      <c r="Q3084" t="n">
        <v>0</v>
      </c>
      <c r="R3084" s="2" t="inlineStr"/>
    </row>
    <row r="3085" ht="15" customHeight="1">
      <c r="A3085" t="inlineStr">
        <is>
          <t>A 36699-2020</t>
        </is>
      </c>
      <c r="B3085" s="1" t="n">
        <v>44053</v>
      </c>
      <c r="C3085" s="1" t="n">
        <v>45810</v>
      </c>
      <c r="D3085" t="inlineStr">
        <is>
          <t>VÄRMLANDS LÄN</t>
        </is>
      </c>
      <c r="E3085" t="inlineStr">
        <is>
          <t>FORSHAGA</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37060-2020</t>
        </is>
      </c>
      <c r="B3086" s="1" t="n">
        <v>44054</v>
      </c>
      <c r="C3086" s="1" t="n">
        <v>45810</v>
      </c>
      <c r="D3086" t="inlineStr">
        <is>
          <t>VÄRMLANDS LÄN</t>
        </is>
      </c>
      <c r="E3086" t="inlineStr">
        <is>
          <t>EDA</t>
        </is>
      </c>
      <c r="G3086" t="n">
        <v>4.4</v>
      </c>
      <c r="H3086" t="n">
        <v>0</v>
      </c>
      <c r="I3086" t="n">
        <v>0</v>
      </c>
      <c r="J3086" t="n">
        <v>0</v>
      </c>
      <c r="K3086" t="n">
        <v>0</v>
      </c>
      <c r="L3086" t="n">
        <v>0</v>
      </c>
      <c r="M3086" t="n">
        <v>0</v>
      </c>
      <c r="N3086" t="n">
        <v>0</v>
      </c>
      <c r="O3086" t="n">
        <v>0</v>
      </c>
      <c r="P3086" t="n">
        <v>0</v>
      </c>
      <c r="Q3086" t="n">
        <v>0</v>
      </c>
      <c r="R3086" s="2" t="inlineStr"/>
    </row>
    <row r="3087" ht="15" customHeight="1">
      <c r="A3087" t="inlineStr">
        <is>
          <t>A 37058-2020</t>
        </is>
      </c>
      <c r="B3087" s="1" t="n">
        <v>44054</v>
      </c>
      <c r="C3087" s="1" t="n">
        <v>45810</v>
      </c>
      <c r="D3087" t="inlineStr">
        <is>
          <t>VÄRMLANDS LÄN</t>
        </is>
      </c>
      <c r="E3087" t="inlineStr">
        <is>
          <t>ÅRJÄNG</t>
        </is>
      </c>
      <c r="G3087" t="n">
        <v>3</v>
      </c>
      <c r="H3087" t="n">
        <v>0</v>
      </c>
      <c r="I3087" t="n">
        <v>0</v>
      </c>
      <c r="J3087" t="n">
        <v>0</v>
      </c>
      <c r="K3087" t="n">
        <v>0</v>
      </c>
      <c r="L3087" t="n">
        <v>0</v>
      </c>
      <c r="M3087" t="n">
        <v>0</v>
      </c>
      <c r="N3087" t="n">
        <v>0</v>
      </c>
      <c r="O3087" t="n">
        <v>0</v>
      </c>
      <c r="P3087" t="n">
        <v>0</v>
      </c>
      <c r="Q3087" t="n">
        <v>0</v>
      </c>
      <c r="R3087" s="2" t="inlineStr"/>
    </row>
    <row r="3088" ht="15" customHeight="1">
      <c r="A3088" t="inlineStr">
        <is>
          <t>A 37151-2020</t>
        </is>
      </c>
      <c r="B3088" s="1" t="n">
        <v>44054</v>
      </c>
      <c r="C3088" s="1" t="n">
        <v>45810</v>
      </c>
      <c r="D3088" t="inlineStr">
        <is>
          <t>VÄRMLANDS LÄN</t>
        </is>
      </c>
      <c r="E3088" t="inlineStr">
        <is>
          <t>GRUMS</t>
        </is>
      </c>
      <c r="G3088" t="n">
        <v>3.2</v>
      </c>
      <c r="H3088" t="n">
        <v>0</v>
      </c>
      <c r="I3088" t="n">
        <v>0</v>
      </c>
      <c r="J3088" t="n">
        <v>0</v>
      </c>
      <c r="K3088" t="n">
        <v>0</v>
      </c>
      <c r="L3088" t="n">
        <v>0</v>
      </c>
      <c r="M3088" t="n">
        <v>0</v>
      </c>
      <c r="N3088" t="n">
        <v>0</v>
      </c>
      <c r="O3088" t="n">
        <v>0</v>
      </c>
      <c r="P3088" t="n">
        <v>0</v>
      </c>
      <c r="Q3088" t="n">
        <v>0</v>
      </c>
      <c r="R3088" s="2" t="inlineStr"/>
    </row>
    <row r="3089" ht="15" customHeight="1">
      <c r="A3089" t="inlineStr">
        <is>
          <t>A 37208-2020</t>
        </is>
      </c>
      <c r="B3089" s="1" t="n">
        <v>44054</v>
      </c>
      <c r="C3089" s="1" t="n">
        <v>45810</v>
      </c>
      <c r="D3089" t="inlineStr">
        <is>
          <t>VÄRMLANDS LÄN</t>
        </is>
      </c>
      <c r="E3089" t="inlineStr">
        <is>
          <t>SUNNE</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37010-2020</t>
        </is>
      </c>
      <c r="B3090" s="1" t="n">
        <v>44054</v>
      </c>
      <c r="C3090" s="1" t="n">
        <v>45810</v>
      </c>
      <c r="D3090" t="inlineStr">
        <is>
          <t>VÄRMLANDS LÄN</t>
        </is>
      </c>
      <c r="E3090" t="inlineStr">
        <is>
          <t>ÅRJÄNG</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37305-2020</t>
        </is>
      </c>
      <c r="B3091" s="1" t="n">
        <v>44055</v>
      </c>
      <c r="C3091" s="1" t="n">
        <v>45810</v>
      </c>
      <c r="D3091" t="inlineStr">
        <is>
          <t>VÄRMLANDS LÄN</t>
        </is>
      </c>
      <c r="E3091" t="inlineStr">
        <is>
          <t>TORSBY</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37302-2020</t>
        </is>
      </c>
      <c r="B3092" s="1" t="n">
        <v>44055</v>
      </c>
      <c r="C3092" s="1" t="n">
        <v>45810</v>
      </c>
      <c r="D3092" t="inlineStr">
        <is>
          <t>VÄRMLANDS LÄN</t>
        </is>
      </c>
      <c r="E3092" t="inlineStr">
        <is>
          <t>TORSBY</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37307-2020</t>
        </is>
      </c>
      <c r="B3093" s="1" t="n">
        <v>44055</v>
      </c>
      <c r="C3093" s="1" t="n">
        <v>45810</v>
      </c>
      <c r="D3093" t="inlineStr">
        <is>
          <t>VÄRMLANDS LÄN</t>
        </is>
      </c>
      <c r="E3093" t="inlineStr">
        <is>
          <t>TORSBY</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37303-2020</t>
        </is>
      </c>
      <c r="B3094" s="1" t="n">
        <v>44055</v>
      </c>
      <c r="C3094" s="1" t="n">
        <v>45810</v>
      </c>
      <c r="D3094" t="inlineStr">
        <is>
          <t>VÄRMLANDS LÄN</t>
        </is>
      </c>
      <c r="E3094" t="inlineStr">
        <is>
          <t>TORSBY</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37465-2020</t>
        </is>
      </c>
      <c r="B3095" s="1" t="n">
        <v>44055</v>
      </c>
      <c r="C3095" s="1" t="n">
        <v>45810</v>
      </c>
      <c r="D3095" t="inlineStr">
        <is>
          <t>VÄRMLANDS LÄN</t>
        </is>
      </c>
      <c r="E3095" t="inlineStr">
        <is>
          <t>FILIPSTAD</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37458-2020</t>
        </is>
      </c>
      <c r="B3096" s="1" t="n">
        <v>44055</v>
      </c>
      <c r="C3096" s="1" t="n">
        <v>45810</v>
      </c>
      <c r="D3096" t="inlineStr">
        <is>
          <t>VÄRMLANDS LÄN</t>
        </is>
      </c>
      <c r="E3096" t="inlineStr">
        <is>
          <t>FILIPSTAD</t>
        </is>
      </c>
      <c r="G3096" t="n">
        <v>2.2</v>
      </c>
      <c r="H3096" t="n">
        <v>0</v>
      </c>
      <c r="I3096" t="n">
        <v>0</v>
      </c>
      <c r="J3096" t="n">
        <v>0</v>
      </c>
      <c r="K3096" t="n">
        <v>0</v>
      </c>
      <c r="L3096" t="n">
        <v>0</v>
      </c>
      <c r="M3096" t="n">
        <v>0</v>
      </c>
      <c r="N3096" t="n">
        <v>0</v>
      </c>
      <c r="O3096" t="n">
        <v>0</v>
      </c>
      <c r="P3096" t="n">
        <v>0</v>
      </c>
      <c r="Q3096" t="n">
        <v>0</v>
      </c>
      <c r="R3096" s="2" t="inlineStr"/>
    </row>
    <row r="3097" ht="15" customHeight="1">
      <c r="A3097" t="inlineStr">
        <is>
          <t>A 37547-2020</t>
        </is>
      </c>
      <c r="B3097" s="1" t="n">
        <v>44056</v>
      </c>
      <c r="C3097" s="1" t="n">
        <v>45810</v>
      </c>
      <c r="D3097" t="inlineStr">
        <is>
          <t>VÄRMLANDS LÄN</t>
        </is>
      </c>
      <c r="E3097" t="inlineStr">
        <is>
          <t>SUNNE</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37620-2020</t>
        </is>
      </c>
      <c r="B3098" s="1" t="n">
        <v>44056</v>
      </c>
      <c r="C3098" s="1" t="n">
        <v>45810</v>
      </c>
      <c r="D3098" t="inlineStr">
        <is>
          <t>VÄRMLANDS LÄN</t>
        </is>
      </c>
      <c r="E3098" t="inlineStr">
        <is>
          <t>EDA</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37617-2020</t>
        </is>
      </c>
      <c r="B3099" s="1" t="n">
        <v>44056</v>
      </c>
      <c r="C3099" s="1" t="n">
        <v>45810</v>
      </c>
      <c r="D3099" t="inlineStr">
        <is>
          <t>VÄRMLANDS LÄN</t>
        </is>
      </c>
      <c r="E3099" t="inlineStr">
        <is>
          <t>SUNNE</t>
        </is>
      </c>
      <c r="G3099" t="n">
        <v>3.9</v>
      </c>
      <c r="H3099" t="n">
        <v>0</v>
      </c>
      <c r="I3099" t="n">
        <v>0</v>
      </c>
      <c r="J3099" t="n">
        <v>0</v>
      </c>
      <c r="K3099" t="n">
        <v>0</v>
      </c>
      <c r="L3099" t="n">
        <v>0</v>
      </c>
      <c r="M3099" t="n">
        <v>0</v>
      </c>
      <c r="N3099" t="n">
        <v>0</v>
      </c>
      <c r="O3099" t="n">
        <v>0</v>
      </c>
      <c r="P3099" t="n">
        <v>0</v>
      </c>
      <c r="Q3099" t="n">
        <v>0</v>
      </c>
      <c r="R3099" s="2" t="inlineStr"/>
    </row>
    <row r="3100" ht="15" customHeight="1">
      <c r="A3100" t="inlineStr">
        <is>
          <t>A 37755-2020</t>
        </is>
      </c>
      <c r="B3100" s="1" t="n">
        <v>44056</v>
      </c>
      <c r="C3100" s="1" t="n">
        <v>45810</v>
      </c>
      <c r="D3100" t="inlineStr">
        <is>
          <t>VÄRMLANDS LÄN</t>
        </is>
      </c>
      <c r="E3100" t="inlineStr">
        <is>
          <t>KIL</t>
        </is>
      </c>
      <c r="G3100" t="n">
        <v>5.7</v>
      </c>
      <c r="H3100" t="n">
        <v>0</v>
      </c>
      <c r="I3100" t="n">
        <v>0</v>
      </c>
      <c r="J3100" t="n">
        <v>0</v>
      </c>
      <c r="K3100" t="n">
        <v>0</v>
      </c>
      <c r="L3100" t="n">
        <v>0</v>
      </c>
      <c r="M3100" t="n">
        <v>0</v>
      </c>
      <c r="N3100" t="n">
        <v>0</v>
      </c>
      <c r="O3100" t="n">
        <v>0</v>
      </c>
      <c r="P3100" t="n">
        <v>0</v>
      </c>
      <c r="Q3100" t="n">
        <v>0</v>
      </c>
      <c r="R3100" s="2" t="inlineStr"/>
    </row>
    <row r="3101" ht="15" customHeight="1">
      <c r="A3101" t="inlineStr">
        <is>
          <t>A 37751-2020</t>
        </is>
      </c>
      <c r="B3101" s="1" t="n">
        <v>44056</v>
      </c>
      <c r="C3101" s="1" t="n">
        <v>45810</v>
      </c>
      <c r="D3101" t="inlineStr">
        <is>
          <t>VÄRMLANDS LÄN</t>
        </is>
      </c>
      <c r="E3101" t="inlineStr">
        <is>
          <t>KIL</t>
        </is>
      </c>
      <c r="G3101" t="n">
        <v>5.1</v>
      </c>
      <c r="H3101" t="n">
        <v>0</v>
      </c>
      <c r="I3101" t="n">
        <v>0</v>
      </c>
      <c r="J3101" t="n">
        <v>0</v>
      </c>
      <c r="K3101" t="n">
        <v>0</v>
      </c>
      <c r="L3101" t="n">
        <v>0</v>
      </c>
      <c r="M3101" t="n">
        <v>0</v>
      </c>
      <c r="N3101" t="n">
        <v>0</v>
      </c>
      <c r="O3101" t="n">
        <v>0</v>
      </c>
      <c r="P3101" t="n">
        <v>0</v>
      </c>
      <c r="Q3101" t="n">
        <v>0</v>
      </c>
      <c r="R3101" s="2" t="inlineStr"/>
    </row>
    <row r="3102" ht="15" customHeight="1">
      <c r="A3102" t="inlineStr">
        <is>
          <t>A 37877-2020</t>
        </is>
      </c>
      <c r="B3102" s="1" t="n">
        <v>44057</v>
      </c>
      <c r="C3102" s="1" t="n">
        <v>45810</v>
      </c>
      <c r="D3102" t="inlineStr">
        <is>
          <t>VÄRMLANDS LÄN</t>
        </is>
      </c>
      <c r="E3102" t="inlineStr">
        <is>
          <t>GRUMS</t>
        </is>
      </c>
      <c r="F3102" t="inlineStr">
        <is>
          <t>Bergvik skog väst AB</t>
        </is>
      </c>
      <c r="G3102" t="n">
        <v>2.9</v>
      </c>
      <c r="H3102" t="n">
        <v>0</v>
      </c>
      <c r="I3102" t="n">
        <v>0</v>
      </c>
      <c r="J3102" t="n">
        <v>0</v>
      </c>
      <c r="K3102" t="n">
        <v>0</v>
      </c>
      <c r="L3102" t="n">
        <v>0</v>
      </c>
      <c r="M3102" t="n">
        <v>0</v>
      </c>
      <c r="N3102" t="n">
        <v>0</v>
      </c>
      <c r="O3102" t="n">
        <v>0</v>
      </c>
      <c r="P3102" t="n">
        <v>0</v>
      </c>
      <c r="Q3102" t="n">
        <v>0</v>
      </c>
      <c r="R3102" s="2" t="inlineStr"/>
    </row>
    <row r="3103" ht="15" customHeight="1">
      <c r="A3103" t="inlineStr">
        <is>
          <t>A 37831-2020</t>
        </is>
      </c>
      <c r="B3103" s="1" t="n">
        <v>44057</v>
      </c>
      <c r="C3103" s="1" t="n">
        <v>45810</v>
      </c>
      <c r="D3103" t="inlineStr">
        <is>
          <t>VÄRMLANDS LÄN</t>
        </is>
      </c>
      <c r="E3103" t="inlineStr">
        <is>
          <t>SÄFFLE</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37880-2020</t>
        </is>
      </c>
      <c r="B3104" s="1" t="n">
        <v>44057</v>
      </c>
      <c r="C3104" s="1" t="n">
        <v>45810</v>
      </c>
      <c r="D3104" t="inlineStr">
        <is>
          <t>VÄRMLANDS LÄN</t>
        </is>
      </c>
      <c r="E3104" t="inlineStr">
        <is>
          <t>FILIPSTAD</t>
        </is>
      </c>
      <c r="F3104" t="inlineStr">
        <is>
          <t>Bergvik skog väst AB</t>
        </is>
      </c>
      <c r="G3104" t="n">
        <v>10.7</v>
      </c>
      <c r="H3104" t="n">
        <v>0</v>
      </c>
      <c r="I3104" t="n">
        <v>0</v>
      </c>
      <c r="J3104" t="n">
        <v>0</v>
      </c>
      <c r="K3104" t="n">
        <v>0</v>
      </c>
      <c r="L3104" t="n">
        <v>0</v>
      </c>
      <c r="M3104" t="n">
        <v>0</v>
      </c>
      <c r="N3104" t="n">
        <v>0</v>
      </c>
      <c r="O3104" t="n">
        <v>0</v>
      </c>
      <c r="P3104" t="n">
        <v>0</v>
      </c>
      <c r="Q3104" t="n">
        <v>0</v>
      </c>
      <c r="R3104" s="2" t="inlineStr"/>
    </row>
    <row r="3105" ht="15" customHeight="1">
      <c r="A3105" t="inlineStr">
        <is>
          <t>A 37805-2020</t>
        </is>
      </c>
      <c r="B3105" s="1" t="n">
        <v>44057</v>
      </c>
      <c r="C3105" s="1" t="n">
        <v>45810</v>
      </c>
      <c r="D3105" t="inlineStr">
        <is>
          <t>VÄRMLANDS LÄN</t>
        </is>
      </c>
      <c r="E3105" t="inlineStr">
        <is>
          <t>EDA</t>
        </is>
      </c>
      <c r="G3105" t="n">
        <v>10.2</v>
      </c>
      <c r="H3105" t="n">
        <v>0</v>
      </c>
      <c r="I3105" t="n">
        <v>0</v>
      </c>
      <c r="J3105" t="n">
        <v>0</v>
      </c>
      <c r="K3105" t="n">
        <v>0</v>
      </c>
      <c r="L3105" t="n">
        <v>0</v>
      </c>
      <c r="M3105" t="n">
        <v>0</v>
      </c>
      <c r="N3105" t="n">
        <v>0</v>
      </c>
      <c r="O3105" t="n">
        <v>0</v>
      </c>
      <c r="P3105" t="n">
        <v>0</v>
      </c>
      <c r="Q3105" t="n">
        <v>0</v>
      </c>
      <c r="R3105" s="2" t="inlineStr"/>
    </row>
    <row r="3106" ht="15" customHeight="1">
      <c r="A3106" t="inlineStr">
        <is>
          <t>A 37879-2020</t>
        </is>
      </c>
      <c r="B3106" s="1" t="n">
        <v>44057</v>
      </c>
      <c r="C3106" s="1" t="n">
        <v>45810</v>
      </c>
      <c r="D3106" t="inlineStr">
        <is>
          <t>VÄRMLANDS LÄN</t>
        </is>
      </c>
      <c r="E3106" t="inlineStr">
        <is>
          <t>GRUMS</t>
        </is>
      </c>
      <c r="F3106" t="inlineStr">
        <is>
          <t>Bergvik skog väst AB</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38055-2020</t>
        </is>
      </c>
      <c r="B3107" s="1" t="n">
        <v>44057</v>
      </c>
      <c r="C3107" s="1" t="n">
        <v>45810</v>
      </c>
      <c r="D3107" t="inlineStr">
        <is>
          <t>VÄRMLANDS LÄN</t>
        </is>
      </c>
      <c r="E3107" t="inlineStr">
        <is>
          <t>KARLSTAD</t>
        </is>
      </c>
      <c r="G3107" t="n">
        <v>3.5</v>
      </c>
      <c r="H3107" t="n">
        <v>0</v>
      </c>
      <c r="I3107" t="n">
        <v>0</v>
      </c>
      <c r="J3107" t="n">
        <v>0</v>
      </c>
      <c r="K3107" t="n">
        <v>0</v>
      </c>
      <c r="L3107" t="n">
        <v>0</v>
      </c>
      <c r="M3107" t="n">
        <v>0</v>
      </c>
      <c r="N3107" t="n">
        <v>0</v>
      </c>
      <c r="O3107" t="n">
        <v>0</v>
      </c>
      <c r="P3107" t="n">
        <v>0</v>
      </c>
      <c r="Q3107" t="n">
        <v>0</v>
      </c>
      <c r="R3107" s="2" t="inlineStr"/>
    </row>
    <row r="3108" ht="15" customHeight="1">
      <c r="A3108" t="inlineStr">
        <is>
          <t>A 37995-2020</t>
        </is>
      </c>
      <c r="B3108" s="1" t="n">
        <v>44057</v>
      </c>
      <c r="C3108" s="1" t="n">
        <v>45810</v>
      </c>
      <c r="D3108" t="inlineStr">
        <is>
          <t>VÄRMLANDS LÄN</t>
        </is>
      </c>
      <c r="E3108" t="inlineStr">
        <is>
          <t>ARVIKA</t>
        </is>
      </c>
      <c r="F3108" t="inlineStr">
        <is>
          <t>Bergvik skog väst AB</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38030-2020</t>
        </is>
      </c>
      <c r="B3109" s="1" t="n">
        <v>44057</v>
      </c>
      <c r="C3109" s="1" t="n">
        <v>45810</v>
      </c>
      <c r="D3109" t="inlineStr">
        <is>
          <t>VÄRMLANDS LÄN</t>
        </is>
      </c>
      <c r="E3109" t="inlineStr">
        <is>
          <t>SUNNE</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38177-2020</t>
        </is>
      </c>
      <c r="B3110" s="1" t="n">
        <v>44060</v>
      </c>
      <c r="C3110" s="1" t="n">
        <v>45810</v>
      </c>
      <c r="D3110" t="inlineStr">
        <is>
          <t>VÄRMLANDS LÄN</t>
        </is>
      </c>
      <c r="E3110" t="inlineStr">
        <is>
          <t>ÅRJÄNG</t>
        </is>
      </c>
      <c r="F3110" t="inlineStr">
        <is>
          <t>Övriga Aktiebolag</t>
        </is>
      </c>
      <c r="G3110" t="n">
        <v>9</v>
      </c>
      <c r="H3110" t="n">
        <v>0</v>
      </c>
      <c r="I3110" t="n">
        <v>0</v>
      </c>
      <c r="J3110" t="n">
        <v>0</v>
      </c>
      <c r="K3110" t="n">
        <v>0</v>
      </c>
      <c r="L3110" t="n">
        <v>0</v>
      </c>
      <c r="M3110" t="n">
        <v>0</v>
      </c>
      <c r="N3110" t="n">
        <v>0</v>
      </c>
      <c r="O3110" t="n">
        <v>0</v>
      </c>
      <c r="P3110" t="n">
        <v>0</v>
      </c>
      <c r="Q3110" t="n">
        <v>0</v>
      </c>
      <c r="R3110" s="2" t="inlineStr"/>
    </row>
    <row r="3111" ht="15" customHeight="1">
      <c r="A3111" t="inlineStr">
        <is>
          <t>A 38323-2020</t>
        </is>
      </c>
      <c r="B3111" s="1" t="n">
        <v>44060</v>
      </c>
      <c r="C3111" s="1" t="n">
        <v>45810</v>
      </c>
      <c r="D3111" t="inlineStr">
        <is>
          <t>VÄRMLANDS LÄN</t>
        </is>
      </c>
      <c r="E3111" t="inlineStr">
        <is>
          <t>SUNNE</t>
        </is>
      </c>
      <c r="G3111" t="n">
        <v>5.3</v>
      </c>
      <c r="H3111" t="n">
        <v>0</v>
      </c>
      <c r="I3111" t="n">
        <v>0</v>
      </c>
      <c r="J3111" t="n">
        <v>0</v>
      </c>
      <c r="K3111" t="n">
        <v>0</v>
      </c>
      <c r="L3111" t="n">
        <v>0</v>
      </c>
      <c r="M3111" t="n">
        <v>0</v>
      </c>
      <c r="N3111" t="n">
        <v>0</v>
      </c>
      <c r="O3111" t="n">
        <v>0</v>
      </c>
      <c r="P3111" t="n">
        <v>0</v>
      </c>
      <c r="Q3111" t="n">
        <v>0</v>
      </c>
      <c r="R3111" s="2" t="inlineStr"/>
    </row>
    <row r="3112" ht="15" customHeight="1">
      <c r="A3112" t="inlineStr">
        <is>
          <t>A 38438-2020</t>
        </is>
      </c>
      <c r="B3112" s="1" t="n">
        <v>44060</v>
      </c>
      <c r="C3112" s="1" t="n">
        <v>45810</v>
      </c>
      <c r="D3112" t="inlineStr">
        <is>
          <t>VÄRMLANDS LÄN</t>
        </is>
      </c>
      <c r="E3112" t="inlineStr">
        <is>
          <t>GRUMS</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38444-2020</t>
        </is>
      </c>
      <c r="B3113" s="1" t="n">
        <v>44060</v>
      </c>
      <c r="C3113" s="1" t="n">
        <v>45810</v>
      </c>
      <c r="D3113" t="inlineStr">
        <is>
          <t>VÄRMLANDS LÄN</t>
        </is>
      </c>
      <c r="E3113" t="inlineStr">
        <is>
          <t>GRUMS</t>
        </is>
      </c>
      <c r="G3113" t="n">
        <v>3.1</v>
      </c>
      <c r="H3113" t="n">
        <v>0</v>
      </c>
      <c r="I3113" t="n">
        <v>0</v>
      </c>
      <c r="J3113" t="n">
        <v>0</v>
      </c>
      <c r="K3113" t="n">
        <v>0</v>
      </c>
      <c r="L3113" t="n">
        <v>0</v>
      </c>
      <c r="M3113" t="n">
        <v>0</v>
      </c>
      <c r="N3113" t="n">
        <v>0</v>
      </c>
      <c r="O3113" t="n">
        <v>0</v>
      </c>
      <c r="P3113" t="n">
        <v>0</v>
      </c>
      <c r="Q3113" t="n">
        <v>0</v>
      </c>
      <c r="R3113" s="2" t="inlineStr"/>
    </row>
    <row r="3114" ht="15" customHeight="1">
      <c r="A3114" t="inlineStr">
        <is>
          <t>A 38519-2020</t>
        </is>
      </c>
      <c r="B3114" s="1" t="n">
        <v>44060</v>
      </c>
      <c r="C3114" s="1" t="n">
        <v>45810</v>
      </c>
      <c r="D3114" t="inlineStr">
        <is>
          <t>VÄRMLANDS LÄN</t>
        </is>
      </c>
      <c r="E3114" t="inlineStr">
        <is>
          <t>GRUMS</t>
        </is>
      </c>
      <c r="G3114" t="n">
        <v>7.1</v>
      </c>
      <c r="H3114" t="n">
        <v>0</v>
      </c>
      <c r="I3114" t="n">
        <v>0</v>
      </c>
      <c r="J3114" t="n">
        <v>0</v>
      </c>
      <c r="K3114" t="n">
        <v>0</v>
      </c>
      <c r="L3114" t="n">
        <v>0</v>
      </c>
      <c r="M3114" t="n">
        <v>0</v>
      </c>
      <c r="N3114" t="n">
        <v>0</v>
      </c>
      <c r="O3114" t="n">
        <v>0</v>
      </c>
      <c r="P3114" t="n">
        <v>0</v>
      </c>
      <c r="Q3114" t="n">
        <v>0</v>
      </c>
      <c r="R3114" s="2" t="inlineStr"/>
    </row>
    <row r="3115" ht="15" customHeight="1">
      <c r="A3115" t="inlineStr">
        <is>
          <t>A 38165-2020</t>
        </is>
      </c>
      <c r="B3115" s="1" t="n">
        <v>44060</v>
      </c>
      <c r="C3115" s="1" t="n">
        <v>45810</v>
      </c>
      <c r="D3115" t="inlineStr">
        <is>
          <t>VÄRMLANDS LÄN</t>
        </is>
      </c>
      <c r="E3115" t="inlineStr">
        <is>
          <t>SUNNE</t>
        </is>
      </c>
      <c r="G3115" t="n">
        <v>4.8</v>
      </c>
      <c r="H3115" t="n">
        <v>0</v>
      </c>
      <c r="I3115" t="n">
        <v>0</v>
      </c>
      <c r="J3115" t="n">
        <v>0</v>
      </c>
      <c r="K3115" t="n">
        <v>0</v>
      </c>
      <c r="L3115" t="n">
        <v>0</v>
      </c>
      <c r="M3115" t="n">
        <v>0</v>
      </c>
      <c r="N3115" t="n">
        <v>0</v>
      </c>
      <c r="O3115" t="n">
        <v>0</v>
      </c>
      <c r="P3115" t="n">
        <v>0</v>
      </c>
      <c r="Q3115" t="n">
        <v>0</v>
      </c>
      <c r="R3115" s="2" t="inlineStr"/>
    </row>
    <row r="3116" ht="15" customHeight="1">
      <c r="A3116" t="inlineStr">
        <is>
          <t>A 38522-2020</t>
        </is>
      </c>
      <c r="B3116" s="1" t="n">
        <v>44060</v>
      </c>
      <c r="C3116" s="1" t="n">
        <v>45810</v>
      </c>
      <c r="D3116" t="inlineStr">
        <is>
          <t>VÄRMLANDS LÄN</t>
        </is>
      </c>
      <c r="E3116" t="inlineStr">
        <is>
          <t>GRUMS</t>
        </is>
      </c>
      <c r="G3116" t="n">
        <v>6.6</v>
      </c>
      <c r="H3116" t="n">
        <v>0</v>
      </c>
      <c r="I3116" t="n">
        <v>0</v>
      </c>
      <c r="J3116" t="n">
        <v>0</v>
      </c>
      <c r="K3116" t="n">
        <v>0</v>
      </c>
      <c r="L3116" t="n">
        <v>0</v>
      </c>
      <c r="M3116" t="n">
        <v>0</v>
      </c>
      <c r="N3116" t="n">
        <v>0</v>
      </c>
      <c r="O3116" t="n">
        <v>0</v>
      </c>
      <c r="P3116" t="n">
        <v>0</v>
      </c>
      <c r="Q3116" t="n">
        <v>0</v>
      </c>
      <c r="R3116" s="2" t="inlineStr"/>
    </row>
    <row r="3117" ht="15" customHeight="1">
      <c r="A3117" t="inlineStr">
        <is>
          <t>A 38506-2020</t>
        </is>
      </c>
      <c r="B3117" s="1" t="n">
        <v>44061</v>
      </c>
      <c r="C3117" s="1" t="n">
        <v>45810</v>
      </c>
      <c r="D3117" t="inlineStr">
        <is>
          <t>VÄRMLANDS LÄN</t>
        </is>
      </c>
      <c r="E3117" t="inlineStr">
        <is>
          <t>TORSBY</t>
        </is>
      </c>
      <c r="G3117" t="n">
        <v>5</v>
      </c>
      <c r="H3117" t="n">
        <v>0</v>
      </c>
      <c r="I3117" t="n">
        <v>0</v>
      </c>
      <c r="J3117" t="n">
        <v>0</v>
      </c>
      <c r="K3117" t="n">
        <v>0</v>
      </c>
      <c r="L3117" t="n">
        <v>0</v>
      </c>
      <c r="M3117" t="n">
        <v>0</v>
      </c>
      <c r="N3117" t="n">
        <v>0</v>
      </c>
      <c r="O3117" t="n">
        <v>0</v>
      </c>
      <c r="P3117" t="n">
        <v>0</v>
      </c>
      <c r="Q3117" t="n">
        <v>0</v>
      </c>
      <c r="R3117" s="2" t="inlineStr"/>
    </row>
    <row r="3118" ht="15" customHeight="1">
      <c r="A3118" t="inlineStr">
        <is>
          <t>A 38513-2020</t>
        </is>
      </c>
      <c r="B3118" s="1" t="n">
        <v>44061</v>
      </c>
      <c r="C3118" s="1" t="n">
        <v>45810</v>
      </c>
      <c r="D3118" t="inlineStr">
        <is>
          <t>VÄRMLANDS LÄN</t>
        </is>
      </c>
      <c r="E3118" t="inlineStr">
        <is>
          <t>SUNNE</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38562-2020</t>
        </is>
      </c>
      <c r="B3119" s="1" t="n">
        <v>44061</v>
      </c>
      <c r="C3119" s="1" t="n">
        <v>45810</v>
      </c>
      <c r="D3119" t="inlineStr">
        <is>
          <t>VÄRMLANDS LÄN</t>
        </is>
      </c>
      <c r="E3119" t="inlineStr">
        <is>
          <t>SUNNE</t>
        </is>
      </c>
      <c r="G3119" t="n">
        <v>2.9</v>
      </c>
      <c r="H3119" t="n">
        <v>0</v>
      </c>
      <c r="I3119" t="n">
        <v>0</v>
      </c>
      <c r="J3119" t="n">
        <v>0</v>
      </c>
      <c r="K3119" t="n">
        <v>0</v>
      </c>
      <c r="L3119" t="n">
        <v>0</v>
      </c>
      <c r="M3119" t="n">
        <v>0</v>
      </c>
      <c r="N3119" t="n">
        <v>0</v>
      </c>
      <c r="O3119" t="n">
        <v>0</v>
      </c>
      <c r="P3119" t="n">
        <v>0</v>
      </c>
      <c r="Q3119" t="n">
        <v>0</v>
      </c>
      <c r="R3119" s="2" t="inlineStr"/>
    </row>
    <row r="3120" ht="15" customHeight="1">
      <c r="A3120" t="inlineStr">
        <is>
          <t>A 38576-2020</t>
        </is>
      </c>
      <c r="B3120" s="1" t="n">
        <v>44061</v>
      </c>
      <c r="C3120" s="1" t="n">
        <v>45810</v>
      </c>
      <c r="D3120" t="inlineStr">
        <is>
          <t>VÄRMLANDS LÄN</t>
        </is>
      </c>
      <c r="E3120" t="inlineStr">
        <is>
          <t>SÄFFLE</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38603-2020</t>
        </is>
      </c>
      <c r="B3121" s="1" t="n">
        <v>44061</v>
      </c>
      <c r="C3121" s="1" t="n">
        <v>45810</v>
      </c>
      <c r="D3121" t="inlineStr">
        <is>
          <t>VÄRMLANDS LÄN</t>
        </is>
      </c>
      <c r="E3121" t="inlineStr">
        <is>
          <t>MUNKFORS</t>
        </is>
      </c>
      <c r="F3121" t="inlineStr">
        <is>
          <t>Bergvik skog väst AB</t>
        </is>
      </c>
      <c r="G3121" t="n">
        <v>0.3</v>
      </c>
      <c r="H3121" t="n">
        <v>0</v>
      </c>
      <c r="I3121" t="n">
        <v>0</v>
      </c>
      <c r="J3121" t="n">
        <v>0</v>
      </c>
      <c r="K3121" t="n">
        <v>0</v>
      </c>
      <c r="L3121" t="n">
        <v>0</v>
      </c>
      <c r="M3121" t="n">
        <v>0</v>
      </c>
      <c r="N3121" t="n">
        <v>0</v>
      </c>
      <c r="O3121" t="n">
        <v>0</v>
      </c>
      <c r="P3121" t="n">
        <v>0</v>
      </c>
      <c r="Q3121" t="n">
        <v>0</v>
      </c>
      <c r="R3121" s="2" t="inlineStr"/>
    </row>
    <row r="3122" ht="15" customHeight="1">
      <c r="A3122" t="inlineStr">
        <is>
          <t>A 38618-2020</t>
        </is>
      </c>
      <c r="B3122" s="1" t="n">
        <v>44061</v>
      </c>
      <c r="C3122" s="1" t="n">
        <v>45810</v>
      </c>
      <c r="D3122" t="inlineStr">
        <is>
          <t>VÄRMLANDS LÄN</t>
        </is>
      </c>
      <c r="E3122" t="inlineStr">
        <is>
          <t>KARLSTAD</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38696-2020</t>
        </is>
      </c>
      <c r="B3123" s="1" t="n">
        <v>44061</v>
      </c>
      <c r="C3123" s="1" t="n">
        <v>45810</v>
      </c>
      <c r="D3123" t="inlineStr">
        <is>
          <t>VÄRMLANDS LÄN</t>
        </is>
      </c>
      <c r="E3123" t="inlineStr">
        <is>
          <t>ÅRJÄNG</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38693-2020</t>
        </is>
      </c>
      <c r="B3124" s="1" t="n">
        <v>44061</v>
      </c>
      <c r="C3124" s="1" t="n">
        <v>45810</v>
      </c>
      <c r="D3124" t="inlineStr">
        <is>
          <t>VÄRMLANDS LÄN</t>
        </is>
      </c>
      <c r="E3124" t="inlineStr">
        <is>
          <t>MUNKFORS</t>
        </is>
      </c>
      <c r="F3124" t="inlineStr">
        <is>
          <t>Bergvik skog väst AB</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38727-2020</t>
        </is>
      </c>
      <c r="B3125" s="1" t="n">
        <v>44061</v>
      </c>
      <c r="C3125" s="1" t="n">
        <v>45810</v>
      </c>
      <c r="D3125" t="inlineStr">
        <is>
          <t>VÄRMLANDS LÄN</t>
        </is>
      </c>
      <c r="E3125" t="inlineStr">
        <is>
          <t>SUNNE</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38748-2020</t>
        </is>
      </c>
      <c r="B3126" s="1" t="n">
        <v>44061</v>
      </c>
      <c r="C3126" s="1" t="n">
        <v>45810</v>
      </c>
      <c r="D3126" t="inlineStr">
        <is>
          <t>VÄRMLANDS LÄN</t>
        </is>
      </c>
      <c r="E3126" t="inlineStr">
        <is>
          <t>SUNNE</t>
        </is>
      </c>
      <c r="G3126" t="n">
        <v>4.4</v>
      </c>
      <c r="H3126" t="n">
        <v>0</v>
      </c>
      <c r="I3126" t="n">
        <v>0</v>
      </c>
      <c r="J3126" t="n">
        <v>0</v>
      </c>
      <c r="K3126" t="n">
        <v>0</v>
      </c>
      <c r="L3126" t="n">
        <v>0</v>
      </c>
      <c r="M3126" t="n">
        <v>0</v>
      </c>
      <c r="N3126" t="n">
        <v>0</v>
      </c>
      <c r="O3126" t="n">
        <v>0</v>
      </c>
      <c r="P3126" t="n">
        <v>0</v>
      </c>
      <c r="Q3126" t="n">
        <v>0</v>
      </c>
      <c r="R3126" s="2" t="inlineStr"/>
    </row>
    <row r="3127" ht="15" customHeight="1">
      <c r="A3127" t="inlineStr">
        <is>
          <t>A 38775-2020</t>
        </is>
      </c>
      <c r="B3127" s="1" t="n">
        <v>44061</v>
      </c>
      <c r="C3127" s="1" t="n">
        <v>45810</v>
      </c>
      <c r="D3127" t="inlineStr">
        <is>
          <t>VÄRMLANDS LÄN</t>
        </is>
      </c>
      <c r="E3127" t="inlineStr">
        <is>
          <t>SUNNE</t>
        </is>
      </c>
      <c r="G3127" t="n">
        <v>2.5</v>
      </c>
      <c r="H3127" t="n">
        <v>0</v>
      </c>
      <c r="I3127" t="n">
        <v>0</v>
      </c>
      <c r="J3127" t="n">
        <v>0</v>
      </c>
      <c r="K3127" t="n">
        <v>0</v>
      </c>
      <c r="L3127" t="n">
        <v>0</v>
      </c>
      <c r="M3127" t="n">
        <v>0</v>
      </c>
      <c r="N3127" t="n">
        <v>0</v>
      </c>
      <c r="O3127" t="n">
        <v>0</v>
      </c>
      <c r="P3127" t="n">
        <v>0</v>
      </c>
      <c r="Q3127" t="n">
        <v>0</v>
      </c>
      <c r="R3127" s="2" t="inlineStr"/>
    </row>
    <row r="3128" ht="15" customHeight="1">
      <c r="A3128" t="inlineStr">
        <is>
          <t>A 38729-2020</t>
        </is>
      </c>
      <c r="B3128" s="1" t="n">
        <v>44061</v>
      </c>
      <c r="C3128" s="1" t="n">
        <v>45810</v>
      </c>
      <c r="D3128" t="inlineStr">
        <is>
          <t>VÄRMLANDS LÄN</t>
        </is>
      </c>
      <c r="E3128" t="inlineStr">
        <is>
          <t>KIL</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38933-2020</t>
        </is>
      </c>
      <c r="B3129" s="1" t="n">
        <v>44062</v>
      </c>
      <c r="C3129" s="1" t="n">
        <v>45810</v>
      </c>
      <c r="D3129" t="inlineStr">
        <is>
          <t>VÄRMLANDS LÄN</t>
        </is>
      </c>
      <c r="E3129" t="inlineStr">
        <is>
          <t>EDA</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38969-2020</t>
        </is>
      </c>
      <c r="B3130" s="1" t="n">
        <v>44062</v>
      </c>
      <c r="C3130" s="1" t="n">
        <v>45810</v>
      </c>
      <c r="D3130" t="inlineStr">
        <is>
          <t>VÄRMLANDS LÄN</t>
        </is>
      </c>
      <c r="E3130" t="inlineStr">
        <is>
          <t>FORSHAGA</t>
        </is>
      </c>
      <c r="G3130" t="n">
        <v>7.1</v>
      </c>
      <c r="H3130" t="n">
        <v>0</v>
      </c>
      <c r="I3130" t="n">
        <v>0</v>
      </c>
      <c r="J3130" t="n">
        <v>0</v>
      </c>
      <c r="K3130" t="n">
        <v>0</v>
      </c>
      <c r="L3130" t="n">
        <v>0</v>
      </c>
      <c r="M3130" t="n">
        <v>0</v>
      </c>
      <c r="N3130" t="n">
        <v>0</v>
      </c>
      <c r="O3130" t="n">
        <v>0</v>
      </c>
      <c r="P3130" t="n">
        <v>0</v>
      </c>
      <c r="Q3130" t="n">
        <v>0</v>
      </c>
      <c r="R3130" s="2" t="inlineStr"/>
    </row>
    <row r="3131" ht="15" customHeight="1">
      <c r="A3131" t="inlineStr">
        <is>
          <t>A 38978-2020</t>
        </is>
      </c>
      <c r="B3131" s="1" t="n">
        <v>44062</v>
      </c>
      <c r="C3131" s="1" t="n">
        <v>45810</v>
      </c>
      <c r="D3131" t="inlineStr">
        <is>
          <t>VÄRMLANDS LÄN</t>
        </is>
      </c>
      <c r="E3131" t="inlineStr">
        <is>
          <t>TORSBY</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38940-2020</t>
        </is>
      </c>
      <c r="B3132" s="1" t="n">
        <v>44062</v>
      </c>
      <c r="C3132" s="1" t="n">
        <v>45810</v>
      </c>
      <c r="D3132" t="inlineStr">
        <is>
          <t>VÄRMLANDS LÄN</t>
        </is>
      </c>
      <c r="E3132" t="inlineStr">
        <is>
          <t>ARVIKA</t>
        </is>
      </c>
      <c r="G3132" t="n">
        <v>14.3</v>
      </c>
      <c r="H3132" t="n">
        <v>0</v>
      </c>
      <c r="I3132" t="n">
        <v>0</v>
      </c>
      <c r="J3132" t="n">
        <v>0</v>
      </c>
      <c r="K3132" t="n">
        <v>0</v>
      </c>
      <c r="L3132" t="n">
        <v>0</v>
      </c>
      <c r="M3132" t="n">
        <v>0</v>
      </c>
      <c r="N3132" t="n">
        <v>0</v>
      </c>
      <c r="O3132" t="n">
        <v>0</v>
      </c>
      <c r="P3132" t="n">
        <v>0</v>
      </c>
      <c r="Q3132" t="n">
        <v>0</v>
      </c>
      <c r="R3132" s="2" t="inlineStr"/>
    </row>
    <row r="3133" ht="15" customHeight="1">
      <c r="A3133" t="inlineStr">
        <is>
          <t>A 38817-2020</t>
        </is>
      </c>
      <c r="B3133" s="1" t="n">
        <v>44062</v>
      </c>
      <c r="C3133" s="1" t="n">
        <v>45810</v>
      </c>
      <c r="D3133" t="inlineStr">
        <is>
          <t>VÄRMLANDS LÄN</t>
        </is>
      </c>
      <c r="E3133" t="inlineStr">
        <is>
          <t>EDA</t>
        </is>
      </c>
      <c r="G3133" t="n">
        <v>3.7</v>
      </c>
      <c r="H3133" t="n">
        <v>0</v>
      </c>
      <c r="I3133" t="n">
        <v>0</v>
      </c>
      <c r="J3133" t="n">
        <v>0</v>
      </c>
      <c r="K3133" t="n">
        <v>0</v>
      </c>
      <c r="L3133" t="n">
        <v>0</v>
      </c>
      <c r="M3133" t="n">
        <v>0</v>
      </c>
      <c r="N3133" t="n">
        <v>0</v>
      </c>
      <c r="O3133" t="n">
        <v>0</v>
      </c>
      <c r="P3133" t="n">
        <v>0</v>
      </c>
      <c r="Q3133" t="n">
        <v>0</v>
      </c>
      <c r="R3133" s="2" t="inlineStr"/>
    </row>
    <row r="3134" ht="15" customHeight="1">
      <c r="A3134" t="inlineStr">
        <is>
          <t>A 41972-2020</t>
        </is>
      </c>
      <c r="B3134" s="1" t="n">
        <v>44062</v>
      </c>
      <c r="C3134" s="1" t="n">
        <v>45810</v>
      </c>
      <c r="D3134" t="inlineStr">
        <is>
          <t>VÄRMLANDS LÄN</t>
        </is>
      </c>
      <c r="E3134" t="inlineStr">
        <is>
          <t>KARLSTAD</t>
        </is>
      </c>
      <c r="G3134" t="n">
        <v>6.3</v>
      </c>
      <c r="H3134" t="n">
        <v>0</v>
      </c>
      <c r="I3134" t="n">
        <v>0</v>
      </c>
      <c r="J3134" t="n">
        <v>0</v>
      </c>
      <c r="K3134" t="n">
        <v>0</v>
      </c>
      <c r="L3134" t="n">
        <v>0</v>
      </c>
      <c r="M3134" t="n">
        <v>0</v>
      </c>
      <c r="N3134" t="n">
        <v>0</v>
      </c>
      <c r="O3134" t="n">
        <v>0</v>
      </c>
      <c r="P3134" t="n">
        <v>0</v>
      </c>
      <c r="Q3134" t="n">
        <v>0</v>
      </c>
      <c r="R3134" s="2" t="inlineStr"/>
    </row>
    <row r="3135" ht="15" customHeight="1">
      <c r="A3135" t="inlineStr">
        <is>
          <t>A 39201-2020</t>
        </is>
      </c>
      <c r="B3135" s="1" t="n">
        <v>44063</v>
      </c>
      <c r="C3135" s="1" t="n">
        <v>45810</v>
      </c>
      <c r="D3135" t="inlineStr">
        <is>
          <t>VÄRMLANDS LÄN</t>
        </is>
      </c>
      <c r="E3135" t="inlineStr">
        <is>
          <t>SUNNE</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39215-2020</t>
        </is>
      </c>
      <c r="B3136" s="1" t="n">
        <v>44063</v>
      </c>
      <c r="C3136" s="1" t="n">
        <v>45810</v>
      </c>
      <c r="D3136" t="inlineStr">
        <is>
          <t>VÄRMLANDS LÄN</t>
        </is>
      </c>
      <c r="E3136" t="inlineStr">
        <is>
          <t>ÅRJÄNG</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39265-2020</t>
        </is>
      </c>
      <c r="B3137" s="1" t="n">
        <v>44063</v>
      </c>
      <c r="C3137" s="1" t="n">
        <v>45810</v>
      </c>
      <c r="D3137" t="inlineStr">
        <is>
          <t>VÄRMLANDS LÄN</t>
        </is>
      </c>
      <c r="E3137" t="inlineStr">
        <is>
          <t>SUNNE</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39140-2020</t>
        </is>
      </c>
      <c r="B3138" s="1" t="n">
        <v>44063</v>
      </c>
      <c r="C3138" s="1" t="n">
        <v>45810</v>
      </c>
      <c r="D3138" t="inlineStr">
        <is>
          <t>VÄRMLANDS LÄN</t>
        </is>
      </c>
      <c r="E3138" t="inlineStr">
        <is>
          <t>SUNNE</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39377-2020</t>
        </is>
      </c>
      <c r="B3139" s="1" t="n">
        <v>44064</v>
      </c>
      <c r="C3139" s="1" t="n">
        <v>45810</v>
      </c>
      <c r="D3139" t="inlineStr">
        <is>
          <t>VÄRMLANDS LÄN</t>
        </is>
      </c>
      <c r="E3139" t="inlineStr">
        <is>
          <t>SUNNE</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39443-2020</t>
        </is>
      </c>
      <c r="B3140" s="1" t="n">
        <v>44064</v>
      </c>
      <c r="C3140" s="1" t="n">
        <v>45810</v>
      </c>
      <c r="D3140" t="inlineStr">
        <is>
          <t>VÄRMLANDS LÄN</t>
        </is>
      </c>
      <c r="E3140" t="inlineStr">
        <is>
          <t>KRISTINEHAMN</t>
        </is>
      </c>
      <c r="F3140" t="inlineStr">
        <is>
          <t>Sveaskog</t>
        </is>
      </c>
      <c r="G3140" t="n">
        <v>3.9</v>
      </c>
      <c r="H3140" t="n">
        <v>0</v>
      </c>
      <c r="I3140" t="n">
        <v>0</v>
      </c>
      <c r="J3140" t="n">
        <v>0</v>
      </c>
      <c r="K3140" t="n">
        <v>0</v>
      </c>
      <c r="L3140" t="n">
        <v>0</v>
      </c>
      <c r="M3140" t="n">
        <v>0</v>
      </c>
      <c r="N3140" t="n">
        <v>0</v>
      </c>
      <c r="O3140" t="n">
        <v>0</v>
      </c>
      <c r="P3140" t="n">
        <v>0</v>
      </c>
      <c r="Q3140" t="n">
        <v>0</v>
      </c>
      <c r="R3140" s="2" t="inlineStr"/>
    </row>
    <row r="3141" ht="15" customHeight="1">
      <c r="A3141" t="inlineStr">
        <is>
          <t>A 39417-2020</t>
        </is>
      </c>
      <c r="B3141" s="1" t="n">
        <v>44064</v>
      </c>
      <c r="C3141" s="1" t="n">
        <v>45810</v>
      </c>
      <c r="D3141" t="inlineStr">
        <is>
          <t>VÄRMLANDS LÄN</t>
        </is>
      </c>
      <c r="E3141" t="inlineStr">
        <is>
          <t>EDA</t>
        </is>
      </c>
      <c r="G3141" t="n">
        <v>3.4</v>
      </c>
      <c r="H3141" t="n">
        <v>0</v>
      </c>
      <c r="I3141" t="n">
        <v>0</v>
      </c>
      <c r="J3141" t="n">
        <v>0</v>
      </c>
      <c r="K3141" t="n">
        <v>0</v>
      </c>
      <c r="L3141" t="n">
        <v>0</v>
      </c>
      <c r="M3141" t="n">
        <v>0</v>
      </c>
      <c r="N3141" t="n">
        <v>0</v>
      </c>
      <c r="O3141" t="n">
        <v>0</v>
      </c>
      <c r="P3141" t="n">
        <v>0</v>
      </c>
      <c r="Q3141" t="n">
        <v>0</v>
      </c>
      <c r="R3141" s="2" t="inlineStr"/>
    </row>
    <row r="3142" ht="15" customHeight="1">
      <c r="A3142" t="inlineStr">
        <is>
          <t>A 39447-2020</t>
        </is>
      </c>
      <c r="B3142" s="1" t="n">
        <v>44064</v>
      </c>
      <c r="C3142" s="1" t="n">
        <v>45810</v>
      </c>
      <c r="D3142" t="inlineStr">
        <is>
          <t>VÄRMLANDS LÄN</t>
        </is>
      </c>
      <c r="E3142" t="inlineStr">
        <is>
          <t>KRISTINEHAMN</t>
        </is>
      </c>
      <c r="F3142" t="inlineStr">
        <is>
          <t>Sveaskog</t>
        </is>
      </c>
      <c r="G3142" t="n">
        <v>5.9</v>
      </c>
      <c r="H3142" t="n">
        <v>0</v>
      </c>
      <c r="I3142" t="n">
        <v>0</v>
      </c>
      <c r="J3142" t="n">
        <v>0</v>
      </c>
      <c r="K3142" t="n">
        <v>0</v>
      </c>
      <c r="L3142" t="n">
        <v>0</v>
      </c>
      <c r="M3142" t="n">
        <v>0</v>
      </c>
      <c r="N3142" t="n">
        <v>0</v>
      </c>
      <c r="O3142" t="n">
        <v>0</v>
      </c>
      <c r="P3142" t="n">
        <v>0</v>
      </c>
      <c r="Q3142" t="n">
        <v>0</v>
      </c>
      <c r="R3142" s="2" t="inlineStr"/>
    </row>
    <row r="3143" ht="15" customHeight="1">
      <c r="A3143" t="inlineStr">
        <is>
          <t>A 39462-2020</t>
        </is>
      </c>
      <c r="B3143" s="1" t="n">
        <v>44064</v>
      </c>
      <c r="C3143" s="1" t="n">
        <v>45810</v>
      </c>
      <c r="D3143" t="inlineStr">
        <is>
          <t>VÄRMLANDS LÄN</t>
        </is>
      </c>
      <c r="E3143" t="inlineStr">
        <is>
          <t>KRISTINEHAMN</t>
        </is>
      </c>
      <c r="F3143" t="inlineStr">
        <is>
          <t>Sveaskog</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39509-2020</t>
        </is>
      </c>
      <c r="B3144" s="1" t="n">
        <v>44064</v>
      </c>
      <c r="C3144" s="1" t="n">
        <v>45810</v>
      </c>
      <c r="D3144" t="inlineStr">
        <is>
          <t>VÄRMLANDS LÄN</t>
        </is>
      </c>
      <c r="E3144" t="inlineStr">
        <is>
          <t>SÄFFLE</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39528-2020</t>
        </is>
      </c>
      <c r="B3145" s="1" t="n">
        <v>44064</v>
      </c>
      <c r="C3145" s="1" t="n">
        <v>45810</v>
      </c>
      <c r="D3145" t="inlineStr">
        <is>
          <t>VÄRMLANDS LÄN</t>
        </is>
      </c>
      <c r="E3145" t="inlineStr">
        <is>
          <t>ARVIKA</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39458-2020</t>
        </is>
      </c>
      <c r="B3146" s="1" t="n">
        <v>44064</v>
      </c>
      <c r="C3146" s="1" t="n">
        <v>45810</v>
      </c>
      <c r="D3146" t="inlineStr">
        <is>
          <t>VÄRMLANDS LÄN</t>
        </is>
      </c>
      <c r="E3146" t="inlineStr">
        <is>
          <t>KRISTINEHAMN</t>
        </is>
      </c>
      <c r="F3146" t="inlineStr">
        <is>
          <t>Sveaskog</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39538-2020</t>
        </is>
      </c>
      <c r="B3147" s="1" t="n">
        <v>44064</v>
      </c>
      <c r="C3147" s="1" t="n">
        <v>45810</v>
      </c>
      <c r="D3147" t="inlineStr">
        <is>
          <t>VÄRMLANDS LÄN</t>
        </is>
      </c>
      <c r="E3147" t="inlineStr">
        <is>
          <t>KRISTINEHAMN</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39518-2020</t>
        </is>
      </c>
      <c r="B3148" s="1" t="n">
        <v>44064</v>
      </c>
      <c r="C3148" s="1" t="n">
        <v>45810</v>
      </c>
      <c r="D3148" t="inlineStr">
        <is>
          <t>VÄRMLANDS LÄN</t>
        </is>
      </c>
      <c r="E3148" t="inlineStr">
        <is>
          <t>KIL</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40218-2020</t>
        </is>
      </c>
      <c r="B3149" s="1" t="n">
        <v>44064</v>
      </c>
      <c r="C3149" s="1" t="n">
        <v>45810</v>
      </c>
      <c r="D3149" t="inlineStr">
        <is>
          <t>VÄRMLANDS LÄN</t>
        </is>
      </c>
      <c r="E3149" t="inlineStr">
        <is>
          <t>TORSBY</t>
        </is>
      </c>
      <c r="G3149" t="n">
        <v>3.7</v>
      </c>
      <c r="H3149" t="n">
        <v>0</v>
      </c>
      <c r="I3149" t="n">
        <v>0</v>
      </c>
      <c r="J3149" t="n">
        <v>0</v>
      </c>
      <c r="K3149" t="n">
        <v>0</v>
      </c>
      <c r="L3149" t="n">
        <v>0</v>
      </c>
      <c r="M3149" t="n">
        <v>0</v>
      </c>
      <c r="N3149" t="n">
        <v>0</v>
      </c>
      <c r="O3149" t="n">
        <v>0</v>
      </c>
      <c r="P3149" t="n">
        <v>0</v>
      </c>
      <c r="Q3149" t="n">
        <v>0</v>
      </c>
      <c r="R3149" s="2" t="inlineStr"/>
    </row>
    <row r="3150" ht="15" customHeight="1">
      <c r="A3150" t="inlineStr">
        <is>
          <t>A 39731-2020</t>
        </is>
      </c>
      <c r="B3150" s="1" t="n">
        <v>44067</v>
      </c>
      <c r="C3150" s="1" t="n">
        <v>45810</v>
      </c>
      <c r="D3150" t="inlineStr">
        <is>
          <t>VÄRMLANDS LÄN</t>
        </is>
      </c>
      <c r="E3150" t="inlineStr">
        <is>
          <t>KARLSTAD</t>
        </is>
      </c>
      <c r="G3150" t="n">
        <v>5</v>
      </c>
      <c r="H3150" t="n">
        <v>0</v>
      </c>
      <c r="I3150" t="n">
        <v>0</v>
      </c>
      <c r="J3150" t="n">
        <v>0</v>
      </c>
      <c r="K3150" t="n">
        <v>0</v>
      </c>
      <c r="L3150" t="n">
        <v>0</v>
      </c>
      <c r="M3150" t="n">
        <v>0</v>
      </c>
      <c r="N3150" t="n">
        <v>0</v>
      </c>
      <c r="O3150" t="n">
        <v>0</v>
      </c>
      <c r="P3150" t="n">
        <v>0</v>
      </c>
      <c r="Q3150" t="n">
        <v>0</v>
      </c>
      <c r="R3150" s="2" t="inlineStr"/>
    </row>
    <row r="3151" ht="15" customHeight="1">
      <c r="A3151" t="inlineStr">
        <is>
          <t>A 39838-2020</t>
        </is>
      </c>
      <c r="B3151" s="1" t="n">
        <v>44067</v>
      </c>
      <c r="C3151" s="1" t="n">
        <v>45810</v>
      </c>
      <c r="D3151" t="inlineStr">
        <is>
          <t>VÄRMLANDS LÄN</t>
        </is>
      </c>
      <c r="E3151" t="inlineStr">
        <is>
          <t>EDA</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39803-2020</t>
        </is>
      </c>
      <c r="B3152" s="1" t="n">
        <v>44067</v>
      </c>
      <c r="C3152" s="1" t="n">
        <v>45810</v>
      </c>
      <c r="D3152" t="inlineStr">
        <is>
          <t>VÄRMLANDS LÄN</t>
        </is>
      </c>
      <c r="E3152" t="inlineStr">
        <is>
          <t>KARLSTAD</t>
        </is>
      </c>
      <c r="G3152" t="n">
        <v>3.3</v>
      </c>
      <c r="H3152" t="n">
        <v>0</v>
      </c>
      <c r="I3152" t="n">
        <v>0</v>
      </c>
      <c r="J3152" t="n">
        <v>0</v>
      </c>
      <c r="K3152" t="n">
        <v>0</v>
      </c>
      <c r="L3152" t="n">
        <v>0</v>
      </c>
      <c r="M3152" t="n">
        <v>0</v>
      </c>
      <c r="N3152" t="n">
        <v>0</v>
      </c>
      <c r="O3152" t="n">
        <v>0</v>
      </c>
      <c r="P3152" t="n">
        <v>0</v>
      </c>
      <c r="Q3152" t="n">
        <v>0</v>
      </c>
      <c r="R3152" s="2" t="inlineStr"/>
    </row>
    <row r="3153" ht="15" customHeight="1">
      <c r="A3153" t="inlineStr">
        <is>
          <t>A 39824-2020</t>
        </is>
      </c>
      <c r="B3153" s="1" t="n">
        <v>44067</v>
      </c>
      <c r="C3153" s="1" t="n">
        <v>45810</v>
      </c>
      <c r="D3153" t="inlineStr">
        <is>
          <t>VÄRMLANDS LÄN</t>
        </is>
      </c>
      <c r="E3153" t="inlineStr">
        <is>
          <t>KRISTINEHAMN</t>
        </is>
      </c>
      <c r="G3153" t="n">
        <v>3.6</v>
      </c>
      <c r="H3153" t="n">
        <v>0</v>
      </c>
      <c r="I3153" t="n">
        <v>0</v>
      </c>
      <c r="J3153" t="n">
        <v>0</v>
      </c>
      <c r="K3153" t="n">
        <v>0</v>
      </c>
      <c r="L3153" t="n">
        <v>0</v>
      </c>
      <c r="M3153" t="n">
        <v>0</v>
      </c>
      <c r="N3153" t="n">
        <v>0</v>
      </c>
      <c r="O3153" t="n">
        <v>0</v>
      </c>
      <c r="P3153" t="n">
        <v>0</v>
      </c>
      <c r="Q3153" t="n">
        <v>0</v>
      </c>
      <c r="R3153" s="2" t="inlineStr"/>
    </row>
    <row r="3154" ht="15" customHeight="1">
      <c r="A3154" t="inlineStr">
        <is>
          <t>A 39841-2020</t>
        </is>
      </c>
      <c r="B3154" s="1" t="n">
        <v>44067</v>
      </c>
      <c r="C3154" s="1" t="n">
        <v>45810</v>
      </c>
      <c r="D3154" t="inlineStr">
        <is>
          <t>VÄRMLANDS LÄN</t>
        </is>
      </c>
      <c r="E3154" t="inlineStr">
        <is>
          <t>EDA</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39883-2020</t>
        </is>
      </c>
      <c r="B3155" s="1" t="n">
        <v>44067</v>
      </c>
      <c r="C3155" s="1" t="n">
        <v>45810</v>
      </c>
      <c r="D3155" t="inlineStr">
        <is>
          <t>VÄRMLANDS LÄN</t>
        </is>
      </c>
      <c r="E3155" t="inlineStr">
        <is>
          <t>ARVIKA</t>
        </is>
      </c>
      <c r="F3155" t="inlineStr">
        <is>
          <t>Kommuner</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39947-2020</t>
        </is>
      </c>
      <c r="B3156" s="1" t="n">
        <v>44067</v>
      </c>
      <c r="C3156" s="1" t="n">
        <v>45810</v>
      </c>
      <c r="D3156" t="inlineStr">
        <is>
          <t>VÄRMLANDS LÄN</t>
        </is>
      </c>
      <c r="E3156" t="inlineStr">
        <is>
          <t>SUNNE</t>
        </is>
      </c>
      <c r="F3156" t="inlineStr">
        <is>
          <t>Kommuner</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39738-2020</t>
        </is>
      </c>
      <c r="B3157" s="1" t="n">
        <v>44067</v>
      </c>
      <c r="C3157" s="1" t="n">
        <v>45810</v>
      </c>
      <c r="D3157" t="inlineStr">
        <is>
          <t>VÄRMLANDS LÄN</t>
        </is>
      </c>
      <c r="E3157" t="inlineStr">
        <is>
          <t>KARLSTAD</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39856-2020</t>
        </is>
      </c>
      <c r="B3158" s="1" t="n">
        <v>44067</v>
      </c>
      <c r="C3158" s="1" t="n">
        <v>45810</v>
      </c>
      <c r="D3158" t="inlineStr">
        <is>
          <t>VÄRMLANDS LÄN</t>
        </is>
      </c>
      <c r="E3158" t="inlineStr">
        <is>
          <t>FORSHAGA</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39952-2020</t>
        </is>
      </c>
      <c r="B3159" s="1" t="n">
        <v>44067</v>
      </c>
      <c r="C3159" s="1" t="n">
        <v>45810</v>
      </c>
      <c r="D3159" t="inlineStr">
        <is>
          <t>VÄRMLANDS LÄN</t>
        </is>
      </c>
      <c r="E3159" t="inlineStr">
        <is>
          <t>SUNNE</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39806-2020</t>
        </is>
      </c>
      <c r="B3160" s="1" t="n">
        <v>44067</v>
      </c>
      <c r="C3160" s="1" t="n">
        <v>45810</v>
      </c>
      <c r="D3160" t="inlineStr">
        <is>
          <t>VÄRMLANDS LÄN</t>
        </is>
      </c>
      <c r="E3160" t="inlineStr">
        <is>
          <t>KARLSTAD</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39813-2020</t>
        </is>
      </c>
      <c r="B3161" s="1" t="n">
        <v>44067</v>
      </c>
      <c r="C3161" s="1" t="n">
        <v>45810</v>
      </c>
      <c r="D3161" t="inlineStr">
        <is>
          <t>VÄRMLANDS LÄN</t>
        </is>
      </c>
      <c r="E3161" t="inlineStr">
        <is>
          <t>FILIPSTAD</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39985-2020</t>
        </is>
      </c>
      <c r="B3162" s="1" t="n">
        <v>44067</v>
      </c>
      <c r="C3162" s="1" t="n">
        <v>45810</v>
      </c>
      <c r="D3162" t="inlineStr">
        <is>
          <t>VÄRMLANDS LÄN</t>
        </is>
      </c>
      <c r="E3162" t="inlineStr">
        <is>
          <t>FORSHAGA</t>
        </is>
      </c>
      <c r="G3162" t="n">
        <v>3.3</v>
      </c>
      <c r="H3162" t="n">
        <v>0</v>
      </c>
      <c r="I3162" t="n">
        <v>0</v>
      </c>
      <c r="J3162" t="n">
        <v>0</v>
      </c>
      <c r="K3162" t="n">
        <v>0</v>
      </c>
      <c r="L3162" t="n">
        <v>0</v>
      </c>
      <c r="M3162" t="n">
        <v>0</v>
      </c>
      <c r="N3162" t="n">
        <v>0</v>
      </c>
      <c r="O3162" t="n">
        <v>0</v>
      </c>
      <c r="P3162" t="n">
        <v>0</v>
      </c>
      <c r="Q3162" t="n">
        <v>0</v>
      </c>
      <c r="R3162" s="2" t="inlineStr"/>
    </row>
    <row r="3163" ht="15" customHeight="1">
      <c r="A3163" t="inlineStr">
        <is>
          <t>A 40015-2020</t>
        </is>
      </c>
      <c r="B3163" s="1" t="n">
        <v>44067</v>
      </c>
      <c r="C3163" s="1" t="n">
        <v>45810</v>
      </c>
      <c r="D3163" t="inlineStr">
        <is>
          <t>VÄRMLANDS LÄN</t>
        </is>
      </c>
      <c r="E3163" t="inlineStr">
        <is>
          <t>TORSBY</t>
        </is>
      </c>
      <c r="G3163" t="n">
        <v>5.7</v>
      </c>
      <c r="H3163" t="n">
        <v>0</v>
      </c>
      <c r="I3163" t="n">
        <v>0</v>
      </c>
      <c r="J3163" t="n">
        <v>0</v>
      </c>
      <c r="K3163" t="n">
        <v>0</v>
      </c>
      <c r="L3163" t="n">
        <v>0</v>
      </c>
      <c r="M3163" t="n">
        <v>0</v>
      </c>
      <c r="N3163" t="n">
        <v>0</v>
      </c>
      <c r="O3163" t="n">
        <v>0</v>
      </c>
      <c r="P3163" t="n">
        <v>0</v>
      </c>
      <c r="Q3163" t="n">
        <v>0</v>
      </c>
      <c r="R3163" s="2" t="inlineStr"/>
    </row>
    <row r="3164" ht="15" customHeight="1">
      <c r="A3164" t="inlineStr">
        <is>
          <t>A 40328-2020</t>
        </is>
      </c>
      <c r="B3164" s="1" t="n">
        <v>44067</v>
      </c>
      <c r="C3164" s="1" t="n">
        <v>45810</v>
      </c>
      <c r="D3164" t="inlineStr">
        <is>
          <t>VÄRMLANDS LÄN</t>
        </is>
      </c>
      <c r="E3164" t="inlineStr">
        <is>
          <t>KIL</t>
        </is>
      </c>
      <c r="G3164" t="n">
        <v>2.2</v>
      </c>
      <c r="H3164" t="n">
        <v>0</v>
      </c>
      <c r="I3164" t="n">
        <v>0</v>
      </c>
      <c r="J3164" t="n">
        <v>0</v>
      </c>
      <c r="K3164" t="n">
        <v>0</v>
      </c>
      <c r="L3164" t="n">
        <v>0</v>
      </c>
      <c r="M3164" t="n">
        <v>0</v>
      </c>
      <c r="N3164" t="n">
        <v>0</v>
      </c>
      <c r="O3164" t="n">
        <v>0</v>
      </c>
      <c r="P3164" t="n">
        <v>0</v>
      </c>
      <c r="Q3164" t="n">
        <v>0</v>
      </c>
      <c r="R3164" s="2" t="inlineStr"/>
    </row>
    <row r="3165" ht="15" customHeight="1">
      <c r="A3165" t="inlineStr">
        <is>
          <t>A 40331-2020</t>
        </is>
      </c>
      <c r="B3165" s="1" t="n">
        <v>44067</v>
      </c>
      <c r="C3165" s="1" t="n">
        <v>45810</v>
      </c>
      <c r="D3165" t="inlineStr">
        <is>
          <t>VÄRMLANDS LÄN</t>
        </is>
      </c>
      <c r="E3165" t="inlineStr">
        <is>
          <t>ARVIKA</t>
        </is>
      </c>
      <c r="G3165" t="n">
        <v>2.8</v>
      </c>
      <c r="H3165" t="n">
        <v>0</v>
      </c>
      <c r="I3165" t="n">
        <v>0</v>
      </c>
      <c r="J3165" t="n">
        <v>0</v>
      </c>
      <c r="K3165" t="n">
        <v>0</v>
      </c>
      <c r="L3165" t="n">
        <v>0</v>
      </c>
      <c r="M3165" t="n">
        <v>0</v>
      </c>
      <c r="N3165" t="n">
        <v>0</v>
      </c>
      <c r="O3165" t="n">
        <v>0</v>
      </c>
      <c r="P3165" t="n">
        <v>0</v>
      </c>
      <c r="Q3165" t="n">
        <v>0</v>
      </c>
      <c r="R3165" s="2" t="inlineStr"/>
    </row>
    <row r="3166" ht="15" customHeight="1">
      <c r="A3166" t="inlineStr">
        <is>
          <t>A 39996-2020</t>
        </is>
      </c>
      <c r="B3166" s="1" t="n">
        <v>44067</v>
      </c>
      <c r="C3166" s="1" t="n">
        <v>45810</v>
      </c>
      <c r="D3166" t="inlineStr">
        <is>
          <t>VÄRMLANDS LÄN</t>
        </is>
      </c>
      <c r="E3166" t="inlineStr">
        <is>
          <t>SUNNE</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40824-2020</t>
        </is>
      </c>
      <c r="B3167" s="1" t="n">
        <v>44067</v>
      </c>
      <c r="C3167" s="1" t="n">
        <v>45810</v>
      </c>
      <c r="D3167" t="inlineStr">
        <is>
          <t>VÄRMLANDS LÄN</t>
        </is>
      </c>
      <c r="E3167" t="inlineStr">
        <is>
          <t>HAGFORS</t>
        </is>
      </c>
      <c r="F3167" t="inlineStr">
        <is>
          <t>Kyrkan</t>
        </is>
      </c>
      <c r="G3167" t="n">
        <v>5.1</v>
      </c>
      <c r="H3167" t="n">
        <v>0</v>
      </c>
      <c r="I3167" t="n">
        <v>0</v>
      </c>
      <c r="J3167" t="n">
        <v>0</v>
      </c>
      <c r="K3167" t="n">
        <v>0</v>
      </c>
      <c r="L3167" t="n">
        <v>0</v>
      </c>
      <c r="M3167" t="n">
        <v>0</v>
      </c>
      <c r="N3167" t="n">
        <v>0</v>
      </c>
      <c r="O3167" t="n">
        <v>0</v>
      </c>
      <c r="P3167" t="n">
        <v>0</v>
      </c>
      <c r="Q3167" t="n">
        <v>0</v>
      </c>
      <c r="R3167" s="2" t="inlineStr"/>
    </row>
    <row r="3168" ht="15" customHeight="1">
      <c r="A3168" t="inlineStr">
        <is>
          <t>A 40332-2020</t>
        </is>
      </c>
      <c r="B3168" s="1" t="n">
        <v>44067</v>
      </c>
      <c r="C3168" s="1" t="n">
        <v>45810</v>
      </c>
      <c r="D3168" t="inlineStr">
        <is>
          <t>VÄRMLANDS LÄN</t>
        </is>
      </c>
      <c r="E3168" t="inlineStr">
        <is>
          <t>SÄFFLE</t>
        </is>
      </c>
      <c r="G3168" t="n">
        <v>3.2</v>
      </c>
      <c r="H3168" t="n">
        <v>0</v>
      </c>
      <c r="I3168" t="n">
        <v>0</v>
      </c>
      <c r="J3168" t="n">
        <v>0</v>
      </c>
      <c r="K3168" t="n">
        <v>0</v>
      </c>
      <c r="L3168" t="n">
        <v>0</v>
      </c>
      <c r="M3168" t="n">
        <v>0</v>
      </c>
      <c r="N3168" t="n">
        <v>0</v>
      </c>
      <c r="O3168" t="n">
        <v>0</v>
      </c>
      <c r="P3168" t="n">
        <v>0</v>
      </c>
      <c r="Q3168" t="n">
        <v>0</v>
      </c>
      <c r="R3168" s="2" t="inlineStr"/>
    </row>
    <row r="3169" ht="15" customHeight="1">
      <c r="A3169" t="inlineStr">
        <is>
          <t>A 40177-2020</t>
        </is>
      </c>
      <c r="B3169" s="1" t="n">
        <v>44068</v>
      </c>
      <c r="C3169" s="1" t="n">
        <v>45810</v>
      </c>
      <c r="D3169" t="inlineStr">
        <is>
          <t>VÄRMLANDS LÄN</t>
        </is>
      </c>
      <c r="E3169" t="inlineStr">
        <is>
          <t>GRUMS</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40245-2020</t>
        </is>
      </c>
      <c r="B3170" s="1" t="n">
        <v>44068</v>
      </c>
      <c r="C3170" s="1" t="n">
        <v>45810</v>
      </c>
      <c r="D3170" t="inlineStr">
        <is>
          <t>VÄRMLANDS LÄN</t>
        </is>
      </c>
      <c r="E3170" t="inlineStr">
        <is>
          <t>SUNNE</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40240-2020</t>
        </is>
      </c>
      <c r="B3171" s="1" t="n">
        <v>44068</v>
      </c>
      <c r="C3171" s="1" t="n">
        <v>45810</v>
      </c>
      <c r="D3171" t="inlineStr">
        <is>
          <t>VÄRMLANDS LÄN</t>
        </is>
      </c>
      <c r="E3171" t="inlineStr">
        <is>
          <t>HAGFORS</t>
        </is>
      </c>
      <c r="F3171" t="inlineStr">
        <is>
          <t>Bergvik skog väst AB</t>
        </is>
      </c>
      <c r="G3171" t="n">
        <v>12.6</v>
      </c>
      <c r="H3171" t="n">
        <v>0</v>
      </c>
      <c r="I3171" t="n">
        <v>0</v>
      </c>
      <c r="J3171" t="n">
        <v>0</v>
      </c>
      <c r="K3171" t="n">
        <v>0</v>
      </c>
      <c r="L3171" t="n">
        <v>0</v>
      </c>
      <c r="M3171" t="n">
        <v>0</v>
      </c>
      <c r="N3171" t="n">
        <v>0</v>
      </c>
      <c r="O3171" t="n">
        <v>0</v>
      </c>
      <c r="P3171" t="n">
        <v>0</v>
      </c>
      <c r="Q3171" t="n">
        <v>0</v>
      </c>
      <c r="R3171" s="2" t="inlineStr"/>
    </row>
    <row r="3172" ht="15" customHeight="1">
      <c r="A3172" t="inlineStr">
        <is>
          <t>A 40317-2020</t>
        </is>
      </c>
      <c r="B3172" s="1" t="n">
        <v>44068</v>
      </c>
      <c r="C3172" s="1" t="n">
        <v>45810</v>
      </c>
      <c r="D3172" t="inlineStr">
        <is>
          <t>VÄRMLANDS LÄN</t>
        </is>
      </c>
      <c r="E3172" t="inlineStr">
        <is>
          <t>EDA</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40975-2020</t>
        </is>
      </c>
      <c r="B3173" s="1" t="n">
        <v>44068</v>
      </c>
      <c r="C3173" s="1" t="n">
        <v>45810</v>
      </c>
      <c r="D3173" t="inlineStr">
        <is>
          <t>VÄRMLANDS LÄN</t>
        </is>
      </c>
      <c r="E3173" t="inlineStr">
        <is>
          <t>ARVIKA</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41000-2020</t>
        </is>
      </c>
      <c r="B3174" s="1" t="n">
        <v>44068</v>
      </c>
      <c r="C3174" s="1" t="n">
        <v>45810</v>
      </c>
      <c r="D3174" t="inlineStr">
        <is>
          <t>VÄRMLANDS LÄN</t>
        </is>
      </c>
      <c r="E3174" t="inlineStr">
        <is>
          <t>ARVIKA</t>
        </is>
      </c>
      <c r="G3174" t="n">
        <v>4.5</v>
      </c>
      <c r="H3174" t="n">
        <v>0</v>
      </c>
      <c r="I3174" t="n">
        <v>0</v>
      </c>
      <c r="J3174" t="n">
        <v>0</v>
      </c>
      <c r="K3174" t="n">
        <v>0</v>
      </c>
      <c r="L3174" t="n">
        <v>0</v>
      </c>
      <c r="M3174" t="n">
        <v>0</v>
      </c>
      <c r="N3174" t="n">
        <v>0</v>
      </c>
      <c r="O3174" t="n">
        <v>0</v>
      </c>
      <c r="P3174" t="n">
        <v>0</v>
      </c>
      <c r="Q3174" t="n">
        <v>0</v>
      </c>
      <c r="R3174" s="2" t="inlineStr"/>
    </row>
    <row r="3175" ht="15" customHeight="1">
      <c r="A3175" t="inlineStr">
        <is>
          <t>A 40429-2020</t>
        </is>
      </c>
      <c r="B3175" s="1" t="n">
        <v>44069</v>
      </c>
      <c r="C3175" s="1" t="n">
        <v>45810</v>
      </c>
      <c r="D3175" t="inlineStr">
        <is>
          <t>VÄRMLANDS LÄN</t>
        </is>
      </c>
      <c r="E3175" t="inlineStr">
        <is>
          <t>KIL</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40550-2020</t>
        </is>
      </c>
      <c r="B3176" s="1" t="n">
        <v>44069</v>
      </c>
      <c r="C3176" s="1" t="n">
        <v>45810</v>
      </c>
      <c r="D3176" t="inlineStr">
        <is>
          <t>VÄRMLANDS LÄN</t>
        </is>
      </c>
      <c r="E3176" t="inlineStr">
        <is>
          <t>TORSBY</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40594-2020</t>
        </is>
      </c>
      <c r="B3177" s="1" t="n">
        <v>44069</v>
      </c>
      <c r="C3177" s="1" t="n">
        <v>45810</v>
      </c>
      <c r="D3177" t="inlineStr">
        <is>
          <t>VÄRMLANDS LÄN</t>
        </is>
      </c>
      <c r="E3177" t="inlineStr">
        <is>
          <t>TORSBY</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40639-2020</t>
        </is>
      </c>
      <c r="B3178" s="1" t="n">
        <v>44069</v>
      </c>
      <c r="C3178" s="1" t="n">
        <v>45810</v>
      </c>
      <c r="D3178" t="inlineStr">
        <is>
          <t>VÄRMLANDS LÄN</t>
        </is>
      </c>
      <c r="E3178" t="inlineStr">
        <is>
          <t>KIL</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40653-2020</t>
        </is>
      </c>
      <c r="B3179" s="1" t="n">
        <v>44069</v>
      </c>
      <c r="C3179" s="1" t="n">
        <v>45810</v>
      </c>
      <c r="D3179" t="inlineStr">
        <is>
          <t>VÄRMLANDS LÄN</t>
        </is>
      </c>
      <c r="E3179" t="inlineStr">
        <is>
          <t>KRISTINEHAMN</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40436-2020</t>
        </is>
      </c>
      <c r="B3180" s="1" t="n">
        <v>44069</v>
      </c>
      <c r="C3180" s="1" t="n">
        <v>45810</v>
      </c>
      <c r="D3180" t="inlineStr">
        <is>
          <t>VÄRMLANDS LÄN</t>
        </is>
      </c>
      <c r="E3180" t="inlineStr">
        <is>
          <t>KRISTINEHAMN</t>
        </is>
      </c>
      <c r="G3180" t="n">
        <v>2.9</v>
      </c>
      <c r="H3180" t="n">
        <v>0</v>
      </c>
      <c r="I3180" t="n">
        <v>0</v>
      </c>
      <c r="J3180" t="n">
        <v>0</v>
      </c>
      <c r="K3180" t="n">
        <v>0</v>
      </c>
      <c r="L3180" t="n">
        <v>0</v>
      </c>
      <c r="M3180" t="n">
        <v>0</v>
      </c>
      <c r="N3180" t="n">
        <v>0</v>
      </c>
      <c r="O3180" t="n">
        <v>0</v>
      </c>
      <c r="P3180" t="n">
        <v>0</v>
      </c>
      <c r="Q3180" t="n">
        <v>0</v>
      </c>
      <c r="R3180" s="2" t="inlineStr"/>
    </row>
    <row r="3181" ht="15" customHeight="1">
      <c r="A3181" t="inlineStr">
        <is>
          <t>A 40511-2020</t>
        </is>
      </c>
      <c r="B3181" s="1" t="n">
        <v>44069</v>
      </c>
      <c r="C3181" s="1" t="n">
        <v>45810</v>
      </c>
      <c r="D3181" t="inlineStr">
        <is>
          <t>VÄRMLANDS LÄN</t>
        </is>
      </c>
      <c r="E3181" t="inlineStr">
        <is>
          <t>EDA</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40535-2020</t>
        </is>
      </c>
      <c r="B3182" s="1" t="n">
        <v>44069</v>
      </c>
      <c r="C3182" s="1" t="n">
        <v>45810</v>
      </c>
      <c r="D3182" t="inlineStr">
        <is>
          <t>VÄRMLANDS LÄN</t>
        </is>
      </c>
      <c r="E3182" t="inlineStr">
        <is>
          <t>EDA</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40553-2020</t>
        </is>
      </c>
      <c r="B3183" s="1" t="n">
        <v>44069</v>
      </c>
      <c r="C3183" s="1" t="n">
        <v>45810</v>
      </c>
      <c r="D3183" t="inlineStr">
        <is>
          <t>VÄRMLANDS LÄN</t>
        </is>
      </c>
      <c r="E3183" t="inlineStr">
        <is>
          <t>ÅRJÄNG</t>
        </is>
      </c>
      <c r="G3183" t="n">
        <v>5.6</v>
      </c>
      <c r="H3183" t="n">
        <v>0</v>
      </c>
      <c r="I3183" t="n">
        <v>0</v>
      </c>
      <c r="J3183" t="n">
        <v>0</v>
      </c>
      <c r="K3183" t="n">
        <v>0</v>
      </c>
      <c r="L3183" t="n">
        <v>0</v>
      </c>
      <c r="M3183" t="n">
        <v>0</v>
      </c>
      <c r="N3183" t="n">
        <v>0</v>
      </c>
      <c r="O3183" t="n">
        <v>0</v>
      </c>
      <c r="P3183" t="n">
        <v>0</v>
      </c>
      <c r="Q3183" t="n">
        <v>0</v>
      </c>
      <c r="R3183" s="2" t="inlineStr"/>
    </row>
    <row r="3184" ht="15" customHeight="1">
      <c r="A3184" t="inlineStr">
        <is>
          <t>A 40572-2020</t>
        </is>
      </c>
      <c r="B3184" s="1" t="n">
        <v>44069</v>
      </c>
      <c r="C3184" s="1" t="n">
        <v>45810</v>
      </c>
      <c r="D3184" t="inlineStr">
        <is>
          <t>VÄRMLANDS LÄN</t>
        </is>
      </c>
      <c r="E3184" t="inlineStr">
        <is>
          <t>ÅRJÄNG</t>
        </is>
      </c>
      <c r="G3184" t="n">
        <v>15.8</v>
      </c>
      <c r="H3184" t="n">
        <v>0</v>
      </c>
      <c r="I3184" t="n">
        <v>0</v>
      </c>
      <c r="J3184" t="n">
        <v>0</v>
      </c>
      <c r="K3184" t="n">
        <v>0</v>
      </c>
      <c r="L3184" t="n">
        <v>0</v>
      </c>
      <c r="M3184" t="n">
        <v>0</v>
      </c>
      <c r="N3184" t="n">
        <v>0</v>
      </c>
      <c r="O3184" t="n">
        <v>0</v>
      </c>
      <c r="P3184" t="n">
        <v>0</v>
      </c>
      <c r="Q3184" t="n">
        <v>0</v>
      </c>
      <c r="R3184" s="2" t="inlineStr"/>
    </row>
    <row r="3185" ht="15" customHeight="1">
      <c r="A3185" t="inlineStr">
        <is>
          <t>A 40509-2020</t>
        </is>
      </c>
      <c r="B3185" s="1" t="n">
        <v>44069</v>
      </c>
      <c r="C3185" s="1" t="n">
        <v>45810</v>
      </c>
      <c r="D3185" t="inlineStr">
        <is>
          <t>VÄRMLANDS LÄN</t>
        </is>
      </c>
      <c r="E3185" t="inlineStr">
        <is>
          <t>TORSBY</t>
        </is>
      </c>
      <c r="F3185" t="inlineStr">
        <is>
          <t>Naturvårdsverket</t>
        </is>
      </c>
      <c r="G3185" t="n">
        <v>57</v>
      </c>
      <c r="H3185" t="n">
        <v>0</v>
      </c>
      <c r="I3185" t="n">
        <v>0</v>
      </c>
      <c r="J3185" t="n">
        <v>0</v>
      </c>
      <c r="K3185" t="n">
        <v>0</v>
      </c>
      <c r="L3185" t="n">
        <v>0</v>
      </c>
      <c r="M3185" t="n">
        <v>0</v>
      </c>
      <c r="N3185" t="n">
        <v>0</v>
      </c>
      <c r="O3185" t="n">
        <v>0</v>
      </c>
      <c r="P3185" t="n">
        <v>0</v>
      </c>
      <c r="Q3185" t="n">
        <v>0</v>
      </c>
      <c r="R3185" s="2" t="inlineStr"/>
    </row>
    <row r="3186" ht="15" customHeight="1">
      <c r="A3186" t="inlineStr">
        <is>
          <t>A 40616-2020</t>
        </is>
      </c>
      <c r="B3186" s="1" t="n">
        <v>44069</v>
      </c>
      <c r="C3186" s="1" t="n">
        <v>45810</v>
      </c>
      <c r="D3186" t="inlineStr">
        <is>
          <t>VÄRMLANDS LÄN</t>
        </is>
      </c>
      <c r="E3186" t="inlineStr">
        <is>
          <t>KIL</t>
        </is>
      </c>
      <c r="G3186" t="n">
        <v>2.9</v>
      </c>
      <c r="H3186" t="n">
        <v>0</v>
      </c>
      <c r="I3186" t="n">
        <v>0</v>
      </c>
      <c r="J3186" t="n">
        <v>0</v>
      </c>
      <c r="K3186" t="n">
        <v>0</v>
      </c>
      <c r="L3186" t="n">
        <v>0</v>
      </c>
      <c r="M3186" t="n">
        <v>0</v>
      </c>
      <c r="N3186" t="n">
        <v>0</v>
      </c>
      <c r="O3186" t="n">
        <v>0</v>
      </c>
      <c r="P3186" t="n">
        <v>0</v>
      </c>
      <c r="Q3186" t="n">
        <v>0</v>
      </c>
      <c r="R3186" s="2" t="inlineStr"/>
    </row>
    <row r="3187" ht="15" customHeight="1">
      <c r="A3187" t="inlineStr">
        <is>
          <t>A 40528-2020</t>
        </is>
      </c>
      <c r="B3187" s="1" t="n">
        <v>44069</v>
      </c>
      <c r="C3187" s="1" t="n">
        <v>45810</v>
      </c>
      <c r="D3187" t="inlineStr">
        <is>
          <t>VÄRMLANDS LÄN</t>
        </is>
      </c>
      <c r="E3187" t="inlineStr">
        <is>
          <t>EDA</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40601-2020</t>
        </is>
      </c>
      <c r="B3188" s="1" t="n">
        <v>44069</v>
      </c>
      <c r="C3188" s="1" t="n">
        <v>45810</v>
      </c>
      <c r="D3188" t="inlineStr">
        <is>
          <t>VÄRMLANDS LÄN</t>
        </is>
      </c>
      <c r="E3188" t="inlineStr">
        <is>
          <t>TORSBY</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40698-2020</t>
        </is>
      </c>
      <c r="B3189" s="1" t="n">
        <v>44069</v>
      </c>
      <c r="C3189" s="1" t="n">
        <v>45810</v>
      </c>
      <c r="D3189" t="inlineStr">
        <is>
          <t>VÄRMLANDS LÄN</t>
        </is>
      </c>
      <c r="E3189" t="inlineStr">
        <is>
          <t>SÄFFLE</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40687-2020</t>
        </is>
      </c>
      <c r="B3190" s="1" t="n">
        <v>44069</v>
      </c>
      <c r="C3190" s="1" t="n">
        <v>45810</v>
      </c>
      <c r="D3190" t="inlineStr">
        <is>
          <t>VÄRMLANDS LÄN</t>
        </is>
      </c>
      <c r="E3190" t="inlineStr">
        <is>
          <t>KRISTINEHAMN</t>
        </is>
      </c>
      <c r="G3190" t="n">
        <v>2.5</v>
      </c>
      <c r="H3190" t="n">
        <v>0</v>
      </c>
      <c r="I3190" t="n">
        <v>0</v>
      </c>
      <c r="J3190" t="n">
        <v>0</v>
      </c>
      <c r="K3190" t="n">
        <v>0</v>
      </c>
      <c r="L3190" t="n">
        <v>0</v>
      </c>
      <c r="M3190" t="n">
        <v>0</v>
      </c>
      <c r="N3190" t="n">
        <v>0</v>
      </c>
      <c r="O3190" t="n">
        <v>0</v>
      </c>
      <c r="P3190" t="n">
        <v>0</v>
      </c>
      <c r="Q3190" t="n">
        <v>0</v>
      </c>
      <c r="R3190" s="2" t="inlineStr"/>
    </row>
    <row r="3191" ht="15" customHeight="1">
      <c r="A3191" t="inlineStr">
        <is>
          <t>A 40777-2020</t>
        </is>
      </c>
      <c r="B3191" s="1" t="n">
        <v>44070</v>
      </c>
      <c r="C3191" s="1" t="n">
        <v>45810</v>
      </c>
      <c r="D3191" t="inlineStr">
        <is>
          <t>VÄRMLANDS LÄN</t>
        </is>
      </c>
      <c r="E3191" t="inlineStr">
        <is>
          <t>GRUMS</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40787-2020</t>
        </is>
      </c>
      <c r="B3192" s="1" t="n">
        <v>44070</v>
      </c>
      <c r="C3192" s="1" t="n">
        <v>45810</v>
      </c>
      <c r="D3192" t="inlineStr">
        <is>
          <t>VÄRMLANDS LÄN</t>
        </is>
      </c>
      <c r="E3192" t="inlineStr">
        <is>
          <t>SUNNE</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40985-2020</t>
        </is>
      </c>
      <c r="B3193" s="1" t="n">
        <v>44070</v>
      </c>
      <c r="C3193" s="1" t="n">
        <v>45810</v>
      </c>
      <c r="D3193" t="inlineStr">
        <is>
          <t>VÄRMLANDS LÄN</t>
        </is>
      </c>
      <c r="E3193" t="inlineStr">
        <is>
          <t>SUNNE</t>
        </is>
      </c>
      <c r="G3193" t="n">
        <v>3</v>
      </c>
      <c r="H3193" t="n">
        <v>0</v>
      </c>
      <c r="I3193" t="n">
        <v>0</v>
      </c>
      <c r="J3193" t="n">
        <v>0</v>
      </c>
      <c r="K3193" t="n">
        <v>0</v>
      </c>
      <c r="L3193" t="n">
        <v>0</v>
      </c>
      <c r="M3193" t="n">
        <v>0</v>
      </c>
      <c r="N3193" t="n">
        <v>0</v>
      </c>
      <c r="O3193" t="n">
        <v>0</v>
      </c>
      <c r="P3193" t="n">
        <v>0</v>
      </c>
      <c r="Q3193" t="n">
        <v>0</v>
      </c>
      <c r="R3193" s="2" t="inlineStr"/>
    </row>
    <row r="3194" ht="15" customHeight="1">
      <c r="A3194" t="inlineStr">
        <is>
          <t>A 40994-2020</t>
        </is>
      </c>
      <c r="B3194" s="1" t="n">
        <v>44070</v>
      </c>
      <c r="C3194" s="1" t="n">
        <v>45810</v>
      </c>
      <c r="D3194" t="inlineStr">
        <is>
          <t>VÄRMLANDS LÄN</t>
        </is>
      </c>
      <c r="E3194" t="inlineStr">
        <is>
          <t>TORSBY</t>
        </is>
      </c>
      <c r="F3194" t="inlineStr">
        <is>
          <t>Bergvik skog väst AB</t>
        </is>
      </c>
      <c r="G3194" t="n">
        <v>3.8</v>
      </c>
      <c r="H3194" t="n">
        <v>0</v>
      </c>
      <c r="I3194" t="n">
        <v>0</v>
      </c>
      <c r="J3194" t="n">
        <v>0</v>
      </c>
      <c r="K3194" t="n">
        <v>0</v>
      </c>
      <c r="L3194" t="n">
        <v>0</v>
      </c>
      <c r="M3194" t="n">
        <v>0</v>
      </c>
      <c r="N3194" t="n">
        <v>0</v>
      </c>
      <c r="O3194" t="n">
        <v>0</v>
      </c>
      <c r="P3194" t="n">
        <v>0</v>
      </c>
      <c r="Q3194" t="n">
        <v>0</v>
      </c>
      <c r="R3194" s="2" t="inlineStr"/>
    </row>
    <row r="3195" ht="15" customHeight="1">
      <c r="A3195" t="inlineStr">
        <is>
          <t>A 41613-2020</t>
        </is>
      </c>
      <c r="B3195" s="1" t="n">
        <v>44070</v>
      </c>
      <c r="C3195" s="1" t="n">
        <v>45810</v>
      </c>
      <c r="D3195" t="inlineStr">
        <is>
          <t>VÄRMLANDS LÄN</t>
        </is>
      </c>
      <c r="E3195" t="inlineStr">
        <is>
          <t>GRUMS</t>
        </is>
      </c>
      <c r="G3195" t="n">
        <v>8.800000000000001</v>
      </c>
      <c r="H3195" t="n">
        <v>0</v>
      </c>
      <c r="I3195" t="n">
        <v>0</v>
      </c>
      <c r="J3195" t="n">
        <v>0</v>
      </c>
      <c r="K3195" t="n">
        <v>0</v>
      </c>
      <c r="L3195" t="n">
        <v>0</v>
      </c>
      <c r="M3195" t="n">
        <v>0</v>
      </c>
      <c r="N3195" t="n">
        <v>0</v>
      </c>
      <c r="O3195" t="n">
        <v>0</v>
      </c>
      <c r="P3195" t="n">
        <v>0</v>
      </c>
      <c r="Q3195" t="n">
        <v>0</v>
      </c>
      <c r="R3195" s="2" t="inlineStr"/>
    </row>
    <row r="3196" ht="15" customHeight="1">
      <c r="A3196" t="inlineStr">
        <is>
          <t>A 40771-2020</t>
        </is>
      </c>
      <c r="B3196" s="1" t="n">
        <v>44070</v>
      </c>
      <c r="C3196" s="1" t="n">
        <v>45810</v>
      </c>
      <c r="D3196" t="inlineStr">
        <is>
          <t>VÄRMLANDS LÄN</t>
        </is>
      </c>
      <c r="E3196" t="inlineStr">
        <is>
          <t>SÄFFLE</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40926-2020</t>
        </is>
      </c>
      <c r="B3197" s="1" t="n">
        <v>44070</v>
      </c>
      <c r="C3197" s="1" t="n">
        <v>45810</v>
      </c>
      <c r="D3197" t="inlineStr">
        <is>
          <t>VÄRMLANDS LÄN</t>
        </is>
      </c>
      <c r="E3197" t="inlineStr">
        <is>
          <t>ARVIKA</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40987-2020</t>
        </is>
      </c>
      <c r="B3198" s="1" t="n">
        <v>44070</v>
      </c>
      <c r="C3198" s="1" t="n">
        <v>45810</v>
      </c>
      <c r="D3198" t="inlineStr">
        <is>
          <t>VÄRMLANDS LÄN</t>
        </is>
      </c>
      <c r="E3198" t="inlineStr">
        <is>
          <t>TORSBY</t>
        </is>
      </c>
      <c r="F3198" t="inlineStr">
        <is>
          <t>Bergvik skog väst AB</t>
        </is>
      </c>
      <c r="G3198" t="n">
        <v>0.4</v>
      </c>
      <c r="H3198" t="n">
        <v>0</v>
      </c>
      <c r="I3198" t="n">
        <v>0</v>
      </c>
      <c r="J3198" t="n">
        <v>0</v>
      </c>
      <c r="K3198" t="n">
        <v>0</v>
      </c>
      <c r="L3198" t="n">
        <v>0</v>
      </c>
      <c r="M3198" t="n">
        <v>0</v>
      </c>
      <c r="N3198" t="n">
        <v>0</v>
      </c>
      <c r="O3198" t="n">
        <v>0</v>
      </c>
      <c r="P3198" t="n">
        <v>0</v>
      </c>
      <c r="Q3198" t="n">
        <v>0</v>
      </c>
      <c r="R3198" s="2" t="inlineStr"/>
    </row>
    <row r="3199" ht="15" customHeight="1">
      <c r="A3199" t="inlineStr">
        <is>
          <t>A 40781-2020</t>
        </is>
      </c>
      <c r="B3199" s="1" t="n">
        <v>44070</v>
      </c>
      <c r="C3199" s="1" t="n">
        <v>45810</v>
      </c>
      <c r="D3199" t="inlineStr">
        <is>
          <t>VÄRMLANDS LÄN</t>
        </is>
      </c>
      <c r="E3199" t="inlineStr">
        <is>
          <t>ÅRJÄNG</t>
        </is>
      </c>
      <c r="G3199" t="n">
        <v>7.8</v>
      </c>
      <c r="H3199" t="n">
        <v>0</v>
      </c>
      <c r="I3199" t="n">
        <v>0</v>
      </c>
      <c r="J3199" t="n">
        <v>0</v>
      </c>
      <c r="K3199" t="n">
        <v>0</v>
      </c>
      <c r="L3199" t="n">
        <v>0</v>
      </c>
      <c r="M3199" t="n">
        <v>0</v>
      </c>
      <c r="N3199" t="n">
        <v>0</v>
      </c>
      <c r="O3199" t="n">
        <v>0</v>
      </c>
      <c r="P3199" t="n">
        <v>0</v>
      </c>
      <c r="Q3199" t="n">
        <v>0</v>
      </c>
      <c r="R3199" s="2" t="inlineStr"/>
    </row>
    <row r="3200" ht="15" customHeight="1">
      <c r="A3200" t="inlineStr">
        <is>
          <t>A 40819-2020</t>
        </is>
      </c>
      <c r="B3200" s="1" t="n">
        <v>44070</v>
      </c>
      <c r="C3200" s="1" t="n">
        <v>45810</v>
      </c>
      <c r="D3200" t="inlineStr">
        <is>
          <t>VÄRMLANDS LÄN</t>
        </is>
      </c>
      <c r="E3200" t="inlineStr">
        <is>
          <t>HAGFORS</t>
        </is>
      </c>
      <c r="G3200" t="n">
        <v>2.5</v>
      </c>
      <c r="H3200" t="n">
        <v>0</v>
      </c>
      <c r="I3200" t="n">
        <v>0</v>
      </c>
      <c r="J3200" t="n">
        <v>0</v>
      </c>
      <c r="K3200" t="n">
        <v>0</v>
      </c>
      <c r="L3200" t="n">
        <v>0</v>
      </c>
      <c r="M3200" t="n">
        <v>0</v>
      </c>
      <c r="N3200" t="n">
        <v>0</v>
      </c>
      <c r="O3200" t="n">
        <v>0</v>
      </c>
      <c r="P3200" t="n">
        <v>0</v>
      </c>
      <c r="Q3200" t="n">
        <v>0</v>
      </c>
      <c r="R3200" s="2" t="inlineStr"/>
    </row>
    <row r="3201" ht="15" customHeight="1">
      <c r="A3201" t="inlineStr">
        <is>
          <t>A 40873-2020</t>
        </is>
      </c>
      <c r="B3201" s="1" t="n">
        <v>44070</v>
      </c>
      <c r="C3201" s="1" t="n">
        <v>45810</v>
      </c>
      <c r="D3201" t="inlineStr">
        <is>
          <t>VÄRMLANDS LÄN</t>
        </is>
      </c>
      <c r="E3201" t="inlineStr">
        <is>
          <t>FILIPSTAD</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40900-2020</t>
        </is>
      </c>
      <c r="B3202" s="1" t="n">
        <v>44070</v>
      </c>
      <c r="C3202" s="1" t="n">
        <v>45810</v>
      </c>
      <c r="D3202" t="inlineStr">
        <is>
          <t>VÄRMLANDS LÄN</t>
        </is>
      </c>
      <c r="E3202" t="inlineStr">
        <is>
          <t>SUNNE</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40993-2020</t>
        </is>
      </c>
      <c r="B3203" s="1" t="n">
        <v>44070</v>
      </c>
      <c r="C3203" s="1" t="n">
        <v>45810</v>
      </c>
      <c r="D3203" t="inlineStr">
        <is>
          <t>VÄRMLANDS LÄN</t>
        </is>
      </c>
      <c r="E3203" t="inlineStr">
        <is>
          <t>TORSBY</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40780-2020</t>
        </is>
      </c>
      <c r="B3204" s="1" t="n">
        <v>44070</v>
      </c>
      <c r="C3204" s="1" t="n">
        <v>45810</v>
      </c>
      <c r="D3204" t="inlineStr">
        <is>
          <t>VÄRMLANDS LÄN</t>
        </is>
      </c>
      <c r="E3204" t="inlineStr">
        <is>
          <t>GRUMS</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40829-2020</t>
        </is>
      </c>
      <c r="B3205" s="1" t="n">
        <v>44070</v>
      </c>
      <c r="C3205" s="1" t="n">
        <v>45810</v>
      </c>
      <c r="D3205" t="inlineStr">
        <is>
          <t>VÄRMLANDS LÄN</t>
        </is>
      </c>
      <c r="E3205" t="inlineStr">
        <is>
          <t>FILIPSTAD</t>
        </is>
      </c>
      <c r="G3205" t="n">
        <v>12.5</v>
      </c>
      <c r="H3205" t="n">
        <v>0</v>
      </c>
      <c r="I3205" t="n">
        <v>0</v>
      </c>
      <c r="J3205" t="n">
        <v>0</v>
      </c>
      <c r="K3205" t="n">
        <v>0</v>
      </c>
      <c r="L3205" t="n">
        <v>0</v>
      </c>
      <c r="M3205" t="n">
        <v>0</v>
      </c>
      <c r="N3205" t="n">
        <v>0</v>
      </c>
      <c r="O3205" t="n">
        <v>0</v>
      </c>
      <c r="P3205" t="n">
        <v>0</v>
      </c>
      <c r="Q3205" t="n">
        <v>0</v>
      </c>
      <c r="R3205" s="2" t="inlineStr"/>
    </row>
    <row r="3206" ht="15" customHeight="1">
      <c r="A3206" t="inlineStr">
        <is>
          <t>A 41621-2020</t>
        </is>
      </c>
      <c r="B3206" s="1" t="n">
        <v>44070</v>
      </c>
      <c r="C3206" s="1" t="n">
        <v>45810</v>
      </c>
      <c r="D3206" t="inlineStr">
        <is>
          <t>VÄRMLANDS LÄN</t>
        </is>
      </c>
      <c r="E3206" t="inlineStr">
        <is>
          <t>GRUMS</t>
        </is>
      </c>
      <c r="G3206" t="n">
        <v>8.6</v>
      </c>
      <c r="H3206" t="n">
        <v>0</v>
      </c>
      <c r="I3206" t="n">
        <v>0</v>
      </c>
      <c r="J3206" t="n">
        <v>0</v>
      </c>
      <c r="K3206" t="n">
        <v>0</v>
      </c>
      <c r="L3206" t="n">
        <v>0</v>
      </c>
      <c r="M3206" t="n">
        <v>0</v>
      </c>
      <c r="N3206" t="n">
        <v>0</v>
      </c>
      <c r="O3206" t="n">
        <v>0</v>
      </c>
      <c r="P3206" t="n">
        <v>0</v>
      </c>
      <c r="Q3206" t="n">
        <v>0</v>
      </c>
      <c r="R3206" s="2" t="inlineStr"/>
    </row>
    <row r="3207" ht="15" customHeight="1">
      <c r="A3207" t="inlineStr">
        <is>
          <t>A 41274-2020</t>
        </is>
      </c>
      <c r="B3207" s="1" t="n">
        <v>44071</v>
      </c>
      <c r="C3207" s="1" t="n">
        <v>45810</v>
      </c>
      <c r="D3207" t="inlineStr">
        <is>
          <t>VÄRMLANDS LÄN</t>
        </is>
      </c>
      <c r="E3207" t="inlineStr">
        <is>
          <t>ARVIKA</t>
        </is>
      </c>
      <c r="F3207" t="inlineStr">
        <is>
          <t>Bergvik skog väst AB</t>
        </is>
      </c>
      <c r="G3207" t="n">
        <v>16.5</v>
      </c>
      <c r="H3207" t="n">
        <v>0</v>
      </c>
      <c r="I3207" t="n">
        <v>0</v>
      </c>
      <c r="J3207" t="n">
        <v>0</v>
      </c>
      <c r="K3207" t="n">
        <v>0</v>
      </c>
      <c r="L3207" t="n">
        <v>0</v>
      </c>
      <c r="M3207" t="n">
        <v>0</v>
      </c>
      <c r="N3207" t="n">
        <v>0</v>
      </c>
      <c r="O3207" t="n">
        <v>0</v>
      </c>
      <c r="P3207" t="n">
        <v>0</v>
      </c>
      <c r="Q3207" t="n">
        <v>0</v>
      </c>
      <c r="R3207" s="2" t="inlineStr"/>
    </row>
    <row r="3208" ht="15" customHeight="1">
      <c r="A3208" t="inlineStr">
        <is>
          <t>A 41117-2020</t>
        </is>
      </c>
      <c r="B3208" s="1" t="n">
        <v>44071</v>
      </c>
      <c r="C3208" s="1" t="n">
        <v>45810</v>
      </c>
      <c r="D3208" t="inlineStr">
        <is>
          <t>VÄRMLANDS LÄN</t>
        </is>
      </c>
      <c r="E3208" t="inlineStr">
        <is>
          <t>SUNNE</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41130-2020</t>
        </is>
      </c>
      <c r="B3209" s="1" t="n">
        <v>44071</v>
      </c>
      <c r="C3209" s="1" t="n">
        <v>45810</v>
      </c>
      <c r="D3209" t="inlineStr">
        <is>
          <t>VÄRMLANDS LÄN</t>
        </is>
      </c>
      <c r="E3209" t="inlineStr">
        <is>
          <t>ARVIKA</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41241-2020</t>
        </is>
      </c>
      <c r="B3210" s="1" t="n">
        <v>44071</v>
      </c>
      <c r="C3210" s="1" t="n">
        <v>45810</v>
      </c>
      <c r="D3210" t="inlineStr">
        <is>
          <t>VÄRMLANDS LÄN</t>
        </is>
      </c>
      <c r="E3210" t="inlineStr">
        <is>
          <t>SUNNE</t>
        </is>
      </c>
      <c r="G3210" t="n">
        <v>5</v>
      </c>
      <c r="H3210" t="n">
        <v>0</v>
      </c>
      <c r="I3210" t="n">
        <v>0</v>
      </c>
      <c r="J3210" t="n">
        <v>0</v>
      </c>
      <c r="K3210" t="n">
        <v>0</v>
      </c>
      <c r="L3210" t="n">
        <v>0</v>
      </c>
      <c r="M3210" t="n">
        <v>0</v>
      </c>
      <c r="N3210" t="n">
        <v>0</v>
      </c>
      <c r="O3210" t="n">
        <v>0</v>
      </c>
      <c r="P3210" t="n">
        <v>0</v>
      </c>
      <c r="Q3210" t="n">
        <v>0</v>
      </c>
      <c r="R3210" s="2" t="inlineStr"/>
    </row>
    <row r="3211" ht="15" customHeight="1">
      <c r="A3211" t="inlineStr">
        <is>
          <t>A 41332-2020</t>
        </is>
      </c>
      <c r="B3211" s="1" t="n">
        <v>44071</v>
      </c>
      <c r="C3211" s="1" t="n">
        <v>45810</v>
      </c>
      <c r="D3211" t="inlineStr">
        <is>
          <t>VÄRMLANDS LÄN</t>
        </is>
      </c>
      <c r="E3211" t="inlineStr">
        <is>
          <t>FORSHAGA</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41444-2020</t>
        </is>
      </c>
      <c r="B3212" s="1" t="n">
        <v>44073</v>
      </c>
      <c r="C3212" s="1" t="n">
        <v>45810</v>
      </c>
      <c r="D3212" t="inlineStr">
        <is>
          <t>VÄRMLANDS LÄN</t>
        </is>
      </c>
      <c r="E3212" t="inlineStr">
        <is>
          <t>KIL</t>
        </is>
      </c>
      <c r="G3212" t="n">
        <v>6.9</v>
      </c>
      <c r="H3212" t="n">
        <v>0</v>
      </c>
      <c r="I3212" t="n">
        <v>0</v>
      </c>
      <c r="J3212" t="n">
        <v>0</v>
      </c>
      <c r="K3212" t="n">
        <v>0</v>
      </c>
      <c r="L3212" t="n">
        <v>0</v>
      </c>
      <c r="M3212" t="n">
        <v>0</v>
      </c>
      <c r="N3212" t="n">
        <v>0</v>
      </c>
      <c r="O3212" t="n">
        <v>0</v>
      </c>
      <c r="P3212" t="n">
        <v>0</v>
      </c>
      <c r="Q3212" t="n">
        <v>0</v>
      </c>
      <c r="R3212" s="2" t="inlineStr"/>
    </row>
    <row r="3213" ht="15" customHeight="1">
      <c r="A3213" t="inlineStr">
        <is>
          <t>A 41547-2020</t>
        </is>
      </c>
      <c r="B3213" s="1" t="n">
        <v>44074</v>
      </c>
      <c r="C3213" s="1" t="n">
        <v>45810</v>
      </c>
      <c r="D3213" t="inlineStr">
        <is>
          <t>VÄRMLANDS LÄN</t>
        </is>
      </c>
      <c r="E3213" t="inlineStr">
        <is>
          <t>SUNNE</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41657-2020</t>
        </is>
      </c>
      <c r="B3214" s="1" t="n">
        <v>44074</v>
      </c>
      <c r="C3214" s="1" t="n">
        <v>45810</v>
      </c>
      <c r="D3214" t="inlineStr">
        <is>
          <t>VÄRMLANDS LÄN</t>
        </is>
      </c>
      <c r="E3214" t="inlineStr">
        <is>
          <t>HAGFORS</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41545-2020</t>
        </is>
      </c>
      <c r="B3215" s="1" t="n">
        <v>44074</v>
      </c>
      <c r="C3215" s="1" t="n">
        <v>45810</v>
      </c>
      <c r="D3215" t="inlineStr">
        <is>
          <t>VÄRMLANDS LÄN</t>
        </is>
      </c>
      <c r="E3215" t="inlineStr">
        <is>
          <t>SUNNE</t>
        </is>
      </c>
      <c r="G3215" t="n">
        <v>4.6</v>
      </c>
      <c r="H3215" t="n">
        <v>0</v>
      </c>
      <c r="I3215" t="n">
        <v>0</v>
      </c>
      <c r="J3215" t="n">
        <v>0</v>
      </c>
      <c r="K3215" t="n">
        <v>0</v>
      </c>
      <c r="L3215" t="n">
        <v>0</v>
      </c>
      <c r="M3215" t="n">
        <v>0</v>
      </c>
      <c r="N3215" t="n">
        <v>0</v>
      </c>
      <c r="O3215" t="n">
        <v>0</v>
      </c>
      <c r="P3215" t="n">
        <v>0</v>
      </c>
      <c r="Q3215" t="n">
        <v>0</v>
      </c>
      <c r="R3215" s="2" t="inlineStr"/>
    </row>
    <row r="3216" ht="15" customHeight="1">
      <c r="A3216" t="inlineStr">
        <is>
          <t>A 41653-2020</t>
        </is>
      </c>
      <c r="B3216" s="1" t="n">
        <v>44074</v>
      </c>
      <c r="C3216" s="1" t="n">
        <v>45810</v>
      </c>
      <c r="D3216" t="inlineStr">
        <is>
          <t>VÄRMLANDS LÄN</t>
        </is>
      </c>
      <c r="E3216" t="inlineStr">
        <is>
          <t>KARLSTAD</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41830-2020</t>
        </is>
      </c>
      <c r="B3217" s="1" t="n">
        <v>44074</v>
      </c>
      <c r="C3217" s="1" t="n">
        <v>45810</v>
      </c>
      <c r="D3217" t="inlineStr">
        <is>
          <t>VÄRMLANDS LÄN</t>
        </is>
      </c>
      <c r="E3217" t="inlineStr">
        <is>
          <t>GRUMS</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42103-2020</t>
        </is>
      </c>
      <c r="B3218" s="1" t="n">
        <v>44074</v>
      </c>
      <c r="C3218" s="1" t="n">
        <v>45810</v>
      </c>
      <c r="D3218" t="inlineStr">
        <is>
          <t>VÄRMLANDS LÄN</t>
        </is>
      </c>
      <c r="E3218" t="inlineStr">
        <is>
          <t>KARLSTAD</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42431-2020</t>
        </is>
      </c>
      <c r="B3219" s="1" t="n">
        <v>44074</v>
      </c>
      <c r="C3219" s="1" t="n">
        <v>45810</v>
      </c>
      <c r="D3219" t="inlineStr">
        <is>
          <t>VÄRMLANDS LÄN</t>
        </is>
      </c>
      <c r="E3219" t="inlineStr">
        <is>
          <t>ÅRJÄNG</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41469-2020</t>
        </is>
      </c>
      <c r="B3220" s="1" t="n">
        <v>44074</v>
      </c>
      <c r="C3220" s="1" t="n">
        <v>45810</v>
      </c>
      <c r="D3220" t="inlineStr">
        <is>
          <t>VÄRMLANDS LÄN</t>
        </is>
      </c>
      <c r="E3220" t="inlineStr">
        <is>
          <t>TORSBY</t>
        </is>
      </c>
      <c r="F3220" t="inlineStr">
        <is>
          <t>Bergvik skog väst AB</t>
        </is>
      </c>
      <c r="G3220" t="n">
        <v>9.699999999999999</v>
      </c>
      <c r="H3220" t="n">
        <v>0</v>
      </c>
      <c r="I3220" t="n">
        <v>0</v>
      </c>
      <c r="J3220" t="n">
        <v>0</v>
      </c>
      <c r="K3220" t="n">
        <v>0</v>
      </c>
      <c r="L3220" t="n">
        <v>0</v>
      </c>
      <c r="M3220" t="n">
        <v>0</v>
      </c>
      <c r="N3220" t="n">
        <v>0</v>
      </c>
      <c r="O3220" t="n">
        <v>0</v>
      </c>
      <c r="P3220" t="n">
        <v>0</v>
      </c>
      <c r="Q3220" t="n">
        <v>0</v>
      </c>
      <c r="R3220" s="2" t="inlineStr"/>
    </row>
    <row r="3221" ht="15" customHeight="1">
      <c r="A3221" t="inlineStr">
        <is>
          <t>A 42427-2020</t>
        </is>
      </c>
      <c r="B3221" s="1" t="n">
        <v>44074</v>
      </c>
      <c r="C3221" s="1" t="n">
        <v>45810</v>
      </c>
      <c r="D3221" t="inlineStr">
        <is>
          <t>VÄRMLANDS LÄN</t>
        </is>
      </c>
      <c r="E3221" t="inlineStr">
        <is>
          <t>ÅRJÄNG</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42128-2020</t>
        </is>
      </c>
      <c r="B3222" s="1" t="n">
        <v>44075</v>
      </c>
      <c r="C3222" s="1" t="n">
        <v>45810</v>
      </c>
      <c r="D3222" t="inlineStr">
        <is>
          <t>VÄRMLANDS LÄN</t>
        </is>
      </c>
      <c r="E3222" t="inlineStr">
        <is>
          <t>ARVIKA</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42034-2020</t>
        </is>
      </c>
      <c r="B3223" s="1" t="n">
        <v>44075</v>
      </c>
      <c r="C3223" s="1" t="n">
        <v>45810</v>
      </c>
      <c r="D3223" t="inlineStr">
        <is>
          <t>VÄRMLANDS LÄN</t>
        </is>
      </c>
      <c r="E3223" t="inlineStr">
        <is>
          <t>SUNNE</t>
        </is>
      </c>
      <c r="G3223" t="n">
        <v>3.7</v>
      </c>
      <c r="H3223" t="n">
        <v>0</v>
      </c>
      <c r="I3223" t="n">
        <v>0</v>
      </c>
      <c r="J3223" t="n">
        <v>0</v>
      </c>
      <c r="K3223" t="n">
        <v>0</v>
      </c>
      <c r="L3223" t="n">
        <v>0</v>
      </c>
      <c r="M3223" t="n">
        <v>0</v>
      </c>
      <c r="N3223" t="n">
        <v>0</v>
      </c>
      <c r="O3223" t="n">
        <v>0</v>
      </c>
      <c r="P3223" t="n">
        <v>0</v>
      </c>
      <c r="Q3223" t="n">
        <v>0</v>
      </c>
      <c r="R3223" s="2" t="inlineStr"/>
    </row>
    <row r="3224" ht="15" customHeight="1">
      <c r="A3224" t="inlineStr">
        <is>
          <t>A 41975-2020</t>
        </is>
      </c>
      <c r="B3224" s="1" t="n">
        <v>44075</v>
      </c>
      <c r="C3224" s="1" t="n">
        <v>45810</v>
      </c>
      <c r="D3224" t="inlineStr">
        <is>
          <t>VÄRMLANDS LÄN</t>
        </is>
      </c>
      <c r="E3224" t="inlineStr">
        <is>
          <t>KIL</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42175-2020</t>
        </is>
      </c>
      <c r="B3225" s="1" t="n">
        <v>44075</v>
      </c>
      <c r="C3225" s="1" t="n">
        <v>45810</v>
      </c>
      <c r="D3225" t="inlineStr">
        <is>
          <t>VÄRMLANDS LÄN</t>
        </is>
      </c>
      <c r="E3225" t="inlineStr">
        <is>
          <t>KARLSTAD</t>
        </is>
      </c>
      <c r="G3225" t="n">
        <v>13.8</v>
      </c>
      <c r="H3225" t="n">
        <v>0</v>
      </c>
      <c r="I3225" t="n">
        <v>0</v>
      </c>
      <c r="J3225" t="n">
        <v>0</v>
      </c>
      <c r="K3225" t="n">
        <v>0</v>
      </c>
      <c r="L3225" t="n">
        <v>0</v>
      </c>
      <c r="M3225" t="n">
        <v>0</v>
      </c>
      <c r="N3225" t="n">
        <v>0</v>
      </c>
      <c r="O3225" t="n">
        <v>0</v>
      </c>
      <c r="P3225" t="n">
        <v>0</v>
      </c>
      <c r="Q3225" t="n">
        <v>0</v>
      </c>
      <c r="R3225" s="2" t="inlineStr"/>
    </row>
    <row r="3226" ht="15" customHeight="1">
      <c r="A3226" t="inlineStr">
        <is>
          <t>A 42238-2020</t>
        </is>
      </c>
      <c r="B3226" s="1" t="n">
        <v>44075</v>
      </c>
      <c r="C3226" s="1" t="n">
        <v>45810</v>
      </c>
      <c r="D3226" t="inlineStr">
        <is>
          <t>VÄRMLANDS LÄN</t>
        </is>
      </c>
      <c r="E3226" t="inlineStr">
        <is>
          <t>SUNNE</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42278-2020</t>
        </is>
      </c>
      <c r="B3227" s="1" t="n">
        <v>44076</v>
      </c>
      <c r="C3227" s="1" t="n">
        <v>45810</v>
      </c>
      <c r="D3227" t="inlineStr">
        <is>
          <t>VÄRMLANDS LÄN</t>
        </is>
      </c>
      <c r="E3227" t="inlineStr">
        <is>
          <t>SÄFFLE</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42292-2020</t>
        </is>
      </c>
      <c r="B3228" s="1" t="n">
        <v>44076</v>
      </c>
      <c r="C3228" s="1" t="n">
        <v>45810</v>
      </c>
      <c r="D3228" t="inlineStr">
        <is>
          <t>VÄRMLANDS LÄN</t>
        </is>
      </c>
      <c r="E3228" t="inlineStr">
        <is>
          <t>SÄFFLE</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42294-2020</t>
        </is>
      </c>
      <c r="B3229" s="1" t="n">
        <v>44076</v>
      </c>
      <c r="C3229" s="1" t="n">
        <v>45810</v>
      </c>
      <c r="D3229" t="inlineStr">
        <is>
          <t>VÄRMLANDS LÄN</t>
        </is>
      </c>
      <c r="E3229" t="inlineStr">
        <is>
          <t>ARVIKA</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42322-2020</t>
        </is>
      </c>
      <c r="B3230" s="1" t="n">
        <v>44076</v>
      </c>
      <c r="C3230" s="1" t="n">
        <v>45810</v>
      </c>
      <c r="D3230" t="inlineStr">
        <is>
          <t>VÄRMLANDS LÄN</t>
        </is>
      </c>
      <c r="E3230" t="inlineStr">
        <is>
          <t>SUNNE</t>
        </is>
      </c>
      <c r="G3230" t="n">
        <v>4.3</v>
      </c>
      <c r="H3230" t="n">
        <v>0</v>
      </c>
      <c r="I3230" t="n">
        <v>0</v>
      </c>
      <c r="J3230" t="n">
        <v>0</v>
      </c>
      <c r="K3230" t="n">
        <v>0</v>
      </c>
      <c r="L3230" t="n">
        <v>0</v>
      </c>
      <c r="M3230" t="n">
        <v>0</v>
      </c>
      <c r="N3230" t="n">
        <v>0</v>
      </c>
      <c r="O3230" t="n">
        <v>0</v>
      </c>
      <c r="P3230" t="n">
        <v>0</v>
      </c>
      <c r="Q3230" t="n">
        <v>0</v>
      </c>
      <c r="R3230" s="2" t="inlineStr"/>
    </row>
    <row r="3231" ht="15" customHeight="1">
      <c r="A3231" t="inlineStr">
        <is>
          <t>A 42267-2020</t>
        </is>
      </c>
      <c r="B3231" s="1" t="n">
        <v>44076</v>
      </c>
      <c r="C3231" s="1" t="n">
        <v>45810</v>
      </c>
      <c r="D3231" t="inlineStr">
        <is>
          <t>VÄRMLANDS LÄN</t>
        </is>
      </c>
      <c r="E3231" t="inlineStr">
        <is>
          <t>ÅRJÄNG</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42391-2020</t>
        </is>
      </c>
      <c r="B3232" s="1" t="n">
        <v>44076</v>
      </c>
      <c r="C3232" s="1" t="n">
        <v>45810</v>
      </c>
      <c r="D3232" t="inlineStr">
        <is>
          <t>VÄRMLANDS LÄN</t>
        </is>
      </c>
      <c r="E3232" t="inlineStr">
        <is>
          <t>TORSBY</t>
        </is>
      </c>
      <c r="G3232" t="n">
        <v>3.9</v>
      </c>
      <c r="H3232" t="n">
        <v>0</v>
      </c>
      <c r="I3232" t="n">
        <v>0</v>
      </c>
      <c r="J3232" t="n">
        <v>0</v>
      </c>
      <c r="K3232" t="n">
        <v>0</v>
      </c>
      <c r="L3232" t="n">
        <v>0</v>
      </c>
      <c r="M3232" t="n">
        <v>0</v>
      </c>
      <c r="N3232" t="n">
        <v>0</v>
      </c>
      <c r="O3232" t="n">
        <v>0</v>
      </c>
      <c r="P3232" t="n">
        <v>0</v>
      </c>
      <c r="Q3232" t="n">
        <v>0</v>
      </c>
      <c r="R3232" s="2" t="inlineStr"/>
    </row>
    <row r="3233" ht="15" customHeight="1">
      <c r="A3233" t="inlineStr">
        <is>
          <t>A 42522-2020</t>
        </is>
      </c>
      <c r="B3233" s="1" t="n">
        <v>44077</v>
      </c>
      <c r="C3233" s="1" t="n">
        <v>45810</v>
      </c>
      <c r="D3233" t="inlineStr">
        <is>
          <t>VÄRMLANDS LÄN</t>
        </is>
      </c>
      <c r="E3233" t="inlineStr">
        <is>
          <t>MUNKFORS</t>
        </is>
      </c>
      <c r="F3233" t="inlineStr">
        <is>
          <t>Bergvik skog väst AB</t>
        </is>
      </c>
      <c r="G3233" t="n">
        <v>0.3</v>
      </c>
      <c r="H3233" t="n">
        <v>0</v>
      </c>
      <c r="I3233" t="n">
        <v>0</v>
      </c>
      <c r="J3233" t="n">
        <v>0</v>
      </c>
      <c r="K3233" t="n">
        <v>0</v>
      </c>
      <c r="L3233" t="n">
        <v>0</v>
      </c>
      <c r="M3233" t="n">
        <v>0</v>
      </c>
      <c r="N3233" t="n">
        <v>0</v>
      </c>
      <c r="O3233" t="n">
        <v>0</v>
      </c>
      <c r="P3233" t="n">
        <v>0</v>
      </c>
      <c r="Q3233" t="n">
        <v>0</v>
      </c>
      <c r="R3233" s="2" t="inlineStr"/>
    </row>
    <row r="3234" ht="15" customHeight="1">
      <c r="A3234" t="inlineStr">
        <is>
          <t>A 42566-2020</t>
        </is>
      </c>
      <c r="B3234" s="1" t="n">
        <v>44077</v>
      </c>
      <c r="C3234" s="1" t="n">
        <v>45810</v>
      </c>
      <c r="D3234" t="inlineStr">
        <is>
          <t>VÄRMLANDS LÄN</t>
        </is>
      </c>
      <c r="E3234" t="inlineStr">
        <is>
          <t>TORSBY</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42623-2020</t>
        </is>
      </c>
      <c r="B3235" s="1" t="n">
        <v>44077</v>
      </c>
      <c r="C3235" s="1" t="n">
        <v>45810</v>
      </c>
      <c r="D3235" t="inlineStr">
        <is>
          <t>VÄRMLANDS LÄN</t>
        </is>
      </c>
      <c r="E3235" t="inlineStr">
        <is>
          <t>KRISTINEHAMN</t>
        </is>
      </c>
      <c r="G3235" t="n">
        <v>9.9</v>
      </c>
      <c r="H3235" t="n">
        <v>0</v>
      </c>
      <c r="I3235" t="n">
        <v>0</v>
      </c>
      <c r="J3235" t="n">
        <v>0</v>
      </c>
      <c r="K3235" t="n">
        <v>0</v>
      </c>
      <c r="L3235" t="n">
        <v>0</v>
      </c>
      <c r="M3235" t="n">
        <v>0</v>
      </c>
      <c r="N3235" t="n">
        <v>0</v>
      </c>
      <c r="O3235" t="n">
        <v>0</v>
      </c>
      <c r="P3235" t="n">
        <v>0</v>
      </c>
      <c r="Q3235" t="n">
        <v>0</v>
      </c>
      <c r="R3235" s="2" t="inlineStr"/>
    </row>
    <row r="3236" ht="15" customHeight="1">
      <c r="A3236" t="inlineStr">
        <is>
          <t>A 42681-2020</t>
        </is>
      </c>
      <c r="B3236" s="1" t="n">
        <v>44077</v>
      </c>
      <c r="C3236" s="1" t="n">
        <v>45810</v>
      </c>
      <c r="D3236" t="inlineStr">
        <is>
          <t>VÄRMLANDS LÄN</t>
        </is>
      </c>
      <c r="E3236" t="inlineStr">
        <is>
          <t>SUNNE</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42539-2020</t>
        </is>
      </c>
      <c r="B3237" s="1" t="n">
        <v>44077</v>
      </c>
      <c r="C3237" s="1" t="n">
        <v>45810</v>
      </c>
      <c r="D3237" t="inlineStr">
        <is>
          <t>VÄRMLANDS LÄN</t>
        </is>
      </c>
      <c r="E3237" t="inlineStr">
        <is>
          <t>MUNKFORS</t>
        </is>
      </c>
      <c r="F3237" t="inlineStr">
        <is>
          <t>Bergvik skog väst AB</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42584-2020</t>
        </is>
      </c>
      <c r="B3238" s="1" t="n">
        <v>44077</v>
      </c>
      <c r="C3238" s="1" t="n">
        <v>45810</v>
      </c>
      <c r="D3238" t="inlineStr">
        <is>
          <t>VÄRMLANDS LÄN</t>
        </is>
      </c>
      <c r="E3238" t="inlineStr">
        <is>
          <t>FILIPSTAD</t>
        </is>
      </c>
      <c r="F3238" t="inlineStr">
        <is>
          <t>Bergvik skog väst AB</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42531-2020</t>
        </is>
      </c>
      <c r="B3239" s="1" t="n">
        <v>44077</v>
      </c>
      <c r="C3239" s="1" t="n">
        <v>45810</v>
      </c>
      <c r="D3239" t="inlineStr">
        <is>
          <t>VÄRMLANDS LÄN</t>
        </is>
      </c>
      <c r="E3239" t="inlineStr">
        <is>
          <t>KARLSTAD</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42572-2020</t>
        </is>
      </c>
      <c r="B3240" s="1" t="n">
        <v>44077</v>
      </c>
      <c r="C3240" s="1" t="n">
        <v>45810</v>
      </c>
      <c r="D3240" t="inlineStr">
        <is>
          <t>VÄRMLANDS LÄN</t>
        </is>
      </c>
      <c r="E3240" t="inlineStr">
        <is>
          <t>EDA</t>
        </is>
      </c>
      <c r="G3240" t="n">
        <v>2.8</v>
      </c>
      <c r="H3240" t="n">
        <v>0</v>
      </c>
      <c r="I3240" t="n">
        <v>0</v>
      </c>
      <c r="J3240" t="n">
        <v>0</v>
      </c>
      <c r="K3240" t="n">
        <v>0</v>
      </c>
      <c r="L3240" t="n">
        <v>0</v>
      </c>
      <c r="M3240" t="n">
        <v>0</v>
      </c>
      <c r="N3240" t="n">
        <v>0</v>
      </c>
      <c r="O3240" t="n">
        <v>0</v>
      </c>
      <c r="P3240" t="n">
        <v>0</v>
      </c>
      <c r="Q3240" t="n">
        <v>0</v>
      </c>
      <c r="R3240" s="2" t="inlineStr"/>
    </row>
    <row r="3241" ht="15" customHeight="1">
      <c r="A3241" t="inlineStr">
        <is>
          <t>A 42710-2020</t>
        </is>
      </c>
      <c r="B3241" s="1" t="n">
        <v>44077</v>
      </c>
      <c r="C3241" s="1" t="n">
        <v>45810</v>
      </c>
      <c r="D3241" t="inlineStr">
        <is>
          <t>VÄRMLANDS LÄN</t>
        </is>
      </c>
      <c r="E3241" t="inlineStr">
        <is>
          <t>KIL</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42707-2020</t>
        </is>
      </c>
      <c r="B3242" s="1" t="n">
        <v>44077</v>
      </c>
      <c r="C3242" s="1" t="n">
        <v>45810</v>
      </c>
      <c r="D3242" t="inlineStr">
        <is>
          <t>VÄRMLANDS LÄN</t>
        </is>
      </c>
      <c r="E3242" t="inlineStr">
        <is>
          <t>SUNNE</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42627-2020</t>
        </is>
      </c>
      <c r="B3243" s="1" t="n">
        <v>44077</v>
      </c>
      <c r="C3243" s="1" t="n">
        <v>45810</v>
      </c>
      <c r="D3243" t="inlineStr">
        <is>
          <t>VÄRMLANDS LÄN</t>
        </is>
      </c>
      <c r="E3243" t="inlineStr">
        <is>
          <t>KRISTINEHAMN</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42716-2020</t>
        </is>
      </c>
      <c r="B3244" s="1" t="n">
        <v>44077</v>
      </c>
      <c r="C3244" s="1" t="n">
        <v>45810</v>
      </c>
      <c r="D3244" t="inlineStr">
        <is>
          <t>VÄRMLANDS LÄN</t>
        </is>
      </c>
      <c r="E3244" t="inlineStr">
        <is>
          <t>KIL</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42597-2020</t>
        </is>
      </c>
      <c r="B3245" s="1" t="n">
        <v>44077</v>
      </c>
      <c r="C3245" s="1" t="n">
        <v>45810</v>
      </c>
      <c r="D3245" t="inlineStr">
        <is>
          <t>VÄRMLANDS LÄN</t>
        </is>
      </c>
      <c r="E3245" t="inlineStr">
        <is>
          <t>FILIPSTAD</t>
        </is>
      </c>
      <c r="G3245" t="n">
        <v>0</v>
      </c>
      <c r="H3245" t="n">
        <v>0</v>
      </c>
      <c r="I3245" t="n">
        <v>0</v>
      </c>
      <c r="J3245" t="n">
        <v>0</v>
      </c>
      <c r="K3245" t="n">
        <v>0</v>
      </c>
      <c r="L3245" t="n">
        <v>0</v>
      </c>
      <c r="M3245" t="n">
        <v>0</v>
      </c>
      <c r="N3245" t="n">
        <v>0</v>
      </c>
      <c r="O3245" t="n">
        <v>0</v>
      </c>
      <c r="P3245" t="n">
        <v>0</v>
      </c>
      <c r="Q3245" t="n">
        <v>0</v>
      </c>
      <c r="R3245" s="2" t="inlineStr"/>
    </row>
    <row r="3246" ht="15" customHeight="1">
      <c r="A3246" t="inlineStr">
        <is>
          <t>A 42877-2020</t>
        </is>
      </c>
      <c r="B3246" s="1" t="n">
        <v>44078</v>
      </c>
      <c r="C3246" s="1" t="n">
        <v>45810</v>
      </c>
      <c r="D3246" t="inlineStr">
        <is>
          <t>VÄRMLANDS LÄN</t>
        </is>
      </c>
      <c r="E3246" t="inlineStr">
        <is>
          <t>KARLSTAD</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42960-2020</t>
        </is>
      </c>
      <c r="B3247" s="1" t="n">
        <v>44078</v>
      </c>
      <c r="C3247" s="1" t="n">
        <v>45810</v>
      </c>
      <c r="D3247" t="inlineStr">
        <is>
          <t>VÄRMLANDS LÄN</t>
        </is>
      </c>
      <c r="E3247" t="inlineStr">
        <is>
          <t>FORSHAGA</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42967-2020</t>
        </is>
      </c>
      <c r="B3248" s="1" t="n">
        <v>44078</v>
      </c>
      <c r="C3248" s="1" t="n">
        <v>45810</v>
      </c>
      <c r="D3248" t="inlineStr">
        <is>
          <t>VÄRMLANDS LÄN</t>
        </is>
      </c>
      <c r="E3248" t="inlineStr">
        <is>
          <t>FORSHAGA</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42982-2020</t>
        </is>
      </c>
      <c r="B3249" s="1" t="n">
        <v>44078</v>
      </c>
      <c r="C3249" s="1" t="n">
        <v>45810</v>
      </c>
      <c r="D3249" t="inlineStr">
        <is>
          <t>VÄRMLANDS LÄN</t>
        </is>
      </c>
      <c r="E3249" t="inlineStr">
        <is>
          <t>TORSBY</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42993-2020</t>
        </is>
      </c>
      <c r="B3250" s="1" t="n">
        <v>44078</v>
      </c>
      <c r="C3250" s="1" t="n">
        <v>45810</v>
      </c>
      <c r="D3250" t="inlineStr">
        <is>
          <t>VÄRMLANDS LÄN</t>
        </is>
      </c>
      <c r="E3250" t="inlineStr">
        <is>
          <t>FORSHAGA</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43208-2020</t>
        </is>
      </c>
      <c r="B3251" s="1" t="n">
        <v>44078</v>
      </c>
      <c r="C3251" s="1" t="n">
        <v>45810</v>
      </c>
      <c r="D3251" t="inlineStr">
        <is>
          <t>VÄRMLANDS LÄN</t>
        </is>
      </c>
      <c r="E3251" t="inlineStr">
        <is>
          <t>SUNNE</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42964-2020</t>
        </is>
      </c>
      <c r="B3252" s="1" t="n">
        <v>44078</v>
      </c>
      <c r="C3252" s="1" t="n">
        <v>45810</v>
      </c>
      <c r="D3252" t="inlineStr">
        <is>
          <t>VÄRMLANDS LÄN</t>
        </is>
      </c>
      <c r="E3252" t="inlineStr">
        <is>
          <t>HAGFORS</t>
        </is>
      </c>
      <c r="F3252" t="inlineStr">
        <is>
          <t>Bergvik skog väst AB</t>
        </is>
      </c>
      <c r="G3252" t="n">
        <v>7.6</v>
      </c>
      <c r="H3252" t="n">
        <v>0</v>
      </c>
      <c r="I3252" t="n">
        <v>0</v>
      </c>
      <c r="J3252" t="n">
        <v>0</v>
      </c>
      <c r="K3252" t="n">
        <v>0</v>
      </c>
      <c r="L3252" t="n">
        <v>0</v>
      </c>
      <c r="M3252" t="n">
        <v>0</v>
      </c>
      <c r="N3252" t="n">
        <v>0</v>
      </c>
      <c r="O3252" t="n">
        <v>0</v>
      </c>
      <c r="P3252" t="n">
        <v>0</v>
      </c>
      <c r="Q3252" t="n">
        <v>0</v>
      </c>
      <c r="R3252" s="2" t="inlineStr"/>
    </row>
    <row r="3253" ht="15" customHeight="1">
      <c r="A3253" t="inlineStr">
        <is>
          <t>A 43052-2020</t>
        </is>
      </c>
      <c r="B3253" s="1" t="n">
        <v>44078</v>
      </c>
      <c r="C3253" s="1" t="n">
        <v>45810</v>
      </c>
      <c r="D3253" t="inlineStr">
        <is>
          <t>VÄRMLANDS LÄN</t>
        </is>
      </c>
      <c r="E3253" t="inlineStr">
        <is>
          <t>SUNNE</t>
        </is>
      </c>
      <c r="G3253" t="n">
        <v>2.7</v>
      </c>
      <c r="H3253" t="n">
        <v>0</v>
      </c>
      <c r="I3253" t="n">
        <v>0</v>
      </c>
      <c r="J3253" t="n">
        <v>0</v>
      </c>
      <c r="K3253" t="n">
        <v>0</v>
      </c>
      <c r="L3253" t="n">
        <v>0</v>
      </c>
      <c r="M3253" t="n">
        <v>0</v>
      </c>
      <c r="N3253" t="n">
        <v>0</v>
      </c>
      <c r="O3253" t="n">
        <v>0</v>
      </c>
      <c r="P3253" t="n">
        <v>0</v>
      </c>
      <c r="Q3253" t="n">
        <v>0</v>
      </c>
      <c r="R3253" s="2" t="inlineStr"/>
    </row>
    <row r="3254" ht="15" customHeight="1">
      <c r="A3254" t="inlineStr">
        <is>
          <t>A 42910-2020</t>
        </is>
      </c>
      <c r="B3254" s="1" t="n">
        <v>44078</v>
      </c>
      <c r="C3254" s="1" t="n">
        <v>45810</v>
      </c>
      <c r="D3254" t="inlineStr">
        <is>
          <t>VÄRMLANDS LÄN</t>
        </is>
      </c>
      <c r="E3254" t="inlineStr">
        <is>
          <t>FORSHAGA</t>
        </is>
      </c>
      <c r="F3254" t="inlineStr">
        <is>
          <t>Bergvik skog väst AB</t>
        </is>
      </c>
      <c r="G3254" t="n">
        <v>0.4</v>
      </c>
      <c r="H3254" t="n">
        <v>0</v>
      </c>
      <c r="I3254" t="n">
        <v>0</v>
      </c>
      <c r="J3254" t="n">
        <v>0</v>
      </c>
      <c r="K3254" t="n">
        <v>0</v>
      </c>
      <c r="L3254" t="n">
        <v>0</v>
      </c>
      <c r="M3254" t="n">
        <v>0</v>
      </c>
      <c r="N3254" t="n">
        <v>0</v>
      </c>
      <c r="O3254" t="n">
        <v>0</v>
      </c>
      <c r="P3254" t="n">
        <v>0</v>
      </c>
      <c r="Q3254" t="n">
        <v>0</v>
      </c>
      <c r="R3254" s="2" t="inlineStr"/>
    </row>
    <row r="3255" ht="15" customHeight="1">
      <c r="A3255" t="inlineStr">
        <is>
          <t>A 42970-2020</t>
        </is>
      </c>
      <c r="B3255" s="1" t="n">
        <v>44078</v>
      </c>
      <c r="C3255" s="1" t="n">
        <v>45810</v>
      </c>
      <c r="D3255" t="inlineStr">
        <is>
          <t>VÄRMLANDS LÄN</t>
        </is>
      </c>
      <c r="E3255" t="inlineStr">
        <is>
          <t>FORSHAGA</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42984-2020</t>
        </is>
      </c>
      <c r="B3256" s="1" t="n">
        <v>44078</v>
      </c>
      <c r="C3256" s="1" t="n">
        <v>45810</v>
      </c>
      <c r="D3256" t="inlineStr">
        <is>
          <t>VÄRMLANDS LÄN</t>
        </is>
      </c>
      <c r="E3256" t="inlineStr">
        <is>
          <t>FORSHAGA</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43679-2020</t>
        </is>
      </c>
      <c r="B3257" s="1" t="n">
        <v>44078</v>
      </c>
      <c r="C3257" s="1" t="n">
        <v>45810</v>
      </c>
      <c r="D3257" t="inlineStr">
        <is>
          <t>VÄRMLANDS LÄN</t>
        </is>
      </c>
      <c r="E3257" t="inlineStr">
        <is>
          <t>KARLSTAD</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43049-2020</t>
        </is>
      </c>
      <c r="B3258" s="1" t="n">
        <v>44078</v>
      </c>
      <c r="C3258" s="1" t="n">
        <v>45810</v>
      </c>
      <c r="D3258" t="inlineStr">
        <is>
          <t>VÄRMLANDS LÄN</t>
        </is>
      </c>
      <c r="E3258" t="inlineStr">
        <is>
          <t>KARLSTAD</t>
        </is>
      </c>
      <c r="G3258" t="n">
        <v>3.3</v>
      </c>
      <c r="H3258" t="n">
        <v>0</v>
      </c>
      <c r="I3258" t="n">
        <v>0</v>
      </c>
      <c r="J3258" t="n">
        <v>0</v>
      </c>
      <c r="K3258" t="n">
        <v>0</v>
      </c>
      <c r="L3258" t="n">
        <v>0</v>
      </c>
      <c r="M3258" t="n">
        <v>0</v>
      </c>
      <c r="N3258" t="n">
        <v>0</v>
      </c>
      <c r="O3258" t="n">
        <v>0</v>
      </c>
      <c r="P3258" t="n">
        <v>0</v>
      </c>
      <c r="Q3258" t="n">
        <v>0</v>
      </c>
      <c r="R3258" s="2" t="inlineStr"/>
    </row>
    <row r="3259" ht="15" customHeight="1">
      <c r="A3259" t="inlineStr">
        <is>
          <t>A 43669-2020</t>
        </is>
      </c>
      <c r="B3259" s="1" t="n">
        <v>44078</v>
      </c>
      <c r="C3259" s="1" t="n">
        <v>45810</v>
      </c>
      <c r="D3259" t="inlineStr">
        <is>
          <t>VÄRMLANDS LÄN</t>
        </is>
      </c>
      <c r="E3259" t="inlineStr">
        <is>
          <t>KARLSTAD</t>
        </is>
      </c>
      <c r="G3259" t="n">
        <v>4.6</v>
      </c>
      <c r="H3259" t="n">
        <v>0</v>
      </c>
      <c r="I3259" t="n">
        <v>0</v>
      </c>
      <c r="J3259" t="n">
        <v>0</v>
      </c>
      <c r="K3259" t="n">
        <v>0</v>
      </c>
      <c r="L3259" t="n">
        <v>0</v>
      </c>
      <c r="M3259" t="n">
        <v>0</v>
      </c>
      <c r="N3259" t="n">
        <v>0</v>
      </c>
      <c r="O3259" t="n">
        <v>0</v>
      </c>
      <c r="P3259" t="n">
        <v>0</v>
      </c>
      <c r="Q3259" t="n">
        <v>0</v>
      </c>
      <c r="R3259" s="2" t="inlineStr"/>
    </row>
    <row r="3260" ht="15" customHeight="1">
      <c r="A3260" t="inlineStr">
        <is>
          <t>A 44722-2020</t>
        </is>
      </c>
      <c r="B3260" s="1" t="n">
        <v>44078</v>
      </c>
      <c r="C3260" s="1" t="n">
        <v>45810</v>
      </c>
      <c r="D3260" t="inlineStr">
        <is>
          <t>VÄRMLANDS LÄN</t>
        </is>
      </c>
      <c r="E3260" t="inlineStr">
        <is>
          <t>TORSBY</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42965-2020</t>
        </is>
      </c>
      <c r="B3261" s="1" t="n">
        <v>44078</v>
      </c>
      <c r="C3261" s="1" t="n">
        <v>45810</v>
      </c>
      <c r="D3261" t="inlineStr">
        <is>
          <t>VÄRMLANDS LÄN</t>
        </is>
      </c>
      <c r="E3261" t="inlineStr">
        <is>
          <t>FORSHAGA</t>
        </is>
      </c>
      <c r="G3261" t="n">
        <v>0.2</v>
      </c>
      <c r="H3261" t="n">
        <v>0</v>
      </c>
      <c r="I3261" t="n">
        <v>0</v>
      </c>
      <c r="J3261" t="n">
        <v>0</v>
      </c>
      <c r="K3261" t="n">
        <v>0</v>
      </c>
      <c r="L3261" t="n">
        <v>0</v>
      </c>
      <c r="M3261" t="n">
        <v>0</v>
      </c>
      <c r="N3261" t="n">
        <v>0</v>
      </c>
      <c r="O3261" t="n">
        <v>0</v>
      </c>
      <c r="P3261" t="n">
        <v>0</v>
      </c>
      <c r="Q3261" t="n">
        <v>0</v>
      </c>
      <c r="R3261" s="2" t="inlineStr"/>
    </row>
    <row r="3262" ht="15" customHeight="1">
      <c r="A3262" t="inlineStr">
        <is>
          <t>A 43547-2020</t>
        </is>
      </c>
      <c r="B3262" s="1" t="n">
        <v>44078</v>
      </c>
      <c r="C3262" s="1" t="n">
        <v>45810</v>
      </c>
      <c r="D3262" t="inlineStr">
        <is>
          <t>VÄRMLANDS LÄN</t>
        </is>
      </c>
      <c r="E3262" t="inlineStr">
        <is>
          <t>TORSBY</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44715-2020</t>
        </is>
      </c>
      <c r="B3263" s="1" t="n">
        <v>44078</v>
      </c>
      <c r="C3263" s="1" t="n">
        <v>45810</v>
      </c>
      <c r="D3263" t="inlineStr">
        <is>
          <t>VÄRMLANDS LÄN</t>
        </is>
      </c>
      <c r="E3263" t="inlineStr">
        <is>
          <t>TORSBY</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44720-2020</t>
        </is>
      </c>
      <c r="B3264" s="1" t="n">
        <v>44078</v>
      </c>
      <c r="C3264" s="1" t="n">
        <v>45810</v>
      </c>
      <c r="D3264" t="inlineStr">
        <is>
          <t>VÄRMLANDS LÄN</t>
        </is>
      </c>
      <c r="E3264" t="inlineStr">
        <is>
          <t>TORSBY</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43133-2020</t>
        </is>
      </c>
      <c r="B3265" s="1" t="n">
        <v>44080</v>
      </c>
      <c r="C3265" s="1" t="n">
        <v>45810</v>
      </c>
      <c r="D3265" t="inlineStr">
        <is>
          <t>VÄRMLANDS LÄN</t>
        </is>
      </c>
      <c r="E3265" t="inlineStr">
        <is>
          <t>KRISTINEHAMN</t>
        </is>
      </c>
      <c r="F3265" t="inlineStr">
        <is>
          <t>Bergvik skog väst AB</t>
        </is>
      </c>
      <c r="G3265" t="n">
        <v>0.4</v>
      </c>
      <c r="H3265" t="n">
        <v>0</v>
      </c>
      <c r="I3265" t="n">
        <v>0</v>
      </c>
      <c r="J3265" t="n">
        <v>0</v>
      </c>
      <c r="K3265" t="n">
        <v>0</v>
      </c>
      <c r="L3265" t="n">
        <v>0</v>
      </c>
      <c r="M3265" t="n">
        <v>0</v>
      </c>
      <c r="N3265" t="n">
        <v>0</v>
      </c>
      <c r="O3265" t="n">
        <v>0</v>
      </c>
      <c r="P3265" t="n">
        <v>0</v>
      </c>
      <c r="Q3265" t="n">
        <v>0</v>
      </c>
      <c r="R3265" s="2" t="inlineStr"/>
    </row>
    <row r="3266" ht="15" customHeight="1">
      <c r="A3266" t="inlineStr">
        <is>
          <t>A 43132-2020</t>
        </is>
      </c>
      <c r="B3266" s="1" t="n">
        <v>44080</v>
      </c>
      <c r="C3266" s="1" t="n">
        <v>45810</v>
      </c>
      <c r="D3266" t="inlineStr">
        <is>
          <t>VÄRMLANDS LÄN</t>
        </is>
      </c>
      <c r="E3266" t="inlineStr">
        <is>
          <t>KRISTINEHAMN</t>
        </is>
      </c>
      <c r="F3266" t="inlineStr">
        <is>
          <t>Bergvik skog väst AB</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43179-2020</t>
        </is>
      </c>
      <c r="B3267" s="1" t="n">
        <v>44081</v>
      </c>
      <c r="C3267" s="1" t="n">
        <v>45810</v>
      </c>
      <c r="D3267" t="inlineStr">
        <is>
          <t>VÄRMLANDS LÄN</t>
        </is>
      </c>
      <c r="E3267" t="inlineStr">
        <is>
          <t>KARLSTAD</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43267-2020</t>
        </is>
      </c>
      <c r="B3268" s="1" t="n">
        <v>44081</v>
      </c>
      <c r="C3268" s="1" t="n">
        <v>45810</v>
      </c>
      <c r="D3268" t="inlineStr">
        <is>
          <t>VÄRMLANDS LÄN</t>
        </is>
      </c>
      <c r="E3268" t="inlineStr">
        <is>
          <t>ÅRJÄNG</t>
        </is>
      </c>
      <c r="G3268" t="n">
        <v>6.6</v>
      </c>
      <c r="H3268" t="n">
        <v>0</v>
      </c>
      <c r="I3268" t="n">
        <v>0</v>
      </c>
      <c r="J3268" t="n">
        <v>0</v>
      </c>
      <c r="K3268" t="n">
        <v>0</v>
      </c>
      <c r="L3268" t="n">
        <v>0</v>
      </c>
      <c r="M3268" t="n">
        <v>0</v>
      </c>
      <c r="N3268" t="n">
        <v>0</v>
      </c>
      <c r="O3268" t="n">
        <v>0</v>
      </c>
      <c r="P3268" t="n">
        <v>0</v>
      </c>
      <c r="Q3268" t="n">
        <v>0</v>
      </c>
      <c r="R3268" s="2" t="inlineStr"/>
    </row>
    <row r="3269" ht="15" customHeight="1">
      <c r="A3269" t="inlineStr">
        <is>
          <t>A 43428-2020</t>
        </is>
      </c>
      <c r="B3269" s="1" t="n">
        <v>44081</v>
      </c>
      <c r="C3269" s="1" t="n">
        <v>45810</v>
      </c>
      <c r="D3269" t="inlineStr">
        <is>
          <t>VÄRMLANDS LÄN</t>
        </is>
      </c>
      <c r="E3269" t="inlineStr">
        <is>
          <t>KRISTINEHAMN</t>
        </is>
      </c>
      <c r="F3269" t="inlineStr">
        <is>
          <t>Bergvik skog väst AB</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43193-2020</t>
        </is>
      </c>
      <c r="B3270" s="1" t="n">
        <v>44081</v>
      </c>
      <c r="C3270" s="1" t="n">
        <v>45810</v>
      </c>
      <c r="D3270" t="inlineStr">
        <is>
          <t>VÄRMLANDS LÄN</t>
        </is>
      </c>
      <c r="E3270" t="inlineStr">
        <is>
          <t>ARVIKA</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43426-2020</t>
        </is>
      </c>
      <c r="B3271" s="1" t="n">
        <v>44081</v>
      </c>
      <c r="C3271" s="1" t="n">
        <v>45810</v>
      </c>
      <c r="D3271" t="inlineStr">
        <is>
          <t>VÄRMLANDS LÄN</t>
        </is>
      </c>
      <c r="E3271" t="inlineStr">
        <is>
          <t>KRISTINEHAMN</t>
        </is>
      </c>
      <c r="F3271" t="inlineStr">
        <is>
          <t>Bergvik skog väst AB</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43618-2020</t>
        </is>
      </c>
      <c r="B3272" s="1" t="n">
        <v>44082</v>
      </c>
      <c r="C3272" s="1" t="n">
        <v>45810</v>
      </c>
      <c r="D3272" t="inlineStr">
        <is>
          <t>VÄRMLANDS LÄN</t>
        </is>
      </c>
      <c r="E3272" t="inlineStr">
        <is>
          <t>SÄFFLE</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43613-2020</t>
        </is>
      </c>
      <c r="B3273" s="1" t="n">
        <v>44082</v>
      </c>
      <c r="C3273" s="1" t="n">
        <v>45810</v>
      </c>
      <c r="D3273" t="inlineStr">
        <is>
          <t>VÄRMLANDS LÄN</t>
        </is>
      </c>
      <c r="E3273" t="inlineStr">
        <is>
          <t>FILIPSTAD</t>
        </is>
      </c>
      <c r="F3273" t="inlineStr">
        <is>
          <t>Bergvik skog väst AB</t>
        </is>
      </c>
      <c r="G3273" t="n">
        <v>8.699999999999999</v>
      </c>
      <c r="H3273" t="n">
        <v>0</v>
      </c>
      <c r="I3273" t="n">
        <v>0</v>
      </c>
      <c r="J3273" t="n">
        <v>0</v>
      </c>
      <c r="K3273" t="n">
        <v>0</v>
      </c>
      <c r="L3273" t="n">
        <v>0</v>
      </c>
      <c r="M3273" t="n">
        <v>0</v>
      </c>
      <c r="N3273" t="n">
        <v>0</v>
      </c>
      <c r="O3273" t="n">
        <v>0</v>
      </c>
      <c r="P3273" t="n">
        <v>0</v>
      </c>
      <c r="Q3273" t="n">
        <v>0</v>
      </c>
      <c r="R3273" s="2" t="inlineStr"/>
    </row>
    <row r="3274" ht="15" customHeight="1">
      <c r="A3274" t="inlineStr">
        <is>
          <t>A 43671-2020</t>
        </is>
      </c>
      <c r="B3274" s="1" t="n">
        <v>44082</v>
      </c>
      <c r="C3274" s="1" t="n">
        <v>45810</v>
      </c>
      <c r="D3274" t="inlineStr">
        <is>
          <t>VÄRMLANDS LÄN</t>
        </is>
      </c>
      <c r="E3274" t="inlineStr">
        <is>
          <t>FILIPSTAD</t>
        </is>
      </c>
      <c r="F3274" t="inlineStr">
        <is>
          <t>Bergvik skog väst AB</t>
        </is>
      </c>
      <c r="G3274" t="n">
        <v>3.2</v>
      </c>
      <c r="H3274" t="n">
        <v>0</v>
      </c>
      <c r="I3274" t="n">
        <v>0</v>
      </c>
      <c r="J3274" t="n">
        <v>0</v>
      </c>
      <c r="K3274" t="n">
        <v>0</v>
      </c>
      <c r="L3274" t="n">
        <v>0</v>
      </c>
      <c r="M3274" t="n">
        <v>0</v>
      </c>
      <c r="N3274" t="n">
        <v>0</v>
      </c>
      <c r="O3274" t="n">
        <v>0</v>
      </c>
      <c r="P3274" t="n">
        <v>0</v>
      </c>
      <c r="Q3274" t="n">
        <v>0</v>
      </c>
      <c r="R3274" s="2" t="inlineStr"/>
    </row>
    <row r="3275" ht="15" customHeight="1">
      <c r="A3275" t="inlineStr">
        <is>
          <t>A 43725-2020</t>
        </is>
      </c>
      <c r="B3275" s="1" t="n">
        <v>44082</v>
      </c>
      <c r="C3275" s="1" t="n">
        <v>45810</v>
      </c>
      <c r="D3275" t="inlineStr">
        <is>
          <t>VÄRMLANDS LÄN</t>
        </is>
      </c>
      <c r="E3275" t="inlineStr">
        <is>
          <t>TORSBY</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44127-2020</t>
        </is>
      </c>
      <c r="B3276" s="1" t="n">
        <v>44082</v>
      </c>
      <c r="C3276" s="1" t="n">
        <v>45810</v>
      </c>
      <c r="D3276" t="inlineStr">
        <is>
          <t>VÄRMLANDS LÄN</t>
        </is>
      </c>
      <c r="E3276" t="inlineStr">
        <is>
          <t>SUNNE</t>
        </is>
      </c>
      <c r="G3276" t="n">
        <v>3</v>
      </c>
      <c r="H3276" t="n">
        <v>0</v>
      </c>
      <c r="I3276" t="n">
        <v>0</v>
      </c>
      <c r="J3276" t="n">
        <v>0</v>
      </c>
      <c r="K3276" t="n">
        <v>0</v>
      </c>
      <c r="L3276" t="n">
        <v>0</v>
      </c>
      <c r="M3276" t="n">
        <v>0</v>
      </c>
      <c r="N3276" t="n">
        <v>0</v>
      </c>
      <c r="O3276" t="n">
        <v>0</v>
      </c>
      <c r="P3276" t="n">
        <v>0</v>
      </c>
      <c r="Q3276" t="n">
        <v>0</v>
      </c>
      <c r="R3276" s="2" t="inlineStr"/>
    </row>
    <row r="3277" ht="15" customHeight="1">
      <c r="A3277" t="inlineStr">
        <is>
          <t>A 44304-2020</t>
        </is>
      </c>
      <c r="B3277" s="1" t="n">
        <v>44082</v>
      </c>
      <c r="C3277" s="1" t="n">
        <v>45810</v>
      </c>
      <c r="D3277" t="inlineStr">
        <is>
          <t>VÄRMLANDS LÄN</t>
        </is>
      </c>
      <c r="E3277" t="inlineStr">
        <is>
          <t>KARLSTAD</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44309-2020</t>
        </is>
      </c>
      <c r="B3278" s="1" t="n">
        <v>44082</v>
      </c>
      <c r="C3278" s="1" t="n">
        <v>45810</v>
      </c>
      <c r="D3278" t="inlineStr">
        <is>
          <t>VÄRMLANDS LÄN</t>
        </is>
      </c>
      <c r="E3278" t="inlineStr">
        <is>
          <t>KARLSTAD</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43879-2020</t>
        </is>
      </c>
      <c r="B3279" s="1" t="n">
        <v>44083</v>
      </c>
      <c r="C3279" s="1" t="n">
        <v>45810</v>
      </c>
      <c r="D3279" t="inlineStr">
        <is>
          <t>VÄRMLANDS LÄN</t>
        </is>
      </c>
      <c r="E3279" t="inlineStr">
        <is>
          <t>HAGFORS</t>
        </is>
      </c>
      <c r="F3279" t="inlineStr">
        <is>
          <t>Bergvik skog väst AB</t>
        </is>
      </c>
      <c r="G3279" t="n">
        <v>9.800000000000001</v>
      </c>
      <c r="H3279" t="n">
        <v>0</v>
      </c>
      <c r="I3279" t="n">
        <v>0</v>
      </c>
      <c r="J3279" t="n">
        <v>0</v>
      </c>
      <c r="K3279" t="n">
        <v>0</v>
      </c>
      <c r="L3279" t="n">
        <v>0</v>
      </c>
      <c r="M3279" t="n">
        <v>0</v>
      </c>
      <c r="N3279" t="n">
        <v>0</v>
      </c>
      <c r="O3279" t="n">
        <v>0</v>
      </c>
      <c r="P3279" t="n">
        <v>0</v>
      </c>
      <c r="Q3279" t="n">
        <v>0</v>
      </c>
      <c r="R3279" s="2" t="inlineStr"/>
    </row>
    <row r="3280" ht="15" customHeight="1">
      <c r="A3280" t="inlineStr">
        <is>
          <t>A 43870-2020</t>
        </is>
      </c>
      <c r="B3280" s="1" t="n">
        <v>44083</v>
      </c>
      <c r="C3280" s="1" t="n">
        <v>45810</v>
      </c>
      <c r="D3280" t="inlineStr">
        <is>
          <t>VÄRMLANDS LÄN</t>
        </is>
      </c>
      <c r="E3280" t="inlineStr">
        <is>
          <t>EDA</t>
        </is>
      </c>
      <c r="G3280" t="n">
        <v>2.8</v>
      </c>
      <c r="H3280" t="n">
        <v>0</v>
      </c>
      <c r="I3280" t="n">
        <v>0</v>
      </c>
      <c r="J3280" t="n">
        <v>0</v>
      </c>
      <c r="K3280" t="n">
        <v>0</v>
      </c>
      <c r="L3280" t="n">
        <v>0</v>
      </c>
      <c r="M3280" t="n">
        <v>0</v>
      </c>
      <c r="N3280" t="n">
        <v>0</v>
      </c>
      <c r="O3280" t="n">
        <v>0</v>
      </c>
      <c r="P3280" t="n">
        <v>0</v>
      </c>
      <c r="Q3280" t="n">
        <v>0</v>
      </c>
      <c r="R3280" s="2" t="inlineStr"/>
    </row>
    <row r="3281" ht="15" customHeight="1">
      <c r="A3281" t="inlineStr">
        <is>
          <t>A 43869-2020</t>
        </is>
      </c>
      <c r="B3281" s="1" t="n">
        <v>44083</v>
      </c>
      <c r="C3281" s="1" t="n">
        <v>45810</v>
      </c>
      <c r="D3281" t="inlineStr">
        <is>
          <t>VÄRMLANDS LÄN</t>
        </is>
      </c>
      <c r="E3281" t="inlineStr">
        <is>
          <t>EDA</t>
        </is>
      </c>
      <c r="G3281" t="n">
        <v>3</v>
      </c>
      <c r="H3281" t="n">
        <v>0</v>
      </c>
      <c r="I3281" t="n">
        <v>0</v>
      </c>
      <c r="J3281" t="n">
        <v>0</v>
      </c>
      <c r="K3281" t="n">
        <v>0</v>
      </c>
      <c r="L3281" t="n">
        <v>0</v>
      </c>
      <c r="M3281" t="n">
        <v>0</v>
      </c>
      <c r="N3281" t="n">
        <v>0</v>
      </c>
      <c r="O3281" t="n">
        <v>0</v>
      </c>
      <c r="P3281" t="n">
        <v>0</v>
      </c>
      <c r="Q3281" t="n">
        <v>0</v>
      </c>
      <c r="R3281" s="2" t="inlineStr"/>
    </row>
    <row r="3282" ht="15" customHeight="1">
      <c r="A3282" t="inlineStr">
        <is>
          <t>A 45123-2020</t>
        </is>
      </c>
      <c r="B3282" s="1" t="n">
        <v>44083</v>
      </c>
      <c r="C3282" s="1" t="n">
        <v>45810</v>
      </c>
      <c r="D3282" t="inlineStr">
        <is>
          <t>VÄRMLANDS LÄN</t>
        </is>
      </c>
      <c r="E3282" t="inlineStr">
        <is>
          <t>KARLSTAD</t>
        </is>
      </c>
      <c r="G3282" t="n">
        <v>2.3</v>
      </c>
      <c r="H3282" t="n">
        <v>0</v>
      </c>
      <c r="I3282" t="n">
        <v>0</v>
      </c>
      <c r="J3282" t="n">
        <v>0</v>
      </c>
      <c r="K3282" t="n">
        <v>0</v>
      </c>
      <c r="L3282" t="n">
        <v>0</v>
      </c>
      <c r="M3282" t="n">
        <v>0</v>
      </c>
      <c r="N3282" t="n">
        <v>0</v>
      </c>
      <c r="O3282" t="n">
        <v>0</v>
      </c>
      <c r="P3282" t="n">
        <v>0</v>
      </c>
      <c r="Q3282" t="n">
        <v>0</v>
      </c>
      <c r="R3282" s="2" t="inlineStr"/>
    </row>
    <row r="3283" ht="15" customHeight="1">
      <c r="A3283" t="inlineStr">
        <is>
          <t>A 44298-2020</t>
        </is>
      </c>
      <c r="B3283" s="1" t="n">
        <v>44084</v>
      </c>
      <c r="C3283" s="1" t="n">
        <v>45810</v>
      </c>
      <c r="D3283" t="inlineStr">
        <is>
          <t>VÄRMLANDS LÄN</t>
        </is>
      </c>
      <c r="E3283" t="inlineStr">
        <is>
          <t>ÅRJÄNG</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44471-2020</t>
        </is>
      </c>
      <c r="B3284" s="1" t="n">
        <v>44084</v>
      </c>
      <c r="C3284" s="1" t="n">
        <v>45810</v>
      </c>
      <c r="D3284" t="inlineStr">
        <is>
          <t>VÄRMLANDS LÄN</t>
        </is>
      </c>
      <c r="E3284" t="inlineStr">
        <is>
          <t>SÄFFLE</t>
        </is>
      </c>
      <c r="G3284" t="n">
        <v>2.6</v>
      </c>
      <c r="H3284" t="n">
        <v>0</v>
      </c>
      <c r="I3284" t="n">
        <v>0</v>
      </c>
      <c r="J3284" t="n">
        <v>0</v>
      </c>
      <c r="K3284" t="n">
        <v>0</v>
      </c>
      <c r="L3284" t="n">
        <v>0</v>
      </c>
      <c r="M3284" t="n">
        <v>0</v>
      </c>
      <c r="N3284" t="n">
        <v>0</v>
      </c>
      <c r="O3284" t="n">
        <v>0</v>
      </c>
      <c r="P3284" t="n">
        <v>0</v>
      </c>
      <c r="Q3284" t="n">
        <v>0</v>
      </c>
      <c r="R3284" s="2" t="inlineStr"/>
    </row>
    <row r="3285" ht="15" customHeight="1">
      <c r="A3285" t="inlineStr">
        <is>
          <t>A 44319-2020</t>
        </is>
      </c>
      <c r="B3285" s="1" t="n">
        <v>44084</v>
      </c>
      <c r="C3285" s="1" t="n">
        <v>45810</v>
      </c>
      <c r="D3285" t="inlineStr">
        <is>
          <t>VÄRMLANDS LÄN</t>
        </is>
      </c>
      <c r="E3285" t="inlineStr">
        <is>
          <t>ÅRJÄNG</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45182-2020</t>
        </is>
      </c>
      <c r="B3286" s="1" t="n">
        <v>44084</v>
      </c>
      <c r="C3286" s="1" t="n">
        <v>45810</v>
      </c>
      <c r="D3286" t="inlineStr">
        <is>
          <t>VÄRMLANDS LÄN</t>
        </is>
      </c>
      <c r="E3286" t="inlineStr">
        <is>
          <t>KARLSTAD</t>
        </is>
      </c>
      <c r="G3286" t="n">
        <v>3</v>
      </c>
      <c r="H3286" t="n">
        <v>0</v>
      </c>
      <c r="I3286" t="n">
        <v>0</v>
      </c>
      <c r="J3286" t="n">
        <v>0</v>
      </c>
      <c r="K3286" t="n">
        <v>0</v>
      </c>
      <c r="L3286" t="n">
        <v>0</v>
      </c>
      <c r="M3286" t="n">
        <v>0</v>
      </c>
      <c r="N3286" t="n">
        <v>0</v>
      </c>
      <c r="O3286" t="n">
        <v>0</v>
      </c>
      <c r="P3286" t="n">
        <v>0</v>
      </c>
      <c r="Q3286" t="n">
        <v>0</v>
      </c>
      <c r="R3286" s="2" t="inlineStr"/>
    </row>
    <row r="3287" ht="15" customHeight="1">
      <c r="A3287" t="inlineStr">
        <is>
          <t>A 45186-2020</t>
        </is>
      </c>
      <c r="B3287" s="1" t="n">
        <v>44084</v>
      </c>
      <c r="C3287" s="1" t="n">
        <v>45810</v>
      </c>
      <c r="D3287" t="inlineStr">
        <is>
          <t>VÄRMLANDS LÄN</t>
        </is>
      </c>
      <c r="E3287" t="inlineStr">
        <is>
          <t>KARLSTAD</t>
        </is>
      </c>
      <c r="G3287" t="n">
        <v>11.5</v>
      </c>
      <c r="H3287" t="n">
        <v>0</v>
      </c>
      <c r="I3287" t="n">
        <v>0</v>
      </c>
      <c r="J3287" t="n">
        <v>0</v>
      </c>
      <c r="K3287" t="n">
        <v>0</v>
      </c>
      <c r="L3287" t="n">
        <v>0</v>
      </c>
      <c r="M3287" t="n">
        <v>0</v>
      </c>
      <c r="N3287" t="n">
        <v>0</v>
      </c>
      <c r="O3287" t="n">
        <v>0</v>
      </c>
      <c r="P3287" t="n">
        <v>0</v>
      </c>
      <c r="Q3287" t="n">
        <v>0</v>
      </c>
      <c r="R3287" s="2" t="inlineStr"/>
    </row>
    <row r="3288" ht="15" customHeight="1">
      <c r="A3288" t="inlineStr">
        <is>
          <t>A 45174-2020</t>
        </is>
      </c>
      <c r="B3288" s="1" t="n">
        <v>44084</v>
      </c>
      <c r="C3288" s="1" t="n">
        <v>45810</v>
      </c>
      <c r="D3288" t="inlineStr">
        <is>
          <t>VÄRMLANDS LÄN</t>
        </is>
      </c>
      <c r="E3288" t="inlineStr">
        <is>
          <t>KARLSTAD</t>
        </is>
      </c>
      <c r="G3288" t="n">
        <v>3.7</v>
      </c>
      <c r="H3288" t="n">
        <v>0</v>
      </c>
      <c r="I3288" t="n">
        <v>0</v>
      </c>
      <c r="J3288" t="n">
        <v>0</v>
      </c>
      <c r="K3288" t="n">
        <v>0</v>
      </c>
      <c r="L3288" t="n">
        <v>0</v>
      </c>
      <c r="M3288" t="n">
        <v>0</v>
      </c>
      <c r="N3288" t="n">
        <v>0</v>
      </c>
      <c r="O3288" t="n">
        <v>0</v>
      </c>
      <c r="P3288" t="n">
        <v>0</v>
      </c>
      <c r="Q3288" t="n">
        <v>0</v>
      </c>
      <c r="R3288" s="2" t="inlineStr"/>
    </row>
    <row r="3289" ht="15" customHeight="1">
      <c r="A3289" t="inlineStr">
        <is>
          <t>A 44610-2020</t>
        </is>
      </c>
      <c r="B3289" s="1" t="n">
        <v>44085</v>
      </c>
      <c r="C3289" s="1" t="n">
        <v>45810</v>
      </c>
      <c r="D3289" t="inlineStr">
        <is>
          <t>VÄRMLANDS LÄN</t>
        </is>
      </c>
      <c r="E3289" t="inlineStr">
        <is>
          <t>HAGFORS</t>
        </is>
      </c>
      <c r="G3289" t="n">
        <v>3.9</v>
      </c>
      <c r="H3289" t="n">
        <v>0</v>
      </c>
      <c r="I3289" t="n">
        <v>0</v>
      </c>
      <c r="J3289" t="n">
        <v>0</v>
      </c>
      <c r="K3289" t="n">
        <v>0</v>
      </c>
      <c r="L3289" t="n">
        <v>0</v>
      </c>
      <c r="M3289" t="n">
        <v>0</v>
      </c>
      <c r="N3289" t="n">
        <v>0</v>
      </c>
      <c r="O3289" t="n">
        <v>0</v>
      </c>
      <c r="P3289" t="n">
        <v>0</v>
      </c>
      <c r="Q3289" t="n">
        <v>0</v>
      </c>
      <c r="R3289" s="2" t="inlineStr"/>
    </row>
    <row r="3290" ht="15" customHeight="1">
      <c r="A3290" t="inlineStr">
        <is>
          <t>A 44767-2020</t>
        </is>
      </c>
      <c r="B3290" s="1" t="n">
        <v>44085</v>
      </c>
      <c r="C3290" s="1" t="n">
        <v>45810</v>
      </c>
      <c r="D3290" t="inlineStr">
        <is>
          <t>VÄRMLANDS LÄN</t>
        </is>
      </c>
      <c r="E3290" t="inlineStr">
        <is>
          <t>ARVIKA</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44546-2020</t>
        </is>
      </c>
      <c r="B3291" s="1" t="n">
        <v>44085</v>
      </c>
      <c r="C3291" s="1" t="n">
        <v>45810</v>
      </c>
      <c r="D3291" t="inlineStr">
        <is>
          <t>VÄRMLANDS LÄN</t>
        </is>
      </c>
      <c r="E3291" t="inlineStr">
        <is>
          <t>GRUMS</t>
        </is>
      </c>
      <c r="G3291" t="n">
        <v>4.2</v>
      </c>
      <c r="H3291" t="n">
        <v>0</v>
      </c>
      <c r="I3291" t="n">
        <v>0</v>
      </c>
      <c r="J3291" t="n">
        <v>0</v>
      </c>
      <c r="K3291" t="n">
        <v>0</v>
      </c>
      <c r="L3291" t="n">
        <v>0</v>
      </c>
      <c r="M3291" t="n">
        <v>0</v>
      </c>
      <c r="N3291" t="n">
        <v>0</v>
      </c>
      <c r="O3291" t="n">
        <v>0</v>
      </c>
      <c r="P3291" t="n">
        <v>0</v>
      </c>
      <c r="Q3291" t="n">
        <v>0</v>
      </c>
      <c r="R3291" s="2" t="inlineStr"/>
    </row>
    <row r="3292" ht="15" customHeight="1">
      <c r="A3292" t="inlineStr">
        <is>
          <t>A 44629-2020</t>
        </is>
      </c>
      <c r="B3292" s="1" t="n">
        <v>44085</v>
      </c>
      <c r="C3292" s="1" t="n">
        <v>45810</v>
      </c>
      <c r="D3292" t="inlineStr">
        <is>
          <t>VÄRMLANDS LÄN</t>
        </is>
      </c>
      <c r="E3292" t="inlineStr">
        <is>
          <t>HAGFORS</t>
        </is>
      </c>
      <c r="G3292" t="n">
        <v>7.3</v>
      </c>
      <c r="H3292" t="n">
        <v>0</v>
      </c>
      <c r="I3292" t="n">
        <v>0</v>
      </c>
      <c r="J3292" t="n">
        <v>0</v>
      </c>
      <c r="K3292" t="n">
        <v>0</v>
      </c>
      <c r="L3292" t="n">
        <v>0</v>
      </c>
      <c r="M3292" t="n">
        <v>0</v>
      </c>
      <c r="N3292" t="n">
        <v>0</v>
      </c>
      <c r="O3292" t="n">
        <v>0</v>
      </c>
      <c r="P3292" t="n">
        <v>0</v>
      </c>
      <c r="Q3292" t="n">
        <v>0</v>
      </c>
      <c r="R3292" s="2" t="inlineStr"/>
    </row>
    <row r="3293" ht="15" customHeight="1">
      <c r="A3293" t="inlineStr">
        <is>
          <t>A 44666-2020</t>
        </is>
      </c>
      <c r="B3293" s="1" t="n">
        <v>44085</v>
      </c>
      <c r="C3293" s="1" t="n">
        <v>45810</v>
      </c>
      <c r="D3293" t="inlineStr">
        <is>
          <t>VÄRMLANDS LÄN</t>
        </is>
      </c>
      <c r="E3293" t="inlineStr">
        <is>
          <t>TORSBY</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44689-2020</t>
        </is>
      </c>
      <c r="B3294" s="1" t="n">
        <v>44085</v>
      </c>
      <c r="C3294" s="1" t="n">
        <v>45810</v>
      </c>
      <c r="D3294" t="inlineStr">
        <is>
          <t>VÄRMLANDS LÄN</t>
        </is>
      </c>
      <c r="E3294" t="inlineStr">
        <is>
          <t>ARVIKA</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44702-2020</t>
        </is>
      </c>
      <c r="B3295" s="1" t="n">
        <v>44085</v>
      </c>
      <c r="C3295" s="1" t="n">
        <v>45810</v>
      </c>
      <c r="D3295" t="inlineStr">
        <is>
          <t>VÄRMLANDS LÄN</t>
        </is>
      </c>
      <c r="E3295" t="inlineStr">
        <is>
          <t>EDA</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45319-2020</t>
        </is>
      </c>
      <c r="B3296" s="1" t="n">
        <v>44085</v>
      </c>
      <c r="C3296" s="1" t="n">
        <v>45810</v>
      </c>
      <c r="D3296" t="inlineStr">
        <is>
          <t>VÄRMLANDS LÄN</t>
        </is>
      </c>
      <c r="E3296" t="inlineStr">
        <is>
          <t>ARVIKA</t>
        </is>
      </c>
      <c r="G3296" t="n">
        <v>3.3</v>
      </c>
      <c r="H3296" t="n">
        <v>0</v>
      </c>
      <c r="I3296" t="n">
        <v>0</v>
      </c>
      <c r="J3296" t="n">
        <v>0</v>
      </c>
      <c r="K3296" t="n">
        <v>0</v>
      </c>
      <c r="L3296" t="n">
        <v>0</v>
      </c>
      <c r="M3296" t="n">
        <v>0</v>
      </c>
      <c r="N3296" t="n">
        <v>0</v>
      </c>
      <c r="O3296" t="n">
        <v>0</v>
      </c>
      <c r="P3296" t="n">
        <v>0</v>
      </c>
      <c r="Q3296" t="n">
        <v>0</v>
      </c>
      <c r="R3296" s="2" t="inlineStr"/>
    </row>
    <row r="3297" ht="15" customHeight="1">
      <c r="A3297" t="inlineStr">
        <is>
          <t>A 44815-2020</t>
        </is>
      </c>
      <c r="B3297" s="1" t="n">
        <v>44085</v>
      </c>
      <c r="C3297" s="1" t="n">
        <v>45810</v>
      </c>
      <c r="D3297" t="inlineStr">
        <is>
          <t>VÄRMLANDS LÄN</t>
        </is>
      </c>
      <c r="E3297" t="inlineStr">
        <is>
          <t>SUNNE</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45328-2020</t>
        </is>
      </c>
      <c r="B3298" s="1" t="n">
        <v>44085</v>
      </c>
      <c r="C3298" s="1" t="n">
        <v>45810</v>
      </c>
      <c r="D3298" t="inlineStr">
        <is>
          <t>VÄRMLANDS LÄN</t>
        </is>
      </c>
      <c r="E3298" t="inlineStr">
        <is>
          <t>KARLSTAD</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45463-2020</t>
        </is>
      </c>
      <c r="B3299" s="1" t="n">
        <v>44085</v>
      </c>
      <c r="C3299" s="1" t="n">
        <v>45810</v>
      </c>
      <c r="D3299" t="inlineStr">
        <is>
          <t>VÄRMLANDS LÄN</t>
        </is>
      </c>
      <c r="E3299" t="inlineStr">
        <is>
          <t>KARLSTAD</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44548-2020</t>
        </is>
      </c>
      <c r="B3300" s="1" t="n">
        <v>44085</v>
      </c>
      <c r="C3300" s="1" t="n">
        <v>45810</v>
      </c>
      <c r="D3300" t="inlineStr">
        <is>
          <t>VÄRMLANDS LÄN</t>
        </is>
      </c>
      <c r="E3300" t="inlineStr">
        <is>
          <t>GRUMS</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44967-2020</t>
        </is>
      </c>
      <c r="B3301" s="1" t="n">
        <v>44088</v>
      </c>
      <c r="C3301" s="1" t="n">
        <v>45810</v>
      </c>
      <c r="D3301" t="inlineStr">
        <is>
          <t>VÄRMLANDS LÄN</t>
        </is>
      </c>
      <c r="E3301" t="inlineStr">
        <is>
          <t>KIL</t>
        </is>
      </c>
      <c r="G3301" t="n">
        <v>3.4</v>
      </c>
      <c r="H3301" t="n">
        <v>0</v>
      </c>
      <c r="I3301" t="n">
        <v>0</v>
      </c>
      <c r="J3301" t="n">
        <v>0</v>
      </c>
      <c r="K3301" t="n">
        <v>0</v>
      </c>
      <c r="L3301" t="n">
        <v>0</v>
      </c>
      <c r="M3301" t="n">
        <v>0</v>
      </c>
      <c r="N3301" t="n">
        <v>0</v>
      </c>
      <c r="O3301" t="n">
        <v>0</v>
      </c>
      <c r="P3301" t="n">
        <v>0</v>
      </c>
      <c r="Q3301" t="n">
        <v>0</v>
      </c>
      <c r="R3301" s="2" t="inlineStr"/>
    </row>
    <row r="3302" ht="15" customHeight="1">
      <c r="A3302" t="inlineStr">
        <is>
          <t>A 45402-2020</t>
        </is>
      </c>
      <c r="B3302" s="1" t="n">
        <v>44089</v>
      </c>
      <c r="C3302" s="1" t="n">
        <v>45810</v>
      </c>
      <c r="D3302" t="inlineStr">
        <is>
          <t>VÄRMLANDS LÄN</t>
        </is>
      </c>
      <c r="E3302" t="inlineStr">
        <is>
          <t>KRISTINEHAMN</t>
        </is>
      </c>
      <c r="G3302" t="n">
        <v>4.8</v>
      </c>
      <c r="H3302" t="n">
        <v>0</v>
      </c>
      <c r="I3302" t="n">
        <v>0</v>
      </c>
      <c r="J3302" t="n">
        <v>0</v>
      </c>
      <c r="K3302" t="n">
        <v>0</v>
      </c>
      <c r="L3302" t="n">
        <v>0</v>
      </c>
      <c r="M3302" t="n">
        <v>0</v>
      </c>
      <c r="N3302" t="n">
        <v>0</v>
      </c>
      <c r="O3302" t="n">
        <v>0</v>
      </c>
      <c r="P3302" t="n">
        <v>0</v>
      </c>
      <c r="Q3302" t="n">
        <v>0</v>
      </c>
      <c r="R3302" s="2" t="inlineStr"/>
    </row>
    <row r="3303" ht="15" customHeight="1">
      <c r="A3303" t="inlineStr">
        <is>
          <t>A 45485-2020</t>
        </is>
      </c>
      <c r="B3303" s="1" t="n">
        <v>44089</v>
      </c>
      <c r="C3303" s="1" t="n">
        <v>45810</v>
      </c>
      <c r="D3303" t="inlineStr">
        <is>
          <t>VÄRMLANDS LÄN</t>
        </is>
      </c>
      <c r="E3303" t="inlineStr">
        <is>
          <t>SUNNE</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45524-2020</t>
        </is>
      </c>
      <c r="B3304" s="1" t="n">
        <v>44089</v>
      </c>
      <c r="C3304" s="1" t="n">
        <v>45810</v>
      </c>
      <c r="D3304" t="inlineStr">
        <is>
          <t>VÄRMLANDS LÄN</t>
        </is>
      </c>
      <c r="E3304" t="inlineStr">
        <is>
          <t>ARVIKA</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45269-2020</t>
        </is>
      </c>
      <c r="B3305" s="1" t="n">
        <v>44089</v>
      </c>
      <c r="C3305" s="1" t="n">
        <v>45810</v>
      </c>
      <c r="D3305" t="inlineStr">
        <is>
          <t>VÄRMLANDS LÄN</t>
        </is>
      </c>
      <c r="E3305" t="inlineStr">
        <is>
          <t>KRISTINEHAMN</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46482-2020</t>
        </is>
      </c>
      <c r="B3306" s="1" t="n">
        <v>44089</v>
      </c>
      <c r="C3306" s="1" t="n">
        <v>45810</v>
      </c>
      <c r="D3306" t="inlineStr">
        <is>
          <t>VÄRMLANDS LÄN</t>
        </is>
      </c>
      <c r="E3306" t="inlineStr">
        <is>
          <t>TORSBY</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46701-2020</t>
        </is>
      </c>
      <c r="B3307" s="1" t="n">
        <v>44089</v>
      </c>
      <c r="C3307" s="1" t="n">
        <v>45810</v>
      </c>
      <c r="D3307" t="inlineStr">
        <is>
          <t>VÄRMLANDS LÄN</t>
        </is>
      </c>
      <c r="E3307" t="inlineStr">
        <is>
          <t>GRUMS</t>
        </is>
      </c>
      <c r="G3307" t="n">
        <v>4.4</v>
      </c>
      <c r="H3307" t="n">
        <v>0</v>
      </c>
      <c r="I3307" t="n">
        <v>0</v>
      </c>
      <c r="J3307" t="n">
        <v>0</v>
      </c>
      <c r="K3307" t="n">
        <v>0</v>
      </c>
      <c r="L3307" t="n">
        <v>0</v>
      </c>
      <c r="M3307" t="n">
        <v>0</v>
      </c>
      <c r="N3307" t="n">
        <v>0</v>
      </c>
      <c r="O3307" t="n">
        <v>0</v>
      </c>
      <c r="P3307" t="n">
        <v>0</v>
      </c>
      <c r="Q3307" t="n">
        <v>0</v>
      </c>
      <c r="R3307" s="2" t="inlineStr"/>
    </row>
    <row r="3308" ht="15" customHeight="1">
      <c r="A3308" t="inlineStr">
        <is>
          <t>A 45404-2020</t>
        </is>
      </c>
      <c r="B3308" s="1" t="n">
        <v>44089</v>
      </c>
      <c r="C3308" s="1" t="n">
        <v>45810</v>
      </c>
      <c r="D3308" t="inlineStr">
        <is>
          <t>VÄRMLANDS LÄN</t>
        </is>
      </c>
      <c r="E3308" t="inlineStr">
        <is>
          <t>TORSBY</t>
        </is>
      </c>
      <c r="G3308" t="n">
        <v>3.2</v>
      </c>
      <c r="H3308" t="n">
        <v>0</v>
      </c>
      <c r="I3308" t="n">
        <v>0</v>
      </c>
      <c r="J3308" t="n">
        <v>0</v>
      </c>
      <c r="K3308" t="n">
        <v>0</v>
      </c>
      <c r="L3308" t="n">
        <v>0</v>
      </c>
      <c r="M3308" t="n">
        <v>0</v>
      </c>
      <c r="N3308" t="n">
        <v>0</v>
      </c>
      <c r="O3308" t="n">
        <v>0</v>
      </c>
      <c r="P3308" t="n">
        <v>0</v>
      </c>
      <c r="Q3308" t="n">
        <v>0</v>
      </c>
      <c r="R3308" s="2" t="inlineStr"/>
    </row>
    <row r="3309" ht="15" customHeight="1">
      <c r="A3309" t="inlineStr">
        <is>
          <t>A 45258-2020</t>
        </is>
      </c>
      <c r="B3309" s="1" t="n">
        <v>44089</v>
      </c>
      <c r="C3309" s="1" t="n">
        <v>45810</v>
      </c>
      <c r="D3309" t="inlineStr">
        <is>
          <t>VÄRMLANDS LÄN</t>
        </is>
      </c>
      <c r="E3309" t="inlineStr">
        <is>
          <t>ARVIKA</t>
        </is>
      </c>
      <c r="F3309" t="inlineStr">
        <is>
          <t>Bergvik skog väst AB</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45767-2020</t>
        </is>
      </c>
      <c r="B3310" s="1" t="n">
        <v>44090</v>
      </c>
      <c r="C3310" s="1" t="n">
        <v>45810</v>
      </c>
      <c r="D3310" t="inlineStr">
        <is>
          <t>VÄRMLANDS LÄN</t>
        </is>
      </c>
      <c r="E3310" t="inlineStr">
        <is>
          <t>SUNNE</t>
        </is>
      </c>
      <c r="G3310" t="n">
        <v>5.3</v>
      </c>
      <c r="H3310" t="n">
        <v>0</v>
      </c>
      <c r="I3310" t="n">
        <v>0</v>
      </c>
      <c r="J3310" t="n">
        <v>0</v>
      </c>
      <c r="K3310" t="n">
        <v>0</v>
      </c>
      <c r="L3310" t="n">
        <v>0</v>
      </c>
      <c r="M3310" t="n">
        <v>0</v>
      </c>
      <c r="N3310" t="n">
        <v>0</v>
      </c>
      <c r="O3310" t="n">
        <v>0</v>
      </c>
      <c r="P3310" t="n">
        <v>0</v>
      </c>
      <c r="Q3310" t="n">
        <v>0</v>
      </c>
      <c r="R3310" s="2" t="inlineStr"/>
    </row>
    <row r="3311" ht="15" customHeight="1">
      <c r="A3311" t="inlineStr">
        <is>
          <t>A 45799-2020</t>
        </is>
      </c>
      <c r="B3311" s="1" t="n">
        <v>44090</v>
      </c>
      <c r="C3311" s="1" t="n">
        <v>45810</v>
      </c>
      <c r="D3311" t="inlineStr">
        <is>
          <t>VÄRMLANDS LÄN</t>
        </is>
      </c>
      <c r="E3311" t="inlineStr">
        <is>
          <t>KRISTINEHAMN</t>
        </is>
      </c>
      <c r="F3311" t="inlineStr">
        <is>
          <t>Bergvik skog väst AB</t>
        </is>
      </c>
      <c r="G3311" t="n">
        <v>3.3</v>
      </c>
      <c r="H3311" t="n">
        <v>0</v>
      </c>
      <c r="I3311" t="n">
        <v>0</v>
      </c>
      <c r="J3311" t="n">
        <v>0</v>
      </c>
      <c r="K3311" t="n">
        <v>0</v>
      </c>
      <c r="L3311" t="n">
        <v>0</v>
      </c>
      <c r="M3311" t="n">
        <v>0</v>
      </c>
      <c r="N3311" t="n">
        <v>0</v>
      </c>
      <c r="O3311" t="n">
        <v>0</v>
      </c>
      <c r="P3311" t="n">
        <v>0</v>
      </c>
      <c r="Q3311" t="n">
        <v>0</v>
      </c>
      <c r="R3311" s="2" t="inlineStr"/>
    </row>
    <row r="3312" ht="15" customHeight="1">
      <c r="A3312" t="inlineStr">
        <is>
          <t>A 45805-2020</t>
        </is>
      </c>
      <c r="B3312" s="1" t="n">
        <v>44090</v>
      </c>
      <c r="C3312" s="1" t="n">
        <v>45810</v>
      </c>
      <c r="D3312" t="inlineStr">
        <is>
          <t>VÄRMLANDS LÄN</t>
        </is>
      </c>
      <c r="E3312" t="inlineStr">
        <is>
          <t>KRISTINEHAMN</t>
        </is>
      </c>
      <c r="F3312" t="inlineStr">
        <is>
          <t>Bergvik skog väst AB</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45779-2020</t>
        </is>
      </c>
      <c r="B3313" s="1" t="n">
        <v>44090</v>
      </c>
      <c r="C3313" s="1" t="n">
        <v>45810</v>
      </c>
      <c r="D3313" t="inlineStr">
        <is>
          <t>VÄRMLANDS LÄN</t>
        </is>
      </c>
      <c r="E3313" t="inlineStr">
        <is>
          <t>SÄFFLE</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45803-2020</t>
        </is>
      </c>
      <c r="B3314" s="1" t="n">
        <v>44090</v>
      </c>
      <c r="C3314" s="1" t="n">
        <v>45810</v>
      </c>
      <c r="D3314" t="inlineStr">
        <is>
          <t>VÄRMLANDS LÄN</t>
        </is>
      </c>
      <c r="E3314" t="inlineStr">
        <is>
          <t>KRISTINEHAMN</t>
        </is>
      </c>
      <c r="G3314" t="n">
        <v>0.2</v>
      </c>
      <c r="H3314" t="n">
        <v>0</v>
      </c>
      <c r="I3314" t="n">
        <v>0</v>
      </c>
      <c r="J3314" t="n">
        <v>0</v>
      </c>
      <c r="K3314" t="n">
        <v>0</v>
      </c>
      <c r="L3314" t="n">
        <v>0</v>
      </c>
      <c r="M3314" t="n">
        <v>0</v>
      </c>
      <c r="N3314" t="n">
        <v>0</v>
      </c>
      <c r="O3314" t="n">
        <v>0</v>
      </c>
      <c r="P3314" t="n">
        <v>0</v>
      </c>
      <c r="Q3314" t="n">
        <v>0</v>
      </c>
      <c r="R3314" s="2" t="inlineStr"/>
    </row>
    <row r="3315" ht="15" customHeight="1">
      <c r="A3315" t="inlineStr">
        <is>
          <t>A 45811-2020</t>
        </is>
      </c>
      <c r="B3315" s="1" t="n">
        <v>44090</v>
      </c>
      <c r="C3315" s="1" t="n">
        <v>45810</v>
      </c>
      <c r="D3315" t="inlineStr">
        <is>
          <t>VÄRMLANDS LÄN</t>
        </is>
      </c>
      <c r="E3315" t="inlineStr">
        <is>
          <t>KRISTINEHAMN</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46836-2020</t>
        </is>
      </c>
      <c r="B3316" s="1" t="n">
        <v>44090</v>
      </c>
      <c r="C3316" s="1" t="n">
        <v>45810</v>
      </c>
      <c r="D3316" t="inlineStr">
        <is>
          <t>VÄRMLANDS LÄN</t>
        </is>
      </c>
      <c r="E3316" t="inlineStr">
        <is>
          <t>KARLSTAD</t>
        </is>
      </c>
      <c r="G3316" t="n">
        <v>4.8</v>
      </c>
      <c r="H3316" t="n">
        <v>0</v>
      </c>
      <c r="I3316" t="n">
        <v>0</v>
      </c>
      <c r="J3316" t="n">
        <v>0</v>
      </c>
      <c r="K3316" t="n">
        <v>0</v>
      </c>
      <c r="L3316" t="n">
        <v>0</v>
      </c>
      <c r="M3316" t="n">
        <v>0</v>
      </c>
      <c r="N3316" t="n">
        <v>0</v>
      </c>
      <c r="O3316" t="n">
        <v>0</v>
      </c>
      <c r="P3316" t="n">
        <v>0</v>
      </c>
      <c r="Q3316" t="n">
        <v>0</v>
      </c>
      <c r="R3316" s="2" t="inlineStr"/>
    </row>
    <row r="3317" ht="15" customHeight="1">
      <c r="A3317" t="inlineStr">
        <is>
          <t>A 46971-2020</t>
        </is>
      </c>
      <c r="B3317" s="1" t="n">
        <v>44090</v>
      </c>
      <c r="C3317" s="1" t="n">
        <v>45810</v>
      </c>
      <c r="D3317" t="inlineStr">
        <is>
          <t>VÄRMLANDS LÄN</t>
        </is>
      </c>
      <c r="E3317" t="inlineStr">
        <is>
          <t>GRUMS</t>
        </is>
      </c>
      <c r="G3317" t="n">
        <v>4.4</v>
      </c>
      <c r="H3317" t="n">
        <v>0</v>
      </c>
      <c r="I3317" t="n">
        <v>0</v>
      </c>
      <c r="J3317" t="n">
        <v>0</v>
      </c>
      <c r="K3317" t="n">
        <v>0</v>
      </c>
      <c r="L3317" t="n">
        <v>0</v>
      </c>
      <c r="M3317" t="n">
        <v>0</v>
      </c>
      <c r="N3317" t="n">
        <v>0</v>
      </c>
      <c r="O3317" t="n">
        <v>0</v>
      </c>
      <c r="P3317" t="n">
        <v>0</v>
      </c>
      <c r="Q3317" t="n">
        <v>0</v>
      </c>
      <c r="R3317" s="2" t="inlineStr"/>
    </row>
    <row r="3318" ht="15" customHeight="1">
      <c r="A3318" t="inlineStr">
        <is>
          <t>A 45872-2020</t>
        </is>
      </c>
      <c r="B3318" s="1" t="n">
        <v>44091</v>
      </c>
      <c r="C3318" s="1" t="n">
        <v>45810</v>
      </c>
      <c r="D3318" t="inlineStr">
        <is>
          <t>VÄRMLANDS LÄN</t>
        </is>
      </c>
      <c r="E3318" t="inlineStr">
        <is>
          <t>TORSBY</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45898-2020</t>
        </is>
      </c>
      <c r="B3319" s="1" t="n">
        <v>44091</v>
      </c>
      <c r="C3319" s="1" t="n">
        <v>45810</v>
      </c>
      <c r="D3319" t="inlineStr">
        <is>
          <t>VÄRMLANDS LÄN</t>
        </is>
      </c>
      <c r="E3319" t="inlineStr">
        <is>
          <t>TORSBY</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45959-2020</t>
        </is>
      </c>
      <c r="B3320" s="1" t="n">
        <v>44091</v>
      </c>
      <c r="C3320" s="1" t="n">
        <v>45810</v>
      </c>
      <c r="D3320" t="inlineStr">
        <is>
          <t>VÄRMLANDS LÄN</t>
        </is>
      </c>
      <c r="E3320" t="inlineStr">
        <is>
          <t>SUNNE</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45971-2020</t>
        </is>
      </c>
      <c r="B3321" s="1" t="n">
        <v>44091</v>
      </c>
      <c r="C3321" s="1" t="n">
        <v>45810</v>
      </c>
      <c r="D3321" t="inlineStr">
        <is>
          <t>VÄRMLANDS LÄN</t>
        </is>
      </c>
      <c r="E3321" t="inlineStr">
        <is>
          <t>ÅRJÄNG</t>
        </is>
      </c>
      <c r="G3321" t="n">
        <v>12.7</v>
      </c>
      <c r="H3321" t="n">
        <v>0</v>
      </c>
      <c r="I3321" t="n">
        <v>0</v>
      </c>
      <c r="J3321" t="n">
        <v>0</v>
      </c>
      <c r="K3321" t="n">
        <v>0</v>
      </c>
      <c r="L3321" t="n">
        <v>0</v>
      </c>
      <c r="M3321" t="n">
        <v>0</v>
      </c>
      <c r="N3321" t="n">
        <v>0</v>
      </c>
      <c r="O3321" t="n">
        <v>0</v>
      </c>
      <c r="P3321" t="n">
        <v>0</v>
      </c>
      <c r="Q3321" t="n">
        <v>0</v>
      </c>
      <c r="R3321" s="2" t="inlineStr"/>
    </row>
    <row r="3322" ht="15" customHeight="1">
      <c r="A3322" t="inlineStr">
        <is>
          <t>A 46002-2020</t>
        </is>
      </c>
      <c r="B3322" s="1" t="n">
        <v>44091</v>
      </c>
      <c r="C3322" s="1" t="n">
        <v>45810</v>
      </c>
      <c r="D3322" t="inlineStr">
        <is>
          <t>VÄRMLANDS LÄN</t>
        </is>
      </c>
      <c r="E3322" t="inlineStr">
        <is>
          <t>ÅRJÄNG</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45853-2020</t>
        </is>
      </c>
      <c r="B3323" s="1" t="n">
        <v>44091</v>
      </c>
      <c r="C3323" s="1" t="n">
        <v>45810</v>
      </c>
      <c r="D3323" t="inlineStr">
        <is>
          <t>VÄRMLANDS LÄN</t>
        </is>
      </c>
      <c r="E3323" t="inlineStr">
        <is>
          <t>SUNNE</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46113-2020</t>
        </is>
      </c>
      <c r="B3324" s="1" t="n">
        <v>44091</v>
      </c>
      <c r="C3324" s="1" t="n">
        <v>45810</v>
      </c>
      <c r="D3324" t="inlineStr">
        <is>
          <t>VÄRMLANDS LÄN</t>
        </is>
      </c>
      <c r="E3324" t="inlineStr">
        <is>
          <t>FILIPSTAD</t>
        </is>
      </c>
      <c r="G3324" t="n">
        <v>5.3</v>
      </c>
      <c r="H3324" t="n">
        <v>0</v>
      </c>
      <c r="I3324" t="n">
        <v>0</v>
      </c>
      <c r="J3324" t="n">
        <v>0</v>
      </c>
      <c r="K3324" t="n">
        <v>0</v>
      </c>
      <c r="L3324" t="n">
        <v>0</v>
      </c>
      <c r="M3324" t="n">
        <v>0</v>
      </c>
      <c r="N3324" t="n">
        <v>0</v>
      </c>
      <c r="O3324" t="n">
        <v>0</v>
      </c>
      <c r="P3324" t="n">
        <v>0</v>
      </c>
      <c r="Q3324" t="n">
        <v>0</v>
      </c>
      <c r="R3324" s="2" t="inlineStr"/>
    </row>
    <row r="3325" ht="15" customHeight="1">
      <c r="A3325" t="inlineStr">
        <is>
          <t>A 46245-2020</t>
        </is>
      </c>
      <c r="B3325" s="1" t="n">
        <v>44092</v>
      </c>
      <c r="C3325" s="1" t="n">
        <v>45810</v>
      </c>
      <c r="D3325" t="inlineStr">
        <is>
          <t>VÄRMLANDS LÄN</t>
        </is>
      </c>
      <c r="E3325" t="inlineStr">
        <is>
          <t>GRUMS</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46192-2020</t>
        </is>
      </c>
      <c r="B3326" s="1" t="n">
        <v>44092</v>
      </c>
      <c r="C3326" s="1" t="n">
        <v>45810</v>
      </c>
      <c r="D3326" t="inlineStr">
        <is>
          <t>VÄRMLANDS LÄN</t>
        </is>
      </c>
      <c r="E3326" t="inlineStr">
        <is>
          <t>ARVIKA</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46271-2020</t>
        </is>
      </c>
      <c r="B3327" s="1" t="n">
        <v>44092</v>
      </c>
      <c r="C3327" s="1" t="n">
        <v>45810</v>
      </c>
      <c r="D3327" t="inlineStr">
        <is>
          <t>VÄRMLANDS LÄN</t>
        </is>
      </c>
      <c r="E3327" t="inlineStr">
        <is>
          <t>TORSBY</t>
        </is>
      </c>
      <c r="F3327" t="inlineStr">
        <is>
          <t>Bergvik skog väst AB</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47333-2020</t>
        </is>
      </c>
      <c r="B3328" s="1" t="n">
        <v>44092</v>
      </c>
      <c r="C3328" s="1" t="n">
        <v>45810</v>
      </c>
      <c r="D3328" t="inlineStr">
        <is>
          <t>VÄRMLANDS LÄN</t>
        </is>
      </c>
      <c r="E3328" t="inlineStr">
        <is>
          <t>SÄFFLE</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46187-2020</t>
        </is>
      </c>
      <c r="B3329" s="1" t="n">
        <v>44092</v>
      </c>
      <c r="C3329" s="1" t="n">
        <v>45810</v>
      </c>
      <c r="D3329" t="inlineStr">
        <is>
          <t>VÄRMLANDS LÄN</t>
        </is>
      </c>
      <c r="E3329" t="inlineStr">
        <is>
          <t>SUNNE</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46666-2020</t>
        </is>
      </c>
      <c r="B3330" s="1" t="n">
        <v>44095</v>
      </c>
      <c r="C3330" s="1" t="n">
        <v>45810</v>
      </c>
      <c r="D3330" t="inlineStr">
        <is>
          <t>VÄRMLANDS LÄN</t>
        </is>
      </c>
      <c r="E3330" t="inlineStr">
        <is>
          <t>KARLSTAD</t>
        </is>
      </c>
      <c r="G3330" t="n">
        <v>5.8</v>
      </c>
      <c r="H3330" t="n">
        <v>0</v>
      </c>
      <c r="I3330" t="n">
        <v>0</v>
      </c>
      <c r="J3330" t="n">
        <v>0</v>
      </c>
      <c r="K3330" t="n">
        <v>0</v>
      </c>
      <c r="L3330" t="n">
        <v>0</v>
      </c>
      <c r="M3330" t="n">
        <v>0</v>
      </c>
      <c r="N3330" t="n">
        <v>0</v>
      </c>
      <c r="O3330" t="n">
        <v>0</v>
      </c>
      <c r="P3330" t="n">
        <v>0</v>
      </c>
      <c r="Q3330" t="n">
        <v>0</v>
      </c>
      <c r="R3330" s="2" t="inlineStr"/>
    </row>
    <row r="3331" ht="15" customHeight="1">
      <c r="A3331" t="inlineStr">
        <is>
          <t>A 46680-2020</t>
        </is>
      </c>
      <c r="B3331" s="1" t="n">
        <v>44095</v>
      </c>
      <c r="C3331" s="1" t="n">
        <v>45810</v>
      </c>
      <c r="D3331" t="inlineStr">
        <is>
          <t>VÄRMLANDS LÄN</t>
        </is>
      </c>
      <c r="E3331" t="inlineStr">
        <is>
          <t>ARVIKA</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46563-2020</t>
        </is>
      </c>
      <c r="B3332" s="1" t="n">
        <v>44095</v>
      </c>
      <c r="C3332" s="1" t="n">
        <v>45810</v>
      </c>
      <c r="D3332" t="inlineStr">
        <is>
          <t>VÄRMLANDS LÄN</t>
        </is>
      </c>
      <c r="E3332" t="inlineStr">
        <is>
          <t>SÄFFLE</t>
        </is>
      </c>
      <c r="G3332" t="n">
        <v>2.3</v>
      </c>
      <c r="H3332" t="n">
        <v>0</v>
      </c>
      <c r="I3332" t="n">
        <v>0</v>
      </c>
      <c r="J3332" t="n">
        <v>0</v>
      </c>
      <c r="K3332" t="n">
        <v>0</v>
      </c>
      <c r="L3332" t="n">
        <v>0</v>
      </c>
      <c r="M3332" t="n">
        <v>0</v>
      </c>
      <c r="N3332" t="n">
        <v>0</v>
      </c>
      <c r="O3332" t="n">
        <v>0</v>
      </c>
      <c r="P3332" t="n">
        <v>0</v>
      </c>
      <c r="Q3332" t="n">
        <v>0</v>
      </c>
      <c r="R3332" s="2" t="inlineStr"/>
    </row>
    <row r="3333" ht="15" customHeight="1">
      <c r="A3333" t="inlineStr">
        <is>
          <t>A 46929-2020</t>
        </is>
      </c>
      <c r="B3333" s="1" t="n">
        <v>44096</v>
      </c>
      <c r="C3333" s="1" t="n">
        <v>45810</v>
      </c>
      <c r="D3333" t="inlineStr">
        <is>
          <t>VÄRMLANDS LÄN</t>
        </is>
      </c>
      <c r="E3333" t="inlineStr">
        <is>
          <t>HAGFORS</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46981-2020</t>
        </is>
      </c>
      <c r="B3334" s="1" t="n">
        <v>44096</v>
      </c>
      <c r="C3334" s="1" t="n">
        <v>45810</v>
      </c>
      <c r="D3334" t="inlineStr">
        <is>
          <t>VÄRMLANDS LÄN</t>
        </is>
      </c>
      <c r="E3334" t="inlineStr">
        <is>
          <t>ÅRJÄNG</t>
        </is>
      </c>
      <c r="G3334" t="n">
        <v>5.1</v>
      </c>
      <c r="H3334" t="n">
        <v>0</v>
      </c>
      <c r="I3334" t="n">
        <v>0</v>
      </c>
      <c r="J3334" t="n">
        <v>0</v>
      </c>
      <c r="K3334" t="n">
        <v>0</v>
      </c>
      <c r="L3334" t="n">
        <v>0</v>
      </c>
      <c r="M3334" t="n">
        <v>0</v>
      </c>
      <c r="N3334" t="n">
        <v>0</v>
      </c>
      <c r="O3334" t="n">
        <v>0</v>
      </c>
      <c r="P3334" t="n">
        <v>0</v>
      </c>
      <c r="Q3334" t="n">
        <v>0</v>
      </c>
      <c r="R3334" s="2" t="inlineStr"/>
    </row>
    <row r="3335" ht="15" customHeight="1">
      <c r="A3335" t="inlineStr">
        <is>
          <t>A 47042-2020</t>
        </is>
      </c>
      <c r="B3335" s="1" t="n">
        <v>44096</v>
      </c>
      <c r="C3335" s="1" t="n">
        <v>45810</v>
      </c>
      <c r="D3335" t="inlineStr">
        <is>
          <t>VÄRMLANDS LÄN</t>
        </is>
      </c>
      <c r="E3335" t="inlineStr">
        <is>
          <t>FORSHAGA</t>
        </is>
      </c>
      <c r="G3335" t="n">
        <v>6.5</v>
      </c>
      <c r="H3335" t="n">
        <v>0</v>
      </c>
      <c r="I3335" t="n">
        <v>0</v>
      </c>
      <c r="J3335" t="n">
        <v>0</v>
      </c>
      <c r="K3335" t="n">
        <v>0</v>
      </c>
      <c r="L3335" t="n">
        <v>0</v>
      </c>
      <c r="M3335" t="n">
        <v>0</v>
      </c>
      <c r="N3335" t="n">
        <v>0</v>
      </c>
      <c r="O3335" t="n">
        <v>0</v>
      </c>
      <c r="P3335" t="n">
        <v>0</v>
      </c>
      <c r="Q3335" t="n">
        <v>0</v>
      </c>
      <c r="R3335" s="2" t="inlineStr"/>
    </row>
    <row r="3336" ht="15" customHeight="1">
      <c r="A3336" t="inlineStr">
        <is>
          <t>A 47707-2020</t>
        </is>
      </c>
      <c r="B3336" s="1" t="n">
        <v>44096</v>
      </c>
      <c r="C3336" s="1" t="n">
        <v>45810</v>
      </c>
      <c r="D3336" t="inlineStr">
        <is>
          <t>VÄRMLANDS LÄN</t>
        </is>
      </c>
      <c r="E3336" t="inlineStr">
        <is>
          <t>TORSBY</t>
        </is>
      </c>
      <c r="F3336" t="inlineStr">
        <is>
          <t>Kyrkan</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47728-2020</t>
        </is>
      </c>
      <c r="B3337" s="1" t="n">
        <v>44096</v>
      </c>
      <c r="C3337" s="1" t="n">
        <v>45810</v>
      </c>
      <c r="D3337" t="inlineStr">
        <is>
          <t>VÄRMLANDS LÄN</t>
        </is>
      </c>
      <c r="E3337" t="inlineStr">
        <is>
          <t>KRISTINEHAMN</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47709-2020</t>
        </is>
      </c>
      <c r="B3338" s="1" t="n">
        <v>44096</v>
      </c>
      <c r="C3338" s="1" t="n">
        <v>45810</v>
      </c>
      <c r="D3338" t="inlineStr">
        <is>
          <t>VÄRMLANDS LÄN</t>
        </is>
      </c>
      <c r="E3338" t="inlineStr">
        <is>
          <t>TORSBY</t>
        </is>
      </c>
      <c r="F3338" t="inlineStr">
        <is>
          <t>Kyrkan</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47394-2020</t>
        </is>
      </c>
      <c r="B3339" s="1" t="n">
        <v>44097</v>
      </c>
      <c r="C3339" s="1" t="n">
        <v>45810</v>
      </c>
      <c r="D3339" t="inlineStr">
        <is>
          <t>VÄRMLANDS LÄN</t>
        </is>
      </c>
      <c r="E3339" t="inlineStr">
        <is>
          <t>ÅRJÄNG</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48203-2020</t>
        </is>
      </c>
      <c r="B3340" s="1" t="n">
        <v>44097</v>
      </c>
      <c r="C3340" s="1" t="n">
        <v>45810</v>
      </c>
      <c r="D3340" t="inlineStr">
        <is>
          <t>VÄRMLANDS LÄN</t>
        </is>
      </c>
      <c r="E3340" t="inlineStr">
        <is>
          <t>SUNNE</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47266-2020</t>
        </is>
      </c>
      <c r="B3341" s="1" t="n">
        <v>44097</v>
      </c>
      <c r="C3341" s="1" t="n">
        <v>45810</v>
      </c>
      <c r="D3341" t="inlineStr">
        <is>
          <t>VÄRMLANDS LÄN</t>
        </is>
      </c>
      <c r="E3341" t="inlineStr">
        <is>
          <t>ARVIKA</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47147-2020</t>
        </is>
      </c>
      <c r="B3342" s="1" t="n">
        <v>44097</v>
      </c>
      <c r="C3342" s="1" t="n">
        <v>45810</v>
      </c>
      <c r="D3342" t="inlineStr">
        <is>
          <t>VÄRMLANDS LÄN</t>
        </is>
      </c>
      <c r="E3342" t="inlineStr">
        <is>
          <t>ARVIKA</t>
        </is>
      </c>
      <c r="G3342" t="n">
        <v>9.199999999999999</v>
      </c>
      <c r="H3342" t="n">
        <v>0</v>
      </c>
      <c r="I3342" t="n">
        <v>0</v>
      </c>
      <c r="J3342" t="n">
        <v>0</v>
      </c>
      <c r="K3342" t="n">
        <v>0</v>
      </c>
      <c r="L3342" t="n">
        <v>0</v>
      </c>
      <c r="M3342" t="n">
        <v>0</v>
      </c>
      <c r="N3342" t="n">
        <v>0</v>
      </c>
      <c r="O3342" t="n">
        <v>0</v>
      </c>
      <c r="P3342" t="n">
        <v>0</v>
      </c>
      <c r="Q3342" t="n">
        <v>0</v>
      </c>
      <c r="R3342" s="2" t="inlineStr"/>
    </row>
    <row r="3343" ht="15" customHeight="1">
      <c r="A3343" t="inlineStr">
        <is>
          <t>A 47328-2020</t>
        </is>
      </c>
      <c r="B3343" s="1" t="n">
        <v>44097</v>
      </c>
      <c r="C3343" s="1" t="n">
        <v>45810</v>
      </c>
      <c r="D3343" t="inlineStr">
        <is>
          <t>VÄRMLANDS LÄN</t>
        </is>
      </c>
      <c r="E3343" t="inlineStr">
        <is>
          <t>ARVIKA</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47434-2020</t>
        </is>
      </c>
      <c r="B3344" s="1" t="n">
        <v>44097</v>
      </c>
      <c r="C3344" s="1" t="n">
        <v>45810</v>
      </c>
      <c r="D3344" t="inlineStr">
        <is>
          <t>VÄRMLANDS LÄN</t>
        </is>
      </c>
      <c r="E3344" t="inlineStr">
        <is>
          <t>FILIPSTAD</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47540-2020</t>
        </is>
      </c>
      <c r="B3345" s="1" t="n">
        <v>44098</v>
      </c>
      <c r="C3345" s="1" t="n">
        <v>45810</v>
      </c>
      <c r="D3345" t="inlineStr">
        <is>
          <t>VÄRMLANDS LÄN</t>
        </is>
      </c>
      <c r="E3345" t="inlineStr">
        <is>
          <t>FILIPSTAD</t>
        </is>
      </c>
      <c r="F3345" t="inlineStr">
        <is>
          <t>Bergvik skog väst AB</t>
        </is>
      </c>
      <c r="G3345" t="n">
        <v>4.6</v>
      </c>
      <c r="H3345" t="n">
        <v>0</v>
      </c>
      <c r="I3345" t="n">
        <v>0</v>
      </c>
      <c r="J3345" t="n">
        <v>0</v>
      </c>
      <c r="K3345" t="n">
        <v>0</v>
      </c>
      <c r="L3345" t="n">
        <v>0</v>
      </c>
      <c r="M3345" t="n">
        <v>0</v>
      </c>
      <c r="N3345" t="n">
        <v>0</v>
      </c>
      <c r="O3345" t="n">
        <v>0</v>
      </c>
      <c r="P3345" t="n">
        <v>0</v>
      </c>
      <c r="Q3345" t="n">
        <v>0</v>
      </c>
      <c r="R3345" s="2" t="inlineStr"/>
    </row>
    <row r="3346" ht="15" customHeight="1">
      <c r="A3346" t="inlineStr">
        <is>
          <t>A 47490-2020</t>
        </is>
      </c>
      <c r="B3346" s="1" t="n">
        <v>44098</v>
      </c>
      <c r="C3346" s="1" t="n">
        <v>45810</v>
      </c>
      <c r="D3346" t="inlineStr">
        <is>
          <t>VÄRMLANDS LÄN</t>
        </is>
      </c>
      <c r="E3346" t="inlineStr">
        <is>
          <t>TORSBY</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47673-2020</t>
        </is>
      </c>
      <c r="B3347" s="1" t="n">
        <v>44098</v>
      </c>
      <c r="C3347" s="1" t="n">
        <v>45810</v>
      </c>
      <c r="D3347" t="inlineStr">
        <is>
          <t>VÄRMLANDS LÄN</t>
        </is>
      </c>
      <c r="E3347" t="inlineStr">
        <is>
          <t>HAGFORS</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47674-2020</t>
        </is>
      </c>
      <c r="B3348" s="1" t="n">
        <v>44098</v>
      </c>
      <c r="C3348" s="1" t="n">
        <v>45810</v>
      </c>
      <c r="D3348" t="inlineStr">
        <is>
          <t>VÄRMLANDS LÄN</t>
        </is>
      </c>
      <c r="E3348" t="inlineStr">
        <is>
          <t>FILIPSTAD</t>
        </is>
      </c>
      <c r="F3348" t="inlineStr">
        <is>
          <t>Bergvik skog väst AB</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47670-2020</t>
        </is>
      </c>
      <c r="B3349" s="1" t="n">
        <v>44098</v>
      </c>
      <c r="C3349" s="1" t="n">
        <v>45810</v>
      </c>
      <c r="D3349" t="inlineStr">
        <is>
          <t>VÄRMLANDS LÄN</t>
        </is>
      </c>
      <c r="E3349" t="inlineStr">
        <is>
          <t>HAGFORS</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47817-2020</t>
        </is>
      </c>
      <c r="B3350" s="1" t="n">
        <v>44098</v>
      </c>
      <c r="C3350" s="1" t="n">
        <v>45810</v>
      </c>
      <c r="D3350" t="inlineStr">
        <is>
          <t>VÄRMLANDS LÄN</t>
        </is>
      </c>
      <c r="E3350" t="inlineStr">
        <is>
          <t>SUNNE</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48553-2020</t>
        </is>
      </c>
      <c r="B3351" s="1" t="n">
        <v>44098</v>
      </c>
      <c r="C3351" s="1" t="n">
        <v>45810</v>
      </c>
      <c r="D3351" t="inlineStr">
        <is>
          <t>VÄRMLANDS LÄN</t>
        </is>
      </c>
      <c r="E3351" t="inlineStr">
        <is>
          <t>KARLSTAD</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48568-2020</t>
        </is>
      </c>
      <c r="B3352" s="1" t="n">
        <v>44098</v>
      </c>
      <c r="C3352" s="1" t="n">
        <v>45810</v>
      </c>
      <c r="D3352" t="inlineStr">
        <is>
          <t>VÄRMLANDS LÄN</t>
        </is>
      </c>
      <c r="E3352" t="inlineStr">
        <is>
          <t>KARLSTAD</t>
        </is>
      </c>
      <c r="G3352" t="n">
        <v>7.3</v>
      </c>
      <c r="H3352" t="n">
        <v>0</v>
      </c>
      <c r="I3352" t="n">
        <v>0</v>
      </c>
      <c r="J3352" t="n">
        <v>0</v>
      </c>
      <c r="K3352" t="n">
        <v>0</v>
      </c>
      <c r="L3352" t="n">
        <v>0</v>
      </c>
      <c r="M3352" t="n">
        <v>0</v>
      </c>
      <c r="N3352" t="n">
        <v>0</v>
      </c>
      <c r="O3352" t="n">
        <v>0</v>
      </c>
      <c r="P3352" t="n">
        <v>0</v>
      </c>
      <c r="Q3352" t="n">
        <v>0</v>
      </c>
      <c r="R3352" s="2" t="inlineStr"/>
    </row>
    <row r="3353" ht="15" customHeight="1">
      <c r="A3353" t="inlineStr">
        <is>
          <t>A 48566-2020</t>
        </is>
      </c>
      <c r="B3353" s="1" t="n">
        <v>44098</v>
      </c>
      <c r="C3353" s="1" t="n">
        <v>45810</v>
      </c>
      <c r="D3353" t="inlineStr">
        <is>
          <t>VÄRMLANDS LÄN</t>
        </is>
      </c>
      <c r="E3353" t="inlineStr">
        <is>
          <t>KARLSTAD</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48561-2020</t>
        </is>
      </c>
      <c r="B3354" s="1" t="n">
        <v>44098</v>
      </c>
      <c r="C3354" s="1" t="n">
        <v>45810</v>
      </c>
      <c r="D3354" t="inlineStr">
        <is>
          <t>VÄRMLANDS LÄN</t>
        </is>
      </c>
      <c r="E3354" t="inlineStr">
        <is>
          <t>KARLSTAD</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48560-2020</t>
        </is>
      </c>
      <c r="B3355" s="1" t="n">
        <v>44098</v>
      </c>
      <c r="C3355" s="1" t="n">
        <v>45810</v>
      </c>
      <c r="D3355" t="inlineStr">
        <is>
          <t>VÄRMLANDS LÄN</t>
        </is>
      </c>
      <c r="E3355" t="inlineStr">
        <is>
          <t>KARLSTAD</t>
        </is>
      </c>
      <c r="G3355" t="n">
        <v>4.4</v>
      </c>
      <c r="H3355" t="n">
        <v>0</v>
      </c>
      <c r="I3355" t="n">
        <v>0</v>
      </c>
      <c r="J3355" t="n">
        <v>0</v>
      </c>
      <c r="K3355" t="n">
        <v>0</v>
      </c>
      <c r="L3355" t="n">
        <v>0</v>
      </c>
      <c r="M3355" t="n">
        <v>0</v>
      </c>
      <c r="N3355" t="n">
        <v>0</v>
      </c>
      <c r="O3355" t="n">
        <v>0</v>
      </c>
      <c r="P3355" t="n">
        <v>0</v>
      </c>
      <c r="Q3355" t="n">
        <v>0</v>
      </c>
      <c r="R3355" s="2" t="inlineStr"/>
    </row>
    <row r="3356" ht="15" customHeight="1">
      <c r="A3356" t="inlineStr">
        <is>
          <t>A 48677-2020</t>
        </is>
      </c>
      <c r="B3356" s="1" t="n">
        <v>44098</v>
      </c>
      <c r="C3356" s="1" t="n">
        <v>45810</v>
      </c>
      <c r="D3356" t="inlineStr">
        <is>
          <t>VÄRMLANDS LÄN</t>
        </is>
      </c>
      <c r="E3356" t="inlineStr">
        <is>
          <t>KRISTINEHAMN</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48700-2020</t>
        </is>
      </c>
      <c r="B3357" s="1" t="n">
        <v>44098</v>
      </c>
      <c r="C3357" s="1" t="n">
        <v>45810</v>
      </c>
      <c r="D3357" t="inlineStr">
        <is>
          <t>VÄRMLANDS LÄN</t>
        </is>
      </c>
      <c r="E3357" t="inlineStr">
        <is>
          <t>KRISTINEHAMN</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47872-2020</t>
        </is>
      </c>
      <c r="B3358" s="1" t="n">
        <v>44099</v>
      </c>
      <c r="C3358" s="1" t="n">
        <v>45810</v>
      </c>
      <c r="D3358" t="inlineStr">
        <is>
          <t>VÄRMLANDS LÄN</t>
        </is>
      </c>
      <c r="E3358" t="inlineStr">
        <is>
          <t>EDA</t>
        </is>
      </c>
      <c r="G3358" t="n">
        <v>4.6</v>
      </c>
      <c r="H3358" t="n">
        <v>0</v>
      </c>
      <c r="I3358" t="n">
        <v>0</v>
      </c>
      <c r="J3358" t="n">
        <v>0</v>
      </c>
      <c r="K3358" t="n">
        <v>0</v>
      </c>
      <c r="L3358" t="n">
        <v>0</v>
      </c>
      <c r="M3358" t="n">
        <v>0</v>
      </c>
      <c r="N3358" t="n">
        <v>0</v>
      </c>
      <c r="O3358" t="n">
        <v>0</v>
      </c>
      <c r="P3358" t="n">
        <v>0</v>
      </c>
      <c r="Q3358" t="n">
        <v>0</v>
      </c>
      <c r="R3358" s="2" t="inlineStr"/>
    </row>
    <row r="3359" ht="15" customHeight="1">
      <c r="A3359" t="inlineStr">
        <is>
          <t>A 47928-2020</t>
        </is>
      </c>
      <c r="B3359" s="1" t="n">
        <v>44099</v>
      </c>
      <c r="C3359" s="1" t="n">
        <v>45810</v>
      </c>
      <c r="D3359" t="inlineStr">
        <is>
          <t>VÄRMLANDS LÄN</t>
        </is>
      </c>
      <c r="E3359" t="inlineStr">
        <is>
          <t>ARVIKA</t>
        </is>
      </c>
      <c r="G3359" t="n">
        <v>0.3</v>
      </c>
      <c r="H3359" t="n">
        <v>0</v>
      </c>
      <c r="I3359" t="n">
        <v>0</v>
      </c>
      <c r="J3359" t="n">
        <v>0</v>
      </c>
      <c r="K3359" t="n">
        <v>0</v>
      </c>
      <c r="L3359" t="n">
        <v>0</v>
      </c>
      <c r="M3359" t="n">
        <v>0</v>
      </c>
      <c r="N3359" t="n">
        <v>0</v>
      </c>
      <c r="O3359" t="n">
        <v>0</v>
      </c>
      <c r="P3359" t="n">
        <v>0</v>
      </c>
      <c r="Q3359" t="n">
        <v>0</v>
      </c>
      <c r="R3359" s="2" t="inlineStr"/>
    </row>
    <row r="3360" ht="15" customHeight="1">
      <c r="A3360" t="inlineStr">
        <is>
          <t>A 48020-2020</t>
        </is>
      </c>
      <c r="B3360" s="1" t="n">
        <v>44099</v>
      </c>
      <c r="C3360" s="1" t="n">
        <v>45810</v>
      </c>
      <c r="D3360" t="inlineStr">
        <is>
          <t>VÄRMLANDS LÄN</t>
        </is>
      </c>
      <c r="E3360" t="inlineStr">
        <is>
          <t>ARVIKA</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48847-2020</t>
        </is>
      </c>
      <c r="B3361" s="1" t="n">
        <v>44099</v>
      </c>
      <c r="C3361" s="1" t="n">
        <v>45810</v>
      </c>
      <c r="D3361" t="inlineStr">
        <is>
          <t>VÄRMLANDS LÄN</t>
        </is>
      </c>
      <c r="E3361" t="inlineStr">
        <is>
          <t>SUNNE</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48911-2020</t>
        </is>
      </c>
      <c r="B3362" s="1" t="n">
        <v>44100</v>
      </c>
      <c r="C3362" s="1" t="n">
        <v>45810</v>
      </c>
      <c r="D3362" t="inlineStr">
        <is>
          <t>VÄRMLANDS LÄN</t>
        </is>
      </c>
      <c r="E3362" t="inlineStr">
        <is>
          <t>SÄFFLE</t>
        </is>
      </c>
      <c r="G3362" t="n">
        <v>4.2</v>
      </c>
      <c r="H3362" t="n">
        <v>0</v>
      </c>
      <c r="I3362" t="n">
        <v>0</v>
      </c>
      <c r="J3362" t="n">
        <v>0</v>
      </c>
      <c r="K3362" t="n">
        <v>0</v>
      </c>
      <c r="L3362" t="n">
        <v>0</v>
      </c>
      <c r="M3362" t="n">
        <v>0</v>
      </c>
      <c r="N3362" t="n">
        <v>0</v>
      </c>
      <c r="O3362" t="n">
        <v>0</v>
      </c>
      <c r="P3362" t="n">
        <v>0</v>
      </c>
      <c r="Q3362" t="n">
        <v>0</v>
      </c>
      <c r="R3362" s="2" t="inlineStr"/>
    </row>
    <row r="3363" ht="15" customHeight="1">
      <c r="A3363" t="inlineStr">
        <is>
          <t>A 48089-2020</t>
        </is>
      </c>
      <c r="B3363" s="1" t="n">
        <v>44101</v>
      </c>
      <c r="C3363" s="1" t="n">
        <v>45810</v>
      </c>
      <c r="D3363" t="inlineStr">
        <is>
          <t>VÄRMLANDS LÄN</t>
        </is>
      </c>
      <c r="E3363" t="inlineStr">
        <is>
          <t>ÅRJÄNG</t>
        </is>
      </c>
      <c r="G3363" t="n">
        <v>6.7</v>
      </c>
      <c r="H3363" t="n">
        <v>0</v>
      </c>
      <c r="I3363" t="n">
        <v>0</v>
      </c>
      <c r="J3363" t="n">
        <v>0</v>
      </c>
      <c r="K3363" t="n">
        <v>0</v>
      </c>
      <c r="L3363" t="n">
        <v>0</v>
      </c>
      <c r="M3363" t="n">
        <v>0</v>
      </c>
      <c r="N3363" t="n">
        <v>0</v>
      </c>
      <c r="O3363" t="n">
        <v>0</v>
      </c>
      <c r="P3363" t="n">
        <v>0</v>
      </c>
      <c r="Q3363" t="n">
        <v>0</v>
      </c>
      <c r="R3363" s="2" t="inlineStr"/>
    </row>
    <row r="3364" ht="15" customHeight="1">
      <c r="A3364" t="inlineStr">
        <is>
          <t>A 48105-2020</t>
        </is>
      </c>
      <c r="B3364" s="1" t="n">
        <v>44101</v>
      </c>
      <c r="C3364" s="1" t="n">
        <v>45810</v>
      </c>
      <c r="D3364" t="inlineStr">
        <is>
          <t>VÄRMLANDS LÄN</t>
        </is>
      </c>
      <c r="E3364" t="inlineStr">
        <is>
          <t>HAGFORS</t>
        </is>
      </c>
      <c r="F3364" t="inlineStr">
        <is>
          <t>Bergvik skog väst AB</t>
        </is>
      </c>
      <c r="G3364" t="n">
        <v>8.199999999999999</v>
      </c>
      <c r="H3364" t="n">
        <v>0</v>
      </c>
      <c r="I3364" t="n">
        <v>0</v>
      </c>
      <c r="J3364" t="n">
        <v>0</v>
      </c>
      <c r="K3364" t="n">
        <v>0</v>
      </c>
      <c r="L3364" t="n">
        <v>0</v>
      </c>
      <c r="M3364" t="n">
        <v>0</v>
      </c>
      <c r="N3364" t="n">
        <v>0</v>
      </c>
      <c r="O3364" t="n">
        <v>0</v>
      </c>
      <c r="P3364" t="n">
        <v>0</v>
      </c>
      <c r="Q3364" t="n">
        <v>0</v>
      </c>
      <c r="R3364" s="2" t="inlineStr"/>
    </row>
    <row r="3365" ht="15" customHeight="1">
      <c r="A3365" t="inlineStr">
        <is>
          <t>A 48104-2020</t>
        </is>
      </c>
      <c r="B3365" s="1" t="n">
        <v>44101</v>
      </c>
      <c r="C3365" s="1" t="n">
        <v>45810</v>
      </c>
      <c r="D3365" t="inlineStr">
        <is>
          <t>VÄRMLANDS LÄN</t>
        </is>
      </c>
      <c r="E3365" t="inlineStr">
        <is>
          <t>MUNKFORS</t>
        </is>
      </c>
      <c r="F3365" t="inlineStr">
        <is>
          <t>Bergvik skog väst AB</t>
        </is>
      </c>
      <c r="G3365" t="n">
        <v>8</v>
      </c>
      <c r="H3365" t="n">
        <v>0</v>
      </c>
      <c r="I3365" t="n">
        <v>0</v>
      </c>
      <c r="J3365" t="n">
        <v>0</v>
      </c>
      <c r="K3365" t="n">
        <v>0</v>
      </c>
      <c r="L3365" t="n">
        <v>0</v>
      </c>
      <c r="M3365" t="n">
        <v>0</v>
      </c>
      <c r="N3365" t="n">
        <v>0</v>
      </c>
      <c r="O3365" t="n">
        <v>0</v>
      </c>
      <c r="P3365" t="n">
        <v>0</v>
      </c>
      <c r="Q3365" t="n">
        <v>0</v>
      </c>
      <c r="R3365" s="2" t="inlineStr"/>
    </row>
    <row r="3366" ht="15" customHeight="1">
      <c r="A3366" t="inlineStr">
        <is>
          <t>A 48106-2020</t>
        </is>
      </c>
      <c r="B3366" s="1" t="n">
        <v>44101</v>
      </c>
      <c r="C3366" s="1" t="n">
        <v>45810</v>
      </c>
      <c r="D3366" t="inlineStr">
        <is>
          <t>VÄRMLANDS LÄN</t>
        </is>
      </c>
      <c r="E3366" t="inlineStr">
        <is>
          <t>FORSHAGA</t>
        </is>
      </c>
      <c r="F3366" t="inlineStr">
        <is>
          <t>Bergvik skog väst AB</t>
        </is>
      </c>
      <c r="G3366" t="n">
        <v>5.8</v>
      </c>
      <c r="H3366" t="n">
        <v>0</v>
      </c>
      <c r="I3366" t="n">
        <v>0</v>
      </c>
      <c r="J3366" t="n">
        <v>0</v>
      </c>
      <c r="K3366" t="n">
        <v>0</v>
      </c>
      <c r="L3366" t="n">
        <v>0</v>
      </c>
      <c r="M3366" t="n">
        <v>0</v>
      </c>
      <c r="N3366" t="n">
        <v>0</v>
      </c>
      <c r="O3366" t="n">
        <v>0</v>
      </c>
      <c r="P3366" t="n">
        <v>0</v>
      </c>
      <c r="Q3366" t="n">
        <v>0</v>
      </c>
      <c r="R3366" s="2" t="inlineStr"/>
    </row>
    <row r="3367" ht="15" customHeight="1">
      <c r="A3367" t="inlineStr">
        <is>
          <t>A 48114-2020</t>
        </is>
      </c>
      <c r="B3367" s="1" t="n">
        <v>44101</v>
      </c>
      <c r="C3367" s="1" t="n">
        <v>45810</v>
      </c>
      <c r="D3367" t="inlineStr">
        <is>
          <t>VÄRMLANDS LÄN</t>
        </is>
      </c>
      <c r="E3367" t="inlineStr">
        <is>
          <t>MUNKFORS</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48241-2020</t>
        </is>
      </c>
      <c r="B3368" s="1" t="n">
        <v>44102</v>
      </c>
      <c r="C3368" s="1" t="n">
        <v>45810</v>
      </c>
      <c r="D3368" t="inlineStr">
        <is>
          <t>VÄRMLANDS LÄN</t>
        </is>
      </c>
      <c r="E3368" t="inlineStr">
        <is>
          <t>SUNNE</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48359-2020</t>
        </is>
      </c>
      <c r="B3369" s="1" t="n">
        <v>44102</v>
      </c>
      <c r="C3369" s="1" t="n">
        <v>45810</v>
      </c>
      <c r="D3369" t="inlineStr">
        <is>
          <t>VÄRMLANDS LÄN</t>
        </is>
      </c>
      <c r="E3369" t="inlineStr">
        <is>
          <t>SUNNE</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48145-2020</t>
        </is>
      </c>
      <c r="B3370" s="1" t="n">
        <v>44102</v>
      </c>
      <c r="C3370" s="1" t="n">
        <v>45810</v>
      </c>
      <c r="D3370" t="inlineStr">
        <is>
          <t>VÄRMLANDS LÄN</t>
        </is>
      </c>
      <c r="E3370" t="inlineStr">
        <is>
          <t>FORSHAGA</t>
        </is>
      </c>
      <c r="G3370" t="n">
        <v>3.3</v>
      </c>
      <c r="H3370" t="n">
        <v>0</v>
      </c>
      <c r="I3370" t="n">
        <v>0</v>
      </c>
      <c r="J3370" t="n">
        <v>0</v>
      </c>
      <c r="K3370" t="n">
        <v>0</v>
      </c>
      <c r="L3370" t="n">
        <v>0</v>
      </c>
      <c r="M3370" t="n">
        <v>0</v>
      </c>
      <c r="N3370" t="n">
        <v>0</v>
      </c>
      <c r="O3370" t="n">
        <v>0</v>
      </c>
      <c r="P3370" t="n">
        <v>0</v>
      </c>
      <c r="Q3370" t="n">
        <v>0</v>
      </c>
      <c r="R3370" s="2" t="inlineStr"/>
    </row>
    <row r="3371" ht="15" customHeight="1">
      <c r="A3371" t="inlineStr">
        <is>
          <t>A 48358-2020</t>
        </is>
      </c>
      <c r="B3371" s="1" t="n">
        <v>44102</v>
      </c>
      <c r="C3371" s="1" t="n">
        <v>45810</v>
      </c>
      <c r="D3371" t="inlineStr">
        <is>
          <t>VÄRMLANDS LÄN</t>
        </is>
      </c>
      <c r="E3371" t="inlineStr">
        <is>
          <t>SÄFFLE</t>
        </is>
      </c>
      <c r="G3371" t="n">
        <v>8.4</v>
      </c>
      <c r="H3371" t="n">
        <v>0</v>
      </c>
      <c r="I3371" t="n">
        <v>0</v>
      </c>
      <c r="J3371" t="n">
        <v>0</v>
      </c>
      <c r="K3371" t="n">
        <v>0</v>
      </c>
      <c r="L3371" t="n">
        <v>0</v>
      </c>
      <c r="M3371" t="n">
        <v>0</v>
      </c>
      <c r="N3371" t="n">
        <v>0</v>
      </c>
      <c r="O3371" t="n">
        <v>0</v>
      </c>
      <c r="P3371" t="n">
        <v>0</v>
      </c>
      <c r="Q3371" t="n">
        <v>0</v>
      </c>
      <c r="R3371" s="2" t="inlineStr"/>
    </row>
    <row r="3372" ht="15" customHeight="1">
      <c r="A3372" t="inlineStr">
        <is>
          <t>A 48314-2020</t>
        </is>
      </c>
      <c r="B3372" s="1" t="n">
        <v>44102</v>
      </c>
      <c r="C3372" s="1" t="n">
        <v>45810</v>
      </c>
      <c r="D3372" t="inlineStr">
        <is>
          <t>VÄRMLANDS LÄN</t>
        </is>
      </c>
      <c r="E3372" t="inlineStr">
        <is>
          <t>FORSHAGA</t>
        </is>
      </c>
      <c r="G3372" t="n">
        <v>4.8</v>
      </c>
      <c r="H3372" t="n">
        <v>0</v>
      </c>
      <c r="I3372" t="n">
        <v>0</v>
      </c>
      <c r="J3372" t="n">
        <v>0</v>
      </c>
      <c r="K3372" t="n">
        <v>0</v>
      </c>
      <c r="L3372" t="n">
        <v>0</v>
      </c>
      <c r="M3372" t="n">
        <v>0</v>
      </c>
      <c r="N3372" t="n">
        <v>0</v>
      </c>
      <c r="O3372" t="n">
        <v>0</v>
      </c>
      <c r="P3372" t="n">
        <v>0</v>
      </c>
      <c r="Q3372" t="n">
        <v>0</v>
      </c>
      <c r="R3372" s="2" t="inlineStr"/>
    </row>
    <row r="3373" ht="15" customHeight="1">
      <c r="A3373" t="inlineStr">
        <is>
          <t>A 48374-2020</t>
        </is>
      </c>
      <c r="B3373" s="1" t="n">
        <v>44102</v>
      </c>
      <c r="C3373" s="1" t="n">
        <v>45810</v>
      </c>
      <c r="D3373" t="inlineStr">
        <is>
          <t>VÄRMLANDS LÄN</t>
        </is>
      </c>
      <c r="E3373" t="inlineStr">
        <is>
          <t>ÅRJÄNG</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48132-2020</t>
        </is>
      </c>
      <c r="B3374" s="1" t="n">
        <v>44102</v>
      </c>
      <c r="C3374" s="1" t="n">
        <v>45810</v>
      </c>
      <c r="D3374" t="inlineStr">
        <is>
          <t>VÄRMLANDS LÄN</t>
        </is>
      </c>
      <c r="E3374" t="inlineStr">
        <is>
          <t>ÅRJÄNG</t>
        </is>
      </c>
      <c r="G3374" t="n">
        <v>4.1</v>
      </c>
      <c r="H3374" t="n">
        <v>0</v>
      </c>
      <c r="I3374" t="n">
        <v>0</v>
      </c>
      <c r="J3374" t="n">
        <v>0</v>
      </c>
      <c r="K3374" t="n">
        <v>0</v>
      </c>
      <c r="L3374" t="n">
        <v>0</v>
      </c>
      <c r="M3374" t="n">
        <v>0</v>
      </c>
      <c r="N3374" t="n">
        <v>0</v>
      </c>
      <c r="O3374" t="n">
        <v>0</v>
      </c>
      <c r="P3374" t="n">
        <v>0</v>
      </c>
      <c r="Q3374" t="n">
        <v>0</v>
      </c>
      <c r="R3374" s="2" t="inlineStr"/>
    </row>
    <row r="3375" ht="15" customHeight="1">
      <c r="A3375" t="inlineStr">
        <is>
          <t>A 48231-2020</t>
        </is>
      </c>
      <c r="B3375" s="1" t="n">
        <v>44102</v>
      </c>
      <c r="C3375" s="1" t="n">
        <v>45810</v>
      </c>
      <c r="D3375" t="inlineStr">
        <is>
          <t>VÄRMLANDS LÄN</t>
        </is>
      </c>
      <c r="E3375" t="inlineStr">
        <is>
          <t>TORSBY</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48243-2020</t>
        </is>
      </c>
      <c r="B3376" s="1" t="n">
        <v>44102</v>
      </c>
      <c r="C3376" s="1" t="n">
        <v>45810</v>
      </c>
      <c r="D3376" t="inlineStr">
        <is>
          <t>VÄRMLANDS LÄN</t>
        </is>
      </c>
      <c r="E3376" t="inlineStr">
        <is>
          <t>KARLSTAD</t>
        </is>
      </c>
      <c r="G3376" t="n">
        <v>2.5</v>
      </c>
      <c r="H3376" t="n">
        <v>0</v>
      </c>
      <c r="I3376" t="n">
        <v>0</v>
      </c>
      <c r="J3376" t="n">
        <v>0</v>
      </c>
      <c r="K3376" t="n">
        <v>0</v>
      </c>
      <c r="L3376" t="n">
        <v>0</v>
      </c>
      <c r="M3376" t="n">
        <v>0</v>
      </c>
      <c r="N3376" t="n">
        <v>0</v>
      </c>
      <c r="O3376" t="n">
        <v>0</v>
      </c>
      <c r="P3376" t="n">
        <v>0</v>
      </c>
      <c r="Q3376" t="n">
        <v>0</v>
      </c>
      <c r="R3376" s="2" t="inlineStr"/>
    </row>
    <row r="3377" ht="15" customHeight="1">
      <c r="A3377" t="inlineStr">
        <is>
          <t>A 48383-2020</t>
        </is>
      </c>
      <c r="B3377" s="1" t="n">
        <v>44102</v>
      </c>
      <c r="C3377" s="1" t="n">
        <v>45810</v>
      </c>
      <c r="D3377" t="inlineStr">
        <is>
          <t>VÄRMLANDS LÄN</t>
        </is>
      </c>
      <c r="E3377" t="inlineStr">
        <is>
          <t>TORSBY</t>
        </is>
      </c>
      <c r="G3377" t="n">
        <v>2.9</v>
      </c>
      <c r="H3377" t="n">
        <v>0</v>
      </c>
      <c r="I3377" t="n">
        <v>0</v>
      </c>
      <c r="J3377" t="n">
        <v>0</v>
      </c>
      <c r="K3377" t="n">
        <v>0</v>
      </c>
      <c r="L3377" t="n">
        <v>0</v>
      </c>
      <c r="M3377" t="n">
        <v>0</v>
      </c>
      <c r="N3377" t="n">
        <v>0</v>
      </c>
      <c r="O3377" t="n">
        <v>0</v>
      </c>
      <c r="P3377" t="n">
        <v>0</v>
      </c>
      <c r="Q3377" t="n">
        <v>0</v>
      </c>
      <c r="R3377" s="2" t="inlineStr"/>
    </row>
    <row r="3378" ht="15" customHeight="1">
      <c r="A3378" t="inlineStr">
        <is>
          <t>A 49030-2020</t>
        </is>
      </c>
      <c r="B3378" s="1" t="n">
        <v>44102</v>
      </c>
      <c r="C3378" s="1" t="n">
        <v>45810</v>
      </c>
      <c r="D3378" t="inlineStr">
        <is>
          <t>VÄRMLANDS LÄN</t>
        </is>
      </c>
      <c r="E3378" t="inlineStr">
        <is>
          <t>KIL</t>
        </is>
      </c>
      <c r="G3378" t="n">
        <v>3.3</v>
      </c>
      <c r="H3378" t="n">
        <v>0</v>
      </c>
      <c r="I3378" t="n">
        <v>0</v>
      </c>
      <c r="J3378" t="n">
        <v>0</v>
      </c>
      <c r="K3378" t="n">
        <v>0</v>
      </c>
      <c r="L3378" t="n">
        <v>0</v>
      </c>
      <c r="M3378" t="n">
        <v>0</v>
      </c>
      <c r="N3378" t="n">
        <v>0</v>
      </c>
      <c r="O3378" t="n">
        <v>0</v>
      </c>
      <c r="P3378" t="n">
        <v>0</v>
      </c>
      <c r="Q3378" t="n">
        <v>0</v>
      </c>
      <c r="R3378" s="2" t="inlineStr"/>
    </row>
    <row r="3379" ht="15" customHeight="1">
      <c r="A3379" t="inlineStr">
        <is>
          <t>A 49398-2020</t>
        </is>
      </c>
      <c r="B3379" s="1" t="n">
        <v>44102</v>
      </c>
      <c r="C3379" s="1" t="n">
        <v>45810</v>
      </c>
      <c r="D3379" t="inlineStr">
        <is>
          <t>VÄRMLANDS LÄN</t>
        </is>
      </c>
      <c r="E3379" t="inlineStr">
        <is>
          <t>GRUMS</t>
        </is>
      </c>
      <c r="F3379" t="inlineStr">
        <is>
          <t>Bergvik skog väst AB</t>
        </is>
      </c>
      <c r="G3379" t="n">
        <v>5.1</v>
      </c>
      <c r="H3379" t="n">
        <v>0</v>
      </c>
      <c r="I3379" t="n">
        <v>0</v>
      </c>
      <c r="J3379" t="n">
        <v>0</v>
      </c>
      <c r="K3379" t="n">
        <v>0</v>
      </c>
      <c r="L3379" t="n">
        <v>0</v>
      </c>
      <c r="M3379" t="n">
        <v>0</v>
      </c>
      <c r="N3379" t="n">
        <v>0</v>
      </c>
      <c r="O3379" t="n">
        <v>0</v>
      </c>
      <c r="P3379" t="n">
        <v>0</v>
      </c>
      <c r="Q3379" t="n">
        <v>0</v>
      </c>
      <c r="R3379" s="2" t="inlineStr"/>
    </row>
    <row r="3380" ht="15" customHeight="1">
      <c r="A3380" t="inlineStr">
        <is>
          <t>A 49446-2020</t>
        </is>
      </c>
      <c r="B3380" s="1" t="n">
        <v>44102</v>
      </c>
      <c r="C3380" s="1" t="n">
        <v>45810</v>
      </c>
      <c r="D3380" t="inlineStr">
        <is>
          <t>VÄRMLANDS LÄN</t>
        </is>
      </c>
      <c r="E3380" t="inlineStr">
        <is>
          <t>SÄFFLE</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48594-2020</t>
        </is>
      </c>
      <c r="B3381" s="1" t="n">
        <v>44103</v>
      </c>
      <c r="C3381" s="1" t="n">
        <v>45810</v>
      </c>
      <c r="D3381" t="inlineStr">
        <is>
          <t>VÄRMLANDS LÄN</t>
        </is>
      </c>
      <c r="E3381" t="inlineStr">
        <is>
          <t>ÅRJÄNG</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48695-2020</t>
        </is>
      </c>
      <c r="B3382" s="1" t="n">
        <v>44103</v>
      </c>
      <c r="C3382" s="1" t="n">
        <v>45810</v>
      </c>
      <c r="D3382" t="inlineStr">
        <is>
          <t>VÄRMLANDS LÄN</t>
        </is>
      </c>
      <c r="E3382" t="inlineStr">
        <is>
          <t>HAGFORS</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48652-2020</t>
        </is>
      </c>
      <c r="B3383" s="1" t="n">
        <v>44103</v>
      </c>
      <c r="C3383" s="1" t="n">
        <v>45810</v>
      </c>
      <c r="D3383" t="inlineStr">
        <is>
          <t>VÄRMLANDS LÄN</t>
        </is>
      </c>
      <c r="E3383" t="inlineStr">
        <is>
          <t>ÅRJÄNG</t>
        </is>
      </c>
      <c r="G3383" t="n">
        <v>4.9</v>
      </c>
      <c r="H3383" t="n">
        <v>0</v>
      </c>
      <c r="I3383" t="n">
        <v>0</v>
      </c>
      <c r="J3383" t="n">
        <v>0</v>
      </c>
      <c r="K3383" t="n">
        <v>0</v>
      </c>
      <c r="L3383" t="n">
        <v>0</v>
      </c>
      <c r="M3383" t="n">
        <v>0</v>
      </c>
      <c r="N3383" t="n">
        <v>0</v>
      </c>
      <c r="O3383" t="n">
        <v>0</v>
      </c>
      <c r="P3383" t="n">
        <v>0</v>
      </c>
      <c r="Q3383" t="n">
        <v>0</v>
      </c>
      <c r="R3383" s="2" t="inlineStr"/>
    </row>
    <row r="3384" ht="15" customHeight="1">
      <c r="A3384" t="inlineStr">
        <is>
          <t>A 48488-2020</t>
        </is>
      </c>
      <c r="B3384" s="1" t="n">
        <v>44103</v>
      </c>
      <c r="C3384" s="1" t="n">
        <v>45810</v>
      </c>
      <c r="D3384" t="inlineStr">
        <is>
          <t>VÄRMLANDS LÄN</t>
        </is>
      </c>
      <c r="E3384" t="inlineStr">
        <is>
          <t>TORSBY</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48599-2020</t>
        </is>
      </c>
      <c r="B3385" s="1" t="n">
        <v>44103</v>
      </c>
      <c r="C3385" s="1" t="n">
        <v>45810</v>
      </c>
      <c r="D3385" t="inlineStr">
        <is>
          <t>VÄRMLANDS LÄN</t>
        </is>
      </c>
      <c r="E3385" t="inlineStr">
        <is>
          <t>SÄFFLE</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48702-2020</t>
        </is>
      </c>
      <c r="B3386" s="1" t="n">
        <v>44103</v>
      </c>
      <c r="C3386" s="1" t="n">
        <v>45810</v>
      </c>
      <c r="D3386" t="inlineStr">
        <is>
          <t>VÄRMLANDS LÄN</t>
        </is>
      </c>
      <c r="E3386" t="inlineStr">
        <is>
          <t>HAGFORS</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48645-2020</t>
        </is>
      </c>
      <c r="B3387" s="1" t="n">
        <v>44103</v>
      </c>
      <c r="C3387" s="1" t="n">
        <v>45810</v>
      </c>
      <c r="D3387" t="inlineStr">
        <is>
          <t>VÄRMLANDS LÄN</t>
        </is>
      </c>
      <c r="E3387" t="inlineStr">
        <is>
          <t>SÄFFLE</t>
        </is>
      </c>
      <c r="G3387" t="n">
        <v>5.3</v>
      </c>
      <c r="H3387" t="n">
        <v>0</v>
      </c>
      <c r="I3387" t="n">
        <v>0</v>
      </c>
      <c r="J3387" t="n">
        <v>0</v>
      </c>
      <c r="K3387" t="n">
        <v>0</v>
      </c>
      <c r="L3387" t="n">
        <v>0</v>
      </c>
      <c r="M3387" t="n">
        <v>0</v>
      </c>
      <c r="N3387" t="n">
        <v>0</v>
      </c>
      <c r="O3387" t="n">
        <v>0</v>
      </c>
      <c r="P3387" t="n">
        <v>0</v>
      </c>
      <c r="Q3387" t="n">
        <v>0</v>
      </c>
      <c r="R3387" s="2" t="inlineStr"/>
    </row>
    <row r="3388" ht="15" customHeight="1">
      <c r="A3388" t="inlineStr">
        <is>
          <t>A 48697-2020</t>
        </is>
      </c>
      <c r="B3388" s="1" t="n">
        <v>44103</v>
      </c>
      <c r="C3388" s="1" t="n">
        <v>45810</v>
      </c>
      <c r="D3388" t="inlineStr">
        <is>
          <t>VÄRMLANDS LÄN</t>
        </is>
      </c>
      <c r="E3388" t="inlineStr">
        <is>
          <t>HAGFORS</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53557-2020</t>
        </is>
      </c>
      <c r="B3389" s="1" t="n">
        <v>44104</v>
      </c>
      <c r="C3389" s="1" t="n">
        <v>45810</v>
      </c>
      <c r="D3389" t="inlineStr">
        <is>
          <t>VÄRMLANDS LÄN</t>
        </is>
      </c>
      <c r="E3389" t="inlineStr">
        <is>
          <t>TORSBY</t>
        </is>
      </c>
      <c r="F3389" t="inlineStr">
        <is>
          <t>Övriga statliga verk och myndigheter</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49082-2020</t>
        </is>
      </c>
      <c r="B3390" s="1" t="n">
        <v>44104</v>
      </c>
      <c r="C3390" s="1" t="n">
        <v>45810</v>
      </c>
      <c r="D3390" t="inlineStr">
        <is>
          <t>VÄRMLANDS LÄN</t>
        </is>
      </c>
      <c r="E3390" t="inlineStr">
        <is>
          <t>SUNNE</t>
        </is>
      </c>
      <c r="G3390" t="n">
        <v>7</v>
      </c>
      <c r="H3390" t="n">
        <v>0</v>
      </c>
      <c r="I3390" t="n">
        <v>0</v>
      </c>
      <c r="J3390" t="n">
        <v>0</v>
      </c>
      <c r="K3390" t="n">
        <v>0</v>
      </c>
      <c r="L3390" t="n">
        <v>0</v>
      </c>
      <c r="M3390" t="n">
        <v>0</v>
      </c>
      <c r="N3390" t="n">
        <v>0</v>
      </c>
      <c r="O3390" t="n">
        <v>0</v>
      </c>
      <c r="P3390" t="n">
        <v>0</v>
      </c>
      <c r="Q3390" t="n">
        <v>0</v>
      </c>
      <c r="R3390" s="2" t="inlineStr"/>
    </row>
    <row r="3391" ht="15" customHeight="1">
      <c r="A3391" t="inlineStr">
        <is>
          <t>A 49192-2020</t>
        </is>
      </c>
      <c r="B3391" s="1" t="n">
        <v>44105</v>
      </c>
      <c r="C3391" s="1" t="n">
        <v>45810</v>
      </c>
      <c r="D3391" t="inlineStr">
        <is>
          <t>VÄRMLANDS LÄN</t>
        </is>
      </c>
      <c r="E3391" t="inlineStr">
        <is>
          <t>SUNNE</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49306-2020</t>
        </is>
      </c>
      <c r="B3392" s="1" t="n">
        <v>44105</v>
      </c>
      <c r="C3392" s="1" t="n">
        <v>45810</v>
      </c>
      <c r="D3392" t="inlineStr">
        <is>
          <t>VÄRMLANDS LÄN</t>
        </is>
      </c>
      <c r="E3392" t="inlineStr">
        <is>
          <t>SUNNE</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49382-2020</t>
        </is>
      </c>
      <c r="B3393" s="1" t="n">
        <v>44105</v>
      </c>
      <c r="C3393" s="1" t="n">
        <v>45810</v>
      </c>
      <c r="D3393" t="inlineStr">
        <is>
          <t>VÄRMLANDS LÄN</t>
        </is>
      </c>
      <c r="E3393" t="inlineStr">
        <is>
          <t>KRISTINEHAMN</t>
        </is>
      </c>
      <c r="G3393" t="n">
        <v>5.3</v>
      </c>
      <c r="H3393" t="n">
        <v>0</v>
      </c>
      <c r="I3393" t="n">
        <v>0</v>
      </c>
      <c r="J3393" t="n">
        <v>0</v>
      </c>
      <c r="K3393" t="n">
        <v>0</v>
      </c>
      <c r="L3393" t="n">
        <v>0</v>
      </c>
      <c r="M3393" t="n">
        <v>0</v>
      </c>
      <c r="N3393" t="n">
        <v>0</v>
      </c>
      <c r="O3393" t="n">
        <v>0</v>
      </c>
      <c r="P3393" t="n">
        <v>0</v>
      </c>
      <c r="Q3393" t="n">
        <v>0</v>
      </c>
      <c r="R3393" s="2" t="inlineStr"/>
    </row>
    <row r="3394" ht="15" customHeight="1">
      <c r="A3394" t="inlineStr">
        <is>
          <t>A 49304-2020</t>
        </is>
      </c>
      <c r="B3394" s="1" t="n">
        <v>44105</v>
      </c>
      <c r="C3394" s="1" t="n">
        <v>45810</v>
      </c>
      <c r="D3394" t="inlineStr">
        <is>
          <t>VÄRMLANDS LÄN</t>
        </is>
      </c>
      <c r="E3394" t="inlineStr">
        <is>
          <t>SUNNE</t>
        </is>
      </c>
      <c r="G3394" t="n">
        <v>3.1</v>
      </c>
      <c r="H3394" t="n">
        <v>0</v>
      </c>
      <c r="I3394" t="n">
        <v>0</v>
      </c>
      <c r="J3394" t="n">
        <v>0</v>
      </c>
      <c r="K3394" t="n">
        <v>0</v>
      </c>
      <c r="L3394" t="n">
        <v>0</v>
      </c>
      <c r="M3394" t="n">
        <v>0</v>
      </c>
      <c r="N3394" t="n">
        <v>0</v>
      </c>
      <c r="O3394" t="n">
        <v>0</v>
      </c>
      <c r="P3394" t="n">
        <v>0</v>
      </c>
      <c r="Q3394" t="n">
        <v>0</v>
      </c>
      <c r="R3394" s="2" t="inlineStr"/>
    </row>
    <row r="3395" ht="15" customHeight="1">
      <c r="A3395" t="inlineStr">
        <is>
          <t>A 50664-2020</t>
        </is>
      </c>
      <c r="B3395" s="1" t="n">
        <v>44105</v>
      </c>
      <c r="C3395" s="1" t="n">
        <v>45810</v>
      </c>
      <c r="D3395" t="inlineStr">
        <is>
          <t>VÄRMLANDS LÄN</t>
        </is>
      </c>
      <c r="E3395" t="inlineStr">
        <is>
          <t>ÅRJÄNG</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49449-2020</t>
        </is>
      </c>
      <c r="B3396" s="1" t="n">
        <v>44105</v>
      </c>
      <c r="C3396" s="1" t="n">
        <v>45810</v>
      </c>
      <c r="D3396" t="inlineStr">
        <is>
          <t>VÄRMLANDS LÄN</t>
        </is>
      </c>
      <c r="E3396" t="inlineStr">
        <is>
          <t>SÄFFLE</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49456-2020</t>
        </is>
      </c>
      <c r="B3397" s="1" t="n">
        <v>44105</v>
      </c>
      <c r="C3397" s="1" t="n">
        <v>45810</v>
      </c>
      <c r="D3397" t="inlineStr">
        <is>
          <t>VÄRMLANDS LÄN</t>
        </is>
      </c>
      <c r="E3397" t="inlineStr">
        <is>
          <t>MUNKFORS</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49693-2020</t>
        </is>
      </c>
      <c r="B3398" s="1" t="n">
        <v>44106</v>
      </c>
      <c r="C3398" s="1" t="n">
        <v>45810</v>
      </c>
      <c r="D3398" t="inlineStr">
        <is>
          <t>VÄRMLANDS LÄN</t>
        </is>
      </c>
      <c r="E3398" t="inlineStr">
        <is>
          <t>SÄFFLE</t>
        </is>
      </c>
      <c r="G3398" t="n">
        <v>4.1</v>
      </c>
      <c r="H3398" t="n">
        <v>0</v>
      </c>
      <c r="I3398" t="n">
        <v>0</v>
      </c>
      <c r="J3398" t="n">
        <v>0</v>
      </c>
      <c r="K3398" t="n">
        <v>0</v>
      </c>
      <c r="L3398" t="n">
        <v>0</v>
      </c>
      <c r="M3398" t="n">
        <v>0</v>
      </c>
      <c r="N3398" t="n">
        <v>0</v>
      </c>
      <c r="O3398" t="n">
        <v>0</v>
      </c>
      <c r="P3398" t="n">
        <v>0</v>
      </c>
      <c r="Q3398" t="n">
        <v>0</v>
      </c>
      <c r="R3398" s="2" t="inlineStr"/>
    </row>
    <row r="3399" ht="15" customHeight="1">
      <c r="A3399" t="inlineStr">
        <is>
          <t>A 49794-2020</t>
        </is>
      </c>
      <c r="B3399" s="1" t="n">
        <v>44106</v>
      </c>
      <c r="C3399" s="1" t="n">
        <v>45810</v>
      </c>
      <c r="D3399" t="inlineStr">
        <is>
          <t>VÄRMLANDS LÄN</t>
        </is>
      </c>
      <c r="E3399" t="inlineStr">
        <is>
          <t>SUNNE</t>
        </is>
      </c>
      <c r="G3399" t="n">
        <v>9.9</v>
      </c>
      <c r="H3399" t="n">
        <v>0</v>
      </c>
      <c r="I3399" t="n">
        <v>0</v>
      </c>
      <c r="J3399" t="n">
        <v>0</v>
      </c>
      <c r="K3399" t="n">
        <v>0</v>
      </c>
      <c r="L3399" t="n">
        <v>0</v>
      </c>
      <c r="M3399" t="n">
        <v>0</v>
      </c>
      <c r="N3399" t="n">
        <v>0</v>
      </c>
      <c r="O3399" t="n">
        <v>0</v>
      </c>
      <c r="P3399" t="n">
        <v>0</v>
      </c>
      <c r="Q3399" t="n">
        <v>0</v>
      </c>
      <c r="R3399" s="2" t="inlineStr"/>
    </row>
    <row r="3400" ht="15" customHeight="1">
      <c r="A3400" t="inlineStr">
        <is>
          <t>A 49876-2020</t>
        </is>
      </c>
      <c r="B3400" s="1" t="n">
        <v>44107</v>
      </c>
      <c r="C3400" s="1" t="n">
        <v>45810</v>
      </c>
      <c r="D3400" t="inlineStr">
        <is>
          <t>VÄRMLANDS LÄN</t>
        </is>
      </c>
      <c r="E3400" t="inlineStr">
        <is>
          <t>SUNNE</t>
        </is>
      </c>
      <c r="G3400" t="n">
        <v>0.3</v>
      </c>
      <c r="H3400" t="n">
        <v>0</v>
      </c>
      <c r="I3400" t="n">
        <v>0</v>
      </c>
      <c r="J3400" t="n">
        <v>0</v>
      </c>
      <c r="K3400" t="n">
        <v>0</v>
      </c>
      <c r="L3400" t="n">
        <v>0</v>
      </c>
      <c r="M3400" t="n">
        <v>0</v>
      </c>
      <c r="N3400" t="n">
        <v>0</v>
      </c>
      <c r="O3400" t="n">
        <v>0</v>
      </c>
      <c r="P3400" t="n">
        <v>0</v>
      </c>
      <c r="Q3400" t="n">
        <v>0</v>
      </c>
      <c r="R3400" s="2" t="inlineStr"/>
    </row>
    <row r="3401" ht="15" customHeight="1">
      <c r="A3401" t="inlineStr">
        <is>
          <t>A 49899-2020</t>
        </is>
      </c>
      <c r="B3401" s="1" t="n">
        <v>44108</v>
      </c>
      <c r="C3401" s="1" t="n">
        <v>45810</v>
      </c>
      <c r="D3401" t="inlineStr">
        <is>
          <t>VÄRMLANDS LÄN</t>
        </is>
      </c>
      <c r="E3401" t="inlineStr">
        <is>
          <t>SUNNE</t>
        </is>
      </c>
      <c r="G3401" t="n">
        <v>3</v>
      </c>
      <c r="H3401" t="n">
        <v>0</v>
      </c>
      <c r="I3401" t="n">
        <v>0</v>
      </c>
      <c r="J3401" t="n">
        <v>0</v>
      </c>
      <c r="K3401" t="n">
        <v>0</v>
      </c>
      <c r="L3401" t="n">
        <v>0</v>
      </c>
      <c r="M3401" t="n">
        <v>0</v>
      </c>
      <c r="N3401" t="n">
        <v>0</v>
      </c>
      <c r="O3401" t="n">
        <v>0</v>
      </c>
      <c r="P3401" t="n">
        <v>0</v>
      </c>
      <c r="Q3401" t="n">
        <v>0</v>
      </c>
      <c r="R3401" s="2" t="inlineStr"/>
    </row>
    <row r="3402" ht="15" customHeight="1">
      <c r="A3402" t="inlineStr">
        <is>
          <t>A 49900-2020</t>
        </is>
      </c>
      <c r="B3402" s="1" t="n">
        <v>44108</v>
      </c>
      <c r="C3402" s="1" t="n">
        <v>45810</v>
      </c>
      <c r="D3402" t="inlineStr">
        <is>
          <t>VÄRMLANDS LÄN</t>
        </is>
      </c>
      <c r="E3402" t="inlineStr">
        <is>
          <t>SUNNE</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49902-2020</t>
        </is>
      </c>
      <c r="B3403" s="1" t="n">
        <v>44108</v>
      </c>
      <c r="C3403" s="1" t="n">
        <v>45810</v>
      </c>
      <c r="D3403" t="inlineStr">
        <is>
          <t>VÄRMLANDS LÄN</t>
        </is>
      </c>
      <c r="E3403" t="inlineStr">
        <is>
          <t>SUNNE</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50037-2020</t>
        </is>
      </c>
      <c r="B3404" s="1" t="n">
        <v>44109</v>
      </c>
      <c r="C3404" s="1" t="n">
        <v>45810</v>
      </c>
      <c r="D3404" t="inlineStr">
        <is>
          <t>VÄRMLANDS LÄN</t>
        </is>
      </c>
      <c r="E3404" t="inlineStr">
        <is>
          <t>SUNNE</t>
        </is>
      </c>
      <c r="G3404" t="n">
        <v>6.8</v>
      </c>
      <c r="H3404" t="n">
        <v>0</v>
      </c>
      <c r="I3404" t="n">
        <v>0</v>
      </c>
      <c r="J3404" t="n">
        <v>0</v>
      </c>
      <c r="K3404" t="n">
        <v>0</v>
      </c>
      <c r="L3404" t="n">
        <v>0</v>
      </c>
      <c r="M3404" t="n">
        <v>0</v>
      </c>
      <c r="N3404" t="n">
        <v>0</v>
      </c>
      <c r="O3404" t="n">
        <v>0</v>
      </c>
      <c r="P3404" t="n">
        <v>0</v>
      </c>
      <c r="Q3404" t="n">
        <v>0</v>
      </c>
      <c r="R3404" s="2" t="inlineStr"/>
    </row>
    <row r="3405" ht="15" customHeight="1">
      <c r="A3405" t="inlineStr">
        <is>
          <t>A 50078-2020</t>
        </is>
      </c>
      <c r="B3405" s="1" t="n">
        <v>44109</v>
      </c>
      <c r="C3405" s="1" t="n">
        <v>45810</v>
      </c>
      <c r="D3405" t="inlineStr">
        <is>
          <t>VÄRMLANDS LÄN</t>
        </is>
      </c>
      <c r="E3405" t="inlineStr">
        <is>
          <t>HAGFORS</t>
        </is>
      </c>
      <c r="G3405" t="n">
        <v>3.4</v>
      </c>
      <c r="H3405" t="n">
        <v>0</v>
      </c>
      <c r="I3405" t="n">
        <v>0</v>
      </c>
      <c r="J3405" t="n">
        <v>0</v>
      </c>
      <c r="K3405" t="n">
        <v>0</v>
      </c>
      <c r="L3405" t="n">
        <v>0</v>
      </c>
      <c r="M3405" t="n">
        <v>0</v>
      </c>
      <c r="N3405" t="n">
        <v>0</v>
      </c>
      <c r="O3405" t="n">
        <v>0</v>
      </c>
      <c r="P3405" t="n">
        <v>0</v>
      </c>
      <c r="Q3405" t="n">
        <v>0</v>
      </c>
      <c r="R3405" s="2" t="inlineStr"/>
    </row>
    <row r="3406" ht="15" customHeight="1">
      <c r="A3406" t="inlineStr">
        <is>
          <t>A 50084-2020</t>
        </is>
      </c>
      <c r="B3406" s="1" t="n">
        <v>44109</v>
      </c>
      <c r="C3406" s="1" t="n">
        <v>45810</v>
      </c>
      <c r="D3406" t="inlineStr">
        <is>
          <t>VÄRMLANDS LÄN</t>
        </is>
      </c>
      <c r="E3406" t="inlineStr">
        <is>
          <t>TORSBY</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50092-2020</t>
        </is>
      </c>
      <c r="B3407" s="1" t="n">
        <v>44109</v>
      </c>
      <c r="C3407" s="1" t="n">
        <v>45810</v>
      </c>
      <c r="D3407" t="inlineStr">
        <is>
          <t>VÄRMLANDS LÄN</t>
        </is>
      </c>
      <c r="E3407" t="inlineStr">
        <is>
          <t>TORSBY</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50103-2020</t>
        </is>
      </c>
      <c r="B3408" s="1" t="n">
        <v>44109</v>
      </c>
      <c r="C3408" s="1" t="n">
        <v>45810</v>
      </c>
      <c r="D3408" t="inlineStr">
        <is>
          <t>VÄRMLANDS LÄN</t>
        </is>
      </c>
      <c r="E3408" t="inlineStr">
        <is>
          <t>TORSBY</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50079-2020</t>
        </is>
      </c>
      <c r="B3409" s="1" t="n">
        <v>44109</v>
      </c>
      <c r="C3409" s="1" t="n">
        <v>45810</v>
      </c>
      <c r="D3409" t="inlineStr">
        <is>
          <t>VÄRMLANDS LÄN</t>
        </is>
      </c>
      <c r="E3409" t="inlineStr">
        <is>
          <t>STORFORS</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50210-2020</t>
        </is>
      </c>
      <c r="B3410" s="1" t="n">
        <v>44109</v>
      </c>
      <c r="C3410" s="1" t="n">
        <v>45810</v>
      </c>
      <c r="D3410" t="inlineStr">
        <is>
          <t>VÄRMLANDS LÄN</t>
        </is>
      </c>
      <c r="E3410" t="inlineStr">
        <is>
          <t>FILIPSTAD</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50221-2020</t>
        </is>
      </c>
      <c r="B3411" s="1" t="n">
        <v>44109</v>
      </c>
      <c r="C3411" s="1" t="n">
        <v>45810</v>
      </c>
      <c r="D3411" t="inlineStr">
        <is>
          <t>VÄRMLANDS LÄN</t>
        </is>
      </c>
      <c r="E3411" t="inlineStr">
        <is>
          <t>EDA</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50080-2020</t>
        </is>
      </c>
      <c r="B3412" s="1" t="n">
        <v>44109</v>
      </c>
      <c r="C3412" s="1" t="n">
        <v>45810</v>
      </c>
      <c r="D3412" t="inlineStr">
        <is>
          <t>VÄRMLANDS LÄN</t>
        </is>
      </c>
      <c r="E3412" t="inlineStr">
        <is>
          <t>HAGFORS</t>
        </is>
      </c>
      <c r="G3412" t="n">
        <v>3.5</v>
      </c>
      <c r="H3412" t="n">
        <v>0</v>
      </c>
      <c r="I3412" t="n">
        <v>0</v>
      </c>
      <c r="J3412" t="n">
        <v>0</v>
      </c>
      <c r="K3412" t="n">
        <v>0</v>
      </c>
      <c r="L3412" t="n">
        <v>0</v>
      </c>
      <c r="M3412" t="n">
        <v>0</v>
      </c>
      <c r="N3412" t="n">
        <v>0</v>
      </c>
      <c r="O3412" t="n">
        <v>0</v>
      </c>
      <c r="P3412" t="n">
        <v>0</v>
      </c>
      <c r="Q3412" t="n">
        <v>0</v>
      </c>
      <c r="R3412" s="2" t="inlineStr"/>
    </row>
    <row r="3413" ht="15" customHeight="1">
      <c r="A3413" t="inlineStr">
        <is>
          <t>A 50096-2020</t>
        </is>
      </c>
      <c r="B3413" s="1" t="n">
        <v>44109</v>
      </c>
      <c r="C3413" s="1" t="n">
        <v>45810</v>
      </c>
      <c r="D3413" t="inlineStr">
        <is>
          <t>VÄRMLANDS LÄN</t>
        </is>
      </c>
      <c r="E3413" t="inlineStr">
        <is>
          <t>TORSBY</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51867-2020</t>
        </is>
      </c>
      <c r="B3414" s="1" t="n">
        <v>44109</v>
      </c>
      <c r="C3414" s="1" t="n">
        <v>45810</v>
      </c>
      <c r="D3414" t="inlineStr">
        <is>
          <t>VÄRMLANDS LÄN</t>
        </is>
      </c>
      <c r="E3414" t="inlineStr">
        <is>
          <t>KIL</t>
        </is>
      </c>
      <c r="F3414" t="inlineStr">
        <is>
          <t>Kommuner</t>
        </is>
      </c>
      <c r="G3414" t="n">
        <v>3.7</v>
      </c>
      <c r="H3414" t="n">
        <v>0</v>
      </c>
      <c r="I3414" t="n">
        <v>0</v>
      </c>
      <c r="J3414" t="n">
        <v>0</v>
      </c>
      <c r="K3414" t="n">
        <v>0</v>
      </c>
      <c r="L3414" t="n">
        <v>0</v>
      </c>
      <c r="M3414" t="n">
        <v>0</v>
      </c>
      <c r="N3414" t="n">
        <v>0</v>
      </c>
      <c r="O3414" t="n">
        <v>0</v>
      </c>
      <c r="P3414" t="n">
        <v>0</v>
      </c>
      <c r="Q3414" t="n">
        <v>0</v>
      </c>
      <c r="R3414" s="2" t="inlineStr"/>
    </row>
    <row r="3415" ht="15" customHeight="1">
      <c r="A3415" t="inlineStr">
        <is>
          <t>A 51882-2020</t>
        </is>
      </c>
      <c r="B3415" s="1" t="n">
        <v>44109</v>
      </c>
      <c r="C3415" s="1" t="n">
        <v>45810</v>
      </c>
      <c r="D3415" t="inlineStr">
        <is>
          <t>VÄRMLANDS LÄN</t>
        </is>
      </c>
      <c r="E3415" t="inlineStr">
        <is>
          <t>KIL</t>
        </is>
      </c>
      <c r="F3415" t="inlineStr">
        <is>
          <t>Kommuner</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51878-2020</t>
        </is>
      </c>
      <c r="B3416" s="1" t="n">
        <v>44109</v>
      </c>
      <c r="C3416" s="1" t="n">
        <v>45810</v>
      </c>
      <c r="D3416" t="inlineStr">
        <is>
          <t>VÄRMLANDS LÄN</t>
        </is>
      </c>
      <c r="E3416" t="inlineStr">
        <is>
          <t>KIL</t>
        </is>
      </c>
      <c r="F3416" t="inlineStr">
        <is>
          <t>Kommuner</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51940-2020</t>
        </is>
      </c>
      <c r="B3417" s="1" t="n">
        <v>44109</v>
      </c>
      <c r="C3417" s="1" t="n">
        <v>45810</v>
      </c>
      <c r="D3417" t="inlineStr">
        <is>
          <t>VÄRMLANDS LÄN</t>
        </is>
      </c>
      <c r="E3417" t="inlineStr">
        <is>
          <t>STORFORS</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51876-2020</t>
        </is>
      </c>
      <c r="B3418" s="1" t="n">
        <v>44109</v>
      </c>
      <c r="C3418" s="1" t="n">
        <v>45810</v>
      </c>
      <c r="D3418" t="inlineStr">
        <is>
          <t>VÄRMLANDS LÄN</t>
        </is>
      </c>
      <c r="E3418" t="inlineStr">
        <is>
          <t>KIL</t>
        </is>
      </c>
      <c r="F3418" t="inlineStr">
        <is>
          <t>Kommuner</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51942-2020</t>
        </is>
      </c>
      <c r="B3419" s="1" t="n">
        <v>44109</v>
      </c>
      <c r="C3419" s="1" t="n">
        <v>45810</v>
      </c>
      <c r="D3419" t="inlineStr">
        <is>
          <t>VÄRMLANDS LÄN</t>
        </is>
      </c>
      <c r="E3419" t="inlineStr">
        <is>
          <t>STORFORS</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49983-2020</t>
        </is>
      </c>
      <c r="B3420" s="1" t="n">
        <v>44109</v>
      </c>
      <c r="C3420" s="1" t="n">
        <v>45810</v>
      </c>
      <c r="D3420" t="inlineStr">
        <is>
          <t>VÄRMLANDS LÄN</t>
        </is>
      </c>
      <c r="E3420" t="inlineStr">
        <is>
          <t>SUNNE</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49945-2020</t>
        </is>
      </c>
      <c r="B3421" s="1" t="n">
        <v>44109</v>
      </c>
      <c r="C3421" s="1" t="n">
        <v>45810</v>
      </c>
      <c r="D3421" t="inlineStr">
        <is>
          <t>VÄRMLANDS LÄN</t>
        </is>
      </c>
      <c r="E3421" t="inlineStr">
        <is>
          <t>ÅRJÄNG</t>
        </is>
      </c>
      <c r="G3421" t="n">
        <v>11.7</v>
      </c>
      <c r="H3421" t="n">
        <v>0</v>
      </c>
      <c r="I3421" t="n">
        <v>0</v>
      </c>
      <c r="J3421" t="n">
        <v>0</v>
      </c>
      <c r="K3421" t="n">
        <v>0</v>
      </c>
      <c r="L3421" t="n">
        <v>0</v>
      </c>
      <c r="M3421" t="n">
        <v>0</v>
      </c>
      <c r="N3421" t="n">
        <v>0</v>
      </c>
      <c r="O3421" t="n">
        <v>0</v>
      </c>
      <c r="P3421" t="n">
        <v>0</v>
      </c>
      <c r="Q3421" t="n">
        <v>0</v>
      </c>
      <c r="R3421" s="2" t="inlineStr"/>
    </row>
    <row r="3422" ht="15" customHeight="1">
      <c r="A3422" t="inlineStr">
        <is>
          <t>A 50294-2020</t>
        </is>
      </c>
      <c r="B3422" s="1" t="n">
        <v>44110</v>
      </c>
      <c r="C3422" s="1" t="n">
        <v>45810</v>
      </c>
      <c r="D3422" t="inlineStr">
        <is>
          <t>VÄRMLANDS LÄN</t>
        </is>
      </c>
      <c r="E3422" t="inlineStr">
        <is>
          <t>EDA</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50439-2020</t>
        </is>
      </c>
      <c r="B3423" s="1" t="n">
        <v>44110</v>
      </c>
      <c r="C3423" s="1" t="n">
        <v>45810</v>
      </c>
      <c r="D3423" t="inlineStr">
        <is>
          <t>VÄRMLANDS LÄN</t>
        </is>
      </c>
      <c r="E3423" t="inlineStr">
        <is>
          <t>EDA</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50471-2020</t>
        </is>
      </c>
      <c r="B3424" s="1" t="n">
        <v>44110</v>
      </c>
      <c r="C3424" s="1" t="n">
        <v>45810</v>
      </c>
      <c r="D3424" t="inlineStr">
        <is>
          <t>VÄRMLANDS LÄN</t>
        </is>
      </c>
      <c r="E3424" t="inlineStr">
        <is>
          <t>STORFORS</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50484-2020</t>
        </is>
      </c>
      <c r="B3425" s="1" t="n">
        <v>44110</v>
      </c>
      <c r="C3425" s="1" t="n">
        <v>45810</v>
      </c>
      <c r="D3425" t="inlineStr">
        <is>
          <t>VÄRMLANDS LÄN</t>
        </is>
      </c>
      <c r="E3425" t="inlineStr">
        <is>
          <t>SÄFFLE</t>
        </is>
      </c>
      <c r="G3425" t="n">
        <v>3.5</v>
      </c>
      <c r="H3425" t="n">
        <v>0</v>
      </c>
      <c r="I3425" t="n">
        <v>0</v>
      </c>
      <c r="J3425" t="n">
        <v>0</v>
      </c>
      <c r="K3425" t="n">
        <v>0</v>
      </c>
      <c r="L3425" t="n">
        <v>0</v>
      </c>
      <c r="M3425" t="n">
        <v>0</v>
      </c>
      <c r="N3425" t="n">
        <v>0</v>
      </c>
      <c r="O3425" t="n">
        <v>0</v>
      </c>
      <c r="P3425" t="n">
        <v>0</v>
      </c>
      <c r="Q3425" t="n">
        <v>0</v>
      </c>
      <c r="R3425" s="2" t="inlineStr"/>
    </row>
    <row r="3426" ht="15" customHeight="1">
      <c r="A3426" t="inlineStr">
        <is>
          <t>A 50296-2020</t>
        </is>
      </c>
      <c r="B3426" s="1" t="n">
        <v>44110</v>
      </c>
      <c r="C3426" s="1" t="n">
        <v>45810</v>
      </c>
      <c r="D3426" t="inlineStr">
        <is>
          <t>VÄRMLANDS LÄN</t>
        </is>
      </c>
      <c r="E3426" t="inlineStr">
        <is>
          <t>ÅRJÄNG</t>
        </is>
      </c>
      <c r="G3426" t="n">
        <v>7.4</v>
      </c>
      <c r="H3426" t="n">
        <v>0</v>
      </c>
      <c r="I3426" t="n">
        <v>0</v>
      </c>
      <c r="J3426" t="n">
        <v>0</v>
      </c>
      <c r="K3426" t="n">
        <v>0</v>
      </c>
      <c r="L3426" t="n">
        <v>0</v>
      </c>
      <c r="M3426" t="n">
        <v>0</v>
      </c>
      <c r="N3426" t="n">
        <v>0</v>
      </c>
      <c r="O3426" t="n">
        <v>0</v>
      </c>
      <c r="P3426" t="n">
        <v>0</v>
      </c>
      <c r="Q3426" t="n">
        <v>0</v>
      </c>
      <c r="R3426" s="2" t="inlineStr"/>
    </row>
    <row r="3427" ht="15" customHeight="1">
      <c r="A3427" t="inlineStr">
        <is>
          <t>A 50486-2020</t>
        </is>
      </c>
      <c r="B3427" s="1" t="n">
        <v>44110</v>
      </c>
      <c r="C3427" s="1" t="n">
        <v>45810</v>
      </c>
      <c r="D3427" t="inlineStr">
        <is>
          <t>VÄRMLANDS LÄN</t>
        </is>
      </c>
      <c r="E3427" t="inlineStr">
        <is>
          <t>TORSBY</t>
        </is>
      </c>
      <c r="G3427" t="n">
        <v>2.2</v>
      </c>
      <c r="H3427" t="n">
        <v>0</v>
      </c>
      <c r="I3427" t="n">
        <v>0</v>
      </c>
      <c r="J3427" t="n">
        <v>0</v>
      </c>
      <c r="K3427" t="n">
        <v>0</v>
      </c>
      <c r="L3427" t="n">
        <v>0</v>
      </c>
      <c r="M3427" t="n">
        <v>0</v>
      </c>
      <c r="N3427" t="n">
        <v>0</v>
      </c>
      <c r="O3427" t="n">
        <v>0</v>
      </c>
      <c r="P3427" t="n">
        <v>0</v>
      </c>
      <c r="Q3427" t="n">
        <v>0</v>
      </c>
      <c r="R3427" s="2" t="inlineStr"/>
    </row>
    <row r="3428" ht="15" customHeight="1">
      <c r="A3428" t="inlineStr">
        <is>
          <t>A 50504-2020</t>
        </is>
      </c>
      <c r="B3428" s="1" t="n">
        <v>44110</v>
      </c>
      <c r="C3428" s="1" t="n">
        <v>45810</v>
      </c>
      <c r="D3428" t="inlineStr">
        <is>
          <t>VÄRMLANDS LÄN</t>
        </is>
      </c>
      <c r="E3428" t="inlineStr">
        <is>
          <t>KRISTINEHAMN</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50539-2020</t>
        </is>
      </c>
      <c r="B3429" s="1" t="n">
        <v>44110</v>
      </c>
      <c r="C3429" s="1" t="n">
        <v>45810</v>
      </c>
      <c r="D3429" t="inlineStr">
        <is>
          <t>VÄRMLANDS LÄN</t>
        </is>
      </c>
      <c r="E3429" t="inlineStr">
        <is>
          <t>HAGFORS</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50373-2020</t>
        </is>
      </c>
      <c r="B3430" s="1" t="n">
        <v>44110</v>
      </c>
      <c r="C3430" s="1" t="n">
        <v>45810</v>
      </c>
      <c r="D3430" t="inlineStr">
        <is>
          <t>VÄRMLANDS LÄN</t>
        </is>
      </c>
      <c r="E3430" t="inlineStr">
        <is>
          <t>EDA</t>
        </is>
      </c>
      <c r="G3430" t="n">
        <v>6.3</v>
      </c>
      <c r="H3430" t="n">
        <v>0</v>
      </c>
      <c r="I3430" t="n">
        <v>0</v>
      </c>
      <c r="J3430" t="n">
        <v>0</v>
      </c>
      <c r="K3430" t="n">
        <v>0</v>
      </c>
      <c r="L3430" t="n">
        <v>0</v>
      </c>
      <c r="M3430" t="n">
        <v>0</v>
      </c>
      <c r="N3430" t="n">
        <v>0</v>
      </c>
      <c r="O3430" t="n">
        <v>0</v>
      </c>
      <c r="P3430" t="n">
        <v>0</v>
      </c>
      <c r="Q3430" t="n">
        <v>0</v>
      </c>
      <c r="R3430" s="2" t="inlineStr"/>
    </row>
    <row r="3431" ht="15" customHeight="1">
      <c r="A3431" t="inlineStr">
        <is>
          <t>A 50448-2020</t>
        </is>
      </c>
      <c r="B3431" s="1" t="n">
        <v>44110</v>
      </c>
      <c r="C3431" s="1" t="n">
        <v>45810</v>
      </c>
      <c r="D3431" t="inlineStr">
        <is>
          <t>VÄRMLANDS LÄN</t>
        </is>
      </c>
      <c r="E3431" t="inlineStr">
        <is>
          <t>SUNNE</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50482-2020</t>
        </is>
      </c>
      <c r="B3432" s="1" t="n">
        <v>44110</v>
      </c>
      <c r="C3432" s="1" t="n">
        <v>45810</v>
      </c>
      <c r="D3432" t="inlineStr">
        <is>
          <t>VÄRMLANDS LÄN</t>
        </is>
      </c>
      <c r="E3432" t="inlineStr">
        <is>
          <t>HAGFORS</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50295-2020</t>
        </is>
      </c>
      <c r="B3433" s="1" t="n">
        <v>44110</v>
      </c>
      <c r="C3433" s="1" t="n">
        <v>45810</v>
      </c>
      <c r="D3433" t="inlineStr">
        <is>
          <t>VÄRMLANDS LÄN</t>
        </is>
      </c>
      <c r="E3433" t="inlineStr">
        <is>
          <t>ÅRJÄNG</t>
        </is>
      </c>
      <c r="G3433" t="n">
        <v>3.5</v>
      </c>
      <c r="H3433" t="n">
        <v>0</v>
      </c>
      <c r="I3433" t="n">
        <v>0</v>
      </c>
      <c r="J3433" t="n">
        <v>0</v>
      </c>
      <c r="K3433" t="n">
        <v>0</v>
      </c>
      <c r="L3433" t="n">
        <v>0</v>
      </c>
      <c r="M3433" t="n">
        <v>0</v>
      </c>
      <c r="N3433" t="n">
        <v>0</v>
      </c>
      <c r="O3433" t="n">
        <v>0</v>
      </c>
      <c r="P3433" t="n">
        <v>0</v>
      </c>
      <c r="Q3433" t="n">
        <v>0</v>
      </c>
      <c r="R3433" s="2" t="inlineStr"/>
    </row>
    <row r="3434" ht="15" customHeight="1">
      <c r="A3434" t="inlineStr">
        <is>
          <t>A 50543-2020</t>
        </is>
      </c>
      <c r="B3434" s="1" t="n">
        <v>44110</v>
      </c>
      <c r="C3434" s="1" t="n">
        <v>45810</v>
      </c>
      <c r="D3434" t="inlineStr">
        <is>
          <t>VÄRMLANDS LÄN</t>
        </is>
      </c>
      <c r="E3434" t="inlineStr">
        <is>
          <t>HAGFORS</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50563-2020</t>
        </is>
      </c>
      <c r="B3435" s="1" t="n">
        <v>44110</v>
      </c>
      <c r="C3435" s="1" t="n">
        <v>45810</v>
      </c>
      <c r="D3435" t="inlineStr">
        <is>
          <t>VÄRMLANDS LÄN</t>
        </is>
      </c>
      <c r="E3435" t="inlineStr">
        <is>
          <t>HAGFORS</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51956-2020</t>
        </is>
      </c>
      <c r="B3436" s="1" t="n">
        <v>44110</v>
      </c>
      <c r="C3436" s="1" t="n">
        <v>45810</v>
      </c>
      <c r="D3436" t="inlineStr">
        <is>
          <t>VÄRMLANDS LÄN</t>
        </is>
      </c>
      <c r="E3436" t="inlineStr">
        <is>
          <t>KARLSTAD</t>
        </is>
      </c>
      <c r="G3436" t="n">
        <v>6</v>
      </c>
      <c r="H3436" t="n">
        <v>0</v>
      </c>
      <c r="I3436" t="n">
        <v>0</v>
      </c>
      <c r="J3436" t="n">
        <v>0</v>
      </c>
      <c r="K3436" t="n">
        <v>0</v>
      </c>
      <c r="L3436" t="n">
        <v>0</v>
      </c>
      <c r="M3436" t="n">
        <v>0</v>
      </c>
      <c r="N3436" t="n">
        <v>0</v>
      </c>
      <c r="O3436" t="n">
        <v>0</v>
      </c>
      <c r="P3436" t="n">
        <v>0</v>
      </c>
      <c r="Q3436" t="n">
        <v>0</v>
      </c>
      <c r="R3436" s="2" t="inlineStr"/>
    </row>
    <row r="3437" ht="15" customHeight="1">
      <c r="A3437" t="inlineStr">
        <is>
          <t>A 51948-2020</t>
        </is>
      </c>
      <c r="B3437" s="1" t="n">
        <v>44110</v>
      </c>
      <c r="C3437" s="1" t="n">
        <v>45810</v>
      </c>
      <c r="D3437" t="inlineStr">
        <is>
          <t>VÄRMLANDS LÄN</t>
        </is>
      </c>
      <c r="E3437" t="inlineStr">
        <is>
          <t>KARLSTAD</t>
        </is>
      </c>
      <c r="G3437" t="n">
        <v>9</v>
      </c>
      <c r="H3437" t="n">
        <v>0</v>
      </c>
      <c r="I3437" t="n">
        <v>0</v>
      </c>
      <c r="J3437" t="n">
        <v>0</v>
      </c>
      <c r="K3437" t="n">
        <v>0</v>
      </c>
      <c r="L3437" t="n">
        <v>0</v>
      </c>
      <c r="M3437" t="n">
        <v>0</v>
      </c>
      <c r="N3437" t="n">
        <v>0</v>
      </c>
      <c r="O3437" t="n">
        <v>0</v>
      </c>
      <c r="P3437" t="n">
        <v>0</v>
      </c>
      <c r="Q3437" t="n">
        <v>0</v>
      </c>
      <c r="R3437" s="2" t="inlineStr"/>
    </row>
    <row r="3438" ht="15" customHeight="1">
      <c r="A3438" t="inlineStr">
        <is>
          <t>A 50668-2020</t>
        </is>
      </c>
      <c r="B3438" s="1" t="n">
        <v>44111</v>
      </c>
      <c r="C3438" s="1" t="n">
        <v>45810</v>
      </c>
      <c r="D3438" t="inlineStr">
        <is>
          <t>VÄRMLANDS LÄN</t>
        </is>
      </c>
      <c r="E3438" t="inlineStr">
        <is>
          <t>KRISTINEHAMN</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50673-2020</t>
        </is>
      </c>
      <c r="B3439" s="1" t="n">
        <v>44111</v>
      </c>
      <c r="C3439" s="1" t="n">
        <v>45810</v>
      </c>
      <c r="D3439" t="inlineStr">
        <is>
          <t>VÄRMLANDS LÄN</t>
        </is>
      </c>
      <c r="E3439" t="inlineStr">
        <is>
          <t>KRISTINEHAMN</t>
        </is>
      </c>
      <c r="G3439" t="n">
        <v>0.1</v>
      </c>
      <c r="H3439" t="n">
        <v>0</v>
      </c>
      <c r="I3439" t="n">
        <v>0</v>
      </c>
      <c r="J3439" t="n">
        <v>0</v>
      </c>
      <c r="K3439" t="n">
        <v>0</v>
      </c>
      <c r="L3439" t="n">
        <v>0</v>
      </c>
      <c r="M3439" t="n">
        <v>0</v>
      </c>
      <c r="N3439" t="n">
        <v>0</v>
      </c>
      <c r="O3439" t="n">
        <v>0</v>
      </c>
      <c r="P3439" t="n">
        <v>0</v>
      </c>
      <c r="Q3439" t="n">
        <v>0</v>
      </c>
      <c r="R3439" s="2" t="inlineStr"/>
    </row>
    <row r="3440" ht="15" customHeight="1">
      <c r="A3440" t="inlineStr">
        <is>
          <t>A 50944-2020</t>
        </is>
      </c>
      <c r="B3440" s="1" t="n">
        <v>44111</v>
      </c>
      <c r="C3440" s="1" t="n">
        <v>45810</v>
      </c>
      <c r="D3440" t="inlineStr">
        <is>
          <t>VÄRMLANDS LÄN</t>
        </is>
      </c>
      <c r="E3440" t="inlineStr">
        <is>
          <t>KIL</t>
        </is>
      </c>
      <c r="G3440" t="n">
        <v>5.5</v>
      </c>
      <c r="H3440" t="n">
        <v>0</v>
      </c>
      <c r="I3440" t="n">
        <v>0</v>
      </c>
      <c r="J3440" t="n">
        <v>0</v>
      </c>
      <c r="K3440" t="n">
        <v>0</v>
      </c>
      <c r="L3440" t="n">
        <v>0</v>
      </c>
      <c r="M3440" t="n">
        <v>0</v>
      </c>
      <c r="N3440" t="n">
        <v>0</v>
      </c>
      <c r="O3440" t="n">
        <v>0</v>
      </c>
      <c r="P3440" t="n">
        <v>0</v>
      </c>
      <c r="Q3440" t="n">
        <v>0</v>
      </c>
      <c r="R3440" s="2" t="inlineStr"/>
    </row>
    <row r="3441" ht="15" customHeight="1">
      <c r="A3441" t="inlineStr">
        <is>
          <t>A 50943-2020</t>
        </is>
      </c>
      <c r="B3441" s="1" t="n">
        <v>44111</v>
      </c>
      <c r="C3441" s="1" t="n">
        <v>45810</v>
      </c>
      <c r="D3441" t="inlineStr">
        <is>
          <t>VÄRMLANDS LÄN</t>
        </is>
      </c>
      <c r="E3441" t="inlineStr">
        <is>
          <t>TORSBY</t>
        </is>
      </c>
      <c r="F3441" t="inlineStr">
        <is>
          <t>Bergvik skog väst AB</t>
        </is>
      </c>
      <c r="G3441" t="n">
        <v>18.4</v>
      </c>
      <c r="H3441" t="n">
        <v>0</v>
      </c>
      <c r="I3441" t="n">
        <v>0</v>
      </c>
      <c r="J3441" t="n">
        <v>0</v>
      </c>
      <c r="K3441" t="n">
        <v>0</v>
      </c>
      <c r="L3441" t="n">
        <v>0</v>
      </c>
      <c r="M3441" t="n">
        <v>0</v>
      </c>
      <c r="N3441" t="n">
        <v>0</v>
      </c>
      <c r="O3441" t="n">
        <v>0</v>
      </c>
      <c r="P3441" t="n">
        <v>0</v>
      </c>
      <c r="Q3441" t="n">
        <v>0</v>
      </c>
      <c r="R3441" s="2" t="inlineStr"/>
    </row>
    <row r="3442" ht="15" customHeight="1">
      <c r="A3442" t="inlineStr">
        <is>
          <t>A 50833-2020</t>
        </is>
      </c>
      <c r="B3442" s="1" t="n">
        <v>44111</v>
      </c>
      <c r="C3442" s="1" t="n">
        <v>45810</v>
      </c>
      <c r="D3442" t="inlineStr">
        <is>
          <t>VÄRMLANDS LÄN</t>
        </is>
      </c>
      <c r="E3442" t="inlineStr">
        <is>
          <t>KARLSTAD</t>
        </is>
      </c>
      <c r="F3442" t="inlineStr">
        <is>
          <t>Kommuner</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51097-2020</t>
        </is>
      </c>
      <c r="B3443" s="1" t="n">
        <v>44112</v>
      </c>
      <c r="C3443" s="1" t="n">
        <v>45810</v>
      </c>
      <c r="D3443" t="inlineStr">
        <is>
          <t>VÄRMLANDS LÄN</t>
        </is>
      </c>
      <c r="E3443" t="inlineStr">
        <is>
          <t>SÄFFLE</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51088-2020</t>
        </is>
      </c>
      <c r="B3444" s="1" t="n">
        <v>44112</v>
      </c>
      <c r="C3444" s="1" t="n">
        <v>45810</v>
      </c>
      <c r="D3444" t="inlineStr">
        <is>
          <t>VÄRMLANDS LÄN</t>
        </is>
      </c>
      <c r="E3444" t="inlineStr">
        <is>
          <t>SÄFFLE</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51254-2020</t>
        </is>
      </c>
      <c r="B3445" s="1" t="n">
        <v>44112</v>
      </c>
      <c r="C3445" s="1" t="n">
        <v>45810</v>
      </c>
      <c r="D3445" t="inlineStr">
        <is>
          <t>VÄRMLANDS LÄN</t>
        </is>
      </c>
      <c r="E3445" t="inlineStr">
        <is>
          <t>FILIPSTAD</t>
        </is>
      </c>
      <c r="F3445" t="inlineStr">
        <is>
          <t>Bergvik skog väst AB</t>
        </is>
      </c>
      <c r="G3445" t="n">
        <v>2.4</v>
      </c>
      <c r="H3445" t="n">
        <v>0</v>
      </c>
      <c r="I3445" t="n">
        <v>0</v>
      </c>
      <c r="J3445" t="n">
        <v>0</v>
      </c>
      <c r="K3445" t="n">
        <v>0</v>
      </c>
      <c r="L3445" t="n">
        <v>0</v>
      </c>
      <c r="M3445" t="n">
        <v>0</v>
      </c>
      <c r="N3445" t="n">
        <v>0</v>
      </c>
      <c r="O3445" t="n">
        <v>0</v>
      </c>
      <c r="P3445" t="n">
        <v>0</v>
      </c>
      <c r="Q3445" t="n">
        <v>0</v>
      </c>
      <c r="R3445" s="2" t="inlineStr"/>
    </row>
    <row r="3446" ht="15" customHeight="1">
      <c r="A3446" t="inlineStr">
        <is>
          <t>A 51300-2020</t>
        </is>
      </c>
      <c r="B3446" s="1" t="n">
        <v>44112</v>
      </c>
      <c r="C3446" s="1" t="n">
        <v>45810</v>
      </c>
      <c r="D3446" t="inlineStr">
        <is>
          <t>VÄRMLANDS LÄN</t>
        </is>
      </c>
      <c r="E3446" t="inlineStr">
        <is>
          <t>FILIPSTAD</t>
        </is>
      </c>
      <c r="F3446" t="inlineStr">
        <is>
          <t>Bergvik skog väst AB</t>
        </is>
      </c>
      <c r="G3446" t="n">
        <v>10.8</v>
      </c>
      <c r="H3446" t="n">
        <v>0</v>
      </c>
      <c r="I3446" t="n">
        <v>0</v>
      </c>
      <c r="J3446" t="n">
        <v>0</v>
      </c>
      <c r="K3446" t="n">
        <v>0</v>
      </c>
      <c r="L3446" t="n">
        <v>0</v>
      </c>
      <c r="M3446" t="n">
        <v>0</v>
      </c>
      <c r="N3446" t="n">
        <v>0</v>
      </c>
      <c r="O3446" t="n">
        <v>0</v>
      </c>
      <c r="P3446" t="n">
        <v>0</v>
      </c>
      <c r="Q3446" t="n">
        <v>0</v>
      </c>
      <c r="R3446" s="2" t="inlineStr"/>
    </row>
    <row r="3447" ht="15" customHeight="1">
      <c r="A3447" t="inlineStr">
        <is>
          <t>A 51344-2020</t>
        </is>
      </c>
      <c r="B3447" s="1" t="n">
        <v>44112</v>
      </c>
      <c r="C3447" s="1" t="n">
        <v>45810</v>
      </c>
      <c r="D3447" t="inlineStr">
        <is>
          <t>VÄRMLANDS LÄN</t>
        </is>
      </c>
      <c r="E3447" t="inlineStr">
        <is>
          <t>MUNKFORS</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52285-2020</t>
        </is>
      </c>
      <c r="B3448" s="1" t="n">
        <v>44112</v>
      </c>
      <c r="C3448" s="1" t="n">
        <v>45810</v>
      </c>
      <c r="D3448" t="inlineStr">
        <is>
          <t>VÄRMLANDS LÄN</t>
        </is>
      </c>
      <c r="E3448" t="inlineStr">
        <is>
          <t>SÄFFLE</t>
        </is>
      </c>
      <c r="G3448" t="n">
        <v>2.5</v>
      </c>
      <c r="H3448" t="n">
        <v>0</v>
      </c>
      <c r="I3448" t="n">
        <v>0</v>
      </c>
      <c r="J3448" t="n">
        <v>0</v>
      </c>
      <c r="K3448" t="n">
        <v>0</v>
      </c>
      <c r="L3448" t="n">
        <v>0</v>
      </c>
      <c r="M3448" t="n">
        <v>0</v>
      </c>
      <c r="N3448" t="n">
        <v>0</v>
      </c>
      <c r="O3448" t="n">
        <v>0</v>
      </c>
      <c r="P3448" t="n">
        <v>0</v>
      </c>
      <c r="Q3448" t="n">
        <v>0</v>
      </c>
      <c r="R3448" s="2" t="inlineStr"/>
    </row>
    <row r="3449" ht="15" customHeight="1">
      <c r="A3449" t="inlineStr">
        <is>
          <t>A 51380-2020</t>
        </is>
      </c>
      <c r="B3449" s="1" t="n">
        <v>44113</v>
      </c>
      <c r="C3449" s="1" t="n">
        <v>45810</v>
      </c>
      <c r="D3449" t="inlineStr">
        <is>
          <t>VÄRMLANDS LÄN</t>
        </is>
      </c>
      <c r="E3449" t="inlineStr">
        <is>
          <t>TORSBY</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51385-2020</t>
        </is>
      </c>
      <c r="B3450" s="1" t="n">
        <v>44113</v>
      </c>
      <c r="C3450" s="1" t="n">
        <v>45810</v>
      </c>
      <c r="D3450" t="inlineStr">
        <is>
          <t>VÄRMLANDS LÄN</t>
        </is>
      </c>
      <c r="E3450" t="inlineStr">
        <is>
          <t>TORSBY</t>
        </is>
      </c>
      <c r="G3450" t="n">
        <v>6.8</v>
      </c>
      <c r="H3450" t="n">
        <v>0</v>
      </c>
      <c r="I3450" t="n">
        <v>0</v>
      </c>
      <c r="J3450" t="n">
        <v>0</v>
      </c>
      <c r="K3450" t="n">
        <v>0</v>
      </c>
      <c r="L3450" t="n">
        <v>0</v>
      </c>
      <c r="M3450" t="n">
        <v>0</v>
      </c>
      <c r="N3450" t="n">
        <v>0</v>
      </c>
      <c r="O3450" t="n">
        <v>0</v>
      </c>
      <c r="P3450" t="n">
        <v>0</v>
      </c>
      <c r="Q3450" t="n">
        <v>0</v>
      </c>
      <c r="R3450" s="2" t="inlineStr"/>
    </row>
    <row r="3451" ht="15" customHeight="1">
      <c r="A3451" t="inlineStr">
        <is>
          <t>A 51389-2020</t>
        </is>
      </c>
      <c r="B3451" s="1" t="n">
        <v>44113</v>
      </c>
      <c r="C3451" s="1" t="n">
        <v>45810</v>
      </c>
      <c r="D3451" t="inlineStr">
        <is>
          <t>VÄRMLANDS LÄN</t>
        </is>
      </c>
      <c r="E3451" t="inlineStr">
        <is>
          <t>TORSBY</t>
        </is>
      </c>
      <c r="G3451" t="n">
        <v>15.4</v>
      </c>
      <c r="H3451" t="n">
        <v>0</v>
      </c>
      <c r="I3451" t="n">
        <v>0</v>
      </c>
      <c r="J3451" t="n">
        <v>0</v>
      </c>
      <c r="K3451" t="n">
        <v>0</v>
      </c>
      <c r="L3451" t="n">
        <v>0</v>
      </c>
      <c r="M3451" t="n">
        <v>0</v>
      </c>
      <c r="N3451" t="n">
        <v>0</v>
      </c>
      <c r="O3451" t="n">
        <v>0</v>
      </c>
      <c r="P3451" t="n">
        <v>0</v>
      </c>
      <c r="Q3451" t="n">
        <v>0</v>
      </c>
      <c r="R3451" s="2" t="inlineStr"/>
    </row>
    <row r="3452" ht="15" customHeight="1">
      <c r="A3452" t="inlineStr">
        <is>
          <t>A 51428-2020</t>
        </is>
      </c>
      <c r="B3452" s="1" t="n">
        <v>44113</v>
      </c>
      <c r="C3452" s="1" t="n">
        <v>45810</v>
      </c>
      <c r="D3452" t="inlineStr">
        <is>
          <t>VÄRMLANDS LÄN</t>
        </is>
      </c>
      <c r="E3452" t="inlineStr">
        <is>
          <t>HAGFORS</t>
        </is>
      </c>
      <c r="F3452" t="inlineStr">
        <is>
          <t>Bergvik skog väst AB</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51382-2020</t>
        </is>
      </c>
      <c r="B3453" s="1" t="n">
        <v>44113</v>
      </c>
      <c r="C3453" s="1" t="n">
        <v>45810</v>
      </c>
      <c r="D3453" t="inlineStr">
        <is>
          <t>VÄRMLANDS LÄN</t>
        </is>
      </c>
      <c r="E3453" t="inlineStr">
        <is>
          <t>TORSBY</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51455-2020</t>
        </is>
      </c>
      <c r="B3454" s="1" t="n">
        <v>44113</v>
      </c>
      <c r="C3454" s="1" t="n">
        <v>45810</v>
      </c>
      <c r="D3454" t="inlineStr">
        <is>
          <t>VÄRMLANDS LÄN</t>
        </is>
      </c>
      <c r="E3454" t="inlineStr">
        <is>
          <t>ÅRJÄNG</t>
        </is>
      </c>
      <c r="G3454" t="n">
        <v>2.4</v>
      </c>
      <c r="H3454" t="n">
        <v>0</v>
      </c>
      <c r="I3454" t="n">
        <v>0</v>
      </c>
      <c r="J3454" t="n">
        <v>0</v>
      </c>
      <c r="K3454" t="n">
        <v>0</v>
      </c>
      <c r="L3454" t="n">
        <v>0</v>
      </c>
      <c r="M3454" t="n">
        <v>0</v>
      </c>
      <c r="N3454" t="n">
        <v>0</v>
      </c>
      <c r="O3454" t="n">
        <v>0</v>
      </c>
      <c r="P3454" t="n">
        <v>0</v>
      </c>
      <c r="Q3454" t="n">
        <v>0</v>
      </c>
      <c r="R3454" s="2" t="inlineStr"/>
    </row>
    <row r="3455" ht="15" customHeight="1">
      <c r="A3455" t="inlineStr">
        <is>
          <t>A 51381-2020</t>
        </is>
      </c>
      <c r="B3455" s="1" t="n">
        <v>44113</v>
      </c>
      <c r="C3455" s="1" t="n">
        <v>45810</v>
      </c>
      <c r="D3455" t="inlineStr">
        <is>
          <t>VÄRMLANDS LÄN</t>
        </is>
      </c>
      <c r="E3455" t="inlineStr">
        <is>
          <t>TORSBY</t>
        </is>
      </c>
      <c r="G3455" t="n">
        <v>8.699999999999999</v>
      </c>
      <c r="H3455" t="n">
        <v>0</v>
      </c>
      <c r="I3455" t="n">
        <v>0</v>
      </c>
      <c r="J3455" t="n">
        <v>0</v>
      </c>
      <c r="K3455" t="n">
        <v>0</v>
      </c>
      <c r="L3455" t="n">
        <v>0</v>
      </c>
      <c r="M3455" t="n">
        <v>0</v>
      </c>
      <c r="N3455" t="n">
        <v>0</v>
      </c>
      <c r="O3455" t="n">
        <v>0</v>
      </c>
      <c r="P3455" t="n">
        <v>0</v>
      </c>
      <c r="Q3455" t="n">
        <v>0</v>
      </c>
      <c r="R3455" s="2" t="inlineStr"/>
    </row>
    <row r="3456" ht="15" customHeight="1">
      <c r="A3456" t="inlineStr">
        <is>
          <t>A 51386-2020</t>
        </is>
      </c>
      <c r="B3456" s="1" t="n">
        <v>44113</v>
      </c>
      <c r="C3456" s="1" t="n">
        <v>45810</v>
      </c>
      <c r="D3456" t="inlineStr">
        <is>
          <t>VÄRMLANDS LÄN</t>
        </is>
      </c>
      <c r="E3456" t="inlineStr">
        <is>
          <t>TORSBY</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51390-2020</t>
        </is>
      </c>
      <c r="B3457" s="1" t="n">
        <v>44113</v>
      </c>
      <c r="C3457" s="1" t="n">
        <v>45810</v>
      </c>
      <c r="D3457" t="inlineStr">
        <is>
          <t>VÄRMLANDS LÄN</t>
        </is>
      </c>
      <c r="E3457" t="inlineStr">
        <is>
          <t>KARLSTAD</t>
        </is>
      </c>
      <c r="F3457" t="inlineStr">
        <is>
          <t>Övriga statliga verk och myndigheter</t>
        </is>
      </c>
      <c r="G3457" t="n">
        <v>11.6</v>
      </c>
      <c r="H3457" t="n">
        <v>0</v>
      </c>
      <c r="I3457" t="n">
        <v>0</v>
      </c>
      <c r="J3457" t="n">
        <v>0</v>
      </c>
      <c r="K3457" t="n">
        <v>0</v>
      </c>
      <c r="L3457" t="n">
        <v>0</v>
      </c>
      <c r="M3457" t="n">
        <v>0</v>
      </c>
      <c r="N3457" t="n">
        <v>0</v>
      </c>
      <c r="O3457" t="n">
        <v>0</v>
      </c>
      <c r="P3457" t="n">
        <v>0</v>
      </c>
      <c r="Q3457" t="n">
        <v>0</v>
      </c>
      <c r="R3457" s="2" t="inlineStr"/>
    </row>
    <row r="3458" ht="15" customHeight="1">
      <c r="A3458" t="inlineStr">
        <is>
          <t>A 51510-2020</t>
        </is>
      </c>
      <c r="B3458" s="1" t="n">
        <v>44113</v>
      </c>
      <c r="C3458" s="1" t="n">
        <v>45810</v>
      </c>
      <c r="D3458" t="inlineStr">
        <is>
          <t>VÄRMLANDS LÄN</t>
        </is>
      </c>
      <c r="E3458" t="inlineStr">
        <is>
          <t>KARLSTAD</t>
        </is>
      </c>
      <c r="F3458" t="inlineStr">
        <is>
          <t>Kommuner</t>
        </is>
      </c>
      <c r="G3458" t="n">
        <v>3.9</v>
      </c>
      <c r="H3458" t="n">
        <v>0</v>
      </c>
      <c r="I3458" t="n">
        <v>0</v>
      </c>
      <c r="J3458" t="n">
        <v>0</v>
      </c>
      <c r="K3458" t="n">
        <v>0</v>
      </c>
      <c r="L3458" t="n">
        <v>0</v>
      </c>
      <c r="M3458" t="n">
        <v>0</v>
      </c>
      <c r="N3458" t="n">
        <v>0</v>
      </c>
      <c r="O3458" t="n">
        <v>0</v>
      </c>
      <c r="P3458" t="n">
        <v>0</v>
      </c>
      <c r="Q3458" t="n">
        <v>0</v>
      </c>
      <c r="R3458" s="2" t="inlineStr"/>
    </row>
    <row r="3459" ht="15" customHeight="1">
      <c r="A3459" t="inlineStr">
        <is>
          <t>A 51586-2020</t>
        </is>
      </c>
      <c r="B3459" s="1" t="n">
        <v>44113</v>
      </c>
      <c r="C3459" s="1" t="n">
        <v>45810</v>
      </c>
      <c r="D3459" t="inlineStr">
        <is>
          <t>VÄRMLANDS LÄN</t>
        </is>
      </c>
      <c r="E3459" t="inlineStr">
        <is>
          <t>SUNNE</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51635-2020</t>
        </is>
      </c>
      <c r="B3460" s="1" t="n">
        <v>44113</v>
      </c>
      <c r="C3460" s="1" t="n">
        <v>45810</v>
      </c>
      <c r="D3460" t="inlineStr">
        <is>
          <t>VÄRMLANDS LÄN</t>
        </is>
      </c>
      <c r="E3460" t="inlineStr">
        <is>
          <t>TORSBY</t>
        </is>
      </c>
      <c r="F3460" t="inlineStr">
        <is>
          <t>Bergvik skog väst AB</t>
        </is>
      </c>
      <c r="G3460" t="n">
        <v>0.4</v>
      </c>
      <c r="H3460" t="n">
        <v>0</v>
      </c>
      <c r="I3460" t="n">
        <v>0</v>
      </c>
      <c r="J3460" t="n">
        <v>0</v>
      </c>
      <c r="K3460" t="n">
        <v>0</v>
      </c>
      <c r="L3460" t="n">
        <v>0</v>
      </c>
      <c r="M3460" t="n">
        <v>0</v>
      </c>
      <c r="N3460" t="n">
        <v>0</v>
      </c>
      <c r="O3460" t="n">
        <v>0</v>
      </c>
      <c r="P3460" t="n">
        <v>0</v>
      </c>
      <c r="Q3460" t="n">
        <v>0</v>
      </c>
      <c r="R3460" s="2" t="inlineStr"/>
    </row>
    <row r="3461" ht="15" customHeight="1">
      <c r="A3461" t="inlineStr">
        <is>
          <t>A 51383-2020</t>
        </is>
      </c>
      <c r="B3461" s="1" t="n">
        <v>44113</v>
      </c>
      <c r="C3461" s="1" t="n">
        <v>45810</v>
      </c>
      <c r="D3461" t="inlineStr">
        <is>
          <t>VÄRMLANDS LÄN</t>
        </is>
      </c>
      <c r="E3461" t="inlineStr">
        <is>
          <t>TORSBY</t>
        </is>
      </c>
      <c r="G3461" t="n">
        <v>3.8</v>
      </c>
      <c r="H3461" t="n">
        <v>0</v>
      </c>
      <c r="I3461" t="n">
        <v>0</v>
      </c>
      <c r="J3461" t="n">
        <v>0</v>
      </c>
      <c r="K3461" t="n">
        <v>0</v>
      </c>
      <c r="L3461" t="n">
        <v>0</v>
      </c>
      <c r="M3461" t="n">
        <v>0</v>
      </c>
      <c r="N3461" t="n">
        <v>0</v>
      </c>
      <c r="O3461" t="n">
        <v>0</v>
      </c>
      <c r="P3461" t="n">
        <v>0</v>
      </c>
      <c r="Q3461" t="n">
        <v>0</v>
      </c>
      <c r="R3461" s="2" t="inlineStr"/>
    </row>
    <row r="3462" ht="15" customHeight="1">
      <c r="A3462" t="inlineStr">
        <is>
          <t>A 51742-2020</t>
        </is>
      </c>
      <c r="B3462" s="1" t="n">
        <v>44114</v>
      </c>
      <c r="C3462" s="1" t="n">
        <v>45810</v>
      </c>
      <c r="D3462" t="inlineStr">
        <is>
          <t>VÄRMLANDS LÄN</t>
        </is>
      </c>
      <c r="E3462" t="inlineStr">
        <is>
          <t>FILIPSTAD</t>
        </is>
      </c>
      <c r="F3462" t="inlineStr">
        <is>
          <t>Bergvik skog väst AB</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51743-2020</t>
        </is>
      </c>
      <c r="B3463" s="1" t="n">
        <v>44114</v>
      </c>
      <c r="C3463" s="1" t="n">
        <v>45810</v>
      </c>
      <c r="D3463" t="inlineStr">
        <is>
          <t>VÄRMLANDS LÄN</t>
        </is>
      </c>
      <c r="E3463" t="inlineStr">
        <is>
          <t>FILIPSTAD</t>
        </is>
      </c>
      <c r="F3463" t="inlineStr">
        <is>
          <t>Bergvik skog väst AB</t>
        </is>
      </c>
      <c r="G3463" t="n">
        <v>7.8</v>
      </c>
      <c r="H3463" t="n">
        <v>0</v>
      </c>
      <c r="I3463" t="n">
        <v>0</v>
      </c>
      <c r="J3463" t="n">
        <v>0</v>
      </c>
      <c r="K3463" t="n">
        <v>0</v>
      </c>
      <c r="L3463" t="n">
        <v>0</v>
      </c>
      <c r="M3463" t="n">
        <v>0</v>
      </c>
      <c r="N3463" t="n">
        <v>0</v>
      </c>
      <c r="O3463" t="n">
        <v>0</v>
      </c>
      <c r="P3463" t="n">
        <v>0</v>
      </c>
      <c r="Q3463" t="n">
        <v>0</v>
      </c>
      <c r="R3463" s="2" t="inlineStr"/>
    </row>
    <row r="3464" ht="15" customHeight="1">
      <c r="A3464" t="inlineStr">
        <is>
          <t>A 52462-2020</t>
        </is>
      </c>
      <c r="B3464" s="1" t="n">
        <v>44115</v>
      </c>
      <c r="C3464" s="1" t="n">
        <v>45810</v>
      </c>
      <c r="D3464" t="inlineStr">
        <is>
          <t>VÄRMLANDS LÄN</t>
        </is>
      </c>
      <c r="E3464" t="inlineStr">
        <is>
          <t>SUNNE</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51795-2020</t>
        </is>
      </c>
      <c r="B3465" s="1" t="n">
        <v>44116</v>
      </c>
      <c r="C3465" s="1" t="n">
        <v>45810</v>
      </c>
      <c r="D3465" t="inlineStr">
        <is>
          <t>VÄRMLANDS LÄN</t>
        </is>
      </c>
      <c r="E3465" t="inlineStr">
        <is>
          <t>ARVIKA</t>
        </is>
      </c>
      <c r="G3465" t="n">
        <v>11.1</v>
      </c>
      <c r="H3465" t="n">
        <v>0</v>
      </c>
      <c r="I3465" t="n">
        <v>0</v>
      </c>
      <c r="J3465" t="n">
        <v>0</v>
      </c>
      <c r="K3465" t="n">
        <v>0</v>
      </c>
      <c r="L3465" t="n">
        <v>0</v>
      </c>
      <c r="M3465" t="n">
        <v>0</v>
      </c>
      <c r="N3465" t="n">
        <v>0</v>
      </c>
      <c r="O3465" t="n">
        <v>0</v>
      </c>
      <c r="P3465" t="n">
        <v>0</v>
      </c>
      <c r="Q3465" t="n">
        <v>0</v>
      </c>
      <c r="R3465" s="2" t="inlineStr"/>
    </row>
    <row r="3466" ht="15" customHeight="1">
      <c r="A3466" t="inlineStr">
        <is>
          <t>A 51838-2020</t>
        </is>
      </c>
      <c r="B3466" s="1" t="n">
        <v>44116</v>
      </c>
      <c r="C3466" s="1" t="n">
        <v>45810</v>
      </c>
      <c r="D3466" t="inlineStr">
        <is>
          <t>VÄRMLANDS LÄN</t>
        </is>
      </c>
      <c r="E3466" t="inlineStr">
        <is>
          <t>TORSBY</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51892-2020</t>
        </is>
      </c>
      <c r="B3467" s="1" t="n">
        <v>44116</v>
      </c>
      <c r="C3467" s="1" t="n">
        <v>45810</v>
      </c>
      <c r="D3467" t="inlineStr">
        <is>
          <t>VÄRMLANDS LÄN</t>
        </is>
      </c>
      <c r="E3467" t="inlineStr">
        <is>
          <t>SUNNE</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52460-2020</t>
        </is>
      </c>
      <c r="B3468" s="1" t="n">
        <v>44116</v>
      </c>
      <c r="C3468" s="1" t="n">
        <v>45810</v>
      </c>
      <c r="D3468" t="inlineStr">
        <is>
          <t>VÄRMLANDS LÄN</t>
        </is>
      </c>
      <c r="E3468" t="inlineStr">
        <is>
          <t>TORSBY</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51837-2020</t>
        </is>
      </c>
      <c r="B3469" s="1" t="n">
        <v>44116</v>
      </c>
      <c r="C3469" s="1" t="n">
        <v>45810</v>
      </c>
      <c r="D3469" t="inlineStr">
        <is>
          <t>VÄRMLANDS LÄN</t>
        </is>
      </c>
      <c r="E3469" t="inlineStr">
        <is>
          <t>TORSBY</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52252-2020</t>
        </is>
      </c>
      <c r="B3470" s="1" t="n">
        <v>44117</v>
      </c>
      <c r="C3470" s="1" t="n">
        <v>45810</v>
      </c>
      <c r="D3470" t="inlineStr">
        <is>
          <t>VÄRMLANDS LÄN</t>
        </is>
      </c>
      <c r="E3470" t="inlineStr">
        <is>
          <t>SÄFFLE</t>
        </is>
      </c>
      <c r="F3470" t="inlineStr">
        <is>
          <t>Kyrkan</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52141-2020</t>
        </is>
      </c>
      <c r="B3471" s="1" t="n">
        <v>44117</v>
      </c>
      <c r="C3471" s="1" t="n">
        <v>45810</v>
      </c>
      <c r="D3471" t="inlineStr">
        <is>
          <t>VÄRMLANDS LÄN</t>
        </is>
      </c>
      <c r="E3471" t="inlineStr">
        <is>
          <t>TORSBY</t>
        </is>
      </c>
      <c r="G3471" t="n">
        <v>4.1</v>
      </c>
      <c r="H3471" t="n">
        <v>0</v>
      </c>
      <c r="I3471" t="n">
        <v>0</v>
      </c>
      <c r="J3471" t="n">
        <v>0</v>
      </c>
      <c r="K3471" t="n">
        <v>0</v>
      </c>
      <c r="L3471" t="n">
        <v>0</v>
      </c>
      <c r="M3471" t="n">
        <v>0</v>
      </c>
      <c r="N3471" t="n">
        <v>0</v>
      </c>
      <c r="O3471" t="n">
        <v>0</v>
      </c>
      <c r="P3471" t="n">
        <v>0</v>
      </c>
      <c r="Q3471" t="n">
        <v>0</v>
      </c>
      <c r="R3471" s="2" t="inlineStr"/>
    </row>
    <row r="3472" ht="15" customHeight="1">
      <c r="A3472" t="inlineStr">
        <is>
          <t>A 52317-2020</t>
        </is>
      </c>
      <c r="B3472" s="1" t="n">
        <v>44117</v>
      </c>
      <c r="C3472" s="1" t="n">
        <v>45810</v>
      </c>
      <c r="D3472" t="inlineStr">
        <is>
          <t>VÄRMLANDS LÄN</t>
        </is>
      </c>
      <c r="E3472" t="inlineStr">
        <is>
          <t>EDA</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52411-2020</t>
        </is>
      </c>
      <c r="B3473" s="1" t="n">
        <v>44118</v>
      </c>
      <c r="C3473" s="1" t="n">
        <v>45810</v>
      </c>
      <c r="D3473" t="inlineStr">
        <is>
          <t>VÄRMLANDS LÄN</t>
        </is>
      </c>
      <c r="E3473" t="inlineStr">
        <is>
          <t>KIL</t>
        </is>
      </c>
      <c r="G3473" t="n">
        <v>17.4</v>
      </c>
      <c r="H3473" t="n">
        <v>0</v>
      </c>
      <c r="I3473" t="n">
        <v>0</v>
      </c>
      <c r="J3473" t="n">
        <v>0</v>
      </c>
      <c r="K3473" t="n">
        <v>0</v>
      </c>
      <c r="L3473" t="n">
        <v>0</v>
      </c>
      <c r="M3473" t="n">
        <v>0</v>
      </c>
      <c r="N3473" t="n">
        <v>0</v>
      </c>
      <c r="O3473" t="n">
        <v>0</v>
      </c>
      <c r="P3473" t="n">
        <v>0</v>
      </c>
      <c r="Q3473" t="n">
        <v>0</v>
      </c>
      <c r="R3473" s="2" t="inlineStr"/>
    </row>
    <row r="3474" ht="15" customHeight="1">
      <c r="A3474" t="inlineStr">
        <is>
          <t>A 52577-2020</t>
        </is>
      </c>
      <c r="B3474" s="1" t="n">
        <v>44118</v>
      </c>
      <c r="C3474" s="1" t="n">
        <v>45810</v>
      </c>
      <c r="D3474" t="inlineStr">
        <is>
          <t>VÄRMLANDS LÄN</t>
        </is>
      </c>
      <c r="E3474" t="inlineStr">
        <is>
          <t>KRISTINEHAMN</t>
        </is>
      </c>
      <c r="G3474" t="n">
        <v>5.9</v>
      </c>
      <c r="H3474" t="n">
        <v>0</v>
      </c>
      <c r="I3474" t="n">
        <v>0</v>
      </c>
      <c r="J3474" t="n">
        <v>0</v>
      </c>
      <c r="K3474" t="n">
        <v>0</v>
      </c>
      <c r="L3474" t="n">
        <v>0</v>
      </c>
      <c r="M3474" t="n">
        <v>0</v>
      </c>
      <c r="N3474" t="n">
        <v>0</v>
      </c>
      <c r="O3474" t="n">
        <v>0</v>
      </c>
      <c r="P3474" t="n">
        <v>0</v>
      </c>
      <c r="Q3474" t="n">
        <v>0</v>
      </c>
      <c r="R3474" s="2" t="inlineStr"/>
    </row>
    <row r="3475" ht="15" customHeight="1">
      <c r="A3475" t="inlineStr">
        <is>
          <t>A 52621-2020</t>
        </is>
      </c>
      <c r="B3475" s="1" t="n">
        <v>44118</v>
      </c>
      <c r="C3475" s="1" t="n">
        <v>45810</v>
      </c>
      <c r="D3475" t="inlineStr">
        <is>
          <t>VÄRMLANDS LÄN</t>
        </is>
      </c>
      <c r="E3475" t="inlineStr">
        <is>
          <t>KARLSTAD</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52482-2020</t>
        </is>
      </c>
      <c r="B3476" s="1" t="n">
        <v>44118</v>
      </c>
      <c r="C3476" s="1" t="n">
        <v>45810</v>
      </c>
      <c r="D3476" t="inlineStr">
        <is>
          <t>VÄRMLANDS LÄN</t>
        </is>
      </c>
      <c r="E3476" t="inlineStr">
        <is>
          <t>GRUMS</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52758-2020</t>
        </is>
      </c>
      <c r="B3477" s="1" t="n">
        <v>44118</v>
      </c>
      <c r="C3477" s="1" t="n">
        <v>45810</v>
      </c>
      <c r="D3477" t="inlineStr">
        <is>
          <t>VÄRMLANDS LÄN</t>
        </is>
      </c>
      <c r="E3477" t="inlineStr">
        <is>
          <t>FORSHAGA</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52799-2020</t>
        </is>
      </c>
      <c r="B3478" s="1" t="n">
        <v>44119</v>
      </c>
      <c r="C3478" s="1" t="n">
        <v>45810</v>
      </c>
      <c r="D3478" t="inlineStr">
        <is>
          <t>VÄRMLANDS LÄN</t>
        </is>
      </c>
      <c r="E3478" t="inlineStr">
        <is>
          <t>TORSBY</t>
        </is>
      </c>
      <c r="G3478" t="n">
        <v>6.2</v>
      </c>
      <c r="H3478" t="n">
        <v>0</v>
      </c>
      <c r="I3478" t="n">
        <v>0</v>
      </c>
      <c r="J3478" t="n">
        <v>0</v>
      </c>
      <c r="K3478" t="n">
        <v>0</v>
      </c>
      <c r="L3478" t="n">
        <v>0</v>
      </c>
      <c r="M3478" t="n">
        <v>0</v>
      </c>
      <c r="N3478" t="n">
        <v>0</v>
      </c>
      <c r="O3478" t="n">
        <v>0</v>
      </c>
      <c r="P3478" t="n">
        <v>0</v>
      </c>
      <c r="Q3478" t="n">
        <v>0</v>
      </c>
      <c r="R3478" s="2" t="inlineStr"/>
    </row>
    <row r="3479" ht="15" customHeight="1">
      <c r="A3479" t="inlineStr">
        <is>
          <t>A 53009-2020</t>
        </is>
      </c>
      <c r="B3479" s="1" t="n">
        <v>44119</v>
      </c>
      <c r="C3479" s="1" t="n">
        <v>45810</v>
      </c>
      <c r="D3479" t="inlineStr">
        <is>
          <t>VÄRMLANDS LÄN</t>
        </is>
      </c>
      <c r="E3479" t="inlineStr">
        <is>
          <t>HAGFORS</t>
        </is>
      </c>
      <c r="G3479" t="n">
        <v>4.9</v>
      </c>
      <c r="H3479" t="n">
        <v>0</v>
      </c>
      <c r="I3479" t="n">
        <v>0</v>
      </c>
      <c r="J3479" t="n">
        <v>0</v>
      </c>
      <c r="K3479" t="n">
        <v>0</v>
      </c>
      <c r="L3479" t="n">
        <v>0</v>
      </c>
      <c r="M3479" t="n">
        <v>0</v>
      </c>
      <c r="N3479" t="n">
        <v>0</v>
      </c>
      <c r="O3479" t="n">
        <v>0</v>
      </c>
      <c r="P3479" t="n">
        <v>0</v>
      </c>
      <c r="Q3479" t="n">
        <v>0</v>
      </c>
      <c r="R3479" s="2" t="inlineStr"/>
    </row>
    <row r="3480" ht="15" customHeight="1">
      <c r="A3480" t="inlineStr">
        <is>
          <t>A 53014-2020</t>
        </is>
      </c>
      <c r="B3480" s="1" t="n">
        <v>44119</v>
      </c>
      <c r="C3480" s="1" t="n">
        <v>45810</v>
      </c>
      <c r="D3480" t="inlineStr">
        <is>
          <t>VÄRMLANDS LÄN</t>
        </is>
      </c>
      <c r="E3480" t="inlineStr">
        <is>
          <t>HAGFORS</t>
        </is>
      </c>
      <c r="G3480" t="n">
        <v>3.4</v>
      </c>
      <c r="H3480" t="n">
        <v>0</v>
      </c>
      <c r="I3480" t="n">
        <v>0</v>
      </c>
      <c r="J3480" t="n">
        <v>0</v>
      </c>
      <c r="K3480" t="n">
        <v>0</v>
      </c>
      <c r="L3480" t="n">
        <v>0</v>
      </c>
      <c r="M3480" t="n">
        <v>0</v>
      </c>
      <c r="N3480" t="n">
        <v>0</v>
      </c>
      <c r="O3480" t="n">
        <v>0</v>
      </c>
      <c r="P3480" t="n">
        <v>0</v>
      </c>
      <c r="Q3480" t="n">
        <v>0</v>
      </c>
      <c r="R3480" s="2" t="inlineStr"/>
    </row>
    <row r="3481" ht="15" customHeight="1">
      <c r="A3481" t="inlineStr">
        <is>
          <t>A 52979-2020</t>
        </is>
      </c>
      <c r="B3481" s="1" t="n">
        <v>44120</v>
      </c>
      <c r="C3481" s="1" t="n">
        <v>45810</v>
      </c>
      <c r="D3481" t="inlineStr">
        <is>
          <t>VÄRMLANDS LÄN</t>
        </is>
      </c>
      <c r="E3481" t="inlineStr">
        <is>
          <t>TORSBY</t>
        </is>
      </c>
      <c r="G3481" t="n">
        <v>3.6</v>
      </c>
      <c r="H3481" t="n">
        <v>0</v>
      </c>
      <c r="I3481" t="n">
        <v>0</v>
      </c>
      <c r="J3481" t="n">
        <v>0</v>
      </c>
      <c r="K3481" t="n">
        <v>0</v>
      </c>
      <c r="L3481" t="n">
        <v>0</v>
      </c>
      <c r="M3481" t="n">
        <v>0</v>
      </c>
      <c r="N3481" t="n">
        <v>0</v>
      </c>
      <c r="O3481" t="n">
        <v>0</v>
      </c>
      <c r="P3481" t="n">
        <v>0</v>
      </c>
      <c r="Q3481" t="n">
        <v>0</v>
      </c>
      <c r="R3481" s="2" t="inlineStr"/>
    </row>
    <row r="3482" ht="15" customHeight="1">
      <c r="A3482" t="inlineStr">
        <is>
          <t>A 53111-2020</t>
        </is>
      </c>
      <c r="B3482" s="1" t="n">
        <v>44120</v>
      </c>
      <c r="C3482" s="1" t="n">
        <v>45810</v>
      </c>
      <c r="D3482" t="inlineStr">
        <is>
          <t>VÄRMLANDS LÄN</t>
        </is>
      </c>
      <c r="E3482" t="inlineStr">
        <is>
          <t>TORSBY</t>
        </is>
      </c>
      <c r="F3482" t="inlineStr">
        <is>
          <t>Bergvik skog väst AB</t>
        </is>
      </c>
      <c r="G3482" t="n">
        <v>3.4</v>
      </c>
      <c r="H3482" t="n">
        <v>0</v>
      </c>
      <c r="I3482" t="n">
        <v>0</v>
      </c>
      <c r="J3482" t="n">
        <v>0</v>
      </c>
      <c r="K3482" t="n">
        <v>0</v>
      </c>
      <c r="L3482" t="n">
        <v>0</v>
      </c>
      <c r="M3482" t="n">
        <v>0</v>
      </c>
      <c r="N3482" t="n">
        <v>0</v>
      </c>
      <c r="O3482" t="n">
        <v>0</v>
      </c>
      <c r="P3482" t="n">
        <v>0</v>
      </c>
      <c r="Q3482" t="n">
        <v>0</v>
      </c>
      <c r="R3482" s="2" t="inlineStr"/>
    </row>
    <row r="3483" ht="15" customHeight="1">
      <c r="A3483" t="inlineStr">
        <is>
          <t>A 53382-2020</t>
        </is>
      </c>
      <c r="B3483" s="1" t="n">
        <v>44123</v>
      </c>
      <c r="C3483" s="1" t="n">
        <v>45810</v>
      </c>
      <c r="D3483" t="inlineStr">
        <is>
          <t>VÄRMLANDS LÄN</t>
        </is>
      </c>
      <c r="E3483" t="inlineStr">
        <is>
          <t>ARVIKA</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53300-2020</t>
        </is>
      </c>
      <c r="B3484" s="1" t="n">
        <v>44123</v>
      </c>
      <c r="C3484" s="1" t="n">
        <v>45810</v>
      </c>
      <c r="D3484" t="inlineStr">
        <is>
          <t>VÄRMLANDS LÄN</t>
        </is>
      </c>
      <c r="E3484" t="inlineStr">
        <is>
          <t>ARVIKA</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53361-2020</t>
        </is>
      </c>
      <c r="B3485" s="1" t="n">
        <v>44123</v>
      </c>
      <c r="C3485" s="1" t="n">
        <v>45810</v>
      </c>
      <c r="D3485" t="inlineStr">
        <is>
          <t>VÄRMLANDS LÄN</t>
        </is>
      </c>
      <c r="E3485" t="inlineStr">
        <is>
          <t>KRISTINEHAMN</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53235-2020</t>
        </is>
      </c>
      <c r="B3486" s="1" t="n">
        <v>44123</v>
      </c>
      <c r="C3486" s="1" t="n">
        <v>45810</v>
      </c>
      <c r="D3486" t="inlineStr">
        <is>
          <t>VÄRMLANDS LÄN</t>
        </is>
      </c>
      <c r="E3486" t="inlineStr">
        <is>
          <t>ÅRJÄNG</t>
        </is>
      </c>
      <c r="G3486" t="n">
        <v>3.9</v>
      </c>
      <c r="H3486" t="n">
        <v>0</v>
      </c>
      <c r="I3486" t="n">
        <v>0</v>
      </c>
      <c r="J3486" t="n">
        <v>0</v>
      </c>
      <c r="K3486" t="n">
        <v>0</v>
      </c>
      <c r="L3486" t="n">
        <v>0</v>
      </c>
      <c r="M3486" t="n">
        <v>0</v>
      </c>
      <c r="N3486" t="n">
        <v>0</v>
      </c>
      <c r="O3486" t="n">
        <v>0</v>
      </c>
      <c r="P3486" t="n">
        <v>0</v>
      </c>
      <c r="Q3486" t="n">
        <v>0</v>
      </c>
      <c r="R3486" s="2" t="inlineStr"/>
    </row>
    <row r="3487" ht="15" customHeight="1">
      <c r="A3487" t="inlineStr">
        <is>
          <t>A 53412-2020</t>
        </is>
      </c>
      <c r="B3487" s="1" t="n">
        <v>44123</v>
      </c>
      <c r="C3487" s="1" t="n">
        <v>45810</v>
      </c>
      <c r="D3487" t="inlineStr">
        <is>
          <t>VÄRMLANDS LÄN</t>
        </is>
      </c>
      <c r="E3487" t="inlineStr">
        <is>
          <t>STORFORS</t>
        </is>
      </c>
      <c r="F3487" t="inlineStr">
        <is>
          <t>Bergvik skog väst AB</t>
        </is>
      </c>
      <c r="G3487" t="n">
        <v>3.6</v>
      </c>
      <c r="H3487" t="n">
        <v>0</v>
      </c>
      <c r="I3487" t="n">
        <v>0</v>
      </c>
      <c r="J3487" t="n">
        <v>0</v>
      </c>
      <c r="K3487" t="n">
        <v>0</v>
      </c>
      <c r="L3487" t="n">
        <v>0</v>
      </c>
      <c r="M3487" t="n">
        <v>0</v>
      </c>
      <c r="N3487" t="n">
        <v>0</v>
      </c>
      <c r="O3487" t="n">
        <v>0</v>
      </c>
      <c r="P3487" t="n">
        <v>0</v>
      </c>
      <c r="Q3487" t="n">
        <v>0</v>
      </c>
      <c r="R3487" s="2" t="inlineStr"/>
    </row>
    <row r="3488" ht="15" customHeight="1">
      <c r="A3488" t="inlineStr">
        <is>
          <t>A 53486-2020</t>
        </is>
      </c>
      <c r="B3488" s="1" t="n">
        <v>44123</v>
      </c>
      <c r="C3488" s="1" t="n">
        <v>45810</v>
      </c>
      <c r="D3488" t="inlineStr">
        <is>
          <t>VÄRMLANDS LÄN</t>
        </is>
      </c>
      <c r="E3488" t="inlineStr">
        <is>
          <t>SUNNE</t>
        </is>
      </c>
      <c r="G3488" t="n">
        <v>5.3</v>
      </c>
      <c r="H3488" t="n">
        <v>0</v>
      </c>
      <c r="I3488" t="n">
        <v>0</v>
      </c>
      <c r="J3488" t="n">
        <v>0</v>
      </c>
      <c r="K3488" t="n">
        <v>0</v>
      </c>
      <c r="L3488" t="n">
        <v>0</v>
      </c>
      <c r="M3488" t="n">
        <v>0</v>
      </c>
      <c r="N3488" t="n">
        <v>0</v>
      </c>
      <c r="O3488" t="n">
        <v>0</v>
      </c>
      <c r="P3488" t="n">
        <v>0</v>
      </c>
      <c r="Q3488" t="n">
        <v>0</v>
      </c>
      <c r="R3488" s="2" t="inlineStr"/>
    </row>
    <row r="3489" ht="15" customHeight="1">
      <c r="A3489" t="inlineStr">
        <is>
          <t>A 53494-2020</t>
        </is>
      </c>
      <c r="B3489" s="1" t="n">
        <v>44123</v>
      </c>
      <c r="C3489" s="1" t="n">
        <v>45810</v>
      </c>
      <c r="D3489" t="inlineStr">
        <is>
          <t>VÄRMLANDS LÄN</t>
        </is>
      </c>
      <c r="E3489" t="inlineStr">
        <is>
          <t>FORSHAGA</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53362-2020</t>
        </is>
      </c>
      <c r="B3490" s="1" t="n">
        <v>44123</v>
      </c>
      <c r="C3490" s="1" t="n">
        <v>45810</v>
      </c>
      <c r="D3490" t="inlineStr">
        <is>
          <t>VÄRMLANDS LÄN</t>
        </is>
      </c>
      <c r="E3490" t="inlineStr">
        <is>
          <t>KRISTINEHAMN</t>
        </is>
      </c>
      <c r="G3490" t="n">
        <v>0.3</v>
      </c>
      <c r="H3490" t="n">
        <v>0</v>
      </c>
      <c r="I3490" t="n">
        <v>0</v>
      </c>
      <c r="J3490" t="n">
        <v>0</v>
      </c>
      <c r="K3490" t="n">
        <v>0</v>
      </c>
      <c r="L3490" t="n">
        <v>0</v>
      </c>
      <c r="M3490" t="n">
        <v>0</v>
      </c>
      <c r="N3490" t="n">
        <v>0</v>
      </c>
      <c r="O3490" t="n">
        <v>0</v>
      </c>
      <c r="P3490" t="n">
        <v>0</v>
      </c>
      <c r="Q3490" t="n">
        <v>0</v>
      </c>
      <c r="R3490" s="2" t="inlineStr"/>
    </row>
    <row r="3491" ht="15" customHeight="1">
      <c r="A3491" t="inlineStr">
        <is>
          <t>A 53417-2020</t>
        </is>
      </c>
      <c r="B3491" s="1" t="n">
        <v>44123</v>
      </c>
      <c r="C3491" s="1" t="n">
        <v>45810</v>
      </c>
      <c r="D3491" t="inlineStr">
        <is>
          <t>VÄRMLANDS LÄN</t>
        </is>
      </c>
      <c r="E3491" t="inlineStr">
        <is>
          <t>FILIPSTAD</t>
        </is>
      </c>
      <c r="F3491" t="inlineStr">
        <is>
          <t>Bergvik skog väst AB</t>
        </is>
      </c>
      <c r="G3491" t="n">
        <v>3</v>
      </c>
      <c r="H3491" t="n">
        <v>0</v>
      </c>
      <c r="I3491" t="n">
        <v>0</v>
      </c>
      <c r="J3491" t="n">
        <v>0</v>
      </c>
      <c r="K3491" t="n">
        <v>0</v>
      </c>
      <c r="L3491" t="n">
        <v>0</v>
      </c>
      <c r="M3491" t="n">
        <v>0</v>
      </c>
      <c r="N3491" t="n">
        <v>0</v>
      </c>
      <c r="O3491" t="n">
        <v>0</v>
      </c>
      <c r="P3491" t="n">
        <v>0</v>
      </c>
      <c r="Q3491" t="n">
        <v>0</v>
      </c>
      <c r="R3491" s="2" t="inlineStr"/>
    </row>
    <row r="3492" ht="15" customHeight="1">
      <c r="A3492" t="inlineStr">
        <is>
          <t>A 54027-2020</t>
        </is>
      </c>
      <c r="B3492" s="1" t="n">
        <v>44123</v>
      </c>
      <c r="C3492" s="1" t="n">
        <v>45810</v>
      </c>
      <c r="D3492" t="inlineStr">
        <is>
          <t>VÄRMLANDS LÄN</t>
        </is>
      </c>
      <c r="E3492" t="inlineStr">
        <is>
          <t>STORFORS</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54972-2020</t>
        </is>
      </c>
      <c r="B3493" s="1" t="n">
        <v>44123</v>
      </c>
      <c r="C3493" s="1" t="n">
        <v>45810</v>
      </c>
      <c r="D3493" t="inlineStr">
        <is>
          <t>VÄRMLANDS LÄN</t>
        </is>
      </c>
      <c r="E3493" t="inlineStr">
        <is>
          <t>HAGFORS</t>
        </is>
      </c>
      <c r="F3493" t="inlineStr">
        <is>
          <t>Bergvik skog väst AB</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53590-2020</t>
        </is>
      </c>
      <c r="B3494" s="1" t="n">
        <v>44124</v>
      </c>
      <c r="C3494" s="1" t="n">
        <v>45810</v>
      </c>
      <c r="D3494" t="inlineStr">
        <is>
          <t>VÄRMLANDS LÄN</t>
        </is>
      </c>
      <c r="E3494" t="inlineStr">
        <is>
          <t>FORSHAGA</t>
        </is>
      </c>
      <c r="F3494" t="inlineStr">
        <is>
          <t>Bergvik skog väst AB</t>
        </is>
      </c>
      <c r="G3494" t="n">
        <v>3.8</v>
      </c>
      <c r="H3494" t="n">
        <v>0</v>
      </c>
      <c r="I3494" t="n">
        <v>0</v>
      </c>
      <c r="J3494" t="n">
        <v>0</v>
      </c>
      <c r="K3494" t="n">
        <v>0</v>
      </c>
      <c r="L3494" t="n">
        <v>0</v>
      </c>
      <c r="M3494" t="n">
        <v>0</v>
      </c>
      <c r="N3494" t="n">
        <v>0</v>
      </c>
      <c r="O3494" t="n">
        <v>0</v>
      </c>
      <c r="P3494" t="n">
        <v>0</v>
      </c>
      <c r="Q3494" t="n">
        <v>0</v>
      </c>
      <c r="R3494" s="2" t="inlineStr"/>
    </row>
    <row r="3495" ht="15" customHeight="1">
      <c r="A3495" t="inlineStr">
        <is>
          <t>A 53715-2020</t>
        </is>
      </c>
      <c r="B3495" s="1" t="n">
        <v>44124</v>
      </c>
      <c r="C3495" s="1" t="n">
        <v>45810</v>
      </c>
      <c r="D3495" t="inlineStr">
        <is>
          <t>VÄRMLANDS LÄN</t>
        </is>
      </c>
      <c r="E3495" t="inlineStr">
        <is>
          <t>ARVIKA</t>
        </is>
      </c>
      <c r="F3495" t="inlineStr">
        <is>
          <t>Bergvik skog väst AB</t>
        </is>
      </c>
      <c r="G3495" t="n">
        <v>3.7</v>
      </c>
      <c r="H3495" t="n">
        <v>0</v>
      </c>
      <c r="I3495" t="n">
        <v>0</v>
      </c>
      <c r="J3495" t="n">
        <v>0</v>
      </c>
      <c r="K3495" t="n">
        <v>0</v>
      </c>
      <c r="L3495" t="n">
        <v>0</v>
      </c>
      <c r="M3495" t="n">
        <v>0</v>
      </c>
      <c r="N3495" t="n">
        <v>0</v>
      </c>
      <c r="O3495" t="n">
        <v>0</v>
      </c>
      <c r="P3495" t="n">
        <v>0</v>
      </c>
      <c r="Q3495" t="n">
        <v>0</v>
      </c>
      <c r="R3495" s="2" t="inlineStr"/>
    </row>
    <row r="3496" ht="15" customHeight="1">
      <c r="A3496" t="inlineStr">
        <is>
          <t>A 53771-2020</t>
        </is>
      </c>
      <c r="B3496" s="1" t="n">
        <v>44124</v>
      </c>
      <c r="C3496" s="1" t="n">
        <v>45810</v>
      </c>
      <c r="D3496" t="inlineStr">
        <is>
          <t>VÄRMLANDS LÄN</t>
        </is>
      </c>
      <c r="E3496" t="inlineStr">
        <is>
          <t>TORSBY</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53786-2020</t>
        </is>
      </c>
      <c r="B3497" s="1" t="n">
        <v>44124</v>
      </c>
      <c r="C3497" s="1" t="n">
        <v>45810</v>
      </c>
      <c r="D3497" t="inlineStr">
        <is>
          <t>VÄRMLANDS LÄN</t>
        </is>
      </c>
      <c r="E3497" t="inlineStr">
        <is>
          <t>FILIPSTAD</t>
        </is>
      </c>
      <c r="G3497" t="n">
        <v>2.8</v>
      </c>
      <c r="H3497" t="n">
        <v>0</v>
      </c>
      <c r="I3497" t="n">
        <v>0</v>
      </c>
      <c r="J3497" t="n">
        <v>0</v>
      </c>
      <c r="K3497" t="n">
        <v>0</v>
      </c>
      <c r="L3497" t="n">
        <v>0</v>
      </c>
      <c r="M3497" t="n">
        <v>0</v>
      </c>
      <c r="N3497" t="n">
        <v>0</v>
      </c>
      <c r="O3497" t="n">
        <v>0</v>
      </c>
      <c r="P3497" t="n">
        <v>0</v>
      </c>
      <c r="Q3497" t="n">
        <v>0</v>
      </c>
      <c r="R3497" s="2" t="inlineStr"/>
    </row>
    <row r="3498" ht="15" customHeight="1">
      <c r="A3498" t="inlineStr">
        <is>
          <t>A 54154-2020</t>
        </is>
      </c>
      <c r="B3498" s="1" t="n">
        <v>44124</v>
      </c>
      <c r="C3498" s="1" t="n">
        <v>45810</v>
      </c>
      <c r="D3498" t="inlineStr">
        <is>
          <t>VÄRMLANDS LÄN</t>
        </is>
      </c>
      <c r="E3498" t="inlineStr">
        <is>
          <t>SÄFFLE</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54157-2020</t>
        </is>
      </c>
      <c r="B3499" s="1" t="n">
        <v>44124</v>
      </c>
      <c r="C3499" s="1" t="n">
        <v>45810</v>
      </c>
      <c r="D3499" t="inlineStr">
        <is>
          <t>VÄRMLANDS LÄN</t>
        </is>
      </c>
      <c r="E3499" t="inlineStr">
        <is>
          <t>SÄFFLE</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54255-2020</t>
        </is>
      </c>
      <c r="B3500" s="1" t="n">
        <v>44124</v>
      </c>
      <c r="C3500" s="1" t="n">
        <v>45810</v>
      </c>
      <c r="D3500" t="inlineStr">
        <is>
          <t>VÄRMLANDS LÄN</t>
        </is>
      </c>
      <c r="E3500" t="inlineStr">
        <is>
          <t>SÄFFLE</t>
        </is>
      </c>
      <c r="G3500" t="n">
        <v>5.2</v>
      </c>
      <c r="H3500" t="n">
        <v>0</v>
      </c>
      <c r="I3500" t="n">
        <v>0</v>
      </c>
      <c r="J3500" t="n">
        <v>0</v>
      </c>
      <c r="K3500" t="n">
        <v>0</v>
      </c>
      <c r="L3500" t="n">
        <v>0</v>
      </c>
      <c r="M3500" t="n">
        <v>0</v>
      </c>
      <c r="N3500" t="n">
        <v>0</v>
      </c>
      <c r="O3500" t="n">
        <v>0</v>
      </c>
      <c r="P3500" t="n">
        <v>0</v>
      </c>
      <c r="Q3500" t="n">
        <v>0</v>
      </c>
      <c r="R3500" s="2" t="inlineStr"/>
    </row>
    <row r="3501" ht="15" customHeight="1">
      <c r="A3501" t="inlineStr">
        <is>
          <t>A 53806-2020</t>
        </is>
      </c>
      <c r="B3501" s="1" t="n">
        <v>44124</v>
      </c>
      <c r="C3501" s="1" t="n">
        <v>45810</v>
      </c>
      <c r="D3501" t="inlineStr">
        <is>
          <t>VÄRMLANDS LÄN</t>
        </is>
      </c>
      <c r="E3501" t="inlineStr">
        <is>
          <t>MUNKFORS</t>
        </is>
      </c>
      <c r="G3501" t="n">
        <v>2.6</v>
      </c>
      <c r="H3501" t="n">
        <v>0</v>
      </c>
      <c r="I3501" t="n">
        <v>0</v>
      </c>
      <c r="J3501" t="n">
        <v>0</v>
      </c>
      <c r="K3501" t="n">
        <v>0</v>
      </c>
      <c r="L3501" t="n">
        <v>0</v>
      </c>
      <c r="M3501" t="n">
        <v>0</v>
      </c>
      <c r="N3501" t="n">
        <v>0</v>
      </c>
      <c r="O3501" t="n">
        <v>0</v>
      </c>
      <c r="P3501" t="n">
        <v>0</v>
      </c>
      <c r="Q3501" t="n">
        <v>0</v>
      </c>
      <c r="R3501" s="2" t="inlineStr"/>
    </row>
    <row r="3502" ht="15" customHeight="1">
      <c r="A3502" t="inlineStr">
        <is>
          <t>A 53733-2020</t>
        </is>
      </c>
      <c r="B3502" s="1" t="n">
        <v>44124</v>
      </c>
      <c r="C3502" s="1" t="n">
        <v>45810</v>
      </c>
      <c r="D3502" t="inlineStr">
        <is>
          <t>VÄRMLANDS LÄN</t>
        </is>
      </c>
      <c r="E3502" t="inlineStr">
        <is>
          <t>TORSBY</t>
        </is>
      </c>
      <c r="G3502" t="n">
        <v>2.7</v>
      </c>
      <c r="H3502" t="n">
        <v>0</v>
      </c>
      <c r="I3502" t="n">
        <v>0</v>
      </c>
      <c r="J3502" t="n">
        <v>0</v>
      </c>
      <c r="K3502" t="n">
        <v>0</v>
      </c>
      <c r="L3502" t="n">
        <v>0</v>
      </c>
      <c r="M3502" t="n">
        <v>0</v>
      </c>
      <c r="N3502" t="n">
        <v>0</v>
      </c>
      <c r="O3502" t="n">
        <v>0</v>
      </c>
      <c r="P3502" t="n">
        <v>0</v>
      </c>
      <c r="Q3502" t="n">
        <v>0</v>
      </c>
      <c r="R3502" s="2" t="inlineStr"/>
    </row>
    <row r="3503" ht="15" customHeight="1">
      <c r="A3503" t="inlineStr">
        <is>
          <t>A 54264-2020</t>
        </is>
      </c>
      <c r="B3503" s="1" t="n">
        <v>44124</v>
      </c>
      <c r="C3503" s="1" t="n">
        <v>45810</v>
      </c>
      <c r="D3503" t="inlineStr">
        <is>
          <t>VÄRMLANDS LÄN</t>
        </is>
      </c>
      <c r="E3503" t="inlineStr">
        <is>
          <t>ARVIKA</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54331-2020</t>
        </is>
      </c>
      <c r="B3504" s="1" t="n">
        <v>44124</v>
      </c>
      <c r="C3504" s="1" t="n">
        <v>45810</v>
      </c>
      <c r="D3504" t="inlineStr">
        <is>
          <t>VÄRMLANDS LÄN</t>
        </is>
      </c>
      <c r="E3504" t="inlineStr">
        <is>
          <t>TORSBY</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54060-2020</t>
        </is>
      </c>
      <c r="B3505" s="1" t="n">
        <v>44125</v>
      </c>
      <c r="C3505" s="1" t="n">
        <v>45810</v>
      </c>
      <c r="D3505" t="inlineStr">
        <is>
          <t>VÄRMLANDS LÄN</t>
        </is>
      </c>
      <c r="E3505" t="inlineStr">
        <is>
          <t>TORSBY</t>
        </is>
      </c>
      <c r="G3505" t="n">
        <v>3.2</v>
      </c>
      <c r="H3505" t="n">
        <v>0</v>
      </c>
      <c r="I3505" t="n">
        <v>0</v>
      </c>
      <c r="J3505" t="n">
        <v>0</v>
      </c>
      <c r="K3505" t="n">
        <v>0</v>
      </c>
      <c r="L3505" t="n">
        <v>0</v>
      </c>
      <c r="M3505" t="n">
        <v>0</v>
      </c>
      <c r="N3505" t="n">
        <v>0</v>
      </c>
      <c r="O3505" t="n">
        <v>0</v>
      </c>
      <c r="P3505" t="n">
        <v>0</v>
      </c>
      <c r="Q3505" t="n">
        <v>0</v>
      </c>
      <c r="R3505" s="2" t="inlineStr"/>
    </row>
    <row r="3506" ht="15" customHeight="1">
      <c r="A3506" t="inlineStr">
        <is>
          <t>A 54162-2020</t>
        </is>
      </c>
      <c r="B3506" s="1" t="n">
        <v>44125</v>
      </c>
      <c r="C3506" s="1" t="n">
        <v>45810</v>
      </c>
      <c r="D3506" t="inlineStr">
        <is>
          <t>VÄRMLANDS LÄN</t>
        </is>
      </c>
      <c r="E3506" t="inlineStr">
        <is>
          <t>FILIPSTAD</t>
        </is>
      </c>
      <c r="F3506" t="inlineStr">
        <is>
          <t>Bergvik skog väst AB</t>
        </is>
      </c>
      <c r="G3506" t="n">
        <v>3</v>
      </c>
      <c r="H3506" t="n">
        <v>0</v>
      </c>
      <c r="I3506" t="n">
        <v>0</v>
      </c>
      <c r="J3506" t="n">
        <v>0</v>
      </c>
      <c r="K3506" t="n">
        <v>0</v>
      </c>
      <c r="L3506" t="n">
        <v>0</v>
      </c>
      <c r="M3506" t="n">
        <v>0</v>
      </c>
      <c r="N3506" t="n">
        <v>0</v>
      </c>
      <c r="O3506" t="n">
        <v>0</v>
      </c>
      <c r="P3506" t="n">
        <v>0</v>
      </c>
      <c r="Q3506" t="n">
        <v>0</v>
      </c>
      <c r="R3506" s="2" t="inlineStr"/>
    </row>
    <row r="3507" ht="15" customHeight="1">
      <c r="A3507" t="inlineStr">
        <is>
          <t>A 54160-2020</t>
        </is>
      </c>
      <c r="B3507" s="1" t="n">
        <v>44125</v>
      </c>
      <c r="C3507" s="1" t="n">
        <v>45810</v>
      </c>
      <c r="D3507" t="inlineStr">
        <is>
          <t>VÄRMLANDS LÄN</t>
        </is>
      </c>
      <c r="E3507" t="inlineStr">
        <is>
          <t>SUNNE</t>
        </is>
      </c>
      <c r="G3507" t="n">
        <v>4.1</v>
      </c>
      <c r="H3507" t="n">
        <v>0</v>
      </c>
      <c r="I3507" t="n">
        <v>0</v>
      </c>
      <c r="J3507" t="n">
        <v>0</v>
      </c>
      <c r="K3507" t="n">
        <v>0</v>
      </c>
      <c r="L3507" t="n">
        <v>0</v>
      </c>
      <c r="M3507" t="n">
        <v>0</v>
      </c>
      <c r="N3507" t="n">
        <v>0</v>
      </c>
      <c r="O3507" t="n">
        <v>0</v>
      </c>
      <c r="P3507" t="n">
        <v>0</v>
      </c>
      <c r="Q3507" t="n">
        <v>0</v>
      </c>
      <c r="R3507" s="2" t="inlineStr"/>
    </row>
    <row r="3508" ht="15" customHeight="1">
      <c r="A3508" t="inlineStr">
        <is>
          <t>A 54072-2020</t>
        </is>
      </c>
      <c r="B3508" s="1" t="n">
        <v>44125</v>
      </c>
      <c r="C3508" s="1" t="n">
        <v>45810</v>
      </c>
      <c r="D3508" t="inlineStr">
        <is>
          <t>VÄRMLANDS LÄN</t>
        </is>
      </c>
      <c r="E3508" t="inlineStr">
        <is>
          <t>TORSBY</t>
        </is>
      </c>
      <c r="G3508" t="n">
        <v>5</v>
      </c>
      <c r="H3508" t="n">
        <v>0</v>
      </c>
      <c r="I3508" t="n">
        <v>0</v>
      </c>
      <c r="J3508" t="n">
        <v>0</v>
      </c>
      <c r="K3508" t="n">
        <v>0</v>
      </c>
      <c r="L3508" t="n">
        <v>0</v>
      </c>
      <c r="M3508" t="n">
        <v>0</v>
      </c>
      <c r="N3508" t="n">
        <v>0</v>
      </c>
      <c r="O3508" t="n">
        <v>0</v>
      </c>
      <c r="P3508" t="n">
        <v>0</v>
      </c>
      <c r="Q3508" t="n">
        <v>0</v>
      </c>
      <c r="R3508" s="2" t="inlineStr"/>
    </row>
    <row r="3509" ht="15" customHeight="1">
      <c r="A3509" t="inlineStr">
        <is>
          <t>A 54375-2020</t>
        </is>
      </c>
      <c r="B3509" s="1" t="n">
        <v>44126</v>
      </c>
      <c r="C3509" s="1" t="n">
        <v>45810</v>
      </c>
      <c r="D3509" t="inlineStr">
        <is>
          <t>VÄRMLANDS LÄN</t>
        </is>
      </c>
      <c r="E3509" t="inlineStr">
        <is>
          <t>KIL</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54373-2020</t>
        </is>
      </c>
      <c r="B3510" s="1" t="n">
        <v>44126</v>
      </c>
      <c r="C3510" s="1" t="n">
        <v>45810</v>
      </c>
      <c r="D3510" t="inlineStr">
        <is>
          <t>VÄRMLANDS LÄN</t>
        </is>
      </c>
      <c r="E3510" t="inlineStr">
        <is>
          <t>KIL</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54350-2020</t>
        </is>
      </c>
      <c r="B3511" s="1" t="n">
        <v>44126</v>
      </c>
      <c r="C3511" s="1" t="n">
        <v>45810</v>
      </c>
      <c r="D3511" t="inlineStr">
        <is>
          <t>VÄRMLANDS LÄN</t>
        </is>
      </c>
      <c r="E3511" t="inlineStr">
        <is>
          <t>KIL</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54343-2020</t>
        </is>
      </c>
      <c r="B3512" s="1" t="n">
        <v>44126</v>
      </c>
      <c r="C3512" s="1" t="n">
        <v>45810</v>
      </c>
      <c r="D3512" t="inlineStr">
        <is>
          <t>VÄRMLANDS LÄN</t>
        </is>
      </c>
      <c r="E3512" t="inlineStr">
        <is>
          <t>KIL</t>
        </is>
      </c>
      <c r="G3512" t="n">
        <v>7.3</v>
      </c>
      <c r="H3512" t="n">
        <v>0</v>
      </c>
      <c r="I3512" t="n">
        <v>0</v>
      </c>
      <c r="J3512" t="n">
        <v>0</v>
      </c>
      <c r="K3512" t="n">
        <v>0</v>
      </c>
      <c r="L3512" t="n">
        <v>0</v>
      </c>
      <c r="M3512" t="n">
        <v>0</v>
      </c>
      <c r="N3512" t="n">
        <v>0</v>
      </c>
      <c r="O3512" t="n">
        <v>0</v>
      </c>
      <c r="P3512" t="n">
        <v>0</v>
      </c>
      <c r="Q3512" t="n">
        <v>0</v>
      </c>
      <c r="R3512" s="2" t="inlineStr"/>
    </row>
    <row r="3513" ht="15" customHeight="1">
      <c r="A3513" t="inlineStr">
        <is>
          <t>A 54503-2020</t>
        </is>
      </c>
      <c r="B3513" s="1" t="n">
        <v>44126</v>
      </c>
      <c r="C3513" s="1" t="n">
        <v>45810</v>
      </c>
      <c r="D3513" t="inlineStr">
        <is>
          <t>VÄRMLANDS LÄN</t>
        </is>
      </c>
      <c r="E3513" t="inlineStr">
        <is>
          <t>ARVIKA</t>
        </is>
      </c>
      <c r="F3513" t="inlineStr">
        <is>
          <t>Bergvik skog väst AB</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54623-2020</t>
        </is>
      </c>
      <c r="B3514" s="1" t="n">
        <v>44127</v>
      </c>
      <c r="C3514" s="1" t="n">
        <v>45810</v>
      </c>
      <c r="D3514" t="inlineStr">
        <is>
          <t>VÄRMLANDS LÄN</t>
        </is>
      </c>
      <c r="E3514" t="inlineStr">
        <is>
          <t>FILIPSTAD</t>
        </is>
      </c>
      <c r="G3514" t="n">
        <v>4</v>
      </c>
      <c r="H3514" t="n">
        <v>0</v>
      </c>
      <c r="I3514" t="n">
        <v>0</v>
      </c>
      <c r="J3514" t="n">
        <v>0</v>
      </c>
      <c r="K3514" t="n">
        <v>0</v>
      </c>
      <c r="L3514" t="n">
        <v>0</v>
      </c>
      <c r="M3514" t="n">
        <v>0</v>
      </c>
      <c r="N3514" t="n">
        <v>0</v>
      </c>
      <c r="O3514" t="n">
        <v>0</v>
      </c>
      <c r="P3514" t="n">
        <v>0</v>
      </c>
      <c r="Q3514" t="n">
        <v>0</v>
      </c>
      <c r="R3514" s="2" t="inlineStr"/>
    </row>
    <row r="3515" ht="15" customHeight="1">
      <c r="A3515" t="inlineStr">
        <is>
          <t>A 54665-2020</t>
        </is>
      </c>
      <c r="B3515" s="1" t="n">
        <v>44127</v>
      </c>
      <c r="C3515" s="1" t="n">
        <v>45810</v>
      </c>
      <c r="D3515" t="inlineStr">
        <is>
          <t>VÄRMLANDS LÄN</t>
        </is>
      </c>
      <c r="E3515" t="inlineStr">
        <is>
          <t>SÄFFLE</t>
        </is>
      </c>
      <c r="G3515" t="n">
        <v>2.7</v>
      </c>
      <c r="H3515" t="n">
        <v>0</v>
      </c>
      <c r="I3515" t="n">
        <v>0</v>
      </c>
      <c r="J3515" t="n">
        <v>0</v>
      </c>
      <c r="K3515" t="n">
        <v>0</v>
      </c>
      <c r="L3515" t="n">
        <v>0</v>
      </c>
      <c r="M3515" t="n">
        <v>0</v>
      </c>
      <c r="N3515" t="n">
        <v>0</v>
      </c>
      <c r="O3515" t="n">
        <v>0</v>
      </c>
      <c r="P3515" t="n">
        <v>0</v>
      </c>
      <c r="Q3515" t="n">
        <v>0</v>
      </c>
      <c r="R3515" s="2" t="inlineStr"/>
    </row>
    <row r="3516" ht="15" customHeight="1">
      <c r="A3516" t="inlineStr">
        <is>
          <t>A 54839-2020</t>
        </is>
      </c>
      <c r="B3516" s="1" t="n">
        <v>44127</v>
      </c>
      <c r="C3516" s="1" t="n">
        <v>45810</v>
      </c>
      <c r="D3516" t="inlineStr">
        <is>
          <t>VÄRMLANDS LÄN</t>
        </is>
      </c>
      <c r="E3516" t="inlineStr">
        <is>
          <t>EDA</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54916-2020</t>
        </is>
      </c>
      <c r="B3517" s="1" t="n">
        <v>44127</v>
      </c>
      <c r="C3517" s="1" t="n">
        <v>45810</v>
      </c>
      <c r="D3517" t="inlineStr">
        <is>
          <t>VÄRMLANDS LÄN</t>
        </is>
      </c>
      <c r="E3517" t="inlineStr">
        <is>
          <t>TORSBY</t>
        </is>
      </c>
      <c r="F3517" t="inlineStr">
        <is>
          <t>Kyrkan</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54924-2020</t>
        </is>
      </c>
      <c r="B3518" s="1" t="n">
        <v>44127</v>
      </c>
      <c r="C3518" s="1" t="n">
        <v>45810</v>
      </c>
      <c r="D3518" t="inlineStr">
        <is>
          <t>VÄRMLANDS LÄN</t>
        </is>
      </c>
      <c r="E3518" t="inlineStr">
        <is>
          <t>TORSBY</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54960-2020</t>
        </is>
      </c>
      <c r="B3519" s="1" t="n">
        <v>44130</v>
      </c>
      <c r="C3519" s="1" t="n">
        <v>45810</v>
      </c>
      <c r="D3519" t="inlineStr">
        <is>
          <t>VÄRMLANDS LÄN</t>
        </is>
      </c>
      <c r="E3519" t="inlineStr">
        <is>
          <t>SUNNE</t>
        </is>
      </c>
      <c r="G3519" t="n">
        <v>5.7</v>
      </c>
      <c r="H3519" t="n">
        <v>0</v>
      </c>
      <c r="I3519" t="n">
        <v>0</v>
      </c>
      <c r="J3519" t="n">
        <v>0</v>
      </c>
      <c r="K3519" t="n">
        <v>0</v>
      </c>
      <c r="L3519" t="n">
        <v>0</v>
      </c>
      <c r="M3519" t="n">
        <v>0</v>
      </c>
      <c r="N3519" t="n">
        <v>0</v>
      </c>
      <c r="O3519" t="n">
        <v>0</v>
      </c>
      <c r="P3519" t="n">
        <v>0</v>
      </c>
      <c r="Q3519" t="n">
        <v>0</v>
      </c>
      <c r="R3519" s="2" t="inlineStr"/>
    </row>
    <row r="3520" ht="15" customHeight="1">
      <c r="A3520" t="inlineStr">
        <is>
          <t>A 55058-2020</t>
        </is>
      </c>
      <c r="B3520" s="1" t="n">
        <v>44130</v>
      </c>
      <c r="C3520" s="1" t="n">
        <v>45810</v>
      </c>
      <c r="D3520" t="inlineStr">
        <is>
          <t>VÄRMLANDS LÄN</t>
        </is>
      </c>
      <c r="E3520" t="inlineStr">
        <is>
          <t>TORSBY</t>
        </is>
      </c>
      <c r="F3520" t="inlineStr">
        <is>
          <t>Bergvik skog väst AB</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55217-2020</t>
        </is>
      </c>
      <c r="B3521" s="1" t="n">
        <v>44130</v>
      </c>
      <c r="C3521" s="1" t="n">
        <v>45810</v>
      </c>
      <c r="D3521" t="inlineStr">
        <is>
          <t>VÄRMLANDS LÄN</t>
        </is>
      </c>
      <c r="E3521" t="inlineStr">
        <is>
          <t>TORSBY</t>
        </is>
      </c>
      <c r="G3521" t="n">
        <v>4.2</v>
      </c>
      <c r="H3521" t="n">
        <v>0</v>
      </c>
      <c r="I3521" t="n">
        <v>0</v>
      </c>
      <c r="J3521" t="n">
        <v>0</v>
      </c>
      <c r="K3521" t="n">
        <v>0</v>
      </c>
      <c r="L3521" t="n">
        <v>0</v>
      </c>
      <c r="M3521" t="n">
        <v>0</v>
      </c>
      <c r="N3521" t="n">
        <v>0</v>
      </c>
      <c r="O3521" t="n">
        <v>0</v>
      </c>
      <c r="P3521" t="n">
        <v>0</v>
      </c>
      <c r="Q3521" t="n">
        <v>0</v>
      </c>
      <c r="R3521" s="2" t="inlineStr"/>
    </row>
    <row r="3522" ht="15" customHeight="1">
      <c r="A3522" t="inlineStr">
        <is>
          <t>A 55015-2020</t>
        </is>
      </c>
      <c r="B3522" s="1" t="n">
        <v>44130</v>
      </c>
      <c r="C3522" s="1" t="n">
        <v>45810</v>
      </c>
      <c r="D3522" t="inlineStr">
        <is>
          <t>VÄRMLANDS LÄN</t>
        </is>
      </c>
      <c r="E3522" t="inlineStr">
        <is>
          <t>SÄFFLE</t>
        </is>
      </c>
      <c r="F3522" t="inlineStr">
        <is>
          <t>Bergvik skog väst AB</t>
        </is>
      </c>
      <c r="G3522" t="n">
        <v>15.9</v>
      </c>
      <c r="H3522" t="n">
        <v>0</v>
      </c>
      <c r="I3522" t="n">
        <v>0</v>
      </c>
      <c r="J3522" t="n">
        <v>0</v>
      </c>
      <c r="K3522" t="n">
        <v>0</v>
      </c>
      <c r="L3522" t="n">
        <v>0</v>
      </c>
      <c r="M3522" t="n">
        <v>0</v>
      </c>
      <c r="N3522" t="n">
        <v>0</v>
      </c>
      <c r="O3522" t="n">
        <v>0</v>
      </c>
      <c r="P3522" t="n">
        <v>0</v>
      </c>
      <c r="Q3522" t="n">
        <v>0</v>
      </c>
      <c r="R3522" s="2" t="inlineStr"/>
    </row>
    <row r="3523" ht="15" customHeight="1">
      <c r="A3523" t="inlineStr">
        <is>
          <t>A 55082-2020</t>
        </is>
      </c>
      <c r="B3523" s="1" t="n">
        <v>44130</v>
      </c>
      <c r="C3523" s="1" t="n">
        <v>45810</v>
      </c>
      <c r="D3523" t="inlineStr">
        <is>
          <t>VÄRMLANDS LÄN</t>
        </is>
      </c>
      <c r="E3523" t="inlineStr">
        <is>
          <t>SUNNE</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55173-2020</t>
        </is>
      </c>
      <c r="B3524" s="1" t="n">
        <v>44130</v>
      </c>
      <c r="C3524" s="1" t="n">
        <v>45810</v>
      </c>
      <c r="D3524" t="inlineStr">
        <is>
          <t>VÄRMLANDS LÄN</t>
        </is>
      </c>
      <c r="E3524" t="inlineStr">
        <is>
          <t>SÄFFLE</t>
        </is>
      </c>
      <c r="G3524" t="n">
        <v>3.8</v>
      </c>
      <c r="H3524" t="n">
        <v>0</v>
      </c>
      <c r="I3524" t="n">
        <v>0</v>
      </c>
      <c r="J3524" t="n">
        <v>0</v>
      </c>
      <c r="K3524" t="n">
        <v>0</v>
      </c>
      <c r="L3524" t="n">
        <v>0</v>
      </c>
      <c r="M3524" t="n">
        <v>0</v>
      </c>
      <c r="N3524" t="n">
        <v>0</v>
      </c>
      <c r="O3524" t="n">
        <v>0</v>
      </c>
      <c r="P3524" t="n">
        <v>0</v>
      </c>
      <c r="Q3524" t="n">
        <v>0</v>
      </c>
      <c r="R3524" s="2" t="inlineStr"/>
    </row>
    <row r="3525" ht="15" customHeight="1">
      <c r="A3525" t="inlineStr">
        <is>
          <t>A 55256-2020</t>
        </is>
      </c>
      <c r="B3525" s="1" t="n">
        <v>44130</v>
      </c>
      <c r="C3525" s="1" t="n">
        <v>45810</v>
      </c>
      <c r="D3525" t="inlineStr">
        <is>
          <t>VÄRMLANDS LÄN</t>
        </is>
      </c>
      <c r="E3525" t="inlineStr">
        <is>
          <t>SÄFFLE</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55457-2020</t>
        </is>
      </c>
      <c r="B3526" s="1" t="n">
        <v>44130</v>
      </c>
      <c r="C3526" s="1" t="n">
        <v>45810</v>
      </c>
      <c r="D3526" t="inlineStr">
        <is>
          <t>VÄRMLANDS LÄN</t>
        </is>
      </c>
      <c r="E3526" t="inlineStr">
        <is>
          <t>KARLSTAD</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55129-2020</t>
        </is>
      </c>
      <c r="B3527" s="1" t="n">
        <v>44130</v>
      </c>
      <c r="C3527" s="1" t="n">
        <v>45810</v>
      </c>
      <c r="D3527" t="inlineStr">
        <is>
          <t>VÄRMLANDS LÄN</t>
        </is>
      </c>
      <c r="E3527" t="inlineStr">
        <is>
          <t>HAGFORS</t>
        </is>
      </c>
      <c r="G3527" t="n">
        <v>3.8</v>
      </c>
      <c r="H3527" t="n">
        <v>0</v>
      </c>
      <c r="I3527" t="n">
        <v>0</v>
      </c>
      <c r="J3527" t="n">
        <v>0</v>
      </c>
      <c r="K3527" t="n">
        <v>0</v>
      </c>
      <c r="L3527" t="n">
        <v>0</v>
      </c>
      <c r="M3527" t="n">
        <v>0</v>
      </c>
      <c r="N3527" t="n">
        <v>0</v>
      </c>
      <c r="O3527" t="n">
        <v>0</v>
      </c>
      <c r="P3527" t="n">
        <v>0</v>
      </c>
      <c r="Q3527" t="n">
        <v>0</v>
      </c>
      <c r="R3527" s="2" t="inlineStr"/>
    </row>
    <row r="3528" ht="15" customHeight="1">
      <c r="A3528" t="inlineStr">
        <is>
          <t>A 55433-2020</t>
        </is>
      </c>
      <c r="B3528" s="1" t="n">
        <v>44130</v>
      </c>
      <c r="C3528" s="1" t="n">
        <v>45810</v>
      </c>
      <c r="D3528" t="inlineStr">
        <is>
          <t>VÄRMLANDS LÄN</t>
        </is>
      </c>
      <c r="E3528" t="inlineStr">
        <is>
          <t>KARLSTAD</t>
        </is>
      </c>
      <c r="G3528" t="n">
        <v>2.5</v>
      </c>
      <c r="H3528" t="n">
        <v>0</v>
      </c>
      <c r="I3528" t="n">
        <v>0</v>
      </c>
      <c r="J3528" t="n">
        <v>0</v>
      </c>
      <c r="K3528" t="n">
        <v>0</v>
      </c>
      <c r="L3528" t="n">
        <v>0</v>
      </c>
      <c r="M3528" t="n">
        <v>0</v>
      </c>
      <c r="N3528" t="n">
        <v>0</v>
      </c>
      <c r="O3528" t="n">
        <v>0</v>
      </c>
      <c r="P3528" t="n">
        <v>0</v>
      </c>
      <c r="Q3528" t="n">
        <v>0</v>
      </c>
      <c r="R3528" s="2" t="inlineStr"/>
    </row>
    <row r="3529" ht="15" customHeight="1">
      <c r="A3529" t="inlineStr">
        <is>
          <t>A 55071-2020</t>
        </is>
      </c>
      <c r="B3529" s="1" t="n">
        <v>44130</v>
      </c>
      <c r="C3529" s="1" t="n">
        <v>45810</v>
      </c>
      <c r="D3529" t="inlineStr">
        <is>
          <t>VÄRMLANDS LÄN</t>
        </is>
      </c>
      <c r="E3529" t="inlineStr">
        <is>
          <t>STORFORS</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55401-2020</t>
        </is>
      </c>
      <c r="B3530" s="1" t="n">
        <v>44131</v>
      </c>
      <c r="C3530" s="1" t="n">
        <v>45810</v>
      </c>
      <c r="D3530" t="inlineStr">
        <is>
          <t>VÄRMLANDS LÄN</t>
        </is>
      </c>
      <c r="E3530" t="inlineStr">
        <is>
          <t>TORSBY</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55579-2020</t>
        </is>
      </c>
      <c r="B3531" s="1" t="n">
        <v>44131</v>
      </c>
      <c r="C3531" s="1" t="n">
        <v>45810</v>
      </c>
      <c r="D3531" t="inlineStr">
        <is>
          <t>VÄRMLANDS LÄN</t>
        </is>
      </c>
      <c r="E3531" t="inlineStr">
        <is>
          <t>EDA</t>
        </is>
      </c>
      <c r="G3531" t="n">
        <v>6.3</v>
      </c>
      <c r="H3531" t="n">
        <v>0</v>
      </c>
      <c r="I3531" t="n">
        <v>0</v>
      </c>
      <c r="J3531" t="n">
        <v>0</v>
      </c>
      <c r="K3531" t="n">
        <v>0</v>
      </c>
      <c r="L3531" t="n">
        <v>0</v>
      </c>
      <c r="M3531" t="n">
        <v>0</v>
      </c>
      <c r="N3531" t="n">
        <v>0</v>
      </c>
      <c r="O3531" t="n">
        <v>0</v>
      </c>
      <c r="P3531" t="n">
        <v>0</v>
      </c>
      <c r="Q3531" t="n">
        <v>0</v>
      </c>
      <c r="R3531" s="2" t="inlineStr"/>
    </row>
    <row r="3532" ht="15" customHeight="1">
      <c r="A3532" t="inlineStr">
        <is>
          <t>A 55546-2020</t>
        </is>
      </c>
      <c r="B3532" s="1" t="n">
        <v>44131</v>
      </c>
      <c r="C3532" s="1" t="n">
        <v>45810</v>
      </c>
      <c r="D3532" t="inlineStr">
        <is>
          <t>VÄRMLANDS LÄN</t>
        </is>
      </c>
      <c r="E3532" t="inlineStr">
        <is>
          <t>EDA</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57016-2020</t>
        </is>
      </c>
      <c r="B3533" s="1" t="n">
        <v>44131</v>
      </c>
      <c r="C3533" s="1" t="n">
        <v>45810</v>
      </c>
      <c r="D3533" t="inlineStr">
        <is>
          <t>VÄRMLANDS LÄN</t>
        </is>
      </c>
      <c r="E3533" t="inlineStr">
        <is>
          <t>EDA</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55790-2020</t>
        </is>
      </c>
      <c r="B3534" s="1" t="n">
        <v>44131</v>
      </c>
      <c r="C3534" s="1" t="n">
        <v>45810</v>
      </c>
      <c r="D3534" t="inlineStr">
        <is>
          <t>VÄRMLANDS LÄN</t>
        </is>
      </c>
      <c r="E3534" t="inlineStr">
        <is>
          <t>KARLSTAD</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56867-2020</t>
        </is>
      </c>
      <c r="B3535" s="1" t="n">
        <v>44131</v>
      </c>
      <c r="C3535" s="1" t="n">
        <v>45810</v>
      </c>
      <c r="D3535" t="inlineStr">
        <is>
          <t>VÄRMLANDS LÄN</t>
        </is>
      </c>
      <c r="E3535" t="inlineStr">
        <is>
          <t>EDA</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56870-2020</t>
        </is>
      </c>
      <c r="B3536" s="1" t="n">
        <v>44131</v>
      </c>
      <c r="C3536" s="1" t="n">
        <v>45810</v>
      </c>
      <c r="D3536" t="inlineStr">
        <is>
          <t>VÄRMLANDS LÄN</t>
        </is>
      </c>
      <c r="E3536" t="inlineStr">
        <is>
          <t>EDA</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55806-2020</t>
        </is>
      </c>
      <c r="B3537" s="1" t="n">
        <v>44132</v>
      </c>
      <c r="C3537" s="1" t="n">
        <v>45810</v>
      </c>
      <c r="D3537" t="inlineStr">
        <is>
          <t>VÄRMLANDS LÄN</t>
        </is>
      </c>
      <c r="E3537" t="inlineStr">
        <is>
          <t>FILIPSTAD</t>
        </is>
      </c>
      <c r="F3537" t="inlineStr">
        <is>
          <t>Bergvik skog väst AB</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55737-2020</t>
        </is>
      </c>
      <c r="B3538" s="1" t="n">
        <v>44132</v>
      </c>
      <c r="C3538" s="1" t="n">
        <v>45810</v>
      </c>
      <c r="D3538" t="inlineStr">
        <is>
          <t>VÄRMLANDS LÄN</t>
        </is>
      </c>
      <c r="E3538" t="inlineStr">
        <is>
          <t>KARLSTAD</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55802-2020</t>
        </is>
      </c>
      <c r="B3539" s="1" t="n">
        <v>44132</v>
      </c>
      <c r="C3539" s="1" t="n">
        <v>45810</v>
      </c>
      <c r="D3539" t="inlineStr">
        <is>
          <t>VÄRMLANDS LÄN</t>
        </is>
      </c>
      <c r="E3539" t="inlineStr">
        <is>
          <t>FILIPSTAD</t>
        </is>
      </c>
      <c r="F3539" t="inlineStr">
        <is>
          <t>Bergvik skog väst AB</t>
        </is>
      </c>
      <c r="G3539" t="n">
        <v>2.5</v>
      </c>
      <c r="H3539" t="n">
        <v>0</v>
      </c>
      <c r="I3539" t="n">
        <v>0</v>
      </c>
      <c r="J3539" t="n">
        <v>0</v>
      </c>
      <c r="K3539" t="n">
        <v>0</v>
      </c>
      <c r="L3539" t="n">
        <v>0</v>
      </c>
      <c r="M3539" t="n">
        <v>0</v>
      </c>
      <c r="N3539" t="n">
        <v>0</v>
      </c>
      <c r="O3539" t="n">
        <v>0</v>
      </c>
      <c r="P3539" t="n">
        <v>0</v>
      </c>
      <c r="Q3539" t="n">
        <v>0</v>
      </c>
      <c r="R3539" s="2" t="inlineStr"/>
    </row>
    <row r="3540" ht="15" customHeight="1">
      <c r="A3540" t="inlineStr">
        <is>
          <t>A 55921-2020</t>
        </is>
      </c>
      <c r="B3540" s="1" t="n">
        <v>44132</v>
      </c>
      <c r="C3540" s="1" t="n">
        <v>45810</v>
      </c>
      <c r="D3540" t="inlineStr">
        <is>
          <t>VÄRMLANDS LÄN</t>
        </is>
      </c>
      <c r="E3540" t="inlineStr">
        <is>
          <t>HAGFORS</t>
        </is>
      </c>
      <c r="G3540" t="n">
        <v>6.4</v>
      </c>
      <c r="H3540" t="n">
        <v>0</v>
      </c>
      <c r="I3540" t="n">
        <v>0</v>
      </c>
      <c r="J3540" t="n">
        <v>0</v>
      </c>
      <c r="K3540" t="n">
        <v>0</v>
      </c>
      <c r="L3540" t="n">
        <v>0</v>
      </c>
      <c r="M3540" t="n">
        <v>0</v>
      </c>
      <c r="N3540" t="n">
        <v>0</v>
      </c>
      <c r="O3540" t="n">
        <v>0</v>
      </c>
      <c r="P3540" t="n">
        <v>0</v>
      </c>
      <c r="Q3540" t="n">
        <v>0</v>
      </c>
      <c r="R3540" s="2" t="inlineStr"/>
    </row>
    <row r="3541" ht="15" customHeight="1">
      <c r="A3541" t="inlineStr">
        <is>
          <t>A 55903-2020</t>
        </is>
      </c>
      <c r="B3541" s="1" t="n">
        <v>44132</v>
      </c>
      <c r="C3541" s="1" t="n">
        <v>45810</v>
      </c>
      <c r="D3541" t="inlineStr">
        <is>
          <t>VÄRMLANDS LÄN</t>
        </is>
      </c>
      <c r="E3541" t="inlineStr">
        <is>
          <t>ARVIKA</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55923-2020</t>
        </is>
      </c>
      <c r="B3542" s="1" t="n">
        <v>44132</v>
      </c>
      <c r="C3542" s="1" t="n">
        <v>45810</v>
      </c>
      <c r="D3542" t="inlineStr">
        <is>
          <t>VÄRMLANDS LÄN</t>
        </is>
      </c>
      <c r="E3542" t="inlineStr">
        <is>
          <t>FILIPSTAD</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56052-2020</t>
        </is>
      </c>
      <c r="B3543" s="1" t="n">
        <v>44133</v>
      </c>
      <c r="C3543" s="1" t="n">
        <v>45810</v>
      </c>
      <c r="D3543" t="inlineStr">
        <is>
          <t>VÄRMLANDS LÄN</t>
        </is>
      </c>
      <c r="E3543" t="inlineStr">
        <is>
          <t>KRISTINEHAMN</t>
        </is>
      </c>
      <c r="F3543" t="inlineStr">
        <is>
          <t>Sveaskog</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55959-2020</t>
        </is>
      </c>
      <c r="B3544" s="1" t="n">
        <v>44133</v>
      </c>
      <c r="C3544" s="1" t="n">
        <v>45810</v>
      </c>
      <c r="D3544" t="inlineStr">
        <is>
          <t>VÄRMLANDS LÄN</t>
        </is>
      </c>
      <c r="E3544" t="inlineStr">
        <is>
          <t>EDA</t>
        </is>
      </c>
      <c r="G3544" t="n">
        <v>5.4</v>
      </c>
      <c r="H3544" t="n">
        <v>0</v>
      </c>
      <c r="I3544" t="n">
        <v>0</v>
      </c>
      <c r="J3544" t="n">
        <v>0</v>
      </c>
      <c r="K3544" t="n">
        <v>0</v>
      </c>
      <c r="L3544" t="n">
        <v>0</v>
      </c>
      <c r="M3544" t="n">
        <v>0</v>
      </c>
      <c r="N3544" t="n">
        <v>0</v>
      </c>
      <c r="O3544" t="n">
        <v>0</v>
      </c>
      <c r="P3544" t="n">
        <v>0</v>
      </c>
      <c r="Q3544" t="n">
        <v>0</v>
      </c>
      <c r="R3544" s="2" t="inlineStr"/>
    </row>
    <row r="3545" ht="15" customHeight="1">
      <c r="A3545" t="inlineStr">
        <is>
          <t>A 56045-2020</t>
        </is>
      </c>
      <c r="B3545" s="1" t="n">
        <v>44133</v>
      </c>
      <c r="C3545" s="1" t="n">
        <v>45810</v>
      </c>
      <c r="D3545" t="inlineStr">
        <is>
          <t>VÄRMLANDS LÄN</t>
        </is>
      </c>
      <c r="E3545" t="inlineStr">
        <is>
          <t>KRISTINEHAMN</t>
        </is>
      </c>
      <c r="F3545" t="inlineStr">
        <is>
          <t>Sveaskog</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56146-2020</t>
        </is>
      </c>
      <c r="B3546" s="1" t="n">
        <v>44133</v>
      </c>
      <c r="C3546" s="1" t="n">
        <v>45810</v>
      </c>
      <c r="D3546" t="inlineStr">
        <is>
          <t>VÄRMLANDS LÄN</t>
        </is>
      </c>
      <c r="E3546" t="inlineStr">
        <is>
          <t>KRISTINEHAMN</t>
        </is>
      </c>
      <c r="F3546" t="inlineStr">
        <is>
          <t>Sveaskog</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55987-2020</t>
        </is>
      </c>
      <c r="B3547" s="1" t="n">
        <v>44133</v>
      </c>
      <c r="C3547" s="1" t="n">
        <v>45810</v>
      </c>
      <c r="D3547" t="inlineStr">
        <is>
          <t>VÄRMLANDS LÄN</t>
        </is>
      </c>
      <c r="E3547" t="inlineStr">
        <is>
          <t>EDA</t>
        </is>
      </c>
      <c r="G3547" t="n">
        <v>3.9</v>
      </c>
      <c r="H3547" t="n">
        <v>0</v>
      </c>
      <c r="I3547" t="n">
        <v>0</v>
      </c>
      <c r="J3547" t="n">
        <v>0</v>
      </c>
      <c r="K3547" t="n">
        <v>0</v>
      </c>
      <c r="L3547" t="n">
        <v>0</v>
      </c>
      <c r="M3547" t="n">
        <v>0</v>
      </c>
      <c r="N3547" t="n">
        <v>0</v>
      </c>
      <c r="O3547" t="n">
        <v>0</v>
      </c>
      <c r="P3547" t="n">
        <v>0</v>
      </c>
      <c r="Q3547" t="n">
        <v>0</v>
      </c>
      <c r="R3547" s="2" t="inlineStr"/>
    </row>
    <row r="3548" ht="15" customHeight="1">
      <c r="A3548" t="inlineStr">
        <is>
          <t>A 56279-2020</t>
        </is>
      </c>
      <c r="B3548" s="1" t="n">
        <v>44134</v>
      </c>
      <c r="C3548" s="1" t="n">
        <v>45810</v>
      </c>
      <c r="D3548" t="inlineStr">
        <is>
          <t>VÄRMLANDS LÄN</t>
        </is>
      </c>
      <c r="E3548" t="inlineStr">
        <is>
          <t>FILIPSTAD</t>
        </is>
      </c>
      <c r="F3548" t="inlineStr">
        <is>
          <t>Bergvik skog väst AB</t>
        </is>
      </c>
      <c r="G3548" t="n">
        <v>9.1</v>
      </c>
      <c r="H3548" t="n">
        <v>0</v>
      </c>
      <c r="I3548" t="n">
        <v>0</v>
      </c>
      <c r="J3548" t="n">
        <v>0</v>
      </c>
      <c r="K3548" t="n">
        <v>0</v>
      </c>
      <c r="L3548" t="n">
        <v>0</v>
      </c>
      <c r="M3548" t="n">
        <v>0</v>
      </c>
      <c r="N3548" t="n">
        <v>0</v>
      </c>
      <c r="O3548" t="n">
        <v>0</v>
      </c>
      <c r="P3548" t="n">
        <v>0</v>
      </c>
      <c r="Q3548" t="n">
        <v>0</v>
      </c>
      <c r="R3548" s="2" t="inlineStr"/>
    </row>
    <row r="3549" ht="15" customHeight="1">
      <c r="A3549" t="inlineStr">
        <is>
          <t>A 56849-2020</t>
        </is>
      </c>
      <c r="B3549" s="1" t="n">
        <v>44134</v>
      </c>
      <c r="C3549" s="1" t="n">
        <v>45810</v>
      </c>
      <c r="D3549" t="inlineStr">
        <is>
          <t>VÄRMLANDS LÄN</t>
        </is>
      </c>
      <c r="E3549" t="inlineStr">
        <is>
          <t>ÅRJÄNG</t>
        </is>
      </c>
      <c r="G3549" t="n">
        <v>5.1</v>
      </c>
      <c r="H3549" t="n">
        <v>0</v>
      </c>
      <c r="I3549" t="n">
        <v>0</v>
      </c>
      <c r="J3549" t="n">
        <v>0</v>
      </c>
      <c r="K3549" t="n">
        <v>0</v>
      </c>
      <c r="L3549" t="n">
        <v>0</v>
      </c>
      <c r="M3549" t="n">
        <v>0</v>
      </c>
      <c r="N3549" t="n">
        <v>0</v>
      </c>
      <c r="O3549" t="n">
        <v>0</v>
      </c>
      <c r="P3549" t="n">
        <v>0</v>
      </c>
      <c r="Q3549" t="n">
        <v>0</v>
      </c>
      <c r="R3549" s="2" t="inlineStr"/>
    </row>
    <row r="3550" ht="15" customHeight="1">
      <c r="A3550" t="inlineStr">
        <is>
          <t>A 56271-2020</t>
        </is>
      </c>
      <c r="B3550" s="1" t="n">
        <v>44134</v>
      </c>
      <c r="C3550" s="1" t="n">
        <v>45810</v>
      </c>
      <c r="D3550" t="inlineStr">
        <is>
          <t>VÄRMLANDS LÄN</t>
        </is>
      </c>
      <c r="E3550" t="inlineStr">
        <is>
          <t>SÄFFLE</t>
        </is>
      </c>
      <c r="G3550" t="n">
        <v>6.1</v>
      </c>
      <c r="H3550" t="n">
        <v>0</v>
      </c>
      <c r="I3550" t="n">
        <v>0</v>
      </c>
      <c r="J3550" t="n">
        <v>0</v>
      </c>
      <c r="K3550" t="n">
        <v>0</v>
      </c>
      <c r="L3550" t="n">
        <v>0</v>
      </c>
      <c r="M3550" t="n">
        <v>0</v>
      </c>
      <c r="N3550" t="n">
        <v>0</v>
      </c>
      <c r="O3550" t="n">
        <v>0</v>
      </c>
      <c r="P3550" t="n">
        <v>0</v>
      </c>
      <c r="Q3550" t="n">
        <v>0</v>
      </c>
      <c r="R3550" s="2" t="inlineStr"/>
    </row>
    <row r="3551" ht="15" customHeight="1">
      <c r="A3551" t="inlineStr">
        <is>
          <t>A 56287-2020</t>
        </is>
      </c>
      <c r="B3551" s="1" t="n">
        <v>44134</v>
      </c>
      <c r="C3551" s="1" t="n">
        <v>45810</v>
      </c>
      <c r="D3551" t="inlineStr">
        <is>
          <t>VÄRMLANDS LÄN</t>
        </is>
      </c>
      <c r="E3551" t="inlineStr">
        <is>
          <t>ÅRJÄNG</t>
        </is>
      </c>
      <c r="G3551" t="n">
        <v>6</v>
      </c>
      <c r="H3551" t="n">
        <v>0</v>
      </c>
      <c r="I3551" t="n">
        <v>0</v>
      </c>
      <c r="J3551" t="n">
        <v>0</v>
      </c>
      <c r="K3551" t="n">
        <v>0</v>
      </c>
      <c r="L3551" t="n">
        <v>0</v>
      </c>
      <c r="M3551" t="n">
        <v>0</v>
      </c>
      <c r="N3551" t="n">
        <v>0</v>
      </c>
      <c r="O3551" t="n">
        <v>0</v>
      </c>
      <c r="P3551" t="n">
        <v>0</v>
      </c>
      <c r="Q3551" t="n">
        <v>0</v>
      </c>
      <c r="R3551" s="2" t="inlineStr"/>
    </row>
    <row r="3552" ht="15" customHeight="1">
      <c r="A3552" t="inlineStr">
        <is>
          <t>A 56226-2020</t>
        </is>
      </c>
      <c r="B3552" s="1" t="n">
        <v>44134</v>
      </c>
      <c r="C3552" s="1" t="n">
        <v>45810</v>
      </c>
      <c r="D3552" t="inlineStr">
        <is>
          <t>VÄRMLANDS LÄN</t>
        </is>
      </c>
      <c r="E3552" t="inlineStr">
        <is>
          <t>EDA</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56413-2020</t>
        </is>
      </c>
      <c r="B3553" s="1" t="n">
        <v>44137</v>
      </c>
      <c r="C3553" s="1" t="n">
        <v>45810</v>
      </c>
      <c r="D3553" t="inlineStr">
        <is>
          <t>VÄRMLANDS LÄN</t>
        </is>
      </c>
      <c r="E3553" t="inlineStr">
        <is>
          <t>EDA</t>
        </is>
      </c>
      <c r="G3553" t="n">
        <v>10.9</v>
      </c>
      <c r="H3553" t="n">
        <v>0</v>
      </c>
      <c r="I3553" t="n">
        <v>0</v>
      </c>
      <c r="J3553" t="n">
        <v>0</v>
      </c>
      <c r="K3553" t="n">
        <v>0</v>
      </c>
      <c r="L3553" t="n">
        <v>0</v>
      </c>
      <c r="M3553" t="n">
        <v>0</v>
      </c>
      <c r="N3553" t="n">
        <v>0</v>
      </c>
      <c r="O3553" t="n">
        <v>0</v>
      </c>
      <c r="P3553" t="n">
        <v>0</v>
      </c>
      <c r="Q3553" t="n">
        <v>0</v>
      </c>
      <c r="R3553" s="2" t="inlineStr"/>
    </row>
    <row r="3554" ht="15" customHeight="1">
      <c r="A3554" t="inlineStr">
        <is>
          <t>A 56406-2020</t>
        </is>
      </c>
      <c r="B3554" s="1" t="n">
        <v>44137</v>
      </c>
      <c r="C3554" s="1" t="n">
        <v>45810</v>
      </c>
      <c r="D3554" t="inlineStr">
        <is>
          <t>VÄRMLANDS LÄN</t>
        </is>
      </c>
      <c r="E3554" t="inlineStr">
        <is>
          <t>FILIPSTAD</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56567-2020</t>
        </is>
      </c>
      <c r="B3555" s="1" t="n">
        <v>44137</v>
      </c>
      <c r="C3555" s="1" t="n">
        <v>45810</v>
      </c>
      <c r="D3555" t="inlineStr">
        <is>
          <t>VÄRMLANDS LÄN</t>
        </is>
      </c>
      <c r="E3555" t="inlineStr">
        <is>
          <t>HAGFORS</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56531-2020</t>
        </is>
      </c>
      <c r="B3556" s="1" t="n">
        <v>44137</v>
      </c>
      <c r="C3556" s="1" t="n">
        <v>45810</v>
      </c>
      <c r="D3556" t="inlineStr">
        <is>
          <t>VÄRMLANDS LÄN</t>
        </is>
      </c>
      <c r="E3556" t="inlineStr">
        <is>
          <t>GRUMS</t>
        </is>
      </c>
      <c r="G3556" t="n">
        <v>15.3</v>
      </c>
      <c r="H3556" t="n">
        <v>0</v>
      </c>
      <c r="I3556" t="n">
        <v>0</v>
      </c>
      <c r="J3556" t="n">
        <v>0</v>
      </c>
      <c r="K3556" t="n">
        <v>0</v>
      </c>
      <c r="L3556" t="n">
        <v>0</v>
      </c>
      <c r="M3556" t="n">
        <v>0</v>
      </c>
      <c r="N3556" t="n">
        <v>0</v>
      </c>
      <c r="O3556" t="n">
        <v>0</v>
      </c>
      <c r="P3556" t="n">
        <v>0</v>
      </c>
      <c r="Q3556" t="n">
        <v>0</v>
      </c>
      <c r="R3556" s="2" t="inlineStr"/>
    </row>
    <row r="3557" ht="15" customHeight="1">
      <c r="A3557" t="inlineStr">
        <is>
          <t>A 56624-2020</t>
        </is>
      </c>
      <c r="B3557" s="1" t="n">
        <v>44137</v>
      </c>
      <c r="C3557" s="1" t="n">
        <v>45810</v>
      </c>
      <c r="D3557" t="inlineStr">
        <is>
          <t>VÄRMLANDS LÄN</t>
        </is>
      </c>
      <c r="E3557" t="inlineStr">
        <is>
          <t>ARVIKA</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57037-2020</t>
        </is>
      </c>
      <c r="B3558" s="1" t="n">
        <v>44137</v>
      </c>
      <c r="C3558" s="1" t="n">
        <v>45810</v>
      </c>
      <c r="D3558" t="inlineStr">
        <is>
          <t>VÄRMLANDS LÄN</t>
        </is>
      </c>
      <c r="E3558" t="inlineStr">
        <is>
          <t>SÄFFLE</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56518-2020</t>
        </is>
      </c>
      <c r="B3559" s="1" t="n">
        <v>44137</v>
      </c>
      <c r="C3559" s="1" t="n">
        <v>45810</v>
      </c>
      <c r="D3559" t="inlineStr">
        <is>
          <t>VÄRMLANDS LÄN</t>
        </is>
      </c>
      <c r="E3559" t="inlineStr">
        <is>
          <t>ARVIKA</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57028-2020</t>
        </is>
      </c>
      <c r="B3560" s="1" t="n">
        <v>44137</v>
      </c>
      <c r="C3560" s="1" t="n">
        <v>45810</v>
      </c>
      <c r="D3560" t="inlineStr">
        <is>
          <t>VÄRMLANDS LÄN</t>
        </is>
      </c>
      <c r="E3560" t="inlineStr">
        <is>
          <t>SÄFFLE</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56822-2020</t>
        </is>
      </c>
      <c r="B3561" s="1" t="n">
        <v>44138</v>
      </c>
      <c r="C3561" s="1" t="n">
        <v>45810</v>
      </c>
      <c r="D3561" t="inlineStr">
        <is>
          <t>VÄRMLANDS LÄN</t>
        </is>
      </c>
      <c r="E3561" t="inlineStr">
        <is>
          <t>KIL</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56861-2020</t>
        </is>
      </c>
      <c r="B3562" s="1" t="n">
        <v>44138</v>
      </c>
      <c r="C3562" s="1" t="n">
        <v>45810</v>
      </c>
      <c r="D3562" t="inlineStr">
        <is>
          <t>VÄRMLANDS LÄN</t>
        </is>
      </c>
      <c r="E3562" t="inlineStr">
        <is>
          <t>FILIPSTAD</t>
        </is>
      </c>
      <c r="F3562" t="inlineStr">
        <is>
          <t>Bergvik skog väst AB</t>
        </is>
      </c>
      <c r="G3562" t="n">
        <v>10.6</v>
      </c>
      <c r="H3562" t="n">
        <v>0</v>
      </c>
      <c r="I3562" t="n">
        <v>0</v>
      </c>
      <c r="J3562" t="n">
        <v>0</v>
      </c>
      <c r="K3562" t="n">
        <v>0</v>
      </c>
      <c r="L3562" t="n">
        <v>0</v>
      </c>
      <c r="M3562" t="n">
        <v>0</v>
      </c>
      <c r="N3562" t="n">
        <v>0</v>
      </c>
      <c r="O3562" t="n">
        <v>0</v>
      </c>
      <c r="P3562" t="n">
        <v>0</v>
      </c>
      <c r="Q3562" t="n">
        <v>0</v>
      </c>
      <c r="R3562" s="2" t="inlineStr"/>
    </row>
    <row r="3563" ht="15" customHeight="1">
      <c r="A3563" t="inlineStr">
        <is>
          <t>A 56908-2020</t>
        </is>
      </c>
      <c r="B3563" s="1" t="n">
        <v>44138</v>
      </c>
      <c r="C3563" s="1" t="n">
        <v>45810</v>
      </c>
      <c r="D3563" t="inlineStr">
        <is>
          <t>VÄRMLANDS LÄN</t>
        </is>
      </c>
      <c r="E3563" t="inlineStr">
        <is>
          <t>ÅRJÄNG</t>
        </is>
      </c>
      <c r="G3563" t="n">
        <v>2.4</v>
      </c>
      <c r="H3563" t="n">
        <v>0</v>
      </c>
      <c r="I3563" t="n">
        <v>0</v>
      </c>
      <c r="J3563" t="n">
        <v>0</v>
      </c>
      <c r="K3563" t="n">
        <v>0</v>
      </c>
      <c r="L3563" t="n">
        <v>0</v>
      </c>
      <c r="M3563" t="n">
        <v>0</v>
      </c>
      <c r="N3563" t="n">
        <v>0</v>
      </c>
      <c r="O3563" t="n">
        <v>0</v>
      </c>
      <c r="P3563" t="n">
        <v>0</v>
      </c>
      <c r="Q3563" t="n">
        <v>0</v>
      </c>
      <c r="R3563" s="2" t="inlineStr"/>
    </row>
    <row r="3564" ht="15" customHeight="1">
      <c r="A3564" t="inlineStr">
        <is>
          <t>A 56979-2020</t>
        </is>
      </c>
      <c r="B3564" s="1" t="n">
        <v>44138</v>
      </c>
      <c r="C3564" s="1" t="n">
        <v>45810</v>
      </c>
      <c r="D3564" t="inlineStr">
        <is>
          <t>VÄRMLANDS LÄN</t>
        </is>
      </c>
      <c r="E3564" t="inlineStr">
        <is>
          <t>TORSBY</t>
        </is>
      </c>
      <c r="G3564" t="n">
        <v>3.2</v>
      </c>
      <c r="H3564" t="n">
        <v>0</v>
      </c>
      <c r="I3564" t="n">
        <v>0</v>
      </c>
      <c r="J3564" t="n">
        <v>0</v>
      </c>
      <c r="K3564" t="n">
        <v>0</v>
      </c>
      <c r="L3564" t="n">
        <v>0</v>
      </c>
      <c r="M3564" t="n">
        <v>0</v>
      </c>
      <c r="N3564" t="n">
        <v>0</v>
      </c>
      <c r="O3564" t="n">
        <v>0</v>
      </c>
      <c r="P3564" t="n">
        <v>0</v>
      </c>
      <c r="Q3564" t="n">
        <v>0</v>
      </c>
      <c r="R3564" s="2" t="inlineStr"/>
    </row>
    <row r="3565" ht="15" customHeight="1">
      <c r="A3565" t="inlineStr">
        <is>
          <t>A 57003-2020</t>
        </is>
      </c>
      <c r="B3565" s="1" t="n">
        <v>44138</v>
      </c>
      <c r="C3565" s="1" t="n">
        <v>45810</v>
      </c>
      <c r="D3565" t="inlineStr">
        <is>
          <t>VÄRMLANDS LÄN</t>
        </is>
      </c>
      <c r="E3565" t="inlineStr">
        <is>
          <t>KARLSTAD</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57219-2020</t>
        </is>
      </c>
      <c r="B3566" s="1" t="n">
        <v>44138</v>
      </c>
      <c r="C3566" s="1" t="n">
        <v>45810</v>
      </c>
      <c r="D3566" t="inlineStr">
        <is>
          <t>VÄRMLANDS LÄN</t>
        </is>
      </c>
      <c r="E3566" t="inlineStr">
        <is>
          <t>ARVIKA</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56871-2020</t>
        </is>
      </c>
      <c r="B3567" s="1" t="n">
        <v>44138</v>
      </c>
      <c r="C3567" s="1" t="n">
        <v>45810</v>
      </c>
      <c r="D3567" t="inlineStr">
        <is>
          <t>VÄRMLANDS LÄN</t>
        </is>
      </c>
      <c r="E3567" t="inlineStr">
        <is>
          <t>FORSHAGA</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57119-2020</t>
        </is>
      </c>
      <c r="B3568" s="1" t="n">
        <v>44139</v>
      </c>
      <c r="C3568" s="1" t="n">
        <v>45810</v>
      </c>
      <c r="D3568" t="inlineStr">
        <is>
          <t>VÄRMLANDS LÄN</t>
        </is>
      </c>
      <c r="E3568" t="inlineStr">
        <is>
          <t>TORSBY</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57230-2020</t>
        </is>
      </c>
      <c r="B3569" s="1" t="n">
        <v>44139</v>
      </c>
      <c r="C3569" s="1" t="n">
        <v>45810</v>
      </c>
      <c r="D3569" t="inlineStr">
        <is>
          <t>VÄRMLANDS LÄN</t>
        </is>
      </c>
      <c r="E3569" t="inlineStr">
        <is>
          <t>SÄFFLE</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57331-2020</t>
        </is>
      </c>
      <c r="B3570" s="1" t="n">
        <v>44139</v>
      </c>
      <c r="C3570" s="1" t="n">
        <v>45810</v>
      </c>
      <c r="D3570" t="inlineStr">
        <is>
          <t>VÄRMLANDS LÄN</t>
        </is>
      </c>
      <c r="E3570" t="inlineStr">
        <is>
          <t>ARVIKA</t>
        </is>
      </c>
      <c r="G3570" t="n">
        <v>4.1</v>
      </c>
      <c r="H3570" t="n">
        <v>0</v>
      </c>
      <c r="I3570" t="n">
        <v>0</v>
      </c>
      <c r="J3570" t="n">
        <v>0</v>
      </c>
      <c r="K3570" t="n">
        <v>0</v>
      </c>
      <c r="L3570" t="n">
        <v>0</v>
      </c>
      <c r="M3570" t="n">
        <v>0</v>
      </c>
      <c r="N3570" t="n">
        <v>0</v>
      </c>
      <c r="O3570" t="n">
        <v>0</v>
      </c>
      <c r="P3570" t="n">
        <v>0</v>
      </c>
      <c r="Q3570" t="n">
        <v>0</v>
      </c>
      <c r="R3570" s="2" t="inlineStr"/>
    </row>
    <row r="3571" ht="15" customHeight="1">
      <c r="A3571" t="inlineStr">
        <is>
          <t>A 57605-2020</t>
        </is>
      </c>
      <c r="B3571" s="1" t="n">
        <v>44140</v>
      </c>
      <c r="C3571" s="1" t="n">
        <v>45810</v>
      </c>
      <c r="D3571" t="inlineStr">
        <is>
          <t>VÄRMLANDS LÄN</t>
        </is>
      </c>
      <c r="E3571" t="inlineStr">
        <is>
          <t>ÅRJÄNG</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57437-2020</t>
        </is>
      </c>
      <c r="B3572" s="1" t="n">
        <v>44140</v>
      </c>
      <c r="C3572" s="1" t="n">
        <v>45810</v>
      </c>
      <c r="D3572" t="inlineStr">
        <is>
          <t>VÄRMLANDS LÄN</t>
        </is>
      </c>
      <c r="E3572" t="inlineStr">
        <is>
          <t>ÅRJÄNG</t>
        </is>
      </c>
      <c r="G3572" t="n">
        <v>3.7</v>
      </c>
      <c r="H3572" t="n">
        <v>0</v>
      </c>
      <c r="I3572" t="n">
        <v>0</v>
      </c>
      <c r="J3572" t="n">
        <v>0</v>
      </c>
      <c r="K3572" t="n">
        <v>0</v>
      </c>
      <c r="L3572" t="n">
        <v>0</v>
      </c>
      <c r="M3572" t="n">
        <v>0</v>
      </c>
      <c r="N3572" t="n">
        <v>0</v>
      </c>
      <c r="O3572" t="n">
        <v>0</v>
      </c>
      <c r="P3572" t="n">
        <v>0</v>
      </c>
      <c r="Q3572" t="n">
        <v>0</v>
      </c>
      <c r="R3572" s="2" t="inlineStr"/>
    </row>
    <row r="3573" ht="15" customHeight="1">
      <c r="A3573" t="inlineStr">
        <is>
          <t>A 57444-2020</t>
        </is>
      </c>
      <c r="B3573" s="1" t="n">
        <v>44140</v>
      </c>
      <c r="C3573" s="1" t="n">
        <v>45810</v>
      </c>
      <c r="D3573" t="inlineStr">
        <is>
          <t>VÄRMLANDS LÄN</t>
        </is>
      </c>
      <c r="E3573" t="inlineStr">
        <is>
          <t>ÅRJÄNG</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57708-2020</t>
        </is>
      </c>
      <c r="B3574" s="1" t="n">
        <v>44140</v>
      </c>
      <c r="C3574" s="1" t="n">
        <v>45810</v>
      </c>
      <c r="D3574" t="inlineStr">
        <is>
          <t>VÄRMLANDS LÄN</t>
        </is>
      </c>
      <c r="E3574" t="inlineStr">
        <is>
          <t>GRUMS</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57748-2020</t>
        </is>
      </c>
      <c r="B3575" s="1" t="n">
        <v>44140</v>
      </c>
      <c r="C3575" s="1" t="n">
        <v>45810</v>
      </c>
      <c r="D3575" t="inlineStr">
        <is>
          <t>VÄRMLANDS LÄN</t>
        </is>
      </c>
      <c r="E3575" t="inlineStr">
        <is>
          <t>ÅRJÄNG</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57761-2020</t>
        </is>
      </c>
      <c r="B3576" s="1" t="n">
        <v>44140</v>
      </c>
      <c r="C3576" s="1" t="n">
        <v>45810</v>
      </c>
      <c r="D3576" t="inlineStr">
        <is>
          <t>VÄRMLANDS LÄN</t>
        </is>
      </c>
      <c r="E3576" t="inlineStr">
        <is>
          <t>ÅRJÄNG</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57775-2020</t>
        </is>
      </c>
      <c r="B3577" s="1" t="n">
        <v>44141</v>
      </c>
      <c r="C3577" s="1" t="n">
        <v>45810</v>
      </c>
      <c r="D3577" t="inlineStr">
        <is>
          <t>VÄRMLANDS LÄN</t>
        </is>
      </c>
      <c r="E3577" t="inlineStr">
        <is>
          <t>KRISTINEHAMN</t>
        </is>
      </c>
      <c r="F3577" t="inlineStr">
        <is>
          <t>Sveaskog</t>
        </is>
      </c>
      <c r="G3577" t="n">
        <v>7.9</v>
      </c>
      <c r="H3577" t="n">
        <v>0</v>
      </c>
      <c r="I3577" t="n">
        <v>0</v>
      </c>
      <c r="J3577" t="n">
        <v>0</v>
      </c>
      <c r="K3577" t="n">
        <v>0</v>
      </c>
      <c r="L3577" t="n">
        <v>0</v>
      </c>
      <c r="M3577" t="n">
        <v>0</v>
      </c>
      <c r="N3577" t="n">
        <v>0</v>
      </c>
      <c r="O3577" t="n">
        <v>0</v>
      </c>
      <c r="P3577" t="n">
        <v>0</v>
      </c>
      <c r="Q3577" t="n">
        <v>0</v>
      </c>
      <c r="R3577" s="2" t="inlineStr"/>
    </row>
    <row r="3578" ht="15" customHeight="1">
      <c r="A3578" t="inlineStr">
        <is>
          <t>A 57780-2020</t>
        </is>
      </c>
      <c r="B3578" s="1" t="n">
        <v>44141</v>
      </c>
      <c r="C3578" s="1" t="n">
        <v>45810</v>
      </c>
      <c r="D3578" t="inlineStr">
        <is>
          <t>VÄRMLANDS LÄN</t>
        </is>
      </c>
      <c r="E3578" t="inlineStr">
        <is>
          <t>KRISTINEHAMN</t>
        </is>
      </c>
      <c r="F3578" t="inlineStr">
        <is>
          <t>Sveaskog</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57776-2020</t>
        </is>
      </c>
      <c r="B3579" s="1" t="n">
        <v>44141</v>
      </c>
      <c r="C3579" s="1" t="n">
        <v>45810</v>
      </c>
      <c r="D3579" t="inlineStr">
        <is>
          <t>VÄRMLANDS LÄN</t>
        </is>
      </c>
      <c r="E3579" t="inlineStr">
        <is>
          <t>KRISTINEHAMN</t>
        </is>
      </c>
      <c r="F3579" t="inlineStr">
        <is>
          <t>Sveaskog</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57772-2020</t>
        </is>
      </c>
      <c r="B3580" s="1" t="n">
        <v>44141</v>
      </c>
      <c r="C3580" s="1" t="n">
        <v>45810</v>
      </c>
      <c r="D3580" t="inlineStr">
        <is>
          <t>VÄRMLANDS LÄN</t>
        </is>
      </c>
      <c r="E3580" t="inlineStr">
        <is>
          <t>KRISTINEHAMN</t>
        </is>
      </c>
      <c r="F3580" t="inlineStr">
        <is>
          <t>Sveaskog</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57778-2020</t>
        </is>
      </c>
      <c r="B3581" s="1" t="n">
        <v>44141</v>
      </c>
      <c r="C3581" s="1" t="n">
        <v>45810</v>
      </c>
      <c r="D3581" t="inlineStr">
        <is>
          <t>VÄRMLANDS LÄN</t>
        </is>
      </c>
      <c r="E3581" t="inlineStr">
        <is>
          <t>KRISTINEHAMN</t>
        </is>
      </c>
      <c r="F3581" t="inlineStr">
        <is>
          <t>Sveaskog</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57782-2020</t>
        </is>
      </c>
      <c r="B3582" s="1" t="n">
        <v>44141</v>
      </c>
      <c r="C3582" s="1" t="n">
        <v>45810</v>
      </c>
      <c r="D3582" t="inlineStr">
        <is>
          <t>VÄRMLANDS LÄN</t>
        </is>
      </c>
      <c r="E3582" t="inlineStr">
        <is>
          <t>KRISTINEHAMN</t>
        </is>
      </c>
      <c r="F3582" t="inlineStr">
        <is>
          <t>Sveaskog</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57896-2020</t>
        </is>
      </c>
      <c r="B3583" s="1" t="n">
        <v>44141</v>
      </c>
      <c r="C3583" s="1" t="n">
        <v>45810</v>
      </c>
      <c r="D3583" t="inlineStr">
        <is>
          <t>VÄRMLANDS LÄN</t>
        </is>
      </c>
      <c r="E3583" t="inlineStr">
        <is>
          <t>TORSBY</t>
        </is>
      </c>
      <c r="F3583" t="inlineStr">
        <is>
          <t>Bergvik skog väst AB</t>
        </is>
      </c>
      <c r="G3583" t="n">
        <v>5.2</v>
      </c>
      <c r="H3583" t="n">
        <v>0</v>
      </c>
      <c r="I3583" t="n">
        <v>0</v>
      </c>
      <c r="J3583" t="n">
        <v>0</v>
      </c>
      <c r="K3583" t="n">
        <v>0</v>
      </c>
      <c r="L3583" t="n">
        <v>0</v>
      </c>
      <c r="M3583" t="n">
        <v>0</v>
      </c>
      <c r="N3583" t="n">
        <v>0</v>
      </c>
      <c r="O3583" t="n">
        <v>0</v>
      </c>
      <c r="P3583" t="n">
        <v>0</v>
      </c>
      <c r="Q3583" t="n">
        <v>0</v>
      </c>
      <c r="R3583" s="2" t="inlineStr"/>
    </row>
    <row r="3584" ht="15" customHeight="1">
      <c r="A3584" t="inlineStr">
        <is>
          <t>A 57980-2020</t>
        </is>
      </c>
      <c r="B3584" s="1" t="n">
        <v>44143</v>
      </c>
      <c r="C3584" s="1" t="n">
        <v>45810</v>
      </c>
      <c r="D3584" t="inlineStr">
        <is>
          <t>VÄRMLANDS LÄN</t>
        </is>
      </c>
      <c r="E3584" t="inlineStr">
        <is>
          <t>TORSBY</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57998-2020</t>
        </is>
      </c>
      <c r="B3585" s="1" t="n">
        <v>44144</v>
      </c>
      <c r="C3585" s="1" t="n">
        <v>45810</v>
      </c>
      <c r="D3585" t="inlineStr">
        <is>
          <t>VÄRMLANDS LÄN</t>
        </is>
      </c>
      <c r="E3585" t="inlineStr">
        <is>
          <t>EDA</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58193-2020</t>
        </is>
      </c>
      <c r="B3586" s="1" t="n">
        <v>44144</v>
      </c>
      <c r="C3586" s="1" t="n">
        <v>45810</v>
      </c>
      <c r="D3586" t="inlineStr">
        <is>
          <t>VÄRMLANDS LÄN</t>
        </is>
      </c>
      <c r="E3586" t="inlineStr">
        <is>
          <t>EDA</t>
        </is>
      </c>
      <c r="G3586" t="n">
        <v>5</v>
      </c>
      <c r="H3586" t="n">
        <v>0</v>
      </c>
      <c r="I3586" t="n">
        <v>0</v>
      </c>
      <c r="J3586" t="n">
        <v>0</v>
      </c>
      <c r="K3586" t="n">
        <v>0</v>
      </c>
      <c r="L3586" t="n">
        <v>0</v>
      </c>
      <c r="M3586" t="n">
        <v>0</v>
      </c>
      <c r="N3586" t="n">
        <v>0</v>
      </c>
      <c r="O3586" t="n">
        <v>0</v>
      </c>
      <c r="P3586" t="n">
        <v>0</v>
      </c>
      <c r="Q3586" t="n">
        <v>0</v>
      </c>
      <c r="R3586" s="2" t="inlineStr"/>
    </row>
    <row r="3587" ht="15" customHeight="1">
      <c r="A3587" t="inlineStr">
        <is>
          <t>A 58201-2020</t>
        </is>
      </c>
      <c r="B3587" s="1" t="n">
        <v>44144</v>
      </c>
      <c r="C3587" s="1" t="n">
        <v>45810</v>
      </c>
      <c r="D3587" t="inlineStr">
        <is>
          <t>VÄRMLANDS LÄN</t>
        </is>
      </c>
      <c r="E3587" t="inlineStr">
        <is>
          <t>KRISTINEHAMN</t>
        </is>
      </c>
      <c r="F3587" t="inlineStr">
        <is>
          <t>Naturvårdsverket</t>
        </is>
      </c>
      <c r="G3587" t="n">
        <v>5.6</v>
      </c>
      <c r="H3587" t="n">
        <v>0</v>
      </c>
      <c r="I3587" t="n">
        <v>0</v>
      </c>
      <c r="J3587" t="n">
        <v>0</v>
      </c>
      <c r="K3587" t="n">
        <v>0</v>
      </c>
      <c r="L3587" t="n">
        <v>0</v>
      </c>
      <c r="M3587" t="n">
        <v>0</v>
      </c>
      <c r="N3587" t="n">
        <v>0</v>
      </c>
      <c r="O3587" t="n">
        <v>0</v>
      </c>
      <c r="P3587" t="n">
        <v>0</v>
      </c>
      <c r="Q3587" t="n">
        <v>0</v>
      </c>
      <c r="R3587" s="2" t="inlineStr"/>
    </row>
    <row r="3588" ht="15" customHeight="1">
      <c r="A3588" t="inlineStr">
        <is>
          <t>A 58078-2020</t>
        </is>
      </c>
      <c r="B3588" s="1" t="n">
        <v>44144</v>
      </c>
      <c r="C3588" s="1" t="n">
        <v>45810</v>
      </c>
      <c r="D3588" t="inlineStr">
        <is>
          <t>VÄRMLANDS LÄN</t>
        </is>
      </c>
      <c r="E3588" t="inlineStr">
        <is>
          <t>TORSBY</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57994-2020</t>
        </is>
      </c>
      <c r="B3589" s="1" t="n">
        <v>44144</v>
      </c>
      <c r="C3589" s="1" t="n">
        <v>45810</v>
      </c>
      <c r="D3589" t="inlineStr">
        <is>
          <t>VÄRMLANDS LÄN</t>
        </is>
      </c>
      <c r="E3589" t="inlineStr">
        <is>
          <t>EDA</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58223-2020</t>
        </is>
      </c>
      <c r="B3590" s="1" t="n">
        <v>44144</v>
      </c>
      <c r="C3590" s="1" t="n">
        <v>45810</v>
      </c>
      <c r="D3590" t="inlineStr">
        <is>
          <t>VÄRMLANDS LÄN</t>
        </is>
      </c>
      <c r="E3590" t="inlineStr">
        <is>
          <t>SUNNE</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58481-2020</t>
        </is>
      </c>
      <c r="B3591" s="1" t="n">
        <v>44144</v>
      </c>
      <c r="C3591" s="1" t="n">
        <v>45810</v>
      </c>
      <c r="D3591" t="inlineStr">
        <is>
          <t>VÄRMLANDS LÄN</t>
        </is>
      </c>
      <c r="E3591" t="inlineStr">
        <is>
          <t>HAGFORS</t>
        </is>
      </c>
      <c r="G3591" t="n">
        <v>2.6</v>
      </c>
      <c r="H3591" t="n">
        <v>0</v>
      </c>
      <c r="I3591" t="n">
        <v>0</v>
      </c>
      <c r="J3591" t="n">
        <v>0</v>
      </c>
      <c r="K3591" t="n">
        <v>0</v>
      </c>
      <c r="L3591" t="n">
        <v>0</v>
      </c>
      <c r="M3591" t="n">
        <v>0</v>
      </c>
      <c r="N3591" t="n">
        <v>0</v>
      </c>
      <c r="O3591" t="n">
        <v>0</v>
      </c>
      <c r="P3591" t="n">
        <v>0</v>
      </c>
      <c r="Q3591" t="n">
        <v>0</v>
      </c>
      <c r="R3591" s="2" t="inlineStr"/>
    </row>
    <row r="3592" ht="15" customHeight="1">
      <c r="A3592" t="inlineStr">
        <is>
          <t>A 58467-2020</t>
        </is>
      </c>
      <c r="B3592" s="1" t="n">
        <v>44144</v>
      </c>
      <c r="C3592" s="1" t="n">
        <v>45810</v>
      </c>
      <c r="D3592" t="inlineStr">
        <is>
          <t>VÄRMLANDS LÄN</t>
        </is>
      </c>
      <c r="E3592" t="inlineStr">
        <is>
          <t>SÄFFLE</t>
        </is>
      </c>
      <c r="G3592" t="n">
        <v>2.7</v>
      </c>
      <c r="H3592" t="n">
        <v>0</v>
      </c>
      <c r="I3592" t="n">
        <v>0</v>
      </c>
      <c r="J3592" t="n">
        <v>0</v>
      </c>
      <c r="K3592" t="n">
        <v>0</v>
      </c>
      <c r="L3592" t="n">
        <v>0</v>
      </c>
      <c r="M3592" t="n">
        <v>0</v>
      </c>
      <c r="N3592" t="n">
        <v>0</v>
      </c>
      <c r="O3592" t="n">
        <v>0</v>
      </c>
      <c r="P3592" t="n">
        <v>0</v>
      </c>
      <c r="Q3592" t="n">
        <v>0</v>
      </c>
      <c r="R3592" s="2" t="inlineStr"/>
    </row>
    <row r="3593" ht="15" customHeight="1">
      <c r="A3593" t="inlineStr">
        <is>
          <t>A 58532-2020</t>
        </is>
      </c>
      <c r="B3593" s="1" t="n">
        <v>44145</v>
      </c>
      <c r="C3593" s="1" t="n">
        <v>45810</v>
      </c>
      <c r="D3593" t="inlineStr">
        <is>
          <t>VÄRMLANDS LÄN</t>
        </is>
      </c>
      <c r="E3593" t="inlineStr">
        <is>
          <t>FILIPSTAD</t>
        </is>
      </c>
      <c r="F3593" t="inlineStr">
        <is>
          <t>Bergvik skog väst AB</t>
        </is>
      </c>
      <c r="G3593" t="n">
        <v>5.9</v>
      </c>
      <c r="H3593" t="n">
        <v>0</v>
      </c>
      <c r="I3593" t="n">
        <v>0</v>
      </c>
      <c r="J3593" t="n">
        <v>0</v>
      </c>
      <c r="K3593" t="n">
        <v>0</v>
      </c>
      <c r="L3593" t="n">
        <v>0</v>
      </c>
      <c r="M3593" t="n">
        <v>0</v>
      </c>
      <c r="N3593" t="n">
        <v>0</v>
      </c>
      <c r="O3593" t="n">
        <v>0</v>
      </c>
      <c r="P3593" t="n">
        <v>0</v>
      </c>
      <c r="Q3593" t="n">
        <v>0</v>
      </c>
      <c r="R3593" s="2" t="inlineStr"/>
    </row>
    <row r="3594" ht="15" customHeight="1">
      <c r="A3594" t="inlineStr">
        <is>
          <t>A 58599-2020</t>
        </is>
      </c>
      <c r="B3594" s="1" t="n">
        <v>44145</v>
      </c>
      <c r="C3594" s="1" t="n">
        <v>45810</v>
      </c>
      <c r="D3594" t="inlineStr">
        <is>
          <t>VÄRMLANDS LÄN</t>
        </is>
      </c>
      <c r="E3594" t="inlineStr">
        <is>
          <t>TORSBY</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58340-2020</t>
        </is>
      </c>
      <c r="B3595" s="1" t="n">
        <v>44145</v>
      </c>
      <c r="C3595" s="1" t="n">
        <v>45810</v>
      </c>
      <c r="D3595" t="inlineStr">
        <is>
          <t>VÄRMLANDS LÄN</t>
        </is>
      </c>
      <c r="E3595" t="inlineStr">
        <is>
          <t>SÄFFLE</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58548-2020</t>
        </is>
      </c>
      <c r="B3596" s="1" t="n">
        <v>44145</v>
      </c>
      <c r="C3596" s="1" t="n">
        <v>45810</v>
      </c>
      <c r="D3596" t="inlineStr">
        <is>
          <t>VÄRMLANDS LÄN</t>
        </is>
      </c>
      <c r="E3596" t="inlineStr">
        <is>
          <t>HAGFORS</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58530-2020</t>
        </is>
      </c>
      <c r="B3597" s="1" t="n">
        <v>44145</v>
      </c>
      <c r="C3597" s="1" t="n">
        <v>45810</v>
      </c>
      <c r="D3597" t="inlineStr">
        <is>
          <t>VÄRMLANDS LÄN</t>
        </is>
      </c>
      <c r="E3597" t="inlineStr">
        <is>
          <t>STORFORS</t>
        </is>
      </c>
      <c r="F3597" t="inlineStr">
        <is>
          <t>Bergvik skog väst AB</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58598-2020</t>
        </is>
      </c>
      <c r="B3598" s="1" t="n">
        <v>44145</v>
      </c>
      <c r="C3598" s="1" t="n">
        <v>45810</v>
      </c>
      <c r="D3598" t="inlineStr">
        <is>
          <t>VÄRMLANDS LÄN</t>
        </is>
      </c>
      <c r="E3598" t="inlineStr">
        <is>
          <t>SÄFFLE</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58574-2020</t>
        </is>
      </c>
      <c r="B3599" s="1" t="n">
        <v>44145</v>
      </c>
      <c r="C3599" s="1" t="n">
        <v>45810</v>
      </c>
      <c r="D3599" t="inlineStr">
        <is>
          <t>VÄRMLANDS LÄN</t>
        </is>
      </c>
      <c r="E3599" t="inlineStr">
        <is>
          <t>TORSBY</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58629-2020</t>
        </is>
      </c>
      <c r="B3600" s="1" t="n">
        <v>44145</v>
      </c>
      <c r="C3600" s="1" t="n">
        <v>45810</v>
      </c>
      <c r="D3600" t="inlineStr">
        <is>
          <t>VÄRMLANDS LÄN</t>
        </is>
      </c>
      <c r="E3600" t="inlineStr">
        <is>
          <t>ÅRJÄNG</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58643-2020</t>
        </is>
      </c>
      <c r="B3601" s="1" t="n">
        <v>44145</v>
      </c>
      <c r="C3601" s="1" t="n">
        <v>45810</v>
      </c>
      <c r="D3601" t="inlineStr">
        <is>
          <t>VÄRMLANDS LÄN</t>
        </is>
      </c>
      <c r="E3601" t="inlineStr">
        <is>
          <t>TORSBY</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58680-2020</t>
        </is>
      </c>
      <c r="B3602" s="1" t="n">
        <v>44146</v>
      </c>
      <c r="C3602" s="1" t="n">
        <v>45810</v>
      </c>
      <c r="D3602" t="inlineStr">
        <is>
          <t>VÄRMLANDS LÄN</t>
        </is>
      </c>
      <c r="E3602" t="inlineStr">
        <is>
          <t>TORSBY</t>
        </is>
      </c>
      <c r="G3602" t="n">
        <v>4.7</v>
      </c>
      <c r="H3602" t="n">
        <v>0</v>
      </c>
      <c r="I3602" t="n">
        <v>0</v>
      </c>
      <c r="J3602" t="n">
        <v>0</v>
      </c>
      <c r="K3602" t="n">
        <v>0</v>
      </c>
      <c r="L3602" t="n">
        <v>0</v>
      </c>
      <c r="M3602" t="n">
        <v>0</v>
      </c>
      <c r="N3602" t="n">
        <v>0</v>
      </c>
      <c r="O3602" t="n">
        <v>0</v>
      </c>
      <c r="P3602" t="n">
        <v>0</v>
      </c>
      <c r="Q3602" t="n">
        <v>0</v>
      </c>
      <c r="R3602" s="2" t="inlineStr"/>
    </row>
    <row r="3603" ht="15" customHeight="1">
      <c r="A3603" t="inlineStr">
        <is>
          <t>A 58687-2020</t>
        </is>
      </c>
      <c r="B3603" s="1" t="n">
        <v>44146</v>
      </c>
      <c r="C3603" s="1" t="n">
        <v>45810</v>
      </c>
      <c r="D3603" t="inlineStr">
        <is>
          <t>VÄRMLANDS LÄN</t>
        </is>
      </c>
      <c r="E3603" t="inlineStr">
        <is>
          <t>ARVIKA</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58691-2020</t>
        </is>
      </c>
      <c r="B3604" s="1" t="n">
        <v>44146</v>
      </c>
      <c r="C3604" s="1" t="n">
        <v>45810</v>
      </c>
      <c r="D3604" t="inlineStr">
        <is>
          <t>VÄRMLANDS LÄN</t>
        </is>
      </c>
      <c r="E3604" t="inlineStr">
        <is>
          <t>FORSHAGA</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58695-2020</t>
        </is>
      </c>
      <c r="B3605" s="1" t="n">
        <v>44146</v>
      </c>
      <c r="C3605" s="1" t="n">
        <v>45810</v>
      </c>
      <c r="D3605" t="inlineStr">
        <is>
          <t>VÄRMLANDS LÄN</t>
        </is>
      </c>
      <c r="E3605" t="inlineStr">
        <is>
          <t>ARVIKA</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58758-2020</t>
        </is>
      </c>
      <c r="B3606" s="1" t="n">
        <v>44146</v>
      </c>
      <c r="C3606" s="1" t="n">
        <v>45810</v>
      </c>
      <c r="D3606" t="inlineStr">
        <is>
          <t>VÄRMLANDS LÄN</t>
        </is>
      </c>
      <c r="E3606" t="inlineStr">
        <is>
          <t>SÄFFLE</t>
        </is>
      </c>
      <c r="F3606" t="inlineStr">
        <is>
          <t>Bergvik skog väst AB</t>
        </is>
      </c>
      <c r="G3606" t="n">
        <v>26.3</v>
      </c>
      <c r="H3606" t="n">
        <v>0</v>
      </c>
      <c r="I3606" t="n">
        <v>0</v>
      </c>
      <c r="J3606" t="n">
        <v>0</v>
      </c>
      <c r="K3606" t="n">
        <v>0</v>
      </c>
      <c r="L3606" t="n">
        <v>0</v>
      </c>
      <c r="M3606" t="n">
        <v>0</v>
      </c>
      <c r="N3606" t="n">
        <v>0</v>
      </c>
      <c r="O3606" t="n">
        <v>0</v>
      </c>
      <c r="P3606" t="n">
        <v>0</v>
      </c>
      <c r="Q3606" t="n">
        <v>0</v>
      </c>
      <c r="R3606" s="2" t="inlineStr"/>
    </row>
    <row r="3607" ht="15" customHeight="1">
      <c r="A3607" t="inlineStr">
        <is>
          <t>A 58843-2020</t>
        </is>
      </c>
      <c r="B3607" s="1" t="n">
        <v>44146</v>
      </c>
      <c r="C3607" s="1" t="n">
        <v>45810</v>
      </c>
      <c r="D3607" t="inlineStr">
        <is>
          <t>VÄRMLANDS LÄN</t>
        </is>
      </c>
      <c r="E3607" t="inlineStr">
        <is>
          <t>FILIPSTAD</t>
        </is>
      </c>
      <c r="G3607" t="n">
        <v>5.5</v>
      </c>
      <c r="H3607" t="n">
        <v>0</v>
      </c>
      <c r="I3607" t="n">
        <v>0</v>
      </c>
      <c r="J3607" t="n">
        <v>0</v>
      </c>
      <c r="K3607" t="n">
        <v>0</v>
      </c>
      <c r="L3607" t="n">
        <v>0</v>
      </c>
      <c r="M3607" t="n">
        <v>0</v>
      </c>
      <c r="N3607" t="n">
        <v>0</v>
      </c>
      <c r="O3607" t="n">
        <v>0</v>
      </c>
      <c r="P3607" t="n">
        <v>0</v>
      </c>
      <c r="Q3607" t="n">
        <v>0</v>
      </c>
      <c r="R3607" s="2" t="inlineStr"/>
    </row>
    <row r="3608" ht="15" customHeight="1">
      <c r="A3608" t="inlineStr">
        <is>
          <t>A 58713-2020</t>
        </is>
      </c>
      <c r="B3608" s="1" t="n">
        <v>44146</v>
      </c>
      <c r="C3608" s="1" t="n">
        <v>45810</v>
      </c>
      <c r="D3608" t="inlineStr">
        <is>
          <t>VÄRMLANDS LÄN</t>
        </is>
      </c>
      <c r="E3608" t="inlineStr">
        <is>
          <t>KARLSTAD</t>
        </is>
      </c>
      <c r="F3608" t="inlineStr">
        <is>
          <t>Kommuner</t>
        </is>
      </c>
      <c r="G3608" t="n">
        <v>2.8</v>
      </c>
      <c r="H3608" t="n">
        <v>0</v>
      </c>
      <c r="I3608" t="n">
        <v>0</v>
      </c>
      <c r="J3608" t="n">
        <v>0</v>
      </c>
      <c r="K3608" t="n">
        <v>0</v>
      </c>
      <c r="L3608" t="n">
        <v>0</v>
      </c>
      <c r="M3608" t="n">
        <v>0</v>
      </c>
      <c r="N3608" t="n">
        <v>0</v>
      </c>
      <c r="O3608" t="n">
        <v>0</v>
      </c>
      <c r="P3608" t="n">
        <v>0</v>
      </c>
      <c r="Q3608" t="n">
        <v>0</v>
      </c>
      <c r="R3608" s="2" t="inlineStr"/>
    </row>
    <row r="3609" ht="15" customHeight="1">
      <c r="A3609" t="inlineStr">
        <is>
          <t>A 58877-2020</t>
        </is>
      </c>
      <c r="B3609" s="1" t="n">
        <v>44146</v>
      </c>
      <c r="C3609" s="1" t="n">
        <v>45810</v>
      </c>
      <c r="D3609" t="inlineStr">
        <is>
          <t>VÄRMLANDS LÄN</t>
        </is>
      </c>
      <c r="E3609" t="inlineStr">
        <is>
          <t>TORSBY</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58930-2020</t>
        </is>
      </c>
      <c r="B3610" s="1" t="n">
        <v>44146</v>
      </c>
      <c r="C3610" s="1" t="n">
        <v>45810</v>
      </c>
      <c r="D3610" t="inlineStr">
        <is>
          <t>VÄRMLANDS LÄN</t>
        </is>
      </c>
      <c r="E3610" t="inlineStr">
        <is>
          <t>TORSBY</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59225-2020</t>
        </is>
      </c>
      <c r="B3611" s="1" t="n">
        <v>44147</v>
      </c>
      <c r="C3611" s="1" t="n">
        <v>45810</v>
      </c>
      <c r="D3611" t="inlineStr">
        <is>
          <t>VÄRMLANDS LÄN</t>
        </is>
      </c>
      <c r="E3611" t="inlineStr">
        <is>
          <t>FORSHAGA</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59147-2020</t>
        </is>
      </c>
      <c r="B3612" s="1" t="n">
        <v>44147</v>
      </c>
      <c r="C3612" s="1" t="n">
        <v>45810</v>
      </c>
      <c r="D3612" t="inlineStr">
        <is>
          <t>VÄRMLANDS LÄN</t>
        </is>
      </c>
      <c r="E3612" t="inlineStr">
        <is>
          <t>KIL</t>
        </is>
      </c>
      <c r="G3612" t="n">
        <v>8.6</v>
      </c>
      <c r="H3612" t="n">
        <v>0</v>
      </c>
      <c r="I3612" t="n">
        <v>0</v>
      </c>
      <c r="J3612" t="n">
        <v>0</v>
      </c>
      <c r="K3612" t="n">
        <v>0</v>
      </c>
      <c r="L3612" t="n">
        <v>0</v>
      </c>
      <c r="M3612" t="n">
        <v>0</v>
      </c>
      <c r="N3612" t="n">
        <v>0</v>
      </c>
      <c r="O3612" t="n">
        <v>0</v>
      </c>
      <c r="P3612" t="n">
        <v>0</v>
      </c>
      <c r="Q3612" t="n">
        <v>0</v>
      </c>
      <c r="R3612" s="2" t="inlineStr"/>
    </row>
    <row r="3613" ht="15" customHeight="1">
      <c r="A3613" t="inlineStr">
        <is>
          <t>A 59342-2020</t>
        </is>
      </c>
      <c r="B3613" s="1" t="n">
        <v>44148</v>
      </c>
      <c r="C3613" s="1" t="n">
        <v>45810</v>
      </c>
      <c r="D3613" t="inlineStr">
        <is>
          <t>VÄRMLANDS LÄN</t>
        </is>
      </c>
      <c r="E3613" t="inlineStr">
        <is>
          <t>EDA</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59392-2020</t>
        </is>
      </c>
      <c r="B3614" s="1" t="n">
        <v>44148</v>
      </c>
      <c r="C3614" s="1" t="n">
        <v>45810</v>
      </c>
      <c r="D3614" t="inlineStr">
        <is>
          <t>VÄRMLANDS LÄN</t>
        </is>
      </c>
      <c r="E3614" t="inlineStr">
        <is>
          <t>MUNKFORS</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59343-2020</t>
        </is>
      </c>
      <c r="B3615" s="1" t="n">
        <v>44148</v>
      </c>
      <c r="C3615" s="1" t="n">
        <v>45810</v>
      </c>
      <c r="D3615" t="inlineStr">
        <is>
          <t>VÄRMLANDS LÄN</t>
        </is>
      </c>
      <c r="E3615" t="inlineStr">
        <is>
          <t>EDA</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59376-2020</t>
        </is>
      </c>
      <c r="B3616" s="1" t="n">
        <v>44148</v>
      </c>
      <c r="C3616" s="1" t="n">
        <v>45810</v>
      </c>
      <c r="D3616" t="inlineStr">
        <is>
          <t>VÄRMLANDS LÄN</t>
        </is>
      </c>
      <c r="E3616" t="inlineStr">
        <is>
          <t>EDA</t>
        </is>
      </c>
      <c r="G3616" t="n">
        <v>6.7</v>
      </c>
      <c r="H3616" t="n">
        <v>0</v>
      </c>
      <c r="I3616" t="n">
        <v>0</v>
      </c>
      <c r="J3616" t="n">
        <v>0</v>
      </c>
      <c r="K3616" t="n">
        <v>0</v>
      </c>
      <c r="L3616" t="n">
        <v>0</v>
      </c>
      <c r="M3616" t="n">
        <v>0</v>
      </c>
      <c r="N3616" t="n">
        <v>0</v>
      </c>
      <c r="O3616" t="n">
        <v>0</v>
      </c>
      <c r="P3616" t="n">
        <v>0</v>
      </c>
      <c r="Q3616" t="n">
        <v>0</v>
      </c>
      <c r="R3616" s="2" t="inlineStr"/>
    </row>
    <row r="3617" ht="15" customHeight="1">
      <c r="A3617" t="inlineStr">
        <is>
          <t>A 59368-2020</t>
        </is>
      </c>
      <c r="B3617" s="1" t="n">
        <v>44148</v>
      </c>
      <c r="C3617" s="1" t="n">
        <v>45810</v>
      </c>
      <c r="D3617" t="inlineStr">
        <is>
          <t>VÄRMLANDS LÄN</t>
        </is>
      </c>
      <c r="E3617" t="inlineStr">
        <is>
          <t>EDA</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59344-2020</t>
        </is>
      </c>
      <c r="B3618" s="1" t="n">
        <v>44148</v>
      </c>
      <c r="C3618" s="1" t="n">
        <v>45810</v>
      </c>
      <c r="D3618" t="inlineStr">
        <is>
          <t>VÄRMLANDS LÄN</t>
        </is>
      </c>
      <c r="E3618" t="inlineStr">
        <is>
          <t>EDA</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59535-2020</t>
        </is>
      </c>
      <c r="B3619" s="1" t="n">
        <v>44148</v>
      </c>
      <c r="C3619" s="1" t="n">
        <v>45810</v>
      </c>
      <c r="D3619" t="inlineStr">
        <is>
          <t>VÄRMLANDS LÄN</t>
        </is>
      </c>
      <c r="E3619" t="inlineStr">
        <is>
          <t>SÄFFLE</t>
        </is>
      </c>
      <c r="F3619" t="inlineStr">
        <is>
          <t>Bergvik skog väst AB</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59394-2020</t>
        </is>
      </c>
      <c r="B3620" s="1" t="n">
        <v>44148</v>
      </c>
      <c r="C3620" s="1" t="n">
        <v>45810</v>
      </c>
      <c r="D3620" t="inlineStr">
        <is>
          <t>VÄRMLANDS LÄN</t>
        </is>
      </c>
      <c r="E3620" t="inlineStr">
        <is>
          <t>SÄFFLE</t>
        </is>
      </c>
      <c r="G3620" t="n">
        <v>2.5</v>
      </c>
      <c r="H3620" t="n">
        <v>0</v>
      </c>
      <c r="I3620" t="n">
        <v>0</v>
      </c>
      <c r="J3620" t="n">
        <v>0</v>
      </c>
      <c r="K3620" t="n">
        <v>0</v>
      </c>
      <c r="L3620" t="n">
        <v>0</v>
      </c>
      <c r="M3620" t="n">
        <v>0</v>
      </c>
      <c r="N3620" t="n">
        <v>0</v>
      </c>
      <c r="O3620" t="n">
        <v>0</v>
      </c>
      <c r="P3620" t="n">
        <v>0</v>
      </c>
      <c r="Q3620" t="n">
        <v>0</v>
      </c>
      <c r="R3620" s="2" t="inlineStr"/>
    </row>
    <row r="3621" ht="15" customHeight="1">
      <c r="A3621" t="inlineStr">
        <is>
          <t>A 59506-2020</t>
        </is>
      </c>
      <c r="B3621" s="1" t="n">
        <v>44148</v>
      </c>
      <c r="C3621" s="1" t="n">
        <v>45810</v>
      </c>
      <c r="D3621" t="inlineStr">
        <is>
          <t>VÄRMLANDS LÄN</t>
        </is>
      </c>
      <c r="E3621" t="inlineStr">
        <is>
          <t>GRUMS</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59620-2020</t>
        </is>
      </c>
      <c r="B3622" s="1" t="n">
        <v>44150</v>
      </c>
      <c r="C3622" s="1" t="n">
        <v>45810</v>
      </c>
      <c r="D3622" t="inlineStr">
        <is>
          <t>VÄRMLANDS LÄN</t>
        </is>
      </c>
      <c r="E3622" t="inlineStr">
        <is>
          <t>FORSHAGA</t>
        </is>
      </c>
      <c r="G3622" t="n">
        <v>4.6</v>
      </c>
      <c r="H3622" t="n">
        <v>0</v>
      </c>
      <c r="I3622" t="n">
        <v>0</v>
      </c>
      <c r="J3622" t="n">
        <v>0</v>
      </c>
      <c r="K3622" t="n">
        <v>0</v>
      </c>
      <c r="L3622" t="n">
        <v>0</v>
      </c>
      <c r="M3622" t="n">
        <v>0</v>
      </c>
      <c r="N3622" t="n">
        <v>0</v>
      </c>
      <c r="O3622" t="n">
        <v>0</v>
      </c>
      <c r="P3622" t="n">
        <v>0</v>
      </c>
      <c r="Q3622" t="n">
        <v>0</v>
      </c>
      <c r="R3622" s="2" t="inlineStr"/>
    </row>
    <row r="3623" ht="15" customHeight="1">
      <c r="A3623" t="inlineStr">
        <is>
          <t>A 59643-2020</t>
        </is>
      </c>
      <c r="B3623" s="1" t="n">
        <v>44150</v>
      </c>
      <c r="C3623" s="1" t="n">
        <v>45810</v>
      </c>
      <c r="D3623" t="inlineStr">
        <is>
          <t>VÄRMLANDS LÄN</t>
        </is>
      </c>
      <c r="E3623" t="inlineStr">
        <is>
          <t>SUNNE</t>
        </is>
      </c>
      <c r="G3623" t="n">
        <v>3.8</v>
      </c>
      <c r="H3623" t="n">
        <v>0</v>
      </c>
      <c r="I3623" t="n">
        <v>0</v>
      </c>
      <c r="J3623" t="n">
        <v>0</v>
      </c>
      <c r="K3623" t="n">
        <v>0</v>
      </c>
      <c r="L3623" t="n">
        <v>0</v>
      </c>
      <c r="M3623" t="n">
        <v>0</v>
      </c>
      <c r="N3623" t="n">
        <v>0</v>
      </c>
      <c r="O3623" t="n">
        <v>0</v>
      </c>
      <c r="P3623" t="n">
        <v>0</v>
      </c>
      <c r="Q3623" t="n">
        <v>0</v>
      </c>
      <c r="R3623" s="2" t="inlineStr"/>
    </row>
    <row r="3624" ht="15" customHeight="1">
      <c r="A3624" t="inlineStr">
        <is>
          <t>A 59645-2020</t>
        </is>
      </c>
      <c r="B3624" s="1" t="n">
        <v>44150</v>
      </c>
      <c r="C3624" s="1" t="n">
        <v>45810</v>
      </c>
      <c r="D3624" t="inlineStr">
        <is>
          <t>VÄRMLANDS LÄN</t>
        </is>
      </c>
      <c r="E3624" t="inlineStr">
        <is>
          <t>SUNNE</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59653-2020</t>
        </is>
      </c>
      <c r="B3625" s="1" t="n">
        <v>44151</v>
      </c>
      <c r="C3625" s="1" t="n">
        <v>45810</v>
      </c>
      <c r="D3625" t="inlineStr">
        <is>
          <t>VÄRMLANDS LÄN</t>
        </is>
      </c>
      <c r="E3625" t="inlineStr">
        <is>
          <t>EDA</t>
        </is>
      </c>
      <c r="G3625" t="n">
        <v>3.9</v>
      </c>
      <c r="H3625" t="n">
        <v>0</v>
      </c>
      <c r="I3625" t="n">
        <v>0</v>
      </c>
      <c r="J3625" t="n">
        <v>0</v>
      </c>
      <c r="K3625" t="n">
        <v>0</v>
      </c>
      <c r="L3625" t="n">
        <v>0</v>
      </c>
      <c r="M3625" t="n">
        <v>0</v>
      </c>
      <c r="N3625" t="n">
        <v>0</v>
      </c>
      <c r="O3625" t="n">
        <v>0</v>
      </c>
      <c r="P3625" t="n">
        <v>0</v>
      </c>
      <c r="Q3625" t="n">
        <v>0</v>
      </c>
      <c r="R3625" s="2" t="inlineStr"/>
    </row>
    <row r="3626" ht="15" customHeight="1">
      <c r="A3626" t="inlineStr">
        <is>
          <t>A 59703-2020</t>
        </is>
      </c>
      <c r="B3626" s="1" t="n">
        <v>44151</v>
      </c>
      <c r="C3626" s="1" t="n">
        <v>45810</v>
      </c>
      <c r="D3626" t="inlineStr">
        <is>
          <t>VÄRMLANDS LÄN</t>
        </is>
      </c>
      <c r="E3626" t="inlineStr">
        <is>
          <t>KARLSTAD</t>
        </is>
      </c>
      <c r="F3626" t="inlineStr">
        <is>
          <t>Bergvik skog väst AB</t>
        </is>
      </c>
      <c r="G3626" t="n">
        <v>5.6</v>
      </c>
      <c r="H3626" t="n">
        <v>0</v>
      </c>
      <c r="I3626" t="n">
        <v>0</v>
      </c>
      <c r="J3626" t="n">
        <v>0</v>
      </c>
      <c r="K3626" t="n">
        <v>0</v>
      </c>
      <c r="L3626" t="n">
        <v>0</v>
      </c>
      <c r="M3626" t="n">
        <v>0</v>
      </c>
      <c r="N3626" t="n">
        <v>0</v>
      </c>
      <c r="O3626" t="n">
        <v>0</v>
      </c>
      <c r="P3626" t="n">
        <v>0</v>
      </c>
      <c r="Q3626" t="n">
        <v>0</v>
      </c>
      <c r="R3626" s="2" t="inlineStr"/>
    </row>
    <row r="3627" ht="15" customHeight="1">
      <c r="A3627" t="inlineStr">
        <is>
          <t>A 59751-2020</t>
        </is>
      </c>
      <c r="B3627" s="1" t="n">
        <v>44151</v>
      </c>
      <c r="C3627" s="1" t="n">
        <v>45810</v>
      </c>
      <c r="D3627" t="inlineStr">
        <is>
          <t>VÄRMLANDS LÄN</t>
        </is>
      </c>
      <c r="E3627" t="inlineStr">
        <is>
          <t>SUNNE</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59763-2020</t>
        </is>
      </c>
      <c r="B3628" s="1" t="n">
        <v>44151</v>
      </c>
      <c r="C3628" s="1" t="n">
        <v>45810</v>
      </c>
      <c r="D3628" t="inlineStr">
        <is>
          <t>VÄRMLANDS LÄN</t>
        </is>
      </c>
      <c r="E3628" t="inlineStr">
        <is>
          <t>SUNNE</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59800-2020</t>
        </is>
      </c>
      <c r="B3629" s="1" t="n">
        <v>44151</v>
      </c>
      <c r="C3629" s="1" t="n">
        <v>45810</v>
      </c>
      <c r="D3629" t="inlineStr">
        <is>
          <t>VÄRMLANDS LÄN</t>
        </is>
      </c>
      <c r="E3629" t="inlineStr">
        <is>
          <t>TORSBY</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59823-2020</t>
        </is>
      </c>
      <c r="B3630" s="1" t="n">
        <v>44151</v>
      </c>
      <c r="C3630" s="1" t="n">
        <v>45810</v>
      </c>
      <c r="D3630" t="inlineStr">
        <is>
          <t>VÄRMLANDS LÄN</t>
        </is>
      </c>
      <c r="E3630" t="inlineStr">
        <is>
          <t>ARVIKA</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59756-2020</t>
        </is>
      </c>
      <c r="B3631" s="1" t="n">
        <v>44151</v>
      </c>
      <c r="C3631" s="1" t="n">
        <v>45810</v>
      </c>
      <c r="D3631" t="inlineStr">
        <is>
          <t>VÄRMLANDS LÄN</t>
        </is>
      </c>
      <c r="E3631" t="inlineStr">
        <is>
          <t>SUNNE</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59779-2020</t>
        </is>
      </c>
      <c r="B3632" s="1" t="n">
        <v>44151</v>
      </c>
      <c r="C3632" s="1" t="n">
        <v>45810</v>
      </c>
      <c r="D3632" t="inlineStr">
        <is>
          <t>VÄRMLANDS LÄN</t>
        </is>
      </c>
      <c r="E3632" t="inlineStr">
        <is>
          <t>ARVIKA</t>
        </is>
      </c>
      <c r="G3632" t="n">
        <v>3</v>
      </c>
      <c r="H3632" t="n">
        <v>0</v>
      </c>
      <c r="I3632" t="n">
        <v>0</v>
      </c>
      <c r="J3632" t="n">
        <v>0</v>
      </c>
      <c r="K3632" t="n">
        <v>0</v>
      </c>
      <c r="L3632" t="n">
        <v>0</v>
      </c>
      <c r="M3632" t="n">
        <v>0</v>
      </c>
      <c r="N3632" t="n">
        <v>0</v>
      </c>
      <c r="O3632" t="n">
        <v>0</v>
      </c>
      <c r="P3632" t="n">
        <v>0</v>
      </c>
      <c r="Q3632" t="n">
        <v>0</v>
      </c>
      <c r="R3632" s="2" t="inlineStr"/>
    </row>
    <row r="3633" ht="15" customHeight="1">
      <c r="A3633" t="inlineStr">
        <is>
          <t>A 59795-2020</t>
        </is>
      </c>
      <c r="B3633" s="1" t="n">
        <v>44151</v>
      </c>
      <c r="C3633" s="1" t="n">
        <v>45810</v>
      </c>
      <c r="D3633" t="inlineStr">
        <is>
          <t>VÄRMLANDS LÄN</t>
        </is>
      </c>
      <c r="E3633" t="inlineStr">
        <is>
          <t>ARVIKA</t>
        </is>
      </c>
      <c r="F3633" t="inlineStr">
        <is>
          <t>Bergvik skog väst AB</t>
        </is>
      </c>
      <c r="G3633" t="n">
        <v>8.300000000000001</v>
      </c>
      <c r="H3633" t="n">
        <v>0</v>
      </c>
      <c r="I3633" t="n">
        <v>0</v>
      </c>
      <c r="J3633" t="n">
        <v>0</v>
      </c>
      <c r="K3633" t="n">
        <v>0</v>
      </c>
      <c r="L3633" t="n">
        <v>0</v>
      </c>
      <c r="M3633" t="n">
        <v>0</v>
      </c>
      <c r="N3633" t="n">
        <v>0</v>
      </c>
      <c r="O3633" t="n">
        <v>0</v>
      </c>
      <c r="P3633" t="n">
        <v>0</v>
      </c>
      <c r="Q3633" t="n">
        <v>0</v>
      </c>
      <c r="R3633" s="2" t="inlineStr"/>
    </row>
    <row r="3634" ht="15" customHeight="1">
      <c r="A3634" t="inlineStr">
        <is>
          <t>A 59808-2020</t>
        </is>
      </c>
      <c r="B3634" s="1" t="n">
        <v>44151</v>
      </c>
      <c r="C3634" s="1" t="n">
        <v>45810</v>
      </c>
      <c r="D3634" t="inlineStr">
        <is>
          <t>VÄRMLANDS LÄN</t>
        </is>
      </c>
      <c r="E3634" t="inlineStr">
        <is>
          <t>SUNNE</t>
        </is>
      </c>
      <c r="G3634" t="n">
        <v>4.5</v>
      </c>
      <c r="H3634" t="n">
        <v>0</v>
      </c>
      <c r="I3634" t="n">
        <v>0</v>
      </c>
      <c r="J3634" t="n">
        <v>0</v>
      </c>
      <c r="K3634" t="n">
        <v>0</v>
      </c>
      <c r="L3634" t="n">
        <v>0</v>
      </c>
      <c r="M3634" t="n">
        <v>0</v>
      </c>
      <c r="N3634" t="n">
        <v>0</v>
      </c>
      <c r="O3634" t="n">
        <v>0</v>
      </c>
      <c r="P3634" t="n">
        <v>0</v>
      </c>
      <c r="Q3634" t="n">
        <v>0</v>
      </c>
      <c r="R3634" s="2" t="inlineStr"/>
    </row>
    <row r="3635" ht="15" customHeight="1">
      <c r="A3635" t="inlineStr">
        <is>
          <t>A 59820-2020</t>
        </is>
      </c>
      <c r="B3635" s="1" t="n">
        <v>44151</v>
      </c>
      <c r="C3635" s="1" t="n">
        <v>45810</v>
      </c>
      <c r="D3635" t="inlineStr">
        <is>
          <t>VÄRMLANDS LÄN</t>
        </is>
      </c>
      <c r="E3635" t="inlineStr">
        <is>
          <t>ARVIKA</t>
        </is>
      </c>
      <c r="G3635" t="n">
        <v>21.2</v>
      </c>
      <c r="H3635" t="n">
        <v>0</v>
      </c>
      <c r="I3635" t="n">
        <v>0</v>
      </c>
      <c r="J3635" t="n">
        <v>0</v>
      </c>
      <c r="K3635" t="n">
        <v>0</v>
      </c>
      <c r="L3635" t="n">
        <v>0</v>
      </c>
      <c r="M3635" t="n">
        <v>0</v>
      </c>
      <c r="N3635" t="n">
        <v>0</v>
      </c>
      <c r="O3635" t="n">
        <v>0</v>
      </c>
      <c r="P3635" t="n">
        <v>0</v>
      </c>
      <c r="Q3635" t="n">
        <v>0</v>
      </c>
      <c r="R3635" s="2" t="inlineStr"/>
    </row>
    <row r="3636" ht="15" customHeight="1">
      <c r="A3636" t="inlineStr">
        <is>
          <t>A 59849-2020</t>
        </is>
      </c>
      <c r="B3636" s="1" t="n">
        <v>44151</v>
      </c>
      <c r="C3636" s="1" t="n">
        <v>45810</v>
      </c>
      <c r="D3636" t="inlineStr">
        <is>
          <t>VÄRMLANDS LÄN</t>
        </is>
      </c>
      <c r="E3636" t="inlineStr">
        <is>
          <t>FILIPSTAD</t>
        </is>
      </c>
      <c r="G3636" t="n">
        <v>6.5</v>
      </c>
      <c r="H3636" t="n">
        <v>0</v>
      </c>
      <c r="I3636" t="n">
        <v>0</v>
      </c>
      <c r="J3636" t="n">
        <v>0</v>
      </c>
      <c r="K3636" t="n">
        <v>0</v>
      </c>
      <c r="L3636" t="n">
        <v>0</v>
      </c>
      <c r="M3636" t="n">
        <v>0</v>
      </c>
      <c r="N3636" t="n">
        <v>0</v>
      </c>
      <c r="O3636" t="n">
        <v>0</v>
      </c>
      <c r="P3636" t="n">
        <v>0</v>
      </c>
      <c r="Q3636" t="n">
        <v>0</v>
      </c>
      <c r="R3636" s="2" t="inlineStr"/>
    </row>
    <row r="3637" ht="15" customHeight="1">
      <c r="A3637" t="inlineStr">
        <is>
          <t>A 59656-2020</t>
        </is>
      </c>
      <c r="B3637" s="1" t="n">
        <v>44151</v>
      </c>
      <c r="C3637" s="1" t="n">
        <v>45810</v>
      </c>
      <c r="D3637" t="inlineStr">
        <is>
          <t>VÄRMLANDS LÄN</t>
        </is>
      </c>
      <c r="E3637" t="inlineStr">
        <is>
          <t>ÅRJÄNG</t>
        </is>
      </c>
      <c r="G3637" t="n">
        <v>3.9</v>
      </c>
      <c r="H3637" t="n">
        <v>0</v>
      </c>
      <c r="I3637" t="n">
        <v>0</v>
      </c>
      <c r="J3637" t="n">
        <v>0</v>
      </c>
      <c r="K3637" t="n">
        <v>0</v>
      </c>
      <c r="L3637" t="n">
        <v>0</v>
      </c>
      <c r="M3637" t="n">
        <v>0</v>
      </c>
      <c r="N3637" t="n">
        <v>0</v>
      </c>
      <c r="O3637" t="n">
        <v>0</v>
      </c>
      <c r="P3637" t="n">
        <v>0</v>
      </c>
      <c r="Q3637" t="n">
        <v>0</v>
      </c>
      <c r="R3637" s="2" t="inlineStr"/>
    </row>
    <row r="3638" ht="15" customHeight="1">
      <c r="A3638" t="inlineStr">
        <is>
          <t>A 59776-2020</t>
        </is>
      </c>
      <c r="B3638" s="1" t="n">
        <v>44151</v>
      </c>
      <c r="C3638" s="1" t="n">
        <v>45810</v>
      </c>
      <c r="D3638" t="inlineStr">
        <is>
          <t>VÄRMLANDS LÄN</t>
        </is>
      </c>
      <c r="E3638" t="inlineStr">
        <is>
          <t>SUNNE</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59814-2020</t>
        </is>
      </c>
      <c r="B3639" s="1" t="n">
        <v>44151</v>
      </c>
      <c r="C3639" s="1" t="n">
        <v>45810</v>
      </c>
      <c r="D3639" t="inlineStr">
        <is>
          <t>VÄRMLANDS LÄN</t>
        </is>
      </c>
      <c r="E3639" t="inlineStr">
        <is>
          <t>ARVIKA</t>
        </is>
      </c>
      <c r="G3639" t="n">
        <v>4.7</v>
      </c>
      <c r="H3639" t="n">
        <v>0</v>
      </c>
      <c r="I3639" t="n">
        <v>0</v>
      </c>
      <c r="J3639" t="n">
        <v>0</v>
      </c>
      <c r="K3639" t="n">
        <v>0</v>
      </c>
      <c r="L3639" t="n">
        <v>0</v>
      </c>
      <c r="M3639" t="n">
        <v>0</v>
      </c>
      <c r="N3639" t="n">
        <v>0</v>
      </c>
      <c r="O3639" t="n">
        <v>0</v>
      </c>
      <c r="P3639" t="n">
        <v>0</v>
      </c>
      <c r="Q3639" t="n">
        <v>0</v>
      </c>
      <c r="R3639" s="2" t="inlineStr"/>
    </row>
    <row r="3640" ht="15" customHeight="1">
      <c r="A3640" t="inlineStr">
        <is>
          <t>A 59824-2020</t>
        </is>
      </c>
      <c r="B3640" s="1" t="n">
        <v>44151</v>
      </c>
      <c r="C3640" s="1" t="n">
        <v>45810</v>
      </c>
      <c r="D3640" t="inlineStr">
        <is>
          <t>VÄRMLANDS LÄN</t>
        </is>
      </c>
      <c r="E3640" t="inlineStr">
        <is>
          <t>ARVIKA</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59784-2020</t>
        </is>
      </c>
      <c r="B3641" s="1" t="n">
        <v>44151</v>
      </c>
      <c r="C3641" s="1" t="n">
        <v>45810</v>
      </c>
      <c r="D3641" t="inlineStr">
        <is>
          <t>VÄRMLANDS LÄN</t>
        </is>
      </c>
      <c r="E3641" t="inlineStr">
        <is>
          <t>ARVIKA</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59821-2020</t>
        </is>
      </c>
      <c r="B3642" s="1" t="n">
        <v>44151</v>
      </c>
      <c r="C3642" s="1" t="n">
        <v>45810</v>
      </c>
      <c r="D3642" t="inlineStr">
        <is>
          <t>VÄRMLANDS LÄN</t>
        </is>
      </c>
      <c r="E3642" t="inlineStr">
        <is>
          <t>ARVIKA</t>
        </is>
      </c>
      <c r="G3642" t="n">
        <v>3.2</v>
      </c>
      <c r="H3642" t="n">
        <v>0</v>
      </c>
      <c r="I3642" t="n">
        <v>0</v>
      </c>
      <c r="J3642" t="n">
        <v>0</v>
      </c>
      <c r="K3642" t="n">
        <v>0</v>
      </c>
      <c r="L3642" t="n">
        <v>0</v>
      </c>
      <c r="M3642" t="n">
        <v>0</v>
      </c>
      <c r="N3642" t="n">
        <v>0</v>
      </c>
      <c r="O3642" t="n">
        <v>0</v>
      </c>
      <c r="P3642" t="n">
        <v>0</v>
      </c>
      <c r="Q3642" t="n">
        <v>0</v>
      </c>
      <c r="R3642" s="2" t="inlineStr"/>
    </row>
    <row r="3643" ht="15" customHeight="1">
      <c r="A3643" t="inlineStr">
        <is>
          <t>A 59832-2020</t>
        </is>
      </c>
      <c r="B3643" s="1" t="n">
        <v>44151</v>
      </c>
      <c r="C3643" s="1" t="n">
        <v>45810</v>
      </c>
      <c r="D3643" t="inlineStr">
        <is>
          <t>VÄRMLANDS LÄN</t>
        </is>
      </c>
      <c r="E3643" t="inlineStr">
        <is>
          <t>SUNNE</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59854-2020</t>
        </is>
      </c>
      <c r="B3644" s="1" t="n">
        <v>44151</v>
      </c>
      <c r="C3644" s="1" t="n">
        <v>45810</v>
      </c>
      <c r="D3644" t="inlineStr">
        <is>
          <t>VÄRMLANDS LÄN</t>
        </is>
      </c>
      <c r="E3644" t="inlineStr">
        <is>
          <t>FILIPSTAD</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60277-2020</t>
        </is>
      </c>
      <c r="B3645" s="1" t="n">
        <v>44151</v>
      </c>
      <c r="C3645" s="1" t="n">
        <v>45810</v>
      </c>
      <c r="D3645" t="inlineStr">
        <is>
          <t>VÄRMLANDS LÄN</t>
        </is>
      </c>
      <c r="E3645" t="inlineStr">
        <is>
          <t>ARVIKA</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60275-2020</t>
        </is>
      </c>
      <c r="B3646" s="1" t="n">
        <v>44151</v>
      </c>
      <c r="C3646" s="1" t="n">
        <v>45810</v>
      </c>
      <c r="D3646" t="inlineStr">
        <is>
          <t>VÄRMLANDS LÄN</t>
        </is>
      </c>
      <c r="E3646" t="inlineStr">
        <is>
          <t>ARVIKA</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60167-2020</t>
        </is>
      </c>
      <c r="B3647" s="1" t="n">
        <v>44152</v>
      </c>
      <c r="C3647" s="1" t="n">
        <v>45810</v>
      </c>
      <c r="D3647" t="inlineStr">
        <is>
          <t>VÄRMLANDS LÄN</t>
        </is>
      </c>
      <c r="E3647" t="inlineStr">
        <is>
          <t>TORSBY</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60082-2020</t>
        </is>
      </c>
      <c r="B3648" s="1" t="n">
        <v>44152</v>
      </c>
      <c r="C3648" s="1" t="n">
        <v>45810</v>
      </c>
      <c r="D3648" t="inlineStr">
        <is>
          <t>VÄRMLANDS LÄN</t>
        </is>
      </c>
      <c r="E3648" t="inlineStr">
        <is>
          <t>KARLSTAD</t>
        </is>
      </c>
      <c r="G3648" t="n">
        <v>0.4</v>
      </c>
      <c r="H3648" t="n">
        <v>0</v>
      </c>
      <c r="I3648" t="n">
        <v>0</v>
      </c>
      <c r="J3648" t="n">
        <v>0</v>
      </c>
      <c r="K3648" t="n">
        <v>0</v>
      </c>
      <c r="L3648" t="n">
        <v>0</v>
      </c>
      <c r="M3648" t="n">
        <v>0</v>
      </c>
      <c r="N3648" t="n">
        <v>0</v>
      </c>
      <c r="O3648" t="n">
        <v>0</v>
      </c>
      <c r="P3648" t="n">
        <v>0</v>
      </c>
      <c r="Q3648" t="n">
        <v>0</v>
      </c>
      <c r="R3648" s="2" t="inlineStr"/>
    </row>
    <row r="3649" ht="15" customHeight="1">
      <c r="A3649" t="inlineStr">
        <is>
          <t>A 60912-2020</t>
        </is>
      </c>
      <c r="B3649" s="1" t="n">
        <v>44152</v>
      </c>
      <c r="C3649" s="1" t="n">
        <v>45810</v>
      </c>
      <c r="D3649" t="inlineStr">
        <is>
          <t>VÄRMLANDS LÄN</t>
        </is>
      </c>
      <c r="E3649" t="inlineStr">
        <is>
          <t>FILIPSTAD</t>
        </is>
      </c>
      <c r="G3649" t="n">
        <v>12.6</v>
      </c>
      <c r="H3649" t="n">
        <v>0</v>
      </c>
      <c r="I3649" t="n">
        <v>0</v>
      </c>
      <c r="J3649" t="n">
        <v>0</v>
      </c>
      <c r="K3649" t="n">
        <v>0</v>
      </c>
      <c r="L3649" t="n">
        <v>0</v>
      </c>
      <c r="M3649" t="n">
        <v>0</v>
      </c>
      <c r="N3649" t="n">
        <v>0</v>
      </c>
      <c r="O3649" t="n">
        <v>0</v>
      </c>
      <c r="P3649" t="n">
        <v>0</v>
      </c>
      <c r="Q3649" t="n">
        <v>0</v>
      </c>
      <c r="R3649" s="2" t="inlineStr"/>
    </row>
    <row r="3650" ht="15" customHeight="1">
      <c r="A3650" t="inlineStr">
        <is>
          <t>A 60289-2020</t>
        </is>
      </c>
      <c r="B3650" s="1" t="n">
        <v>44152</v>
      </c>
      <c r="C3650" s="1" t="n">
        <v>45810</v>
      </c>
      <c r="D3650" t="inlineStr">
        <is>
          <t>VÄRMLANDS LÄN</t>
        </is>
      </c>
      <c r="E3650" t="inlineStr">
        <is>
          <t>FILIPSTAD</t>
        </is>
      </c>
      <c r="G3650" t="n">
        <v>7.6</v>
      </c>
      <c r="H3650" t="n">
        <v>0</v>
      </c>
      <c r="I3650" t="n">
        <v>0</v>
      </c>
      <c r="J3650" t="n">
        <v>0</v>
      </c>
      <c r="K3650" t="n">
        <v>0</v>
      </c>
      <c r="L3650" t="n">
        <v>0</v>
      </c>
      <c r="M3650" t="n">
        <v>0</v>
      </c>
      <c r="N3650" t="n">
        <v>0</v>
      </c>
      <c r="O3650" t="n">
        <v>0</v>
      </c>
      <c r="P3650" t="n">
        <v>0</v>
      </c>
      <c r="Q3650" t="n">
        <v>0</v>
      </c>
      <c r="R3650" s="2" t="inlineStr"/>
    </row>
    <row r="3651" ht="15" customHeight="1">
      <c r="A3651" t="inlineStr">
        <is>
          <t>A 60453-2020</t>
        </is>
      </c>
      <c r="B3651" s="1" t="n">
        <v>44153</v>
      </c>
      <c r="C3651" s="1" t="n">
        <v>45810</v>
      </c>
      <c r="D3651" t="inlineStr">
        <is>
          <t>VÄRMLANDS LÄN</t>
        </is>
      </c>
      <c r="E3651" t="inlineStr">
        <is>
          <t>SUNNE</t>
        </is>
      </c>
      <c r="G3651" t="n">
        <v>3.3</v>
      </c>
      <c r="H3651" t="n">
        <v>0</v>
      </c>
      <c r="I3651" t="n">
        <v>0</v>
      </c>
      <c r="J3651" t="n">
        <v>0</v>
      </c>
      <c r="K3651" t="n">
        <v>0</v>
      </c>
      <c r="L3651" t="n">
        <v>0</v>
      </c>
      <c r="M3651" t="n">
        <v>0</v>
      </c>
      <c r="N3651" t="n">
        <v>0</v>
      </c>
      <c r="O3651" t="n">
        <v>0</v>
      </c>
      <c r="P3651" t="n">
        <v>0</v>
      </c>
      <c r="Q3651" t="n">
        <v>0</v>
      </c>
      <c r="R3651" s="2" t="inlineStr"/>
    </row>
    <row r="3652" ht="15" customHeight="1">
      <c r="A3652" t="inlineStr">
        <is>
          <t>A 60533-2020</t>
        </is>
      </c>
      <c r="B3652" s="1" t="n">
        <v>44153</v>
      </c>
      <c r="C3652" s="1" t="n">
        <v>45810</v>
      </c>
      <c r="D3652" t="inlineStr">
        <is>
          <t>VÄRMLANDS LÄN</t>
        </is>
      </c>
      <c r="E3652" t="inlineStr">
        <is>
          <t>TORSBY</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60475-2020</t>
        </is>
      </c>
      <c r="B3653" s="1" t="n">
        <v>44153</v>
      </c>
      <c r="C3653" s="1" t="n">
        <v>45810</v>
      </c>
      <c r="D3653" t="inlineStr">
        <is>
          <t>VÄRMLANDS LÄN</t>
        </is>
      </c>
      <c r="E3653" t="inlineStr">
        <is>
          <t>SUNNE</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60587-2020</t>
        </is>
      </c>
      <c r="B3654" s="1" t="n">
        <v>44153</v>
      </c>
      <c r="C3654" s="1" t="n">
        <v>45810</v>
      </c>
      <c r="D3654" t="inlineStr">
        <is>
          <t>VÄRMLANDS LÄN</t>
        </is>
      </c>
      <c r="E3654" t="inlineStr">
        <is>
          <t>KARLSTAD</t>
        </is>
      </c>
      <c r="G3654" t="n">
        <v>2.8</v>
      </c>
      <c r="H3654" t="n">
        <v>0</v>
      </c>
      <c r="I3654" t="n">
        <v>0</v>
      </c>
      <c r="J3654" t="n">
        <v>0</v>
      </c>
      <c r="K3654" t="n">
        <v>0</v>
      </c>
      <c r="L3654" t="n">
        <v>0</v>
      </c>
      <c r="M3654" t="n">
        <v>0</v>
      </c>
      <c r="N3654" t="n">
        <v>0</v>
      </c>
      <c r="O3654" t="n">
        <v>0</v>
      </c>
      <c r="P3654" t="n">
        <v>0</v>
      </c>
      <c r="Q3654" t="n">
        <v>0</v>
      </c>
      <c r="R3654" s="2" t="inlineStr"/>
    </row>
    <row r="3655" ht="15" customHeight="1">
      <c r="A3655" t="inlineStr">
        <is>
          <t>A 60732-2020</t>
        </is>
      </c>
      <c r="B3655" s="1" t="n">
        <v>44153</v>
      </c>
      <c r="C3655" s="1" t="n">
        <v>45810</v>
      </c>
      <c r="D3655" t="inlineStr">
        <is>
          <t>VÄRMLANDS LÄN</t>
        </is>
      </c>
      <c r="E3655" t="inlineStr">
        <is>
          <t>ÅRJÄNG</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60719-2020</t>
        </is>
      </c>
      <c r="B3656" s="1" t="n">
        <v>44153</v>
      </c>
      <c r="C3656" s="1" t="n">
        <v>45810</v>
      </c>
      <c r="D3656" t="inlineStr">
        <is>
          <t>VÄRMLANDS LÄN</t>
        </is>
      </c>
      <c r="E3656" t="inlineStr">
        <is>
          <t>TORSBY</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60740-2020</t>
        </is>
      </c>
      <c r="B3657" s="1" t="n">
        <v>44153</v>
      </c>
      <c r="C3657" s="1" t="n">
        <v>45810</v>
      </c>
      <c r="D3657" t="inlineStr">
        <is>
          <t>VÄRMLANDS LÄN</t>
        </is>
      </c>
      <c r="E3657" t="inlineStr">
        <is>
          <t>FILIPSTAD</t>
        </is>
      </c>
      <c r="G3657" t="n">
        <v>5.1</v>
      </c>
      <c r="H3657" t="n">
        <v>0</v>
      </c>
      <c r="I3657" t="n">
        <v>0</v>
      </c>
      <c r="J3657" t="n">
        <v>0</v>
      </c>
      <c r="K3657" t="n">
        <v>0</v>
      </c>
      <c r="L3657" t="n">
        <v>0</v>
      </c>
      <c r="M3657" t="n">
        <v>0</v>
      </c>
      <c r="N3657" t="n">
        <v>0</v>
      </c>
      <c r="O3657" t="n">
        <v>0</v>
      </c>
      <c r="P3657" t="n">
        <v>0</v>
      </c>
      <c r="Q3657" t="n">
        <v>0</v>
      </c>
      <c r="R3657" s="2" t="inlineStr"/>
    </row>
    <row r="3658" ht="15" customHeight="1">
      <c r="A3658" t="inlineStr">
        <is>
          <t>A 60823-2020</t>
        </is>
      </c>
      <c r="B3658" s="1" t="n">
        <v>44153</v>
      </c>
      <c r="C3658" s="1" t="n">
        <v>45810</v>
      </c>
      <c r="D3658" t="inlineStr">
        <is>
          <t>VÄRMLANDS LÄN</t>
        </is>
      </c>
      <c r="E3658" t="inlineStr">
        <is>
          <t>TORSBY</t>
        </is>
      </c>
      <c r="F3658" t="inlineStr">
        <is>
          <t>Kyrkan</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60615-2020</t>
        </is>
      </c>
      <c r="B3659" s="1" t="n">
        <v>44153</v>
      </c>
      <c r="C3659" s="1" t="n">
        <v>45810</v>
      </c>
      <c r="D3659" t="inlineStr">
        <is>
          <t>VÄRMLANDS LÄN</t>
        </is>
      </c>
      <c r="E3659" t="inlineStr">
        <is>
          <t>HAGFORS</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60941-2020</t>
        </is>
      </c>
      <c r="B3660" s="1" t="n">
        <v>44154</v>
      </c>
      <c r="C3660" s="1" t="n">
        <v>45810</v>
      </c>
      <c r="D3660" t="inlineStr">
        <is>
          <t>VÄRMLANDS LÄN</t>
        </is>
      </c>
      <c r="E3660" t="inlineStr">
        <is>
          <t>TORSBY</t>
        </is>
      </c>
      <c r="G3660" t="n">
        <v>4.1</v>
      </c>
      <c r="H3660" t="n">
        <v>0</v>
      </c>
      <c r="I3660" t="n">
        <v>0</v>
      </c>
      <c r="J3660" t="n">
        <v>0</v>
      </c>
      <c r="K3660" t="n">
        <v>0</v>
      </c>
      <c r="L3660" t="n">
        <v>0</v>
      </c>
      <c r="M3660" t="n">
        <v>0</v>
      </c>
      <c r="N3660" t="n">
        <v>0</v>
      </c>
      <c r="O3660" t="n">
        <v>0</v>
      </c>
      <c r="P3660" t="n">
        <v>0</v>
      </c>
      <c r="Q3660" t="n">
        <v>0</v>
      </c>
      <c r="R3660" s="2" t="inlineStr"/>
    </row>
    <row r="3661" ht="15" customHeight="1">
      <c r="A3661" t="inlineStr">
        <is>
          <t>A 60955-2020</t>
        </is>
      </c>
      <c r="B3661" s="1" t="n">
        <v>44154</v>
      </c>
      <c r="C3661" s="1" t="n">
        <v>45810</v>
      </c>
      <c r="D3661" t="inlineStr">
        <is>
          <t>VÄRMLANDS LÄN</t>
        </is>
      </c>
      <c r="E3661" t="inlineStr">
        <is>
          <t>ARVIKA</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60784-2020</t>
        </is>
      </c>
      <c r="B3662" s="1" t="n">
        <v>44154</v>
      </c>
      <c r="C3662" s="1" t="n">
        <v>45810</v>
      </c>
      <c r="D3662" t="inlineStr">
        <is>
          <t>VÄRMLANDS LÄN</t>
        </is>
      </c>
      <c r="E3662" t="inlineStr">
        <is>
          <t>ARVIKA</t>
        </is>
      </c>
      <c r="G3662" t="n">
        <v>3.3</v>
      </c>
      <c r="H3662" t="n">
        <v>0</v>
      </c>
      <c r="I3662" t="n">
        <v>0</v>
      </c>
      <c r="J3662" t="n">
        <v>0</v>
      </c>
      <c r="K3662" t="n">
        <v>0</v>
      </c>
      <c r="L3662" t="n">
        <v>0</v>
      </c>
      <c r="M3662" t="n">
        <v>0</v>
      </c>
      <c r="N3662" t="n">
        <v>0</v>
      </c>
      <c r="O3662" t="n">
        <v>0</v>
      </c>
      <c r="P3662" t="n">
        <v>0</v>
      </c>
      <c r="Q3662" t="n">
        <v>0</v>
      </c>
      <c r="R3662" s="2" t="inlineStr"/>
    </row>
    <row r="3663" ht="15" customHeight="1">
      <c r="A3663" t="inlineStr">
        <is>
          <t>A 61009-2020</t>
        </is>
      </c>
      <c r="B3663" s="1" t="n">
        <v>44154</v>
      </c>
      <c r="C3663" s="1" t="n">
        <v>45810</v>
      </c>
      <c r="D3663" t="inlineStr">
        <is>
          <t>VÄRMLANDS LÄN</t>
        </is>
      </c>
      <c r="E3663" t="inlineStr">
        <is>
          <t>TORSBY</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61032-2020</t>
        </is>
      </c>
      <c r="B3664" s="1" t="n">
        <v>44154</v>
      </c>
      <c r="C3664" s="1" t="n">
        <v>45810</v>
      </c>
      <c r="D3664" t="inlineStr">
        <is>
          <t>VÄRMLANDS LÄN</t>
        </is>
      </c>
      <c r="E3664" t="inlineStr">
        <is>
          <t>SÄFFLE</t>
        </is>
      </c>
      <c r="F3664" t="inlineStr">
        <is>
          <t>Bergvik skog väst AB</t>
        </is>
      </c>
      <c r="G3664" t="n">
        <v>8.300000000000001</v>
      </c>
      <c r="H3664" t="n">
        <v>0</v>
      </c>
      <c r="I3664" t="n">
        <v>0</v>
      </c>
      <c r="J3664" t="n">
        <v>0</v>
      </c>
      <c r="K3664" t="n">
        <v>0</v>
      </c>
      <c r="L3664" t="n">
        <v>0</v>
      </c>
      <c r="M3664" t="n">
        <v>0</v>
      </c>
      <c r="N3664" t="n">
        <v>0</v>
      </c>
      <c r="O3664" t="n">
        <v>0</v>
      </c>
      <c r="P3664" t="n">
        <v>0</v>
      </c>
      <c r="Q3664" t="n">
        <v>0</v>
      </c>
      <c r="R3664" s="2" t="inlineStr"/>
    </row>
    <row r="3665" ht="15" customHeight="1">
      <c r="A3665" t="inlineStr">
        <is>
          <t>A 61594-2020</t>
        </is>
      </c>
      <c r="B3665" s="1" t="n">
        <v>44154</v>
      </c>
      <c r="C3665" s="1" t="n">
        <v>45810</v>
      </c>
      <c r="D3665" t="inlineStr">
        <is>
          <t>VÄRMLANDS LÄN</t>
        </is>
      </c>
      <c r="E3665" t="inlineStr">
        <is>
          <t>TORSBY</t>
        </is>
      </c>
      <c r="G3665" t="n">
        <v>6</v>
      </c>
      <c r="H3665" t="n">
        <v>0</v>
      </c>
      <c r="I3665" t="n">
        <v>0</v>
      </c>
      <c r="J3665" t="n">
        <v>0</v>
      </c>
      <c r="K3665" t="n">
        <v>0</v>
      </c>
      <c r="L3665" t="n">
        <v>0</v>
      </c>
      <c r="M3665" t="n">
        <v>0</v>
      </c>
      <c r="N3665" t="n">
        <v>0</v>
      </c>
      <c r="O3665" t="n">
        <v>0</v>
      </c>
      <c r="P3665" t="n">
        <v>0</v>
      </c>
      <c r="Q3665" t="n">
        <v>0</v>
      </c>
      <c r="R3665" s="2" t="inlineStr"/>
    </row>
    <row r="3666" ht="15" customHeight="1">
      <c r="A3666" t="inlineStr">
        <is>
          <t>A 61868-2020</t>
        </is>
      </c>
      <c r="B3666" s="1" t="n">
        <v>44155</v>
      </c>
      <c r="C3666" s="1" t="n">
        <v>45810</v>
      </c>
      <c r="D3666" t="inlineStr">
        <is>
          <t>VÄRMLANDS LÄN</t>
        </is>
      </c>
      <c r="E3666" t="inlineStr">
        <is>
          <t>ÅRJÄNG</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61273-2020</t>
        </is>
      </c>
      <c r="B3667" s="1" t="n">
        <v>44155</v>
      </c>
      <c r="C3667" s="1" t="n">
        <v>45810</v>
      </c>
      <c r="D3667" t="inlineStr">
        <is>
          <t>VÄRMLANDS LÄN</t>
        </is>
      </c>
      <c r="E3667" t="inlineStr">
        <is>
          <t>SÄFFLE</t>
        </is>
      </c>
      <c r="G3667" t="n">
        <v>7.6</v>
      </c>
      <c r="H3667" t="n">
        <v>0</v>
      </c>
      <c r="I3667" t="n">
        <v>0</v>
      </c>
      <c r="J3667" t="n">
        <v>0</v>
      </c>
      <c r="K3667" t="n">
        <v>0</v>
      </c>
      <c r="L3667" t="n">
        <v>0</v>
      </c>
      <c r="M3667" t="n">
        <v>0</v>
      </c>
      <c r="N3667" t="n">
        <v>0</v>
      </c>
      <c r="O3667" t="n">
        <v>0</v>
      </c>
      <c r="P3667" t="n">
        <v>0</v>
      </c>
      <c r="Q3667" t="n">
        <v>0</v>
      </c>
      <c r="R3667" s="2" t="inlineStr"/>
    </row>
    <row r="3668" ht="15" customHeight="1">
      <c r="A3668" t="inlineStr">
        <is>
          <t>A 61383-2020</t>
        </is>
      </c>
      <c r="B3668" s="1" t="n">
        <v>44155</v>
      </c>
      <c r="C3668" s="1" t="n">
        <v>45810</v>
      </c>
      <c r="D3668" t="inlineStr">
        <is>
          <t>VÄRMLANDS LÄN</t>
        </is>
      </c>
      <c r="E3668" t="inlineStr">
        <is>
          <t>GRUMS</t>
        </is>
      </c>
      <c r="G3668" t="n">
        <v>4.1</v>
      </c>
      <c r="H3668" t="n">
        <v>0</v>
      </c>
      <c r="I3668" t="n">
        <v>0</v>
      </c>
      <c r="J3668" t="n">
        <v>0</v>
      </c>
      <c r="K3668" t="n">
        <v>0</v>
      </c>
      <c r="L3668" t="n">
        <v>0</v>
      </c>
      <c r="M3668" t="n">
        <v>0</v>
      </c>
      <c r="N3668" t="n">
        <v>0</v>
      </c>
      <c r="O3668" t="n">
        <v>0</v>
      </c>
      <c r="P3668" t="n">
        <v>0</v>
      </c>
      <c r="Q3668" t="n">
        <v>0</v>
      </c>
      <c r="R3668" s="2" t="inlineStr"/>
    </row>
    <row r="3669" ht="15" customHeight="1">
      <c r="A3669" t="inlineStr">
        <is>
          <t>A 61280-2020</t>
        </is>
      </c>
      <c r="B3669" s="1" t="n">
        <v>44155</v>
      </c>
      <c r="C3669" s="1" t="n">
        <v>45810</v>
      </c>
      <c r="D3669" t="inlineStr">
        <is>
          <t>VÄRMLANDS LÄN</t>
        </is>
      </c>
      <c r="E3669" t="inlineStr">
        <is>
          <t>ARVIKA</t>
        </is>
      </c>
      <c r="G3669" t="n">
        <v>4.2</v>
      </c>
      <c r="H3669" t="n">
        <v>0</v>
      </c>
      <c r="I3669" t="n">
        <v>0</v>
      </c>
      <c r="J3669" t="n">
        <v>0</v>
      </c>
      <c r="K3669" t="n">
        <v>0</v>
      </c>
      <c r="L3669" t="n">
        <v>0</v>
      </c>
      <c r="M3669" t="n">
        <v>0</v>
      </c>
      <c r="N3669" t="n">
        <v>0</v>
      </c>
      <c r="O3669" t="n">
        <v>0</v>
      </c>
      <c r="P3669" t="n">
        <v>0</v>
      </c>
      <c r="Q3669" t="n">
        <v>0</v>
      </c>
      <c r="R3669" s="2" t="inlineStr"/>
    </row>
    <row r="3670" ht="15" customHeight="1">
      <c r="A3670" t="inlineStr">
        <is>
          <t>A 61970-2020</t>
        </is>
      </c>
      <c r="B3670" s="1" t="n">
        <v>44155</v>
      </c>
      <c r="C3670" s="1" t="n">
        <v>45810</v>
      </c>
      <c r="D3670" t="inlineStr">
        <is>
          <t>VÄRMLANDS LÄN</t>
        </is>
      </c>
      <c r="E3670" t="inlineStr">
        <is>
          <t>TORSBY</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61407-2020</t>
        </is>
      </c>
      <c r="B3671" s="1" t="n">
        <v>44156</v>
      </c>
      <c r="C3671" s="1" t="n">
        <v>45810</v>
      </c>
      <c r="D3671" t="inlineStr">
        <is>
          <t>VÄRMLANDS LÄN</t>
        </is>
      </c>
      <c r="E3671" t="inlineStr">
        <is>
          <t>SUNNE</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61410-2020</t>
        </is>
      </c>
      <c r="B3672" s="1" t="n">
        <v>44156</v>
      </c>
      <c r="C3672" s="1" t="n">
        <v>45810</v>
      </c>
      <c r="D3672" t="inlineStr">
        <is>
          <t>VÄRMLANDS LÄN</t>
        </is>
      </c>
      <c r="E3672" t="inlineStr">
        <is>
          <t>KRISTINEHAMN</t>
        </is>
      </c>
      <c r="G3672" t="n">
        <v>4.7</v>
      </c>
      <c r="H3672" t="n">
        <v>0</v>
      </c>
      <c r="I3672" t="n">
        <v>0</v>
      </c>
      <c r="J3672" t="n">
        <v>0</v>
      </c>
      <c r="K3672" t="n">
        <v>0</v>
      </c>
      <c r="L3672" t="n">
        <v>0</v>
      </c>
      <c r="M3672" t="n">
        <v>0</v>
      </c>
      <c r="N3672" t="n">
        <v>0</v>
      </c>
      <c r="O3672" t="n">
        <v>0</v>
      </c>
      <c r="P3672" t="n">
        <v>0</v>
      </c>
      <c r="Q3672" t="n">
        <v>0</v>
      </c>
      <c r="R3672" s="2" t="inlineStr"/>
    </row>
    <row r="3673" ht="15" customHeight="1">
      <c r="A3673" t="inlineStr">
        <is>
          <t>A 61409-2020</t>
        </is>
      </c>
      <c r="B3673" s="1" t="n">
        <v>44156</v>
      </c>
      <c r="C3673" s="1" t="n">
        <v>45810</v>
      </c>
      <c r="D3673" t="inlineStr">
        <is>
          <t>VÄRMLANDS LÄN</t>
        </is>
      </c>
      <c r="E3673" t="inlineStr">
        <is>
          <t>KRISTINEHAMN</t>
        </is>
      </c>
      <c r="G3673" t="n">
        <v>2.3</v>
      </c>
      <c r="H3673" t="n">
        <v>0</v>
      </c>
      <c r="I3673" t="n">
        <v>0</v>
      </c>
      <c r="J3673" t="n">
        <v>0</v>
      </c>
      <c r="K3673" t="n">
        <v>0</v>
      </c>
      <c r="L3673" t="n">
        <v>0</v>
      </c>
      <c r="M3673" t="n">
        <v>0</v>
      </c>
      <c r="N3673" t="n">
        <v>0</v>
      </c>
      <c r="O3673" t="n">
        <v>0</v>
      </c>
      <c r="P3673" t="n">
        <v>0</v>
      </c>
      <c r="Q3673" t="n">
        <v>0</v>
      </c>
      <c r="R3673" s="2" t="inlineStr"/>
    </row>
    <row r="3674" ht="15" customHeight="1">
      <c r="A3674" t="inlineStr">
        <is>
          <t>A 61734-2020</t>
        </is>
      </c>
      <c r="B3674" s="1" t="n">
        <v>44158</v>
      </c>
      <c r="C3674" s="1" t="n">
        <v>45810</v>
      </c>
      <c r="D3674" t="inlineStr">
        <is>
          <t>VÄRMLANDS LÄN</t>
        </is>
      </c>
      <c r="E3674" t="inlineStr">
        <is>
          <t>ARVIKA</t>
        </is>
      </c>
      <c r="G3674" t="n">
        <v>2.5</v>
      </c>
      <c r="H3674" t="n">
        <v>0</v>
      </c>
      <c r="I3674" t="n">
        <v>0</v>
      </c>
      <c r="J3674" t="n">
        <v>0</v>
      </c>
      <c r="K3674" t="n">
        <v>0</v>
      </c>
      <c r="L3674" t="n">
        <v>0</v>
      </c>
      <c r="M3674" t="n">
        <v>0</v>
      </c>
      <c r="N3674" t="n">
        <v>0</v>
      </c>
      <c r="O3674" t="n">
        <v>0</v>
      </c>
      <c r="P3674" t="n">
        <v>0</v>
      </c>
      <c r="Q3674" t="n">
        <v>0</v>
      </c>
      <c r="R3674" s="2" t="inlineStr"/>
    </row>
    <row r="3675" ht="15" customHeight="1">
      <c r="A3675" t="inlineStr">
        <is>
          <t>A 61542-2020</t>
        </is>
      </c>
      <c r="B3675" s="1" t="n">
        <v>44158</v>
      </c>
      <c r="C3675" s="1" t="n">
        <v>45810</v>
      </c>
      <c r="D3675" t="inlineStr">
        <is>
          <t>VÄRMLANDS LÄN</t>
        </is>
      </c>
      <c r="E3675" t="inlineStr">
        <is>
          <t>SUNNE</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61597-2020</t>
        </is>
      </c>
      <c r="B3676" s="1" t="n">
        <v>44158</v>
      </c>
      <c r="C3676" s="1" t="n">
        <v>45810</v>
      </c>
      <c r="D3676" t="inlineStr">
        <is>
          <t>VÄRMLANDS LÄN</t>
        </is>
      </c>
      <c r="E3676" t="inlineStr">
        <is>
          <t>SUNNE</t>
        </is>
      </c>
      <c r="G3676" t="n">
        <v>2.8</v>
      </c>
      <c r="H3676" t="n">
        <v>0</v>
      </c>
      <c r="I3676" t="n">
        <v>0</v>
      </c>
      <c r="J3676" t="n">
        <v>0</v>
      </c>
      <c r="K3676" t="n">
        <v>0</v>
      </c>
      <c r="L3676" t="n">
        <v>0</v>
      </c>
      <c r="M3676" t="n">
        <v>0</v>
      </c>
      <c r="N3676" t="n">
        <v>0</v>
      </c>
      <c r="O3676" t="n">
        <v>0</v>
      </c>
      <c r="P3676" t="n">
        <v>0</v>
      </c>
      <c r="Q3676" t="n">
        <v>0</v>
      </c>
      <c r="R3676" s="2" t="inlineStr"/>
    </row>
    <row r="3677" ht="15" customHeight="1">
      <c r="A3677" t="inlineStr">
        <is>
          <t>A 61687-2020</t>
        </is>
      </c>
      <c r="B3677" s="1" t="n">
        <v>44158</v>
      </c>
      <c r="C3677" s="1" t="n">
        <v>45810</v>
      </c>
      <c r="D3677" t="inlineStr">
        <is>
          <t>VÄRMLANDS LÄN</t>
        </is>
      </c>
      <c r="E3677" t="inlineStr">
        <is>
          <t>KARLSTAD</t>
        </is>
      </c>
      <c r="G3677" t="n">
        <v>3.3</v>
      </c>
      <c r="H3677" t="n">
        <v>0</v>
      </c>
      <c r="I3677" t="n">
        <v>0</v>
      </c>
      <c r="J3677" t="n">
        <v>0</v>
      </c>
      <c r="K3677" t="n">
        <v>0</v>
      </c>
      <c r="L3677" t="n">
        <v>0</v>
      </c>
      <c r="M3677" t="n">
        <v>0</v>
      </c>
      <c r="N3677" t="n">
        <v>0</v>
      </c>
      <c r="O3677" t="n">
        <v>0</v>
      </c>
      <c r="P3677" t="n">
        <v>0</v>
      </c>
      <c r="Q3677" t="n">
        <v>0</v>
      </c>
      <c r="R3677" s="2" t="inlineStr"/>
    </row>
    <row r="3678" ht="15" customHeight="1">
      <c r="A3678" t="inlineStr">
        <is>
          <t>A 61738-2020</t>
        </is>
      </c>
      <c r="B3678" s="1" t="n">
        <v>44158</v>
      </c>
      <c r="C3678" s="1" t="n">
        <v>45810</v>
      </c>
      <c r="D3678" t="inlineStr">
        <is>
          <t>VÄRMLANDS LÄN</t>
        </is>
      </c>
      <c r="E3678" t="inlineStr">
        <is>
          <t>TORSBY</t>
        </is>
      </c>
      <c r="F3678" t="inlineStr">
        <is>
          <t>Kommuner</t>
        </is>
      </c>
      <c r="G3678" t="n">
        <v>5.8</v>
      </c>
      <c r="H3678" t="n">
        <v>0</v>
      </c>
      <c r="I3678" t="n">
        <v>0</v>
      </c>
      <c r="J3678" t="n">
        <v>0</v>
      </c>
      <c r="K3678" t="n">
        <v>0</v>
      </c>
      <c r="L3678" t="n">
        <v>0</v>
      </c>
      <c r="M3678" t="n">
        <v>0</v>
      </c>
      <c r="N3678" t="n">
        <v>0</v>
      </c>
      <c r="O3678" t="n">
        <v>0</v>
      </c>
      <c r="P3678" t="n">
        <v>0</v>
      </c>
      <c r="Q3678" t="n">
        <v>0</v>
      </c>
      <c r="R3678" s="2" t="inlineStr"/>
    </row>
    <row r="3679" ht="15" customHeight="1">
      <c r="A3679" t="inlineStr">
        <is>
          <t>A 61753-2020</t>
        </is>
      </c>
      <c r="B3679" s="1" t="n">
        <v>44158</v>
      </c>
      <c r="C3679" s="1" t="n">
        <v>45810</v>
      </c>
      <c r="D3679" t="inlineStr">
        <is>
          <t>VÄRMLANDS LÄN</t>
        </is>
      </c>
      <c r="E3679" t="inlineStr">
        <is>
          <t>TORSBY</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61777-2020</t>
        </is>
      </c>
      <c r="B3680" s="1" t="n">
        <v>44158</v>
      </c>
      <c r="C3680" s="1" t="n">
        <v>45810</v>
      </c>
      <c r="D3680" t="inlineStr">
        <is>
          <t>VÄRMLANDS LÄN</t>
        </is>
      </c>
      <c r="E3680" t="inlineStr">
        <is>
          <t>KRISTINEHAMN</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62130-2020</t>
        </is>
      </c>
      <c r="B3681" s="1" t="n">
        <v>44158</v>
      </c>
      <c r="C3681" s="1" t="n">
        <v>45810</v>
      </c>
      <c r="D3681" t="inlineStr">
        <is>
          <t>VÄRMLANDS LÄN</t>
        </is>
      </c>
      <c r="E3681" t="inlineStr">
        <is>
          <t>KARLSTAD</t>
        </is>
      </c>
      <c r="G3681" t="n">
        <v>4</v>
      </c>
      <c r="H3681" t="n">
        <v>0</v>
      </c>
      <c r="I3681" t="n">
        <v>0</v>
      </c>
      <c r="J3681" t="n">
        <v>0</v>
      </c>
      <c r="K3681" t="n">
        <v>0</v>
      </c>
      <c r="L3681" t="n">
        <v>0</v>
      </c>
      <c r="M3681" t="n">
        <v>0</v>
      </c>
      <c r="N3681" t="n">
        <v>0</v>
      </c>
      <c r="O3681" t="n">
        <v>0</v>
      </c>
      <c r="P3681" t="n">
        <v>0</v>
      </c>
      <c r="Q3681" t="n">
        <v>0</v>
      </c>
      <c r="R3681" s="2" t="inlineStr"/>
    </row>
    <row r="3682" ht="15" customHeight="1">
      <c r="A3682" t="inlineStr">
        <is>
          <t>A 61998-2020</t>
        </is>
      </c>
      <c r="B3682" s="1" t="n">
        <v>44158</v>
      </c>
      <c r="C3682" s="1" t="n">
        <v>45810</v>
      </c>
      <c r="D3682" t="inlineStr">
        <is>
          <t>VÄRMLANDS LÄN</t>
        </is>
      </c>
      <c r="E3682" t="inlineStr">
        <is>
          <t>TORSBY</t>
        </is>
      </c>
      <c r="G3682" t="n">
        <v>2.7</v>
      </c>
      <c r="H3682" t="n">
        <v>0</v>
      </c>
      <c r="I3682" t="n">
        <v>0</v>
      </c>
      <c r="J3682" t="n">
        <v>0</v>
      </c>
      <c r="K3682" t="n">
        <v>0</v>
      </c>
      <c r="L3682" t="n">
        <v>0</v>
      </c>
      <c r="M3682" t="n">
        <v>0</v>
      </c>
      <c r="N3682" t="n">
        <v>0</v>
      </c>
      <c r="O3682" t="n">
        <v>0</v>
      </c>
      <c r="P3682" t="n">
        <v>0</v>
      </c>
      <c r="Q3682" t="n">
        <v>0</v>
      </c>
      <c r="R3682" s="2" t="inlineStr"/>
    </row>
    <row r="3683" ht="15" customHeight="1">
      <c r="A3683" t="inlineStr">
        <is>
          <t>A 62074-2020</t>
        </is>
      </c>
      <c r="B3683" s="1" t="n">
        <v>44159</v>
      </c>
      <c r="C3683" s="1" t="n">
        <v>45810</v>
      </c>
      <c r="D3683" t="inlineStr">
        <is>
          <t>VÄRMLANDS LÄN</t>
        </is>
      </c>
      <c r="E3683" t="inlineStr">
        <is>
          <t>KARLSTAD</t>
        </is>
      </c>
      <c r="G3683" t="n">
        <v>3.9</v>
      </c>
      <c r="H3683" t="n">
        <v>0</v>
      </c>
      <c r="I3683" t="n">
        <v>0</v>
      </c>
      <c r="J3683" t="n">
        <v>0</v>
      </c>
      <c r="K3683" t="n">
        <v>0</v>
      </c>
      <c r="L3683" t="n">
        <v>0</v>
      </c>
      <c r="M3683" t="n">
        <v>0</v>
      </c>
      <c r="N3683" t="n">
        <v>0</v>
      </c>
      <c r="O3683" t="n">
        <v>0</v>
      </c>
      <c r="P3683" t="n">
        <v>0</v>
      </c>
      <c r="Q3683" t="n">
        <v>0</v>
      </c>
      <c r="R3683" s="2" t="inlineStr"/>
    </row>
    <row r="3684" ht="15" customHeight="1">
      <c r="A3684" t="inlineStr">
        <is>
          <t>A 61910-2020</t>
        </is>
      </c>
      <c r="B3684" s="1" t="n">
        <v>44159</v>
      </c>
      <c r="C3684" s="1" t="n">
        <v>45810</v>
      </c>
      <c r="D3684" t="inlineStr">
        <is>
          <t>VÄRMLANDS LÄN</t>
        </is>
      </c>
      <c r="E3684" t="inlineStr">
        <is>
          <t>TORSBY</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61956-2020</t>
        </is>
      </c>
      <c r="B3685" s="1" t="n">
        <v>44159</v>
      </c>
      <c r="C3685" s="1" t="n">
        <v>45810</v>
      </c>
      <c r="D3685" t="inlineStr">
        <is>
          <t>VÄRMLANDS LÄN</t>
        </is>
      </c>
      <c r="E3685" t="inlineStr">
        <is>
          <t>TORSBY</t>
        </is>
      </c>
      <c r="F3685" t="inlineStr">
        <is>
          <t>Kommuner</t>
        </is>
      </c>
      <c r="G3685" t="n">
        <v>7.5</v>
      </c>
      <c r="H3685" t="n">
        <v>0</v>
      </c>
      <c r="I3685" t="n">
        <v>0</v>
      </c>
      <c r="J3685" t="n">
        <v>0</v>
      </c>
      <c r="K3685" t="n">
        <v>0</v>
      </c>
      <c r="L3685" t="n">
        <v>0</v>
      </c>
      <c r="M3685" t="n">
        <v>0</v>
      </c>
      <c r="N3685" t="n">
        <v>0</v>
      </c>
      <c r="O3685" t="n">
        <v>0</v>
      </c>
      <c r="P3685" t="n">
        <v>0</v>
      </c>
      <c r="Q3685" t="n">
        <v>0</v>
      </c>
      <c r="R3685" s="2" t="inlineStr"/>
    </row>
    <row r="3686" ht="15" customHeight="1">
      <c r="A3686" t="inlineStr">
        <is>
          <t>A 62149-2020</t>
        </is>
      </c>
      <c r="B3686" s="1" t="n">
        <v>44159</v>
      </c>
      <c r="C3686" s="1" t="n">
        <v>45810</v>
      </c>
      <c r="D3686" t="inlineStr">
        <is>
          <t>VÄRMLANDS LÄN</t>
        </is>
      </c>
      <c r="E3686" t="inlineStr">
        <is>
          <t>ARVIKA</t>
        </is>
      </c>
      <c r="F3686" t="inlineStr">
        <is>
          <t>Bergvik skog väst AB</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62165-2020</t>
        </is>
      </c>
      <c r="B3687" s="1" t="n">
        <v>44159</v>
      </c>
      <c r="C3687" s="1" t="n">
        <v>45810</v>
      </c>
      <c r="D3687" t="inlineStr">
        <is>
          <t>VÄRMLANDS LÄN</t>
        </is>
      </c>
      <c r="E3687" t="inlineStr">
        <is>
          <t>KRISTINEHAMN</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62209-2020</t>
        </is>
      </c>
      <c r="B3688" s="1" t="n">
        <v>44159</v>
      </c>
      <c r="C3688" s="1" t="n">
        <v>45810</v>
      </c>
      <c r="D3688" t="inlineStr">
        <is>
          <t>VÄRMLANDS LÄN</t>
        </is>
      </c>
      <c r="E3688" t="inlineStr">
        <is>
          <t>TORSBY</t>
        </is>
      </c>
      <c r="F3688" t="inlineStr">
        <is>
          <t>Kommuner</t>
        </is>
      </c>
      <c r="G3688" t="n">
        <v>8.300000000000001</v>
      </c>
      <c r="H3688" t="n">
        <v>0</v>
      </c>
      <c r="I3688" t="n">
        <v>0</v>
      </c>
      <c r="J3688" t="n">
        <v>0</v>
      </c>
      <c r="K3688" t="n">
        <v>0</v>
      </c>
      <c r="L3688" t="n">
        <v>0</v>
      </c>
      <c r="M3688" t="n">
        <v>0</v>
      </c>
      <c r="N3688" t="n">
        <v>0</v>
      </c>
      <c r="O3688" t="n">
        <v>0</v>
      </c>
      <c r="P3688" t="n">
        <v>0</v>
      </c>
      <c r="Q3688" t="n">
        <v>0</v>
      </c>
      <c r="R3688" s="2" t="inlineStr"/>
    </row>
    <row r="3689" ht="15" customHeight="1">
      <c r="A3689" t="inlineStr">
        <is>
          <t>A 62156-2020</t>
        </is>
      </c>
      <c r="B3689" s="1" t="n">
        <v>44159</v>
      </c>
      <c r="C3689" s="1" t="n">
        <v>45810</v>
      </c>
      <c r="D3689" t="inlineStr">
        <is>
          <t>VÄRMLANDS LÄN</t>
        </is>
      </c>
      <c r="E3689" t="inlineStr">
        <is>
          <t>KRISTINEHAMN</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62167-2020</t>
        </is>
      </c>
      <c r="B3690" s="1" t="n">
        <v>44159</v>
      </c>
      <c r="C3690" s="1" t="n">
        <v>45810</v>
      </c>
      <c r="D3690" t="inlineStr">
        <is>
          <t>VÄRMLANDS LÄN</t>
        </is>
      </c>
      <c r="E3690" t="inlineStr">
        <is>
          <t>KRISTINEHAMN</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62211-2020</t>
        </is>
      </c>
      <c r="B3691" s="1" t="n">
        <v>44159</v>
      </c>
      <c r="C3691" s="1" t="n">
        <v>45810</v>
      </c>
      <c r="D3691" t="inlineStr">
        <is>
          <t>VÄRMLANDS LÄN</t>
        </is>
      </c>
      <c r="E3691" t="inlineStr">
        <is>
          <t>TORSBY</t>
        </is>
      </c>
      <c r="F3691" t="inlineStr">
        <is>
          <t>Kommuner</t>
        </is>
      </c>
      <c r="G3691" t="n">
        <v>3.2</v>
      </c>
      <c r="H3691" t="n">
        <v>0</v>
      </c>
      <c r="I3691" t="n">
        <v>0</v>
      </c>
      <c r="J3691" t="n">
        <v>0</v>
      </c>
      <c r="K3691" t="n">
        <v>0</v>
      </c>
      <c r="L3691" t="n">
        <v>0</v>
      </c>
      <c r="M3691" t="n">
        <v>0</v>
      </c>
      <c r="N3691" t="n">
        <v>0</v>
      </c>
      <c r="O3691" t="n">
        <v>0</v>
      </c>
      <c r="P3691" t="n">
        <v>0</v>
      </c>
      <c r="Q3691" t="n">
        <v>0</v>
      </c>
      <c r="R3691" s="2" t="inlineStr"/>
    </row>
    <row r="3692" ht="15" customHeight="1">
      <c r="A3692" t="inlineStr">
        <is>
          <t>A 62171-2020</t>
        </is>
      </c>
      <c r="B3692" s="1" t="n">
        <v>44159</v>
      </c>
      <c r="C3692" s="1" t="n">
        <v>45810</v>
      </c>
      <c r="D3692" t="inlineStr">
        <is>
          <t>VÄRMLANDS LÄN</t>
        </is>
      </c>
      <c r="E3692" t="inlineStr">
        <is>
          <t>KRISTINEHAMN</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62456-2020</t>
        </is>
      </c>
      <c r="B3693" s="1" t="n">
        <v>44160</v>
      </c>
      <c r="C3693" s="1" t="n">
        <v>45810</v>
      </c>
      <c r="D3693" t="inlineStr">
        <is>
          <t>VÄRMLANDS LÄN</t>
        </is>
      </c>
      <c r="E3693" t="inlineStr">
        <is>
          <t>HAMMARÖ</t>
        </is>
      </c>
      <c r="F3693" t="inlineStr">
        <is>
          <t>Kommuner</t>
        </is>
      </c>
      <c r="G3693" t="n">
        <v>0.4</v>
      </c>
      <c r="H3693" t="n">
        <v>0</v>
      </c>
      <c r="I3693" t="n">
        <v>0</v>
      </c>
      <c r="J3693" t="n">
        <v>0</v>
      </c>
      <c r="K3693" t="n">
        <v>0</v>
      </c>
      <c r="L3693" t="n">
        <v>0</v>
      </c>
      <c r="M3693" t="n">
        <v>0</v>
      </c>
      <c r="N3693" t="n">
        <v>0</v>
      </c>
      <c r="O3693" t="n">
        <v>0</v>
      </c>
      <c r="P3693" t="n">
        <v>0</v>
      </c>
      <c r="Q3693" t="n">
        <v>0</v>
      </c>
      <c r="R3693" s="2" t="inlineStr"/>
    </row>
    <row r="3694" ht="15" customHeight="1">
      <c r="A3694" t="inlineStr">
        <is>
          <t>A 62298-2020</t>
        </is>
      </c>
      <c r="B3694" s="1" t="n">
        <v>44160</v>
      </c>
      <c r="C3694" s="1" t="n">
        <v>45810</v>
      </c>
      <c r="D3694" t="inlineStr">
        <is>
          <t>VÄRMLANDS LÄN</t>
        </is>
      </c>
      <c r="E3694" t="inlineStr">
        <is>
          <t>SUNNE</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62510-2020</t>
        </is>
      </c>
      <c r="B3695" s="1" t="n">
        <v>44160</v>
      </c>
      <c r="C3695" s="1" t="n">
        <v>45810</v>
      </c>
      <c r="D3695" t="inlineStr">
        <is>
          <t>VÄRMLANDS LÄN</t>
        </is>
      </c>
      <c r="E3695" t="inlineStr">
        <is>
          <t>SUNNE</t>
        </is>
      </c>
      <c r="G3695" t="n">
        <v>2.6</v>
      </c>
      <c r="H3695" t="n">
        <v>0</v>
      </c>
      <c r="I3695" t="n">
        <v>0</v>
      </c>
      <c r="J3695" t="n">
        <v>0</v>
      </c>
      <c r="K3695" t="n">
        <v>0</v>
      </c>
      <c r="L3695" t="n">
        <v>0</v>
      </c>
      <c r="M3695" t="n">
        <v>0</v>
      </c>
      <c r="N3695" t="n">
        <v>0</v>
      </c>
      <c r="O3695" t="n">
        <v>0</v>
      </c>
      <c r="P3695" t="n">
        <v>0</v>
      </c>
      <c r="Q3695" t="n">
        <v>0</v>
      </c>
      <c r="R3695" s="2" t="inlineStr"/>
    </row>
    <row r="3696" ht="15" customHeight="1">
      <c r="A3696" t="inlineStr">
        <is>
          <t>A 62566-2020</t>
        </is>
      </c>
      <c r="B3696" s="1" t="n">
        <v>44160</v>
      </c>
      <c r="C3696" s="1" t="n">
        <v>45810</v>
      </c>
      <c r="D3696" t="inlineStr">
        <is>
          <t>VÄRMLANDS LÄN</t>
        </is>
      </c>
      <c r="E3696" t="inlineStr">
        <is>
          <t>ARVIKA</t>
        </is>
      </c>
      <c r="G3696" t="n">
        <v>7.4</v>
      </c>
      <c r="H3696" t="n">
        <v>0</v>
      </c>
      <c r="I3696" t="n">
        <v>0</v>
      </c>
      <c r="J3696" t="n">
        <v>0</v>
      </c>
      <c r="K3696" t="n">
        <v>0</v>
      </c>
      <c r="L3696" t="n">
        <v>0</v>
      </c>
      <c r="M3696" t="n">
        <v>0</v>
      </c>
      <c r="N3696" t="n">
        <v>0</v>
      </c>
      <c r="O3696" t="n">
        <v>0</v>
      </c>
      <c r="P3696" t="n">
        <v>0</v>
      </c>
      <c r="Q3696" t="n">
        <v>0</v>
      </c>
      <c r="R3696" s="2" t="inlineStr"/>
    </row>
    <row r="3697" ht="15" customHeight="1">
      <c r="A3697" t="inlineStr">
        <is>
          <t>A 62245-2020</t>
        </is>
      </c>
      <c r="B3697" s="1" t="n">
        <v>44160</v>
      </c>
      <c r="C3697" s="1" t="n">
        <v>45810</v>
      </c>
      <c r="D3697" t="inlineStr">
        <is>
          <t>VÄRMLANDS LÄN</t>
        </is>
      </c>
      <c r="E3697" t="inlineStr">
        <is>
          <t>KARLSTAD</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62382-2020</t>
        </is>
      </c>
      <c r="B3698" s="1" t="n">
        <v>44160</v>
      </c>
      <c r="C3698" s="1" t="n">
        <v>45810</v>
      </c>
      <c r="D3698" t="inlineStr">
        <is>
          <t>VÄRMLANDS LÄN</t>
        </is>
      </c>
      <c r="E3698" t="inlineStr">
        <is>
          <t>KIL</t>
        </is>
      </c>
      <c r="G3698" t="n">
        <v>3.9</v>
      </c>
      <c r="H3698" t="n">
        <v>0</v>
      </c>
      <c r="I3698" t="n">
        <v>0</v>
      </c>
      <c r="J3698" t="n">
        <v>0</v>
      </c>
      <c r="K3698" t="n">
        <v>0</v>
      </c>
      <c r="L3698" t="n">
        <v>0</v>
      </c>
      <c r="M3698" t="n">
        <v>0</v>
      </c>
      <c r="N3698" t="n">
        <v>0</v>
      </c>
      <c r="O3698" t="n">
        <v>0</v>
      </c>
      <c r="P3698" t="n">
        <v>0</v>
      </c>
      <c r="Q3698" t="n">
        <v>0</v>
      </c>
      <c r="R3698" s="2" t="inlineStr"/>
    </row>
    <row r="3699" ht="15" customHeight="1">
      <c r="A3699" t="inlineStr">
        <is>
          <t>A 62414-2020</t>
        </is>
      </c>
      <c r="B3699" s="1" t="n">
        <v>44160</v>
      </c>
      <c r="C3699" s="1" t="n">
        <v>45810</v>
      </c>
      <c r="D3699" t="inlineStr">
        <is>
          <t>VÄRMLANDS LÄN</t>
        </is>
      </c>
      <c r="E3699" t="inlineStr">
        <is>
          <t>SUNNE</t>
        </is>
      </c>
      <c r="F3699" t="inlineStr">
        <is>
          <t>Kommuner</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62785-2020</t>
        </is>
      </c>
      <c r="B3700" s="1" t="n">
        <v>44161</v>
      </c>
      <c r="C3700" s="1" t="n">
        <v>45810</v>
      </c>
      <c r="D3700" t="inlineStr">
        <is>
          <t>VÄRMLANDS LÄN</t>
        </is>
      </c>
      <c r="E3700" t="inlineStr">
        <is>
          <t>SÄFFLE</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62713-2020</t>
        </is>
      </c>
      <c r="B3701" s="1" t="n">
        <v>44161</v>
      </c>
      <c r="C3701" s="1" t="n">
        <v>45810</v>
      </c>
      <c r="D3701" t="inlineStr">
        <is>
          <t>VÄRMLANDS LÄN</t>
        </is>
      </c>
      <c r="E3701" t="inlineStr">
        <is>
          <t>ARVIKA</t>
        </is>
      </c>
      <c r="F3701" t="inlineStr">
        <is>
          <t>Kyrkan</t>
        </is>
      </c>
      <c r="G3701" t="n">
        <v>4.5</v>
      </c>
      <c r="H3701" t="n">
        <v>0</v>
      </c>
      <c r="I3701" t="n">
        <v>0</v>
      </c>
      <c r="J3701" t="n">
        <v>0</v>
      </c>
      <c r="K3701" t="n">
        <v>0</v>
      </c>
      <c r="L3701" t="n">
        <v>0</v>
      </c>
      <c r="M3701" t="n">
        <v>0</v>
      </c>
      <c r="N3701" t="n">
        <v>0</v>
      </c>
      <c r="O3701" t="n">
        <v>0</v>
      </c>
      <c r="P3701" t="n">
        <v>0</v>
      </c>
      <c r="Q3701" t="n">
        <v>0</v>
      </c>
      <c r="R3701" s="2" t="inlineStr"/>
    </row>
    <row r="3702" ht="15" customHeight="1">
      <c r="A3702" t="inlineStr">
        <is>
          <t>A 62793-2020</t>
        </is>
      </c>
      <c r="B3702" s="1" t="n">
        <v>44161</v>
      </c>
      <c r="C3702" s="1" t="n">
        <v>45810</v>
      </c>
      <c r="D3702" t="inlineStr">
        <is>
          <t>VÄRMLANDS LÄN</t>
        </is>
      </c>
      <c r="E3702" t="inlineStr">
        <is>
          <t>SÄFFLE</t>
        </is>
      </c>
      <c r="G3702" t="n">
        <v>0.3</v>
      </c>
      <c r="H3702" t="n">
        <v>0</v>
      </c>
      <c r="I3702" t="n">
        <v>0</v>
      </c>
      <c r="J3702" t="n">
        <v>0</v>
      </c>
      <c r="K3702" t="n">
        <v>0</v>
      </c>
      <c r="L3702" t="n">
        <v>0</v>
      </c>
      <c r="M3702" t="n">
        <v>0</v>
      </c>
      <c r="N3702" t="n">
        <v>0</v>
      </c>
      <c r="O3702" t="n">
        <v>0</v>
      </c>
      <c r="P3702" t="n">
        <v>0</v>
      </c>
      <c r="Q3702" t="n">
        <v>0</v>
      </c>
      <c r="R3702" s="2" t="inlineStr"/>
    </row>
    <row r="3703" ht="15" customHeight="1">
      <c r="A3703" t="inlineStr">
        <is>
          <t>A 62835-2020</t>
        </is>
      </c>
      <c r="B3703" s="1" t="n">
        <v>44161</v>
      </c>
      <c r="C3703" s="1" t="n">
        <v>45810</v>
      </c>
      <c r="D3703" t="inlineStr">
        <is>
          <t>VÄRMLANDS LÄN</t>
        </is>
      </c>
      <c r="E3703" t="inlineStr">
        <is>
          <t>HAGFORS</t>
        </is>
      </c>
      <c r="G3703" t="n">
        <v>0.3</v>
      </c>
      <c r="H3703" t="n">
        <v>0</v>
      </c>
      <c r="I3703" t="n">
        <v>0</v>
      </c>
      <c r="J3703" t="n">
        <v>0</v>
      </c>
      <c r="K3703" t="n">
        <v>0</v>
      </c>
      <c r="L3703" t="n">
        <v>0</v>
      </c>
      <c r="M3703" t="n">
        <v>0</v>
      </c>
      <c r="N3703" t="n">
        <v>0</v>
      </c>
      <c r="O3703" t="n">
        <v>0</v>
      </c>
      <c r="P3703" t="n">
        <v>0</v>
      </c>
      <c r="Q3703" t="n">
        <v>0</v>
      </c>
      <c r="R3703" s="2" t="inlineStr"/>
    </row>
    <row r="3704" ht="15" customHeight="1">
      <c r="A3704" t="inlineStr">
        <is>
          <t>A 62790-2020</t>
        </is>
      </c>
      <c r="B3704" s="1" t="n">
        <v>44161</v>
      </c>
      <c r="C3704" s="1" t="n">
        <v>45810</v>
      </c>
      <c r="D3704" t="inlineStr">
        <is>
          <t>VÄRMLANDS LÄN</t>
        </is>
      </c>
      <c r="E3704" t="inlineStr">
        <is>
          <t>SÄFFLE</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62842-2020</t>
        </is>
      </c>
      <c r="B3705" s="1" t="n">
        <v>44161</v>
      </c>
      <c r="C3705" s="1" t="n">
        <v>45810</v>
      </c>
      <c r="D3705" t="inlineStr">
        <is>
          <t>VÄRMLANDS LÄN</t>
        </is>
      </c>
      <c r="E3705" t="inlineStr">
        <is>
          <t>MUNKFORS</t>
        </is>
      </c>
      <c r="G3705" t="n">
        <v>2.6</v>
      </c>
      <c r="H3705" t="n">
        <v>0</v>
      </c>
      <c r="I3705" t="n">
        <v>0</v>
      </c>
      <c r="J3705" t="n">
        <v>0</v>
      </c>
      <c r="K3705" t="n">
        <v>0</v>
      </c>
      <c r="L3705" t="n">
        <v>0</v>
      </c>
      <c r="M3705" t="n">
        <v>0</v>
      </c>
      <c r="N3705" t="n">
        <v>0</v>
      </c>
      <c r="O3705" t="n">
        <v>0</v>
      </c>
      <c r="P3705" t="n">
        <v>0</v>
      </c>
      <c r="Q3705" t="n">
        <v>0</v>
      </c>
      <c r="R3705" s="2" t="inlineStr"/>
    </row>
    <row r="3706" ht="15" customHeight="1">
      <c r="A3706" t="inlineStr">
        <is>
          <t>A 63478-2020</t>
        </is>
      </c>
      <c r="B3706" s="1" t="n">
        <v>44161</v>
      </c>
      <c r="C3706" s="1" t="n">
        <v>45810</v>
      </c>
      <c r="D3706" t="inlineStr">
        <is>
          <t>VÄRMLANDS LÄN</t>
        </is>
      </c>
      <c r="E3706" t="inlineStr">
        <is>
          <t>HAGFORS</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62891-2020</t>
        </is>
      </c>
      <c r="B3707" s="1" t="n">
        <v>44161</v>
      </c>
      <c r="C3707" s="1" t="n">
        <v>45810</v>
      </c>
      <c r="D3707" t="inlineStr">
        <is>
          <t>VÄRMLANDS LÄN</t>
        </is>
      </c>
      <c r="E3707" t="inlineStr">
        <is>
          <t>HAGFORS</t>
        </is>
      </c>
      <c r="G3707" t="n">
        <v>3</v>
      </c>
      <c r="H3707" t="n">
        <v>0</v>
      </c>
      <c r="I3707" t="n">
        <v>0</v>
      </c>
      <c r="J3707" t="n">
        <v>0</v>
      </c>
      <c r="K3707" t="n">
        <v>0</v>
      </c>
      <c r="L3707" t="n">
        <v>0</v>
      </c>
      <c r="M3707" t="n">
        <v>0</v>
      </c>
      <c r="N3707" t="n">
        <v>0</v>
      </c>
      <c r="O3707" t="n">
        <v>0</v>
      </c>
      <c r="P3707" t="n">
        <v>0</v>
      </c>
      <c r="Q3707" t="n">
        <v>0</v>
      </c>
      <c r="R3707" s="2" t="inlineStr"/>
    </row>
    <row r="3708" ht="15" customHeight="1">
      <c r="A3708" t="inlineStr">
        <is>
          <t>A 62608-2020</t>
        </is>
      </c>
      <c r="B3708" s="1" t="n">
        <v>44161</v>
      </c>
      <c r="C3708" s="1" t="n">
        <v>45810</v>
      </c>
      <c r="D3708" t="inlineStr">
        <is>
          <t>VÄRMLANDS LÄN</t>
        </is>
      </c>
      <c r="E3708" t="inlineStr">
        <is>
          <t>HAMMARÖ</t>
        </is>
      </c>
      <c r="F3708" t="inlineStr">
        <is>
          <t>Kommuner</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63473-2020</t>
        </is>
      </c>
      <c r="B3709" s="1" t="n">
        <v>44161</v>
      </c>
      <c r="C3709" s="1" t="n">
        <v>45810</v>
      </c>
      <c r="D3709" t="inlineStr">
        <is>
          <t>VÄRMLANDS LÄN</t>
        </is>
      </c>
      <c r="E3709" t="inlineStr">
        <is>
          <t>HAGFORS</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62644-2020</t>
        </is>
      </c>
      <c r="B3710" s="1" t="n">
        <v>44161</v>
      </c>
      <c r="C3710" s="1" t="n">
        <v>45810</v>
      </c>
      <c r="D3710" t="inlineStr">
        <is>
          <t>VÄRMLANDS LÄN</t>
        </is>
      </c>
      <c r="E3710" t="inlineStr">
        <is>
          <t>FILIPSTAD</t>
        </is>
      </c>
      <c r="G3710" t="n">
        <v>3</v>
      </c>
      <c r="H3710" t="n">
        <v>0</v>
      </c>
      <c r="I3710" t="n">
        <v>0</v>
      </c>
      <c r="J3710" t="n">
        <v>0</v>
      </c>
      <c r="K3710" t="n">
        <v>0</v>
      </c>
      <c r="L3710" t="n">
        <v>0</v>
      </c>
      <c r="M3710" t="n">
        <v>0</v>
      </c>
      <c r="N3710" t="n">
        <v>0</v>
      </c>
      <c r="O3710" t="n">
        <v>0</v>
      </c>
      <c r="P3710" t="n">
        <v>0</v>
      </c>
      <c r="Q3710" t="n">
        <v>0</v>
      </c>
      <c r="R3710" s="2" t="inlineStr"/>
    </row>
    <row r="3711" ht="15" customHeight="1">
      <c r="A3711" t="inlineStr">
        <is>
          <t>A 63494-2020</t>
        </is>
      </c>
      <c r="B3711" s="1" t="n">
        <v>44161</v>
      </c>
      <c r="C3711" s="1" t="n">
        <v>45810</v>
      </c>
      <c r="D3711" t="inlineStr">
        <is>
          <t>VÄRMLANDS LÄN</t>
        </is>
      </c>
      <c r="E3711" t="inlineStr">
        <is>
          <t>SÄFFLE</t>
        </is>
      </c>
      <c r="G3711" t="n">
        <v>2.3</v>
      </c>
      <c r="H3711" t="n">
        <v>0</v>
      </c>
      <c r="I3711" t="n">
        <v>0</v>
      </c>
      <c r="J3711" t="n">
        <v>0</v>
      </c>
      <c r="K3711" t="n">
        <v>0</v>
      </c>
      <c r="L3711" t="n">
        <v>0</v>
      </c>
      <c r="M3711" t="n">
        <v>0</v>
      </c>
      <c r="N3711" t="n">
        <v>0</v>
      </c>
      <c r="O3711" t="n">
        <v>0</v>
      </c>
      <c r="P3711" t="n">
        <v>0</v>
      </c>
      <c r="Q3711" t="n">
        <v>0</v>
      </c>
      <c r="R3711" s="2" t="inlineStr"/>
    </row>
    <row r="3712" ht="15" customHeight="1">
      <c r="A3712" t="inlineStr">
        <is>
          <t>A 62915-2020</t>
        </is>
      </c>
      <c r="B3712" s="1" t="n">
        <v>44162</v>
      </c>
      <c r="C3712" s="1" t="n">
        <v>45810</v>
      </c>
      <c r="D3712" t="inlineStr">
        <is>
          <t>VÄRMLANDS LÄN</t>
        </is>
      </c>
      <c r="E3712" t="inlineStr">
        <is>
          <t>TORSBY</t>
        </is>
      </c>
      <c r="G3712" t="n">
        <v>4.6</v>
      </c>
      <c r="H3712" t="n">
        <v>0</v>
      </c>
      <c r="I3712" t="n">
        <v>0</v>
      </c>
      <c r="J3712" t="n">
        <v>0</v>
      </c>
      <c r="K3712" t="n">
        <v>0</v>
      </c>
      <c r="L3712" t="n">
        <v>0</v>
      </c>
      <c r="M3712" t="n">
        <v>0</v>
      </c>
      <c r="N3712" t="n">
        <v>0</v>
      </c>
      <c r="O3712" t="n">
        <v>0</v>
      </c>
      <c r="P3712" t="n">
        <v>0</v>
      </c>
      <c r="Q3712" t="n">
        <v>0</v>
      </c>
      <c r="R3712" s="2" t="inlineStr"/>
    </row>
    <row r="3713" ht="15" customHeight="1">
      <c r="A3713" t="inlineStr">
        <is>
          <t>A 62981-2020</t>
        </is>
      </c>
      <c r="B3713" s="1" t="n">
        <v>44162</v>
      </c>
      <c r="C3713" s="1" t="n">
        <v>45810</v>
      </c>
      <c r="D3713" t="inlineStr">
        <is>
          <t>VÄRMLANDS LÄN</t>
        </is>
      </c>
      <c r="E3713" t="inlineStr">
        <is>
          <t>EDA</t>
        </is>
      </c>
      <c r="G3713" t="n">
        <v>3.5</v>
      </c>
      <c r="H3713" t="n">
        <v>0</v>
      </c>
      <c r="I3713" t="n">
        <v>0</v>
      </c>
      <c r="J3713" t="n">
        <v>0</v>
      </c>
      <c r="K3713" t="n">
        <v>0</v>
      </c>
      <c r="L3713" t="n">
        <v>0</v>
      </c>
      <c r="M3713" t="n">
        <v>0</v>
      </c>
      <c r="N3713" t="n">
        <v>0</v>
      </c>
      <c r="O3713" t="n">
        <v>0</v>
      </c>
      <c r="P3713" t="n">
        <v>0</v>
      </c>
      <c r="Q3713" t="n">
        <v>0</v>
      </c>
      <c r="R3713" s="2" t="inlineStr"/>
    </row>
    <row r="3714" ht="15" customHeight="1">
      <c r="A3714" t="inlineStr">
        <is>
          <t>A 63117-2020</t>
        </is>
      </c>
      <c r="B3714" s="1" t="n">
        <v>44162</v>
      </c>
      <c r="C3714" s="1" t="n">
        <v>45810</v>
      </c>
      <c r="D3714" t="inlineStr">
        <is>
          <t>VÄRMLANDS LÄN</t>
        </is>
      </c>
      <c r="E3714" t="inlineStr">
        <is>
          <t>SUNNE</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63224-2020</t>
        </is>
      </c>
      <c r="B3715" s="1" t="n">
        <v>44163</v>
      </c>
      <c r="C3715" s="1" t="n">
        <v>45810</v>
      </c>
      <c r="D3715" t="inlineStr">
        <is>
          <t>VÄRMLANDS LÄN</t>
        </is>
      </c>
      <c r="E3715" t="inlineStr">
        <is>
          <t>FILIPSTAD</t>
        </is>
      </c>
      <c r="G3715" t="n">
        <v>9.9</v>
      </c>
      <c r="H3715" t="n">
        <v>0</v>
      </c>
      <c r="I3715" t="n">
        <v>0</v>
      </c>
      <c r="J3715" t="n">
        <v>0</v>
      </c>
      <c r="K3715" t="n">
        <v>0</v>
      </c>
      <c r="L3715" t="n">
        <v>0</v>
      </c>
      <c r="M3715" t="n">
        <v>0</v>
      </c>
      <c r="N3715" t="n">
        <v>0</v>
      </c>
      <c r="O3715" t="n">
        <v>0</v>
      </c>
      <c r="P3715" t="n">
        <v>0</v>
      </c>
      <c r="Q3715" t="n">
        <v>0</v>
      </c>
      <c r="R3715" s="2" t="inlineStr"/>
    </row>
    <row r="3716" ht="15" customHeight="1">
      <c r="A3716" t="inlineStr">
        <is>
          <t>A 63383-2020</t>
        </is>
      </c>
      <c r="B3716" s="1" t="n">
        <v>44165</v>
      </c>
      <c r="C3716" s="1" t="n">
        <v>45810</v>
      </c>
      <c r="D3716" t="inlineStr">
        <is>
          <t>VÄRMLANDS LÄN</t>
        </is>
      </c>
      <c r="E3716" t="inlineStr">
        <is>
          <t>ÅRJÄNG</t>
        </is>
      </c>
      <c r="G3716" t="n">
        <v>2.7</v>
      </c>
      <c r="H3716" t="n">
        <v>0</v>
      </c>
      <c r="I3716" t="n">
        <v>0</v>
      </c>
      <c r="J3716" t="n">
        <v>0</v>
      </c>
      <c r="K3716" t="n">
        <v>0</v>
      </c>
      <c r="L3716" t="n">
        <v>0</v>
      </c>
      <c r="M3716" t="n">
        <v>0</v>
      </c>
      <c r="N3716" t="n">
        <v>0</v>
      </c>
      <c r="O3716" t="n">
        <v>0</v>
      </c>
      <c r="P3716" t="n">
        <v>0</v>
      </c>
      <c r="Q3716" t="n">
        <v>0</v>
      </c>
      <c r="R3716" s="2" t="inlineStr"/>
    </row>
    <row r="3717" ht="15" customHeight="1">
      <c r="A3717" t="inlineStr">
        <is>
          <t>A 63393-2020</t>
        </is>
      </c>
      <c r="B3717" s="1" t="n">
        <v>44165</v>
      </c>
      <c r="C3717" s="1" t="n">
        <v>45810</v>
      </c>
      <c r="D3717" t="inlineStr">
        <is>
          <t>VÄRMLANDS LÄN</t>
        </is>
      </c>
      <c r="E3717" t="inlineStr">
        <is>
          <t>ÅRJÄNG</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63415-2020</t>
        </is>
      </c>
      <c r="B3718" s="1" t="n">
        <v>44165</v>
      </c>
      <c r="C3718" s="1" t="n">
        <v>45810</v>
      </c>
      <c r="D3718" t="inlineStr">
        <is>
          <t>VÄRMLANDS LÄN</t>
        </is>
      </c>
      <c r="E3718" t="inlineStr">
        <is>
          <t>ÅRJÄNG</t>
        </is>
      </c>
      <c r="G3718" t="n">
        <v>4.9</v>
      </c>
      <c r="H3718" t="n">
        <v>0</v>
      </c>
      <c r="I3718" t="n">
        <v>0</v>
      </c>
      <c r="J3718" t="n">
        <v>0</v>
      </c>
      <c r="K3718" t="n">
        <v>0</v>
      </c>
      <c r="L3718" t="n">
        <v>0</v>
      </c>
      <c r="M3718" t="n">
        <v>0</v>
      </c>
      <c r="N3718" t="n">
        <v>0</v>
      </c>
      <c r="O3718" t="n">
        <v>0</v>
      </c>
      <c r="P3718" t="n">
        <v>0</v>
      </c>
      <c r="Q3718" t="n">
        <v>0</v>
      </c>
      <c r="R3718" s="2" t="inlineStr"/>
    </row>
    <row r="3719" ht="15" customHeight="1">
      <c r="A3719" t="inlineStr">
        <is>
          <t>A 63471-2020</t>
        </is>
      </c>
      <c r="B3719" s="1" t="n">
        <v>44165</v>
      </c>
      <c r="C3719" s="1" t="n">
        <v>45810</v>
      </c>
      <c r="D3719" t="inlineStr">
        <is>
          <t>VÄRMLANDS LÄN</t>
        </is>
      </c>
      <c r="E3719" t="inlineStr">
        <is>
          <t>SUNNE</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63486-2020</t>
        </is>
      </c>
      <c r="B3720" s="1" t="n">
        <v>44165</v>
      </c>
      <c r="C3720" s="1" t="n">
        <v>45810</v>
      </c>
      <c r="D3720" t="inlineStr">
        <is>
          <t>VÄRMLANDS LÄN</t>
        </is>
      </c>
      <c r="E3720" t="inlineStr">
        <is>
          <t>KARLSTAD</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63536-2020</t>
        </is>
      </c>
      <c r="B3721" s="1" t="n">
        <v>44165</v>
      </c>
      <c r="C3721" s="1" t="n">
        <v>45810</v>
      </c>
      <c r="D3721" t="inlineStr">
        <is>
          <t>VÄRMLANDS LÄN</t>
        </is>
      </c>
      <c r="E3721" t="inlineStr">
        <is>
          <t>ARVIKA</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63565-2020</t>
        </is>
      </c>
      <c r="B3722" s="1" t="n">
        <v>44165</v>
      </c>
      <c r="C3722" s="1" t="n">
        <v>45810</v>
      </c>
      <c r="D3722" t="inlineStr">
        <is>
          <t>VÄRMLANDS LÄN</t>
        </is>
      </c>
      <c r="E3722" t="inlineStr">
        <is>
          <t>TORSBY</t>
        </is>
      </c>
      <c r="G3722" t="n">
        <v>10.3</v>
      </c>
      <c r="H3722" t="n">
        <v>0</v>
      </c>
      <c r="I3722" t="n">
        <v>0</v>
      </c>
      <c r="J3722" t="n">
        <v>0</v>
      </c>
      <c r="K3722" t="n">
        <v>0</v>
      </c>
      <c r="L3722" t="n">
        <v>0</v>
      </c>
      <c r="M3722" t="n">
        <v>0</v>
      </c>
      <c r="N3722" t="n">
        <v>0</v>
      </c>
      <c r="O3722" t="n">
        <v>0</v>
      </c>
      <c r="P3722" t="n">
        <v>0</v>
      </c>
      <c r="Q3722" t="n">
        <v>0</v>
      </c>
      <c r="R3722" s="2" t="inlineStr"/>
    </row>
    <row r="3723" ht="15" customHeight="1">
      <c r="A3723" t="inlineStr">
        <is>
          <t>A 63669-2020</t>
        </is>
      </c>
      <c r="B3723" s="1" t="n">
        <v>44166</v>
      </c>
      <c r="C3723" s="1" t="n">
        <v>45810</v>
      </c>
      <c r="D3723" t="inlineStr">
        <is>
          <t>VÄRMLANDS LÄN</t>
        </is>
      </c>
      <c r="E3723" t="inlineStr">
        <is>
          <t>SUNNE</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63720-2020</t>
        </is>
      </c>
      <c r="B3724" s="1" t="n">
        <v>44166</v>
      </c>
      <c r="C3724" s="1" t="n">
        <v>45810</v>
      </c>
      <c r="D3724" t="inlineStr">
        <is>
          <t>VÄRMLANDS LÄN</t>
        </is>
      </c>
      <c r="E3724" t="inlineStr">
        <is>
          <t>ARVIKA</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63652-2020</t>
        </is>
      </c>
      <c r="B3725" s="1" t="n">
        <v>44166</v>
      </c>
      <c r="C3725" s="1" t="n">
        <v>45810</v>
      </c>
      <c r="D3725" t="inlineStr">
        <is>
          <t>VÄRMLANDS LÄN</t>
        </is>
      </c>
      <c r="E3725" t="inlineStr">
        <is>
          <t>EDA</t>
        </is>
      </c>
      <c r="G3725" t="n">
        <v>5.8</v>
      </c>
      <c r="H3725" t="n">
        <v>0</v>
      </c>
      <c r="I3725" t="n">
        <v>0</v>
      </c>
      <c r="J3725" t="n">
        <v>0</v>
      </c>
      <c r="K3725" t="n">
        <v>0</v>
      </c>
      <c r="L3725" t="n">
        <v>0</v>
      </c>
      <c r="M3725" t="n">
        <v>0</v>
      </c>
      <c r="N3725" t="n">
        <v>0</v>
      </c>
      <c r="O3725" t="n">
        <v>0</v>
      </c>
      <c r="P3725" t="n">
        <v>0</v>
      </c>
      <c r="Q3725" t="n">
        <v>0</v>
      </c>
      <c r="R3725" s="2" t="inlineStr"/>
    </row>
    <row r="3726" ht="15" customHeight="1">
      <c r="A3726" t="inlineStr">
        <is>
          <t>A 63859-2020</t>
        </is>
      </c>
      <c r="B3726" s="1" t="n">
        <v>44166</v>
      </c>
      <c r="C3726" s="1" t="n">
        <v>45810</v>
      </c>
      <c r="D3726" t="inlineStr">
        <is>
          <t>VÄRMLANDS LÄN</t>
        </is>
      </c>
      <c r="E3726" t="inlineStr">
        <is>
          <t>EDA</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63675-2020</t>
        </is>
      </c>
      <c r="B3727" s="1" t="n">
        <v>44166</v>
      </c>
      <c r="C3727" s="1" t="n">
        <v>45810</v>
      </c>
      <c r="D3727" t="inlineStr">
        <is>
          <t>VÄRMLANDS LÄN</t>
        </is>
      </c>
      <c r="E3727" t="inlineStr">
        <is>
          <t>EDA</t>
        </is>
      </c>
      <c r="G3727" t="n">
        <v>8.6</v>
      </c>
      <c r="H3727" t="n">
        <v>0</v>
      </c>
      <c r="I3727" t="n">
        <v>0</v>
      </c>
      <c r="J3727" t="n">
        <v>0</v>
      </c>
      <c r="K3727" t="n">
        <v>0</v>
      </c>
      <c r="L3727" t="n">
        <v>0</v>
      </c>
      <c r="M3727" t="n">
        <v>0</v>
      </c>
      <c r="N3727" t="n">
        <v>0</v>
      </c>
      <c r="O3727" t="n">
        <v>0</v>
      </c>
      <c r="P3727" t="n">
        <v>0</v>
      </c>
      <c r="Q3727" t="n">
        <v>0</v>
      </c>
      <c r="R3727" s="2" t="inlineStr"/>
    </row>
    <row r="3728" ht="15" customHeight="1">
      <c r="A3728" t="inlineStr">
        <is>
          <t>A 64684-2020</t>
        </is>
      </c>
      <c r="B3728" s="1" t="n">
        <v>44166</v>
      </c>
      <c r="C3728" s="1" t="n">
        <v>45810</v>
      </c>
      <c r="D3728" t="inlineStr">
        <is>
          <t>VÄRMLANDS LÄN</t>
        </is>
      </c>
      <c r="E3728" t="inlineStr">
        <is>
          <t>SUNNE</t>
        </is>
      </c>
      <c r="G3728" t="n">
        <v>10.8</v>
      </c>
      <c r="H3728" t="n">
        <v>0</v>
      </c>
      <c r="I3728" t="n">
        <v>0</v>
      </c>
      <c r="J3728" t="n">
        <v>0</v>
      </c>
      <c r="K3728" t="n">
        <v>0</v>
      </c>
      <c r="L3728" t="n">
        <v>0</v>
      </c>
      <c r="M3728" t="n">
        <v>0</v>
      </c>
      <c r="N3728" t="n">
        <v>0</v>
      </c>
      <c r="O3728" t="n">
        <v>0</v>
      </c>
      <c r="P3728" t="n">
        <v>0</v>
      </c>
      <c r="Q3728" t="n">
        <v>0</v>
      </c>
      <c r="R3728" s="2" t="inlineStr"/>
    </row>
    <row r="3729" ht="15" customHeight="1">
      <c r="A3729" t="inlineStr">
        <is>
          <t>A 63957-2020</t>
        </is>
      </c>
      <c r="B3729" s="1" t="n">
        <v>44167</v>
      </c>
      <c r="C3729" s="1" t="n">
        <v>45810</v>
      </c>
      <c r="D3729" t="inlineStr">
        <is>
          <t>VÄRMLANDS LÄN</t>
        </is>
      </c>
      <c r="E3729" t="inlineStr">
        <is>
          <t>HAGFORS</t>
        </is>
      </c>
      <c r="F3729" t="inlineStr">
        <is>
          <t>Bergvik skog väst AB</t>
        </is>
      </c>
      <c r="G3729" t="n">
        <v>25.9</v>
      </c>
      <c r="H3729" t="n">
        <v>0</v>
      </c>
      <c r="I3729" t="n">
        <v>0</v>
      </c>
      <c r="J3729" t="n">
        <v>0</v>
      </c>
      <c r="K3729" t="n">
        <v>0</v>
      </c>
      <c r="L3729" t="n">
        <v>0</v>
      </c>
      <c r="M3729" t="n">
        <v>0</v>
      </c>
      <c r="N3729" t="n">
        <v>0</v>
      </c>
      <c r="O3729" t="n">
        <v>0</v>
      </c>
      <c r="P3729" t="n">
        <v>0</v>
      </c>
      <c r="Q3729" t="n">
        <v>0</v>
      </c>
      <c r="R3729" s="2" t="inlineStr"/>
    </row>
    <row r="3730" ht="15" customHeight="1">
      <c r="A3730" t="inlineStr">
        <is>
          <t>A 63935-2020</t>
        </is>
      </c>
      <c r="B3730" s="1" t="n">
        <v>44167</v>
      </c>
      <c r="C3730" s="1" t="n">
        <v>45810</v>
      </c>
      <c r="D3730" t="inlineStr">
        <is>
          <t>VÄRMLANDS LÄN</t>
        </is>
      </c>
      <c r="E3730" t="inlineStr">
        <is>
          <t>HAGFORS</t>
        </is>
      </c>
      <c r="F3730" t="inlineStr">
        <is>
          <t>Bergvik skog väst AB</t>
        </is>
      </c>
      <c r="G3730" t="n">
        <v>3.4</v>
      </c>
      <c r="H3730" t="n">
        <v>0</v>
      </c>
      <c r="I3730" t="n">
        <v>0</v>
      </c>
      <c r="J3730" t="n">
        <v>0</v>
      </c>
      <c r="K3730" t="n">
        <v>0</v>
      </c>
      <c r="L3730" t="n">
        <v>0</v>
      </c>
      <c r="M3730" t="n">
        <v>0</v>
      </c>
      <c r="N3730" t="n">
        <v>0</v>
      </c>
      <c r="O3730" t="n">
        <v>0</v>
      </c>
      <c r="P3730" t="n">
        <v>0</v>
      </c>
      <c r="Q3730" t="n">
        <v>0</v>
      </c>
      <c r="R3730" s="2" t="inlineStr"/>
    </row>
    <row r="3731" ht="15" customHeight="1">
      <c r="A3731" t="inlineStr">
        <is>
          <t>A 63976-2020</t>
        </is>
      </c>
      <c r="B3731" s="1" t="n">
        <v>44167</v>
      </c>
      <c r="C3731" s="1" t="n">
        <v>45810</v>
      </c>
      <c r="D3731" t="inlineStr">
        <is>
          <t>VÄRMLANDS LÄN</t>
        </is>
      </c>
      <c r="E3731" t="inlineStr">
        <is>
          <t>HAGFORS</t>
        </is>
      </c>
      <c r="F3731" t="inlineStr">
        <is>
          <t>Bergvik skog väst AB</t>
        </is>
      </c>
      <c r="G3731" t="n">
        <v>3.8</v>
      </c>
      <c r="H3731" t="n">
        <v>0</v>
      </c>
      <c r="I3731" t="n">
        <v>0</v>
      </c>
      <c r="J3731" t="n">
        <v>0</v>
      </c>
      <c r="K3731" t="n">
        <v>0</v>
      </c>
      <c r="L3731" t="n">
        <v>0</v>
      </c>
      <c r="M3731" t="n">
        <v>0</v>
      </c>
      <c r="N3731" t="n">
        <v>0</v>
      </c>
      <c r="O3731" t="n">
        <v>0</v>
      </c>
      <c r="P3731" t="n">
        <v>0</v>
      </c>
      <c r="Q3731" t="n">
        <v>0</v>
      </c>
      <c r="R3731" s="2" t="inlineStr"/>
    </row>
    <row r="3732" ht="15" customHeight="1">
      <c r="A3732" t="inlineStr">
        <is>
          <t>A 64025-2020</t>
        </is>
      </c>
      <c r="B3732" s="1" t="n">
        <v>44167</v>
      </c>
      <c r="C3732" s="1" t="n">
        <v>45810</v>
      </c>
      <c r="D3732" t="inlineStr">
        <is>
          <t>VÄRMLANDS LÄN</t>
        </is>
      </c>
      <c r="E3732" t="inlineStr">
        <is>
          <t>FILIPSTAD</t>
        </is>
      </c>
      <c r="F3732" t="inlineStr">
        <is>
          <t>Bergvik skog väst AB</t>
        </is>
      </c>
      <c r="G3732" t="n">
        <v>5.1</v>
      </c>
      <c r="H3732" t="n">
        <v>0</v>
      </c>
      <c r="I3732" t="n">
        <v>0</v>
      </c>
      <c r="J3732" t="n">
        <v>0</v>
      </c>
      <c r="K3732" t="n">
        <v>0</v>
      </c>
      <c r="L3732" t="n">
        <v>0</v>
      </c>
      <c r="M3732" t="n">
        <v>0</v>
      </c>
      <c r="N3732" t="n">
        <v>0</v>
      </c>
      <c r="O3732" t="n">
        <v>0</v>
      </c>
      <c r="P3732" t="n">
        <v>0</v>
      </c>
      <c r="Q3732" t="n">
        <v>0</v>
      </c>
      <c r="R3732" s="2" t="inlineStr"/>
    </row>
    <row r="3733" ht="15" customHeight="1">
      <c r="A3733" t="inlineStr">
        <is>
          <t>A 64318-2020</t>
        </is>
      </c>
      <c r="B3733" s="1" t="n">
        <v>44168</v>
      </c>
      <c r="C3733" s="1" t="n">
        <v>45810</v>
      </c>
      <c r="D3733" t="inlineStr">
        <is>
          <t>VÄRMLANDS LÄN</t>
        </is>
      </c>
      <c r="E3733" t="inlineStr">
        <is>
          <t>ÅRJÄNG</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64271-2020</t>
        </is>
      </c>
      <c r="B3734" s="1" t="n">
        <v>44168</v>
      </c>
      <c r="C3734" s="1" t="n">
        <v>45810</v>
      </c>
      <c r="D3734" t="inlineStr">
        <is>
          <t>VÄRMLANDS LÄN</t>
        </is>
      </c>
      <c r="E3734" t="inlineStr">
        <is>
          <t>ÅRJÄNG</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64332-2020</t>
        </is>
      </c>
      <c r="B3735" s="1" t="n">
        <v>44168</v>
      </c>
      <c r="C3735" s="1" t="n">
        <v>45810</v>
      </c>
      <c r="D3735" t="inlineStr">
        <is>
          <t>VÄRMLANDS LÄN</t>
        </is>
      </c>
      <c r="E3735" t="inlineStr">
        <is>
          <t>SÄFFLE</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64216-2020</t>
        </is>
      </c>
      <c r="B3736" s="1" t="n">
        <v>44168</v>
      </c>
      <c r="C3736" s="1" t="n">
        <v>45810</v>
      </c>
      <c r="D3736" t="inlineStr">
        <is>
          <t>VÄRMLANDS LÄN</t>
        </is>
      </c>
      <c r="E3736" t="inlineStr">
        <is>
          <t>ÅRJÄNG</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64396-2020</t>
        </is>
      </c>
      <c r="B3737" s="1" t="n">
        <v>44168</v>
      </c>
      <c r="C3737" s="1" t="n">
        <v>45810</v>
      </c>
      <c r="D3737" t="inlineStr">
        <is>
          <t>VÄRMLANDS LÄN</t>
        </is>
      </c>
      <c r="E3737" t="inlineStr">
        <is>
          <t>TORSBY</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64411-2020</t>
        </is>
      </c>
      <c r="B3738" s="1" t="n">
        <v>44168</v>
      </c>
      <c r="C3738" s="1" t="n">
        <v>45810</v>
      </c>
      <c r="D3738" t="inlineStr">
        <is>
          <t>VÄRMLANDS LÄN</t>
        </is>
      </c>
      <c r="E3738" t="inlineStr">
        <is>
          <t>SUNNE</t>
        </is>
      </c>
      <c r="F3738" t="inlineStr">
        <is>
          <t>Övriga Aktiebolag</t>
        </is>
      </c>
      <c r="G3738" t="n">
        <v>10.1</v>
      </c>
      <c r="H3738" t="n">
        <v>0</v>
      </c>
      <c r="I3738" t="n">
        <v>0</v>
      </c>
      <c r="J3738" t="n">
        <v>0</v>
      </c>
      <c r="K3738" t="n">
        <v>0</v>
      </c>
      <c r="L3738" t="n">
        <v>0</v>
      </c>
      <c r="M3738" t="n">
        <v>0</v>
      </c>
      <c r="N3738" t="n">
        <v>0</v>
      </c>
      <c r="O3738" t="n">
        <v>0</v>
      </c>
      <c r="P3738" t="n">
        <v>0</v>
      </c>
      <c r="Q3738" t="n">
        <v>0</v>
      </c>
      <c r="R3738" s="2" t="inlineStr"/>
    </row>
    <row r="3739" ht="15" customHeight="1">
      <c r="A3739" t="inlineStr">
        <is>
          <t>A 64434-2020</t>
        </is>
      </c>
      <c r="B3739" s="1" t="n">
        <v>44168</v>
      </c>
      <c r="C3739" s="1" t="n">
        <v>45810</v>
      </c>
      <c r="D3739" t="inlineStr">
        <is>
          <t>VÄRMLANDS LÄN</t>
        </is>
      </c>
      <c r="E3739" t="inlineStr">
        <is>
          <t>TORSBY</t>
        </is>
      </c>
      <c r="G3739" t="n">
        <v>7.7</v>
      </c>
      <c r="H3739" t="n">
        <v>0</v>
      </c>
      <c r="I3739" t="n">
        <v>0</v>
      </c>
      <c r="J3739" t="n">
        <v>0</v>
      </c>
      <c r="K3739" t="n">
        <v>0</v>
      </c>
      <c r="L3739" t="n">
        <v>0</v>
      </c>
      <c r="M3739" t="n">
        <v>0</v>
      </c>
      <c r="N3739" t="n">
        <v>0</v>
      </c>
      <c r="O3739" t="n">
        <v>0</v>
      </c>
      <c r="P3739" t="n">
        <v>0</v>
      </c>
      <c r="Q3739" t="n">
        <v>0</v>
      </c>
      <c r="R3739" s="2" t="inlineStr"/>
    </row>
    <row r="3740" ht="15" customHeight="1">
      <c r="A3740" t="inlineStr">
        <is>
          <t>A 65120-2020</t>
        </is>
      </c>
      <c r="B3740" s="1" t="n">
        <v>44168</v>
      </c>
      <c r="C3740" s="1" t="n">
        <v>45810</v>
      </c>
      <c r="D3740" t="inlineStr">
        <is>
          <t>VÄRMLANDS LÄN</t>
        </is>
      </c>
      <c r="E3740" t="inlineStr">
        <is>
          <t>KRISTINEHAMN</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64756-2020</t>
        </is>
      </c>
      <c r="B3741" s="1" t="n">
        <v>44169</v>
      </c>
      <c r="C3741" s="1" t="n">
        <v>45810</v>
      </c>
      <c r="D3741" t="inlineStr">
        <is>
          <t>VÄRMLANDS LÄN</t>
        </is>
      </c>
      <c r="E3741" t="inlineStr">
        <is>
          <t>FILIPSTAD</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64622-2020</t>
        </is>
      </c>
      <c r="B3742" s="1" t="n">
        <v>44169</v>
      </c>
      <c r="C3742" s="1" t="n">
        <v>45810</v>
      </c>
      <c r="D3742" t="inlineStr">
        <is>
          <t>VÄRMLANDS LÄN</t>
        </is>
      </c>
      <c r="E3742" t="inlineStr">
        <is>
          <t>FILIPSTAD</t>
        </is>
      </c>
      <c r="F3742" t="inlineStr">
        <is>
          <t>Bergvik skog väst AB</t>
        </is>
      </c>
      <c r="G3742" t="n">
        <v>3.2</v>
      </c>
      <c r="H3742" t="n">
        <v>0</v>
      </c>
      <c r="I3742" t="n">
        <v>0</v>
      </c>
      <c r="J3742" t="n">
        <v>0</v>
      </c>
      <c r="K3742" t="n">
        <v>0</v>
      </c>
      <c r="L3742" t="n">
        <v>0</v>
      </c>
      <c r="M3742" t="n">
        <v>0</v>
      </c>
      <c r="N3742" t="n">
        <v>0</v>
      </c>
      <c r="O3742" t="n">
        <v>0</v>
      </c>
      <c r="P3742" t="n">
        <v>0</v>
      </c>
      <c r="Q3742" t="n">
        <v>0</v>
      </c>
      <c r="R3742" s="2" t="inlineStr"/>
    </row>
    <row r="3743" ht="15" customHeight="1">
      <c r="A3743" t="inlineStr">
        <is>
          <t>A 64787-2020</t>
        </is>
      </c>
      <c r="B3743" s="1" t="n">
        <v>44169</v>
      </c>
      <c r="C3743" s="1" t="n">
        <v>45810</v>
      </c>
      <c r="D3743" t="inlineStr">
        <is>
          <t>VÄRMLANDS LÄN</t>
        </is>
      </c>
      <c r="E3743" t="inlineStr">
        <is>
          <t>FILIPSTAD</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64786-2020</t>
        </is>
      </c>
      <c r="B3744" s="1" t="n">
        <v>44169</v>
      </c>
      <c r="C3744" s="1" t="n">
        <v>45810</v>
      </c>
      <c r="D3744" t="inlineStr">
        <is>
          <t>VÄRMLANDS LÄN</t>
        </is>
      </c>
      <c r="E3744" t="inlineStr">
        <is>
          <t>FILIPSTAD</t>
        </is>
      </c>
      <c r="G3744" t="n">
        <v>9.9</v>
      </c>
      <c r="H3744" t="n">
        <v>0</v>
      </c>
      <c r="I3744" t="n">
        <v>0</v>
      </c>
      <c r="J3744" t="n">
        <v>0</v>
      </c>
      <c r="K3744" t="n">
        <v>0</v>
      </c>
      <c r="L3744" t="n">
        <v>0</v>
      </c>
      <c r="M3744" t="n">
        <v>0</v>
      </c>
      <c r="N3744" t="n">
        <v>0</v>
      </c>
      <c r="O3744" t="n">
        <v>0</v>
      </c>
      <c r="P3744" t="n">
        <v>0</v>
      </c>
      <c r="Q3744" t="n">
        <v>0</v>
      </c>
      <c r="R3744" s="2" t="inlineStr"/>
    </row>
    <row r="3745" ht="15" customHeight="1">
      <c r="A3745" t="inlineStr">
        <is>
          <t>A 64792-2020</t>
        </is>
      </c>
      <c r="B3745" s="1" t="n">
        <v>44169</v>
      </c>
      <c r="C3745" s="1" t="n">
        <v>45810</v>
      </c>
      <c r="D3745" t="inlineStr">
        <is>
          <t>VÄRMLANDS LÄN</t>
        </is>
      </c>
      <c r="E3745" t="inlineStr">
        <is>
          <t>EDA</t>
        </is>
      </c>
      <c r="G3745" t="n">
        <v>12.1</v>
      </c>
      <c r="H3745" t="n">
        <v>0</v>
      </c>
      <c r="I3745" t="n">
        <v>0</v>
      </c>
      <c r="J3745" t="n">
        <v>0</v>
      </c>
      <c r="K3745" t="n">
        <v>0</v>
      </c>
      <c r="L3745" t="n">
        <v>0</v>
      </c>
      <c r="M3745" t="n">
        <v>0</v>
      </c>
      <c r="N3745" t="n">
        <v>0</v>
      </c>
      <c r="O3745" t="n">
        <v>0</v>
      </c>
      <c r="P3745" t="n">
        <v>0</v>
      </c>
      <c r="Q3745" t="n">
        <v>0</v>
      </c>
      <c r="R3745" s="2" t="inlineStr"/>
    </row>
    <row r="3746" ht="15" customHeight="1">
      <c r="A3746" t="inlineStr">
        <is>
          <t>A 64754-2020</t>
        </is>
      </c>
      <c r="B3746" s="1" t="n">
        <v>44169</v>
      </c>
      <c r="C3746" s="1" t="n">
        <v>45810</v>
      </c>
      <c r="D3746" t="inlineStr">
        <is>
          <t>VÄRMLANDS LÄN</t>
        </is>
      </c>
      <c r="E3746" t="inlineStr">
        <is>
          <t>FILIPSTAD</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64776-2020</t>
        </is>
      </c>
      <c r="B3747" s="1" t="n">
        <v>44169</v>
      </c>
      <c r="C3747" s="1" t="n">
        <v>45810</v>
      </c>
      <c r="D3747" t="inlineStr">
        <is>
          <t>VÄRMLANDS LÄN</t>
        </is>
      </c>
      <c r="E3747" t="inlineStr">
        <is>
          <t>FILIPSTAD</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65369-2020</t>
        </is>
      </c>
      <c r="B3748" s="1" t="n">
        <v>44169</v>
      </c>
      <c r="C3748" s="1" t="n">
        <v>45810</v>
      </c>
      <c r="D3748" t="inlineStr">
        <is>
          <t>VÄRMLANDS LÄN</t>
        </is>
      </c>
      <c r="E3748" t="inlineStr">
        <is>
          <t>TORSBY</t>
        </is>
      </c>
      <c r="G3748" t="n">
        <v>32.5</v>
      </c>
      <c r="H3748" t="n">
        <v>0</v>
      </c>
      <c r="I3748" t="n">
        <v>0</v>
      </c>
      <c r="J3748" t="n">
        <v>0</v>
      </c>
      <c r="K3748" t="n">
        <v>0</v>
      </c>
      <c r="L3748" t="n">
        <v>0</v>
      </c>
      <c r="M3748" t="n">
        <v>0</v>
      </c>
      <c r="N3748" t="n">
        <v>0</v>
      </c>
      <c r="O3748" t="n">
        <v>0</v>
      </c>
      <c r="P3748" t="n">
        <v>0</v>
      </c>
      <c r="Q3748" t="n">
        <v>0</v>
      </c>
      <c r="R3748" s="2" t="inlineStr"/>
    </row>
    <row r="3749" ht="15" customHeight="1">
      <c r="A3749" t="inlineStr">
        <is>
          <t>A 65482-2020</t>
        </is>
      </c>
      <c r="B3749" s="1" t="n">
        <v>44169</v>
      </c>
      <c r="C3749" s="1" t="n">
        <v>45810</v>
      </c>
      <c r="D3749" t="inlineStr">
        <is>
          <t>VÄRMLANDS LÄN</t>
        </is>
      </c>
      <c r="E3749" t="inlineStr">
        <is>
          <t>TORSBY</t>
        </is>
      </c>
      <c r="F3749" t="inlineStr">
        <is>
          <t>Kyrkan</t>
        </is>
      </c>
      <c r="G3749" t="n">
        <v>21.6</v>
      </c>
      <c r="H3749" t="n">
        <v>0</v>
      </c>
      <c r="I3749" t="n">
        <v>0</v>
      </c>
      <c r="J3749" t="n">
        <v>0</v>
      </c>
      <c r="K3749" t="n">
        <v>0</v>
      </c>
      <c r="L3749" t="n">
        <v>0</v>
      </c>
      <c r="M3749" t="n">
        <v>0</v>
      </c>
      <c r="N3749" t="n">
        <v>0</v>
      </c>
      <c r="O3749" t="n">
        <v>0</v>
      </c>
      <c r="P3749" t="n">
        <v>0</v>
      </c>
      <c r="Q3749" t="n">
        <v>0</v>
      </c>
      <c r="R3749" s="2" t="inlineStr"/>
    </row>
    <row r="3750" ht="15" customHeight="1">
      <c r="A3750" t="inlineStr">
        <is>
          <t>A 65353-2020</t>
        </is>
      </c>
      <c r="B3750" s="1" t="n">
        <v>44169</v>
      </c>
      <c r="C3750" s="1" t="n">
        <v>45810</v>
      </c>
      <c r="D3750" t="inlineStr">
        <is>
          <t>VÄRMLANDS LÄN</t>
        </is>
      </c>
      <c r="E3750" t="inlineStr">
        <is>
          <t>ARVIKA</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65398-2020</t>
        </is>
      </c>
      <c r="B3751" s="1" t="n">
        <v>44169</v>
      </c>
      <c r="C3751" s="1" t="n">
        <v>45810</v>
      </c>
      <c r="D3751" t="inlineStr">
        <is>
          <t>VÄRMLANDS LÄN</t>
        </is>
      </c>
      <c r="E3751" t="inlineStr">
        <is>
          <t>TORSBY</t>
        </is>
      </c>
      <c r="G3751" t="n">
        <v>3.6</v>
      </c>
      <c r="H3751" t="n">
        <v>0</v>
      </c>
      <c r="I3751" t="n">
        <v>0</v>
      </c>
      <c r="J3751" t="n">
        <v>0</v>
      </c>
      <c r="K3751" t="n">
        <v>0</v>
      </c>
      <c r="L3751" t="n">
        <v>0</v>
      </c>
      <c r="M3751" t="n">
        <v>0</v>
      </c>
      <c r="N3751" t="n">
        <v>0</v>
      </c>
      <c r="O3751" t="n">
        <v>0</v>
      </c>
      <c r="P3751" t="n">
        <v>0</v>
      </c>
      <c r="Q3751" t="n">
        <v>0</v>
      </c>
      <c r="R3751" s="2" t="inlineStr"/>
    </row>
    <row r="3752" ht="15" customHeight="1">
      <c r="A3752" t="inlineStr">
        <is>
          <t>A 64879-2020</t>
        </is>
      </c>
      <c r="B3752" s="1" t="n">
        <v>44171</v>
      </c>
      <c r="C3752" s="1" t="n">
        <v>45810</v>
      </c>
      <c r="D3752" t="inlineStr">
        <is>
          <t>VÄRMLANDS LÄN</t>
        </is>
      </c>
      <c r="E3752" t="inlineStr">
        <is>
          <t>GRUMS</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65171-2020</t>
        </is>
      </c>
      <c r="B3753" s="1" t="n">
        <v>44172</v>
      </c>
      <c r="C3753" s="1" t="n">
        <v>45810</v>
      </c>
      <c r="D3753" t="inlineStr">
        <is>
          <t>VÄRMLANDS LÄN</t>
        </is>
      </c>
      <c r="E3753" t="inlineStr">
        <is>
          <t>SUNNE</t>
        </is>
      </c>
      <c r="F3753" t="inlineStr">
        <is>
          <t>Övriga Aktiebolag</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65210-2020</t>
        </is>
      </c>
      <c r="B3754" s="1" t="n">
        <v>44172</v>
      </c>
      <c r="C3754" s="1" t="n">
        <v>45810</v>
      </c>
      <c r="D3754" t="inlineStr">
        <is>
          <t>VÄRMLANDS LÄN</t>
        </is>
      </c>
      <c r="E3754" t="inlineStr">
        <is>
          <t>SUNNE</t>
        </is>
      </c>
      <c r="F3754" t="inlineStr">
        <is>
          <t>Övriga Aktiebolag</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65169-2020</t>
        </is>
      </c>
      <c r="B3755" s="1" t="n">
        <v>44172</v>
      </c>
      <c r="C3755" s="1" t="n">
        <v>45810</v>
      </c>
      <c r="D3755" t="inlineStr">
        <is>
          <t>VÄRMLANDS LÄN</t>
        </is>
      </c>
      <c r="E3755" t="inlineStr">
        <is>
          <t>SUNNE</t>
        </is>
      </c>
      <c r="F3755" t="inlineStr">
        <is>
          <t>Övriga Aktiebolag</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65075-2020</t>
        </is>
      </c>
      <c r="B3756" s="1" t="n">
        <v>44172</v>
      </c>
      <c r="C3756" s="1" t="n">
        <v>45810</v>
      </c>
      <c r="D3756" t="inlineStr">
        <is>
          <t>VÄRMLANDS LÄN</t>
        </is>
      </c>
      <c r="E3756" t="inlineStr">
        <is>
          <t>ARVIKA</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65678-2020</t>
        </is>
      </c>
      <c r="B3757" s="1" t="n">
        <v>44172</v>
      </c>
      <c r="C3757" s="1" t="n">
        <v>45810</v>
      </c>
      <c r="D3757" t="inlineStr">
        <is>
          <t>VÄRMLANDS LÄN</t>
        </is>
      </c>
      <c r="E3757" t="inlineStr">
        <is>
          <t>TORSBY</t>
        </is>
      </c>
      <c r="G3757" t="n">
        <v>3.5</v>
      </c>
      <c r="H3757" t="n">
        <v>0</v>
      </c>
      <c r="I3757" t="n">
        <v>0</v>
      </c>
      <c r="J3757" t="n">
        <v>0</v>
      </c>
      <c r="K3757" t="n">
        <v>0</v>
      </c>
      <c r="L3757" t="n">
        <v>0</v>
      </c>
      <c r="M3757" t="n">
        <v>0</v>
      </c>
      <c r="N3757" t="n">
        <v>0</v>
      </c>
      <c r="O3757" t="n">
        <v>0</v>
      </c>
      <c r="P3757" t="n">
        <v>0</v>
      </c>
      <c r="Q3757" t="n">
        <v>0</v>
      </c>
      <c r="R3757" s="2" t="inlineStr"/>
    </row>
    <row r="3758" ht="15" customHeight="1">
      <c r="A3758" t="inlineStr">
        <is>
          <t>A 65314-2020</t>
        </is>
      </c>
      <c r="B3758" s="1" t="n">
        <v>44173</v>
      </c>
      <c r="C3758" s="1" t="n">
        <v>45810</v>
      </c>
      <c r="D3758" t="inlineStr">
        <is>
          <t>VÄRMLANDS LÄN</t>
        </is>
      </c>
      <c r="E3758" t="inlineStr">
        <is>
          <t>SUNNE</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65293-2020</t>
        </is>
      </c>
      <c r="B3759" s="1" t="n">
        <v>44173</v>
      </c>
      <c r="C3759" s="1" t="n">
        <v>45810</v>
      </c>
      <c r="D3759" t="inlineStr">
        <is>
          <t>VÄRMLANDS LÄN</t>
        </is>
      </c>
      <c r="E3759" t="inlineStr">
        <is>
          <t>FORSHAGA</t>
        </is>
      </c>
      <c r="F3759" t="inlineStr">
        <is>
          <t>Bergvik skog väst AB</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65613-2020</t>
        </is>
      </c>
      <c r="B3760" s="1" t="n">
        <v>44173</v>
      </c>
      <c r="C3760" s="1" t="n">
        <v>45810</v>
      </c>
      <c r="D3760" t="inlineStr">
        <is>
          <t>VÄRMLANDS LÄN</t>
        </is>
      </c>
      <c r="E3760" t="inlineStr">
        <is>
          <t>EDA</t>
        </is>
      </c>
      <c r="G3760" t="n">
        <v>3.2</v>
      </c>
      <c r="H3760" t="n">
        <v>0</v>
      </c>
      <c r="I3760" t="n">
        <v>0</v>
      </c>
      <c r="J3760" t="n">
        <v>0</v>
      </c>
      <c r="K3760" t="n">
        <v>0</v>
      </c>
      <c r="L3760" t="n">
        <v>0</v>
      </c>
      <c r="M3760" t="n">
        <v>0</v>
      </c>
      <c r="N3760" t="n">
        <v>0</v>
      </c>
      <c r="O3760" t="n">
        <v>0</v>
      </c>
      <c r="P3760" t="n">
        <v>0</v>
      </c>
      <c r="Q3760" t="n">
        <v>0</v>
      </c>
      <c r="R3760" s="2" t="inlineStr"/>
    </row>
    <row r="3761" ht="15" customHeight="1">
      <c r="A3761" t="inlineStr">
        <is>
          <t>A 65827-2020</t>
        </is>
      </c>
      <c r="B3761" s="1" t="n">
        <v>44173</v>
      </c>
      <c r="C3761" s="1" t="n">
        <v>45810</v>
      </c>
      <c r="D3761" t="inlineStr">
        <is>
          <t>VÄRMLANDS LÄN</t>
        </is>
      </c>
      <c r="E3761" t="inlineStr">
        <is>
          <t>TORSBY</t>
        </is>
      </c>
      <c r="G3761" t="n">
        <v>6.7</v>
      </c>
      <c r="H3761" t="n">
        <v>0</v>
      </c>
      <c r="I3761" t="n">
        <v>0</v>
      </c>
      <c r="J3761" t="n">
        <v>0</v>
      </c>
      <c r="K3761" t="n">
        <v>0</v>
      </c>
      <c r="L3761" t="n">
        <v>0</v>
      </c>
      <c r="M3761" t="n">
        <v>0</v>
      </c>
      <c r="N3761" t="n">
        <v>0</v>
      </c>
      <c r="O3761" t="n">
        <v>0</v>
      </c>
      <c r="P3761" t="n">
        <v>0</v>
      </c>
      <c r="Q3761" t="n">
        <v>0</v>
      </c>
      <c r="R3761" s="2" t="inlineStr"/>
    </row>
    <row r="3762" ht="15" customHeight="1">
      <c r="A3762" t="inlineStr">
        <is>
          <t>A 65818-2020</t>
        </is>
      </c>
      <c r="B3762" s="1" t="n">
        <v>44174</v>
      </c>
      <c r="C3762" s="1" t="n">
        <v>45810</v>
      </c>
      <c r="D3762" t="inlineStr">
        <is>
          <t>VÄRMLANDS LÄN</t>
        </is>
      </c>
      <c r="E3762" t="inlineStr">
        <is>
          <t>SUNNE</t>
        </is>
      </c>
      <c r="F3762" t="inlineStr">
        <is>
          <t>Övriga Aktiebolag</t>
        </is>
      </c>
      <c r="G3762" t="n">
        <v>4</v>
      </c>
      <c r="H3762" t="n">
        <v>0</v>
      </c>
      <c r="I3762" t="n">
        <v>0</v>
      </c>
      <c r="J3762" t="n">
        <v>0</v>
      </c>
      <c r="K3762" t="n">
        <v>0</v>
      </c>
      <c r="L3762" t="n">
        <v>0</v>
      </c>
      <c r="M3762" t="n">
        <v>0</v>
      </c>
      <c r="N3762" t="n">
        <v>0</v>
      </c>
      <c r="O3762" t="n">
        <v>0</v>
      </c>
      <c r="P3762" t="n">
        <v>0</v>
      </c>
      <c r="Q3762" t="n">
        <v>0</v>
      </c>
      <c r="R3762" s="2" t="inlineStr"/>
    </row>
    <row r="3763" ht="15" customHeight="1">
      <c r="A3763" t="inlineStr">
        <is>
          <t>A 65751-2020</t>
        </is>
      </c>
      <c r="B3763" s="1" t="n">
        <v>44174</v>
      </c>
      <c r="C3763" s="1" t="n">
        <v>45810</v>
      </c>
      <c r="D3763" t="inlineStr">
        <is>
          <t>VÄRMLANDS LÄN</t>
        </is>
      </c>
      <c r="E3763" t="inlineStr">
        <is>
          <t>ÅRJÄNG</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65773-2020</t>
        </is>
      </c>
      <c r="B3764" s="1" t="n">
        <v>44174</v>
      </c>
      <c r="C3764" s="1" t="n">
        <v>45810</v>
      </c>
      <c r="D3764" t="inlineStr">
        <is>
          <t>VÄRMLANDS LÄN</t>
        </is>
      </c>
      <c r="E3764" t="inlineStr">
        <is>
          <t>ÅRJÄNG</t>
        </is>
      </c>
      <c r="G3764" t="n">
        <v>0.4</v>
      </c>
      <c r="H3764" t="n">
        <v>0</v>
      </c>
      <c r="I3764" t="n">
        <v>0</v>
      </c>
      <c r="J3764" t="n">
        <v>0</v>
      </c>
      <c r="K3764" t="n">
        <v>0</v>
      </c>
      <c r="L3764" t="n">
        <v>0</v>
      </c>
      <c r="M3764" t="n">
        <v>0</v>
      </c>
      <c r="N3764" t="n">
        <v>0</v>
      </c>
      <c r="O3764" t="n">
        <v>0</v>
      </c>
      <c r="P3764" t="n">
        <v>0</v>
      </c>
      <c r="Q3764" t="n">
        <v>0</v>
      </c>
      <c r="R3764" s="2" t="inlineStr"/>
    </row>
    <row r="3765" ht="15" customHeight="1">
      <c r="A3765" t="inlineStr">
        <is>
          <t>A 65781-2020</t>
        </is>
      </c>
      <c r="B3765" s="1" t="n">
        <v>44174</v>
      </c>
      <c r="C3765" s="1" t="n">
        <v>45810</v>
      </c>
      <c r="D3765" t="inlineStr">
        <is>
          <t>VÄRMLANDS LÄN</t>
        </is>
      </c>
      <c r="E3765" t="inlineStr">
        <is>
          <t>ÅRJÄNG</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66334-2020</t>
        </is>
      </c>
      <c r="B3766" s="1" t="n">
        <v>44174</v>
      </c>
      <c r="C3766" s="1" t="n">
        <v>45810</v>
      </c>
      <c r="D3766" t="inlineStr">
        <is>
          <t>VÄRMLANDS LÄN</t>
        </is>
      </c>
      <c r="E3766" t="inlineStr">
        <is>
          <t>ÅRJÄNG</t>
        </is>
      </c>
      <c r="F3766" t="inlineStr">
        <is>
          <t>Övriga Aktiebolag</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66703-2020</t>
        </is>
      </c>
      <c r="B3767" s="1" t="n">
        <v>44174</v>
      </c>
      <c r="C3767" s="1" t="n">
        <v>45810</v>
      </c>
      <c r="D3767" t="inlineStr">
        <is>
          <t>VÄRMLANDS LÄN</t>
        </is>
      </c>
      <c r="E3767" t="inlineStr">
        <is>
          <t>TORSBY</t>
        </is>
      </c>
      <c r="G3767" t="n">
        <v>6.3</v>
      </c>
      <c r="H3767" t="n">
        <v>0</v>
      </c>
      <c r="I3767" t="n">
        <v>0</v>
      </c>
      <c r="J3767" t="n">
        <v>0</v>
      </c>
      <c r="K3767" t="n">
        <v>0</v>
      </c>
      <c r="L3767" t="n">
        <v>0</v>
      </c>
      <c r="M3767" t="n">
        <v>0</v>
      </c>
      <c r="N3767" t="n">
        <v>0</v>
      </c>
      <c r="O3767" t="n">
        <v>0</v>
      </c>
      <c r="P3767" t="n">
        <v>0</v>
      </c>
      <c r="Q3767" t="n">
        <v>0</v>
      </c>
      <c r="R3767" s="2" t="inlineStr"/>
    </row>
    <row r="3768" ht="15" customHeight="1">
      <c r="A3768" t="inlineStr">
        <is>
          <t>A 65920-2020</t>
        </is>
      </c>
      <c r="B3768" s="1" t="n">
        <v>44175</v>
      </c>
      <c r="C3768" s="1" t="n">
        <v>45810</v>
      </c>
      <c r="D3768" t="inlineStr">
        <is>
          <t>VÄRMLANDS LÄN</t>
        </is>
      </c>
      <c r="E3768" t="inlineStr">
        <is>
          <t>KARLSTAD</t>
        </is>
      </c>
      <c r="F3768" t="inlineStr">
        <is>
          <t>Bergvik skog väst AB</t>
        </is>
      </c>
      <c r="G3768" t="n">
        <v>11.8</v>
      </c>
      <c r="H3768" t="n">
        <v>0</v>
      </c>
      <c r="I3768" t="n">
        <v>0</v>
      </c>
      <c r="J3768" t="n">
        <v>0</v>
      </c>
      <c r="K3768" t="n">
        <v>0</v>
      </c>
      <c r="L3768" t="n">
        <v>0</v>
      </c>
      <c r="M3768" t="n">
        <v>0</v>
      </c>
      <c r="N3768" t="n">
        <v>0</v>
      </c>
      <c r="O3768" t="n">
        <v>0</v>
      </c>
      <c r="P3768" t="n">
        <v>0</v>
      </c>
      <c r="Q3768" t="n">
        <v>0</v>
      </c>
      <c r="R3768" s="2" t="inlineStr"/>
    </row>
    <row r="3769" ht="15" customHeight="1">
      <c r="A3769" t="inlineStr">
        <is>
          <t>A 65940-2020</t>
        </is>
      </c>
      <c r="B3769" s="1" t="n">
        <v>44175</v>
      </c>
      <c r="C3769" s="1" t="n">
        <v>45810</v>
      </c>
      <c r="D3769" t="inlineStr">
        <is>
          <t>VÄRMLANDS LÄN</t>
        </is>
      </c>
      <c r="E3769" t="inlineStr">
        <is>
          <t>FORSHAGA</t>
        </is>
      </c>
      <c r="F3769" t="inlineStr">
        <is>
          <t>Bergvik skog väst AB</t>
        </is>
      </c>
      <c r="G3769" t="n">
        <v>3.3</v>
      </c>
      <c r="H3769" t="n">
        <v>0</v>
      </c>
      <c r="I3769" t="n">
        <v>0</v>
      </c>
      <c r="J3769" t="n">
        <v>0</v>
      </c>
      <c r="K3769" t="n">
        <v>0</v>
      </c>
      <c r="L3769" t="n">
        <v>0</v>
      </c>
      <c r="M3769" t="n">
        <v>0</v>
      </c>
      <c r="N3769" t="n">
        <v>0</v>
      </c>
      <c r="O3769" t="n">
        <v>0</v>
      </c>
      <c r="P3769" t="n">
        <v>0</v>
      </c>
      <c r="Q3769" t="n">
        <v>0</v>
      </c>
      <c r="R3769" s="2" t="inlineStr"/>
    </row>
    <row r="3770" ht="15" customHeight="1">
      <c r="A3770" t="inlineStr">
        <is>
          <t>A 66080-2020</t>
        </is>
      </c>
      <c r="B3770" s="1" t="n">
        <v>44175</v>
      </c>
      <c r="C3770" s="1" t="n">
        <v>45810</v>
      </c>
      <c r="D3770" t="inlineStr">
        <is>
          <t>VÄRMLANDS LÄN</t>
        </is>
      </c>
      <c r="E3770" t="inlineStr">
        <is>
          <t>ÅRJÄNG</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66165-2020</t>
        </is>
      </c>
      <c r="B3771" s="1" t="n">
        <v>44175</v>
      </c>
      <c r="C3771" s="1" t="n">
        <v>45810</v>
      </c>
      <c r="D3771" t="inlineStr">
        <is>
          <t>VÄRMLANDS LÄN</t>
        </is>
      </c>
      <c r="E3771" t="inlineStr">
        <is>
          <t>HAGFORS</t>
        </is>
      </c>
      <c r="F3771" t="inlineStr">
        <is>
          <t>Bergvik skog väst AB</t>
        </is>
      </c>
      <c r="G3771" t="n">
        <v>6.8</v>
      </c>
      <c r="H3771" t="n">
        <v>0</v>
      </c>
      <c r="I3771" t="n">
        <v>0</v>
      </c>
      <c r="J3771" t="n">
        <v>0</v>
      </c>
      <c r="K3771" t="n">
        <v>0</v>
      </c>
      <c r="L3771" t="n">
        <v>0</v>
      </c>
      <c r="M3771" t="n">
        <v>0</v>
      </c>
      <c r="N3771" t="n">
        <v>0</v>
      </c>
      <c r="O3771" t="n">
        <v>0</v>
      </c>
      <c r="P3771" t="n">
        <v>0</v>
      </c>
      <c r="Q3771" t="n">
        <v>0</v>
      </c>
      <c r="R3771" s="2" t="inlineStr"/>
    </row>
    <row r="3772" ht="15" customHeight="1">
      <c r="A3772" t="inlineStr">
        <is>
          <t>A 66091-2020</t>
        </is>
      </c>
      <c r="B3772" s="1" t="n">
        <v>44175</v>
      </c>
      <c r="C3772" s="1" t="n">
        <v>45810</v>
      </c>
      <c r="D3772" t="inlineStr">
        <is>
          <t>VÄRMLANDS LÄN</t>
        </is>
      </c>
      <c r="E3772" t="inlineStr">
        <is>
          <t>HAGFORS</t>
        </is>
      </c>
      <c r="F3772" t="inlineStr">
        <is>
          <t>Bergvik skog väst AB</t>
        </is>
      </c>
      <c r="G3772" t="n">
        <v>11.6</v>
      </c>
      <c r="H3772" t="n">
        <v>0</v>
      </c>
      <c r="I3772" t="n">
        <v>0</v>
      </c>
      <c r="J3772" t="n">
        <v>0</v>
      </c>
      <c r="K3772" t="n">
        <v>0</v>
      </c>
      <c r="L3772" t="n">
        <v>0</v>
      </c>
      <c r="M3772" t="n">
        <v>0</v>
      </c>
      <c r="N3772" t="n">
        <v>0</v>
      </c>
      <c r="O3772" t="n">
        <v>0</v>
      </c>
      <c r="P3772" t="n">
        <v>0</v>
      </c>
      <c r="Q3772" t="n">
        <v>0</v>
      </c>
      <c r="R3772" s="2" t="inlineStr"/>
    </row>
    <row r="3773" ht="15" customHeight="1">
      <c r="A3773" t="inlineStr">
        <is>
          <t>A 66112-2020</t>
        </is>
      </c>
      <c r="B3773" s="1" t="n">
        <v>44175</v>
      </c>
      <c r="C3773" s="1" t="n">
        <v>45810</v>
      </c>
      <c r="D3773" t="inlineStr">
        <is>
          <t>VÄRMLANDS LÄN</t>
        </is>
      </c>
      <c r="E3773" t="inlineStr">
        <is>
          <t>HAGFORS</t>
        </is>
      </c>
      <c r="F3773" t="inlineStr">
        <is>
          <t>Bergvik skog väst AB</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66141-2020</t>
        </is>
      </c>
      <c r="B3774" s="1" t="n">
        <v>44175</v>
      </c>
      <c r="C3774" s="1" t="n">
        <v>45810</v>
      </c>
      <c r="D3774" t="inlineStr">
        <is>
          <t>VÄRMLANDS LÄN</t>
        </is>
      </c>
      <c r="E3774" t="inlineStr">
        <is>
          <t>HAGFORS</t>
        </is>
      </c>
      <c r="F3774" t="inlineStr">
        <is>
          <t>Bergvik skog väst AB</t>
        </is>
      </c>
      <c r="G3774" t="n">
        <v>2.8</v>
      </c>
      <c r="H3774" t="n">
        <v>0</v>
      </c>
      <c r="I3774" t="n">
        <v>0</v>
      </c>
      <c r="J3774" t="n">
        <v>0</v>
      </c>
      <c r="K3774" t="n">
        <v>0</v>
      </c>
      <c r="L3774" t="n">
        <v>0</v>
      </c>
      <c r="M3774" t="n">
        <v>0</v>
      </c>
      <c r="N3774" t="n">
        <v>0</v>
      </c>
      <c r="O3774" t="n">
        <v>0</v>
      </c>
      <c r="P3774" t="n">
        <v>0</v>
      </c>
      <c r="Q3774" t="n">
        <v>0</v>
      </c>
      <c r="R3774" s="2" t="inlineStr"/>
    </row>
    <row r="3775" ht="15" customHeight="1">
      <c r="A3775" t="inlineStr">
        <is>
          <t>A 66194-2020</t>
        </is>
      </c>
      <c r="B3775" s="1" t="n">
        <v>44175</v>
      </c>
      <c r="C3775" s="1" t="n">
        <v>45810</v>
      </c>
      <c r="D3775" t="inlineStr">
        <is>
          <t>VÄRMLANDS LÄN</t>
        </is>
      </c>
      <c r="E3775" t="inlineStr">
        <is>
          <t>TORSBY</t>
        </is>
      </c>
      <c r="F3775" t="inlineStr">
        <is>
          <t>Bergvik skog väst AB</t>
        </is>
      </c>
      <c r="G3775" t="n">
        <v>18.4</v>
      </c>
      <c r="H3775" t="n">
        <v>0</v>
      </c>
      <c r="I3775" t="n">
        <v>0</v>
      </c>
      <c r="J3775" t="n">
        <v>0</v>
      </c>
      <c r="K3775" t="n">
        <v>0</v>
      </c>
      <c r="L3775" t="n">
        <v>0</v>
      </c>
      <c r="M3775" t="n">
        <v>0</v>
      </c>
      <c r="N3775" t="n">
        <v>0</v>
      </c>
      <c r="O3775" t="n">
        <v>0</v>
      </c>
      <c r="P3775" t="n">
        <v>0</v>
      </c>
      <c r="Q3775" t="n">
        <v>0</v>
      </c>
      <c r="R3775" s="2" t="inlineStr"/>
    </row>
    <row r="3776" ht="15" customHeight="1">
      <c r="A3776" t="inlineStr">
        <is>
          <t>A 66208-2020</t>
        </is>
      </c>
      <c r="B3776" s="1" t="n">
        <v>44175</v>
      </c>
      <c r="C3776" s="1" t="n">
        <v>45810</v>
      </c>
      <c r="D3776" t="inlineStr">
        <is>
          <t>VÄRMLANDS LÄN</t>
        </is>
      </c>
      <c r="E3776" t="inlineStr">
        <is>
          <t>SUNNE</t>
        </is>
      </c>
      <c r="G3776" t="n">
        <v>2.3</v>
      </c>
      <c r="H3776" t="n">
        <v>0</v>
      </c>
      <c r="I3776" t="n">
        <v>0</v>
      </c>
      <c r="J3776" t="n">
        <v>0</v>
      </c>
      <c r="K3776" t="n">
        <v>0</v>
      </c>
      <c r="L3776" t="n">
        <v>0</v>
      </c>
      <c r="M3776" t="n">
        <v>0</v>
      </c>
      <c r="N3776" t="n">
        <v>0</v>
      </c>
      <c r="O3776" t="n">
        <v>0</v>
      </c>
      <c r="P3776" t="n">
        <v>0</v>
      </c>
      <c r="Q3776" t="n">
        <v>0</v>
      </c>
      <c r="R3776" s="2" t="inlineStr"/>
    </row>
    <row r="3777" ht="15" customHeight="1">
      <c r="A3777" t="inlineStr">
        <is>
          <t>A 66178-2020</t>
        </is>
      </c>
      <c r="B3777" s="1" t="n">
        <v>44175</v>
      </c>
      <c r="C3777" s="1" t="n">
        <v>45810</v>
      </c>
      <c r="D3777" t="inlineStr">
        <is>
          <t>VÄRMLANDS LÄN</t>
        </is>
      </c>
      <c r="E3777" t="inlineStr">
        <is>
          <t>EDA</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66200-2020</t>
        </is>
      </c>
      <c r="B3778" s="1" t="n">
        <v>44175</v>
      </c>
      <c r="C3778" s="1" t="n">
        <v>45810</v>
      </c>
      <c r="D3778" t="inlineStr">
        <is>
          <t>VÄRMLANDS LÄN</t>
        </is>
      </c>
      <c r="E3778" t="inlineStr">
        <is>
          <t>EDA</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66966-2020</t>
        </is>
      </c>
      <c r="B3779" s="1" t="n">
        <v>44175</v>
      </c>
      <c r="C3779" s="1" t="n">
        <v>45810</v>
      </c>
      <c r="D3779" t="inlineStr">
        <is>
          <t>VÄRMLANDS LÄN</t>
        </is>
      </c>
      <c r="E3779" t="inlineStr">
        <is>
          <t>SÄFFLE</t>
        </is>
      </c>
      <c r="G3779" t="n">
        <v>3</v>
      </c>
      <c r="H3779" t="n">
        <v>0</v>
      </c>
      <c r="I3779" t="n">
        <v>0</v>
      </c>
      <c r="J3779" t="n">
        <v>0</v>
      </c>
      <c r="K3779" t="n">
        <v>0</v>
      </c>
      <c r="L3779" t="n">
        <v>0</v>
      </c>
      <c r="M3779" t="n">
        <v>0</v>
      </c>
      <c r="N3779" t="n">
        <v>0</v>
      </c>
      <c r="O3779" t="n">
        <v>0</v>
      </c>
      <c r="P3779" t="n">
        <v>0</v>
      </c>
      <c r="Q3779" t="n">
        <v>0</v>
      </c>
      <c r="R3779" s="2" t="inlineStr"/>
    </row>
    <row r="3780" ht="15" customHeight="1">
      <c r="A3780" t="inlineStr">
        <is>
          <t>A 65950-2020</t>
        </is>
      </c>
      <c r="B3780" s="1" t="n">
        <v>44175</v>
      </c>
      <c r="C3780" s="1" t="n">
        <v>45810</v>
      </c>
      <c r="D3780" t="inlineStr">
        <is>
          <t>VÄRMLANDS LÄN</t>
        </is>
      </c>
      <c r="E3780" t="inlineStr">
        <is>
          <t>ÅRJÄNG</t>
        </is>
      </c>
      <c r="G3780" t="n">
        <v>3</v>
      </c>
      <c r="H3780" t="n">
        <v>0</v>
      </c>
      <c r="I3780" t="n">
        <v>0</v>
      </c>
      <c r="J3780" t="n">
        <v>0</v>
      </c>
      <c r="K3780" t="n">
        <v>0</v>
      </c>
      <c r="L3780" t="n">
        <v>0</v>
      </c>
      <c r="M3780" t="n">
        <v>0</v>
      </c>
      <c r="N3780" t="n">
        <v>0</v>
      </c>
      <c r="O3780" t="n">
        <v>0</v>
      </c>
      <c r="P3780" t="n">
        <v>0</v>
      </c>
      <c r="Q3780" t="n">
        <v>0</v>
      </c>
      <c r="R3780" s="2" t="inlineStr"/>
    </row>
    <row r="3781" ht="15" customHeight="1">
      <c r="A3781" t="inlineStr">
        <is>
          <t>A 66294-2020</t>
        </is>
      </c>
      <c r="B3781" s="1" t="n">
        <v>44176</v>
      </c>
      <c r="C3781" s="1" t="n">
        <v>45810</v>
      </c>
      <c r="D3781" t="inlineStr">
        <is>
          <t>VÄRMLANDS LÄN</t>
        </is>
      </c>
      <c r="E3781" t="inlineStr">
        <is>
          <t>SUNNE</t>
        </is>
      </c>
      <c r="G3781" t="n">
        <v>2.6</v>
      </c>
      <c r="H3781" t="n">
        <v>0</v>
      </c>
      <c r="I3781" t="n">
        <v>0</v>
      </c>
      <c r="J3781" t="n">
        <v>0</v>
      </c>
      <c r="K3781" t="n">
        <v>0</v>
      </c>
      <c r="L3781" t="n">
        <v>0</v>
      </c>
      <c r="M3781" t="n">
        <v>0</v>
      </c>
      <c r="N3781" t="n">
        <v>0</v>
      </c>
      <c r="O3781" t="n">
        <v>0</v>
      </c>
      <c r="P3781" t="n">
        <v>0</v>
      </c>
      <c r="Q3781" t="n">
        <v>0</v>
      </c>
      <c r="R3781" s="2" t="inlineStr"/>
    </row>
    <row r="3782" ht="15" customHeight="1">
      <c r="A3782" t="inlineStr">
        <is>
          <t>A 66326-2020</t>
        </is>
      </c>
      <c r="B3782" s="1" t="n">
        <v>44176</v>
      </c>
      <c r="C3782" s="1" t="n">
        <v>45810</v>
      </c>
      <c r="D3782" t="inlineStr">
        <is>
          <t>VÄRMLANDS LÄN</t>
        </is>
      </c>
      <c r="E3782" t="inlineStr">
        <is>
          <t>TORSBY</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66363-2020</t>
        </is>
      </c>
      <c r="B3783" s="1" t="n">
        <v>44176</v>
      </c>
      <c r="C3783" s="1" t="n">
        <v>45810</v>
      </c>
      <c r="D3783" t="inlineStr">
        <is>
          <t>VÄRMLANDS LÄN</t>
        </is>
      </c>
      <c r="E3783" t="inlineStr">
        <is>
          <t>FILIPSTAD</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66427-2020</t>
        </is>
      </c>
      <c r="B3784" s="1" t="n">
        <v>44176</v>
      </c>
      <c r="C3784" s="1" t="n">
        <v>45810</v>
      </c>
      <c r="D3784" t="inlineStr">
        <is>
          <t>VÄRMLANDS LÄN</t>
        </is>
      </c>
      <c r="E3784" t="inlineStr">
        <is>
          <t>FILIPSTAD</t>
        </is>
      </c>
      <c r="G3784" t="n">
        <v>2.9</v>
      </c>
      <c r="H3784" t="n">
        <v>0</v>
      </c>
      <c r="I3784" t="n">
        <v>0</v>
      </c>
      <c r="J3784" t="n">
        <v>0</v>
      </c>
      <c r="K3784" t="n">
        <v>0</v>
      </c>
      <c r="L3784" t="n">
        <v>0</v>
      </c>
      <c r="M3784" t="n">
        <v>0</v>
      </c>
      <c r="N3784" t="n">
        <v>0</v>
      </c>
      <c r="O3784" t="n">
        <v>0</v>
      </c>
      <c r="P3784" t="n">
        <v>0</v>
      </c>
      <c r="Q3784" t="n">
        <v>0</v>
      </c>
      <c r="R3784" s="2" t="inlineStr"/>
    </row>
    <row r="3785" ht="15" customHeight="1">
      <c r="A3785" t="inlineStr">
        <is>
          <t>A 66415-2020</t>
        </is>
      </c>
      <c r="B3785" s="1" t="n">
        <v>44176</v>
      </c>
      <c r="C3785" s="1" t="n">
        <v>45810</v>
      </c>
      <c r="D3785" t="inlineStr">
        <is>
          <t>VÄRMLANDS LÄN</t>
        </is>
      </c>
      <c r="E3785" t="inlineStr">
        <is>
          <t>FILIPSTAD</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67017-2020</t>
        </is>
      </c>
      <c r="B3786" s="1" t="n">
        <v>44176</v>
      </c>
      <c r="C3786" s="1" t="n">
        <v>45810</v>
      </c>
      <c r="D3786" t="inlineStr">
        <is>
          <t>VÄRMLANDS LÄN</t>
        </is>
      </c>
      <c r="E3786" t="inlineStr">
        <is>
          <t>GRUMS</t>
        </is>
      </c>
      <c r="F3786" t="inlineStr">
        <is>
          <t>Bergvik skog väst AB</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67018-2020</t>
        </is>
      </c>
      <c r="B3787" s="1" t="n">
        <v>44176</v>
      </c>
      <c r="C3787" s="1" t="n">
        <v>45810</v>
      </c>
      <c r="D3787" t="inlineStr">
        <is>
          <t>VÄRMLANDS LÄN</t>
        </is>
      </c>
      <c r="E3787" t="inlineStr">
        <is>
          <t>GRUMS</t>
        </is>
      </c>
      <c r="F3787" t="inlineStr">
        <is>
          <t>Bergvik skog väst AB</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66521-2020</t>
        </is>
      </c>
      <c r="B3788" s="1" t="n">
        <v>44179</v>
      </c>
      <c r="C3788" s="1" t="n">
        <v>45810</v>
      </c>
      <c r="D3788" t="inlineStr">
        <is>
          <t>VÄRMLANDS LÄN</t>
        </is>
      </c>
      <c r="E3788" t="inlineStr">
        <is>
          <t>EDA</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66602-2020</t>
        </is>
      </c>
      <c r="B3789" s="1" t="n">
        <v>44179</v>
      </c>
      <c r="C3789" s="1" t="n">
        <v>45810</v>
      </c>
      <c r="D3789" t="inlineStr">
        <is>
          <t>VÄRMLANDS LÄN</t>
        </is>
      </c>
      <c r="E3789" t="inlineStr">
        <is>
          <t>SUNNE</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66807-2020</t>
        </is>
      </c>
      <c r="B3790" s="1" t="n">
        <v>44179</v>
      </c>
      <c r="C3790" s="1" t="n">
        <v>45810</v>
      </c>
      <c r="D3790" t="inlineStr">
        <is>
          <t>VÄRMLANDS LÄN</t>
        </is>
      </c>
      <c r="E3790" t="inlineStr">
        <is>
          <t>ARVIKA</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67134-2020</t>
        </is>
      </c>
      <c r="B3791" s="1" t="n">
        <v>44179</v>
      </c>
      <c r="C3791" s="1" t="n">
        <v>45810</v>
      </c>
      <c r="D3791" t="inlineStr">
        <is>
          <t>VÄRMLANDS LÄN</t>
        </is>
      </c>
      <c r="E3791" t="inlineStr">
        <is>
          <t>ÅRJÄNG</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66804-2020</t>
        </is>
      </c>
      <c r="B3792" s="1" t="n">
        <v>44179</v>
      </c>
      <c r="C3792" s="1" t="n">
        <v>45810</v>
      </c>
      <c r="D3792" t="inlineStr">
        <is>
          <t>VÄRMLANDS LÄN</t>
        </is>
      </c>
      <c r="E3792" t="inlineStr">
        <is>
          <t>FILIPSTAD</t>
        </is>
      </c>
      <c r="F3792" t="inlineStr">
        <is>
          <t>Bergvik skog väst AB</t>
        </is>
      </c>
      <c r="G3792" t="n">
        <v>5.6</v>
      </c>
      <c r="H3792" t="n">
        <v>0</v>
      </c>
      <c r="I3792" t="n">
        <v>0</v>
      </c>
      <c r="J3792" t="n">
        <v>0</v>
      </c>
      <c r="K3792" t="n">
        <v>0</v>
      </c>
      <c r="L3792" t="n">
        <v>0</v>
      </c>
      <c r="M3792" t="n">
        <v>0</v>
      </c>
      <c r="N3792" t="n">
        <v>0</v>
      </c>
      <c r="O3792" t="n">
        <v>0</v>
      </c>
      <c r="P3792" t="n">
        <v>0</v>
      </c>
      <c r="Q3792" t="n">
        <v>0</v>
      </c>
      <c r="R3792" s="2" t="inlineStr"/>
    </row>
    <row r="3793" ht="15" customHeight="1">
      <c r="A3793" t="inlineStr">
        <is>
          <t>A 67084-2020</t>
        </is>
      </c>
      <c r="B3793" s="1" t="n">
        <v>44179</v>
      </c>
      <c r="C3793" s="1" t="n">
        <v>45810</v>
      </c>
      <c r="D3793" t="inlineStr">
        <is>
          <t>VÄRMLANDS LÄN</t>
        </is>
      </c>
      <c r="E3793" t="inlineStr">
        <is>
          <t>TORSBY</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67027-2020</t>
        </is>
      </c>
      <c r="B3794" s="1" t="n">
        <v>44180</v>
      </c>
      <c r="C3794" s="1" t="n">
        <v>45810</v>
      </c>
      <c r="D3794" t="inlineStr">
        <is>
          <t>VÄRMLANDS LÄN</t>
        </is>
      </c>
      <c r="E3794" t="inlineStr">
        <is>
          <t>FORSHAGA</t>
        </is>
      </c>
      <c r="F3794" t="inlineStr">
        <is>
          <t>Bergvik skog väst AB</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67035-2020</t>
        </is>
      </c>
      <c r="B3795" s="1" t="n">
        <v>44180</v>
      </c>
      <c r="C3795" s="1" t="n">
        <v>45810</v>
      </c>
      <c r="D3795" t="inlineStr">
        <is>
          <t>VÄRMLANDS LÄN</t>
        </is>
      </c>
      <c r="E3795" t="inlineStr">
        <is>
          <t>ARVIKA</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67022-2020</t>
        </is>
      </c>
      <c r="B3796" s="1" t="n">
        <v>44180</v>
      </c>
      <c r="C3796" s="1" t="n">
        <v>45810</v>
      </c>
      <c r="D3796" t="inlineStr">
        <is>
          <t>VÄRMLANDS LÄN</t>
        </is>
      </c>
      <c r="E3796" t="inlineStr">
        <is>
          <t>KARLSTAD</t>
        </is>
      </c>
      <c r="F3796" t="inlineStr">
        <is>
          <t>Kommuner</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66899-2020</t>
        </is>
      </c>
      <c r="B3797" s="1" t="n">
        <v>44180</v>
      </c>
      <c r="C3797" s="1" t="n">
        <v>45810</v>
      </c>
      <c r="D3797" t="inlineStr">
        <is>
          <t>VÄRMLANDS LÄN</t>
        </is>
      </c>
      <c r="E3797" t="inlineStr">
        <is>
          <t>SUNNE</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67353-2020</t>
        </is>
      </c>
      <c r="B3798" s="1" t="n">
        <v>44181</v>
      </c>
      <c r="C3798" s="1" t="n">
        <v>45810</v>
      </c>
      <c r="D3798" t="inlineStr">
        <is>
          <t>VÄRMLANDS LÄN</t>
        </is>
      </c>
      <c r="E3798" t="inlineStr">
        <is>
          <t>KRISTINEHAMN</t>
        </is>
      </c>
      <c r="G3798" t="n">
        <v>2.9</v>
      </c>
      <c r="H3798" t="n">
        <v>0</v>
      </c>
      <c r="I3798" t="n">
        <v>0</v>
      </c>
      <c r="J3798" t="n">
        <v>0</v>
      </c>
      <c r="K3798" t="n">
        <v>0</v>
      </c>
      <c r="L3798" t="n">
        <v>0</v>
      </c>
      <c r="M3798" t="n">
        <v>0</v>
      </c>
      <c r="N3798" t="n">
        <v>0</v>
      </c>
      <c r="O3798" t="n">
        <v>0</v>
      </c>
      <c r="P3798" t="n">
        <v>0</v>
      </c>
      <c r="Q3798" t="n">
        <v>0</v>
      </c>
      <c r="R3798" s="2" t="inlineStr"/>
    </row>
    <row r="3799" ht="15" customHeight="1">
      <c r="A3799" t="inlineStr">
        <is>
          <t>A 67547-2020</t>
        </is>
      </c>
      <c r="B3799" s="1" t="n">
        <v>44181</v>
      </c>
      <c r="C3799" s="1" t="n">
        <v>45810</v>
      </c>
      <c r="D3799" t="inlineStr">
        <is>
          <t>VÄRMLANDS LÄN</t>
        </is>
      </c>
      <c r="E3799" t="inlineStr">
        <is>
          <t>TORSBY</t>
        </is>
      </c>
      <c r="G3799" t="n">
        <v>3</v>
      </c>
      <c r="H3799" t="n">
        <v>0</v>
      </c>
      <c r="I3799" t="n">
        <v>0</v>
      </c>
      <c r="J3799" t="n">
        <v>0</v>
      </c>
      <c r="K3799" t="n">
        <v>0</v>
      </c>
      <c r="L3799" t="n">
        <v>0</v>
      </c>
      <c r="M3799" t="n">
        <v>0</v>
      </c>
      <c r="N3799" t="n">
        <v>0</v>
      </c>
      <c r="O3799" t="n">
        <v>0</v>
      </c>
      <c r="P3799" t="n">
        <v>0</v>
      </c>
      <c r="Q3799" t="n">
        <v>0</v>
      </c>
      <c r="R3799" s="2" t="inlineStr"/>
    </row>
    <row r="3800" ht="15" customHeight="1">
      <c r="A3800" t="inlineStr">
        <is>
          <t>A 67564-2020</t>
        </is>
      </c>
      <c r="B3800" s="1" t="n">
        <v>44181</v>
      </c>
      <c r="C3800" s="1" t="n">
        <v>45810</v>
      </c>
      <c r="D3800" t="inlineStr">
        <is>
          <t>VÄRMLANDS LÄN</t>
        </is>
      </c>
      <c r="E3800" t="inlineStr">
        <is>
          <t>EDA</t>
        </is>
      </c>
      <c r="G3800" t="n">
        <v>2.8</v>
      </c>
      <c r="H3800" t="n">
        <v>0</v>
      </c>
      <c r="I3800" t="n">
        <v>0</v>
      </c>
      <c r="J3800" t="n">
        <v>0</v>
      </c>
      <c r="K3800" t="n">
        <v>0</v>
      </c>
      <c r="L3800" t="n">
        <v>0</v>
      </c>
      <c r="M3800" t="n">
        <v>0</v>
      </c>
      <c r="N3800" t="n">
        <v>0</v>
      </c>
      <c r="O3800" t="n">
        <v>0</v>
      </c>
      <c r="P3800" t="n">
        <v>0</v>
      </c>
      <c r="Q3800" t="n">
        <v>0</v>
      </c>
      <c r="R3800" s="2" t="inlineStr"/>
    </row>
    <row r="3801" ht="15" customHeight="1">
      <c r="A3801" t="inlineStr">
        <is>
          <t>A 67464-2020</t>
        </is>
      </c>
      <c r="B3801" s="1" t="n">
        <v>44181</v>
      </c>
      <c r="C3801" s="1" t="n">
        <v>45810</v>
      </c>
      <c r="D3801" t="inlineStr">
        <is>
          <t>VÄRMLANDS LÄN</t>
        </is>
      </c>
      <c r="E3801" t="inlineStr">
        <is>
          <t>TORSBY</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67632-2020</t>
        </is>
      </c>
      <c r="B3802" s="1" t="n">
        <v>44182</v>
      </c>
      <c r="C3802" s="1" t="n">
        <v>45810</v>
      </c>
      <c r="D3802" t="inlineStr">
        <is>
          <t>VÄRMLANDS LÄN</t>
        </is>
      </c>
      <c r="E3802" t="inlineStr">
        <is>
          <t>EDA</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67734-2020</t>
        </is>
      </c>
      <c r="B3803" s="1" t="n">
        <v>44182</v>
      </c>
      <c r="C3803" s="1" t="n">
        <v>45810</v>
      </c>
      <c r="D3803" t="inlineStr">
        <is>
          <t>VÄRMLANDS LÄN</t>
        </is>
      </c>
      <c r="E3803" t="inlineStr">
        <is>
          <t>TORSBY</t>
        </is>
      </c>
      <c r="G3803" t="n">
        <v>2.7</v>
      </c>
      <c r="H3803" t="n">
        <v>0</v>
      </c>
      <c r="I3803" t="n">
        <v>0</v>
      </c>
      <c r="J3803" t="n">
        <v>0</v>
      </c>
      <c r="K3803" t="n">
        <v>0</v>
      </c>
      <c r="L3803" t="n">
        <v>0</v>
      </c>
      <c r="M3803" t="n">
        <v>0</v>
      </c>
      <c r="N3803" t="n">
        <v>0</v>
      </c>
      <c r="O3803" t="n">
        <v>0</v>
      </c>
      <c r="P3803" t="n">
        <v>0</v>
      </c>
      <c r="Q3803" t="n">
        <v>0</v>
      </c>
      <c r="R3803" s="2" t="inlineStr"/>
    </row>
    <row r="3804" ht="15" customHeight="1">
      <c r="A3804" t="inlineStr">
        <is>
          <t>A 67843-2020</t>
        </is>
      </c>
      <c r="B3804" s="1" t="n">
        <v>44182</v>
      </c>
      <c r="C3804" s="1" t="n">
        <v>45810</v>
      </c>
      <c r="D3804" t="inlineStr">
        <is>
          <t>VÄRMLANDS LÄN</t>
        </is>
      </c>
      <c r="E3804" t="inlineStr">
        <is>
          <t>FILIPSTAD</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67852-2020</t>
        </is>
      </c>
      <c r="B3805" s="1" t="n">
        <v>44182</v>
      </c>
      <c r="C3805" s="1" t="n">
        <v>45810</v>
      </c>
      <c r="D3805" t="inlineStr">
        <is>
          <t>VÄRMLANDS LÄN</t>
        </is>
      </c>
      <c r="E3805" t="inlineStr">
        <is>
          <t>FILIPSTAD</t>
        </is>
      </c>
      <c r="G3805" t="n">
        <v>3.8</v>
      </c>
      <c r="H3805" t="n">
        <v>0</v>
      </c>
      <c r="I3805" t="n">
        <v>0</v>
      </c>
      <c r="J3805" t="n">
        <v>0</v>
      </c>
      <c r="K3805" t="n">
        <v>0</v>
      </c>
      <c r="L3805" t="n">
        <v>0</v>
      </c>
      <c r="M3805" t="n">
        <v>0</v>
      </c>
      <c r="N3805" t="n">
        <v>0</v>
      </c>
      <c r="O3805" t="n">
        <v>0</v>
      </c>
      <c r="P3805" t="n">
        <v>0</v>
      </c>
      <c r="Q3805" t="n">
        <v>0</v>
      </c>
      <c r="R3805" s="2" t="inlineStr"/>
    </row>
    <row r="3806" ht="15" customHeight="1">
      <c r="A3806" t="inlineStr">
        <is>
          <t>A 68261-2020</t>
        </is>
      </c>
      <c r="B3806" s="1" t="n">
        <v>44182</v>
      </c>
      <c r="C3806" s="1" t="n">
        <v>45810</v>
      </c>
      <c r="D3806" t="inlineStr">
        <is>
          <t>VÄRMLANDS LÄN</t>
        </is>
      </c>
      <c r="E3806" t="inlineStr">
        <is>
          <t>SUNNE</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68244-2020</t>
        </is>
      </c>
      <c r="B3807" s="1" t="n">
        <v>44182</v>
      </c>
      <c r="C3807" s="1" t="n">
        <v>45810</v>
      </c>
      <c r="D3807" t="inlineStr">
        <is>
          <t>VÄRMLANDS LÄN</t>
        </is>
      </c>
      <c r="E3807" t="inlineStr">
        <is>
          <t>EDA</t>
        </is>
      </c>
      <c r="G3807" t="n">
        <v>5.4</v>
      </c>
      <c r="H3807" t="n">
        <v>0</v>
      </c>
      <c r="I3807" t="n">
        <v>0</v>
      </c>
      <c r="J3807" t="n">
        <v>0</v>
      </c>
      <c r="K3807" t="n">
        <v>0</v>
      </c>
      <c r="L3807" t="n">
        <v>0</v>
      </c>
      <c r="M3807" t="n">
        <v>0</v>
      </c>
      <c r="N3807" t="n">
        <v>0</v>
      </c>
      <c r="O3807" t="n">
        <v>0</v>
      </c>
      <c r="P3807" t="n">
        <v>0</v>
      </c>
      <c r="Q3807" t="n">
        <v>0</v>
      </c>
      <c r="R3807" s="2" t="inlineStr"/>
    </row>
    <row r="3808" ht="15" customHeight="1">
      <c r="A3808" t="inlineStr">
        <is>
          <t>A 68355-2020</t>
        </is>
      </c>
      <c r="B3808" s="1" t="n">
        <v>44182</v>
      </c>
      <c r="C3808" s="1" t="n">
        <v>45810</v>
      </c>
      <c r="D3808" t="inlineStr">
        <is>
          <t>VÄRMLANDS LÄN</t>
        </is>
      </c>
      <c r="E3808" t="inlineStr">
        <is>
          <t>KARLSTAD</t>
        </is>
      </c>
      <c r="G3808" t="n">
        <v>7</v>
      </c>
      <c r="H3808" t="n">
        <v>0</v>
      </c>
      <c r="I3808" t="n">
        <v>0</v>
      </c>
      <c r="J3808" t="n">
        <v>0</v>
      </c>
      <c r="K3808" t="n">
        <v>0</v>
      </c>
      <c r="L3808" t="n">
        <v>0</v>
      </c>
      <c r="M3808" t="n">
        <v>0</v>
      </c>
      <c r="N3808" t="n">
        <v>0</v>
      </c>
      <c r="O3808" t="n">
        <v>0</v>
      </c>
      <c r="P3808" t="n">
        <v>0</v>
      </c>
      <c r="Q3808" t="n">
        <v>0</v>
      </c>
      <c r="R3808" s="2" t="inlineStr"/>
    </row>
    <row r="3809" ht="15" customHeight="1">
      <c r="A3809" t="inlineStr">
        <is>
          <t>A 68171-2020</t>
        </is>
      </c>
      <c r="B3809" s="1" t="n">
        <v>44183</v>
      </c>
      <c r="C3809" s="1" t="n">
        <v>45810</v>
      </c>
      <c r="D3809" t="inlineStr">
        <is>
          <t>VÄRMLANDS LÄN</t>
        </is>
      </c>
      <c r="E3809" t="inlineStr">
        <is>
          <t>SÄFFLE</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68220-2020</t>
        </is>
      </c>
      <c r="B3810" s="1" t="n">
        <v>44183</v>
      </c>
      <c r="C3810" s="1" t="n">
        <v>45810</v>
      </c>
      <c r="D3810" t="inlineStr">
        <is>
          <t>VÄRMLANDS LÄN</t>
        </is>
      </c>
      <c r="E3810" t="inlineStr">
        <is>
          <t>TORSBY</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68279-2020</t>
        </is>
      </c>
      <c r="B3811" s="1" t="n">
        <v>44183</v>
      </c>
      <c r="C3811" s="1" t="n">
        <v>45810</v>
      </c>
      <c r="D3811" t="inlineStr">
        <is>
          <t>VÄRMLANDS LÄN</t>
        </is>
      </c>
      <c r="E3811" t="inlineStr">
        <is>
          <t>ARVIKA</t>
        </is>
      </c>
      <c r="G3811" t="n">
        <v>5.7</v>
      </c>
      <c r="H3811" t="n">
        <v>0</v>
      </c>
      <c r="I3811" t="n">
        <v>0</v>
      </c>
      <c r="J3811" t="n">
        <v>0</v>
      </c>
      <c r="K3811" t="n">
        <v>0</v>
      </c>
      <c r="L3811" t="n">
        <v>0</v>
      </c>
      <c r="M3811" t="n">
        <v>0</v>
      </c>
      <c r="N3811" t="n">
        <v>0</v>
      </c>
      <c r="O3811" t="n">
        <v>0</v>
      </c>
      <c r="P3811" t="n">
        <v>0</v>
      </c>
      <c r="Q3811" t="n">
        <v>0</v>
      </c>
      <c r="R3811" s="2" t="inlineStr"/>
    </row>
    <row r="3812" ht="15" customHeight="1">
      <c r="A3812" t="inlineStr">
        <is>
          <t>A 68238-2020</t>
        </is>
      </c>
      <c r="B3812" s="1" t="n">
        <v>44183</v>
      </c>
      <c r="C3812" s="1" t="n">
        <v>45810</v>
      </c>
      <c r="D3812" t="inlineStr">
        <is>
          <t>VÄRMLANDS LÄN</t>
        </is>
      </c>
      <c r="E3812" t="inlineStr">
        <is>
          <t>TORSBY</t>
        </is>
      </c>
      <c r="F3812" t="inlineStr">
        <is>
          <t>Bergvik skog väst AB</t>
        </is>
      </c>
      <c r="G3812" t="n">
        <v>6.7</v>
      </c>
      <c r="H3812" t="n">
        <v>0</v>
      </c>
      <c r="I3812" t="n">
        <v>0</v>
      </c>
      <c r="J3812" t="n">
        <v>0</v>
      </c>
      <c r="K3812" t="n">
        <v>0</v>
      </c>
      <c r="L3812" t="n">
        <v>0</v>
      </c>
      <c r="M3812" t="n">
        <v>0</v>
      </c>
      <c r="N3812" t="n">
        <v>0</v>
      </c>
      <c r="O3812" t="n">
        <v>0</v>
      </c>
      <c r="P3812" t="n">
        <v>0</v>
      </c>
      <c r="Q3812" t="n">
        <v>0</v>
      </c>
      <c r="R3812" s="2" t="inlineStr"/>
    </row>
    <row r="3813" ht="15" customHeight="1">
      <c r="A3813" t="inlineStr">
        <is>
          <t>A 68129-2020</t>
        </is>
      </c>
      <c r="B3813" s="1" t="n">
        <v>44183</v>
      </c>
      <c r="C3813" s="1" t="n">
        <v>45810</v>
      </c>
      <c r="D3813" t="inlineStr">
        <is>
          <t>VÄRMLANDS LÄN</t>
        </is>
      </c>
      <c r="E3813" t="inlineStr">
        <is>
          <t>HAGFORS</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68246-2020</t>
        </is>
      </c>
      <c r="B3814" s="1" t="n">
        <v>44183</v>
      </c>
      <c r="C3814" s="1" t="n">
        <v>45810</v>
      </c>
      <c r="D3814" t="inlineStr">
        <is>
          <t>VÄRMLANDS LÄN</t>
        </is>
      </c>
      <c r="E3814" t="inlineStr">
        <is>
          <t>TORSBY</t>
        </is>
      </c>
      <c r="G3814" t="n">
        <v>2.5</v>
      </c>
      <c r="H3814" t="n">
        <v>0</v>
      </c>
      <c r="I3814" t="n">
        <v>0</v>
      </c>
      <c r="J3814" t="n">
        <v>0</v>
      </c>
      <c r="K3814" t="n">
        <v>0</v>
      </c>
      <c r="L3814" t="n">
        <v>0</v>
      </c>
      <c r="M3814" t="n">
        <v>0</v>
      </c>
      <c r="N3814" t="n">
        <v>0</v>
      </c>
      <c r="O3814" t="n">
        <v>0</v>
      </c>
      <c r="P3814" t="n">
        <v>0</v>
      </c>
      <c r="Q3814" t="n">
        <v>0</v>
      </c>
      <c r="R3814" s="2" t="inlineStr"/>
    </row>
    <row r="3815" ht="15" customHeight="1">
      <c r="A3815" t="inlineStr">
        <is>
          <t>A 68460-2020</t>
        </is>
      </c>
      <c r="B3815" s="1" t="n">
        <v>44186</v>
      </c>
      <c r="C3815" s="1" t="n">
        <v>45810</v>
      </c>
      <c r="D3815" t="inlineStr">
        <is>
          <t>VÄRMLANDS LÄN</t>
        </is>
      </c>
      <c r="E3815" t="inlineStr">
        <is>
          <t>SUNNE</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68473-2020</t>
        </is>
      </c>
      <c r="B3816" s="1" t="n">
        <v>44186</v>
      </c>
      <c r="C3816" s="1" t="n">
        <v>45810</v>
      </c>
      <c r="D3816" t="inlineStr">
        <is>
          <t>VÄRMLANDS LÄN</t>
        </is>
      </c>
      <c r="E3816" t="inlineStr">
        <is>
          <t>SUNNE</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68517-2020</t>
        </is>
      </c>
      <c r="B3817" s="1" t="n">
        <v>44186</v>
      </c>
      <c r="C3817" s="1" t="n">
        <v>45810</v>
      </c>
      <c r="D3817" t="inlineStr">
        <is>
          <t>VÄRMLANDS LÄN</t>
        </is>
      </c>
      <c r="E3817" t="inlineStr">
        <is>
          <t>FILIPSTAD</t>
        </is>
      </c>
      <c r="G3817" t="n">
        <v>2.9</v>
      </c>
      <c r="H3817" t="n">
        <v>0</v>
      </c>
      <c r="I3817" t="n">
        <v>0</v>
      </c>
      <c r="J3817" t="n">
        <v>0</v>
      </c>
      <c r="K3817" t="n">
        <v>0</v>
      </c>
      <c r="L3817" t="n">
        <v>0</v>
      </c>
      <c r="M3817" t="n">
        <v>0</v>
      </c>
      <c r="N3817" t="n">
        <v>0</v>
      </c>
      <c r="O3817" t="n">
        <v>0</v>
      </c>
      <c r="P3817" t="n">
        <v>0</v>
      </c>
      <c r="Q3817" t="n">
        <v>0</v>
      </c>
      <c r="R3817" s="2" t="inlineStr"/>
    </row>
    <row r="3818" ht="15" customHeight="1">
      <c r="A3818" t="inlineStr">
        <is>
          <t>A 68549-2020</t>
        </is>
      </c>
      <c r="B3818" s="1" t="n">
        <v>44186</v>
      </c>
      <c r="C3818" s="1" t="n">
        <v>45810</v>
      </c>
      <c r="D3818" t="inlineStr">
        <is>
          <t>VÄRMLANDS LÄN</t>
        </is>
      </c>
      <c r="E3818" t="inlineStr">
        <is>
          <t>EDA</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68441-2020</t>
        </is>
      </c>
      <c r="B3819" s="1" t="n">
        <v>44186</v>
      </c>
      <c r="C3819" s="1" t="n">
        <v>45810</v>
      </c>
      <c r="D3819" t="inlineStr">
        <is>
          <t>VÄRMLANDS LÄN</t>
        </is>
      </c>
      <c r="E3819" t="inlineStr">
        <is>
          <t>SUNNE</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68467-2020</t>
        </is>
      </c>
      <c r="B3820" s="1" t="n">
        <v>44186</v>
      </c>
      <c r="C3820" s="1" t="n">
        <v>45810</v>
      </c>
      <c r="D3820" t="inlineStr">
        <is>
          <t>VÄRMLANDS LÄN</t>
        </is>
      </c>
      <c r="E3820" t="inlineStr">
        <is>
          <t>SUNNE</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68344-2020</t>
        </is>
      </c>
      <c r="B3821" s="1" t="n">
        <v>44186</v>
      </c>
      <c r="C3821" s="1" t="n">
        <v>45810</v>
      </c>
      <c r="D3821" t="inlineStr">
        <is>
          <t>VÄRMLANDS LÄN</t>
        </is>
      </c>
      <c r="E3821" t="inlineStr">
        <is>
          <t>ÅRJÄNG</t>
        </is>
      </c>
      <c r="G3821" t="n">
        <v>2.8</v>
      </c>
      <c r="H3821" t="n">
        <v>0</v>
      </c>
      <c r="I3821" t="n">
        <v>0</v>
      </c>
      <c r="J3821" t="n">
        <v>0</v>
      </c>
      <c r="K3821" t="n">
        <v>0</v>
      </c>
      <c r="L3821" t="n">
        <v>0</v>
      </c>
      <c r="M3821" t="n">
        <v>0</v>
      </c>
      <c r="N3821" t="n">
        <v>0</v>
      </c>
      <c r="O3821" t="n">
        <v>0</v>
      </c>
      <c r="P3821" t="n">
        <v>0</v>
      </c>
      <c r="Q3821" t="n">
        <v>0</v>
      </c>
      <c r="R3821" s="2" t="inlineStr"/>
    </row>
    <row r="3822" ht="15" customHeight="1">
      <c r="A3822" t="inlineStr">
        <is>
          <t>A 68452-2020</t>
        </is>
      </c>
      <c r="B3822" s="1" t="n">
        <v>44186</v>
      </c>
      <c r="C3822" s="1" t="n">
        <v>45810</v>
      </c>
      <c r="D3822" t="inlineStr">
        <is>
          <t>VÄRMLANDS LÄN</t>
        </is>
      </c>
      <c r="E3822" t="inlineStr">
        <is>
          <t>SUNNE</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68480-2020</t>
        </is>
      </c>
      <c r="B3823" s="1" t="n">
        <v>44186</v>
      </c>
      <c r="C3823" s="1" t="n">
        <v>45810</v>
      </c>
      <c r="D3823" t="inlineStr">
        <is>
          <t>VÄRMLANDS LÄN</t>
        </is>
      </c>
      <c r="E3823" t="inlineStr">
        <is>
          <t>SUNNE</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68515-2020</t>
        </is>
      </c>
      <c r="B3824" s="1" t="n">
        <v>44186</v>
      </c>
      <c r="C3824" s="1" t="n">
        <v>45810</v>
      </c>
      <c r="D3824" t="inlineStr">
        <is>
          <t>VÄRMLANDS LÄN</t>
        </is>
      </c>
      <c r="E3824" t="inlineStr">
        <is>
          <t>FILIPSTAD</t>
        </is>
      </c>
      <c r="G3824" t="n">
        <v>14.7</v>
      </c>
      <c r="H3824" t="n">
        <v>0</v>
      </c>
      <c r="I3824" t="n">
        <v>0</v>
      </c>
      <c r="J3824" t="n">
        <v>0</v>
      </c>
      <c r="K3824" t="n">
        <v>0</v>
      </c>
      <c r="L3824" t="n">
        <v>0</v>
      </c>
      <c r="M3824" t="n">
        <v>0</v>
      </c>
      <c r="N3824" t="n">
        <v>0</v>
      </c>
      <c r="O3824" t="n">
        <v>0</v>
      </c>
      <c r="P3824" t="n">
        <v>0</v>
      </c>
      <c r="Q3824" t="n">
        <v>0</v>
      </c>
      <c r="R3824" s="2" t="inlineStr"/>
    </row>
    <row r="3825" ht="15" customHeight="1">
      <c r="A3825" t="inlineStr">
        <is>
          <t>A 68462-2020</t>
        </is>
      </c>
      <c r="B3825" s="1" t="n">
        <v>44186</v>
      </c>
      <c r="C3825" s="1" t="n">
        <v>45810</v>
      </c>
      <c r="D3825" t="inlineStr">
        <is>
          <t>VÄRMLANDS LÄN</t>
        </is>
      </c>
      <c r="E3825" t="inlineStr">
        <is>
          <t>SUNNE</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68476-2020</t>
        </is>
      </c>
      <c r="B3826" s="1" t="n">
        <v>44186</v>
      </c>
      <c r="C3826" s="1" t="n">
        <v>45810</v>
      </c>
      <c r="D3826" t="inlineStr">
        <is>
          <t>VÄRMLANDS LÄN</t>
        </is>
      </c>
      <c r="E3826" t="inlineStr">
        <is>
          <t>SUNNE</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68603-2020</t>
        </is>
      </c>
      <c r="B3827" s="1" t="n">
        <v>44186</v>
      </c>
      <c r="C3827" s="1" t="n">
        <v>45810</v>
      </c>
      <c r="D3827" t="inlineStr">
        <is>
          <t>VÄRMLANDS LÄN</t>
        </is>
      </c>
      <c r="E3827" t="inlineStr">
        <is>
          <t>TORSBY</t>
        </is>
      </c>
      <c r="G3827" t="n">
        <v>11.2</v>
      </c>
      <c r="H3827" t="n">
        <v>0</v>
      </c>
      <c r="I3827" t="n">
        <v>0</v>
      </c>
      <c r="J3827" t="n">
        <v>0</v>
      </c>
      <c r="K3827" t="n">
        <v>0</v>
      </c>
      <c r="L3827" t="n">
        <v>0</v>
      </c>
      <c r="M3827" t="n">
        <v>0</v>
      </c>
      <c r="N3827" t="n">
        <v>0</v>
      </c>
      <c r="O3827" t="n">
        <v>0</v>
      </c>
      <c r="P3827" t="n">
        <v>0</v>
      </c>
      <c r="Q3827" t="n">
        <v>0</v>
      </c>
      <c r="R3827" s="2" t="inlineStr"/>
    </row>
    <row r="3828" ht="15" customHeight="1">
      <c r="A3828" t="inlineStr">
        <is>
          <t>A 68620-2020</t>
        </is>
      </c>
      <c r="B3828" s="1" t="n">
        <v>44186</v>
      </c>
      <c r="C3828" s="1" t="n">
        <v>45810</v>
      </c>
      <c r="D3828" t="inlineStr">
        <is>
          <t>VÄRMLANDS LÄN</t>
        </is>
      </c>
      <c r="E3828" t="inlineStr">
        <is>
          <t>FILIPSTAD</t>
        </is>
      </c>
      <c r="G3828" t="n">
        <v>29.6</v>
      </c>
      <c r="H3828" t="n">
        <v>0</v>
      </c>
      <c r="I3828" t="n">
        <v>0</v>
      </c>
      <c r="J3828" t="n">
        <v>0</v>
      </c>
      <c r="K3828" t="n">
        <v>0</v>
      </c>
      <c r="L3828" t="n">
        <v>0</v>
      </c>
      <c r="M3828" t="n">
        <v>0</v>
      </c>
      <c r="N3828" t="n">
        <v>0</v>
      </c>
      <c r="O3828" t="n">
        <v>0</v>
      </c>
      <c r="P3828" t="n">
        <v>0</v>
      </c>
      <c r="Q3828" t="n">
        <v>0</v>
      </c>
      <c r="R3828" s="2" t="inlineStr"/>
    </row>
    <row r="3829" ht="15" customHeight="1">
      <c r="A3829" t="inlineStr">
        <is>
          <t>A 68665-2020</t>
        </is>
      </c>
      <c r="B3829" s="1" t="n">
        <v>44187</v>
      </c>
      <c r="C3829" s="1" t="n">
        <v>45810</v>
      </c>
      <c r="D3829" t="inlineStr">
        <is>
          <t>VÄRMLANDS LÄN</t>
        </is>
      </c>
      <c r="E3829" t="inlineStr">
        <is>
          <t>FORSHAGA</t>
        </is>
      </c>
      <c r="F3829" t="inlineStr">
        <is>
          <t>Bergvik skog väst AB</t>
        </is>
      </c>
      <c r="G3829" t="n">
        <v>5.7</v>
      </c>
      <c r="H3829" t="n">
        <v>0</v>
      </c>
      <c r="I3829" t="n">
        <v>0</v>
      </c>
      <c r="J3829" t="n">
        <v>0</v>
      </c>
      <c r="K3829" t="n">
        <v>0</v>
      </c>
      <c r="L3829" t="n">
        <v>0</v>
      </c>
      <c r="M3829" t="n">
        <v>0</v>
      </c>
      <c r="N3829" t="n">
        <v>0</v>
      </c>
      <c r="O3829" t="n">
        <v>0</v>
      </c>
      <c r="P3829" t="n">
        <v>0</v>
      </c>
      <c r="Q3829" t="n">
        <v>0</v>
      </c>
      <c r="R3829" s="2" t="inlineStr"/>
    </row>
    <row r="3830" ht="15" customHeight="1">
      <c r="A3830" t="inlineStr">
        <is>
          <t>A 68687-2020</t>
        </is>
      </c>
      <c r="B3830" s="1" t="n">
        <v>44187</v>
      </c>
      <c r="C3830" s="1" t="n">
        <v>45810</v>
      </c>
      <c r="D3830" t="inlineStr">
        <is>
          <t>VÄRMLANDS LÄN</t>
        </is>
      </c>
      <c r="E3830" t="inlineStr">
        <is>
          <t>ÅRJÄNG</t>
        </is>
      </c>
      <c r="G3830" t="n">
        <v>7.6</v>
      </c>
      <c r="H3830" t="n">
        <v>0</v>
      </c>
      <c r="I3830" t="n">
        <v>0</v>
      </c>
      <c r="J3830" t="n">
        <v>0</v>
      </c>
      <c r="K3830" t="n">
        <v>0</v>
      </c>
      <c r="L3830" t="n">
        <v>0</v>
      </c>
      <c r="M3830" t="n">
        <v>0</v>
      </c>
      <c r="N3830" t="n">
        <v>0</v>
      </c>
      <c r="O3830" t="n">
        <v>0</v>
      </c>
      <c r="P3830" t="n">
        <v>0</v>
      </c>
      <c r="Q3830" t="n">
        <v>0</v>
      </c>
      <c r="R3830" s="2" t="inlineStr"/>
    </row>
    <row r="3831" ht="15" customHeight="1">
      <c r="A3831" t="inlineStr">
        <is>
          <t>A 68842-2020</t>
        </is>
      </c>
      <c r="B3831" s="1" t="n">
        <v>44187</v>
      </c>
      <c r="C3831" s="1" t="n">
        <v>45810</v>
      </c>
      <c r="D3831" t="inlineStr">
        <is>
          <t>VÄRMLANDS LÄN</t>
        </is>
      </c>
      <c r="E3831" t="inlineStr">
        <is>
          <t>KARLSTAD</t>
        </is>
      </c>
      <c r="F3831" t="inlineStr">
        <is>
          <t>Bergvik skog väst AB</t>
        </is>
      </c>
      <c r="G3831" t="n">
        <v>2.7</v>
      </c>
      <c r="H3831" t="n">
        <v>0</v>
      </c>
      <c r="I3831" t="n">
        <v>0</v>
      </c>
      <c r="J3831" t="n">
        <v>0</v>
      </c>
      <c r="K3831" t="n">
        <v>0</v>
      </c>
      <c r="L3831" t="n">
        <v>0</v>
      </c>
      <c r="M3831" t="n">
        <v>0</v>
      </c>
      <c r="N3831" t="n">
        <v>0</v>
      </c>
      <c r="O3831" t="n">
        <v>0</v>
      </c>
      <c r="P3831" t="n">
        <v>0</v>
      </c>
      <c r="Q3831" t="n">
        <v>0</v>
      </c>
      <c r="R3831" s="2" t="inlineStr"/>
    </row>
    <row r="3832" ht="15" customHeight="1">
      <c r="A3832" t="inlineStr">
        <is>
          <t>A 68864-2020</t>
        </is>
      </c>
      <c r="B3832" s="1" t="n">
        <v>44187</v>
      </c>
      <c r="C3832" s="1" t="n">
        <v>45810</v>
      </c>
      <c r="D3832" t="inlineStr">
        <is>
          <t>VÄRMLANDS LÄN</t>
        </is>
      </c>
      <c r="E3832" t="inlineStr">
        <is>
          <t>SUNNE</t>
        </is>
      </c>
      <c r="F3832" t="inlineStr">
        <is>
          <t>Bergvik skog väst AB</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68672-2020</t>
        </is>
      </c>
      <c r="B3833" s="1" t="n">
        <v>44187</v>
      </c>
      <c r="C3833" s="1" t="n">
        <v>45810</v>
      </c>
      <c r="D3833" t="inlineStr">
        <is>
          <t>VÄRMLANDS LÄN</t>
        </is>
      </c>
      <c r="E3833" t="inlineStr">
        <is>
          <t>FORSHAGA</t>
        </is>
      </c>
      <c r="F3833" t="inlineStr">
        <is>
          <t>Bergvik skog väst AB</t>
        </is>
      </c>
      <c r="G3833" t="n">
        <v>5.6</v>
      </c>
      <c r="H3833" t="n">
        <v>0</v>
      </c>
      <c r="I3833" t="n">
        <v>0</v>
      </c>
      <c r="J3833" t="n">
        <v>0</v>
      </c>
      <c r="K3833" t="n">
        <v>0</v>
      </c>
      <c r="L3833" t="n">
        <v>0</v>
      </c>
      <c r="M3833" t="n">
        <v>0</v>
      </c>
      <c r="N3833" t="n">
        <v>0</v>
      </c>
      <c r="O3833" t="n">
        <v>0</v>
      </c>
      <c r="P3833" t="n">
        <v>0</v>
      </c>
      <c r="Q3833" t="n">
        <v>0</v>
      </c>
      <c r="R3833" s="2" t="inlineStr"/>
    </row>
    <row r="3834" ht="15" customHeight="1">
      <c r="A3834" t="inlineStr">
        <is>
          <t>A 68810-2020</t>
        </is>
      </c>
      <c r="B3834" s="1" t="n">
        <v>44187</v>
      </c>
      <c r="C3834" s="1" t="n">
        <v>45810</v>
      </c>
      <c r="D3834" t="inlineStr">
        <is>
          <t>VÄRMLANDS LÄN</t>
        </is>
      </c>
      <c r="E3834" t="inlineStr">
        <is>
          <t>SÄFFLE</t>
        </is>
      </c>
      <c r="F3834" t="inlineStr">
        <is>
          <t>Bergvik skog väst AB</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68858-2020</t>
        </is>
      </c>
      <c r="B3835" s="1" t="n">
        <v>44187</v>
      </c>
      <c r="C3835" s="1" t="n">
        <v>45810</v>
      </c>
      <c r="D3835" t="inlineStr">
        <is>
          <t>VÄRMLANDS LÄN</t>
        </is>
      </c>
      <c r="E3835" t="inlineStr">
        <is>
          <t>SUNNE</t>
        </is>
      </c>
      <c r="F3835" t="inlineStr">
        <is>
          <t>Bergvik skog väst AB</t>
        </is>
      </c>
      <c r="G3835" t="n">
        <v>3</v>
      </c>
      <c r="H3835" t="n">
        <v>0</v>
      </c>
      <c r="I3835" t="n">
        <v>0</v>
      </c>
      <c r="J3835" t="n">
        <v>0</v>
      </c>
      <c r="K3835" t="n">
        <v>0</v>
      </c>
      <c r="L3835" t="n">
        <v>0</v>
      </c>
      <c r="M3835" t="n">
        <v>0</v>
      </c>
      <c r="N3835" t="n">
        <v>0</v>
      </c>
      <c r="O3835" t="n">
        <v>0</v>
      </c>
      <c r="P3835" t="n">
        <v>0</v>
      </c>
      <c r="Q3835" t="n">
        <v>0</v>
      </c>
      <c r="R3835" s="2" t="inlineStr"/>
    </row>
    <row r="3836" ht="15" customHeight="1">
      <c r="A3836" t="inlineStr">
        <is>
          <t>A 68948-2020</t>
        </is>
      </c>
      <c r="B3836" s="1" t="n">
        <v>44187</v>
      </c>
      <c r="C3836" s="1" t="n">
        <v>45810</v>
      </c>
      <c r="D3836" t="inlineStr">
        <is>
          <t>VÄRMLANDS LÄN</t>
        </is>
      </c>
      <c r="E3836" t="inlineStr">
        <is>
          <t>SUNNE</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68866-2020</t>
        </is>
      </c>
      <c r="B3837" s="1" t="n">
        <v>44187</v>
      </c>
      <c r="C3837" s="1" t="n">
        <v>45810</v>
      </c>
      <c r="D3837" t="inlineStr">
        <is>
          <t>VÄRMLANDS LÄN</t>
        </is>
      </c>
      <c r="E3837" t="inlineStr">
        <is>
          <t>SUNNE</t>
        </is>
      </c>
      <c r="F3837" t="inlineStr">
        <is>
          <t>Bergvik skog väst AB</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68693-2020</t>
        </is>
      </c>
      <c r="B3838" s="1" t="n">
        <v>44187</v>
      </c>
      <c r="C3838" s="1" t="n">
        <v>45810</v>
      </c>
      <c r="D3838" t="inlineStr">
        <is>
          <t>VÄRMLANDS LÄN</t>
        </is>
      </c>
      <c r="E3838" t="inlineStr">
        <is>
          <t>ÅRJÄNG</t>
        </is>
      </c>
      <c r="G3838" t="n">
        <v>3.6</v>
      </c>
      <c r="H3838" t="n">
        <v>0</v>
      </c>
      <c r="I3838" t="n">
        <v>0</v>
      </c>
      <c r="J3838" t="n">
        <v>0</v>
      </c>
      <c r="K3838" t="n">
        <v>0</v>
      </c>
      <c r="L3838" t="n">
        <v>0</v>
      </c>
      <c r="M3838" t="n">
        <v>0</v>
      </c>
      <c r="N3838" t="n">
        <v>0</v>
      </c>
      <c r="O3838" t="n">
        <v>0</v>
      </c>
      <c r="P3838" t="n">
        <v>0</v>
      </c>
      <c r="Q3838" t="n">
        <v>0</v>
      </c>
      <c r="R3838" s="2" t="inlineStr"/>
    </row>
    <row r="3839" ht="15" customHeight="1">
      <c r="A3839" t="inlineStr">
        <is>
          <t>A 68877-2020</t>
        </is>
      </c>
      <c r="B3839" s="1" t="n">
        <v>44187</v>
      </c>
      <c r="C3839" s="1" t="n">
        <v>45810</v>
      </c>
      <c r="D3839" t="inlineStr">
        <is>
          <t>VÄRMLANDS LÄN</t>
        </is>
      </c>
      <c r="E3839" t="inlineStr">
        <is>
          <t>FILIPSTAD</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68907-2020</t>
        </is>
      </c>
      <c r="B3840" s="1" t="n">
        <v>44187</v>
      </c>
      <c r="C3840" s="1" t="n">
        <v>45810</v>
      </c>
      <c r="D3840" t="inlineStr">
        <is>
          <t>VÄRMLANDS LÄN</t>
        </is>
      </c>
      <c r="E3840" t="inlineStr">
        <is>
          <t>SUNNE</t>
        </is>
      </c>
      <c r="G3840" t="n">
        <v>3.9</v>
      </c>
      <c r="H3840" t="n">
        <v>0</v>
      </c>
      <c r="I3840" t="n">
        <v>0</v>
      </c>
      <c r="J3840" t="n">
        <v>0</v>
      </c>
      <c r="K3840" t="n">
        <v>0</v>
      </c>
      <c r="L3840" t="n">
        <v>0</v>
      </c>
      <c r="M3840" t="n">
        <v>0</v>
      </c>
      <c r="N3840" t="n">
        <v>0</v>
      </c>
      <c r="O3840" t="n">
        <v>0</v>
      </c>
      <c r="P3840" t="n">
        <v>0</v>
      </c>
      <c r="Q3840" t="n">
        <v>0</v>
      </c>
      <c r="R3840" s="2" t="inlineStr"/>
    </row>
    <row r="3841" ht="15" customHeight="1">
      <c r="A3841" t="inlineStr">
        <is>
          <t>A 68946-2020</t>
        </is>
      </c>
      <c r="B3841" s="1" t="n">
        <v>44187</v>
      </c>
      <c r="C3841" s="1" t="n">
        <v>45810</v>
      </c>
      <c r="D3841" t="inlineStr">
        <is>
          <t>VÄRMLANDS LÄN</t>
        </is>
      </c>
      <c r="E3841" t="inlineStr">
        <is>
          <t>SUNNE</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69031-2020</t>
        </is>
      </c>
      <c r="B3842" s="1" t="n">
        <v>44188</v>
      </c>
      <c r="C3842" s="1" t="n">
        <v>45810</v>
      </c>
      <c r="D3842" t="inlineStr">
        <is>
          <t>VÄRMLANDS LÄN</t>
        </is>
      </c>
      <c r="E3842" t="inlineStr">
        <is>
          <t>FORSHAGA</t>
        </is>
      </c>
      <c r="F3842" t="inlineStr">
        <is>
          <t>Bergvik skog väst AB</t>
        </is>
      </c>
      <c r="G3842" t="n">
        <v>3</v>
      </c>
      <c r="H3842" t="n">
        <v>0</v>
      </c>
      <c r="I3842" t="n">
        <v>0</v>
      </c>
      <c r="J3842" t="n">
        <v>0</v>
      </c>
      <c r="K3842" t="n">
        <v>0</v>
      </c>
      <c r="L3842" t="n">
        <v>0</v>
      </c>
      <c r="M3842" t="n">
        <v>0</v>
      </c>
      <c r="N3842" t="n">
        <v>0</v>
      </c>
      <c r="O3842" t="n">
        <v>0</v>
      </c>
      <c r="P3842" t="n">
        <v>0</v>
      </c>
      <c r="Q3842" t="n">
        <v>0</v>
      </c>
      <c r="R3842" s="2" t="inlineStr"/>
    </row>
    <row r="3843" ht="15" customHeight="1">
      <c r="A3843" t="inlineStr">
        <is>
          <t>A 68985-2020</t>
        </is>
      </c>
      <c r="B3843" s="1" t="n">
        <v>44188</v>
      </c>
      <c r="C3843" s="1" t="n">
        <v>45810</v>
      </c>
      <c r="D3843" t="inlineStr">
        <is>
          <t>VÄRMLANDS LÄN</t>
        </is>
      </c>
      <c r="E3843" t="inlineStr">
        <is>
          <t>FORSHAGA</t>
        </is>
      </c>
      <c r="F3843" t="inlineStr">
        <is>
          <t>Bergvik skog väst AB</t>
        </is>
      </c>
      <c r="G3843" t="n">
        <v>9.300000000000001</v>
      </c>
      <c r="H3843" t="n">
        <v>0</v>
      </c>
      <c r="I3843" t="n">
        <v>0</v>
      </c>
      <c r="J3843" t="n">
        <v>0</v>
      </c>
      <c r="K3843" t="n">
        <v>0</v>
      </c>
      <c r="L3843" t="n">
        <v>0</v>
      </c>
      <c r="M3843" t="n">
        <v>0</v>
      </c>
      <c r="N3843" t="n">
        <v>0</v>
      </c>
      <c r="O3843" t="n">
        <v>0</v>
      </c>
      <c r="P3843" t="n">
        <v>0</v>
      </c>
      <c r="Q3843" t="n">
        <v>0</v>
      </c>
      <c r="R3843" s="2" t="inlineStr"/>
    </row>
    <row r="3844" ht="15" customHeight="1">
      <c r="A3844" t="inlineStr">
        <is>
          <t>A 68988-2020</t>
        </is>
      </c>
      <c r="B3844" s="1" t="n">
        <v>44188</v>
      </c>
      <c r="C3844" s="1" t="n">
        <v>45810</v>
      </c>
      <c r="D3844" t="inlineStr">
        <is>
          <t>VÄRMLANDS LÄN</t>
        </is>
      </c>
      <c r="E3844" t="inlineStr">
        <is>
          <t>KARLSTAD</t>
        </is>
      </c>
      <c r="F3844" t="inlineStr">
        <is>
          <t>Bergvik skog väst AB</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69177-2020</t>
        </is>
      </c>
      <c r="B3845" s="1" t="n">
        <v>44189</v>
      </c>
      <c r="C3845" s="1" t="n">
        <v>45810</v>
      </c>
      <c r="D3845" t="inlineStr">
        <is>
          <t>VÄRMLANDS LÄN</t>
        </is>
      </c>
      <c r="E3845" t="inlineStr">
        <is>
          <t>SÄFFLE</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69228-2020</t>
        </is>
      </c>
      <c r="B3846" s="1" t="n">
        <v>44192</v>
      </c>
      <c r="C3846" s="1" t="n">
        <v>45810</v>
      </c>
      <c r="D3846" t="inlineStr">
        <is>
          <t>VÄRMLANDS LÄN</t>
        </is>
      </c>
      <c r="E3846" t="inlineStr">
        <is>
          <t>SUNNE</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69232-2020</t>
        </is>
      </c>
      <c r="B3847" s="1" t="n">
        <v>44192</v>
      </c>
      <c r="C3847" s="1" t="n">
        <v>45810</v>
      </c>
      <c r="D3847" t="inlineStr">
        <is>
          <t>VÄRMLANDS LÄN</t>
        </is>
      </c>
      <c r="E3847" t="inlineStr">
        <is>
          <t>SUNNE</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69245-2020</t>
        </is>
      </c>
      <c r="B3848" s="1" t="n">
        <v>44192</v>
      </c>
      <c r="C3848" s="1" t="n">
        <v>45810</v>
      </c>
      <c r="D3848" t="inlineStr">
        <is>
          <t>VÄRMLANDS LÄN</t>
        </is>
      </c>
      <c r="E3848" t="inlineStr">
        <is>
          <t>TORSBY</t>
        </is>
      </c>
      <c r="G3848" t="n">
        <v>0.2</v>
      </c>
      <c r="H3848" t="n">
        <v>0</v>
      </c>
      <c r="I3848" t="n">
        <v>0</v>
      </c>
      <c r="J3848" t="n">
        <v>0</v>
      </c>
      <c r="K3848" t="n">
        <v>0</v>
      </c>
      <c r="L3848" t="n">
        <v>0</v>
      </c>
      <c r="M3848" t="n">
        <v>0</v>
      </c>
      <c r="N3848" t="n">
        <v>0</v>
      </c>
      <c r="O3848" t="n">
        <v>0</v>
      </c>
      <c r="P3848" t="n">
        <v>0</v>
      </c>
      <c r="Q3848" t="n">
        <v>0</v>
      </c>
      <c r="R3848" s="2" t="inlineStr"/>
    </row>
    <row r="3849" ht="15" customHeight="1">
      <c r="A3849" t="inlineStr">
        <is>
          <t>A 69250-2020</t>
        </is>
      </c>
      <c r="B3849" s="1" t="n">
        <v>44192</v>
      </c>
      <c r="C3849" s="1" t="n">
        <v>45810</v>
      </c>
      <c r="D3849" t="inlineStr">
        <is>
          <t>VÄRMLANDS LÄN</t>
        </is>
      </c>
      <c r="E3849" t="inlineStr">
        <is>
          <t>TORSBY</t>
        </is>
      </c>
      <c r="G3849" t="n">
        <v>2.7</v>
      </c>
      <c r="H3849" t="n">
        <v>0</v>
      </c>
      <c r="I3849" t="n">
        <v>0</v>
      </c>
      <c r="J3849" t="n">
        <v>0</v>
      </c>
      <c r="K3849" t="n">
        <v>0</v>
      </c>
      <c r="L3849" t="n">
        <v>0</v>
      </c>
      <c r="M3849" t="n">
        <v>0</v>
      </c>
      <c r="N3849" t="n">
        <v>0</v>
      </c>
      <c r="O3849" t="n">
        <v>0</v>
      </c>
      <c r="P3849" t="n">
        <v>0</v>
      </c>
      <c r="Q3849" t="n">
        <v>0</v>
      </c>
      <c r="R3849" s="2" t="inlineStr"/>
    </row>
    <row r="3850" ht="15" customHeight="1">
      <c r="A3850" t="inlineStr">
        <is>
          <t>A 69230-2020</t>
        </is>
      </c>
      <c r="B3850" s="1" t="n">
        <v>44192</v>
      </c>
      <c r="C3850" s="1" t="n">
        <v>45810</v>
      </c>
      <c r="D3850" t="inlineStr">
        <is>
          <t>VÄRMLANDS LÄN</t>
        </is>
      </c>
      <c r="E3850" t="inlineStr">
        <is>
          <t>SUNNE</t>
        </is>
      </c>
      <c r="G3850" t="n">
        <v>3.5</v>
      </c>
      <c r="H3850" t="n">
        <v>0</v>
      </c>
      <c r="I3850" t="n">
        <v>0</v>
      </c>
      <c r="J3850" t="n">
        <v>0</v>
      </c>
      <c r="K3850" t="n">
        <v>0</v>
      </c>
      <c r="L3850" t="n">
        <v>0</v>
      </c>
      <c r="M3850" t="n">
        <v>0</v>
      </c>
      <c r="N3850" t="n">
        <v>0</v>
      </c>
      <c r="O3850" t="n">
        <v>0</v>
      </c>
      <c r="P3850" t="n">
        <v>0</v>
      </c>
      <c r="Q3850" t="n">
        <v>0</v>
      </c>
      <c r="R3850" s="2" t="inlineStr"/>
    </row>
    <row r="3851" ht="15" customHeight="1">
      <c r="A3851" t="inlineStr">
        <is>
          <t>A 69242-2020</t>
        </is>
      </c>
      <c r="B3851" s="1" t="n">
        <v>44192</v>
      </c>
      <c r="C3851" s="1" t="n">
        <v>45810</v>
      </c>
      <c r="D3851" t="inlineStr">
        <is>
          <t>VÄRMLANDS LÄN</t>
        </is>
      </c>
      <c r="E3851" t="inlineStr">
        <is>
          <t>TORSBY</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69247-2020</t>
        </is>
      </c>
      <c r="B3852" s="1" t="n">
        <v>44192</v>
      </c>
      <c r="C3852" s="1" t="n">
        <v>45810</v>
      </c>
      <c r="D3852" t="inlineStr">
        <is>
          <t>VÄRMLANDS LÄN</t>
        </is>
      </c>
      <c r="E3852" t="inlineStr">
        <is>
          <t>TORSBY</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69231-2020</t>
        </is>
      </c>
      <c r="B3853" s="1" t="n">
        <v>44192</v>
      </c>
      <c r="C3853" s="1" t="n">
        <v>45810</v>
      </c>
      <c r="D3853" t="inlineStr">
        <is>
          <t>VÄRMLANDS LÄN</t>
        </is>
      </c>
      <c r="E3853" t="inlineStr">
        <is>
          <t>SUNNE</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69237-2020</t>
        </is>
      </c>
      <c r="B3854" s="1" t="n">
        <v>44192</v>
      </c>
      <c r="C3854" s="1" t="n">
        <v>45810</v>
      </c>
      <c r="D3854" t="inlineStr">
        <is>
          <t>VÄRMLANDS LÄN</t>
        </is>
      </c>
      <c r="E3854" t="inlineStr">
        <is>
          <t>KRISTINEHAMN</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69244-2020</t>
        </is>
      </c>
      <c r="B3855" s="1" t="n">
        <v>44192</v>
      </c>
      <c r="C3855" s="1" t="n">
        <v>45810</v>
      </c>
      <c r="D3855" t="inlineStr">
        <is>
          <t>VÄRMLANDS LÄN</t>
        </is>
      </c>
      <c r="E3855" t="inlineStr">
        <is>
          <t>TORSBY</t>
        </is>
      </c>
      <c r="G3855" t="n">
        <v>2.6</v>
      </c>
      <c r="H3855" t="n">
        <v>0</v>
      </c>
      <c r="I3855" t="n">
        <v>0</v>
      </c>
      <c r="J3855" t="n">
        <v>0</v>
      </c>
      <c r="K3855" t="n">
        <v>0</v>
      </c>
      <c r="L3855" t="n">
        <v>0</v>
      </c>
      <c r="M3855" t="n">
        <v>0</v>
      </c>
      <c r="N3855" t="n">
        <v>0</v>
      </c>
      <c r="O3855" t="n">
        <v>0</v>
      </c>
      <c r="P3855" t="n">
        <v>0</v>
      </c>
      <c r="Q3855" t="n">
        <v>0</v>
      </c>
      <c r="R3855" s="2" t="inlineStr"/>
    </row>
    <row r="3856" ht="15" customHeight="1">
      <c r="A3856" t="inlineStr">
        <is>
          <t>A 69248-2020</t>
        </is>
      </c>
      <c r="B3856" s="1" t="n">
        <v>44192</v>
      </c>
      <c r="C3856" s="1" t="n">
        <v>45810</v>
      </c>
      <c r="D3856" t="inlineStr">
        <is>
          <t>VÄRMLANDS LÄN</t>
        </is>
      </c>
      <c r="E3856" t="inlineStr">
        <is>
          <t>TORSBY</t>
        </is>
      </c>
      <c r="G3856" t="n">
        <v>0.4</v>
      </c>
      <c r="H3856" t="n">
        <v>0</v>
      </c>
      <c r="I3856" t="n">
        <v>0</v>
      </c>
      <c r="J3856" t="n">
        <v>0</v>
      </c>
      <c r="K3856" t="n">
        <v>0</v>
      </c>
      <c r="L3856" t="n">
        <v>0</v>
      </c>
      <c r="M3856" t="n">
        <v>0</v>
      </c>
      <c r="N3856" t="n">
        <v>0</v>
      </c>
      <c r="O3856" t="n">
        <v>0</v>
      </c>
      <c r="P3856" t="n">
        <v>0</v>
      </c>
      <c r="Q3856" t="n">
        <v>0</v>
      </c>
      <c r="R3856" s="2" t="inlineStr"/>
    </row>
    <row r="3857" ht="15" customHeight="1">
      <c r="A3857" t="inlineStr">
        <is>
          <t>A 69233-2020</t>
        </is>
      </c>
      <c r="B3857" s="1" t="n">
        <v>44192</v>
      </c>
      <c r="C3857" s="1" t="n">
        <v>45810</v>
      </c>
      <c r="D3857" t="inlineStr">
        <is>
          <t>VÄRMLANDS LÄN</t>
        </is>
      </c>
      <c r="E3857" t="inlineStr">
        <is>
          <t>SUNNE</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69241-2020</t>
        </is>
      </c>
      <c r="B3858" s="1" t="n">
        <v>44192</v>
      </c>
      <c r="C3858" s="1" t="n">
        <v>45810</v>
      </c>
      <c r="D3858" t="inlineStr">
        <is>
          <t>VÄRMLANDS LÄN</t>
        </is>
      </c>
      <c r="E3858" t="inlineStr">
        <is>
          <t>TORSBY</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69246-2020</t>
        </is>
      </c>
      <c r="B3859" s="1" t="n">
        <v>44192</v>
      </c>
      <c r="C3859" s="1" t="n">
        <v>45810</v>
      </c>
      <c r="D3859" t="inlineStr">
        <is>
          <t>VÄRMLANDS LÄN</t>
        </is>
      </c>
      <c r="E3859" t="inlineStr">
        <is>
          <t>TORSBY</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69270-2020</t>
        </is>
      </c>
      <c r="B3860" s="1" t="n">
        <v>44193</v>
      </c>
      <c r="C3860" s="1" t="n">
        <v>45810</v>
      </c>
      <c r="D3860" t="inlineStr">
        <is>
          <t>VÄRMLANDS LÄN</t>
        </is>
      </c>
      <c r="E3860" t="inlineStr">
        <is>
          <t>SÄFFLE</t>
        </is>
      </c>
      <c r="F3860" t="inlineStr">
        <is>
          <t>Bergvik skog väst AB</t>
        </is>
      </c>
      <c r="G3860" t="n">
        <v>9.6</v>
      </c>
      <c r="H3860" t="n">
        <v>0</v>
      </c>
      <c r="I3860" t="n">
        <v>0</v>
      </c>
      <c r="J3860" t="n">
        <v>0</v>
      </c>
      <c r="K3860" t="n">
        <v>0</v>
      </c>
      <c r="L3860" t="n">
        <v>0</v>
      </c>
      <c r="M3860" t="n">
        <v>0</v>
      </c>
      <c r="N3860" t="n">
        <v>0</v>
      </c>
      <c r="O3860" t="n">
        <v>0</v>
      </c>
      <c r="P3860" t="n">
        <v>0</v>
      </c>
      <c r="Q3860" t="n">
        <v>0</v>
      </c>
      <c r="R3860" s="2" t="inlineStr"/>
    </row>
    <row r="3861" ht="15" customHeight="1">
      <c r="A3861" t="inlineStr">
        <is>
          <t>A 69361-2020</t>
        </is>
      </c>
      <c r="B3861" s="1" t="n">
        <v>44193</v>
      </c>
      <c r="C3861" s="1" t="n">
        <v>45810</v>
      </c>
      <c r="D3861" t="inlineStr">
        <is>
          <t>VÄRMLANDS LÄN</t>
        </is>
      </c>
      <c r="E3861" t="inlineStr">
        <is>
          <t>ARVIKA</t>
        </is>
      </c>
      <c r="G3861" t="n">
        <v>4.7</v>
      </c>
      <c r="H3861" t="n">
        <v>0</v>
      </c>
      <c r="I3861" t="n">
        <v>0</v>
      </c>
      <c r="J3861" t="n">
        <v>0</v>
      </c>
      <c r="K3861" t="n">
        <v>0</v>
      </c>
      <c r="L3861" t="n">
        <v>0</v>
      </c>
      <c r="M3861" t="n">
        <v>0</v>
      </c>
      <c r="N3861" t="n">
        <v>0</v>
      </c>
      <c r="O3861" t="n">
        <v>0</v>
      </c>
      <c r="P3861" t="n">
        <v>0</v>
      </c>
      <c r="Q3861" t="n">
        <v>0</v>
      </c>
      <c r="R3861" s="2" t="inlineStr"/>
    </row>
    <row r="3862" ht="15" customHeight="1">
      <c r="A3862" t="inlineStr">
        <is>
          <t>A 69384-2020</t>
        </is>
      </c>
      <c r="B3862" s="1" t="n">
        <v>44193</v>
      </c>
      <c r="C3862" s="1" t="n">
        <v>45810</v>
      </c>
      <c r="D3862" t="inlineStr">
        <is>
          <t>VÄRMLANDS LÄN</t>
        </is>
      </c>
      <c r="E3862" t="inlineStr">
        <is>
          <t>KRISTINEHAMN</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69266-2020</t>
        </is>
      </c>
      <c r="B3863" s="1" t="n">
        <v>44193</v>
      </c>
      <c r="C3863" s="1" t="n">
        <v>45810</v>
      </c>
      <c r="D3863" t="inlineStr">
        <is>
          <t>VÄRMLANDS LÄN</t>
        </is>
      </c>
      <c r="E3863" t="inlineStr">
        <is>
          <t>SÄFFLE</t>
        </is>
      </c>
      <c r="F3863" t="inlineStr">
        <is>
          <t>Bergvik skog väst AB</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69364-2020</t>
        </is>
      </c>
      <c r="B3864" s="1" t="n">
        <v>44193</v>
      </c>
      <c r="C3864" s="1" t="n">
        <v>45810</v>
      </c>
      <c r="D3864" t="inlineStr">
        <is>
          <t>VÄRMLANDS LÄN</t>
        </is>
      </c>
      <c r="E3864" t="inlineStr">
        <is>
          <t>SÄFFLE</t>
        </is>
      </c>
      <c r="F3864" t="inlineStr">
        <is>
          <t>Bergvik skog väst AB</t>
        </is>
      </c>
      <c r="G3864" t="n">
        <v>3.1</v>
      </c>
      <c r="H3864" t="n">
        <v>0</v>
      </c>
      <c r="I3864" t="n">
        <v>0</v>
      </c>
      <c r="J3864" t="n">
        <v>0</v>
      </c>
      <c r="K3864" t="n">
        <v>0</v>
      </c>
      <c r="L3864" t="n">
        <v>0</v>
      </c>
      <c r="M3864" t="n">
        <v>0</v>
      </c>
      <c r="N3864" t="n">
        <v>0</v>
      </c>
      <c r="O3864" t="n">
        <v>0</v>
      </c>
      <c r="P3864" t="n">
        <v>0</v>
      </c>
      <c r="Q3864" t="n">
        <v>0</v>
      </c>
      <c r="R3864" s="2" t="inlineStr"/>
    </row>
    <row r="3865" ht="15" customHeight="1">
      <c r="A3865" t="inlineStr">
        <is>
          <t>A 69367-2020</t>
        </is>
      </c>
      <c r="B3865" s="1" t="n">
        <v>44193</v>
      </c>
      <c r="C3865" s="1" t="n">
        <v>45810</v>
      </c>
      <c r="D3865" t="inlineStr">
        <is>
          <t>VÄRMLANDS LÄN</t>
        </is>
      </c>
      <c r="E3865" t="inlineStr">
        <is>
          <t>ARVIKA</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69408-2020</t>
        </is>
      </c>
      <c r="B3866" s="1" t="n">
        <v>44193</v>
      </c>
      <c r="C3866" s="1" t="n">
        <v>45810</v>
      </c>
      <c r="D3866" t="inlineStr">
        <is>
          <t>VÄRMLANDS LÄN</t>
        </is>
      </c>
      <c r="E3866" t="inlineStr">
        <is>
          <t>SUNNE</t>
        </is>
      </c>
      <c r="G3866" t="n">
        <v>3.7</v>
      </c>
      <c r="H3866" t="n">
        <v>0</v>
      </c>
      <c r="I3866" t="n">
        <v>0</v>
      </c>
      <c r="J3866" t="n">
        <v>0</v>
      </c>
      <c r="K3866" t="n">
        <v>0</v>
      </c>
      <c r="L3866" t="n">
        <v>0</v>
      </c>
      <c r="M3866" t="n">
        <v>0</v>
      </c>
      <c r="N3866" t="n">
        <v>0</v>
      </c>
      <c r="O3866" t="n">
        <v>0</v>
      </c>
      <c r="P3866" t="n">
        <v>0</v>
      </c>
      <c r="Q3866" t="n">
        <v>0</v>
      </c>
      <c r="R3866" s="2" t="inlineStr"/>
    </row>
    <row r="3867" ht="15" customHeight="1">
      <c r="A3867" t="inlineStr">
        <is>
          <t>A 69443-2020</t>
        </is>
      </c>
      <c r="B3867" s="1" t="n">
        <v>44194</v>
      </c>
      <c r="C3867" s="1" t="n">
        <v>45810</v>
      </c>
      <c r="D3867" t="inlineStr">
        <is>
          <t>VÄRMLANDS LÄN</t>
        </is>
      </c>
      <c r="E3867" t="inlineStr">
        <is>
          <t>SÄFFLE</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69492-2020</t>
        </is>
      </c>
      <c r="B3868" s="1" t="n">
        <v>44194</v>
      </c>
      <c r="C3868" s="1" t="n">
        <v>45810</v>
      </c>
      <c r="D3868" t="inlineStr">
        <is>
          <t>VÄRMLANDS LÄN</t>
        </is>
      </c>
      <c r="E3868" t="inlineStr">
        <is>
          <t>KRISTINEHAMN</t>
        </is>
      </c>
      <c r="F3868" t="inlineStr">
        <is>
          <t>Sveaskog</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69520-2020</t>
        </is>
      </c>
      <c r="B3869" s="1" t="n">
        <v>44194</v>
      </c>
      <c r="C3869" s="1" t="n">
        <v>45810</v>
      </c>
      <c r="D3869" t="inlineStr">
        <is>
          <t>VÄRMLANDS LÄN</t>
        </is>
      </c>
      <c r="E3869" t="inlineStr">
        <is>
          <t>ÅRJÄNG</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69434-2020</t>
        </is>
      </c>
      <c r="B3870" s="1" t="n">
        <v>44194</v>
      </c>
      <c r="C3870" s="1" t="n">
        <v>45810</v>
      </c>
      <c r="D3870" t="inlineStr">
        <is>
          <t>VÄRMLANDS LÄN</t>
        </is>
      </c>
      <c r="E3870" t="inlineStr">
        <is>
          <t>TORSBY</t>
        </is>
      </c>
      <c r="G3870" t="n">
        <v>6.3</v>
      </c>
      <c r="H3870" t="n">
        <v>0</v>
      </c>
      <c r="I3870" t="n">
        <v>0</v>
      </c>
      <c r="J3870" t="n">
        <v>0</v>
      </c>
      <c r="K3870" t="n">
        <v>0</v>
      </c>
      <c r="L3870" t="n">
        <v>0</v>
      </c>
      <c r="M3870" t="n">
        <v>0</v>
      </c>
      <c r="N3870" t="n">
        <v>0</v>
      </c>
      <c r="O3870" t="n">
        <v>0</v>
      </c>
      <c r="P3870" t="n">
        <v>0</v>
      </c>
      <c r="Q3870" t="n">
        <v>0</v>
      </c>
      <c r="R3870" s="2" t="inlineStr"/>
    </row>
    <row r="3871" ht="15" customHeight="1">
      <c r="A3871" t="inlineStr">
        <is>
          <t>A 69448-2020</t>
        </is>
      </c>
      <c r="B3871" s="1" t="n">
        <v>44194</v>
      </c>
      <c r="C3871" s="1" t="n">
        <v>45810</v>
      </c>
      <c r="D3871" t="inlineStr">
        <is>
          <t>VÄRMLANDS LÄN</t>
        </is>
      </c>
      <c r="E3871" t="inlineStr">
        <is>
          <t>TORSBY</t>
        </is>
      </c>
      <c r="G3871" t="n">
        <v>4.8</v>
      </c>
      <c r="H3871" t="n">
        <v>0</v>
      </c>
      <c r="I3871" t="n">
        <v>0</v>
      </c>
      <c r="J3871" t="n">
        <v>0</v>
      </c>
      <c r="K3871" t="n">
        <v>0</v>
      </c>
      <c r="L3871" t="n">
        <v>0</v>
      </c>
      <c r="M3871" t="n">
        <v>0</v>
      </c>
      <c r="N3871" t="n">
        <v>0</v>
      </c>
      <c r="O3871" t="n">
        <v>0</v>
      </c>
      <c r="P3871" t="n">
        <v>0</v>
      </c>
      <c r="Q3871" t="n">
        <v>0</v>
      </c>
      <c r="R3871" s="2" t="inlineStr"/>
    </row>
    <row r="3872" ht="15" customHeight="1">
      <c r="A3872" t="inlineStr">
        <is>
          <t>A 69647-2020</t>
        </is>
      </c>
      <c r="B3872" s="1" t="n">
        <v>44195</v>
      </c>
      <c r="C3872" s="1" t="n">
        <v>45810</v>
      </c>
      <c r="D3872" t="inlineStr">
        <is>
          <t>VÄRMLANDS LÄN</t>
        </is>
      </c>
      <c r="E3872" t="inlineStr">
        <is>
          <t>ÅRJÄNG</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69661-2020</t>
        </is>
      </c>
      <c r="B3873" s="1" t="n">
        <v>44195</v>
      </c>
      <c r="C3873" s="1" t="n">
        <v>45810</v>
      </c>
      <c r="D3873" t="inlineStr">
        <is>
          <t>VÄRMLANDS LÄN</t>
        </is>
      </c>
      <c r="E3873" t="inlineStr">
        <is>
          <t>KRISTINEHAMN</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69584-2020</t>
        </is>
      </c>
      <c r="B3874" s="1" t="n">
        <v>44195</v>
      </c>
      <c r="C3874" s="1" t="n">
        <v>45810</v>
      </c>
      <c r="D3874" t="inlineStr">
        <is>
          <t>VÄRMLANDS LÄN</t>
        </is>
      </c>
      <c r="E3874" t="inlineStr">
        <is>
          <t>ÅRJÄNG</t>
        </is>
      </c>
      <c r="G3874" t="n">
        <v>0.3</v>
      </c>
      <c r="H3874" t="n">
        <v>0</v>
      </c>
      <c r="I3874" t="n">
        <v>0</v>
      </c>
      <c r="J3874" t="n">
        <v>0</v>
      </c>
      <c r="K3874" t="n">
        <v>0</v>
      </c>
      <c r="L3874" t="n">
        <v>0</v>
      </c>
      <c r="M3874" t="n">
        <v>0</v>
      </c>
      <c r="N3874" t="n">
        <v>0</v>
      </c>
      <c r="O3874" t="n">
        <v>0</v>
      </c>
      <c r="P3874" t="n">
        <v>0</v>
      </c>
      <c r="Q3874" t="n">
        <v>0</v>
      </c>
      <c r="R3874" s="2" t="inlineStr"/>
    </row>
    <row r="3875" ht="15" customHeight="1">
      <c r="A3875" t="inlineStr">
        <is>
          <t>A 69628-2020</t>
        </is>
      </c>
      <c r="B3875" s="1" t="n">
        <v>44195</v>
      </c>
      <c r="C3875" s="1" t="n">
        <v>45810</v>
      </c>
      <c r="D3875" t="inlineStr">
        <is>
          <t>VÄRMLANDS LÄN</t>
        </is>
      </c>
      <c r="E3875" t="inlineStr">
        <is>
          <t>TORSBY</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105-2021</t>
        </is>
      </c>
      <c r="B3876" s="1" t="n">
        <v>44200</v>
      </c>
      <c r="C3876" s="1" t="n">
        <v>45810</v>
      </c>
      <c r="D3876" t="inlineStr">
        <is>
          <t>VÄRMLANDS LÄN</t>
        </is>
      </c>
      <c r="E3876" t="inlineStr">
        <is>
          <t>KRISTINEHAMN</t>
        </is>
      </c>
      <c r="G3876" t="n">
        <v>4.7</v>
      </c>
      <c r="H3876" t="n">
        <v>0</v>
      </c>
      <c r="I3876" t="n">
        <v>0</v>
      </c>
      <c r="J3876" t="n">
        <v>0</v>
      </c>
      <c r="K3876" t="n">
        <v>0</v>
      </c>
      <c r="L3876" t="n">
        <v>0</v>
      </c>
      <c r="M3876" t="n">
        <v>0</v>
      </c>
      <c r="N3876" t="n">
        <v>0</v>
      </c>
      <c r="O3876" t="n">
        <v>0</v>
      </c>
      <c r="P3876" t="n">
        <v>0</v>
      </c>
      <c r="Q3876" t="n">
        <v>0</v>
      </c>
      <c r="R3876" s="2" t="inlineStr"/>
    </row>
    <row r="3877" ht="15" customHeight="1">
      <c r="A3877" t="inlineStr">
        <is>
          <t>A 170-2021</t>
        </is>
      </c>
      <c r="B3877" s="1" t="n">
        <v>44200</v>
      </c>
      <c r="C3877" s="1" t="n">
        <v>45810</v>
      </c>
      <c r="D3877" t="inlineStr">
        <is>
          <t>VÄRMLANDS LÄN</t>
        </is>
      </c>
      <c r="E3877" t="inlineStr">
        <is>
          <t>STORFORS</t>
        </is>
      </c>
      <c r="F3877" t="inlineStr">
        <is>
          <t>Bergvik skog väst AB</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179-2021</t>
        </is>
      </c>
      <c r="B3878" s="1" t="n">
        <v>44200</v>
      </c>
      <c r="C3878" s="1" t="n">
        <v>45810</v>
      </c>
      <c r="D3878" t="inlineStr">
        <is>
          <t>VÄRMLANDS LÄN</t>
        </is>
      </c>
      <c r="E3878" t="inlineStr">
        <is>
          <t>SUNNE</t>
        </is>
      </c>
      <c r="G3878" t="n">
        <v>10.1</v>
      </c>
      <c r="H3878" t="n">
        <v>0</v>
      </c>
      <c r="I3878" t="n">
        <v>0</v>
      </c>
      <c r="J3878" t="n">
        <v>0</v>
      </c>
      <c r="K3878" t="n">
        <v>0</v>
      </c>
      <c r="L3878" t="n">
        <v>0</v>
      </c>
      <c r="M3878" t="n">
        <v>0</v>
      </c>
      <c r="N3878" t="n">
        <v>0</v>
      </c>
      <c r="O3878" t="n">
        <v>0</v>
      </c>
      <c r="P3878" t="n">
        <v>0</v>
      </c>
      <c r="Q3878" t="n">
        <v>0</v>
      </c>
      <c r="R3878" s="2" t="inlineStr"/>
    </row>
    <row r="3879" ht="15" customHeight="1">
      <c r="A3879" t="inlineStr">
        <is>
          <t>A 176-2021</t>
        </is>
      </c>
      <c r="B3879" s="1" t="n">
        <v>44200</v>
      </c>
      <c r="C3879" s="1" t="n">
        <v>45810</v>
      </c>
      <c r="D3879" t="inlineStr">
        <is>
          <t>VÄRMLANDS LÄN</t>
        </is>
      </c>
      <c r="E3879" t="inlineStr">
        <is>
          <t>STORFORS</t>
        </is>
      </c>
      <c r="F3879" t="inlineStr">
        <is>
          <t>Bergvik skog väst AB</t>
        </is>
      </c>
      <c r="G3879" t="n">
        <v>8.199999999999999</v>
      </c>
      <c r="H3879" t="n">
        <v>0</v>
      </c>
      <c r="I3879" t="n">
        <v>0</v>
      </c>
      <c r="J3879" t="n">
        <v>0</v>
      </c>
      <c r="K3879" t="n">
        <v>0</v>
      </c>
      <c r="L3879" t="n">
        <v>0</v>
      </c>
      <c r="M3879" t="n">
        <v>0</v>
      </c>
      <c r="N3879" t="n">
        <v>0</v>
      </c>
      <c r="O3879" t="n">
        <v>0</v>
      </c>
      <c r="P3879" t="n">
        <v>0</v>
      </c>
      <c r="Q3879" t="n">
        <v>0</v>
      </c>
      <c r="R3879" s="2" t="inlineStr"/>
    </row>
    <row r="3880" ht="15" customHeight="1">
      <c r="A3880" t="inlineStr">
        <is>
          <t>A 183-2021</t>
        </is>
      </c>
      <c r="B3880" s="1" t="n">
        <v>44200</v>
      </c>
      <c r="C3880" s="1" t="n">
        <v>45810</v>
      </c>
      <c r="D3880" t="inlineStr">
        <is>
          <t>VÄRMLANDS LÄN</t>
        </is>
      </c>
      <c r="E3880" t="inlineStr">
        <is>
          <t>SUNNE</t>
        </is>
      </c>
      <c r="F3880" t="inlineStr">
        <is>
          <t>Övriga Aktiebolag</t>
        </is>
      </c>
      <c r="G3880" t="n">
        <v>6</v>
      </c>
      <c r="H3880" t="n">
        <v>0</v>
      </c>
      <c r="I3880" t="n">
        <v>0</v>
      </c>
      <c r="J3880" t="n">
        <v>0</v>
      </c>
      <c r="K3880" t="n">
        <v>0</v>
      </c>
      <c r="L3880" t="n">
        <v>0</v>
      </c>
      <c r="M3880" t="n">
        <v>0</v>
      </c>
      <c r="N3880" t="n">
        <v>0</v>
      </c>
      <c r="O3880" t="n">
        <v>0</v>
      </c>
      <c r="P3880" t="n">
        <v>0</v>
      </c>
      <c r="Q3880" t="n">
        <v>0</v>
      </c>
      <c r="R3880" s="2" t="inlineStr"/>
    </row>
    <row r="3881" ht="15" customHeight="1">
      <c r="A3881" t="inlineStr">
        <is>
          <t>A 210-2021</t>
        </is>
      </c>
      <c r="B3881" s="1" t="n">
        <v>44200</v>
      </c>
      <c r="C3881" s="1" t="n">
        <v>45810</v>
      </c>
      <c r="D3881" t="inlineStr">
        <is>
          <t>VÄRMLANDS LÄN</t>
        </is>
      </c>
      <c r="E3881" t="inlineStr">
        <is>
          <t>SUNNE</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253-2021</t>
        </is>
      </c>
      <c r="B3882" s="1" t="n">
        <v>44200</v>
      </c>
      <c r="C3882" s="1" t="n">
        <v>45810</v>
      </c>
      <c r="D3882" t="inlineStr">
        <is>
          <t>VÄRMLANDS LÄN</t>
        </is>
      </c>
      <c r="E3882" t="inlineStr">
        <is>
          <t>SUNNE</t>
        </is>
      </c>
      <c r="G3882" t="n">
        <v>11.7</v>
      </c>
      <c r="H3882" t="n">
        <v>0</v>
      </c>
      <c r="I3882" t="n">
        <v>0</v>
      </c>
      <c r="J3882" t="n">
        <v>0</v>
      </c>
      <c r="K3882" t="n">
        <v>0</v>
      </c>
      <c r="L3882" t="n">
        <v>0</v>
      </c>
      <c r="M3882" t="n">
        <v>0</v>
      </c>
      <c r="N3882" t="n">
        <v>0</v>
      </c>
      <c r="O3882" t="n">
        <v>0</v>
      </c>
      <c r="P3882" t="n">
        <v>0</v>
      </c>
      <c r="Q3882" t="n">
        <v>0</v>
      </c>
      <c r="R3882" s="2" t="inlineStr"/>
    </row>
    <row r="3883" ht="15" customHeight="1">
      <c r="A3883" t="inlineStr">
        <is>
          <t>A 201-2021</t>
        </is>
      </c>
      <c r="B3883" s="1" t="n">
        <v>44200</v>
      </c>
      <c r="C3883" s="1" t="n">
        <v>45810</v>
      </c>
      <c r="D3883" t="inlineStr">
        <is>
          <t>VÄRMLANDS LÄN</t>
        </is>
      </c>
      <c r="E3883" t="inlineStr">
        <is>
          <t>SUNNE</t>
        </is>
      </c>
      <c r="F3883" t="inlineStr">
        <is>
          <t>Övriga Aktiebolag</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260-2021</t>
        </is>
      </c>
      <c r="B3884" s="1" t="n">
        <v>44200</v>
      </c>
      <c r="C3884" s="1" t="n">
        <v>45810</v>
      </c>
      <c r="D3884" t="inlineStr">
        <is>
          <t>VÄRMLANDS LÄN</t>
        </is>
      </c>
      <c r="E3884" t="inlineStr">
        <is>
          <t>ARVIKA</t>
        </is>
      </c>
      <c r="G3884" t="n">
        <v>4</v>
      </c>
      <c r="H3884" t="n">
        <v>0</v>
      </c>
      <c r="I3884" t="n">
        <v>0</v>
      </c>
      <c r="J3884" t="n">
        <v>0</v>
      </c>
      <c r="K3884" t="n">
        <v>0</v>
      </c>
      <c r="L3884" t="n">
        <v>0</v>
      </c>
      <c r="M3884" t="n">
        <v>0</v>
      </c>
      <c r="N3884" t="n">
        <v>0</v>
      </c>
      <c r="O3884" t="n">
        <v>0</v>
      </c>
      <c r="P3884" t="n">
        <v>0</v>
      </c>
      <c r="Q3884" t="n">
        <v>0</v>
      </c>
      <c r="R3884" s="2" t="inlineStr"/>
    </row>
    <row r="3885" ht="15" customHeight="1">
      <c r="A3885" t="inlineStr">
        <is>
          <t>A 485-2021</t>
        </is>
      </c>
      <c r="B3885" s="1" t="n">
        <v>44200</v>
      </c>
      <c r="C3885" s="1" t="n">
        <v>45810</v>
      </c>
      <c r="D3885" t="inlineStr">
        <is>
          <t>VÄRMLANDS LÄN</t>
        </is>
      </c>
      <c r="E3885" t="inlineStr">
        <is>
          <t>ARVIKA</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351-2021</t>
        </is>
      </c>
      <c r="B3886" s="1" t="n">
        <v>44201</v>
      </c>
      <c r="C3886" s="1" t="n">
        <v>45810</v>
      </c>
      <c r="D3886" t="inlineStr">
        <is>
          <t>VÄRMLANDS LÄN</t>
        </is>
      </c>
      <c r="E3886" t="inlineStr">
        <is>
          <t>SUNNE</t>
        </is>
      </c>
      <c r="F3886" t="inlineStr">
        <is>
          <t>Övriga statliga verk och myndigheter</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387-2021</t>
        </is>
      </c>
      <c r="B3887" s="1" t="n">
        <v>44201</v>
      </c>
      <c r="C3887" s="1" t="n">
        <v>45810</v>
      </c>
      <c r="D3887" t="inlineStr">
        <is>
          <t>VÄRMLANDS LÄN</t>
        </is>
      </c>
      <c r="E3887" t="inlineStr">
        <is>
          <t>ÅRJÄNG</t>
        </is>
      </c>
      <c r="G3887" t="n">
        <v>2.6</v>
      </c>
      <c r="H3887" t="n">
        <v>0</v>
      </c>
      <c r="I3887" t="n">
        <v>0</v>
      </c>
      <c r="J3887" t="n">
        <v>0</v>
      </c>
      <c r="K3887" t="n">
        <v>0</v>
      </c>
      <c r="L3887" t="n">
        <v>0</v>
      </c>
      <c r="M3887" t="n">
        <v>0</v>
      </c>
      <c r="N3887" t="n">
        <v>0</v>
      </c>
      <c r="O3887" t="n">
        <v>0</v>
      </c>
      <c r="P3887" t="n">
        <v>0</v>
      </c>
      <c r="Q3887" t="n">
        <v>0</v>
      </c>
      <c r="R3887" s="2" t="inlineStr"/>
    </row>
    <row r="3888" ht="15" customHeight="1">
      <c r="A3888" t="inlineStr">
        <is>
          <t>A 602-2021</t>
        </is>
      </c>
      <c r="B3888" s="1" t="n">
        <v>44201</v>
      </c>
      <c r="C3888" s="1" t="n">
        <v>45810</v>
      </c>
      <c r="D3888" t="inlineStr">
        <is>
          <t>VÄRMLANDS LÄN</t>
        </is>
      </c>
      <c r="E3888" t="inlineStr">
        <is>
          <t>SUNNE</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332-2021</t>
        </is>
      </c>
      <c r="B3889" s="1" t="n">
        <v>44201</v>
      </c>
      <c r="C3889" s="1" t="n">
        <v>45810</v>
      </c>
      <c r="D3889" t="inlineStr">
        <is>
          <t>VÄRMLANDS LÄN</t>
        </is>
      </c>
      <c r="E3889" t="inlineStr">
        <is>
          <t>ÅRJÄNG</t>
        </is>
      </c>
      <c r="G3889" t="n">
        <v>4.1</v>
      </c>
      <c r="H3889" t="n">
        <v>0</v>
      </c>
      <c r="I3889" t="n">
        <v>0</v>
      </c>
      <c r="J3889" t="n">
        <v>0</v>
      </c>
      <c r="K3889" t="n">
        <v>0</v>
      </c>
      <c r="L3889" t="n">
        <v>0</v>
      </c>
      <c r="M3889" t="n">
        <v>0</v>
      </c>
      <c r="N3889" t="n">
        <v>0</v>
      </c>
      <c r="O3889" t="n">
        <v>0</v>
      </c>
      <c r="P3889" t="n">
        <v>0</v>
      </c>
      <c r="Q3889" t="n">
        <v>0</v>
      </c>
      <c r="R3889" s="2" t="inlineStr"/>
    </row>
    <row r="3890" ht="15" customHeight="1">
      <c r="A3890" t="inlineStr">
        <is>
          <t>A 309-2021</t>
        </is>
      </c>
      <c r="B3890" s="1" t="n">
        <v>44201</v>
      </c>
      <c r="C3890" s="1" t="n">
        <v>45810</v>
      </c>
      <c r="D3890" t="inlineStr">
        <is>
          <t>VÄRMLANDS LÄN</t>
        </is>
      </c>
      <c r="E3890" t="inlineStr">
        <is>
          <t>SUNNE</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339-2021</t>
        </is>
      </c>
      <c r="B3891" s="1" t="n">
        <v>44201</v>
      </c>
      <c r="C3891" s="1" t="n">
        <v>45810</v>
      </c>
      <c r="D3891" t="inlineStr">
        <is>
          <t>VÄRMLANDS LÄN</t>
        </is>
      </c>
      <c r="E3891" t="inlineStr">
        <is>
          <t>TORSBY</t>
        </is>
      </c>
      <c r="G3891" t="n">
        <v>1.9</v>
      </c>
      <c r="H3891" t="n">
        <v>0</v>
      </c>
      <c r="I3891" t="n">
        <v>0</v>
      </c>
      <c r="J3891" t="n">
        <v>0</v>
      </c>
      <c r="K3891" t="n">
        <v>0</v>
      </c>
      <c r="L3891" t="n">
        <v>0</v>
      </c>
      <c r="M3891" t="n">
        <v>0</v>
      </c>
      <c r="N3891" t="n">
        <v>0</v>
      </c>
      <c r="O3891" t="n">
        <v>0</v>
      </c>
      <c r="P3891" t="n">
        <v>0</v>
      </c>
      <c r="Q3891" t="n">
        <v>0</v>
      </c>
      <c r="R3891" s="2" t="inlineStr"/>
    </row>
    <row r="3892" ht="15" customHeight="1">
      <c r="A3892" t="inlineStr">
        <is>
          <t>A 421-2021</t>
        </is>
      </c>
      <c r="B3892" s="1" t="n">
        <v>44201</v>
      </c>
      <c r="C3892" s="1" t="n">
        <v>45810</v>
      </c>
      <c r="D3892" t="inlineStr">
        <is>
          <t>VÄRMLANDS LÄN</t>
        </is>
      </c>
      <c r="E3892" t="inlineStr">
        <is>
          <t>EDA</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625-2021</t>
        </is>
      </c>
      <c r="B3893" s="1" t="n">
        <v>44201</v>
      </c>
      <c r="C3893" s="1" t="n">
        <v>45810</v>
      </c>
      <c r="D3893" t="inlineStr">
        <is>
          <t>VÄRMLANDS LÄN</t>
        </is>
      </c>
      <c r="E3893" t="inlineStr">
        <is>
          <t>ARVIKA</t>
        </is>
      </c>
      <c r="G3893" t="n">
        <v>10</v>
      </c>
      <c r="H3893" t="n">
        <v>0</v>
      </c>
      <c r="I3893" t="n">
        <v>0</v>
      </c>
      <c r="J3893" t="n">
        <v>0</v>
      </c>
      <c r="K3893" t="n">
        <v>0</v>
      </c>
      <c r="L3893" t="n">
        <v>0</v>
      </c>
      <c r="M3893" t="n">
        <v>0</v>
      </c>
      <c r="N3893" t="n">
        <v>0</v>
      </c>
      <c r="O3893" t="n">
        <v>0</v>
      </c>
      <c r="P3893" t="n">
        <v>0</v>
      </c>
      <c r="Q3893" t="n">
        <v>0</v>
      </c>
      <c r="R3893" s="2" t="inlineStr"/>
    </row>
    <row r="3894" ht="15" customHeight="1">
      <c r="A3894" t="inlineStr">
        <is>
          <t>A 637-2021</t>
        </is>
      </c>
      <c r="B3894" s="1" t="n">
        <v>44203</v>
      </c>
      <c r="C3894" s="1" t="n">
        <v>45810</v>
      </c>
      <c r="D3894" t="inlineStr">
        <is>
          <t>VÄRMLANDS LÄN</t>
        </is>
      </c>
      <c r="E3894" t="inlineStr">
        <is>
          <t>KARLSTAD</t>
        </is>
      </c>
      <c r="F3894" t="inlineStr">
        <is>
          <t>Kyrkan</t>
        </is>
      </c>
      <c r="G3894" t="n">
        <v>2.8</v>
      </c>
      <c r="H3894" t="n">
        <v>0</v>
      </c>
      <c r="I3894" t="n">
        <v>0</v>
      </c>
      <c r="J3894" t="n">
        <v>0</v>
      </c>
      <c r="K3894" t="n">
        <v>0</v>
      </c>
      <c r="L3894" t="n">
        <v>0</v>
      </c>
      <c r="M3894" t="n">
        <v>0</v>
      </c>
      <c r="N3894" t="n">
        <v>0</v>
      </c>
      <c r="O3894" t="n">
        <v>0</v>
      </c>
      <c r="P3894" t="n">
        <v>0</v>
      </c>
      <c r="Q3894" t="n">
        <v>0</v>
      </c>
      <c r="R3894" s="2" t="inlineStr"/>
    </row>
    <row r="3895" ht="15" customHeight="1">
      <c r="A3895" t="inlineStr">
        <is>
          <t>A 708-2021</t>
        </is>
      </c>
      <c r="B3895" s="1" t="n">
        <v>44204</v>
      </c>
      <c r="C3895" s="1" t="n">
        <v>45810</v>
      </c>
      <c r="D3895" t="inlineStr">
        <is>
          <t>VÄRMLANDS LÄN</t>
        </is>
      </c>
      <c r="E3895" t="inlineStr">
        <is>
          <t>GRUMS</t>
        </is>
      </c>
      <c r="G3895" t="n">
        <v>17.1</v>
      </c>
      <c r="H3895" t="n">
        <v>0</v>
      </c>
      <c r="I3895" t="n">
        <v>0</v>
      </c>
      <c r="J3895" t="n">
        <v>0</v>
      </c>
      <c r="K3895" t="n">
        <v>0</v>
      </c>
      <c r="L3895" t="n">
        <v>0</v>
      </c>
      <c r="M3895" t="n">
        <v>0</v>
      </c>
      <c r="N3895" t="n">
        <v>0</v>
      </c>
      <c r="O3895" t="n">
        <v>0</v>
      </c>
      <c r="P3895" t="n">
        <v>0</v>
      </c>
      <c r="Q3895" t="n">
        <v>0</v>
      </c>
      <c r="R3895" s="2" t="inlineStr"/>
    </row>
    <row r="3896" ht="15" customHeight="1">
      <c r="A3896" t="inlineStr">
        <is>
          <t>A 814-2021</t>
        </is>
      </c>
      <c r="B3896" s="1" t="n">
        <v>44204</v>
      </c>
      <c r="C3896" s="1" t="n">
        <v>45810</v>
      </c>
      <c r="D3896" t="inlineStr">
        <is>
          <t>VÄRMLANDS LÄN</t>
        </is>
      </c>
      <c r="E3896" t="inlineStr">
        <is>
          <t>SÄFFLE</t>
        </is>
      </c>
      <c r="G3896" t="n">
        <v>11.5</v>
      </c>
      <c r="H3896" t="n">
        <v>0</v>
      </c>
      <c r="I3896" t="n">
        <v>0</v>
      </c>
      <c r="J3896" t="n">
        <v>0</v>
      </c>
      <c r="K3896" t="n">
        <v>0</v>
      </c>
      <c r="L3896" t="n">
        <v>0</v>
      </c>
      <c r="M3896" t="n">
        <v>0</v>
      </c>
      <c r="N3896" t="n">
        <v>0</v>
      </c>
      <c r="O3896" t="n">
        <v>0</v>
      </c>
      <c r="P3896" t="n">
        <v>0</v>
      </c>
      <c r="Q3896" t="n">
        <v>0</v>
      </c>
      <c r="R3896" s="2" t="inlineStr"/>
    </row>
    <row r="3897" ht="15" customHeight="1">
      <c r="A3897" t="inlineStr">
        <is>
          <t>A 751-2021</t>
        </is>
      </c>
      <c r="B3897" s="1" t="n">
        <v>44204</v>
      </c>
      <c r="C3897" s="1" t="n">
        <v>45810</v>
      </c>
      <c r="D3897" t="inlineStr">
        <is>
          <t>VÄRMLANDS LÄN</t>
        </is>
      </c>
      <c r="E3897" t="inlineStr">
        <is>
          <t>SUNNE</t>
        </is>
      </c>
      <c r="G3897" t="n">
        <v>3.4</v>
      </c>
      <c r="H3897" t="n">
        <v>0</v>
      </c>
      <c r="I3897" t="n">
        <v>0</v>
      </c>
      <c r="J3897" t="n">
        <v>0</v>
      </c>
      <c r="K3897" t="n">
        <v>0</v>
      </c>
      <c r="L3897" t="n">
        <v>0</v>
      </c>
      <c r="M3897" t="n">
        <v>0</v>
      </c>
      <c r="N3897" t="n">
        <v>0</v>
      </c>
      <c r="O3897" t="n">
        <v>0</v>
      </c>
      <c r="P3897" t="n">
        <v>0</v>
      </c>
      <c r="Q3897" t="n">
        <v>0</v>
      </c>
      <c r="R3897" s="2" t="inlineStr"/>
    </row>
    <row r="3898" ht="15" customHeight="1">
      <c r="A3898" t="inlineStr">
        <is>
          <t>A 892-2021</t>
        </is>
      </c>
      <c r="B3898" s="1" t="n">
        <v>44206</v>
      </c>
      <c r="C3898" s="1" t="n">
        <v>45810</v>
      </c>
      <c r="D3898" t="inlineStr">
        <is>
          <t>VÄRMLANDS LÄN</t>
        </is>
      </c>
      <c r="E3898" t="inlineStr">
        <is>
          <t>SÄFFLE</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935-2021</t>
        </is>
      </c>
      <c r="B3899" s="1" t="n">
        <v>44207</v>
      </c>
      <c r="C3899" s="1" t="n">
        <v>45810</v>
      </c>
      <c r="D3899" t="inlineStr">
        <is>
          <t>VÄRMLANDS LÄN</t>
        </is>
      </c>
      <c r="E3899" t="inlineStr">
        <is>
          <t>ÅRJÄNG</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1048-2021</t>
        </is>
      </c>
      <c r="B3900" s="1" t="n">
        <v>44207</v>
      </c>
      <c r="C3900" s="1" t="n">
        <v>45810</v>
      </c>
      <c r="D3900" t="inlineStr">
        <is>
          <t>VÄRMLANDS LÄN</t>
        </is>
      </c>
      <c r="E3900" t="inlineStr">
        <is>
          <t>HAGFORS</t>
        </is>
      </c>
      <c r="F3900" t="inlineStr">
        <is>
          <t>Bergvik skog väst AB</t>
        </is>
      </c>
      <c r="G3900" t="n">
        <v>3</v>
      </c>
      <c r="H3900" t="n">
        <v>0</v>
      </c>
      <c r="I3900" t="n">
        <v>0</v>
      </c>
      <c r="J3900" t="n">
        <v>0</v>
      </c>
      <c r="K3900" t="n">
        <v>0</v>
      </c>
      <c r="L3900" t="n">
        <v>0</v>
      </c>
      <c r="M3900" t="n">
        <v>0</v>
      </c>
      <c r="N3900" t="n">
        <v>0</v>
      </c>
      <c r="O3900" t="n">
        <v>0</v>
      </c>
      <c r="P3900" t="n">
        <v>0</v>
      </c>
      <c r="Q3900" t="n">
        <v>0</v>
      </c>
      <c r="R3900" s="2" t="inlineStr"/>
    </row>
    <row r="3901" ht="15" customHeight="1">
      <c r="A3901" t="inlineStr">
        <is>
          <t>A 909-2021</t>
        </is>
      </c>
      <c r="B3901" s="1" t="n">
        <v>44207</v>
      </c>
      <c r="C3901" s="1" t="n">
        <v>45810</v>
      </c>
      <c r="D3901" t="inlineStr">
        <is>
          <t>VÄRMLANDS LÄN</t>
        </is>
      </c>
      <c r="E3901" t="inlineStr">
        <is>
          <t>EDA</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1059-2021</t>
        </is>
      </c>
      <c r="B3902" s="1" t="n">
        <v>44207</v>
      </c>
      <c r="C3902" s="1" t="n">
        <v>45810</v>
      </c>
      <c r="D3902" t="inlineStr">
        <is>
          <t>VÄRMLANDS LÄN</t>
        </is>
      </c>
      <c r="E3902" t="inlineStr">
        <is>
          <t>ARVIKA</t>
        </is>
      </c>
      <c r="G3902" t="n">
        <v>5.9</v>
      </c>
      <c r="H3902" t="n">
        <v>0</v>
      </c>
      <c r="I3902" t="n">
        <v>0</v>
      </c>
      <c r="J3902" t="n">
        <v>0</v>
      </c>
      <c r="K3902" t="n">
        <v>0</v>
      </c>
      <c r="L3902" t="n">
        <v>0</v>
      </c>
      <c r="M3902" t="n">
        <v>0</v>
      </c>
      <c r="N3902" t="n">
        <v>0</v>
      </c>
      <c r="O3902" t="n">
        <v>0</v>
      </c>
      <c r="P3902" t="n">
        <v>0</v>
      </c>
      <c r="Q3902" t="n">
        <v>0</v>
      </c>
      <c r="R3902" s="2" t="inlineStr"/>
    </row>
    <row r="3903" ht="15" customHeight="1">
      <c r="A3903" t="inlineStr">
        <is>
          <t>A 1126-2021</t>
        </is>
      </c>
      <c r="B3903" s="1" t="n">
        <v>44207</v>
      </c>
      <c r="C3903" s="1" t="n">
        <v>45810</v>
      </c>
      <c r="D3903" t="inlineStr">
        <is>
          <t>VÄRMLANDS LÄN</t>
        </is>
      </c>
      <c r="E3903" t="inlineStr">
        <is>
          <t>EDA</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1165-2021</t>
        </is>
      </c>
      <c r="B3904" s="1" t="n">
        <v>44207</v>
      </c>
      <c r="C3904" s="1" t="n">
        <v>45810</v>
      </c>
      <c r="D3904" t="inlineStr">
        <is>
          <t>VÄRMLANDS LÄN</t>
        </is>
      </c>
      <c r="E3904" t="inlineStr">
        <is>
          <t>SÄFFLE</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1195-2021</t>
        </is>
      </c>
      <c r="B3905" s="1" t="n">
        <v>44208</v>
      </c>
      <c r="C3905" s="1" t="n">
        <v>45810</v>
      </c>
      <c r="D3905" t="inlineStr">
        <is>
          <t>VÄRMLANDS LÄN</t>
        </is>
      </c>
      <c r="E3905" t="inlineStr">
        <is>
          <t>SUNNE</t>
        </is>
      </c>
      <c r="F3905" t="inlineStr">
        <is>
          <t>Övriga Aktiebolag</t>
        </is>
      </c>
      <c r="G3905" t="n">
        <v>3.4</v>
      </c>
      <c r="H3905" t="n">
        <v>0</v>
      </c>
      <c r="I3905" t="n">
        <v>0</v>
      </c>
      <c r="J3905" t="n">
        <v>0</v>
      </c>
      <c r="K3905" t="n">
        <v>0</v>
      </c>
      <c r="L3905" t="n">
        <v>0</v>
      </c>
      <c r="M3905" t="n">
        <v>0</v>
      </c>
      <c r="N3905" t="n">
        <v>0</v>
      </c>
      <c r="O3905" t="n">
        <v>0</v>
      </c>
      <c r="P3905" t="n">
        <v>0</v>
      </c>
      <c r="Q3905" t="n">
        <v>0</v>
      </c>
      <c r="R3905" s="2" t="inlineStr"/>
    </row>
    <row r="3906" ht="15" customHeight="1">
      <c r="A3906" t="inlineStr">
        <is>
          <t>A 1313-2021</t>
        </is>
      </c>
      <c r="B3906" s="1" t="n">
        <v>44208</v>
      </c>
      <c r="C3906" s="1" t="n">
        <v>45810</v>
      </c>
      <c r="D3906" t="inlineStr">
        <is>
          <t>VÄRMLANDS LÄN</t>
        </is>
      </c>
      <c r="E3906" t="inlineStr">
        <is>
          <t>KIL</t>
        </is>
      </c>
      <c r="F3906" t="inlineStr">
        <is>
          <t>Kyrkan</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1269-2021</t>
        </is>
      </c>
      <c r="B3907" s="1" t="n">
        <v>44208</v>
      </c>
      <c r="C3907" s="1" t="n">
        <v>45810</v>
      </c>
      <c r="D3907" t="inlineStr">
        <is>
          <t>VÄRMLANDS LÄN</t>
        </is>
      </c>
      <c r="E3907" t="inlineStr">
        <is>
          <t>KIL</t>
        </is>
      </c>
      <c r="F3907" t="inlineStr">
        <is>
          <t>Kyrkan</t>
        </is>
      </c>
      <c r="G3907" t="n">
        <v>2.6</v>
      </c>
      <c r="H3907" t="n">
        <v>0</v>
      </c>
      <c r="I3907" t="n">
        <v>0</v>
      </c>
      <c r="J3907" t="n">
        <v>0</v>
      </c>
      <c r="K3907" t="n">
        <v>0</v>
      </c>
      <c r="L3907" t="n">
        <v>0</v>
      </c>
      <c r="M3907" t="n">
        <v>0</v>
      </c>
      <c r="N3907" t="n">
        <v>0</v>
      </c>
      <c r="O3907" t="n">
        <v>0</v>
      </c>
      <c r="P3907" t="n">
        <v>0</v>
      </c>
      <c r="Q3907" t="n">
        <v>0</v>
      </c>
      <c r="R3907" s="2" t="inlineStr"/>
      <c r="U3907">
        <f>HYPERLINK("https://klasma.github.io/Logging_1715/knärot/A 1269-2021 karta knärot.png", "A 1269-2021")</f>
        <v/>
      </c>
      <c r="V3907">
        <f>HYPERLINK("https://klasma.github.io/Logging_1715/klagomål/A 1269-2021 FSC-klagomål.docx", "A 1269-2021")</f>
        <v/>
      </c>
      <c r="W3907">
        <f>HYPERLINK("https://klasma.github.io/Logging_1715/klagomålsmail/A 1269-2021 FSC-klagomål mail.docx", "A 1269-2021")</f>
        <v/>
      </c>
      <c r="X3907">
        <f>HYPERLINK("https://klasma.github.io/Logging_1715/tillsyn/A 1269-2021 tillsynsbegäran.docx", "A 1269-2021")</f>
        <v/>
      </c>
      <c r="Y3907">
        <f>HYPERLINK("https://klasma.github.io/Logging_1715/tillsynsmail/A 1269-2021 tillsynsbegäran mail.docx", "A 1269-2021")</f>
        <v/>
      </c>
    </row>
    <row r="3908" ht="15" customHeight="1">
      <c r="A3908" t="inlineStr">
        <is>
          <t>A 1298-2021</t>
        </is>
      </c>
      <c r="B3908" s="1" t="n">
        <v>44208</v>
      </c>
      <c r="C3908" s="1" t="n">
        <v>45810</v>
      </c>
      <c r="D3908" t="inlineStr">
        <is>
          <t>VÄRMLANDS LÄN</t>
        </is>
      </c>
      <c r="E3908" t="inlineStr">
        <is>
          <t>SÄFFLE</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1391-2021</t>
        </is>
      </c>
      <c r="B3909" s="1" t="n">
        <v>44208</v>
      </c>
      <c r="C3909" s="1" t="n">
        <v>45810</v>
      </c>
      <c r="D3909" t="inlineStr">
        <is>
          <t>VÄRMLANDS LÄN</t>
        </is>
      </c>
      <c r="E3909" t="inlineStr">
        <is>
          <t>FILIPSTAD</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1397-2021</t>
        </is>
      </c>
      <c r="B3910" s="1" t="n">
        <v>44208</v>
      </c>
      <c r="C3910" s="1" t="n">
        <v>45810</v>
      </c>
      <c r="D3910" t="inlineStr">
        <is>
          <t>VÄRMLANDS LÄN</t>
        </is>
      </c>
      <c r="E3910" t="inlineStr">
        <is>
          <t>ARVIKA</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1348-2021</t>
        </is>
      </c>
      <c r="B3911" s="1" t="n">
        <v>44208</v>
      </c>
      <c r="C3911" s="1" t="n">
        <v>45810</v>
      </c>
      <c r="D3911" t="inlineStr">
        <is>
          <t>VÄRMLANDS LÄN</t>
        </is>
      </c>
      <c r="E3911" t="inlineStr">
        <is>
          <t>GRUMS</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1449-2021</t>
        </is>
      </c>
      <c r="B3912" s="1" t="n">
        <v>44208</v>
      </c>
      <c r="C3912" s="1" t="n">
        <v>45810</v>
      </c>
      <c r="D3912" t="inlineStr">
        <is>
          <t>VÄRMLANDS LÄN</t>
        </is>
      </c>
      <c r="E3912" t="inlineStr">
        <is>
          <t>SUNNE</t>
        </is>
      </c>
      <c r="G3912" t="n">
        <v>5.9</v>
      </c>
      <c r="H3912" t="n">
        <v>0</v>
      </c>
      <c r="I3912" t="n">
        <v>0</v>
      </c>
      <c r="J3912" t="n">
        <v>0</v>
      </c>
      <c r="K3912" t="n">
        <v>0</v>
      </c>
      <c r="L3912" t="n">
        <v>0</v>
      </c>
      <c r="M3912" t="n">
        <v>0</v>
      </c>
      <c r="N3912" t="n">
        <v>0</v>
      </c>
      <c r="O3912" t="n">
        <v>0</v>
      </c>
      <c r="P3912" t="n">
        <v>0</v>
      </c>
      <c r="Q3912" t="n">
        <v>0</v>
      </c>
      <c r="R3912" s="2" t="inlineStr"/>
    </row>
    <row r="3913" ht="15" customHeight="1">
      <c r="A3913" t="inlineStr">
        <is>
          <t>A 1486-2021</t>
        </is>
      </c>
      <c r="B3913" s="1" t="n">
        <v>44208</v>
      </c>
      <c r="C3913" s="1" t="n">
        <v>45810</v>
      </c>
      <c r="D3913" t="inlineStr">
        <is>
          <t>VÄRMLANDS LÄN</t>
        </is>
      </c>
      <c r="E3913" t="inlineStr">
        <is>
          <t>KARLSTAD</t>
        </is>
      </c>
      <c r="G3913" t="n">
        <v>7.6</v>
      </c>
      <c r="H3913" t="n">
        <v>0</v>
      </c>
      <c r="I3913" t="n">
        <v>0</v>
      </c>
      <c r="J3913" t="n">
        <v>0</v>
      </c>
      <c r="K3913" t="n">
        <v>0</v>
      </c>
      <c r="L3913" t="n">
        <v>0</v>
      </c>
      <c r="M3913" t="n">
        <v>0</v>
      </c>
      <c r="N3913" t="n">
        <v>0</v>
      </c>
      <c r="O3913" t="n">
        <v>0</v>
      </c>
      <c r="P3913" t="n">
        <v>0</v>
      </c>
      <c r="Q3913" t="n">
        <v>0</v>
      </c>
      <c r="R3913" s="2" t="inlineStr"/>
    </row>
    <row r="3914" ht="15" customHeight="1">
      <c r="A3914" t="inlineStr">
        <is>
          <t>A 1516-2021</t>
        </is>
      </c>
      <c r="B3914" s="1" t="n">
        <v>44209</v>
      </c>
      <c r="C3914" s="1" t="n">
        <v>45810</v>
      </c>
      <c r="D3914" t="inlineStr">
        <is>
          <t>VÄRMLANDS LÄN</t>
        </is>
      </c>
      <c r="E3914" t="inlineStr">
        <is>
          <t>TORSBY</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1526-2021</t>
        </is>
      </c>
      <c r="B3915" s="1" t="n">
        <v>44209</v>
      </c>
      <c r="C3915" s="1" t="n">
        <v>45810</v>
      </c>
      <c r="D3915" t="inlineStr">
        <is>
          <t>VÄRMLANDS LÄN</t>
        </is>
      </c>
      <c r="E3915" t="inlineStr">
        <is>
          <t>TORSBY</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1535-2021</t>
        </is>
      </c>
      <c r="B3916" s="1" t="n">
        <v>44209</v>
      </c>
      <c r="C3916" s="1" t="n">
        <v>45810</v>
      </c>
      <c r="D3916" t="inlineStr">
        <is>
          <t>VÄRMLANDS LÄN</t>
        </is>
      </c>
      <c r="E3916" t="inlineStr">
        <is>
          <t>TORSBY</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1534-2021</t>
        </is>
      </c>
      <c r="B3917" s="1" t="n">
        <v>44209</v>
      </c>
      <c r="C3917" s="1" t="n">
        <v>45810</v>
      </c>
      <c r="D3917" t="inlineStr">
        <is>
          <t>VÄRMLANDS LÄN</t>
        </is>
      </c>
      <c r="E3917" t="inlineStr">
        <is>
          <t>ARVIKA</t>
        </is>
      </c>
      <c r="G3917" t="n">
        <v>2.1</v>
      </c>
      <c r="H3917" t="n">
        <v>0</v>
      </c>
      <c r="I3917" t="n">
        <v>0</v>
      </c>
      <c r="J3917" t="n">
        <v>0</v>
      </c>
      <c r="K3917" t="n">
        <v>0</v>
      </c>
      <c r="L3917" t="n">
        <v>0</v>
      </c>
      <c r="M3917" t="n">
        <v>0</v>
      </c>
      <c r="N3917" t="n">
        <v>0</v>
      </c>
      <c r="O3917" t="n">
        <v>0</v>
      </c>
      <c r="P3917" t="n">
        <v>0</v>
      </c>
      <c r="Q3917" t="n">
        <v>0</v>
      </c>
      <c r="R3917" s="2" t="inlineStr"/>
    </row>
    <row r="3918" ht="15" customHeight="1">
      <c r="A3918" t="inlineStr">
        <is>
          <t>A 1544-2021</t>
        </is>
      </c>
      <c r="B3918" s="1" t="n">
        <v>44209</v>
      </c>
      <c r="C3918" s="1" t="n">
        <v>45810</v>
      </c>
      <c r="D3918" t="inlineStr">
        <is>
          <t>VÄRMLANDS LÄN</t>
        </is>
      </c>
      <c r="E3918" t="inlineStr">
        <is>
          <t>TORSBY</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1588-2021</t>
        </is>
      </c>
      <c r="B3919" s="1" t="n">
        <v>44209</v>
      </c>
      <c r="C3919" s="1" t="n">
        <v>45810</v>
      </c>
      <c r="D3919" t="inlineStr">
        <is>
          <t>VÄRMLANDS LÄN</t>
        </is>
      </c>
      <c r="E3919" t="inlineStr">
        <is>
          <t>SÄFFLE</t>
        </is>
      </c>
      <c r="G3919" t="n">
        <v>5</v>
      </c>
      <c r="H3919" t="n">
        <v>0</v>
      </c>
      <c r="I3919" t="n">
        <v>0</v>
      </c>
      <c r="J3919" t="n">
        <v>0</v>
      </c>
      <c r="K3919" t="n">
        <v>0</v>
      </c>
      <c r="L3919" t="n">
        <v>0</v>
      </c>
      <c r="M3919" t="n">
        <v>0</v>
      </c>
      <c r="N3919" t="n">
        <v>0</v>
      </c>
      <c r="O3919" t="n">
        <v>0</v>
      </c>
      <c r="P3919" t="n">
        <v>0</v>
      </c>
      <c r="Q3919" t="n">
        <v>0</v>
      </c>
      <c r="R3919" s="2" t="inlineStr"/>
    </row>
    <row r="3920" ht="15" customHeight="1">
      <c r="A3920" t="inlineStr">
        <is>
          <t>A 1906-2021</t>
        </is>
      </c>
      <c r="B3920" s="1" t="n">
        <v>44210</v>
      </c>
      <c r="C3920" s="1" t="n">
        <v>45810</v>
      </c>
      <c r="D3920" t="inlineStr">
        <is>
          <t>VÄRMLANDS LÄN</t>
        </is>
      </c>
      <c r="E3920" t="inlineStr">
        <is>
          <t>ARVIKA</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1974-2021</t>
        </is>
      </c>
      <c r="B3921" s="1" t="n">
        <v>44210</v>
      </c>
      <c r="C3921" s="1" t="n">
        <v>45810</v>
      </c>
      <c r="D3921" t="inlineStr">
        <is>
          <t>VÄRMLANDS LÄN</t>
        </is>
      </c>
      <c r="E3921" t="inlineStr">
        <is>
          <t>KRISTINEHAMN</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1880-2021</t>
        </is>
      </c>
      <c r="B3922" s="1" t="n">
        <v>44210</v>
      </c>
      <c r="C3922" s="1" t="n">
        <v>45810</v>
      </c>
      <c r="D3922" t="inlineStr">
        <is>
          <t>VÄRMLANDS LÄN</t>
        </is>
      </c>
      <c r="E3922" t="inlineStr">
        <is>
          <t>GRUMS</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2017-2021</t>
        </is>
      </c>
      <c r="B3923" s="1" t="n">
        <v>44210</v>
      </c>
      <c r="C3923" s="1" t="n">
        <v>45810</v>
      </c>
      <c r="D3923" t="inlineStr">
        <is>
          <t>VÄRMLANDS LÄN</t>
        </is>
      </c>
      <c r="E3923" t="inlineStr">
        <is>
          <t>FORSHAGA</t>
        </is>
      </c>
      <c r="G3923" t="n">
        <v>7.3</v>
      </c>
      <c r="H3923" t="n">
        <v>0</v>
      </c>
      <c r="I3923" t="n">
        <v>0</v>
      </c>
      <c r="J3923" t="n">
        <v>0</v>
      </c>
      <c r="K3923" t="n">
        <v>0</v>
      </c>
      <c r="L3923" t="n">
        <v>0</v>
      </c>
      <c r="M3923" t="n">
        <v>0</v>
      </c>
      <c r="N3923" t="n">
        <v>0</v>
      </c>
      <c r="O3923" t="n">
        <v>0</v>
      </c>
      <c r="P3923" t="n">
        <v>0</v>
      </c>
      <c r="Q3923" t="n">
        <v>0</v>
      </c>
      <c r="R3923" s="2" t="inlineStr"/>
    </row>
    <row r="3924" ht="15" customHeight="1">
      <c r="A3924" t="inlineStr">
        <is>
          <t>A 2107-2021</t>
        </is>
      </c>
      <c r="B3924" s="1" t="n">
        <v>44210</v>
      </c>
      <c r="C3924" s="1" t="n">
        <v>45810</v>
      </c>
      <c r="D3924" t="inlineStr">
        <is>
          <t>VÄRMLANDS LÄN</t>
        </is>
      </c>
      <c r="E3924" t="inlineStr">
        <is>
          <t>KRISTINEHAMN</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2059-2021</t>
        </is>
      </c>
      <c r="B3925" s="1" t="n">
        <v>44210</v>
      </c>
      <c r="C3925" s="1" t="n">
        <v>45810</v>
      </c>
      <c r="D3925" t="inlineStr">
        <is>
          <t>VÄRMLANDS LÄN</t>
        </is>
      </c>
      <c r="E3925" t="inlineStr">
        <is>
          <t>KRISTINEHAMN</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2114-2021</t>
        </is>
      </c>
      <c r="B3926" s="1" t="n">
        <v>44210</v>
      </c>
      <c r="C3926" s="1" t="n">
        <v>45810</v>
      </c>
      <c r="D3926" t="inlineStr">
        <is>
          <t>VÄRMLANDS LÄN</t>
        </is>
      </c>
      <c r="E3926" t="inlineStr">
        <is>
          <t>KRISTINEHAMN</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2121-2021</t>
        </is>
      </c>
      <c r="B3927" s="1" t="n">
        <v>44211</v>
      </c>
      <c r="C3927" s="1" t="n">
        <v>45810</v>
      </c>
      <c r="D3927" t="inlineStr">
        <is>
          <t>VÄRMLANDS LÄN</t>
        </is>
      </c>
      <c r="E3927" t="inlineStr">
        <is>
          <t>FORSHAGA</t>
        </is>
      </c>
      <c r="F3927" t="inlineStr">
        <is>
          <t>Bergvik skog väst AB</t>
        </is>
      </c>
      <c r="G3927" t="n">
        <v>20.8</v>
      </c>
      <c r="H3927" t="n">
        <v>0</v>
      </c>
      <c r="I3927" t="n">
        <v>0</v>
      </c>
      <c r="J3927" t="n">
        <v>0</v>
      </c>
      <c r="K3927" t="n">
        <v>0</v>
      </c>
      <c r="L3927" t="n">
        <v>0</v>
      </c>
      <c r="M3927" t="n">
        <v>0</v>
      </c>
      <c r="N3927" t="n">
        <v>0</v>
      </c>
      <c r="O3927" t="n">
        <v>0</v>
      </c>
      <c r="P3927" t="n">
        <v>0</v>
      </c>
      <c r="Q3927" t="n">
        <v>0</v>
      </c>
      <c r="R3927" s="2" t="inlineStr"/>
    </row>
    <row r="3928" ht="15" customHeight="1">
      <c r="A3928" t="inlineStr">
        <is>
          <t>A 2141-2021</t>
        </is>
      </c>
      <c r="B3928" s="1" t="n">
        <v>44211</v>
      </c>
      <c r="C3928" s="1" t="n">
        <v>45810</v>
      </c>
      <c r="D3928" t="inlineStr">
        <is>
          <t>VÄRMLANDS LÄN</t>
        </is>
      </c>
      <c r="E3928" t="inlineStr">
        <is>
          <t>FORSHAGA</t>
        </is>
      </c>
      <c r="F3928" t="inlineStr">
        <is>
          <t>Bergvik skog väst AB</t>
        </is>
      </c>
      <c r="G3928" t="n">
        <v>12.3</v>
      </c>
      <c r="H3928" t="n">
        <v>0</v>
      </c>
      <c r="I3928" t="n">
        <v>0</v>
      </c>
      <c r="J3928" t="n">
        <v>0</v>
      </c>
      <c r="K3928" t="n">
        <v>0</v>
      </c>
      <c r="L3928" t="n">
        <v>0</v>
      </c>
      <c r="M3928" t="n">
        <v>0</v>
      </c>
      <c r="N3928" t="n">
        <v>0</v>
      </c>
      <c r="O3928" t="n">
        <v>0</v>
      </c>
      <c r="P3928" t="n">
        <v>0</v>
      </c>
      <c r="Q3928" t="n">
        <v>0</v>
      </c>
      <c r="R3928" s="2" t="inlineStr"/>
    </row>
    <row r="3929" ht="15" customHeight="1">
      <c r="A3929" t="inlineStr">
        <is>
          <t>A 2214-2021</t>
        </is>
      </c>
      <c r="B3929" s="1" t="n">
        <v>44211</v>
      </c>
      <c r="C3929" s="1" t="n">
        <v>45810</v>
      </c>
      <c r="D3929" t="inlineStr">
        <is>
          <t>VÄRMLANDS LÄN</t>
        </is>
      </c>
      <c r="E3929" t="inlineStr">
        <is>
          <t>ARVIKA</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2031-2021</t>
        </is>
      </c>
      <c r="B3930" s="1" t="n">
        <v>44211</v>
      </c>
      <c r="C3930" s="1" t="n">
        <v>45810</v>
      </c>
      <c r="D3930" t="inlineStr">
        <is>
          <t>VÄRMLANDS LÄN</t>
        </is>
      </c>
      <c r="E3930" t="inlineStr">
        <is>
          <t>KRISTINEHAMN</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2224-2021</t>
        </is>
      </c>
      <c r="B3931" s="1" t="n">
        <v>44211</v>
      </c>
      <c r="C3931" s="1" t="n">
        <v>45810</v>
      </c>
      <c r="D3931" t="inlineStr">
        <is>
          <t>VÄRMLANDS LÄN</t>
        </is>
      </c>
      <c r="E3931" t="inlineStr">
        <is>
          <t>SUNNE</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2323-2021</t>
        </is>
      </c>
      <c r="B3932" s="1" t="n">
        <v>44211</v>
      </c>
      <c r="C3932" s="1" t="n">
        <v>45810</v>
      </c>
      <c r="D3932" t="inlineStr">
        <is>
          <t>VÄRMLANDS LÄN</t>
        </is>
      </c>
      <c r="E3932" t="inlineStr">
        <is>
          <t>SÄFFLE</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2225-2021</t>
        </is>
      </c>
      <c r="B3933" s="1" t="n">
        <v>44211</v>
      </c>
      <c r="C3933" s="1" t="n">
        <v>45810</v>
      </c>
      <c r="D3933" t="inlineStr">
        <is>
          <t>VÄRMLANDS LÄN</t>
        </is>
      </c>
      <c r="E3933" t="inlineStr">
        <is>
          <t>SUNNE</t>
        </is>
      </c>
      <c r="G3933" t="n">
        <v>2.8</v>
      </c>
      <c r="H3933" t="n">
        <v>0</v>
      </c>
      <c r="I3933" t="n">
        <v>0</v>
      </c>
      <c r="J3933" t="n">
        <v>0</v>
      </c>
      <c r="K3933" t="n">
        <v>0</v>
      </c>
      <c r="L3933" t="n">
        <v>0</v>
      </c>
      <c r="M3933" t="n">
        <v>0</v>
      </c>
      <c r="N3933" t="n">
        <v>0</v>
      </c>
      <c r="O3933" t="n">
        <v>0</v>
      </c>
      <c r="P3933" t="n">
        <v>0</v>
      </c>
      <c r="Q3933" t="n">
        <v>0</v>
      </c>
      <c r="R3933" s="2" t="inlineStr"/>
    </row>
    <row r="3934" ht="15" customHeight="1">
      <c r="A3934" t="inlineStr">
        <is>
          <t>A 2237-2021</t>
        </is>
      </c>
      <c r="B3934" s="1" t="n">
        <v>44211</v>
      </c>
      <c r="C3934" s="1" t="n">
        <v>45810</v>
      </c>
      <c r="D3934" t="inlineStr">
        <is>
          <t>VÄRMLANDS LÄN</t>
        </is>
      </c>
      <c r="E3934" t="inlineStr">
        <is>
          <t>ARVIKA</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2293-2021</t>
        </is>
      </c>
      <c r="B3935" s="1" t="n">
        <v>44212</v>
      </c>
      <c r="C3935" s="1" t="n">
        <v>45810</v>
      </c>
      <c r="D3935" t="inlineStr">
        <is>
          <t>VÄRMLANDS LÄN</t>
        </is>
      </c>
      <c r="E3935" t="inlineStr">
        <is>
          <t>EDA</t>
        </is>
      </c>
      <c r="G3935" t="n">
        <v>4.3</v>
      </c>
      <c r="H3935" t="n">
        <v>0</v>
      </c>
      <c r="I3935" t="n">
        <v>0</v>
      </c>
      <c r="J3935" t="n">
        <v>0</v>
      </c>
      <c r="K3935" t="n">
        <v>0</v>
      </c>
      <c r="L3935" t="n">
        <v>0</v>
      </c>
      <c r="M3935" t="n">
        <v>0</v>
      </c>
      <c r="N3935" t="n">
        <v>0</v>
      </c>
      <c r="O3935" t="n">
        <v>0</v>
      </c>
      <c r="P3935" t="n">
        <v>0</v>
      </c>
      <c r="Q3935" t="n">
        <v>0</v>
      </c>
      <c r="R3935" s="2" t="inlineStr"/>
    </row>
    <row r="3936" ht="15" customHeight="1">
      <c r="A3936" t="inlineStr">
        <is>
          <t>A 2319-2021</t>
        </is>
      </c>
      <c r="B3936" s="1" t="n">
        <v>44214</v>
      </c>
      <c r="C3936" s="1" t="n">
        <v>45810</v>
      </c>
      <c r="D3936" t="inlineStr">
        <is>
          <t>VÄRMLANDS LÄN</t>
        </is>
      </c>
      <c r="E3936" t="inlineStr">
        <is>
          <t>SUNNE</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2428-2021</t>
        </is>
      </c>
      <c r="B3937" s="1" t="n">
        <v>44214</v>
      </c>
      <c r="C3937" s="1" t="n">
        <v>45810</v>
      </c>
      <c r="D3937" t="inlineStr">
        <is>
          <t>VÄRMLANDS LÄN</t>
        </is>
      </c>
      <c r="E3937" t="inlineStr">
        <is>
          <t>HAGFORS</t>
        </is>
      </c>
      <c r="G3937" t="n">
        <v>4.1</v>
      </c>
      <c r="H3937" t="n">
        <v>0</v>
      </c>
      <c r="I3937" t="n">
        <v>0</v>
      </c>
      <c r="J3937" t="n">
        <v>0</v>
      </c>
      <c r="K3937" t="n">
        <v>0</v>
      </c>
      <c r="L3937" t="n">
        <v>0</v>
      </c>
      <c r="M3937" t="n">
        <v>0</v>
      </c>
      <c r="N3937" t="n">
        <v>0</v>
      </c>
      <c r="O3937" t="n">
        <v>0</v>
      </c>
      <c r="P3937" t="n">
        <v>0</v>
      </c>
      <c r="Q3937" t="n">
        <v>0</v>
      </c>
      <c r="R3937" s="2" t="inlineStr"/>
    </row>
    <row r="3938" ht="15" customHeight="1">
      <c r="A3938" t="inlineStr">
        <is>
          <t>A 2436-2021</t>
        </is>
      </c>
      <c r="B3938" s="1" t="n">
        <v>44214</v>
      </c>
      <c r="C3938" s="1" t="n">
        <v>45810</v>
      </c>
      <c r="D3938" t="inlineStr">
        <is>
          <t>VÄRMLANDS LÄN</t>
        </is>
      </c>
      <c r="E3938" t="inlineStr">
        <is>
          <t>HAGFORS</t>
        </is>
      </c>
      <c r="G3938" t="n">
        <v>2.6</v>
      </c>
      <c r="H3938" t="n">
        <v>0</v>
      </c>
      <c r="I3938" t="n">
        <v>0</v>
      </c>
      <c r="J3938" t="n">
        <v>0</v>
      </c>
      <c r="K3938" t="n">
        <v>0</v>
      </c>
      <c r="L3938" t="n">
        <v>0</v>
      </c>
      <c r="M3938" t="n">
        <v>0</v>
      </c>
      <c r="N3938" t="n">
        <v>0</v>
      </c>
      <c r="O3938" t="n">
        <v>0</v>
      </c>
      <c r="P3938" t="n">
        <v>0</v>
      </c>
      <c r="Q3938" t="n">
        <v>0</v>
      </c>
      <c r="R3938" s="2" t="inlineStr"/>
    </row>
    <row r="3939" ht="15" customHeight="1">
      <c r="A3939" t="inlineStr">
        <is>
          <t>A 2317-2021</t>
        </is>
      </c>
      <c r="B3939" s="1" t="n">
        <v>44214</v>
      </c>
      <c r="C3939" s="1" t="n">
        <v>45810</v>
      </c>
      <c r="D3939" t="inlineStr">
        <is>
          <t>VÄRMLANDS LÄN</t>
        </is>
      </c>
      <c r="E3939" t="inlineStr">
        <is>
          <t>SUNNE</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2368-2021</t>
        </is>
      </c>
      <c r="B3940" s="1" t="n">
        <v>44214</v>
      </c>
      <c r="C3940" s="1" t="n">
        <v>45810</v>
      </c>
      <c r="D3940" t="inlineStr">
        <is>
          <t>VÄRMLANDS LÄN</t>
        </is>
      </c>
      <c r="E3940" t="inlineStr">
        <is>
          <t>SUNNE</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2321-2021</t>
        </is>
      </c>
      <c r="B3941" s="1" t="n">
        <v>44214</v>
      </c>
      <c r="C3941" s="1" t="n">
        <v>45810</v>
      </c>
      <c r="D3941" t="inlineStr">
        <is>
          <t>VÄRMLANDS LÄN</t>
        </is>
      </c>
      <c r="E3941" t="inlineStr">
        <is>
          <t>TORSBY</t>
        </is>
      </c>
      <c r="G3941" t="n">
        <v>4.8</v>
      </c>
      <c r="H3941" t="n">
        <v>0</v>
      </c>
      <c r="I3941" t="n">
        <v>0</v>
      </c>
      <c r="J3941" t="n">
        <v>0</v>
      </c>
      <c r="K3941" t="n">
        <v>0</v>
      </c>
      <c r="L3941" t="n">
        <v>0</v>
      </c>
      <c r="M3941" t="n">
        <v>0</v>
      </c>
      <c r="N3941" t="n">
        <v>0</v>
      </c>
      <c r="O3941" t="n">
        <v>0</v>
      </c>
      <c r="P3941" t="n">
        <v>0</v>
      </c>
      <c r="Q3941" t="n">
        <v>0</v>
      </c>
      <c r="R3941" s="2" t="inlineStr"/>
    </row>
    <row r="3942" ht="15" customHeight="1">
      <c r="A3942" t="inlineStr">
        <is>
          <t>A 2576-2021</t>
        </is>
      </c>
      <c r="B3942" s="1" t="n">
        <v>44214</v>
      </c>
      <c r="C3942" s="1" t="n">
        <v>45810</v>
      </c>
      <c r="D3942" t="inlineStr">
        <is>
          <t>VÄRMLANDS LÄN</t>
        </is>
      </c>
      <c r="E3942" t="inlineStr">
        <is>
          <t>TORSBY</t>
        </is>
      </c>
      <c r="F3942" t="inlineStr">
        <is>
          <t>Kommuner</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2593-2021</t>
        </is>
      </c>
      <c r="B3943" s="1" t="n">
        <v>44214</v>
      </c>
      <c r="C3943" s="1" t="n">
        <v>45810</v>
      </c>
      <c r="D3943" t="inlineStr">
        <is>
          <t>VÄRMLANDS LÄN</t>
        </is>
      </c>
      <c r="E3943" t="inlineStr">
        <is>
          <t>ÅRJÄNG</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2672-2021</t>
        </is>
      </c>
      <c r="B3944" s="1" t="n">
        <v>44214</v>
      </c>
      <c r="C3944" s="1" t="n">
        <v>45810</v>
      </c>
      <c r="D3944" t="inlineStr">
        <is>
          <t>VÄRMLANDS LÄN</t>
        </is>
      </c>
      <c r="E3944" t="inlineStr">
        <is>
          <t>FILIPSTAD</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2667-2021</t>
        </is>
      </c>
      <c r="B3945" s="1" t="n">
        <v>44215</v>
      </c>
      <c r="C3945" s="1" t="n">
        <v>45810</v>
      </c>
      <c r="D3945" t="inlineStr">
        <is>
          <t>VÄRMLANDS LÄN</t>
        </is>
      </c>
      <c r="E3945" t="inlineStr">
        <is>
          <t>ÅRJÄNG</t>
        </is>
      </c>
      <c r="G3945" t="n">
        <v>5.7</v>
      </c>
      <c r="H3945" t="n">
        <v>0</v>
      </c>
      <c r="I3945" t="n">
        <v>0</v>
      </c>
      <c r="J3945" t="n">
        <v>0</v>
      </c>
      <c r="K3945" t="n">
        <v>0</v>
      </c>
      <c r="L3945" t="n">
        <v>0</v>
      </c>
      <c r="M3945" t="n">
        <v>0</v>
      </c>
      <c r="N3945" t="n">
        <v>0</v>
      </c>
      <c r="O3945" t="n">
        <v>0</v>
      </c>
      <c r="P3945" t="n">
        <v>0</v>
      </c>
      <c r="Q3945" t="n">
        <v>0</v>
      </c>
      <c r="R3945" s="2" t="inlineStr"/>
    </row>
    <row r="3946" ht="15" customHeight="1">
      <c r="A3946" t="inlineStr">
        <is>
          <t>A 2758-2021</t>
        </is>
      </c>
      <c r="B3946" s="1" t="n">
        <v>44215</v>
      </c>
      <c r="C3946" s="1" t="n">
        <v>45810</v>
      </c>
      <c r="D3946" t="inlineStr">
        <is>
          <t>VÄRMLANDS LÄN</t>
        </is>
      </c>
      <c r="E3946" t="inlineStr">
        <is>
          <t>TORSBY</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2653-2021</t>
        </is>
      </c>
      <c r="B3947" s="1" t="n">
        <v>44215</v>
      </c>
      <c r="C3947" s="1" t="n">
        <v>45810</v>
      </c>
      <c r="D3947" t="inlineStr">
        <is>
          <t>VÄRMLANDS LÄN</t>
        </is>
      </c>
      <c r="E3947" t="inlineStr">
        <is>
          <t>SUNNE</t>
        </is>
      </c>
      <c r="G3947" t="n">
        <v>11.2</v>
      </c>
      <c r="H3947" t="n">
        <v>0</v>
      </c>
      <c r="I3947" t="n">
        <v>0</v>
      </c>
      <c r="J3947" t="n">
        <v>0</v>
      </c>
      <c r="K3947" t="n">
        <v>0</v>
      </c>
      <c r="L3947" t="n">
        <v>0</v>
      </c>
      <c r="M3947" t="n">
        <v>0</v>
      </c>
      <c r="N3947" t="n">
        <v>0</v>
      </c>
      <c r="O3947" t="n">
        <v>0</v>
      </c>
      <c r="P3947" t="n">
        <v>0</v>
      </c>
      <c r="Q3947" t="n">
        <v>0</v>
      </c>
      <c r="R3947" s="2" t="inlineStr"/>
    </row>
    <row r="3948" ht="15" customHeight="1">
      <c r="A3948" t="inlineStr">
        <is>
          <t>A 2610-2021</t>
        </is>
      </c>
      <c r="B3948" s="1" t="n">
        <v>44215</v>
      </c>
      <c r="C3948" s="1" t="n">
        <v>45810</v>
      </c>
      <c r="D3948" t="inlineStr">
        <is>
          <t>VÄRMLANDS LÄN</t>
        </is>
      </c>
      <c r="E3948" t="inlineStr">
        <is>
          <t>SUNNE</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2931-2021</t>
        </is>
      </c>
      <c r="B3949" s="1" t="n">
        <v>44216</v>
      </c>
      <c r="C3949" s="1" t="n">
        <v>45810</v>
      </c>
      <c r="D3949" t="inlineStr">
        <is>
          <t>VÄRMLANDS LÄN</t>
        </is>
      </c>
      <c r="E3949" t="inlineStr">
        <is>
          <t>ARVIKA</t>
        </is>
      </c>
      <c r="F3949" t="inlineStr">
        <is>
          <t>Bergvik skog väst AB</t>
        </is>
      </c>
      <c r="G3949" t="n">
        <v>7.9</v>
      </c>
      <c r="H3949" t="n">
        <v>0</v>
      </c>
      <c r="I3949" t="n">
        <v>0</v>
      </c>
      <c r="J3949" t="n">
        <v>0</v>
      </c>
      <c r="K3949" t="n">
        <v>0</v>
      </c>
      <c r="L3949" t="n">
        <v>0</v>
      </c>
      <c r="M3949" t="n">
        <v>0</v>
      </c>
      <c r="N3949" t="n">
        <v>0</v>
      </c>
      <c r="O3949" t="n">
        <v>0</v>
      </c>
      <c r="P3949" t="n">
        <v>0</v>
      </c>
      <c r="Q3949" t="n">
        <v>0</v>
      </c>
      <c r="R3949" s="2" t="inlineStr"/>
    </row>
    <row r="3950" ht="15" customHeight="1">
      <c r="A3950" t="inlineStr">
        <is>
          <t>A 2991-2021</t>
        </is>
      </c>
      <c r="B3950" s="1" t="n">
        <v>44216</v>
      </c>
      <c r="C3950" s="1" t="n">
        <v>45810</v>
      </c>
      <c r="D3950" t="inlineStr">
        <is>
          <t>VÄRMLANDS LÄN</t>
        </is>
      </c>
      <c r="E3950" t="inlineStr">
        <is>
          <t>HAGFORS</t>
        </is>
      </c>
      <c r="F3950" t="inlineStr">
        <is>
          <t>Bergvik skog väst AB</t>
        </is>
      </c>
      <c r="G3950" t="n">
        <v>9.199999999999999</v>
      </c>
      <c r="H3950" t="n">
        <v>0</v>
      </c>
      <c r="I3950" t="n">
        <v>0</v>
      </c>
      <c r="J3950" t="n">
        <v>0</v>
      </c>
      <c r="K3950" t="n">
        <v>0</v>
      </c>
      <c r="L3950" t="n">
        <v>0</v>
      </c>
      <c r="M3950" t="n">
        <v>0</v>
      </c>
      <c r="N3950" t="n">
        <v>0</v>
      </c>
      <c r="O3950" t="n">
        <v>0</v>
      </c>
      <c r="P3950" t="n">
        <v>0</v>
      </c>
      <c r="Q3950" t="n">
        <v>0</v>
      </c>
      <c r="R3950" s="2" t="inlineStr"/>
    </row>
    <row r="3951" ht="15" customHeight="1">
      <c r="A3951" t="inlineStr">
        <is>
          <t>A 3013-2021</t>
        </is>
      </c>
      <c r="B3951" s="1" t="n">
        <v>44216</v>
      </c>
      <c r="C3951" s="1" t="n">
        <v>45810</v>
      </c>
      <c r="D3951" t="inlineStr">
        <is>
          <t>VÄRMLANDS LÄN</t>
        </is>
      </c>
      <c r="E3951" t="inlineStr">
        <is>
          <t>SÄFFLE</t>
        </is>
      </c>
      <c r="G3951" t="n">
        <v>6</v>
      </c>
      <c r="H3951" t="n">
        <v>0</v>
      </c>
      <c r="I3951" t="n">
        <v>0</v>
      </c>
      <c r="J3951" t="n">
        <v>0</v>
      </c>
      <c r="K3951" t="n">
        <v>0</v>
      </c>
      <c r="L3951" t="n">
        <v>0</v>
      </c>
      <c r="M3951" t="n">
        <v>0</v>
      </c>
      <c r="N3951" t="n">
        <v>0</v>
      </c>
      <c r="O3951" t="n">
        <v>0</v>
      </c>
      <c r="P3951" t="n">
        <v>0</v>
      </c>
      <c r="Q3951" t="n">
        <v>0</v>
      </c>
      <c r="R3951" s="2" t="inlineStr"/>
    </row>
    <row r="3952" ht="15" customHeight="1">
      <c r="A3952" t="inlineStr">
        <is>
          <t>A 3110-2021</t>
        </is>
      </c>
      <c r="B3952" s="1" t="n">
        <v>44217</v>
      </c>
      <c r="C3952" s="1" t="n">
        <v>45810</v>
      </c>
      <c r="D3952" t="inlineStr">
        <is>
          <t>VÄRMLANDS LÄN</t>
        </is>
      </c>
      <c r="E3952" t="inlineStr">
        <is>
          <t>EDA</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3167-2021</t>
        </is>
      </c>
      <c r="B3953" s="1" t="n">
        <v>44217</v>
      </c>
      <c r="C3953" s="1" t="n">
        <v>45810</v>
      </c>
      <c r="D3953" t="inlineStr">
        <is>
          <t>VÄRMLANDS LÄN</t>
        </is>
      </c>
      <c r="E3953" t="inlineStr">
        <is>
          <t>EDA</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3233-2021</t>
        </is>
      </c>
      <c r="B3954" s="1" t="n">
        <v>44217</v>
      </c>
      <c r="C3954" s="1" t="n">
        <v>45810</v>
      </c>
      <c r="D3954" t="inlineStr">
        <is>
          <t>VÄRMLANDS LÄN</t>
        </is>
      </c>
      <c r="E3954" t="inlineStr">
        <is>
          <t>EDA</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3287-2021</t>
        </is>
      </c>
      <c r="B3955" s="1" t="n">
        <v>44217</v>
      </c>
      <c r="C3955" s="1" t="n">
        <v>45810</v>
      </c>
      <c r="D3955" t="inlineStr">
        <is>
          <t>VÄRMLANDS LÄN</t>
        </is>
      </c>
      <c r="E3955" t="inlineStr">
        <is>
          <t>MUNKFORS</t>
        </is>
      </c>
      <c r="F3955" t="inlineStr">
        <is>
          <t>Bergvik skog väst AB</t>
        </is>
      </c>
      <c r="G3955" t="n">
        <v>5.2</v>
      </c>
      <c r="H3955" t="n">
        <v>0</v>
      </c>
      <c r="I3955" t="n">
        <v>0</v>
      </c>
      <c r="J3955" t="n">
        <v>0</v>
      </c>
      <c r="K3955" t="n">
        <v>0</v>
      </c>
      <c r="L3955" t="n">
        <v>0</v>
      </c>
      <c r="M3955" t="n">
        <v>0</v>
      </c>
      <c r="N3955" t="n">
        <v>0</v>
      </c>
      <c r="O3955" t="n">
        <v>0</v>
      </c>
      <c r="P3955" t="n">
        <v>0</v>
      </c>
      <c r="Q3955" t="n">
        <v>0</v>
      </c>
      <c r="R3955" s="2" t="inlineStr"/>
    </row>
    <row r="3956" ht="15" customHeight="1">
      <c r="A3956" t="inlineStr">
        <is>
          <t>A 3280-2021</t>
        </is>
      </c>
      <c r="B3956" s="1" t="n">
        <v>44217</v>
      </c>
      <c r="C3956" s="1" t="n">
        <v>45810</v>
      </c>
      <c r="D3956" t="inlineStr">
        <is>
          <t>VÄRMLANDS LÄN</t>
        </is>
      </c>
      <c r="E3956" t="inlineStr">
        <is>
          <t>HAGFORS</t>
        </is>
      </c>
      <c r="F3956" t="inlineStr">
        <is>
          <t>Bergvik skog väst AB</t>
        </is>
      </c>
      <c r="G3956" t="n">
        <v>6.4</v>
      </c>
      <c r="H3956" t="n">
        <v>0</v>
      </c>
      <c r="I3956" t="n">
        <v>0</v>
      </c>
      <c r="J3956" t="n">
        <v>0</v>
      </c>
      <c r="K3956" t="n">
        <v>0</v>
      </c>
      <c r="L3956" t="n">
        <v>0</v>
      </c>
      <c r="M3956" t="n">
        <v>0</v>
      </c>
      <c r="N3956" t="n">
        <v>0</v>
      </c>
      <c r="O3956" t="n">
        <v>0</v>
      </c>
      <c r="P3956" t="n">
        <v>0</v>
      </c>
      <c r="Q3956" t="n">
        <v>0</v>
      </c>
      <c r="R3956" s="2" t="inlineStr"/>
    </row>
    <row r="3957" ht="15" customHeight="1">
      <c r="A3957" t="inlineStr">
        <is>
          <t>A 3907-2021</t>
        </is>
      </c>
      <c r="B3957" s="1" t="n">
        <v>44217</v>
      </c>
      <c r="C3957" s="1" t="n">
        <v>45810</v>
      </c>
      <c r="D3957" t="inlineStr">
        <is>
          <t>VÄRMLANDS LÄN</t>
        </is>
      </c>
      <c r="E3957" t="inlineStr">
        <is>
          <t>SÄFFLE</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3160-2021</t>
        </is>
      </c>
      <c r="B3958" s="1" t="n">
        <v>44217</v>
      </c>
      <c r="C3958" s="1" t="n">
        <v>45810</v>
      </c>
      <c r="D3958" t="inlineStr">
        <is>
          <t>VÄRMLANDS LÄN</t>
        </is>
      </c>
      <c r="E3958" t="inlineStr">
        <is>
          <t>TORSBY</t>
        </is>
      </c>
      <c r="G3958" t="n">
        <v>4.4</v>
      </c>
      <c r="H3958" t="n">
        <v>0</v>
      </c>
      <c r="I3958" t="n">
        <v>0</v>
      </c>
      <c r="J3958" t="n">
        <v>0</v>
      </c>
      <c r="K3958" t="n">
        <v>0</v>
      </c>
      <c r="L3958" t="n">
        <v>0</v>
      </c>
      <c r="M3958" t="n">
        <v>0</v>
      </c>
      <c r="N3958" t="n">
        <v>0</v>
      </c>
      <c r="O3958" t="n">
        <v>0</v>
      </c>
      <c r="P3958" t="n">
        <v>0</v>
      </c>
      <c r="Q3958" t="n">
        <v>0</v>
      </c>
      <c r="R3958" s="2" t="inlineStr"/>
    </row>
    <row r="3959" ht="15" customHeight="1">
      <c r="A3959" t="inlineStr">
        <is>
          <t>A 3289-2021</t>
        </is>
      </c>
      <c r="B3959" s="1" t="n">
        <v>44217</v>
      </c>
      <c r="C3959" s="1" t="n">
        <v>45810</v>
      </c>
      <c r="D3959" t="inlineStr">
        <is>
          <t>VÄRMLANDS LÄN</t>
        </is>
      </c>
      <c r="E3959" t="inlineStr">
        <is>
          <t>ARVIKA</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3336-2021</t>
        </is>
      </c>
      <c r="B3960" s="1" t="n">
        <v>44217</v>
      </c>
      <c r="C3960" s="1" t="n">
        <v>45810</v>
      </c>
      <c r="D3960" t="inlineStr">
        <is>
          <t>VÄRMLANDS LÄN</t>
        </is>
      </c>
      <c r="E3960" t="inlineStr">
        <is>
          <t>TORSBY</t>
        </is>
      </c>
      <c r="G3960" t="n">
        <v>3.7</v>
      </c>
      <c r="H3960" t="n">
        <v>0</v>
      </c>
      <c r="I3960" t="n">
        <v>0</v>
      </c>
      <c r="J3960" t="n">
        <v>0</v>
      </c>
      <c r="K3960" t="n">
        <v>0</v>
      </c>
      <c r="L3960" t="n">
        <v>0</v>
      </c>
      <c r="M3960" t="n">
        <v>0</v>
      </c>
      <c r="N3960" t="n">
        <v>0</v>
      </c>
      <c r="O3960" t="n">
        <v>0</v>
      </c>
      <c r="P3960" t="n">
        <v>0</v>
      </c>
      <c r="Q3960" t="n">
        <v>0</v>
      </c>
      <c r="R3960" s="2" t="inlineStr"/>
    </row>
    <row r="3961" ht="15" customHeight="1">
      <c r="A3961" t="inlineStr">
        <is>
          <t>A 3980-2021</t>
        </is>
      </c>
      <c r="B3961" s="1" t="n">
        <v>44217</v>
      </c>
      <c r="C3961" s="1" t="n">
        <v>45810</v>
      </c>
      <c r="D3961" t="inlineStr">
        <is>
          <t>VÄRMLANDS LÄN</t>
        </is>
      </c>
      <c r="E3961" t="inlineStr">
        <is>
          <t>ÅRJÄNG</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3973-2021</t>
        </is>
      </c>
      <c r="B3962" s="1" t="n">
        <v>44217</v>
      </c>
      <c r="C3962" s="1" t="n">
        <v>45810</v>
      </c>
      <c r="D3962" t="inlineStr">
        <is>
          <t>VÄRMLANDS LÄN</t>
        </is>
      </c>
      <c r="E3962" t="inlineStr">
        <is>
          <t>ÅRJÄNG</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3551-2021</t>
        </is>
      </c>
      <c r="B3963" s="1" t="n">
        <v>44218</v>
      </c>
      <c r="C3963" s="1" t="n">
        <v>45810</v>
      </c>
      <c r="D3963" t="inlineStr">
        <is>
          <t>VÄRMLANDS LÄN</t>
        </is>
      </c>
      <c r="E3963" t="inlineStr">
        <is>
          <t>SÄFFLE</t>
        </is>
      </c>
      <c r="G3963" t="n">
        <v>4.8</v>
      </c>
      <c r="H3963" t="n">
        <v>0</v>
      </c>
      <c r="I3963" t="n">
        <v>0</v>
      </c>
      <c r="J3963" t="n">
        <v>0</v>
      </c>
      <c r="K3963" t="n">
        <v>0</v>
      </c>
      <c r="L3963" t="n">
        <v>0</v>
      </c>
      <c r="M3963" t="n">
        <v>0</v>
      </c>
      <c r="N3963" t="n">
        <v>0</v>
      </c>
      <c r="O3963" t="n">
        <v>0</v>
      </c>
      <c r="P3963" t="n">
        <v>0</v>
      </c>
      <c r="Q3963" t="n">
        <v>0</v>
      </c>
      <c r="R3963" s="2" t="inlineStr"/>
    </row>
    <row r="3964" ht="15" customHeight="1">
      <c r="A3964" t="inlineStr">
        <is>
          <t>A 4176-2021</t>
        </is>
      </c>
      <c r="B3964" s="1" t="n">
        <v>44218</v>
      </c>
      <c r="C3964" s="1" t="n">
        <v>45810</v>
      </c>
      <c r="D3964" t="inlineStr">
        <is>
          <t>VÄRMLANDS LÄN</t>
        </is>
      </c>
      <c r="E3964" t="inlineStr">
        <is>
          <t>KARLSTAD</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3674-2021</t>
        </is>
      </c>
      <c r="B3965" s="1" t="n">
        <v>44221</v>
      </c>
      <c r="C3965" s="1" t="n">
        <v>45810</v>
      </c>
      <c r="D3965" t="inlineStr">
        <is>
          <t>VÄRMLANDS LÄN</t>
        </is>
      </c>
      <c r="E3965" t="inlineStr">
        <is>
          <t>HAGFORS</t>
        </is>
      </c>
      <c r="G3965" t="n">
        <v>3.6</v>
      </c>
      <c r="H3965" t="n">
        <v>0</v>
      </c>
      <c r="I3965" t="n">
        <v>0</v>
      </c>
      <c r="J3965" t="n">
        <v>0</v>
      </c>
      <c r="K3965" t="n">
        <v>0</v>
      </c>
      <c r="L3965" t="n">
        <v>0</v>
      </c>
      <c r="M3965" t="n">
        <v>0</v>
      </c>
      <c r="N3965" t="n">
        <v>0</v>
      </c>
      <c r="O3965" t="n">
        <v>0</v>
      </c>
      <c r="P3965" t="n">
        <v>0</v>
      </c>
      <c r="Q3965" t="n">
        <v>0</v>
      </c>
      <c r="R3965" s="2" t="inlineStr"/>
    </row>
    <row r="3966" ht="15" customHeight="1">
      <c r="A3966" t="inlineStr">
        <is>
          <t>A 3796-2021</t>
        </is>
      </c>
      <c r="B3966" s="1" t="n">
        <v>44221</v>
      </c>
      <c r="C3966" s="1" t="n">
        <v>45810</v>
      </c>
      <c r="D3966" t="inlineStr">
        <is>
          <t>VÄRMLANDS LÄN</t>
        </is>
      </c>
      <c r="E3966" t="inlineStr">
        <is>
          <t>ÅRJÄNG</t>
        </is>
      </c>
      <c r="G3966" t="n">
        <v>4</v>
      </c>
      <c r="H3966" t="n">
        <v>0</v>
      </c>
      <c r="I3966" t="n">
        <v>0</v>
      </c>
      <c r="J3966" t="n">
        <v>0</v>
      </c>
      <c r="K3966" t="n">
        <v>0</v>
      </c>
      <c r="L3966" t="n">
        <v>0</v>
      </c>
      <c r="M3966" t="n">
        <v>0</v>
      </c>
      <c r="N3966" t="n">
        <v>0</v>
      </c>
      <c r="O3966" t="n">
        <v>0</v>
      </c>
      <c r="P3966" t="n">
        <v>0</v>
      </c>
      <c r="Q3966" t="n">
        <v>0</v>
      </c>
      <c r="R3966" s="2" t="inlineStr"/>
    </row>
    <row r="3967" ht="15" customHeight="1">
      <c r="A3967" t="inlineStr">
        <is>
          <t>A 3678-2021</t>
        </is>
      </c>
      <c r="B3967" s="1" t="n">
        <v>44221</v>
      </c>
      <c r="C3967" s="1" t="n">
        <v>45810</v>
      </c>
      <c r="D3967" t="inlineStr">
        <is>
          <t>VÄRMLANDS LÄN</t>
        </is>
      </c>
      <c r="E3967" t="inlineStr">
        <is>
          <t>HAGFORS</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3825-2021</t>
        </is>
      </c>
      <c r="B3968" s="1" t="n">
        <v>44221</v>
      </c>
      <c r="C3968" s="1" t="n">
        <v>45810</v>
      </c>
      <c r="D3968" t="inlineStr">
        <is>
          <t>VÄRMLANDS LÄN</t>
        </is>
      </c>
      <c r="E3968" t="inlineStr">
        <is>
          <t>SÄFFLE</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3664-2021</t>
        </is>
      </c>
      <c r="B3969" s="1" t="n">
        <v>44221</v>
      </c>
      <c r="C3969" s="1" t="n">
        <v>45810</v>
      </c>
      <c r="D3969" t="inlineStr">
        <is>
          <t>VÄRMLANDS LÄN</t>
        </is>
      </c>
      <c r="E3969" t="inlineStr">
        <is>
          <t>ARVIKA</t>
        </is>
      </c>
      <c r="G3969" t="n">
        <v>7.3</v>
      </c>
      <c r="H3969" t="n">
        <v>0</v>
      </c>
      <c r="I3969" t="n">
        <v>0</v>
      </c>
      <c r="J3969" t="n">
        <v>0</v>
      </c>
      <c r="K3969" t="n">
        <v>0</v>
      </c>
      <c r="L3969" t="n">
        <v>0</v>
      </c>
      <c r="M3969" t="n">
        <v>0</v>
      </c>
      <c r="N3969" t="n">
        <v>0</v>
      </c>
      <c r="O3969" t="n">
        <v>0</v>
      </c>
      <c r="P3969" t="n">
        <v>0</v>
      </c>
      <c r="Q3969" t="n">
        <v>0</v>
      </c>
      <c r="R3969" s="2" t="inlineStr"/>
    </row>
    <row r="3970" ht="15" customHeight="1">
      <c r="A3970" t="inlineStr">
        <is>
          <t>A 4231-2021</t>
        </is>
      </c>
      <c r="B3970" s="1" t="n">
        <v>44221</v>
      </c>
      <c r="C3970" s="1" t="n">
        <v>45810</v>
      </c>
      <c r="D3970" t="inlineStr">
        <is>
          <t>VÄRMLANDS LÄN</t>
        </is>
      </c>
      <c r="E3970" t="inlineStr">
        <is>
          <t>SÄFFLE</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4266-2021</t>
        </is>
      </c>
      <c r="B3971" s="1" t="n">
        <v>44221</v>
      </c>
      <c r="C3971" s="1" t="n">
        <v>45810</v>
      </c>
      <c r="D3971" t="inlineStr">
        <is>
          <t>VÄRMLANDS LÄN</t>
        </is>
      </c>
      <c r="E3971" t="inlineStr">
        <is>
          <t>SÄFFLE</t>
        </is>
      </c>
      <c r="G3971" t="n">
        <v>4.7</v>
      </c>
      <c r="H3971" t="n">
        <v>0</v>
      </c>
      <c r="I3971" t="n">
        <v>0</v>
      </c>
      <c r="J3971" t="n">
        <v>0</v>
      </c>
      <c r="K3971" t="n">
        <v>0</v>
      </c>
      <c r="L3971" t="n">
        <v>0</v>
      </c>
      <c r="M3971" t="n">
        <v>0</v>
      </c>
      <c r="N3971" t="n">
        <v>0</v>
      </c>
      <c r="O3971" t="n">
        <v>0</v>
      </c>
      <c r="P3971" t="n">
        <v>0</v>
      </c>
      <c r="Q3971" t="n">
        <v>0</v>
      </c>
      <c r="R3971" s="2" t="inlineStr"/>
    </row>
    <row r="3972" ht="15" customHeight="1">
      <c r="A3972" t="inlineStr">
        <is>
          <t>A 4263-2021</t>
        </is>
      </c>
      <c r="B3972" s="1" t="n">
        <v>44221</v>
      </c>
      <c r="C3972" s="1" t="n">
        <v>45810</v>
      </c>
      <c r="D3972" t="inlineStr">
        <is>
          <t>VÄRMLANDS LÄN</t>
        </is>
      </c>
      <c r="E3972" t="inlineStr">
        <is>
          <t>SÄFFLE</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4353-2021</t>
        </is>
      </c>
      <c r="B3973" s="1" t="n">
        <v>44221</v>
      </c>
      <c r="C3973" s="1" t="n">
        <v>45810</v>
      </c>
      <c r="D3973" t="inlineStr">
        <is>
          <t>VÄRMLANDS LÄN</t>
        </is>
      </c>
      <c r="E3973" t="inlineStr">
        <is>
          <t>SÄFFLE</t>
        </is>
      </c>
      <c r="G3973" t="n">
        <v>9.6</v>
      </c>
      <c r="H3973" t="n">
        <v>0</v>
      </c>
      <c r="I3973" t="n">
        <v>0</v>
      </c>
      <c r="J3973" t="n">
        <v>0</v>
      </c>
      <c r="K3973" t="n">
        <v>0</v>
      </c>
      <c r="L3973" t="n">
        <v>0</v>
      </c>
      <c r="M3973" t="n">
        <v>0</v>
      </c>
      <c r="N3973" t="n">
        <v>0</v>
      </c>
      <c r="O3973" t="n">
        <v>0</v>
      </c>
      <c r="P3973" t="n">
        <v>0</v>
      </c>
      <c r="Q3973" t="n">
        <v>0</v>
      </c>
      <c r="R3973" s="2" t="inlineStr"/>
    </row>
    <row r="3974" ht="15" customHeight="1">
      <c r="A3974" t="inlineStr">
        <is>
          <t>A 3884-2021</t>
        </is>
      </c>
      <c r="B3974" s="1" t="n">
        <v>44221</v>
      </c>
      <c r="C3974" s="1" t="n">
        <v>45810</v>
      </c>
      <c r="D3974" t="inlineStr">
        <is>
          <t>VÄRMLANDS LÄN</t>
        </is>
      </c>
      <c r="E3974" t="inlineStr">
        <is>
          <t>SÄFFLE</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4235-2021</t>
        </is>
      </c>
      <c r="B3975" s="1" t="n">
        <v>44221</v>
      </c>
      <c r="C3975" s="1" t="n">
        <v>45810</v>
      </c>
      <c r="D3975" t="inlineStr">
        <is>
          <t>VÄRMLANDS LÄN</t>
        </is>
      </c>
      <c r="E3975" t="inlineStr">
        <is>
          <t>SÄFFLE</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3883-2021</t>
        </is>
      </c>
      <c r="B3976" s="1" t="n">
        <v>44222</v>
      </c>
      <c r="C3976" s="1" t="n">
        <v>45810</v>
      </c>
      <c r="D3976" t="inlineStr">
        <is>
          <t>VÄRMLANDS LÄN</t>
        </is>
      </c>
      <c r="E3976" t="inlineStr">
        <is>
          <t>KARLSTAD</t>
        </is>
      </c>
      <c r="F3976" t="inlineStr">
        <is>
          <t>Kommuner</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3942-2021</t>
        </is>
      </c>
      <c r="B3977" s="1" t="n">
        <v>44222</v>
      </c>
      <c r="C3977" s="1" t="n">
        <v>45810</v>
      </c>
      <c r="D3977" t="inlineStr">
        <is>
          <t>VÄRMLANDS LÄN</t>
        </is>
      </c>
      <c r="E3977" t="inlineStr">
        <is>
          <t>KARLSTAD</t>
        </is>
      </c>
      <c r="G3977" t="n">
        <v>3.7</v>
      </c>
      <c r="H3977" t="n">
        <v>0</v>
      </c>
      <c r="I3977" t="n">
        <v>0</v>
      </c>
      <c r="J3977" t="n">
        <v>0</v>
      </c>
      <c r="K3977" t="n">
        <v>0</v>
      </c>
      <c r="L3977" t="n">
        <v>0</v>
      </c>
      <c r="M3977" t="n">
        <v>0</v>
      </c>
      <c r="N3977" t="n">
        <v>0</v>
      </c>
      <c r="O3977" t="n">
        <v>0</v>
      </c>
      <c r="P3977" t="n">
        <v>0</v>
      </c>
      <c r="Q3977" t="n">
        <v>0</v>
      </c>
      <c r="R3977" s="2" t="inlineStr"/>
    </row>
    <row r="3978" ht="15" customHeight="1">
      <c r="A3978" t="inlineStr">
        <is>
          <t>A 3970-2021</t>
        </is>
      </c>
      <c r="B3978" s="1" t="n">
        <v>44222</v>
      </c>
      <c r="C3978" s="1" t="n">
        <v>45810</v>
      </c>
      <c r="D3978" t="inlineStr">
        <is>
          <t>VÄRMLANDS LÄN</t>
        </is>
      </c>
      <c r="E3978" t="inlineStr">
        <is>
          <t>KIL</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4086-2021</t>
        </is>
      </c>
      <c r="B3979" s="1" t="n">
        <v>44222</v>
      </c>
      <c r="C3979" s="1" t="n">
        <v>45810</v>
      </c>
      <c r="D3979" t="inlineStr">
        <is>
          <t>VÄRMLANDS LÄN</t>
        </is>
      </c>
      <c r="E3979" t="inlineStr">
        <is>
          <t>ARVIKA</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4104-2021</t>
        </is>
      </c>
      <c r="B3980" s="1" t="n">
        <v>44222</v>
      </c>
      <c r="C3980" s="1" t="n">
        <v>45810</v>
      </c>
      <c r="D3980" t="inlineStr">
        <is>
          <t>VÄRMLANDS LÄN</t>
        </is>
      </c>
      <c r="E3980" t="inlineStr">
        <is>
          <t>FORSHAGA</t>
        </is>
      </c>
      <c r="F3980" t="inlineStr">
        <is>
          <t>Bergvik skog väst AB</t>
        </is>
      </c>
      <c r="G3980" t="n">
        <v>20.9</v>
      </c>
      <c r="H3980" t="n">
        <v>0</v>
      </c>
      <c r="I3980" t="n">
        <v>0</v>
      </c>
      <c r="J3980" t="n">
        <v>0</v>
      </c>
      <c r="K3980" t="n">
        <v>0</v>
      </c>
      <c r="L3980" t="n">
        <v>0</v>
      </c>
      <c r="M3980" t="n">
        <v>0</v>
      </c>
      <c r="N3980" t="n">
        <v>0</v>
      </c>
      <c r="O3980" t="n">
        <v>0</v>
      </c>
      <c r="P3980" t="n">
        <v>0</v>
      </c>
      <c r="Q3980" t="n">
        <v>0</v>
      </c>
      <c r="R3980" s="2" t="inlineStr"/>
    </row>
    <row r="3981" ht="15" customHeight="1">
      <c r="A3981" t="inlineStr">
        <is>
          <t>A 4110-2021</t>
        </is>
      </c>
      <c r="B3981" s="1" t="n">
        <v>44222</v>
      </c>
      <c r="C3981" s="1" t="n">
        <v>45810</v>
      </c>
      <c r="D3981" t="inlineStr">
        <is>
          <t>VÄRMLANDS LÄN</t>
        </is>
      </c>
      <c r="E3981" t="inlineStr">
        <is>
          <t>GRUMS</t>
        </is>
      </c>
      <c r="G3981" t="n">
        <v>3.1</v>
      </c>
      <c r="H3981" t="n">
        <v>0</v>
      </c>
      <c r="I3981" t="n">
        <v>0</v>
      </c>
      <c r="J3981" t="n">
        <v>0</v>
      </c>
      <c r="K3981" t="n">
        <v>0</v>
      </c>
      <c r="L3981" t="n">
        <v>0</v>
      </c>
      <c r="M3981" t="n">
        <v>0</v>
      </c>
      <c r="N3981" t="n">
        <v>0</v>
      </c>
      <c r="O3981" t="n">
        <v>0</v>
      </c>
      <c r="P3981" t="n">
        <v>0</v>
      </c>
      <c r="Q3981" t="n">
        <v>0</v>
      </c>
      <c r="R3981" s="2" t="inlineStr"/>
    </row>
    <row r="3982" ht="15" customHeight="1">
      <c r="A3982" t="inlineStr">
        <is>
          <t>A 4295-2021</t>
        </is>
      </c>
      <c r="B3982" s="1" t="n">
        <v>44222</v>
      </c>
      <c r="C3982" s="1" t="n">
        <v>45810</v>
      </c>
      <c r="D3982" t="inlineStr">
        <is>
          <t>VÄRMLANDS LÄN</t>
        </is>
      </c>
      <c r="E3982" t="inlineStr">
        <is>
          <t>SUNNE</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4083-2021</t>
        </is>
      </c>
      <c r="B3983" s="1" t="n">
        <v>44222</v>
      </c>
      <c r="C3983" s="1" t="n">
        <v>45810</v>
      </c>
      <c r="D3983" t="inlineStr">
        <is>
          <t>VÄRMLANDS LÄN</t>
        </is>
      </c>
      <c r="E3983" t="inlineStr">
        <is>
          <t>KRISTINEHAMN</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4099-2021</t>
        </is>
      </c>
      <c r="B3984" s="1" t="n">
        <v>44222</v>
      </c>
      <c r="C3984" s="1" t="n">
        <v>45810</v>
      </c>
      <c r="D3984" t="inlineStr">
        <is>
          <t>VÄRMLANDS LÄN</t>
        </is>
      </c>
      <c r="E3984" t="inlineStr">
        <is>
          <t>ARVIKA</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4450-2021</t>
        </is>
      </c>
      <c r="B3985" s="1" t="n">
        <v>44222</v>
      </c>
      <c r="C3985" s="1" t="n">
        <v>45810</v>
      </c>
      <c r="D3985" t="inlineStr">
        <is>
          <t>VÄRMLANDS LÄN</t>
        </is>
      </c>
      <c r="E3985" t="inlineStr">
        <is>
          <t>KARLSTAD</t>
        </is>
      </c>
      <c r="G3985" t="n">
        <v>6.1</v>
      </c>
      <c r="H3985" t="n">
        <v>0</v>
      </c>
      <c r="I3985" t="n">
        <v>0</v>
      </c>
      <c r="J3985" t="n">
        <v>0</v>
      </c>
      <c r="K3985" t="n">
        <v>0</v>
      </c>
      <c r="L3985" t="n">
        <v>0</v>
      </c>
      <c r="M3985" t="n">
        <v>0</v>
      </c>
      <c r="N3985" t="n">
        <v>0</v>
      </c>
      <c r="O3985" t="n">
        <v>0</v>
      </c>
      <c r="P3985" t="n">
        <v>0</v>
      </c>
      <c r="Q3985" t="n">
        <v>0</v>
      </c>
      <c r="R3985" s="2" t="inlineStr"/>
    </row>
    <row r="3986" ht="15" customHeight="1">
      <c r="A3986" t="inlineStr">
        <is>
          <t>A 4160-2021</t>
        </is>
      </c>
      <c r="B3986" s="1" t="n">
        <v>44223</v>
      </c>
      <c r="C3986" s="1" t="n">
        <v>45810</v>
      </c>
      <c r="D3986" t="inlineStr">
        <is>
          <t>VÄRMLANDS LÄN</t>
        </is>
      </c>
      <c r="E3986" t="inlineStr">
        <is>
          <t>ÅRJÄNG</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4345-2021</t>
        </is>
      </c>
      <c r="B3987" s="1" t="n">
        <v>44223</v>
      </c>
      <c r="C3987" s="1" t="n">
        <v>45810</v>
      </c>
      <c r="D3987" t="inlineStr">
        <is>
          <t>VÄRMLANDS LÄN</t>
        </is>
      </c>
      <c r="E3987" t="inlineStr">
        <is>
          <t>EDA</t>
        </is>
      </c>
      <c r="G3987" t="n">
        <v>3</v>
      </c>
      <c r="H3987" t="n">
        <v>0</v>
      </c>
      <c r="I3987" t="n">
        <v>0</v>
      </c>
      <c r="J3987" t="n">
        <v>0</v>
      </c>
      <c r="K3987" t="n">
        <v>0</v>
      </c>
      <c r="L3987" t="n">
        <v>0</v>
      </c>
      <c r="M3987" t="n">
        <v>0</v>
      </c>
      <c r="N3987" t="n">
        <v>0</v>
      </c>
      <c r="O3987" t="n">
        <v>0</v>
      </c>
      <c r="P3987" t="n">
        <v>0</v>
      </c>
      <c r="Q3987" t="n">
        <v>0</v>
      </c>
      <c r="R3987" s="2" t="inlineStr"/>
    </row>
    <row r="3988" ht="15" customHeight="1">
      <c r="A3988" t="inlineStr">
        <is>
          <t>A 4129-2021</t>
        </is>
      </c>
      <c r="B3988" s="1" t="n">
        <v>44223</v>
      </c>
      <c r="C3988" s="1" t="n">
        <v>45810</v>
      </c>
      <c r="D3988" t="inlineStr">
        <is>
          <t>VÄRMLANDS LÄN</t>
        </is>
      </c>
      <c r="E3988" t="inlineStr">
        <is>
          <t>EDA</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4238-2021</t>
        </is>
      </c>
      <c r="B3989" s="1" t="n">
        <v>44223</v>
      </c>
      <c r="C3989" s="1" t="n">
        <v>45810</v>
      </c>
      <c r="D3989" t="inlineStr">
        <is>
          <t>VÄRMLANDS LÄN</t>
        </is>
      </c>
      <c r="E3989" t="inlineStr">
        <is>
          <t>KIL</t>
        </is>
      </c>
      <c r="G3989" t="n">
        <v>0.4</v>
      </c>
      <c r="H3989" t="n">
        <v>0</v>
      </c>
      <c r="I3989" t="n">
        <v>0</v>
      </c>
      <c r="J3989" t="n">
        <v>0</v>
      </c>
      <c r="K3989" t="n">
        <v>0</v>
      </c>
      <c r="L3989" t="n">
        <v>0</v>
      </c>
      <c r="M3989" t="n">
        <v>0</v>
      </c>
      <c r="N3989" t="n">
        <v>0</v>
      </c>
      <c r="O3989" t="n">
        <v>0</v>
      </c>
      <c r="P3989" t="n">
        <v>0</v>
      </c>
      <c r="Q3989" t="n">
        <v>0</v>
      </c>
      <c r="R3989" s="2" t="inlineStr"/>
    </row>
    <row r="3990" ht="15" customHeight="1">
      <c r="A3990" t="inlineStr">
        <is>
          <t>A 4300-2021</t>
        </is>
      </c>
      <c r="B3990" s="1" t="n">
        <v>44223</v>
      </c>
      <c r="C3990" s="1" t="n">
        <v>45810</v>
      </c>
      <c r="D3990" t="inlineStr">
        <is>
          <t>VÄRMLANDS LÄN</t>
        </is>
      </c>
      <c r="E3990" t="inlineStr">
        <is>
          <t>ÅRJÄNG</t>
        </is>
      </c>
      <c r="G3990" t="n">
        <v>4.2</v>
      </c>
      <c r="H3990" t="n">
        <v>0</v>
      </c>
      <c r="I3990" t="n">
        <v>0</v>
      </c>
      <c r="J3990" t="n">
        <v>0</v>
      </c>
      <c r="K3990" t="n">
        <v>0</v>
      </c>
      <c r="L3990" t="n">
        <v>0</v>
      </c>
      <c r="M3990" t="n">
        <v>0</v>
      </c>
      <c r="N3990" t="n">
        <v>0</v>
      </c>
      <c r="O3990" t="n">
        <v>0</v>
      </c>
      <c r="P3990" t="n">
        <v>0</v>
      </c>
      <c r="Q3990" t="n">
        <v>0</v>
      </c>
      <c r="R3990" s="2" t="inlineStr"/>
    </row>
    <row r="3991" ht="15" customHeight="1">
      <c r="A3991" t="inlineStr">
        <is>
          <t>A 4392-2021</t>
        </is>
      </c>
      <c r="B3991" s="1" t="n">
        <v>44223</v>
      </c>
      <c r="C3991" s="1" t="n">
        <v>45810</v>
      </c>
      <c r="D3991" t="inlineStr">
        <is>
          <t>VÄRMLANDS LÄN</t>
        </is>
      </c>
      <c r="E3991" t="inlineStr">
        <is>
          <t>TORSBY</t>
        </is>
      </c>
      <c r="G3991" t="n">
        <v>3.8</v>
      </c>
      <c r="H3991" t="n">
        <v>0</v>
      </c>
      <c r="I3991" t="n">
        <v>0</v>
      </c>
      <c r="J3991" t="n">
        <v>0</v>
      </c>
      <c r="K3991" t="n">
        <v>0</v>
      </c>
      <c r="L3991" t="n">
        <v>0</v>
      </c>
      <c r="M3991" t="n">
        <v>0</v>
      </c>
      <c r="N3991" t="n">
        <v>0</v>
      </c>
      <c r="O3991" t="n">
        <v>0</v>
      </c>
      <c r="P3991" t="n">
        <v>0</v>
      </c>
      <c r="Q3991" t="n">
        <v>0</v>
      </c>
      <c r="R3991" s="2" t="inlineStr"/>
    </row>
    <row r="3992" ht="15" customHeight="1">
      <c r="A3992" t="inlineStr">
        <is>
          <t>A 4324-2021</t>
        </is>
      </c>
      <c r="B3992" s="1" t="n">
        <v>44223</v>
      </c>
      <c r="C3992" s="1" t="n">
        <v>45810</v>
      </c>
      <c r="D3992" t="inlineStr">
        <is>
          <t>VÄRMLANDS LÄN</t>
        </is>
      </c>
      <c r="E3992" t="inlineStr">
        <is>
          <t>SÄFFLE</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4558-2021</t>
        </is>
      </c>
      <c r="B3993" s="1" t="n">
        <v>44223</v>
      </c>
      <c r="C3993" s="1" t="n">
        <v>45810</v>
      </c>
      <c r="D3993" t="inlineStr">
        <is>
          <t>VÄRMLANDS LÄN</t>
        </is>
      </c>
      <c r="E3993" t="inlineStr">
        <is>
          <t>TORSBY</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4803-2021</t>
        </is>
      </c>
      <c r="B3994" s="1" t="n">
        <v>44223</v>
      </c>
      <c r="C3994" s="1" t="n">
        <v>45810</v>
      </c>
      <c r="D3994" t="inlineStr">
        <is>
          <t>VÄRMLANDS LÄN</t>
        </is>
      </c>
      <c r="E3994" t="inlineStr">
        <is>
          <t>SÄFFLE</t>
        </is>
      </c>
      <c r="G3994" t="n">
        <v>2.7</v>
      </c>
      <c r="H3994" t="n">
        <v>0</v>
      </c>
      <c r="I3994" t="n">
        <v>0</v>
      </c>
      <c r="J3994" t="n">
        <v>0</v>
      </c>
      <c r="K3994" t="n">
        <v>0</v>
      </c>
      <c r="L3994" t="n">
        <v>0</v>
      </c>
      <c r="M3994" t="n">
        <v>0</v>
      </c>
      <c r="N3994" t="n">
        <v>0</v>
      </c>
      <c r="O3994" t="n">
        <v>0</v>
      </c>
      <c r="P3994" t="n">
        <v>0</v>
      </c>
      <c r="Q3994" t="n">
        <v>0</v>
      </c>
      <c r="R3994" s="2" t="inlineStr"/>
    </row>
    <row r="3995" ht="15" customHeight="1">
      <c r="A3995" t="inlineStr">
        <is>
          <t>A 4393-2021</t>
        </is>
      </c>
      <c r="B3995" s="1" t="n">
        <v>44223</v>
      </c>
      <c r="C3995" s="1" t="n">
        <v>45810</v>
      </c>
      <c r="D3995" t="inlineStr">
        <is>
          <t>VÄRMLANDS LÄN</t>
        </is>
      </c>
      <c r="E3995" t="inlineStr">
        <is>
          <t>TORSBY</t>
        </is>
      </c>
      <c r="G3995" t="n">
        <v>2.8</v>
      </c>
      <c r="H3995" t="n">
        <v>0</v>
      </c>
      <c r="I3995" t="n">
        <v>0</v>
      </c>
      <c r="J3995" t="n">
        <v>0</v>
      </c>
      <c r="K3995" t="n">
        <v>0</v>
      </c>
      <c r="L3995" t="n">
        <v>0</v>
      </c>
      <c r="M3995" t="n">
        <v>0</v>
      </c>
      <c r="N3995" t="n">
        <v>0</v>
      </c>
      <c r="O3995" t="n">
        <v>0</v>
      </c>
      <c r="P3995" t="n">
        <v>0</v>
      </c>
      <c r="Q3995" t="n">
        <v>0</v>
      </c>
      <c r="R3995" s="2" t="inlineStr"/>
    </row>
    <row r="3996" ht="15" customHeight="1">
      <c r="A3996" t="inlineStr">
        <is>
          <t>A 4564-2021</t>
        </is>
      </c>
      <c r="B3996" s="1" t="n">
        <v>44223</v>
      </c>
      <c r="C3996" s="1" t="n">
        <v>45810</v>
      </c>
      <c r="D3996" t="inlineStr">
        <is>
          <t>VÄRMLANDS LÄN</t>
        </is>
      </c>
      <c r="E3996" t="inlineStr">
        <is>
          <t>TORSBY</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4420-2021</t>
        </is>
      </c>
      <c r="B3997" s="1" t="n">
        <v>44224</v>
      </c>
      <c r="C3997" s="1" t="n">
        <v>45810</v>
      </c>
      <c r="D3997" t="inlineStr">
        <is>
          <t>VÄRMLANDS LÄN</t>
        </is>
      </c>
      <c r="E3997" t="inlineStr">
        <is>
          <t>FILIPSTAD</t>
        </is>
      </c>
      <c r="F3997" t="inlineStr">
        <is>
          <t>Bergvik skog väst AB</t>
        </is>
      </c>
      <c r="G3997" t="n">
        <v>23.1</v>
      </c>
      <c r="H3997" t="n">
        <v>0</v>
      </c>
      <c r="I3997" t="n">
        <v>0</v>
      </c>
      <c r="J3997" t="n">
        <v>0</v>
      </c>
      <c r="K3997" t="n">
        <v>0</v>
      </c>
      <c r="L3997" t="n">
        <v>0</v>
      </c>
      <c r="M3997" t="n">
        <v>0</v>
      </c>
      <c r="N3997" t="n">
        <v>0</v>
      </c>
      <c r="O3997" t="n">
        <v>0</v>
      </c>
      <c r="P3997" t="n">
        <v>0</v>
      </c>
      <c r="Q3997" t="n">
        <v>0</v>
      </c>
      <c r="R3997" s="2" t="inlineStr"/>
    </row>
    <row r="3998" ht="15" customHeight="1">
      <c r="A3998" t="inlineStr">
        <is>
          <t>A 4537-2021</t>
        </is>
      </c>
      <c r="B3998" s="1" t="n">
        <v>44224</v>
      </c>
      <c r="C3998" s="1" t="n">
        <v>45810</v>
      </c>
      <c r="D3998" t="inlineStr">
        <is>
          <t>VÄRMLANDS LÄN</t>
        </is>
      </c>
      <c r="E3998" t="inlineStr">
        <is>
          <t>EDA</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4593-2021</t>
        </is>
      </c>
      <c r="B3999" s="1" t="n">
        <v>44224</v>
      </c>
      <c r="C3999" s="1" t="n">
        <v>45810</v>
      </c>
      <c r="D3999" t="inlineStr">
        <is>
          <t>VÄRMLANDS LÄN</t>
        </is>
      </c>
      <c r="E3999" t="inlineStr">
        <is>
          <t>SÄFFLE</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4479-2021</t>
        </is>
      </c>
      <c r="B4000" s="1" t="n">
        <v>44224</v>
      </c>
      <c r="C4000" s="1" t="n">
        <v>45810</v>
      </c>
      <c r="D4000" t="inlineStr">
        <is>
          <t>VÄRMLANDS LÄN</t>
        </is>
      </c>
      <c r="E4000" t="inlineStr">
        <is>
          <t>TORSBY</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4617-2021</t>
        </is>
      </c>
      <c r="B4001" s="1" t="n">
        <v>44224</v>
      </c>
      <c r="C4001" s="1" t="n">
        <v>45810</v>
      </c>
      <c r="D4001" t="inlineStr">
        <is>
          <t>VÄRMLANDS LÄN</t>
        </is>
      </c>
      <c r="E4001" t="inlineStr">
        <is>
          <t>FILIPSTAD</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4475-2021</t>
        </is>
      </c>
      <c r="B4002" s="1" t="n">
        <v>44224</v>
      </c>
      <c r="C4002" s="1" t="n">
        <v>45810</v>
      </c>
      <c r="D4002" t="inlineStr">
        <is>
          <t>VÄRMLANDS LÄN</t>
        </is>
      </c>
      <c r="E4002" t="inlineStr">
        <is>
          <t>FILIPSTAD</t>
        </is>
      </c>
      <c r="G4002" t="n">
        <v>3.8</v>
      </c>
      <c r="H4002" t="n">
        <v>0</v>
      </c>
      <c r="I4002" t="n">
        <v>0</v>
      </c>
      <c r="J4002" t="n">
        <v>0</v>
      </c>
      <c r="K4002" t="n">
        <v>0</v>
      </c>
      <c r="L4002" t="n">
        <v>0</v>
      </c>
      <c r="M4002" t="n">
        <v>0</v>
      </c>
      <c r="N4002" t="n">
        <v>0</v>
      </c>
      <c r="O4002" t="n">
        <v>0</v>
      </c>
      <c r="P4002" t="n">
        <v>0</v>
      </c>
      <c r="Q4002" t="n">
        <v>0</v>
      </c>
      <c r="R4002" s="2" t="inlineStr"/>
    </row>
    <row r="4003" ht="15" customHeight="1">
      <c r="A4003" t="inlineStr">
        <is>
          <t>A 4607-2021</t>
        </is>
      </c>
      <c r="B4003" s="1" t="n">
        <v>44224</v>
      </c>
      <c r="C4003" s="1" t="n">
        <v>45810</v>
      </c>
      <c r="D4003" t="inlineStr">
        <is>
          <t>VÄRMLANDS LÄN</t>
        </is>
      </c>
      <c r="E4003" t="inlineStr">
        <is>
          <t>ÅRJÄNG</t>
        </is>
      </c>
      <c r="G4003" t="n">
        <v>2.9</v>
      </c>
      <c r="H4003" t="n">
        <v>0</v>
      </c>
      <c r="I4003" t="n">
        <v>0</v>
      </c>
      <c r="J4003" t="n">
        <v>0</v>
      </c>
      <c r="K4003" t="n">
        <v>0</v>
      </c>
      <c r="L4003" t="n">
        <v>0</v>
      </c>
      <c r="M4003" t="n">
        <v>0</v>
      </c>
      <c r="N4003" t="n">
        <v>0</v>
      </c>
      <c r="O4003" t="n">
        <v>0</v>
      </c>
      <c r="P4003" t="n">
        <v>0</v>
      </c>
      <c r="Q4003" t="n">
        <v>0</v>
      </c>
      <c r="R4003" s="2" t="inlineStr"/>
    </row>
    <row r="4004" ht="15" customHeight="1">
      <c r="A4004" t="inlineStr">
        <is>
          <t>A 4619-2021</t>
        </is>
      </c>
      <c r="B4004" s="1" t="n">
        <v>44224</v>
      </c>
      <c r="C4004" s="1" t="n">
        <v>45810</v>
      </c>
      <c r="D4004" t="inlineStr">
        <is>
          <t>VÄRMLANDS LÄN</t>
        </is>
      </c>
      <c r="E4004" t="inlineStr">
        <is>
          <t>FILIPSTAD</t>
        </is>
      </c>
      <c r="G4004" t="n">
        <v>0.2</v>
      </c>
      <c r="H4004" t="n">
        <v>0</v>
      </c>
      <c r="I4004" t="n">
        <v>0</v>
      </c>
      <c r="J4004" t="n">
        <v>0</v>
      </c>
      <c r="K4004" t="n">
        <v>0</v>
      </c>
      <c r="L4004" t="n">
        <v>0</v>
      </c>
      <c r="M4004" t="n">
        <v>0</v>
      </c>
      <c r="N4004" t="n">
        <v>0</v>
      </c>
      <c r="O4004" t="n">
        <v>0</v>
      </c>
      <c r="P4004" t="n">
        <v>0</v>
      </c>
      <c r="Q4004" t="n">
        <v>0</v>
      </c>
      <c r="R4004" s="2" t="inlineStr"/>
    </row>
    <row r="4005" ht="15" customHeight="1">
      <c r="A4005" t="inlineStr">
        <is>
          <t>A 4630-2021</t>
        </is>
      </c>
      <c r="B4005" s="1" t="n">
        <v>44224</v>
      </c>
      <c r="C4005" s="1" t="n">
        <v>45810</v>
      </c>
      <c r="D4005" t="inlineStr">
        <is>
          <t>VÄRMLANDS LÄN</t>
        </is>
      </c>
      <c r="E4005" t="inlineStr">
        <is>
          <t>ARVIKA</t>
        </is>
      </c>
      <c r="G4005" t="n">
        <v>3.9</v>
      </c>
      <c r="H4005" t="n">
        <v>0</v>
      </c>
      <c r="I4005" t="n">
        <v>0</v>
      </c>
      <c r="J4005" t="n">
        <v>0</v>
      </c>
      <c r="K4005" t="n">
        <v>0</v>
      </c>
      <c r="L4005" t="n">
        <v>0</v>
      </c>
      <c r="M4005" t="n">
        <v>0</v>
      </c>
      <c r="N4005" t="n">
        <v>0</v>
      </c>
      <c r="O4005" t="n">
        <v>0</v>
      </c>
      <c r="P4005" t="n">
        <v>0</v>
      </c>
      <c r="Q4005" t="n">
        <v>0</v>
      </c>
      <c r="R4005" s="2" t="inlineStr"/>
    </row>
    <row r="4006" ht="15" customHeight="1">
      <c r="A4006" t="inlineStr">
        <is>
          <t>A 4702-2021</t>
        </is>
      </c>
      <c r="B4006" s="1" t="n">
        <v>44225</v>
      </c>
      <c r="C4006" s="1" t="n">
        <v>45810</v>
      </c>
      <c r="D4006" t="inlineStr">
        <is>
          <t>VÄRMLANDS LÄN</t>
        </is>
      </c>
      <c r="E4006" t="inlineStr">
        <is>
          <t>EDA</t>
        </is>
      </c>
      <c r="G4006" t="n">
        <v>3.3</v>
      </c>
      <c r="H4006" t="n">
        <v>0</v>
      </c>
      <c r="I4006" t="n">
        <v>0</v>
      </c>
      <c r="J4006" t="n">
        <v>0</v>
      </c>
      <c r="K4006" t="n">
        <v>0</v>
      </c>
      <c r="L4006" t="n">
        <v>0</v>
      </c>
      <c r="M4006" t="n">
        <v>0</v>
      </c>
      <c r="N4006" t="n">
        <v>0</v>
      </c>
      <c r="O4006" t="n">
        <v>0</v>
      </c>
      <c r="P4006" t="n">
        <v>0</v>
      </c>
      <c r="Q4006" t="n">
        <v>0</v>
      </c>
      <c r="R4006" s="2" t="inlineStr"/>
    </row>
    <row r="4007" ht="15" customHeight="1">
      <c r="A4007" t="inlineStr">
        <is>
          <t>A 4711-2021</t>
        </is>
      </c>
      <c r="B4007" s="1" t="n">
        <v>44225</v>
      </c>
      <c r="C4007" s="1" t="n">
        <v>45810</v>
      </c>
      <c r="D4007" t="inlineStr">
        <is>
          <t>VÄRMLANDS LÄN</t>
        </is>
      </c>
      <c r="E4007" t="inlineStr">
        <is>
          <t>TORSBY</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4681-2021</t>
        </is>
      </c>
      <c r="B4008" s="1" t="n">
        <v>44225</v>
      </c>
      <c r="C4008" s="1" t="n">
        <v>45810</v>
      </c>
      <c r="D4008" t="inlineStr">
        <is>
          <t>VÄRMLANDS LÄN</t>
        </is>
      </c>
      <c r="E4008" t="inlineStr">
        <is>
          <t>KARLSTAD</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4712-2021</t>
        </is>
      </c>
      <c r="B4009" s="1" t="n">
        <v>44225</v>
      </c>
      <c r="C4009" s="1" t="n">
        <v>45810</v>
      </c>
      <c r="D4009" t="inlineStr">
        <is>
          <t>VÄRMLANDS LÄN</t>
        </is>
      </c>
      <c r="E4009" t="inlineStr">
        <is>
          <t>SUNNE</t>
        </is>
      </c>
      <c r="G4009" t="n">
        <v>2</v>
      </c>
      <c r="H4009" t="n">
        <v>0</v>
      </c>
      <c r="I4009" t="n">
        <v>0</v>
      </c>
      <c r="J4009" t="n">
        <v>0</v>
      </c>
      <c r="K4009" t="n">
        <v>0</v>
      </c>
      <c r="L4009" t="n">
        <v>0</v>
      </c>
      <c r="M4009" t="n">
        <v>0</v>
      </c>
      <c r="N4009" t="n">
        <v>0</v>
      </c>
      <c r="O4009" t="n">
        <v>0</v>
      </c>
      <c r="P4009" t="n">
        <v>0</v>
      </c>
      <c r="Q4009" t="n">
        <v>0</v>
      </c>
      <c r="R4009" s="2" t="inlineStr"/>
    </row>
    <row r="4010" ht="15" customHeight="1">
      <c r="A4010" t="inlineStr">
        <is>
          <t>A 4724-2021</t>
        </is>
      </c>
      <c r="B4010" s="1" t="n">
        <v>44225</v>
      </c>
      <c r="C4010" s="1" t="n">
        <v>45810</v>
      </c>
      <c r="D4010" t="inlineStr">
        <is>
          <t>VÄRMLANDS LÄN</t>
        </is>
      </c>
      <c r="E4010" t="inlineStr">
        <is>
          <t>SUNNE</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4863-2021</t>
        </is>
      </c>
      <c r="B4011" s="1" t="n">
        <v>44225</v>
      </c>
      <c r="C4011" s="1" t="n">
        <v>45810</v>
      </c>
      <c r="D4011" t="inlineStr">
        <is>
          <t>VÄRMLANDS LÄN</t>
        </is>
      </c>
      <c r="E4011" t="inlineStr">
        <is>
          <t>SUNNE</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4834-2021</t>
        </is>
      </c>
      <c r="B4012" s="1" t="n">
        <v>44225</v>
      </c>
      <c r="C4012" s="1" t="n">
        <v>45810</v>
      </c>
      <c r="D4012" t="inlineStr">
        <is>
          <t>VÄRMLANDS LÄN</t>
        </is>
      </c>
      <c r="E4012" t="inlineStr">
        <is>
          <t>HAGFORS</t>
        </is>
      </c>
      <c r="G4012" t="n">
        <v>5.8</v>
      </c>
      <c r="H4012" t="n">
        <v>0</v>
      </c>
      <c r="I4012" t="n">
        <v>0</v>
      </c>
      <c r="J4012" t="n">
        <v>0</v>
      </c>
      <c r="K4012" t="n">
        <v>0</v>
      </c>
      <c r="L4012" t="n">
        <v>0</v>
      </c>
      <c r="M4012" t="n">
        <v>0</v>
      </c>
      <c r="N4012" t="n">
        <v>0</v>
      </c>
      <c r="O4012" t="n">
        <v>0</v>
      </c>
      <c r="P4012" t="n">
        <v>0</v>
      </c>
      <c r="Q4012" t="n">
        <v>0</v>
      </c>
      <c r="R4012" s="2" t="inlineStr"/>
    </row>
    <row r="4013" ht="15" customHeight="1">
      <c r="A4013" t="inlineStr">
        <is>
          <t>A 4738-2021</t>
        </is>
      </c>
      <c r="B4013" s="1" t="n">
        <v>44225</v>
      </c>
      <c r="C4013" s="1" t="n">
        <v>45810</v>
      </c>
      <c r="D4013" t="inlineStr">
        <is>
          <t>VÄRMLANDS LÄN</t>
        </is>
      </c>
      <c r="E4013" t="inlineStr">
        <is>
          <t>FILIPSTAD</t>
        </is>
      </c>
      <c r="F4013" t="inlineStr">
        <is>
          <t>Bergvik skog väst AB</t>
        </is>
      </c>
      <c r="G4013" t="n">
        <v>14.7</v>
      </c>
      <c r="H4013" t="n">
        <v>0</v>
      </c>
      <c r="I4013" t="n">
        <v>0</v>
      </c>
      <c r="J4013" t="n">
        <v>0</v>
      </c>
      <c r="K4013" t="n">
        <v>0</v>
      </c>
      <c r="L4013" t="n">
        <v>0</v>
      </c>
      <c r="M4013" t="n">
        <v>0</v>
      </c>
      <c r="N4013" t="n">
        <v>0</v>
      </c>
      <c r="O4013" t="n">
        <v>0</v>
      </c>
      <c r="P4013" t="n">
        <v>0</v>
      </c>
      <c r="Q4013" t="n">
        <v>0</v>
      </c>
      <c r="R4013" s="2" t="inlineStr"/>
    </row>
    <row r="4014" ht="15" customHeight="1">
      <c r="A4014" t="inlineStr">
        <is>
          <t>A 5682-2021</t>
        </is>
      </c>
      <c r="B4014" s="1" t="n">
        <v>44225</v>
      </c>
      <c r="C4014" s="1" t="n">
        <v>45810</v>
      </c>
      <c r="D4014" t="inlineStr">
        <is>
          <t>VÄRMLANDS LÄN</t>
        </is>
      </c>
      <c r="E4014" t="inlineStr">
        <is>
          <t>KARLSTAD</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4916-2021</t>
        </is>
      </c>
      <c r="B4015" s="1" t="n">
        <v>44226</v>
      </c>
      <c r="C4015" s="1" t="n">
        <v>45810</v>
      </c>
      <c r="D4015" t="inlineStr">
        <is>
          <t>VÄRMLANDS LÄN</t>
        </is>
      </c>
      <c r="E4015" t="inlineStr">
        <is>
          <t>SUNNE</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4935-2021</t>
        </is>
      </c>
      <c r="B4016" s="1" t="n">
        <v>44227</v>
      </c>
      <c r="C4016" s="1" t="n">
        <v>45810</v>
      </c>
      <c r="D4016" t="inlineStr">
        <is>
          <t>VÄRMLANDS LÄN</t>
        </is>
      </c>
      <c r="E4016" t="inlineStr">
        <is>
          <t>EDA</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4934-2021</t>
        </is>
      </c>
      <c r="B4017" s="1" t="n">
        <v>44227</v>
      </c>
      <c r="C4017" s="1" t="n">
        <v>45810</v>
      </c>
      <c r="D4017" t="inlineStr">
        <is>
          <t>VÄRMLANDS LÄN</t>
        </is>
      </c>
      <c r="E4017" t="inlineStr">
        <is>
          <t>EDA</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4936-2021</t>
        </is>
      </c>
      <c r="B4018" s="1" t="n">
        <v>44227</v>
      </c>
      <c r="C4018" s="1" t="n">
        <v>45810</v>
      </c>
      <c r="D4018" t="inlineStr">
        <is>
          <t>VÄRMLANDS LÄN</t>
        </is>
      </c>
      <c r="E4018" t="inlineStr">
        <is>
          <t>EDA</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4991-2021</t>
        </is>
      </c>
      <c r="B4019" s="1" t="n">
        <v>44228</v>
      </c>
      <c r="C4019" s="1" t="n">
        <v>45810</v>
      </c>
      <c r="D4019" t="inlineStr">
        <is>
          <t>VÄRMLANDS LÄN</t>
        </is>
      </c>
      <c r="E4019" t="inlineStr">
        <is>
          <t>FORSHAGA</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5141-2021</t>
        </is>
      </c>
      <c r="B4020" s="1" t="n">
        <v>44228</v>
      </c>
      <c r="C4020" s="1" t="n">
        <v>45810</v>
      </c>
      <c r="D4020" t="inlineStr">
        <is>
          <t>VÄRMLANDS LÄN</t>
        </is>
      </c>
      <c r="E4020" t="inlineStr">
        <is>
          <t>FILIPSTAD</t>
        </is>
      </c>
      <c r="F4020" t="inlineStr">
        <is>
          <t>Bergvik skog väst AB</t>
        </is>
      </c>
      <c r="G4020" t="n">
        <v>0.4</v>
      </c>
      <c r="H4020" t="n">
        <v>0</v>
      </c>
      <c r="I4020" t="n">
        <v>0</v>
      </c>
      <c r="J4020" t="n">
        <v>0</v>
      </c>
      <c r="K4020" t="n">
        <v>0</v>
      </c>
      <c r="L4020" t="n">
        <v>0</v>
      </c>
      <c r="M4020" t="n">
        <v>0</v>
      </c>
      <c r="N4020" t="n">
        <v>0</v>
      </c>
      <c r="O4020" t="n">
        <v>0</v>
      </c>
      <c r="P4020" t="n">
        <v>0</v>
      </c>
      <c r="Q4020" t="n">
        <v>0</v>
      </c>
      <c r="R4020" s="2" t="inlineStr"/>
    </row>
    <row r="4021" ht="15" customHeight="1">
      <c r="A4021" t="inlineStr">
        <is>
          <t>A 5167-2021</t>
        </is>
      </c>
      <c r="B4021" s="1" t="n">
        <v>44228</v>
      </c>
      <c r="C4021" s="1" t="n">
        <v>45810</v>
      </c>
      <c r="D4021" t="inlineStr">
        <is>
          <t>VÄRMLANDS LÄN</t>
        </is>
      </c>
      <c r="E4021" t="inlineStr">
        <is>
          <t>GRUMS</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5072-2021</t>
        </is>
      </c>
      <c r="B4022" s="1" t="n">
        <v>44228</v>
      </c>
      <c r="C4022" s="1" t="n">
        <v>45810</v>
      </c>
      <c r="D4022" t="inlineStr">
        <is>
          <t>VÄRMLANDS LÄN</t>
        </is>
      </c>
      <c r="E4022" t="inlineStr">
        <is>
          <t>HAMMARÖ</t>
        </is>
      </c>
      <c r="G4022" t="n">
        <v>0.5</v>
      </c>
      <c r="H4022" t="n">
        <v>0</v>
      </c>
      <c r="I4022" t="n">
        <v>0</v>
      </c>
      <c r="J4022" t="n">
        <v>0</v>
      </c>
      <c r="K4022" t="n">
        <v>0</v>
      </c>
      <c r="L4022" t="n">
        <v>0</v>
      </c>
      <c r="M4022" t="n">
        <v>0</v>
      </c>
      <c r="N4022" t="n">
        <v>0</v>
      </c>
      <c r="O4022" t="n">
        <v>0</v>
      </c>
      <c r="P4022" t="n">
        <v>0</v>
      </c>
      <c r="Q4022" t="n">
        <v>0</v>
      </c>
      <c r="R4022" s="2" t="inlineStr"/>
      <c r="U4022">
        <f>HYPERLINK("https://klasma.github.io/Logging_1761/knärot/A 5072-2021 karta knärot.png", "A 5072-2021")</f>
        <v/>
      </c>
      <c r="V4022">
        <f>HYPERLINK("https://klasma.github.io/Logging_1761/klagomål/A 5072-2021 FSC-klagomål.docx", "A 5072-2021")</f>
        <v/>
      </c>
      <c r="W4022">
        <f>HYPERLINK("https://klasma.github.io/Logging_1761/klagomålsmail/A 5072-2021 FSC-klagomål mail.docx", "A 5072-2021")</f>
        <v/>
      </c>
      <c r="X4022">
        <f>HYPERLINK("https://klasma.github.io/Logging_1761/tillsyn/A 5072-2021 tillsynsbegäran.docx", "A 5072-2021")</f>
        <v/>
      </c>
      <c r="Y4022">
        <f>HYPERLINK("https://klasma.github.io/Logging_1761/tillsynsmail/A 5072-2021 tillsynsbegäran mail.docx", "A 5072-2021")</f>
        <v/>
      </c>
    </row>
    <row r="4023" ht="15" customHeight="1">
      <c r="A4023" t="inlineStr">
        <is>
          <t>A 5176-2021</t>
        </is>
      </c>
      <c r="B4023" s="1" t="n">
        <v>44228</v>
      </c>
      <c r="C4023" s="1" t="n">
        <v>45810</v>
      </c>
      <c r="D4023" t="inlineStr">
        <is>
          <t>VÄRMLANDS LÄN</t>
        </is>
      </c>
      <c r="E4023" t="inlineStr">
        <is>
          <t>FILIPSTAD</t>
        </is>
      </c>
      <c r="F4023" t="inlineStr">
        <is>
          <t>Bergvik skog väst AB</t>
        </is>
      </c>
      <c r="G4023" t="n">
        <v>7</v>
      </c>
      <c r="H4023" t="n">
        <v>0</v>
      </c>
      <c r="I4023" t="n">
        <v>0</v>
      </c>
      <c r="J4023" t="n">
        <v>0</v>
      </c>
      <c r="K4023" t="n">
        <v>0</v>
      </c>
      <c r="L4023" t="n">
        <v>0</v>
      </c>
      <c r="M4023" t="n">
        <v>0</v>
      </c>
      <c r="N4023" t="n">
        <v>0</v>
      </c>
      <c r="O4023" t="n">
        <v>0</v>
      </c>
      <c r="P4023" t="n">
        <v>0</v>
      </c>
      <c r="Q4023" t="n">
        <v>0</v>
      </c>
      <c r="R4023" s="2" t="inlineStr"/>
    </row>
    <row r="4024" ht="15" customHeight="1">
      <c r="A4024" t="inlineStr">
        <is>
          <t>A 5050-2021</t>
        </is>
      </c>
      <c r="B4024" s="1" t="n">
        <v>44228</v>
      </c>
      <c r="C4024" s="1" t="n">
        <v>45810</v>
      </c>
      <c r="D4024" t="inlineStr">
        <is>
          <t>VÄRMLANDS LÄN</t>
        </is>
      </c>
      <c r="E4024" t="inlineStr">
        <is>
          <t>TORSBY</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5105-2021</t>
        </is>
      </c>
      <c r="B4025" s="1" t="n">
        <v>44228</v>
      </c>
      <c r="C4025" s="1" t="n">
        <v>45810</v>
      </c>
      <c r="D4025" t="inlineStr">
        <is>
          <t>VÄRMLANDS LÄN</t>
        </is>
      </c>
      <c r="E4025" t="inlineStr">
        <is>
          <t>TORSBY</t>
        </is>
      </c>
      <c r="G4025" t="n">
        <v>5.6</v>
      </c>
      <c r="H4025" t="n">
        <v>0</v>
      </c>
      <c r="I4025" t="n">
        <v>0</v>
      </c>
      <c r="J4025" t="n">
        <v>0</v>
      </c>
      <c r="K4025" t="n">
        <v>0</v>
      </c>
      <c r="L4025" t="n">
        <v>0</v>
      </c>
      <c r="M4025" t="n">
        <v>0</v>
      </c>
      <c r="N4025" t="n">
        <v>0</v>
      </c>
      <c r="O4025" t="n">
        <v>0</v>
      </c>
      <c r="P4025" t="n">
        <v>0</v>
      </c>
      <c r="Q4025" t="n">
        <v>0</v>
      </c>
      <c r="R4025" s="2" t="inlineStr"/>
    </row>
    <row r="4026" ht="15" customHeight="1">
      <c r="A4026" t="inlineStr">
        <is>
          <t>A 5197-2021</t>
        </is>
      </c>
      <c r="B4026" s="1" t="n">
        <v>44228</v>
      </c>
      <c r="C4026" s="1" t="n">
        <v>45810</v>
      </c>
      <c r="D4026" t="inlineStr">
        <is>
          <t>VÄRMLANDS LÄN</t>
        </is>
      </c>
      <c r="E4026" t="inlineStr">
        <is>
          <t>KARLSTAD</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5328-2021</t>
        </is>
      </c>
      <c r="B4027" s="1" t="n">
        <v>44229</v>
      </c>
      <c r="C4027" s="1" t="n">
        <v>45810</v>
      </c>
      <c r="D4027" t="inlineStr">
        <is>
          <t>VÄRMLANDS LÄN</t>
        </is>
      </c>
      <c r="E4027" t="inlineStr">
        <is>
          <t>KIL</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5259-2021</t>
        </is>
      </c>
      <c r="B4028" s="1" t="n">
        <v>44229</v>
      </c>
      <c r="C4028" s="1" t="n">
        <v>45810</v>
      </c>
      <c r="D4028" t="inlineStr">
        <is>
          <t>VÄRMLANDS LÄN</t>
        </is>
      </c>
      <c r="E4028" t="inlineStr">
        <is>
          <t>ÅRJÄNG</t>
        </is>
      </c>
      <c r="G4028" t="n">
        <v>5.5</v>
      </c>
      <c r="H4028" t="n">
        <v>0</v>
      </c>
      <c r="I4028" t="n">
        <v>0</v>
      </c>
      <c r="J4028" t="n">
        <v>0</v>
      </c>
      <c r="K4028" t="n">
        <v>0</v>
      </c>
      <c r="L4028" t="n">
        <v>0</v>
      </c>
      <c r="M4028" t="n">
        <v>0</v>
      </c>
      <c r="N4028" t="n">
        <v>0</v>
      </c>
      <c r="O4028" t="n">
        <v>0</v>
      </c>
      <c r="P4028" t="n">
        <v>0</v>
      </c>
      <c r="Q4028" t="n">
        <v>0</v>
      </c>
      <c r="R4028" s="2" t="inlineStr"/>
    </row>
    <row r="4029" ht="15" customHeight="1">
      <c r="A4029" t="inlineStr">
        <is>
          <t>A 5342-2021</t>
        </is>
      </c>
      <c r="B4029" s="1" t="n">
        <v>44229</v>
      </c>
      <c r="C4029" s="1" t="n">
        <v>45810</v>
      </c>
      <c r="D4029" t="inlineStr">
        <is>
          <t>VÄRMLANDS LÄN</t>
        </is>
      </c>
      <c r="E4029" t="inlineStr">
        <is>
          <t>FILIPSTAD</t>
        </is>
      </c>
      <c r="F4029" t="inlineStr">
        <is>
          <t>Bergvik skog väst AB</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5329-2021</t>
        </is>
      </c>
      <c r="B4030" s="1" t="n">
        <v>44229</v>
      </c>
      <c r="C4030" s="1" t="n">
        <v>45810</v>
      </c>
      <c r="D4030" t="inlineStr">
        <is>
          <t>VÄRMLANDS LÄN</t>
        </is>
      </c>
      <c r="E4030" t="inlineStr">
        <is>
          <t>KIL</t>
        </is>
      </c>
      <c r="G4030" t="n">
        <v>3.1</v>
      </c>
      <c r="H4030" t="n">
        <v>0</v>
      </c>
      <c r="I4030" t="n">
        <v>0</v>
      </c>
      <c r="J4030" t="n">
        <v>0</v>
      </c>
      <c r="K4030" t="n">
        <v>0</v>
      </c>
      <c r="L4030" t="n">
        <v>0</v>
      </c>
      <c r="M4030" t="n">
        <v>0</v>
      </c>
      <c r="N4030" t="n">
        <v>0</v>
      </c>
      <c r="O4030" t="n">
        <v>0</v>
      </c>
      <c r="P4030" t="n">
        <v>0</v>
      </c>
      <c r="Q4030" t="n">
        <v>0</v>
      </c>
      <c r="R4030" s="2" t="inlineStr"/>
    </row>
    <row r="4031" ht="15" customHeight="1">
      <c r="A4031" t="inlineStr">
        <is>
          <t>A 5365-2021</t>
        </is>
      </c>
      <c r="B4031" s="1" t="n">
        <v>44229</v>
      </c>
      <c r="C4031" s="1" t="n">
        <v>45810</v>
      </c>
      <c r="D4031" t="inlineStr">
        <is>
          <t>VÄRMLANDS LÄN</t>
        </is>
      </c>
      <c r="E4031" t="inlineStr">
        <is>
          <t>TORSBY</t>
        </is>
      </c>
      <c r="G4031" t="n">
        <v>8.1</v>
      </c>
      <c r="H4031" t="n">
        <v>0</v>
      </c>
      <c r="I4031" t="n">
        <v>0</v>
      </c>
      <c r="J4031" t="n">
        <v>0</v>
      </c>
      <c r="K4031" t="n">
        <v>0</v>
      </c>
      <c r="L4031" t="n">
        <v>0</v>
      </c>
      <c r="M4031" t="n">
        <v>0</v>
      </c>
      <c r="N4031" t="n">
        <v>0</v>
      </c>
      <c r="O4031" t="n">
        <v>0</v>
      </c>
      <c r="P4031" t="n">
        <v>0</v>
      </c>
      <c r="Q4031" t="n">
        <v>0</v>
      </c>
      <c r="R4031" s="2" t="inlineStr"/>
    </row>
    <row r="4032" ht="15" customHeight="1">
      <c r="A4032" t="inlineStr">
        <is>
          <t>A 5229-2021</t>
        </is>
      </c>
      <c r="B4032" s="1" t="n">
        <v>44229</v>
      </c>
      <c r="C4032" s="1" t="n">
        <v>45810</v>
      </c>
      <c r="D4032" t="inlineStr">
        <is>
          <t>VÄRMLANDS LÄN</t>
        </is>
      </c>
      <c r="E4032" t="inlineStr">
        <is>
          <t>ARVIKA</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6169-2021</t>
        </is>
      </c>
      <c r="B4033" s="1" t="n">
        <v>44229</v>
      </c>
      <c r="C4033" s="1" t="n">
        <v>45810</v>
      </c>
      <c r="D4033" t="inlineStr">
        <is>
          <t>VÄRMLANDS LÄN</t>
        </is>
      </c>
      <c r="E4033" t="inlineStr">
        <is>
          <t>SÄFFLE</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5729-2021</t>
        </is>
      </c>
      <c r="B4034" s="1" t="n">
        <v>44229</v>
      </c>
      <c r="C4034" s="1" t="n">
        <v>45810</v>
      </c>
      <c r="D4034" t="inlineStr">
        <is>
          <t>VÄRMLANDS LÄN</t>
        </is>
      </c>
      <c r="E4034" t="inlineStr">
        <is>
          <t>FILIPSTAD</t>
        </is>
      </c>
      <c r="G4034" t="n">
        <v>2.8</v>
      </c>
      <c r="H4034" t="n">
        <v>0</v>
      </c>
      <c r="I4034" t="n">
        <v>0</v>
      </c>
      <c r="J4034" t="n">
        <v>0</v>
      </c>
      <c r="K4034" t="n">
        <v>0</v>
      </c>
      <c r="L4034" t="n">
        <v>0</v>
      </c>
      <c r="M4034" t="n">
        <v>0</v>
      </c>
      <c r="N4034" t="n">
        <v>0</v>
      </c>
      <c r="O4034" t="n">
        <v>0</v>
      </c>
      <c r="P4034" t="n">
        <v>0</v>
      </c>
      <c r="Q4034" t="n">
        <v>0</v>
      </c>
      <c r="R4034" s="2" t="inlineStr"/>
    </row>
    <row r="4035" ht="15" customHeight="1">
      <c r="A4035" t="inlineStr">
        <is>
          <t>A 6164-2021</t>
        </is>
      </c>
      <c r="B4035" s="1" t="n">
        <v>44229</v>
      </c>
      <c r="C4035" s="1" t="n">
        <v>45810</v>
      </c>
      <c r="D4035" t="inlineStr">
        <is>
          <t>VÄRMLANDS LÄN</t>
        </is>
      </c>
      <c r="E4035" t="inlineStr">
        <is>
          <t>SÄFFLE</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5428-2021</t>
        </is>
      </c>
      <c r="B4036" s="1" t="n">
        <v>44229</v>
      </c>
      <c r="C4036" s="1" t="n">
        <v>45810</v>
      </c>
      <c r="D4036" t="inlineStr">
        <is>
          <t>VÄRMLANDS LÄN</t>
        </is>
      </c>
      <c r="E4036" t="inlineStr">
        <is>
          <t>MUNKFORS</t>
        </is>
      </c>
      <c r="G4036" t="n">
        <v>2.5</v>
      </c>
      <c r="H4036" t="n">
        <v>0</v>
      </c>
      <c r="I4036" t="n">
        <v>0</v>
      </c>
      <c r="J4036" t="n">
        <v>0</v>
      </c>
      <c r="K4036" t="n">
        <v>0</v>
      </c>
      <c r="L4036" t="n">
        <v>0</v>
      </c>
      <c r="M4036" t="n">
        <v>0</v>
      </c>
      <c r="N4036" t="n">
        <v>0</v>
      </c>
      <c r="O4036" t="n">
        <v>0</v>
      </c>
      <c r="P4036" t="n">
        <v>0</v>
      </c>
      <c r="Q4036" t="n">
        <v>0</v>
      </c>
      <c r="R4036" s="2" t="inlineStr"/>
    </row>
    <row r="4037" ht="15" customHeight="1">
      <c r="A4037" t="inlineStr">
        <is>
          <t>A 5713-2021</t>
        </is>
      </c>
      <c r="B4037" s="1" t="n">
        <v>44230</v>
      </c>
      <c r="C4037" s="1" t="n">
        <v>45810</v>
      </c>
      <c r="D4037" t="inlineStr">
        <is>
          <t>VÄRMLANDS LÄN</t>
        </is>
      </c>
      <c r="E4037" t="inlineStr">
        <is>
          <t>ÅRJÄNG</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5572-2021</t>
        </is>
      </c>
      <c r="B4038" s="1" t="n">
        <v>44230</v>
      </c>
      <c r="C4038" s="1" t="n">
        <v>45810</v>
      </c>
      <c r="D4038" t="inlineStr">
        <is>
          <t>VÄRMLANDS LÄN</t>
        </is>
      </c>
      <c r="E4038" t="inlineStr">
        <is>
          <t>TORSBY</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5634-2021</t>
        </is>
      </c>
      <c r="B4039" s="1" t="n">
        <v>44230</v>
      </c>
      <c r="C4039" s="1" t="n">
        <v>45810</v>
      </c>
      <c r="D4039" t="inlineStr">
        <is>
          <t>VÄRMLANDS LÄN</t>
        </is>
      </c>
      <c r="E4039" t="inlineStr">
        <is>
          <t>SUNNE</t>
        </is>
      </c>
      <c r="G4039" t="n">
        <v>2.3</v>
      </c>
      <c r="H4039" t="n">
        <v>0</v>
      </c>
      <c r="I4039" t="n">
        <v>0</v>
      </c>
      <c r="J4039" t="n">
        <v>0</v>
      </c>
      <c r="K4039" t="n">
        <v>0</v>
      </c>
      <c r="L4039" t="n">
        <v>0</v>
      </c>
      <c r="M4039" t="n">
        <v>0</v>
      </c>
      <c r="N4039" t="n">
        <v>0</v>
      </c>
      <c r="O4039" t="n">
        <v>0</v>
      </c>
      <c r="P4039" t="n">
        <v>0</v>
      </c>
      <c r="Q4039" t="n">
        <v>0</v>
      </c>
      <c r="R4039" s="2" t="inlineStr"/>
    </row>
    <row r="4040" ht="15" customHeight="1">
      <c r="A4040" t="inlineStr">
        <is>
          <t>A 5710-2021</t>
        </is>
      </c>
      <c r="B4040" s="1" t="n">
        <v>44230</v>
      </c>
      <c r="C4040" s="1" t="n">
        <v>45810</v>
      </c>
      <c r="D4040" t="inlineStr">
        <is>
          <t>VÄRMLANDS LÄN</t>
        </is>
      </c>
      <c r="E4040" t="inlineStr">
        <is>
          <t>KARLSTAD</t>
        </is>
      </c>
      <c r="G4040" t="n">
        <v>10.9</v>
      </c>
      <c r="H4040" t="n">
        <v>0</v>
      </c>
      <c r="I4040" t="n">
        <v>0</v>
      </c>
      <c r="J4040" t="n">
        <v>0</v>
      </c>
      <c r="K4040" t="n">
        <v>0</v>
      </c>
      <c r="L4040" t="n">
        <v>0</v>
      </c>
      <c r="M4040" t="n">
        <v>0</v>
      </c>
      <c r="N4040" t="n">
        <v>0</v>
      </c>
      <c r="O4040" t="n">
        <v>0</v>
      </c>
      <c r="P4040" t="n">
        <v>0</v>
      </c>
      <c r="Q4040" t="n">
        <v>0</v>
      </c>
      <c r="R4040" s="2" t="inlineStr"/>
    </row>
    <row r="4041" ht="15" customHeight="1">
      <c r="A4041" t="inlineStr">
        <is>
          <t>A 5890-2021</t>
        </is>
      </c>
      <c r="B4041" s="1" t="n">
        <v>44230</v>
      </c>
      <c r="C4041" s="1" t="n">
        <v>45810</v>
      </c>
      <c r="D4041" t="inlineStr">
        <is>
          <t>VÄRMLANDS LÄN</t>
        </is>
      </c>
      <c r="E4041" t="inlineStr">
        <is>
          <t>SUNNE</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5884-2021</t>
        </is>
      </c>
      <c r="B4042" s="1" t="n">
        <v>44230</v>
      </c>
      <c r="C4042" s="1" t="n">
        <v>45810</v>
      </c>
      <c r="D4042" t="inlineStr">
        <is>
          <t>VÄRMLANDS LÄN</t>
        </is>
      </c>
      <c r="E4042" t="inlineStr">
        <is>
          <t>SUNNE</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6055-2021</t>
        </is>
      </c>
      <c r="B4043" s="1" t="n">
        <v>44230</v>
      </c>
      <c r="C4043" s="1" t="n">
        <v>45810</v>
      </c>
      <c r="D4043" t="inlineStr">
        <is>
          <t>VÄRMLANDS LÄN</t>
        </is>
      </c>
      <c r="E4043" t="inlineStr">
        <is>
          <t>SÄFFLE</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5834-2021</t>
        </is>
      </c>
      <c r="B4044" s="1" t="n">
        <v>44231</v>
      </c>
      <c r="C4044" s="1" t="n">
        <v>45810</v>
      </c>
      <c r="D4044" t="inlineStr">
        <is>
          <t>VÄRMLANDS LÄN</t>
        </is>
      </c>
      <c r="E4044" t="inlineStr">
        <is>
          <t>FILIPSTAD</t>
        </is>
      </c>
      <c r="F4044" t="inlineStr">
        <is>
          <t>Bergvik skog väst AB</t>
        </is>
      </c>
      <c r="G4044" t="n">
        <v>9.699999999999999</v>
      </c>
      <c r="H4044" t="n">
        <v>0</v>
      </c>
      <c r="I4044" t="n">
        <v>0</v>
      </c>
      <c r="J4044" t="n">
        <v>0</v>
      </c>
      <c r="K4044" t="n">
        <v>0</v>
      </c>
      <c r="L4044" t="n">
        <v>0</v>
      </c>
      <c r="M4044" t="n">
        <v>0</v>
      </c>
      <c r="N4044" t="n">
        <v>0</v>
      </c>
      <c r="O4044" t="n">
        <v>0</v>
      </c>
      <c r="P4044" t="n">
        <v>0</v>
      </c>
      <c r="Q4044" t="n">
        <v>0</v>
      </c>
      <c r="R4044" s="2" t="inlineStr"/>
    </row>
    <row r="4045" ht="15" customHeight="1">
      <c r="A4045" t="inlineStr">
        <is>
          <t>A 5839-2021</t>
        </is>
      </c>
      <c r="B4045" s="1" t="n">
        <v>44231</v>
      </c>
      <c r="C4045" s="1" t="n">
        <v>45810</v>
      </c>
      <c r="D4045" t="inlineStr">
        <is>
          <t>VÄRMLANDS LÄN</t>
        </is>
      </c>
      <c r="E4045" t="inlineStr">
        <is>
          <t>TORSBY</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5881-2021</t>
        </is>
      </c>
      <c r="B4046" s="1" t="n">
        <v>44231</v>
      </c>
      <c r="C4046" s="1" t="n">
        <v>45810</v>
      </c>
      <c r="D4046" t="inlineStr">
        <is>
          <t>VÄRMLANDS LÄN</t>
        </is>
      </c>
      <c r="E4046" t="inlineStr">
        <is>
          <t>ARVIKA</t>
        </is>
      </c>
      <c r="G4046" t="n">
        <v>2.5</v>
      </c>
      <c r="H4046" t="n">
        <v>0</v>
      </c>
      <c r="I4046" t="n">
        <v>0</v>
      </c>
      <c r="J4046" t="n">
        <v>0</v>
      </c>
      <c r="K4046" t="n">
        <v>0</v>
      </c>
      <c r="L4046" t="n">
        <v>0</v>
      </c>
      <c r="M4046" t="n">
        <v>0</v>
      </c>
      <c r="N4046" t="n">
        <v>0</v>
      </c>
      <c r="O4046" t="n">
        <v>0</v>
      </c>
      <c r="P4046" t="n">
        <v>0</v>
      </c>
      <c r="Q4046" t="n">
        <v>0</v>
      </c>
      <c r="R4046" s="2" t="inlineStr"/>
    </row>
    <row r="4047" ht="15" customHeight="1">
      <c r="A4047" t="inlineStr">
        <is>
          <t>A 5920-2021</t>
        </is>
      </c>
      <c r="B4047" s="1" t="n">
        <v>44231</v>
      </c>
      <c r="C4047" s="1" t="n">
        <v>45810</v>
      </c>
      <c r="D4047" t="inlineStr">
        <is>
          <t>VÄRMLANDS LÄN</t>
        </is>
      </c>
      <c r="E4047" t="inlineStr">
        <is>
          <t>SÄFFLE</t>
        </is>
      </c>
      <c r="F4047" t="inlineStr">
        <is>
          <t>Bergvik skog väst AB</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5907-2021</t>
        </is>
      </c>
      <c r="B4048" s="1" t="n">
        <v>44231</v>
      </c>
      <c r="C4048" s="1" t="n">
        <v>45810</v>
      </c>
      <c r="D4048" t="inlineStr">
        <is>
          <t>VÄRMLANDS LÄN</t>
        </is>
      </c>
      <c r="E4048" t="inlineStr">
        <is>
          <t>ARVIKA</t>
        </is>
      </c>
      <c r="F4048" t="inlineStr">
        <is>
          <t>Bergvik skog väst AB</t>
        </is>
      </c>
      <c r="G4048" t="n">
        <v>6.8</v>
      </c>
      <c r="H4048" t="n">
        <v>0</v>
      </c>
      <c r="I4048" t="n">
        <v>0</v>
      </c>
      <c r="J4048" t="n">
        <v>0</v>
      </c>
      <c r="K4048" t="n">
        <v>0</v>
      </c>
      <c r="L4048" t="n">
        <v>0</v>
      </c>
      <c r="M4048" t="n">
        <v>0</v>
      </c>
      <c r="N4048" t="n">
        <v>0</v>
      </c>
      <c r="O4048" t="n">
        <v>0</v>
      </c>
      <c r="P4048" t="n">
        <v>0</v>
      </c>
      <c r="Q4048" t="n">
        <v>0</v>
      </c>
      <c r="R4048" s="2" t="inlineStr"/>
    </row>
    <row r="4049" ht="15" customHeight="1">
      <c r="A4049" t="inlineStr">
        <is>
          <t>A 6034-2021</t>
        </is>
      </c>
      <c r="B4049" s="1" t="n">
        <v>44232</v>
      </c>
      <c r="C4049" s="1" t="n">
        <v>45810</v>
      </c>
      <c r="D4049" t="inlineStr">
        <is>
          <t>VÄRMLANDS LÄN</t>
        </is>
      </c>
      <c r="E4049" t="inlineStr">
        <is>
          <t>ÅRJÄNG</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6063-2021</t>
        </is>
      </c>
      <c r="B4050" s="1" t="n">
        <v>44232</v>
      </c>
      <c r="C4050" s="1" t="n">
        <v>45810</v>
      </c>
      <c r="D4050" t="inlineStr">
        <is>
          <t>VÄRMLANDS LÄN</t>
        </is>
      </c>
      <c r="E4050" t="inlineStr">
        <is>
          <t>TORSBY</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6111-2021</t>
        </is>
      </c>
      <c r="B4051" s="1" t="n">
        <v>44232</v>
      </c>
      <c r="C4051" s="1" t="n">
        <v>45810</v>
      </c>
      <c r="D4051" t="inlineStr">
        <is>
          <t>VÄRMLANDS LÄN</t>
        </is>
      </c>
      <c r="E4051" t="inlineStr">
        <is>
          <t>TORSBY</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6121-2021</t>
        </is>
      </c>
      <c r="B4052" s="1" t="n">
        <v>44232</v>
      </c>
      <c r="C4052" s="1" t="n">
        <v>45810</v>
      </c>
      <c r="D4052" t="inlineStr">
        <is>
          <t>VÄRMLANDS LÄN</t>
        </is>
      </c>
      <c r="E4052" t="inlineStr">
        <is>
          <t>TORSBY</t>
        </is>
      </c>
      <c r="G4052" t="n">
        <v>2.9</v>
      </c>
      <c r="H4052" t="n">
        <v>0</v>
      </c>
      <c r="I4052" t="n">
        <v>0</v>
      </c>
      <c r="J4052" t="n">
        <v>0</v>
      </c>
      <c r="K4052" t="n">
        <v>0</v>
      </c>
      <c r="L4052" t="n">
        <v>0</v>
      </c>
      <c r="M4052" t="n">
        <v>0</v>
      </c>
      <c r="N4052" t="n">
        <v>0</v>
      </c>
      <c r="O4052" t="n">
        <v>0</v>
      </c>
      <c r="P4052" t="n">
        <v>0</v>
      </c>
      <c r="Q4052" t="n">
        <v>0</v>
      </c>
      <c r="R4052" s="2" t="inlineStr"/>
    </row>
    <row r="4053" ht="15" customHeight="1">
      <c r="A4053" t="inlineStr">
        <is>
          <t>A 6068-2021</t>
        </is>
      </c>
      <c r="B4053" s="1" t="n">
        <v>44232</v>
      </c>
      <c r="C4053" s="1" t="n">
        <v>45810</v>
      </c>
      <c r="D4053" t="inlineStr">
        <is>
          <t>VÄRMLANDS LÄN</t>
        </is>
      </c>
      <c r="E4053" t="inlineStr">
        <is>
          <t>TORSBY</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6102-2021</t>
        </is>
      </c>
      <c r="B4054" s="1" t="n">
        <v>44232</v>
      </c>
      <c r="C4054" s="1" t="n">
        <v>45810</v>
      </c>
      <c r="D4054" t="inlineStr">
        <is>
          <t>VÄRMLANDS LÄN</t>
        </is>
      </c>
      <c r="E4054" t="inlineStr">
        <is>
          <t>TORSBY</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6184-2021</t>
        </is>
      </c>
      <c r="B4055" s="1" t="n">
        <v>44233</v>
      </c>
      <c r="C4055" s="1" t="n">
        <v>45810</v>
      </c>
      <c r="D4055" t="inlineStr">
        <is>
          <t>VÄRMLANDS LÄN</t>
        </is>
      </c>
      <c r="E4055" t="inlineStr">
        <is>
          <t>ARVIKA</t>
        </is>
      </c>
      <c r="G4055" t="n">
        <v>12.4</v>
      </c>
      <c r="H4055" t="n">
        <v>0</v>
      </c>
      <c r="I4055" t="n">
        <v>0</v>
      </c>
      <c r="J4055" t="n">
        <v>0</v>
      </c>
      <c r="K4055" t="n">
        <v>0</v>
      </c>
      <c r="L4055" t="n">
        <v>0</v>
      </c>
      <c r="M4055" t="n">
        <v>0</v>
      </c>
      <c r="N4055" t="n">
        <v>0</v>
      </c>
      <c r="O4055" t="n">
        <v>0</v>
      </c>
      <c r="P4055" t="n">
        <v>0</v>
      </c>
      <c r="Q4055" t="n">
        <v>0</v>
      </c>
      <c r="R4055" s="2" t="inlineStr"/>
    </row>
    <row r="4056" ht="15" customHeight="1">
      <c r="A4056" t="inlineStr">
        <is>
          <t>A 6195-2021</t>
        </is>
      </c>
      <c r="B4056" s="1" t="n">
        <v>44234</v>
      </c>
      <c r="C4056" s="1" t="n">
        <v>45810</v>
      </c>
      <c r="D4056" t="inlineStr">
        <is>
          <t>VÄRMLANDS LÄN</t>
        </is>
      </c>
      <c r="E4056" t="inlineStr">
        <is>
          <t>SUNNE</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6194-2021</t>
        </is>
      </c>
      <c r="B4057" s="1" t="n">
        <v>44234</v>
      </c>
      <c r="C4057" s="1" t="n">
        <v>45810</v>
      </c>
      <c r="D4057" t="inlineStr">
        <is>
          <t>VÄRMLANDS LÄN</t>
        </is>
      </c>
      <c r="E4057" t="inlineStr">
        <is>
          <t>KRISTINEHAMN</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6364-2021</t>
        </is>
      </c>
      <c r="B4058" s="1" t="n">
        <v>44235</v>
      </c>
      <c r="C4058" s="1" t="n">
        <v>45810</v>
      </c>
      <c r="D4058" t="inlineStr">
        <is>
          <t>VÄRMLANDS LÄN</t>
        </is>
      </c>
      <c r="E4058" t="inlineStr">
        <is>
          <t>SUNNE</t>
        </is>
      </c>
      <c r="G4058" t="n">
        <v>3.7</v>
      </c>
      <c r="H4058" t="n">
        <v>0</v>
      </c>
      <c r="I4058" t="n">
        <v>0</v>
      </c>
      <c r="J4058" t="n">
        <v>0</v>
      </c>
      <c r="K4058" t="n">
        <v>0</v>
      </c>
      <c r="L4058" t="n">
        <v>0</v>
      </c>
      <c r="M4058" t="n">
        <v>0</v>
      </c>
      <c r="N4058" t="n">
        <v>0</v>
      </c>
      <c r="O4058" t="n">
        <v>0</v>
      </c>
      <c r="P4058" t="n">
        <v>0</v>
      </c>
      <c r="Q4058" t="n">
        <v>0</v>
      </c>
      <c r="R4058" s="2" t="inlineStr"/>
    </row>
    <row r="4059" ht="15" customHeight="1">
      <c r="A4059" t="inlineStr">
        <is>
          <t>A 6209-2021</t>
        </is>
      </c>
      <c r="B4059" s="1" t="n">
        <v>44235</v>
      </c>
      <c r="C4059" s="1" t="n">
        <v>45810</v>
      </c>
      <c r="D4059" t="inlineStr">
        <is>
          <t>VÄRMLANDS LÄN</t>
        </is>
      </c>
      <c r="E4059" t="inlineStr">
        <is>
          <t>SÄFFLE</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6289-2021</t>
        </is>
      </c>
      <c r="B4060" s="1" t="n">
        <v>44235</v>
      </c>
      <c r="C4060" s="1" t="n">
        <v>45810</v>
      </c>
      <c r="D4060" t="inlineStr">
        <is>
          <t>VÄRMLANDS LÄN</t>
        </is>
      </c>
      <c r="E4060" t="inlineStr">
        <is>
          <t>SUNNE</t>
        </is>
      </c>
      <c r="F4060" t="inlineStr">
        <is>
          <t>Bergvik skog väst AB</t>
        </is>
      </c>
      <c r="G4060" t="n">
        <v>5.9</v>
      </c>
      <c r="H4060" t="n">
        <v>0</v>
      </c>
      <c r="I4060" t="n">
        <v>0</v>
      </c>
      <c r="J4060" t="n">
        <v>0</v>
      </c>
      <c r="K4060" t="n">
        <v>0</v>
      </c>
      <c r="L4060" t="n">
        <v>0</v>
      </c>
      <c r="M4060" t="n">
        <v>0</v>
      </c>
      <c r="N4060" t="n">
        <v>0</v>
      </c>
      <c r="O4060" t="n">
        <v>0</v>
      </c>
      <c r="P4060" t="n">
        <v>0</v>
      </c>
      <c r="Q4060" t="n">
        <v>0</v>
      </c>
      <c r="R4060" s="2" t="inlineStr"/>
    </row>
    <row r="4061" ht="15" customHeight="1">
      <c r="A4061" t="inlineStr">
        <is>
          <t>A 6389-2021</t>
        </is>
      </c>
      <c r="B4061" s="1" t="n">
        <v>44235</v>
      </c>
      <c r="C4061" s="1" t="n">
        <v>45810</v>
      </c>
      <c r="D4061" t="inlineStr">
        <is>
          <t>VÄRMLANDS LÄN</t>
        </is>
      </c>
      <c r="E4061" t="inlineStr">
        <is>
          <t>ÅRJÄNG</t>
        </is>
      </c>
      <c r="G4061" t="n">
        <v>4.3</v>
      </c>
      <c r="H4061" t="n">
        <v>0</v>
      </c>
      <c r="I4061" t="n">
        <v>0</v>
      </c>
      <c r="J4061" t="n">
        <v>0</v>
      </c>
      <c r="K4061" t="n">
        <v>0</v>
      </c>
      <c r="L4061" t="n">
        <v>0</v>
      </c>
      <c r="M4061" t="n">
        <v>0</v>
      </c>
      <c r="N4061" t="n">
        <v>0</v>
      </c>
      <c r="O4061" t="n">
        <v>0</v>
      </c>
      <c r="P4061" t="n">
        <v>0</v>
      </c>
      <c r="Q4061" t="n">
        <v>0</v>
      </c>
      <c r="R4061" s="2" t="inlineStr"/>
    </row>
    <row r="4062" ht="15" customHeight="1">
      <c r="A4062" t="inlineStr">
        <is>
          <t>A 6410-2021</t>
        </is>
      </c>
      <c r="B4062" s="1" t="n">
        <v>44235</v>
      </c>
      <c r="C4062" s="1" t="n">
        <v>45810</v>
      </c>
      <c r="D4062" t="inlineStr">
        <is>
          <t>VÄRMLANDS LÄN</t>
        </is>
      </c>
      <c r="E4062" t="inlineStr">
        <is>
          <t>ÅRJÄNG</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6474-2021</t>
        </is>
      </c>
      <c r="B4063" s="1" t="n">
        <v>44235</v>
      </c>
      <c r="C4063" s="1" t="n">
        <v>45810</v>
      </c>
      <c r="D4063" t="inlineStr">
        <is>
          <t>VÄRMLANDS LÄN</t>
        </is>
      </c>
      <c r="E4063" t="inlineStr">
        <is>
          <t>ARVIKA</t>
        </is>
      </c>
      <c r="G4063" t="n">
        <v>2.2</v>
      </c>
      <c r="H4063" t="n">
        <v>0</v>
      </c>
      <c r="I4063" t="n">
        <v>0</v>
      </c>
      <c r="J4063" t="n">
        <v>0</v>
      </c>
      <c r="K4063" t="n">
        <v>0</v>
      </c>
      <c r="L4063" t="n">
        <v>0</v>
      </c>
      <c r="M4063" t="n">
        <v>0</v>
      </c>
      <c r="N4063" t="n">
        <v>0</v>
      </c>
      <c r="O4063" t="n">
        <v>0</v>
      </c>
      <c r="P4063" t="n">
        <v>0</v>
      </c>
      <c r="Q4063" t="n">
        <v>0</v>
      </c>
      <c r="R4063" s="2" t="inlineStr"/>
    </row>
    <row r="4064" ht="15" customHeight="1">
      <c r="A4064" t="inlineStr">
        <is>
          <t>A 6539-2021</t>
        </is>
      </c>
      <c r="B4064" s="1" t="n">
        <v>44235</v>
      </c>
      <c r="C4064" s="1" t="n">
        <v>45810</v>
      </c>
      <c r="D4064" t="inlineStr">
        <is>
          <t>VÄRMLANDS LÄN</t>
        </is>
      </c>
      <c r="E4064" t="inlineStr">
        <is>
          <t>FILIPSTAD</t>
        </is>
      </c>
      <c r="F4064" t="inlineStr">
        <is>
          <t>Bergvik skog väst AB</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6472-2021</t>
        </is>
      </c>
      <c r="B4065" s="1" t="n">
        <v>44235</v>
      </c>
      <c r="C4065" s="1" t="n">
        <v>45810</v>
      </c>
      <c r="D4065" t="inlineStr">
        <is>
          <t>VÄRMLANDS LÄN</t>
        </is>
      </c>
      <c r="E4065" t="inlineStr">
        <is>
          <t>EDA</t>
        </is>
      </c>
      <c r="G4065" t="n">
        <v>5.5</v>
      </c>
      <c r="H4065" t="n">
        <v>0</v>
      </c>
      <c r="I4065" t="n">
        <v>0</v>
      </c>
      <c r="J4065" t="n">
        <v>0</v>
      </c>
      <c r="K4065" t="n">
        <v>0</v>
      </c>
      <c r="L4065" t="n">
        <v>0</v>
      </c>
      <c r="M4065" t="n">
        <v>0</v>
      </c>
      <c r="N4065" t="n">
        <v>0</v>
      </c>
      <c r="O4065" t="n">
        <v>0</v>
      </c>
      <c r="P4065" t="n">
        <v>0</v>
      </c>
      <c r="Q4065" t="n">
        <v>0</v>
      </c>
      <c r="R4065" s="2" t="inlineStr"/>
    </row>
    <row r="4066" ht="15" customHeight="1">
      <c r="A4066" t="inlineStr">
        <is>
          <t>A 6478-2021</t>
        </is>
      </c>
      <c r="B4066" s="1" t="n">
        <v>44235</v>
      </c>
      <c r="C4066" s="1" t="n">
        <v>45810</v>
      </c>
      <c r="D4066" t="inlineStr">
        <is>
          <t>VÄRMLANDS LÄN</t>
        </is>
      </c>
      <c r="E4066" t="inlineStr">
        <is>
          <t>ARVIKA</t>
        </is>
      </c>
      <c r="G4066" t="n">
        <v>0.4</v>
      </c>
      <c r="H4066" t="n">
        <v>0</v>
      </c>
      <c r="I4066" t="n">
        <v>0</v>
      </c>
      <c r="J4066" t="n">
        <v>0</v>
      </c>
      <c r="K4066" t="n">
        <v>0</v>
      </c>
      <c r="L4066" t="n">
        <v>0</v>
      </c>
      <c r="M4066" t="n">
        <v>0</v>
      </c>
      <c r="N4066" t="n">
        <v>0</v>
      </c>
      <c r="O4066" t="n">
        <v>0</v>
      </c>
      <c r="P4066" t="n">
        <v>0</v>
      </c>
      <c r="Q4066" t="n">
        <v>0</v>
      </c>
      <c r="R4066" s="2" t="inlineStr"/>
    </row>
    <row r="4067" ht="15" customHeight="1">
      <c r="A4067" t="inlineStr">
        <is>
          <t>A 6542-2021</t>
        </is>
      </c>
      <c r="B4067" s="1" t="n">
        <v>44235</v>
      </c>
      <c r="C4067" s="1" t="n">
        <v>45810</v>
      </c>
      <c r="D4067" t="inlineStr">
        <is>
          <t>VÄRMLANDS LÄN</t>
        </is>
      </c>
      <c r="E4067" t="inlineStr">
        <is>
          <t>FILIPSTAD</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6522-2021</t>
        </is>
      </c>
      <c r="B4068" s="1" t="n">
        <v>44236</v>
      </c>
      <c r="C4068" s="1" t="n">
        <v>45810</v>
      </c>
      <c r="D4068" t="inlineStr">
        <is>
          <t>VÄRMLANDS LÄN</t>
        </is>
      </c>
      <c r="E4068" t="inlineStr">
        <is>
          <t>ÅRJÄNG</t>
        </is>
      </c>
      <c r="G4068" t="n">
        <v>2.9</v>
      </c>
      <c r="H4068" t="n">
        <v>0</v>
      </c>
      <c r="I4068" t="n">
        <v>0</v>
      </c>
      <c r="J4068" t="n">
        <v>0</v>
      </c>
      <c r="K4068" t="n">
        <v>0</v>
      </c>
      <c r="L4068" t="n">
        <v>0</v>
      </c>
      <c r="M4068" t="n">
        <v>0</v>
      </c>
      <c r="N4068" t="n">
        <v>0</v>
      </c>
      <c r="O4068" t="n">
        <v>0</v>
      </c>
      <c r="P4068" t="n">
        <v>0</v>
      </c>
      <c r="Q4068" t="n">
        <v>0</v>
      </c>
      <c r="R4068" s="2" t="inlineStr"/>
    </row>
    <row r="4069" ht="15" customHeight="1">
      <c r="A4069" t="inlineStr">
        <is>
          <t>A 6551-2021</t>
        </is>
      </c>
      <c r="B4069" s="1" t="n">
        <v>44236</v>
      </c>
      <c r="C4069" s="1" t="n">
        <v>45810</v>
      </c>
      <c r="D4069" t="inlineStr">
        <is>
          <t>VÄRMLANDS LÄN</t>
        </is>
      </c>
      <c r="E4069" t="inlineStr">
        <is>
          <t>ÅRJÄNG</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6505-2021</t>
        </is>
      </c>
      <c r="B4070" s="1" t="n">
        <v>44236</v>
      </c>
      <c r="C4070" s="1" t="n">
        <v>45810</v>
      </c>
      <c r="D4070" t="inlineStr">
        <is>
          <t>VÄRMLANDS LÄN</t>
        </is>
      </c>
      <c r="E4070" t="inlineStr">
        <is>
          <t>KRISTINEHAMN</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6656-2021</t>
        </is>
      </c>
      <c r="B4071" s="1" t="n">
        <v>44236</v>
      </c>
      <c r="C4071" s="1" t="n">
        <v>45810</v>
      </c>
      <c r="D4071" t="inlineStr">
        <is>
          <t>VÄRMLANDS LÄN</t>
        </is>
      </c>
      <c r="E4071" t="inlineStr">
        <is>
          <t>TORSBY</t>
        </is>
      </c>
      <c r="G4071" t="n">
        <v>2.4</v>
      </c>
      <c r="H4071" t="n">
        <v>0</v>
      </c>
      <c r="I4071" t="n">
        <v>0</v>
      </c>
      <c r="J4071" t="n">
        <v>0</v>
      </c>
      <c r="K4071" t="n">
        <v>0</v>
      </c>
      <c r="L4071" t="n">
        <v>0</v>
      </c>
      <c r="M4071" t="n">
        <v>0</v>
      </c>
      <c r="N4071" t="n">
        <v>0</v>
      </c>
      <c r="O4071" t="n">
        <v>0</v>
      </c>
      <c r="P4071" t="n">
        <v>0</v>
      </c>
      <c r="Q4071" t="n">
        <v>0</v>
      </c>
      <c r="R4071" s="2" t="inlineStr"/>
    </row>
    <row r="4072" ht="15" customHeight="1">
      <c r="A4072" t="inlineStr">
        <is>
          <t>A 6696-2021</t>
        </is>
      </c>
      <c r="B4072" s="1" t="n">
        <v>44236</v>
      </c>
      <c r="C4072" s="1" t="n">
        <v>45810</v>
      </c>
      <c r="D4072" t="inlineStr">
        <is>
          <t>VÄRMLANDS LÄN</t>
        </is>
      </c>
      <c r="E4072" t="inlineStr">
        <is>
          <t>EDA</t>
        </is>
      </c>
      <c r="G4072" t="n">
        <v>3.2</v>
      </c>
      <c r="H4072" t="n">
        <v>0</v>
      </c>
      <c r="I4072" t="n">
        <v>0</v>
      </c>
      <c r="J4072" t="n">
        <v>0</v>
      </c>
      <c r="K4072" t="n">
        <v>0</v>
      </c>
      <c r="L4072" t="n">
        <v>0</v>
      </c>
      <c r="M4072" t="n">
        <v>0</v>
      </c>
      <c r="N4072" t="n">
        <v>0</v>
      </c>
      <c r="O4072" t="n">
        <v>0</v>
      </c>
      <c r="P4072" t="n">
        <v>0</v>
      </c>
      <c r="Q4072" t="n">
        <v>0</v>
      </c>
      <c r="R4072" s="2" t="inlineStr"/>
    </row>
    <row r="4073" ht="15" customHeight="1">
      <c r="A4073" t="inlineStr">
        <is>
          <t>A 6709-2021</t>
        </is>
      </c>
      <c r="B4073" s="1" t="n">
        <v>44236</v>
      </c>
      <c r="C4073" s="1" t="n">
        <v>45810</v>
      </c>
      <c r="D4073" t="inlineStr">
        <is>
          <t>VÄRMLANDS LÄN</t>
        </is>
      </c>
      <c r="E4073" t="inlineStr">
        <is>
          <t>SUNNE</t>
        </is>
      </c>
      <c r="G4073" t="n">
        <v>2.7</v>
      </c>
      <c r="H4073" t="n">
        <v>0</v>
      </c>
      <c r="I4073" t="n">
        <v>0</v>
      </c>
      <c r="J4073" t="n">
        <v>0</v>
      </c>
      <c r="K4073" t="n">
        <v>0</v>
      </c>
      <c r="L4073" t="n">
        <v>0</v>
      </c>
      <c r="M4073" t="n">
        <v>0</v>
      </c>
      <c r="N4073" t="n">
        <v>0</v>
      </c>
      <c r="O4073" t="n">
        <v>0</v>
      </c>
      <c r="P4073" t="n">
        <v>0</v>
      </c>
      <c r="Q4073" t="n">
        <v>0</v>
      </c>
      <c r="R4073" s="2" t="inlineStr"/>
    </row>
    <row r="4074" ht="15" customHeight="1">
      <c r="A4074" t="inlineStr">
        <is>
          <t>A 6770-2021</t>
        </is>
      </c>
      <c r="B4074" s="1" t="n">
        <v>44236</v>
      </c>
      <c r="C4074" s="1" t="n">
        <v>45810</v>
      </c>
      <c r="D4074" t="inlineStr">
        <is>
          <t>VÄRMLANDS LÄN</t>
        </is>
      </c>
      <c r="E4074" t="inlineStr">
        <is>
          <t>FILIPSTAD</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6825-2021</t>
        </is>
      </c>
      <c r="B4075" s="1" t="n">
        <v>44237</v>
      </c>
      <c r="C4075" s="1" t="n">
        <v>45810</v>
      </c>
      <c r="D4075" t="inlineStr">
        <is>
          <t>VÄRMLANDS LÄN</t>
        </is>
      </c>
      <c r="E4075" t="inlineStr">
        <is>
          <t>SUNNE</t>
        </is>
      </c>
      <c r="F4075" t="inlineStr">
        <is>
          <t>Bergvik skog väst AB</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6900-2021</t>
        </is>
      </c>
      <c r="B4076" s="1" t="n">
        <v>44237</v>
      </c>
      <c r="C4076" s="1" t="n">
        <v>45810</v>
      </c>
      <c r="D4076" t="inlineStr">
        <is>
          <t>VÄRMLANDS LÄN</t>
        </is>
      </c>
      <c r="E4076" t="inlineStr">
        <is>
          <t>ÅRJÄNG</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6908-2021</t>
        </is>
      </c>
      <c r="B4077" s="1" t="n">
        <v>44237</v>
      </c>
      <c r="C4077" s="1" t="n">
        <v>45810</v>
      </c>
      <c r="D4077" t="inlineStr">
        <is>
          <t>VÄRMLANDS LÄN</t>
        </is>
      </c>
      <c r="E4077" t="inlineStr">
        <is>
          <t>ÅRJÄNG</t>
        </is>
      </c>
      <c r="G4077" t="n">
        <v>3.3</v>
      </c>
      <c r="H4077" t="n">
        <v>0</v>
      </c>
      <c r="I4077" t="n">
        <v>0</v>
      </c>
      <c r="J4077" t="n">
        <v>0</v>
      </c>
      <c r="K4077" t="n">
        <v>0</v>
      </c>
      <c r="L4077" t="n">
        <v>0</v>
      </c>
      <c r="M4077" t="n">
        <v>0</v>
      </c>
      <c r="N4077" t="n">
        <v>0</v>
      </c>
      <c r="O4077" t="n">
        <v>0</v>
      </c>
      <c r="P4077" t="n">
        <v>0</v>
      </c>
      <c r="Q4077" t="n">
        <v>0</v>
      </c>
      <c r="R4077" s="2" t="inlineStr"/>
    </row>
    <row r="4078" ht="15" customHeight="1">
      <c r="A4078" t="inlineStr">
        <is>
          <t>A 6964-2021</t>
        </is>
      </c>
      <c r="B4078" s="1" t="n">
        <v>44237</v>
      </c>
      <c r="C4078" s="1" t="n">
        <v>45810</v>
      </c>
      <c r="D4078" t="inlineStr">
        <is>
          <t>VÄRMLANDS LÄN</t>
        </is>
      </c>
      <c r="E4078" t="inlineStr">
        <is>
          <t>FORSHAGA</t>
        </is>
      </c>
      <c r="F4078" t="inlineStr">
        <is>
          <t>Bergvik skog väst AB</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6937-2021</t>
        </is>
      </c>
      <c r="B4079" s="1" t="n">
        <v>44237</v>
      </c>
      <c r="C4079" s="1" t="n">
        <v>45810</v>
      </c>
      <c r="D4079" t="inlineStr">
        <is>
          <t>VÄRMLANDS LÄN</t>
        </is>
      </c>
      <c r="E4079" t="inlineStr">
        <is>
          <t>SUNNE</t>
        </is>
      </c>
      <c r="F4079" t="inlineStr">
        <is>
          <t>Bergvik skog väst AB</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7223-2021</t>
        </is>
      </c>
      <c r="B4080" s="1" t="n">
        <v>44238</v>
      </c>
      <c r="C4080" s="1" t="n">
        <v>45810</v>
      </c>
      <c r="D4080" t="inlineStr">
        <is>
          <t>VÄRMLANDS LÄN</t>
        </is>
      </c>
      <c r="E4080" t="inlineStr">
        <is>
          <t>SUNNE</t>
        </is>
      </c>
      <c r="F4080" t="inlineStr">
        <is>
          <t>Bergvik skog väst AB</t>
        </is>
      </c>
      <c r="G4080" t="n">
        <v>4</v>
      </c>
      <c r="H4080" t="n">
        <v>0</v>
      </c>
      <c r="I4080" t="n">
        <v>0</v>
      </c>
      <c r="J4080" t="n">
        <v>0</v>
      </c>
      <c r="K4080" t="n">
        <v>0</v>
      </c>
      <c r="L4080" t="n">
        <v>0</v>
      </c>
      <c r="M4080" t="n">
        <v>0</v>
      </c>
      <c r="N4080" t="n">
        <v>0</v>
      </c>
      <c r="O4080" t="n">
        <v>0</v>
      </c>
      <c r="P4080" t="n">
        <v>0</v>
      </c>
      <c r="Q4080" t="n">
        <v>0</v>
      </c>
      <c r="R4080" s="2" t="inlineStr"/>
    </row>
    <row r="4081" ht="15" customHeight="1">
      <c r="A4081" t="inlineStr">
        <is>
          <t>A 7259-2021</t>
        </is>
      </c>
      <c r="B4081" s="1" t="n">
        <v>44238</v>
      </c>
      <c r="C4081" s="1" t="n">
        <v>45810</v>
      </c>
      <c r="D4081" t="inlineStr">
        <is>
          <t>VÄRMLANDS LÄN</t>
        </is>
      </c>
      <c r="E4081" t="inlineStr">
        <is>
          <t>ARVIKA</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7224-2021</t>
        </is>
      </c>
      <c r="B4082" s="1" t="n">
        <v>44238</v>
      </c>
      <c r="C4082" s="1" t="n">
        <v>45810</v>
      </c>
      <c r="D4082" t="inlineStr">
        <is>
          <t>VÄRMLANDS LÄN</t>
        </is>
      </c>
      <c r="E4082" t="inlineStr">
        <is>
          <t>ARVIKA</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7253-2021</t>
        </is>
      </c>
      <c r="B4083" s="1" t="n">
        <v>44238</v>
      </c>
      <c r="C4083" s="1" t="n">
        <v>45810</v>
      </c>
      <c r="D4083" t="inlineStr">
        <is>
          <t>VÄRMLANDS LÄN</t>
        </is>
      </c>
      <c r="E4083" t="inlineStr">
        <is>
          <t>KARLSTAD</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7170-2021</t>
        </is>
      </c>
      <c r="B4084" s="1" t="n">
        <v>44238</v>
      </c>
      <c r="C4084" s="1" t="n">
        <v>45810</v>
      </c>
      <c r="D4084" t="inlineStr">
        <is>
          <t>VÄRMLANDS LÄN</t>
        </is>
      </c>
      <c r="E4084" t="inlineStr">
        <is>
          <t>MUNKFORS</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7214-2021</t>
        </is>
      </c>
      <c r="B4085" s="1" t="n">
        <v>44238</v>
      </c>
      <c r="C4085" s="1" t="n">
        <v>45810</v>
      </c>
      <c r="D4085" t="inlineStr">
        <is>
          <t>VÄRMLANDS LÄN</t>
        </is>
      </c>
      <c r="E4085" t="inlineStr">
        <is>
          <t>ÅRJÄNG</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7256-2021</t>
        </is>
      </c>
      <c r="B4086" s="1" t="n">
        <v>44238</v>
      </c>
      <c r="C4086" s="1" t="n">
        <v>45810</v>
      </c>
      <c r="D4086" t="inlineStr">
        <is>
          <t>VÄRMLANDS LÄN</t>
        </is>
      </c>
      <c r="E4086" t="inlineStr">
        <is>
          <t>ARVIKA</t>
        </is>
      </c>
      <c r="G4086" t="n">
        <v>3.4</v>
      </c>
      <c r="H4086" t="n">
        <v>0</v>
      </c>
      <c r="I4086" t="n">
        <v>0</v>
      </c>
      <c r="J4086" t="n">
        <v>0</v>
      </c>
      <c r="K4086" t="n">
        <v>0</v>
      </c>
      <c r="L4086" t="n">
        <v>0</v>
      </c>
      <c r="M4086" t="n">
        <v>0</v>
      </c>
      <c r="N4086" t="n">
        <v>0</v>
      </c>
      <c r="O4086" t="n">
        <v>0</v>
      </c>
      <c r="P4086" t="n">
        <v>0</v>
      </c>
      <c r="Q4086" t="n">
        <v>0</v>
      </c>
      <c r="R4086" s="2" t="inlineStr"/>
    </row>
    <row r="4087" ht="15" customHeight="1">
      <c r="A4087" t="inlineStr">
        <is>
          <t>A 7301-2021</t>
        </is>
      </c>
      <c r="B4087" s="1" t="n">
        <v>44238</v>
      </c>
      <c r="C4087" s="1" t="n">
        <v>45810</v>
      </c>
      <c r="D4087" t="inlineStr">
        <is>
          <t>VÄRMLANDS LÄN</t>
        </is>
      </c>
      <c r="E4087" t="inlineStr">
        <is>
          <t>SÄFFLE</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7312-2021</t>
        </is>
      </c>
      <c r="B4088" s="1" t="n">
        <v>44238</v>
      </c>
      <c r="C4088" s="1" t="n">
        <v>45810</v>
      </c>
      <c r="D4088" t="inlineStr">
        <is>
          <t>VÄRMLANDS LÄN</t>
        </is>
      </c>
      <c r="E4088" t="inlineStr">
        <is>
          <t>GRUMS</t>
        </is>
      </c>
      <c r="G4088" t="n">
        <v>0.3</v>
      </c>
      <c r="H4088" t="n">
        <v>0</v>
      </c>
      <c r="I4088" t="n">
        <v>0</v>
      </c>
      <c r="J4088" t="n">
        <v>0</v>
      </c>
      <c r="K4088" t="n">
        <v>0</v>
      </c>
      <c r="L4088" t="n">
        <v>0</v>
      </c>
      <c r="M4088" t="n">
        <v>0</v>
      </c>
      <c r="N4088" t="n">
        <v>0</v>
      </c>
      <c r="O4088" t="n">
        <v>0</v>
      </c>
      <c r="P4088" t="n">
        <v>0</v>
      </c>
      <c r="Q4088" t="n">
        <v>0</v>
      </c>
      <c r="R4088" s="2" t="inlineStr"/>
    </row>
    <row r="4089" ht="15" customHeight="1">
      <c r="A4089" t="inlineStr">
        <is>
          <t>A 7372-2021</t>
        </is>
      </c>
      <c r="B4089" s="1" t="n">
        <v>44239</v>
      </c>
      <c r="C4089" s="1" t="n">
        <v>45810</v>
      </c>
      <c r="D4089" t="inlineStr">
        <is>
          <t>VÄRMLANDS LÄN</t>
        </is>
      </c>
      <c r="E4089" t="inlineStr">
        <is>
          <t>SUNNE</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7413-2021</t>
        </is>
      </c>
      <c r="B4090" s="1" t="n">
        <v>44239</v>
      </c>
      <c r="C4090" s="1" t="n">
        <v>45810</v>
      </c>
      <c r="D4090" t="inlineStr">
        <is>
          <t>VÄRMLANDS LÄN</t>
        </is>
      </c>
      <c r="E4090" t="inlineStr">
        <is>
          <t>SUNNE</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7555-2021</t>
        </is>
      </c>
      <c r="B4091" s="1" t="n">
        <v>44239</v>
      </c>
      <c r="C4091" s="1" t="n">
        <v>45810</v>
      </c>
      <c r="D4091" t="inlineStr">
        <is>
          <t>VÄRMLANDS LÄN</t>
        </is>
      </c>
      <c r="E4091" t="inlineStr">
        <is>
          <t>ÅRJÄNG</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7527-2021</t>
        </is>
      </c>
      <c r="B4092" s="1" t="n">
        <v>44239</v>
      </c>
      <c r="C4092" s="1" t="n">
        <v>45810</v>
      </c>
      <c r="D4092" t="inlineStr">
        <is>
          <t>VÄRMLANDS LÄN</t>
        </is>
      </c>
      <c r="E4092" t="inlineStr">
        <is>
          <t>ÅRJÄNG</t>
        </is>
      </c>
      <c r="G4092" t="n">
        <v>3.6</v>
      </c>
      <c r="H4092" t="n">
        <v>0</v>
      </c>
      <c r="I4092" t="n">
        <v>0</v>
      </c>
      <c r="J4092" t="n">
        <v>0</v>
      </c>
      <c r="K4092" t="n">
        <v>0</v>
      </c>
      <c r="L4092" t="n">
        <v>0</v>
      </c>
      <c r="M4092" t="n">
        <v>0</v>
      </c>
      <c r="N4092" t="n">
        <v>0</v>
      </c>
      <c r="O4092" t="n">
        <v>0</v>
      </c>
      <c r="P4092" t="n">
        <v>0</v>
      </c>
      <c r="Q4092" t="n">
        <v>0</v>
      </c>
      <c r="R4092" s="2" t="inlineStr"/>
    </row>
    <row r="4093" ht="15" customHeight="1">
      <c r="A4093" t="inlineStr">
        <is>
          <t>A 7537-2021</t>
        </is>
      </c>
      <c r="B4093" s="1" t="n">
        <v>44239</v>
      </c>
      <c r="C4093" s="1" t="n">
        <v>45810</v>
      </c>
      <c r="D4093" t="inlineStr">
        <is>
          <t>VÄRMLANDS LÄN</t>
        </is>
      </c>
      <c r="E4093" t="inlineStr">
        <is>
          <t>ÅRJÄNG</t>
        </is>
      </c>
      <c r="G4093" t="n">
        <v>4.2</v>
      </c>
      <c r="H4093" t="n">
        <v>0</v>
      </c>
      <c r="I4093" t="n">
        <v>0</v>
      </c>
      <c r="J4093" t="n">
        <v>0</v>
      </c>
      <c r="K4093" t="n">
        <v>0</v>
      </c>
      <c r="L4093" t="n">
        <v>0</v>
      </c>
      <c r="M4093" t="n">
        <v>0</v>
      </c>
      <c r="N4093" t="n">
        <v>0</v>
      </c>
      <c r="O4093" t="n">
        <v>0</v>
      </c>
      <c r="P4093" t="n">
        <v>0</v>
      </c>
      <c r="Q4093" t="n">
        <v>0</v>
      </c>
      <c r="R4093" s="2" t="inlineStr"/>
    </row>
    <row r="4094" ht="15" customHeight="1">
      <c r="A4094" t="inlineStr">
        <is>
          <t>A 7576-2021</t>
        </is>
      </c>
      <c r="B4094" s="1" t="n">
        <v>44240</v>
      </c>
      <c r="C4094" s="1" t="n">
        <v>45810</v>
      </c>
      <c r="D4094" t="inlineStr">
        <is>
          <t>VÄRMLANDS LÄN</t>
        </is>
      </c>
      <c r="E4094" t="inlineStr">
        <is>
          <t>ÅRJÄNG</t>
        </is>
      </c>
      <c r="G4094" t="n">
        <v>2.5</v>
      </c>
      <c r="H4094" t="n">
        <v>0</v>
      </c>
      <c r="I4094" t="n">
        <v>0</v>
      </c>
      <c r="J4094" t="n">
        <v>0</v>
      </c>
      <c r="K4094" t="n">
        <v>0</v>
      </c>
      <c r="L4094" t="n">
        <v>0</v>
      </c>
      <c r="M4094" t="n">
        <v>0</v>
      </c>
      <c r="N4094" t="n">
        <v>0</v>
      </c>
      <c r="O4094" t="n">
        <v>0</v>
      </c>
      <c r="P4094" t="n">
        <v>0</v>
      </c>
      <c r="Q4094" t="n">
        <v>0</v>
      </c>
      <c r="R4094" s="2" t="inlineStr"/>
    </row>
    <row r="4095" ht="15" customHeight="1">
      <c r="A4095" t="inlineStr">
        <is>
          <t>A 7606-2021</t>
        </is>
      </c>
      <c r="B4095" s="1" t="n">
        <v>44241</v>
      </c>
      <c r="C4095" s="1" t="n">
        <v>45810</v>
      </c>
      <c r="D4095" t="inlineStr">
        <is>
          <t>VÄRMLANDS LÄN</t>
        </is>
      </c>
      <c r="E4095" t="inlineStr">
        <is>
          <t>HAGFORS</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7593-2021</t>
        </is>
      </c>
      <c r="B4096" s="1" t="n">
        <v>44241</v>
      </c>
      <c r="C4096" s="1" t="n">
        <v>45810</v>
      </c>
      <c r="D4096" t="inlineStr">
        <is>
          <t>VÄRMLANDS LÄN</t>
        </is>
      </c>
      <c r="E4096" t="inlineStr">
        <is>
          <t>FILIPSTAD</t>
        </is>
      </c>
      <c r="G4096" t="n">
        <v>10.8</v>
      </c>
      <c r="H4096" t="n">
        <v>0</v>
      </c>
      <c r="I4096" t="n">
        <v>0</v>
      </c>
      <c r="J4096" t="n">
        <v>0</v>
      </c>
      <c r="K4096" t="n">
        <v>0</v>
      </c>
      <c r="L4096" t="n">
        <v>0</v>
      </c>
      <c r="M4096" t="n">
        <v>0</v>
      </c>
      <c r="N4096" t="n">
        <v>0</v>
      </c>
      <c r="O4096" t="n">
        <v>0</v>
      </c>
      <c r="P4096" t="n">
        <v>0</v>
      </c>
      <c r="Q4096" t="n">
        <v>0</v>
      </c>
      <c r="R4096" s="2" t="inlineStr"/>
    </row>
    <row r="4097" ht="15" customHeight="1">
      <c r="A4097" t="inlineStr">
        <is>
          <t>A 7605-2021</t>
        </is>
      </c>
      <c r="B4097" s="1" t="n">
        <v>44241</v>
      </c>
      <c r="C4097" s="1" t="n">
        <v>45810</v>
      </c>
      <c r="D4097" t="inlineStr">
        <is>
          <t>VÄRMLANDS LÄN</t>
        </is>
      </c>
      <c r="E4097" t="inlineStr">
        <is>
          <t>HAGFORS</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7604-2021</t>
        </is>
      </c>
      <c r="B4098" s="1" t="n">
        <v>44241</v>
      </c>
      <c r="C4098" s="1" t="n">
        <v>45810</v>
      </c>
      <c r="D4098" t="inlineStr">
        <is>
          <t>VÄRMLANDS LÄN</t>
        </is>
      </c>
      <c r="E4098" t="inlineStr">
        <is>
          <t>HAGFORS</t>
        </is>
      </c>
      <c r="G4098" t="n">
        <v>2.5</v>
      </c>
      <c r="H4098" t="n">
        <v>0</v>
      </c>
      <c r="I4098" t="n">
        <v>0</v>
      </c>
      <c r="J4098" t="n">
        <v>0</v>
      </c>
      <c r="K4098" t="n">
        <v>0</v>
      </c>
      <c r="L4098" t="n">
        <v>0</v>
      </c>
      <c r="M4098" t="n">
        <v>0</v>
      </c>
      <c r="N4098" t="n">
        <v>0</v>
      </c>
      <c r="O4098" t="n">
        <v>0</v>
      </c>
      <c r="P4098" t="n">
        <v>0</v>
      </c>
      <c r="Q4098" t="n">
        <v>0</v>
      </c>
      <c r="R4098" s="2" t="inlineStr"/>
    </row>
    <row r="4099" ht="15" customHeight="1">
      <c r="A4099" t="inlineStr">
        <is>
          <t>A 7661-2021</t>
        </is>
      </c>
      <c r="B4099" s="1" t="n">
        <v>44242</v>
      </c>
      <c r="C4099" s="1" t="n">
        <v>45810</v>
      </c>
      <c r="D4099" t="inlineStr">
        <is>
          <t>VÄRMLANDS LÄN</t>
        </is>
      </c>
      <c r="E4099" t="inlineStr">
        <is>
          <t>TORSBY</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7725-2021</t>
        </is>
      </c>
      <c r="B4100" s="1" t="n">
        <v>44242</v>
      </c>
      <c r="C4100" s="1" t="n">
        <v>45810</v>
      </c>
      <c r="D4100" t="inlineStr">
        <is>
          <t>VÄRMLANDS LÄN</t>
        </is>
      </c>
      <c r="E4100" t="inlineStr">
        <is>
          <t>ARVIKA</t>
        </is>
      </c>
      <c r="G4100" t="n">
        <v>0.1</v>
      </c>
      <c r="H4100" t="n">
        <v>0</v>
      </c>
      <c r="I4100" t="n">
        <v>0</v>
      </c>
      <c r="J4100" t="n">
        <v>0</v>
      </c>
      <c r="K4100" t="n">
        <v>0</v>
      </c>
      <c r="L4100" t="n">
        <v>0</v>
      </c>
      <c r="M4100" t="n">
        <v>0</v>
      </c>
      <c r="N4100" t="n">
        <v>0</v>
      </c>
      <c r="O4100" t="n">
        <v>0</v>
      </c>
      <c r="P4100" t="n">
        <v>0</v>
      </c>
      <c r="Q4100" t="n">
        <v>0</v>
      </c>
      <c r="R4100" s="2" t="inlineStr"/>
    </row>
    <row r="4101" ht="15" customHeight="1">
      <c r="A4101" t="inlineStr">
        <is>
          <t>A 7723-2021</t>
        </is>
      </c>
      <c r="B4101" s="1" t="n">
        <v>44242</v>
      </c>
      <c r="C4101" s="1" t="n">
        <v>45810</v>
      </c>
      <c r="D4101" t="inlineStr">
        <is>
          <t>VÄRMLANDS LÄN</t>
        </is>
      </c>
      <c r="E4101" t="inlineStr">
        <is>
          <t>ARVIKA</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7758-2021</t>
        </is>
      </c>
      <c r="B4102" s="1" t="n">
        <v>44242</v>
      </c>
      <c r="C4102" s="1" t="n">
        <v>45810</v>
      </c>
      <c r="D4102" t="inlineStr">
        <is>
          <t>VÄRMLANDS LÄN</t>
        </is>
      </c>
      <c r="E4102" t="inlineStr">
        <is>
          <t>SÄFFLE</t>
        </is>
      </c>
      <c r="G4102" t="n">
        <v>3.6</v>
      </c>
      <c r="H4102" t="n">
        <v>0</v>
      </c>
      <c r="I4102" t="n">
        <v>0</v>
      </c>
      <c r="J4102" t="n">
        <v>0</v>
      </c>
      <c r="K4102" t="n">
        <v>0</v>
      </c>
      <c r="L4102" t="n">
        <v>0</v>
      </c>
      <c r="M4102" t="n">
        <v>0</v>
      </c>
      <c r="N4102" t="n">
        <v>0</v>
      </c>
      <c r="O4102" t="n">
        <v>0</v>
      </c>
      <c r="P4102" t="n">
        <v>0</v>
      </c>
      <c r="Q4102" t="n">
        <v>0</v>
      </c>
      <c r="R4102" s="2" t="inlineStr"/>
    </row>
    <row r="4103" ht="15" customHeight="1">
      <c r="A4103" t="inlineStr">
        <is>
          <t>A 7727-2021</t>
        </is>
      </c>
      <c r="B4103" s="1" t="n">
        <v>44242</v>
      </c>
      <c r="C4103" s="1" t="n">
        <v>45810</v>
      </c>
      <c r="D4103" t="inlineStr">
        <is>
          <t>VÄRMLANDS LÄN</t>
        </is>
      </c>
      <c r="E4103" t="inlineStr">
        <is>
          <t>ARVIKA</t>
        </is>
      </c>
      <c r="G4103" t="n">
        <v>0.3</v>
      </c>
      <c r="H4103" t="n">
        <v>0</v>
      </c>
      <c r="I4103" t="n">
        <v>0</v>
      </c>
      <c r="J4103" t="n">
        <v>0</v>
      </c>
      <c r="K4103" t="n">
        <v>0</v>
      </c>
      <c r="L4103" t="n">
        <v>0</v>
      </c>
      <c r="M4103" t="n">
        <v>0</v>
      </c>
      <c r="N4103" t="n">
        <v>0</v>
      </c>
      <c r="O4103" t="n">
        <v>0</v>
      </c>
      <c r="P4103" t="n">
        <v>0</v>
      </c>
      <c r="Q4103" t="n">
        <v>0</v>
      </c>
      <c r="R4103" s="2" t="inlineStr"/>
    </row>
    <row r="4104" ht="15" customHeight="1">
      <c r="A4104" t="inlineStr">
        <is>
          <t>A 7774-2021</t>
        </is>
      </c>
      <c r="B4104" s="1" t="n">
        <v>44242</v>
      </c>
      <c r="C4104" s="1" t="n">
        <v>45810</v>
      </c>
      <c r="D4104" t="inlineStr">
        <is>
          <t>VÄRMLANDS LÄN</t>
        </is>
      </c>
      <c r="E4104" t="inlineStr">
        <is>
          <t>ÅRJÄNG</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7975-2021</t>
        </is>
      </c>
      <c r="B4105" s="1" t="n">
        <v>44242</v>
      </c>
      <c r="C4105" s="1" t="n">
        <v>45810</v>
      </c>
      <c r="D4105" t="inlineStr">
        <is>
          <t>VÄRMLANDS LÄN</t>
        </is>
      </c>
      <c r="E4105" t="inlineStr">
        <is>
          <t>ÅRJÄNG</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8034-2021</t>
        </is>
      </c>
      <c r="B4106" s="1" t="n">
        <v>44243</v>
      </c>
      <c r="C4106" s="1" t="n">
        <v>45810</v>
      </c>
      <c r="D4106" t="inlineStr">
        <is>
          <t>VÄRMLANDS LÄN</t>
        </is>
      </c>
      <c r="E4106" t="inlineStr">
        <is>
          <t>TORSBY</t>
        </is>
      </c>
      <c r="G4106" t="n">
        <v>15.4</v>
      </c>
      <c r="H4106" t="n">
        <v>0</v>
      </c>
      <c r="I4106" t="n">
        <v>0</v>
      </c>
      <c r="J4106" t="n">
        <v>0</v>
      </c>
      <c r="K4106" t="n">
        <v>0</v>
      </c>
      <c r="L4106" t="n">
        <v>0</v>
      </c>
      <c r="M4106" t="n">
        <v>0</v>
      </c>
      <c r="N4106" t="n">
        <v>0</v>
      </c>
      <c r="O4106" t="n">
        <v>0</v>
      </c>
      <c r="P4106" t="n">
        <v>0</v>
      </c>
      <c r="Q4106" t="n">
        <v>0</v>
      </c>
      <c r="R4106" s="2" t="inlineStr"/>
    </row>
    <row r="4107" ht="15" customHeight="1">
      <c r="A4107" t="inlineStr">
        <is>
          <t>A 7898-2021</t>
        </is>
      </c>
      <c r="B4107" s="1" t="n">
        <v>44243</v>
      </c>
      <c r="C4107" s="1" t="n">
        <v>45810</v>
      </c>
      <c r="D4107" t="inlineStr">
        <is>
          <t>VÄRMLANDS LÄN</t>
        </is>
      </c>
      <c r="E4107" t="inlineStr">
        <is>
          <t>TORSBY</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8228-2021</t>
        </is>
      </c>
      <c r="B4108" s="1" t="n">
        <v>44243</v>
      </c>
      <c r="C4108" s="1" t="n">
        <v>45810</v>
      </c>
      <c r="D4108" t="inlineStr">
        <is>
          <t>VÄRMLANDS LÄN</t>
        </is>
      </c>
      <c r="E4108" t="inlineStr">
        <is>
          <t>KARLSTAD</t>
        </is>
      </c>
      <c r="G4108" t="n">
        <v>4.4</v>
      </c>
      <c r="H4108" t="n">
        <v>0</v>
      </c>
      <c r="I4108" t="n">
        <v>0</v>
      </c>
      <c r="J4108" t="n">
        <v>0</v>
      </c>
      <c r="K4108" t="n">
        <v>0</v>
      </c>
      <c r="L4108" t="n">
        <v>0</v>
      </c>
      <c r="M4108" t="n">
        <v>0</v>
      </c>
      <c r="N4108" t="n">
        <v>0</v>
      </c>
      <c r="O4108" t="n">
        <v>0</v>
      </c>
      <c r="P4108" t="n">
        <v>0</v>
      </c>
      <c r="Q4108" t="n">
        <v>0</v>
      </c>
      <c r="R4108" s="2" t="inlineStr"/>
    </row>
    <row r="4109" ht="15" customHeight="1">
      <c r="A4109" t="inlineStr">
        <is>
          <t>A 8230-2021</t>
        </is>
      </c>
      <c r="B4109" s="1" t="n">
        <v>44243</v>
      </c>
      <c r="C4109" s="1" t="n">
        <v>45810</v>
      </c>
      <c r="D4109" t="inlineStr">
        <is>
          <t>VÄRMLANDS LÄN</t>
        </is>
      </c>
      <c r="E4109" t="inlineStr">
        <is>
          <t>KARLSTAD</t>
        </is>
      </c>
      <c r="G4109" t="n">
        <v>2.4</v>
      </c>
      <c r="H4109" t="n">
        <v>0</v>
      </c>
      <c r="I4109" t="n">
        <v>0</v>
      </c>
      <c r="J4109" t="n">
        <v>0</v>
      </c>
      <c r="K4109" t="n">
        <v>0</v>
      </c>
      <c r="L4109" t="n">
        <v>0</v>
      </c>
      <c r="M4109" t="n">
        <v>0</v>
      </c>
      <c r="N4109" t="n">
        <v>0</v>
      </c>
      <c r="O4109" t="n">
        <v>0</v>
      </c>
      <c r="P4109" t="n">
        <v>0</v>
      </c>
      <c r="Q4109" t="n">
        <v>0</v>
      </c>
      <c r="R4109" s="2" t="inlineStr"/>
    </row>
    <row r="4110" ht="15" customHeight="1">
      <c r="A4110" t="inlineStr">
        <is>
          <t>A 8151-2021</t>
        </is>
      </c>
      <c r="B4110" s="1" t="n">
        <v>44244</v>
      </c>
      <c r="C4110" s="1" t="n">
        <v>45810</v>
      </c>
      <c r="D4110" t="inlineStr">
        <is>
          <t>VÄRMLANDS LÄN</t>
        </is>
      </c>
      <c r="E4110" t="inlineStr">
        <is>
          <t>EDA</t>
        </is>
      </c>
      <c r="G4110" t="n">
        <v>3.5</v>
      </c>
      <c r="H4110" t="n">
        <v>0</v>
      </c>
      <c r="I4110" t="n">
        <v>0</v>
      </c>
      <c r="J4110" t="n">
        <v>0</v>
      </c>
      <c r="K4110" t="n">
        <v>0</v>
      </c>
      <c r="L4110" t="n">
        <v>0</v>
      </c>
      <c r="M4110" t="n">
        <v>0</v>
      </c>
      <c r="N4110" t="n">
        <v>0</v>
      </c>
      <c r="O4110" t="n">
        <v>0</v>
      </c>
      <c r="P4110" t="n">
        <v>0</v>
      </c>
      <c r="Q4110" t="n">
        <v>0</v>
      </c>
      <c r="R4110" s="2" t="inlineStr"/>
    </row>
    <row r="4111" ht="15" customHeight="1">
      <c r="A4111" t="inlineStr">
        <is>
          <t>A 8132-2021</t>
        </is>
      </c>
      <c r="B4111" s="1" t="n">
        <v>44244</v>
      </c>
      <c r="C4111" s="1" t="n">
        <v>45810</v>
      </c>
      <c r="D4111" t="inlineStr">
        <is>
          <t>VÄRMLANDS LÄN</t>
        </is>
      </c>
      <c r="E4111" t="inlineStr">
        <is>
          <t>EDA</t>
        </is>
      </c>
      <c r="G4111" t="n">
        <v>2.4</v>
      </c>
      <c r="H4111" t="n">
        <v>0</v>
      </c>
      <c r="I4111" t="n">
        <v>0</v>
      </c>
      <c r="J4111" t="n">
        <v>0</v>
      </c>
      <c r="K4111" t="n">
        <v>0</v>
      </c>
      <c r="L4111" t="n">
        <v>0</v>
      </c>
      <c r="M4111" t="n">
        <v>0</v>
      </c>
      <c r="N4111" t="n">
        <v>0</v>
      </c>
      <c r="O4111" t="n">
        <v>0</v>
      </c>
      <c r="P4111" t="n">
        <v>0</v>
      </c>
      <c r="Q4111" t="n">
        <v>0</v>
      </c>
      <c r="R4111" s="2" t="inlineStr"/>
    </row>
    <row r="4112" ht="15" customHeight="1">
      <c r="A4112" t="inlineStr">
        <is>
          <t>A 8144-2021</t>
        </is>
      </c>
      <c r="B4112" s="1" t="n">
        <v>44244</v>
      </c>
      <c r="C4112" s="1" t="n">
        <v>45810</v>
      </c>
      <c r="D4112" t="inlineStr">
        <is>
          <t>VÄRMLANDS LÄN</t>
        </is>
      </c>
      <c r="E4112" t="inlineStr">
        <is>
          <t>EDA</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8192-2021</t>
        </is>
      </c>
      <c r="B4113" s="1" t="n">
        <v>44244</v>
      </c>
      <c r="C4113" s="1" t="n">
        <v>45810</v>
      </c>
      <c r="D4113" t="inlineStr">
        <is>
          <t>VÄRMLANDS LÄN</t>
        </is>
      </c>
      <c r="E4113" t="inlineStr">
        <is>
          <t>SUNNE</t>
        </is>
      </c>
      <c r="G4113" t="n">
        <v>4</v>
      </c>
      <c r="H4113" t="n">
        <v>0</v>
      </c>
      <c r="I4113" t="n">
        <v>0</v>
      </c>
      <c r="J4113" t="n">
        <v>0</v>
      </c>
      <c r="K4113" t="n">
        <v>0</v>
      </c>
      <c r="L4113" t="n">
        <v>0</v>
      </c>
      <c r="M4113" t="n">
        <v>0</v>
      </c>
      <c r="N4113" t="n">
        <v>0</v>
      </c>
      <c r="O4113" t="n">
        <v>0</v>
      </c>
      <c r="P4113" t="n">
        <v>0</v>
      </c>
      <c r="Q4113" t="n">
        <v>0</v>
      </c>
      <c r="R4113" s="2" t="inlineStr"/>
    </row>
    <row r="4114" ht="15" customHeight="1">
      <c r="A4114" t="inlineStr">
        <is>
          <t>A 8140-2021</t>
        </is>
      </c>
      <c r="B4114" s="1" t="n">
        <v>44244</v>
      </c>
      <c r="C4114" s="1" t="n">
        <v>45810</v>
      </c>
      <c r="D4114" t="inlineStr">
        <is>
          <t>VÄRMLANDS LÄN</t>
        </is>
      </c>
      <c r="E4114" t="inlineStr">
        <is>
          <t>EDA</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8183-2021</t>
        </is>
      </c>
      <c r="B4115" s="1" t="n">
        <v>44244</v>
      </c>
      <c r="C4115" s="1" t="n">
        <v>45810</v>
      </c>
      <c r="D4115" t="inlineStr">
        <is>
          <t>VÄRMLANDS LÄN</t>
        </is>
      </c>
      <c r="E4115" t="inlineStr">
        <is>
          <t>KIL</t>
        </is>
      </c>
      <c r="G4115" t="n">
        <v>3.4</v>
      </c>
      <c r="H4115" t="n">
        <v>0</v>
      </c>
      <c r="I4115" t="n">
        <v>0</v>
      </c>
      <c r="J4115" t="n">
        <v>0</v>
      </c>
      <c r="K4115" t="n">
        <v>0</v>
      </c>
      <c r="L4115" t="n">
        <v>0</v>
      </c>
      <c r="M4115" t="n">
        <v>0</v>
      </c>
      <c r="N4115" t="n">
        <v>0</v>
      </c>
      <c r="O4115" t="n">
        <v>0</v>
      </c>
      <c r="P4115" t="n">
        <v>0</v>
      </c>
      <c r="Q4115" t="n">
        <v>0</v>
      </c>
      <c r="R4115" s="2" t="inlineStr"/>
    </row>
    <row r="4116" ht="15" customHeight="1">
      <c r="A4116" t="inlineStr">
        <is>
          <t>A 8143-2021</t>
        </is>
      </c>
      <c r="B4116" s="1" t="n">
        <v>44244</v>
      </c>
      <c r="C4116" s="1" t="n">
        <v>45810</v>
      </c>
      <c r="D4116" t="inlineStr">
        <is>
          <t>VÄRMLANDS LÄN</t>
        </is>
      </c>
      <c r="E4116" t="inlineStr">
        <is>
          <t>EDA</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8435-2021</t>
        </is>
      </c>
      <c r="B4117" s="1" t="n">
        <v>44245</v>
      </c>
      <c r="C4117" s="1" t="n">
        <v>45810</v>
      </c>
      <c r="D4117" t="inlineStr">
        <is>
          <t>VÄRMLANDS LÄN</t>
        </is>
      </c>
      <c r="E4117" t="inlineStr">
        <is>
          <t>KARLSTAD</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8520-2021</t>
        </is>
      </c>
      <c r="B4118" s="1" t="n">
        <v>44245</v>
      </c>
      <c r="C4118" s="1" t="n">
        <v>45810</v>
      </c>
      <c r="D4118" t="inlineStr">
        <is>
          <t>VÄRMLANDS LÄN</t>
        </is>
      </c>
      <c r="E4118" t="inlineStr">
        <is>
          <t>SUNNE</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8378-2021</t>
        </is>
      </c>
      <c r="B4119" s="1" t="n">
        <v>44245</v>
      </c>
      <c r="C4119" s="1" t="n">
        <v>45810</v>
      </c>
      <c r="D4119" t="inlineStr">
        <is>
          <t>VÄRMLANDS LÄN</t>
        </is>
      </c>
      <c r="E4119" t="inlineStr">
        <is>
          <t>HAGFORS</t>
        </is>
      </c>
      <c r="G4119" t="n">
        <v>2.8</v>
      </c>
      <c r="H4119" t="n">
        <v>0</v>
      </c>
      <c r="I4119" t="n">
        <v>0</v>
      </c>
      <c r="J4119" t="n">
        <v>0</v>
      </c>
      <c r="K4119" t="n">
        <v>0</v>
      </c>
      <c r="L4119" t="n">
        <v>0</v>
      </c>
      <c r="M4119" t="n">
        <v>0</v>
      </c>
      <c r="N4119" t="n">
        <v>0</v>
      </c>
      <c r="O4119" t="n">
        <v>0</v>
      </c>
      <c r="P4119" t="n">
        <v>0</v>
      </c>
      <c r="Q4119" t="n">
        <v>0</v>
      </c>
      <c r="R4119" s="2" t="inlineStr"/>
    </row>
    <row r="4120" ht="15" customHeight="1">
      <c r="A4120" t="inlineStr">
        <is>
          <t>A 8600-2021</t>
        </is>
      </c>
      <c r="B4120" s="1" t="n">
        <v>44245</v>
      </c>
      <c r="C4120" s="1" t="n">
        <v>45810</v>
      </c>
      <c r="D4120" t="inlineStr">
        <is>
          <t>VÄRMLANDS LÄN</t>
        </is>
      </c>
      <c r="E4120" t="inlineStr">
        <is>
          <t>KRISTINEHAMN</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8957-2021</t>
        </is>
      </c>
      <c r="B4121" s="1" t="n">
        <v>44246</v>
      </c>
      <c r="C4121" s="1" t="n">
        <v>45810</v>
      </c>
      <c r="D4121" t="inlineStr">
        <is>
          <t>VÄRMLANDS LÄN</t>
        </is>
      </c>
      <c r="E4121" t="inlineStr">
        <is>
          <t>ÅRJÄNG</t>
        </is>
      </c>
      <c r="F4121" t="inlineStr">
        <is>
          <t>Övriga Aktiebolag</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8951-2021</t>
        </is>
      </c>
      <c r="B4122" s="1" t="n">
        <v>44246</v>
      </c>
      <c r="C4122" s="1" t="n">
        <v>45810</v>
      </c>
      <c r="D4122" t="inlineStr">
        <is>
          <t>VÄRMLANDS LÄN</t>
        </is>
      </c>
      <c r="E4122" t="inlineStr">
        <is>
          <t>ÅRJÄNG</t>
        </is>
      </c>
      <c r="F4122" t="inlineStr">
        <is>
          <t>Övriga Aktiebolag</t>
        </is>
      </c>
      <c r="G4122" t="n">
        <v>3.7</v>
      </c>
      <c r="H4122" t="n">
        <v>0</v>
      </c>
      <c r="I4122" t="n">
        <v>0</v>
      </c>
      <c r="J4122" t="n">
        <v>0</v>
      </c>
      <c r="K4122" t="n">
        <v>0</v>
      </c>
      <c r="L4122" t="n">
        <v>0</v>
      </c>
      <c r="M4122" t="n">
        <v>0</v>
      </c>
      <c r="N4122" t="n">
        <v>0</v>
      </c>
      <c r="O4122" t="n">
        <v>0</v>
      </c>
      <c r="P4122" t="n">
        <v>0</v>
      </c>
      <c r="Q4122" t="n">
        <v>0</v>
      </c>
      <c r="R4122" s="2" t="inlineStr"/>
    </row>
    <row r="4123" ht="15" customHeight="1">
      <c r="A4123" t="inlineStr">
        <is>
          <t>A 8740-2021</t>
        </is>
      </c>
      <c r="B4123" s="1" t="n">
        <v>44246</v>
      </c>
      <c r="C4123" s="1" t="n">
        <v>45810</v>
      </c>
      <c r="D4123" t="inlineStr">
        <is>
          <t>VÄRMLANDS LÄN</t>
        </is>
      </c>
      <c r="E4123" t="inlineStr">
        <is>
          <t>SÄFFLE</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8910-2021</t>
        </is>
      </c>
      <c r="B4124" s="1" t="n">
        <v>44246</v>
      </c>
      <c r="C4124" s="1" t="n">
        <v>45810</v>
      </c>
      <c r="D4124" t="inlineStr">
        <is>
          <t>VÄRMLANDS LÄN</t>
        </is>
      </c>
      <c r="E4124" t="inlineStr">
        <is>
          <t>TORSBY</t>
        </is>
      </c>
      <c r="G4124" t="n">
        <v>3.7</v>
      </c>
      <c r="H4124" t="n">
        <v>0</v>
      </c>
      <c r="I4124" t="n">
        <v>0</v>
      </c>
      <c r="J4124" t="n">
        <v>0</v>
      </c>
      <c r="K4124" t="n">
        <v>0</v>
      </c>
      <c r="L4124" t="n">
        <v>0</v>
      </c>
      <c r="M4124" t="n">
        <v>0</v>
      </c>
      <c r="N4124" t="n">
        <v>0</v>
      </c>
      <c r="O4124" t="n">
        <v>0</v>
      </c>
      <c r="P4124" t="n">
        <v>0</v>
      </c>
      <c r="Q4124" t="n">
        <v>0</v>
      </c>
      <c r="R4124" s="2" t="inlineStr"/>
    </row>
    <row r="4125" ht="15" customHeight="1">
      <c r="A4125" t="inlineStr">
        <is>
          <t>A 8882-2021</t>
        </is>
      </c>
      <c r="B4125" s="1" t="n">
        <v>44247</v>
      </c>
      <c r="C4125" s="1" t="n">
        <v>45810</v>
      </c>
      <c r="D4125" t="inlineStr">
        <is>
          <t>VÄRMLANDS LÄN</t>
        </is>
      </c>
      <c r="E4125" t="inlineStr">
        <is>
          <t>SÄFFLE</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8885-2021</t>
        </is>
      </c>
      <c r="B4126" s="1" t="n">
        <v>44248</v>
      </c>
      <c r="C4126" s="1" t="n">
        <v>45810</v>
      </c>
      <c r="D4126" t="inlineStr">
        <is>
          <t>VÄRMLANDS LÄN</t>
        </is>
      </c>
      <c r="E4126" t="inlineStr">
        <is>
          <t>ÅRJÄNG</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9289-2021</t>
        </is>
      </c>
      <c r="B4127" s="1" t="n">
        <v>44249</v>
      </c>
      <c r="C4127" s="1" t="n">
        <v>45810</v>
      </c>
      <c r="D4127" t="inlineStr">
        <is>
          <t>VÄRMLANDS LÄN</t>
        </is>
      </c>
      <c r="E4127" t="inlineStr">
        <is>
          <t>EDA</t>
        </is>
      </c>
      <c r="G4127" t="n">
        <v>6.7</v>
      </c>
      <c r="H4127" t="n">
        <v>0</v>
      </c>
      <c r="I4127" t="n">
        <v>0</v>
      </c>
      <c r="J4127" t="n">
        <v>0</v>
      </c>
      <c r="K4127" t="n">
        <v>0</v>
      </c>
      <c r="L4127" t="n">
        <v>0</v>
      </c>
      <c r="M4127" t="n">
        <v>0</v>
      </c>
      <c r="N4127" t="n">
        <v>0</v>
      </c>
      <c r="O4127" t="n">
        <v>0</v>
      </c>
      <c r="P4127" t="n">
        <v>0</v>
      </c>
      <c r="Q4127" t="n">
        <v>0</v>
      </c>
      <c r="R4127" s="2" t="inlineStr"/>
    </row>
    <row r="4128" ht="15" customHeight="1">
      <c r="A4128" t="inlineStr">
        <is>
          <t>A 9441-2021</t>
        </is>
      </c>
      <c r="B4128" s="1" t="n">
        <v>44251</v>
      </c>
      <c r="C4128" s="1" t="n">
        <v>45810</v>
      </c>
      <c r="D4128" t="inlineStr">
        <is>
          <t>VÄRMLANDS LÄN</t>
        </is>
      </c>
      <c r="E4128" t="inlineStr">
        <is>
          <t>ÅRJÄNG</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9436-2021</t>
        </is>
      </c>
      <c r="B4129" s="1" t="n">
        <v>44251</v>
      </c>
      <c r="C4129" s="1" t="n">
        <v>45810</v>
      </c>
      <c r="D4129" t="inlineStr">
        <is>
          <t>VÄRMLANDS LÄN</t>
        </is>
      </c>
      <c r="E4129" t="inlineStr">
        <is>
          <t>SÄFFLE</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9484-2021</t>
        </is>
      </c>
      <c r="B4130" s="1" t="n">
        <v>44251</v>
      </c>
      <c r="C4130" s="1" t="n">
        <v>45810</v>
      </c>
      <c r="D4130" t="inlineStr">
        <is>
          <t>VÄRMLANDS LÄN</t>
        </is>
      </c>
      <c r="E4130" t="inlineStr">
        <is>
          <t>ÅRJÄNG</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9570-2021</t>
        </is>
      </c>
      <c r="B4131" s="1" t="n">
        <v>44251</v>
      </c>
      <c r="C4131" s="1" t="n">
        <v>45810</v>
      </c>
      <c r="D4131" t="inlineStr">
        <is>
          <t>VÄRMLANDS LÄN</t>
        </is>
      </c>
      <c r="E4131" t="inlineStr">
        <is>
          <t>KIL</t>
        </is>
      </c>
      <c r="F4131" t="inlineStr">
        <is>
          <t>Kommuner</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9769-2021</t>
        </is>
      </c>
      <c r="B4132" s="1" t="n">
        <v>44252</v>
      </c>
      <c r="C4132" s="1" t="n">
        <v>45810</v>
      </c>
      <c r="D4132" t="inlineStr">
        <is>
          <t>VÄRMLANDS LÄN</t>
        </is>
      </c>
      <c r="E4132" t="inlineStr">
        <is>
          <t>SUNNE</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9775-2021</t>
        </is>
      </c>
      <c r="B4133" s="1" t="n">
        <v>44252</v>
      </c>
      <c r="C4133" s="1" t="n">
        <v>45810</v>
      </c>
      <c r="D4133" t="inlineStr">
        <is>
          <t>VÄRMLANDS LÄN</t>
        </is>
      </c>
      <c r="E4133" t="inlineStr">
        <is>
          <t>TORSBY</t>
        </is>
      </c>
      <c r="G4133" t="n">
        <v>2.7</v>
      </c>
      <c r="H4133" t="n">
        <v>0</v>
      </c>
      <c r="I4133" t="n">
        <v>0</v>
      </c>
      <c r="J4133" t="n">
        <v>0</v>
      </c>
      <c r="K4133" t="n">
        <v>0</v>
      </c>
      <c r="L4133" t="n">
        <v>0</v>
      </c>
      <c r="M4133" t="n">
        <v>0</v>
      </c>
      <c r="N4133" t="n">
        <v>0</v>
      </c>
      <c r="O4133" t="n">
        <v>0</v>
      </c>
      <c r="P4133" t="n">
        <v>0</v>
      </c>
      <c r="Q4133" t="n">
        <v>0</v>
      </c>
      <c r="R4133" s="2" t="inlineStr"/>
    </row>
    <row r="4134" ht="15" customHeight="1">
      <c r="A4134" t="inlineStr">
        <is>
          <t>A 9821-2021</t>
        </is>
      </c>
      <c r="B4134" s="1" t="n">
        <v>44252</v>
      </c>
      <c r="C4134" s="1" t="n">
        <v>45810</v>
      </c>
      <c r="D4134" t="inlineStr">
        <is>
          <t>VÄRMLANDS LÄN</t>
        </is>
      </c>
      <c r="E4134" t="inlineStr">
        <is>
          <t>HAGFORS</t>
        </is>
      </c>
      <c r="G4134" t="n">
        <v>2.2</v>
      </c>
      <c r="H4134" t="n">
        <v>0</v>
      </c>
      <c r="I4134" t="n">
        <v>0</v>
      </c>
      <c r="J4134" t="n">
        <v>0</v>
      </c>
      <c r="K4134" t="n">
        <v>0</v>
      </c>
      <c r="L4134" t="n">
        <v>0</v>
      </c>
      <c r="M4134" t="n">
        <v>0</v>
      </c>
      <c r="N4134" t="n">
        <v>0</v>
      </c>
      <c r="O4134" t="n">
        <v>0</v>
      </c>
      <c r="P4134" t="n">
        <v>0</v>
      </c>
      <c r="Q4134" t="n">
        <v>0</v>
      </c>
      <c r="R4134" s="2" t="inlineStr"/>
    </row>
    <row r="4135" ht="15" customHeight="1">
      <c r="A4135" t="inlineStr">
        <is>
          <t>A 9687-2021</t>
        </is>
      </c>
      <c r="B4135" s="1" t="n">
        <v>44252</v>
      </c>
      <c r="C4135" s="1" t="n">
        <v>45810</v>
      </c>
      <c r="D4135" t="inlineStr">
        <is>
          <t>VÄRMLANDS LÄN</t>
        </is>
      </c>
      <c r="E4135" t="inlineStr">
        <is>
          <t>KRISTINEHAMN</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9825-2021</t>
        </is>
      </c>
      <c r="B4136" s="1" t="n">
        <v>44252</v>
      </c>
      <c r="C4136" s="1" t="n">
        <v>45810</v>
      </c>
      <c r="D4136" t="inlineStr">
        <is>
          <t>VÄRMLANDS LÄN</t>
        </is>
      </c>
      <c r="E4136" t="inlineStr">
        <is>
          <t>KARLSTAD</t>
        </is>
      </c>
      <c r="G4136" t="n">
        <v>4.8</v>
      </c>
      <c r="H4136" t="n">
        <v>0</v>
      </c>
      <c r="I4136" t="n">
        <v>0</v>
      </c>
      <c r="J4136" t="n">
        <v>0</v>
      </c>
      <c r="K4136" t="n">
        <v>0</v>
      </c>
      <c r="L4136" t="n">
        <v>0</v>
      </c>
      <c r="M4136" t="n">
        <v>0</v>
      </c>
      <c r="N4136" t="n">
        <v>0</v>
      </c>
      <c r="O4136" t="n">
        <v>0</v>
      </c>
      <c r="P4136" t="n">
        <v>0</v>
      </c>
      <c r="Q4136" t="n">
        <v>0</v>
      </c>
      <c r="R4136" s="2" t="inlineStr"/>
    </row>
    <row r="4137" ht="15" customHeight="1">
      <c r="A4137" t="inlineStr">
        <is>
          <t>A 9851-2021</t>
        </is>
      </c>
      <c r="B4137" s="1" t="n">
        <v>44253</v>
      </c>
      <c r="C4137" s="1" t="n">
        <v>45810</v>
      </c>
      <c r="D4137" t="inlineStr">
        <is>
          <t>VÄRMLANDS LÄN</t>
        </is>
      </c>
      <c r="E4137" t="inlineStr">
        <is>
          <t>ARVIKA</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10070-2021</t>
        </is>
      </c>
      <c r="B4138" s="1" t="n">
        <v>44256</v>
      </c>
      <c r="C4138" s="1" t="n">
        <v>45810</v>
      </c>
      <c r="D4138" t="inlineStr">
        <is>
          <t>VÄRMLANDS LÄN</t>
        </is>
      </c>
      <c r="E4138" t="inlineStr">
        <is>
          <t>GRUMS</t>
        </is>
      </c>
      <c r="G4138" t="n">
        <v>3.5</v>
      </c>
      <c r="H4138" t="n">
        <v>0</v>
      </c>
      <c r="I4138" t="n">
        <v>0</v>
      </c>
      <c r="J4138" t="n">
        <v>0</v>
      </c>
      <c r="K4138" t="n">
        <v>0</v>
      </c>
      <c r="L4138" t="n">
        <v>0</v>
      </c>
      <c r="M4138" t="n">
        <v>0</v>
      </c>
      <c r="N4138" t="n">
        <v>0</v>
      </c>
      <c r="O4138" t="n">
        <v>0</v>
      </c>
      <c r="P4138" t="n">
        <v>0</v>
      </c>
      <c r="Q4138" t="n">
        <v>0</v>
      </c>
      <c r="R4138" s="2" t="inlineStr"/>
    </row>
    <row r="4139" ht="15" customHeight="1">
      <c r="A4139" t="inlineStr">
        <is>
          <t>A 10096-2021</t>
        </is>
      </c>
      <c r="B4139" s="1" t="n">
        <v>44256</v>
      </c>
      <c r="C4139" s="1" t="n">
        <v>45810</v>
      </c>
      <c r="D4139" t="inlineStr">
        <is>
          <t>VÄRMLANDS LÄN</t>
        </is>
      </c>
      <c r="E4139" t="inlineStr">
        <is>
          <t>HAGFORS</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10104-2021</t>
        </is>
      </c>
      <c r="B4140" s="1" t="n">
        <v>44256</v>
      </c>
      <c r="C4140" s="1" t="n">
        <v>45810</v>
      </c>
      <c r="D4140" t="inlineStr">
        <is>
          <t>VÄRMLANDS LÄN</t>
        </is>
      </c>
      <c r="E4140" t="inlineStr">
        <is>
          <t>KRISTINEHAMN</t>
        </is>
      </c>
      <c r="G4140" t="n">
        <v>0.4</v>
      </c>
      <c r="H4140" t="n">
        <v>0</v>
      </c>
      <c r="I4140" t="n">
        <v>0</v>
      </c>
      <c r="J4140" t="n">
        <v>0</v>
      </c>
      <c r="K4140" t="n">
        <v>0</v>
      </c>
      <c r="L4140" t="n">
        <v>0</v>
      </c>
      <c r="M4140" t="n">
        <v>0</v>
      </c>
      <c r="N4140" t="n">
        <v>0</v>
      </c>
      <c r="O4140" t="n">
        <v>0</v>
      </c>
      <c r="P4140" t="n">
        <v>0</v>
      </c>
      <c r="Q4140" t="n">
        <v>0</v>
      </c>
      <c r="R4140" s="2" t="inlineStr"/>
    </row>
    <row r="4141" ht="15" customHeight="1">
      <c r="A4141" t="inlineStr">
        <is>
          <t>A 10111-2021</t>
        </is>
      </c>
      <c r="B4141" s="1" t="n">
        <v>44256</v>
      </c>
      <c r="C4141" s="1" t="n">
        <v>45810</v>
      </c>
      <c r="D4141" t="inlineStr">
        <is>
          <t>VÄRMLANDS LÄN</t>
        </is>
      </c>
      <c r="E4141" t="inlineStr">
        <is>
          <t>KRISTINEHAMN</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10133-2021</t>
        </is>
      </c>
      <c r="B4142" s="1" t="n">
        <v>44256</v>
      </c>
      <c r="C4142" s="1" t="n">
        <v>45810</v>
      </c>
      <c r="D4142" t="inlineStr">
        <is>
          <t>VÄRMLANDS LÄN</t>
        </is>
      </c>
      <c r="E4142" t="inlineStr">
        <is>
          <t>TORSBY</t>
        </is>
      </c>
      <c r="G4142" t="n">
        <v>5</v>
      </c>
      <c r="H4142" t="n">
        <v>0</v>
      </c>
      <c r="I4142" t="n">
        <v>0</v>
      </c>
      <c r="J4142" t="n">
        <v>0</v>
      </c>
      <c r="K4142" t="n">
        <v>0</v>
      </c>
      <c r="L4142" t="n">
        <v>0</v>
      </c>
      <c r="M4142" t="n">
        <v>0</v>
      </c>
      <c r="N4142" t="n">
        <v>0</v>
      </c>
      <c r="O4142" t="n">
        <v>0</v>
      </c>
      <c r="P4142" t="n">
        <v>0</v>
      </c>
      <c r="Q4142" t="n">
        <v>0</v>
      </c>
      <c r="R4142" s="2" t="inlineStr"/>
    </row>
    <row r="4143" ht="15" customHeight="1">
      <c r="A4143" t="inlineStr">
        <is>
          <t>A 10103-2021</t>
        </is>
      </c>
      <c r="B4143" s="1" t="n">
        <v>44256</v>
      </c>
      <c r="C4143" s="1" t="n">
        <v>45810</v>
      </c>
      <c r="D4143" t="inlineStr">
        <is>
          <t>VÄRMLANDS LÄN</t>
        </is>
      </c>
      <c r="E4143" t="inlineStr">
        <is>
          <t>KRISTINEHAMN</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10109-2021</t>
        </is>
      </c>
      <c r="B4144" s="1" t="n">
        <v>44256</v>
      </c>
      <c r="C4144" s="1" t="n">
        <v>45810</v>
      </c>
      <c r="D4144" t="inlineStr">
        <is>
          <t>VÄRMLANDS LÄN</t>
        </is>
      </c>
      <c r="E4144" t="inlineStr">
        <is>
          <t>KRISTINEHAMN</t>
        </is>
      </c>
      <c r="G4144" t="n">
        <v>0.3</v>
      </c>
      <c r="H4144" t="n">
        <v>0</v>
      </c>
      <c r="I4144" t="n">
        <v>0</v>
      </c>
      <c r="J4144" t="n">
        <v>0</v>
      </c>
      <c r="K4144" t="n">
        <v>0</v>
      </c>
      <c r="L4144" t="n">
        <v>0</v>
      </c>
      <c r="M4144" t="n">
        <v>0</v>
      </c>
      <c r="N4144" t="n">
        <v>0</v>
      </c>
      <c r="O4144" t="n">
        <v>0</v>
      </c>
      <c r="P4144" t="n">
        <v>0</v>
      </c>
      <c r="Q4144" t="n">
        <v>0</v>
      </c>
      <c r="R4144" s="2" t="inlineStr"/>
    </row>
    <row r="4145" ht="15" customHeight="1">
      <c r="A4145" t="inlineStr">
        <is>
          <t>A 10157-2021</t>
        </is>
      </c>
      <c r="B4145" s="1" t="n">
        <v>44256</v>
      </c>
      <c r="C4145" s="1" t="n">
        <v>45810</v>
      </c>
      <c r="D4145" t="inlineStr">
        <is>
          <t>VÄRMLANDS LÄN</t>
        </is>
      </c>
      <c r="E4145" t="inlineStr">
        <is>
          <t>KARLSTAD</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10184-2021</t>
        </is>
      </c>
      <c r="B4146" s="1" t="n">
        <v>44256</v>
      </c>
      <c r="C4146" s="1" t="n">
        <v>45810</v>
      </c>
      <c r="D4146" t="inlineStr">
        <is>
          <t>VÄRMLANDS LÄN</t>
        </is>
      </c>
      <c r="E4146" t="inlineStr">
        <is>
          <t>KRISTINEHAMN</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10182-2021</t>
        </is>
      </c>
      <c r="B4147" s="1" t="n">
        <v>44256</v>
      </c>
      <c r="C4147" s="1" t="n">
        <v>45810</v>
      </c>
      <c r="D4147" t="inlineStr">
        <is>
          <t>VÄRMLANDS LÄN</t>
        </is>
      </c>
      <c r="E4147" t="inlineStr">
        <is>
          <t>KRISTINEHAMN</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10102-2021</t>
        </is>
      </c>
      <c r="B4148" s="1" t="n">
        <v>44256</v>
      </c>
      <c r="C4148" s="1" t="n">
        <v>45810</v>
      </c>
      <c r="D4148" t="inlineStr">
        <is>
          <t>VÄRMLANDS LÄN</t>
        </is>
      </c>
      <c r="E4148" t="inlineStr">
        <is>
          <t>KRISTINEHAMN</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10108-2021</t>
        </is>
      </c>
      <c r="B4149" s="1" t="n">
        <v>44256</v>
      </c>
      <c r="C4149" s="1" t="n">
        <v>45810</v>
      </c>
      <c r="D4149" t="inlineStr">
        <is>
          <t>VÄRMLANDS LÄN</t>
        </is>
      </c>
      <c r="E4149" t="inlineStr">
        <is>
          <t>KRISTINEHAMN</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10175-2021</t>
        </is>
      </c>
      <c r="B4150" s="1" t="n">
        <v>44256</v>
      </c>
      <c r="C4150" s="1" t="n">
        <v>45810</v>
      </c>
      <c r="D4150" t="inlineStr">
        <is>
          <t>VÄRMLANDS LÄN</t>
        </is>
      </c>
      <c r="E4150" t="inlineStr">
        <is>
          <t>KRISTINEHAMN</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10190-2021</t>
        </is>
      </c>
      <c r="B4151" s="1" t="n">
        <v>44256</v>
      </c>
      <c r="C4151" s="1" t="n">
        <v>45810</v>
      </c>
      <c r="D4151" t="inlineStr">
        <is>
          <t>VÄRMLANDS LÄN</t>
        </is>
      </c>
      <c r="E4151" t="inlineStr">
        <is>
          <t>KRISTINEHAMN</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10107-2021</t>
        </is>
      </c>
      <c r="B4152" s="1" t="n">
        <v>44256</v>
      </c>
      <c r="C4152" s="1" t="n">
        <v>45810</v>
      </c>
      <c r="D4152" t="inlineStr">
        <is>
          <t>VÄRMLANDS LÄN</t>
        </is>
      </c>
      <c r="E4152" t="inlineStr">
        <is>
          <t>KRISTINEHAMN</t>
        </is>
      </c>
      <c r="G4152" t="n">
        <v>2.3</v>
      </c>
      <c r="H4152" t="n">
        <v>0</v>
      </c>
      <c r="I4152" t="n">
        <v>0</v>
      </c>
      <c r="J4152" t="n">
        <v>0</v>
      </c>
      <c r="K4152" t="n">
        <v>0</v>
      </c>
      <c r="L4152" t="n">
        <v>0</v>
      </c>
      <c r="M4152" t="n">
        <v>0</v>
      </c>
      <c r="N4152" t="n">
        <v>0</v>
      </c>
      <c r="O4152" t="n">
        <v>0</v>
      </c>
      <c r="P4152" t="n">
        <v>0</v>
      </c>
      <c r="Q4152" t="n">
        <v>0</v>
      </c>
      <c r="R4152" s="2" t="inlineStr"/>
    </row>
    <row r="4153" ht="15" customHeight="1">
      <c r="A4153" t="inlineStr">
        <is>
          <t>A 10118-2021</t>
        </is>
      </c>
      <c r="B4153" s="1" t="n">
        <v>44256</v>
      </c>
      <c r="C4153" s="1" t="n">
        <v>45810</v>
      </c>
      <c r="D4153" t="inlineStr">
        <is>
          <t>VÄRMLANDS LÄN</t>
        </is>
      </c>
      <c r="E4153" t="inlineStr">
        <is>
          <t>TORSBY</t>
        </is>
      </c>
      <c r="G4153" t="n">
        <v>12.5</v>
      </c>
      <c r="H4153" t="n">
        <v>0</v>
      </c>
      <c r="I4153" t="n">
        <v>0</v>
      </c>
      <c r="J4153" t="n">
        <v>0</v>
      </c>
      <c r="K4153" t="n">
        <v>0</v>
      </c>
      <c r="L4153" t="n">
        <v>0</v>
      </c>
      <c r="M4153" t="n">
        <v>0</v>
      </c>
      <c r="N4153" t="n">
        <v>0</v>
      </c>
      <c r="O4153" t="n">
        <v>0</v>
      </c>
      <c r="P4153" t="n">
        <v>0</v>
      </c>
      <c r="Q4153" t="n">
        <v>0</v>
      </c>
      <c r="R4153" s="2" t="inlineStr"/>
    </row>
    <row r="4154" ht="15" customHeight="1">
      <c r="A4154" t="inlineStr">
        <is>
          <t>A 10151-2021</t>
        </is>
      </c>
      <c r="B4154" s="1" t="n">
        <v>44256</v>
      </c>
      <c r="C4154" s="1" t="n">
        <v>45810</v>
      </c>
      <c r="D4154" t="inlineStr">
        <is>
          <t>VÄRMLANDS LÄN</t>
        </is>
      </c>
      <c r="E4154" t="inlineStr">
        <is>
          <t>SUNNE</t>
        </is>
      </c>
      <c r="G4154" t="n">
        <v>6.5</v>
      </c>
      <c r="H4154" t="n">
        <v>0</v>
      </c>
      <c r="I4154" t="n">
        <v>0</v>
      </c>
      <c r="J4154" t="n">
        <v>0</v>
      </c>
      <c r="K4154" t="n">
        <v>0</v>
      </c>
      <c r="L4154" t="n">
        <v>0</v>
      </c>
      <c r="M4154" t="n">
        <v>0</v>
      </c>
      <c r="N4154" t="n">
        <v>0</v>
      </c>
      <c r="O4154" t="n">
        <v>0</v>
      </c>
      <c r="P4154" t="n">
        <v>0</v>
      </c>
      <c r="Q4154" t="n">
        <v>0</v>
      </c>
      <c r="R4154" s="2" t="inlineStr"/>
    </row>
    <row r="4155" ht="15" customHeight="1">
      <c r="A4155" t="inlineStr">
        <is>
          <t>A 10310-2021</t>
        </is>
      </c>
      <c r="B4155" s="1" t="n">
        <v>44257</v>
      </c>
      <c r="C4155" s="1" t="n">
        <v>45810</v>
      </c>
      <c r="D4155" t="inlineStr">
        <is>
          <t>VÄRMLANDS LÄN</t>
        </is>
      </c>
      <c r="E4155" t="inlineStr">
        <is>
          <t>HAGFORS</t>
        </is>
      </c>
      <c r="G4155" t="n">
        <v>8.5</v>
      </c>
      <c r="H4155" t="n">
        <v>0</v>
      </c>
      <c r="I4155" t="n">
        <v>0</v>
      </c>
      <c r="J4155" t="n">
        <v>0</v>
      </c>
      <c r="K4155" t="n">
        <v>0</v>
      </c>
      <c r="L4155" t="n">
        <v>0</v>
      </c>
      <c r="M4155" t="n">
        <v>0</v>
      </c>
      <c r="N4155" t="n">
        <v>0</v>
      </c>
      <c r="O4155" t="n">
        <v>0</v>
      </c>
      <c r="P4155" t="n">
        <v>0</v>
      </c>
      <c r="Q4155" t="n">
        <v>0</v>
      </c>
      <c r="R4155" s="2" t="inlineStr"/>
    </row>
    <row r="4156" ht="15" customHeight="1">
      <c r="A4156" t="inlineStr">
        <is>
          <t>A 10322-2021</t>
        </is>
      </c>
      <c r="B4156" s="1" t="n">
        <v>44257</v>
      </c>
      <c r="C4156" s="1" t="n">
        <v>45810</v>
      </c>
      <c r="D4156" t="inlineStr">
        <is>
          <t>VÄRMLANDS LÄN</t>
        </is>
      </c>
      <c r="E4156" t="inlineStr">
        <is>
          <t>EDA</t>
        </is>
      </c>
      <c r="G4156" t="n">
        <v>0.4</v>
      </c>
      <c r="H4156" t="n">
        <v>0</v>
      </c>
      <c r="I4156" t="n">
        <v>0</v>
      </c>
      <c r="J4156" t="n">
        <v>0</v>
      </c>
      <c r="K4156" t="n">
        <v>0</v>
      </c>
      <c r="L4156" t="n">
        <v>0</v>
      </c>
      <c r="M4156" t="n">
        <v>0</v>
      </c>
      <c r="N4156" t="n">
        <v>0</v>
      </c>
      <c r="O4156" t="n">
        <v>0</v>
      </c>
      <c r="P4156" t="n">
        <v>0</v>
      </c>
      <c r="Q4156" t="n">
        <v>0</v>
      </c>
      <c r="R4156" s="2" t="inlineStr"/>
    </row>
    <row r="4157" ht="15" customHeight="1">
      <c r="A4157" t="inlineStr">
        <is>
          <t>A 10579-2021</t>
        </is>
      </c>
      <c r="B4157" s="1" t="n">
        <v>44257</v>
      </c>
      <c r="C4157" s="1" t="n">
        <v>45810</v>
      </c>
      <c r="D4157" t="inlineStr">
        <is>
          <t>VÄRMLANDS LÄN</t>
        </is>
      </c>
      <c r="E4157" t="inlineStr">
        <is>
          <t>TORSBY</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10565-2021</t>
        </is>
      </c>
      <c r="B4158" s="1" t="n">
        <v>44258</v>
      </c>
      <c r="C4158" s="1" t="n">
        <v>45810</v>
      </c>
      <c r="D4158" t="inlineStr">
        <is>
          <t>VÄRMLANDS LÄN</t>
        </is>
      </c>
      <c r="E4158" t="inlineStr">
        <is>
          <t>SÄFFLE</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10494-2021</t>
        </is>
      </c>
      <c r="B4159" s="1" t="n">
        <v>44258</v>
      </c>
      <c r="C4159" s="1" t="n">
        <v>45810</v>
      </c>
      <c r="D4159" t="inlineStr">
        <is>
          <t>VÄRMLANDS LÄN</t>
        </is>
      </c>
      <c r="E4159" t="inlineStr">
        <is>
          <t>KRISTINEHAMN</t>
        </is>
      </c>
      <c r="G4159" t="n">
        <v>0.3</v>
      </c>
      <c r="H4159" t="n">
        <v>0</v>
      </c>
      <c r="I4159" t="n">
        <v>0</v>
      </c>
      <c r="J4159" t="n">
        <v>0</v>
      </c>
      <c r="K4159" t="n">
        <v>0</v>
      </c>
      <c r="L4159" t="n">
        <v>0</v>
      </c>
      <c r="M4159" t="n">
        <v>0</v>
      </c>
      <c r="N4159" t="n">
        <v>0</v>
      </c>
      <c r="O4159" t="n">
        <v>0</v>
      </c>
      <c r="P4159" t="n">
        <v>0</v>
      </c>
      <c r="Q4159" t="n">
        <v>0</v>
      </c>
      <c r="R4159" s="2" t="inlineStr"/>
    </row>
    <row r="4160" ht="15" customHeight="1">
      <c r="A4160" t="inlineStr">
        <is>
          <t>A 10541-2021</t>
        </is>
      </c>
      <c r="B4160" s="1" t="n">
        <v>44258</v>
      </c>
      <c r="C4160" s="1" t="n">
        <v>45810</v>
      </c>
      <c r="D4160" t="inlineStr">
        <is>
          <t>VÄRMLANDS LÄN</t>
        </is>
      </c>
      <c r="E4160" t="inlineStr">
        <is>
          <t>ÅRJÄNG</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10563-2021</t>
        </is>
      </c>
      <c r="B4161" s="1" t="n">
        <v>44258</v>
      </c>
      <c r="C4161" s="1" t="n">
        <v>45810</v>
      </c>
      <c r="D4161" t="inlineStr">
        <is>
          <t>VÄRMLANDS LÄN</t>
        </is>
      </c>
      <c r="E4161" t="inlineStr">
        <is>
          <t>SÄFFLE</t>
        </is>
      </c>
      <c r="G4161" t="n">
        <v>8.199999999999999</v>
      </c>
      <c r="H4161" t="n">
        <v>0</v>
      </c>
      <c r="I4161" t="n">
        <v>0</v>
      </c>
      <c r="J4161" t="n">
        <v>0</v>
      </c>
      <c r="K4161" t="n">
        <v>0</v>
      </c>
      <c r="L4161" t="n">
        <v>0</v>
      </c>
      <c r="M4161" t="n">
        <v>0</v>
      </c>
      <c r="N4161" t="n">
        <v>0</v>
      </c>
      <c r="O4161" t="n">
        <v>0</v>
      </c>
      <c r="P4161" t="n">
        <v>0</v>
      </c>
      <c r="Q4161" t="n">
        <v>0</v>
      </c>
      <c r="R4161" s="2" t="inlineStr"/>
    </row>
    <row r="4162" ht="15" customHeight="1">
      <c r="A4162" t="inlineStr">
        <is>
          <t>A 10661-2021</t>
        </is>
      </c>
      <c r="B4162" s="1" t="n">
        <v>44258</v>
      </c>
      <c r="C4162" s="1" t="n">
        <v>45810</v>
      </c>
      <c r="D4162" t="inlineStr">
        <is>
          <t>VÄRMLANDS LÄN</t>
        </is>
      </c>
      <c r="E4162" t="inlineStr">
        <is>
          <t>SÄFFLE</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10594-2021</t>
        </is>
      </c>
      <c r="B4163" s="1" t="n">
        <v>44258</v>
      </c>
      <c r="C4163" s="1" t="n">
        <v>45810</v>
      </c>
      <c r="D4163" t="inlineStr">
        <is>
          <t>VÄRMLANDS LÄN</t>
        </is>
      </c>
      <c r="E4163" t="inlineStr">
        <is>
          <t>ÅRJÄNG</t>
        </is>
      </c>
      <c r="G4163" t="n">
        <v>3.6</v>
      </c>
      <c r="H4163" t="n">
        <v>0</v>
      </c>
      <c r="I4163" t="n">
        <v>0</v>
      </c>
      <c r="J4163" t="n">
        <v>0</v>
      </c>
      <c r="K4163" t="n">
        <v>0</v>
      </c>
      <c r="L4163" t="n">
        <v>0</v>
      </c>
      <c r="M4163" t="n">
        <v>0</v>
      </c>
      <c r="N4163" t="n">
        <v>0</v>
      </c>
      <c r="O4163" t="n">
        <v>0</v>
      </c>
      <c r="P4163" t="n">
        <v>0</v>
      </c>
      <c r="Q4163" t="n">
        <v>0</v>
      </c>
      <c r="R4163" s="2" t="inlineStr"/>
    </row>
    <row r="4164" ht="15" customHeight="1">
      <c r="A4164" t="inlineStr">
        <is>
          <t>A 10631-2021</t>
        </is>
      </c>
      <c r="B4164" s="1" t="n">
        <v>44258</v>
      </c>
      <c r="C4164" s="1" t="n">
        <v>45810</v>
      </c>
      <c r="D4164" t="inlineStr">
        <is>
          <t>VÄRMLANDS LÄN</t>
        </is>
      </c>
      <c r="E4164" t="inlineStr">
        <is>
          <t>SUNNE</t>
        </is>
      </c>
      <c r="G4164" t="n">
        <v>6.2</v>
      </c>
      <c r="H4164" t="n">
        <v>0</v>
      </c>
      <c r="I4164" t="n">
        <v>0</v>
      </c>
      <c r="J4164" t="n">
        <v>0</v>
      </c>
      <c r="K4164" t="n">
        <v>0</v>
      </c>
      <c r="L4164" t="n">
        <v>0</v>
      </c>
      <c r="M4164" t="n">
        <v>0</v>
      </c>
      <c r="N4164" t="n">
        <v>0</v>
      </c>
      <c r="O4164" t="n">
        <v>0</v>
      </c>
      <c r="P4164" t="n">
        <v>0</v>
      </c>
      <c r="Q4164" t="n">
        <v>0</v>
      </c>
      <c r="R4164" s="2" t="inlineStr"/>
    </row>
    <row r="4165" ht="15" customHeight="1">
      <c r="A4165" t="inlineStr">
        <is>
          <t>A 10644-2021</t>
        </is>
      </c>
      <c r="B4165" s="1" t="n">
        <v>44258</v>
      </c>
      <c r="C4165" s="1" t="n">
        <v>45810</v>
      </c>
      <c r="D4165" t="inlineStr">
        <is>
          <t>VÄRMLANDS LÄN</t>
        </is>
      </c>
      <c r="E4165" t="inlineStr">
        <is>
          <t>SUNNE</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10658-2021</t>
        </is>
      </c>
      <c r="B4166" s="1" t="n">
        <v>44258</v>
      </c>
      <c r="C4166" s="1" t="n">
        <v>45810</v>
      </c>
      <c r="D4166" t="inlineStr">
        <is>
          <t>VÄRMLANDS LÄN</t>
        </is>
      </c>
      <c r="E4166" t="inlineStr">
        <is>
          <t>SUNNE</t>
        </is>
      </c>
      <c r="G4166" t="n">
        <v>4</v>
      </c>
      <c r="H4166" t="n">
        <v>0</v>
      </c>
      <c r="I4166" t="n">
        <v>0</v>
      </c>
      <c r="J4166" t="n">
        <v>0</v>
      </c>
      <c r="K4166" t="n">
        <v>0</v>
      </c>
      <c r="L4166" t="n">
        <v>0</v>
      </c>
      <c r="M4166" t="n">
        <v>0</v>
      </c>
      <c r="N4166" t="n">
        <v>0</v>
      </c>
      <c r="O4166" t="n">
        <v>0</v>
      </c>
      <c r="P4166" t="n">
        <v>0</v>
      </c>
      <c r="Q4166" t="n">
        <v>0</v>
      </c>
      <c r="R4166" s="2" t="inlineStr"/>
    </row>
    <row r="4167" ht="15" customHeight="1">
      <c r="A4167" t="inlineStr">
        <is>
          <t>A 10588-2021</t>
        </is>
      </c>
      <c r="B4167" s="1" t="n">
        <v>44258</v>
      </c>
      <c r="C4167" s="1" t="n">
        <v>45810</v>
      </c>
      <c r="D4167" t="inlineStr">
        <is>
          <t>VÄRMLANDS LÄN</t>
        </is>
      </c>
      <c r="E4167" t="inlineStr">
        <is>
          <t>ÅRJÄNG</t>
        </is>
      </c>
      <c r="G4167" t="n">
        <v>7.9</v>
      </c>
      <c r="H4167" t="n">
        <v>0</v>
      </c>
      <c r="I4167" t="n">
        <v>0</v>
      </c>
      <c r="J4167" t="n">
        <v>0</v>
      </c>
      <c r="K4167" t="n">
        <v>0</v>
      </c>
      <c r="L4167" t="n">
        <v>0</v>
      </c>
      <c r="M4167" t="n">
        <v>0</v>
      </c>
      <c r="N4167" t="n">
        <v>0</v>
      </c>
      <c r="O4167" t="n">
        <v>0</v>
      </c>
      <c r="P4167" t="n">
        <v>0</v>
      </c>
      <c r="Q4167" t="n">
        <v>0</v>
      </c>
      <c r="R4167" s="2" t="inlineStr"/>
    </row>
    <row r="4168" ht="15" customHeight="1">
      <c r="A4168" t="inlineStr">
        <is>
          <t>A 10717-2021</t>
        </is>
      </c>
      <c r="B4168" s="1" t="n">
        <v>44258</v>
      </c>
      <c r="C4168" s="1" t="n">
        <v>45810</v>
      </c>
      <c r="D4168" t="inlineStr">
        <is>
          <t>VÄRMLANDS LÄN</t>
        </is>
      </c>
      <c r="E4168" t="inlineStr">
        <is>
          <t>KARLSTAD</t>
        </is>
      </c>
      <c r="G4168" t="n">
        <v>25.2</v>
      </c>
      <c r="H4168" t="n">
        <v>0</v>
      </c>
      <c r="I4168" t="n">
        <v>0</v>
      </c>
      <c r="J4168" t="n">
        <v>0</v>
      </c>
      <c r="K4168" t="n">
        <v>0</v>
      </c>
      <c r="L4168" t="n">
        <v>0</v>
      </c>
      <c r="M4168" t="n">
        <v>0</v>
      </c>
      <c r="N4168" t="n">
        <v>0</v>
      </c>
      <c r="O4168" t="n">
        <v>0</v>
      </c>
      <c r="P4168" t="n">
        <v>0</v>
      </c>
      <c r="Q4168" t="n">
        <v>0</v>
      </c>
      <c r="R4168" s="2" t="inlineStr"/>
    </row>
    <row r="4169" ht="15" customHeight="1">
      <c r="A4169" t="inlineStr">
        <is>
          <t>A 10721-2021</t>
        </is>
      </c>
      <c r="B4169" s="1" t="n">
        <v>44258</v>
      </c>
      <c r="C4169" s="1" t="n">
        <v>45810</v>
      </c>
      <c r="D4169" t="inlineStr">
        <is>
          <t>VÄRMLANDS LÄN</t>
        </is>
      </c>
      <c r="E4169" t="inlineStr">
        <is>
          <t>MUNKFORS</t>
        </is>
      </c>
      <c r="G4169" t="n">
        <v>4.1</v>
      </c>
      <c r="H4169" t="n">
        <v>0</v>
      </c>
      <c r="I4169" t="n">
        <v>0</v>
      </c>
      <c r="J4169" t="n">
        <v>0</v>
      </c>
      <c r="K4169" t="n">
        <v>0</v>
      </c>
      <c r="L4169" t="n">
        <v>0</v>
      </c>
      <c r="M4169" t="n">
        <v>0</v>
      </c>
      <c r="N4169" t="n">
        <v>0</v>
      </c>
      <c r="O4169" t="n">
        <v>0</v>
      </c>
      <c r="P4169" t="n">
        <v>0</v>
      </c>
      <c r="Q4169" t="n">
        <v>0</v>
      </c>
      <c r="R4169" s="2" t="inlineStr"/>
    </row>
    <row r="4170" ht="15" customHeight="1">
      <c r="A4170" t="inlineStr">
        <is>
          <t>A 10730-2021</t>
        </is>
      </c>
      <c r="B4170" s="1" t="n">
        <v>44258</v>
      </c>
      <c r="C4170" s="1" t="n">
        <v>45810</v>
      </c>
      <c r="D4170" t="inlineStr">
        <is>
          <t>VÄRMLANDS LÄN</t>
        </is>
      </c>
      <c r="E4170" t="inlineStr">
        <is>
          <t>EDA</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10803-2021</t>
        </is>
      </c>
      <c r="B4171" s="1" t="n">
        <v>44258</v>
      </c>
      <c r="C4171" s="1" t="n">
        <v>45810</v>
      </c>
      <c r="D4171" t="inlineStr">
        <is>
          <t>VÄRMLANDS LÄN</t>
        </is>
      </c>
      <c r="E4171" t="inlineStr">
        <is>
          <t>GRUMS</t>
        </is>
      </c>
      <c r="G4171" t="n">
        <v>2.9</v>
      </c>
      <c r="H4171" t="n">
        <v>0</v>
      </c>
      <c r="I4171" t="n">
        <v>0</v>
      </c>
      <c r="J4171" t="n">
        <v>0</v>
      </c>
      <c r="K4171" t="n">
        <v>0</v>
      </c>
      <c r="L4171" t="n">
        <v>0</v>
      </c>
      <c r="M4171" t="n">
        <v>0</v>
      </c>
      <c r="N4171" t="n">
        <v>0</v>
      </c>
      <c r="O4171" t="n">
        <v>0</v>
      </c>
      <c r="P4171" t="n">
        <v>0</v>
      </c>
      <c r="Q4171" t="n">
        <v>0</v>
      </c>
      <c r="R4171" s="2" t="inlineStr"/>
    </row>
    <row r="4172" ht="15" customHeight="1">
      <c r="A4172" t="inlineStr">
        <is>
          <t>A 10501-2021</t>
        </is>
      </c>
      <c r="B4172" s="1" t="n">
        <v>44258</v>
      </c>
      <c r="C4172" s="1" t="n">
        <v>45810</v>
      </c>
      <c r="D4172" t="inlineStr">
        <is>
          <t>VÄRMLANDS LÄN</t>
        </is>
      </c>
      <c r="E4172" t="inlineStr">
        <is>
          <t>FILIPSTAD</t>
        </is>
      </c>
      <c r="G4172" t="n">
        <v>4.8</v>
      </c>
      <c r="H4172" t="n">
        <v>0</v>
      </c>
      <c r="I4172" t="n">
        <v>0</v>
      </c>
      <c r="J4172" t="n">
        <v>0</v>
      </c>
      <c r="K4172" t="n">
        <v>0</v>
      </c>
      <c r="L4172" t="n">
        <v>0</v>
      </c>
      <c r="M4172" t="n">
        <v>0</v>
      </c>
      <c r="N4172" t="n">
        <v>0</v>
      </c>
      <c r="O4172" t="n">
        <v>0</v>
      </c>
      <c r="P4172" t="n">
        <v>0</v>
      </c>
      <c r="Q4172" t="n">
        <v>0</v>
      </c>
      <c r="R4172" s="2" t="inlineStr"/>
    </row>
    <row r="4173" ht="15" customHeight="1">
      <c r="A4173" t="inlineStr">
        <is>
          <t>A 10720-2021</t>
        </is>
      </c>
      <c r="B4173" s="1" t="n">
        <v>44258</v>
      </c>
      <c r="C4173" s="1" t="n">
        <v>45810</v>
      </c>
      <c r="D4173" t="inlineStr">
        <is>
          <t>VÄRMLANDS LÄN</t>
        </is>
      </c>
      <c r="E4173" t="inlineStr">
        <is>
          <t>MUNKFORS</t>
        </is>
      </c>
      <c r="G4173" t="n">
        <v>5.7</v>
      </c>
      <c r="H4173" t="n">
        <v>0</v>
      </c>
      <c r="I4173" t="n">
        <v>0</v>
      </c>
      <c r="J4173" t="n">
        <v>0</v>
      </c>
      <c r="K4173" t="n">
        <v>0</v>
      </c>
      <c r="L4173" t="n">
        <v>0</v>
      </c>
      <c r="M4173" t="n">
        <v>0</v>
      </c>
      <c r="N4173" t="n">
        <v>0</v>
      </c>
      <c r="O4173" t="n">
        <v>0</v>
      </c>
      <c r="P4173" t="n">
        <v>0</v>
      </c>
      <c r="Q4173" t="n">
        <v>0</v>
      </c>
      <c r="R4173" s="2" t="inlineStr"/>
    </row>
    <row r="4174" ht="15" customHeight="1">
      <c r="A4174" t="inlineStr">
        <is>
          <t>A 10729-2021</t>
        </is>
      </c>
      <c r="B4174" s="1" t="n">
        <v>44258</v>
      </c>
      <c r="C4174" s="1" t="n">
        <v>45810</v>
      </c>
      <c r="D4174" t="inlineStr">
        <is>
          <t>VÄRMLANDS LÄN</t>
        </is>
      </c>
      <c r="E4174" t="inlineStr">
        <is>
          <t>EDA</t>
        </is>
      </c>
      <c r="G4174" t="n">
        <v>3.9</v>
      </c>
      <c r="H4174" t="n">
        <v>0</v>
      </c>
      <c r="I4174" t="n">
        <v>0</v>
      </c>
      <c r="J4174" t="n">
        <v>0</v>
      </c>
      <c r="K4174" t="n">
        <v>0</v>
      </c>
      <c r="L4174" t="n">
        <v>0</v>
      </c>
      <c r="M4174" t="n">
        <v>0</v>
      </c>
      <c r="N4174" t="n">
        <v>0</v>
      </c>
      <c r="O4174" t="n">
        <v>0</v>
      </c>
      <c r="P4174" t="n">
        <v>0</v>
      </c>
      <c r="Q4174" t="n">
        <v>0</v>
      </c>
      <c r="R4174" s="2" t="inlineStr"/>
    </row>
    <row r="4175" ht="15" customHeight="1">
      <c r="A4175" t="inlineStr">
        <is>
          <t>A 10718-2021</t>
        </is>
      </c>
      <c r="B4175" s="1" t="n">
        <v>44258</v>
      </c>
      <c r="C4175" s="1" t="n">
        <v>45810</v>
      </c>
      <c r="D4175" t="inlineStr">
        <is>
          <t>VÄRMLANDS LÄN</t>
        </is>
      </c>
      <c r="E4175" t="inlineStr">
        <is>
          <t>SÄFFLE</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10778-2021</t>
        </is>
      </c>
      <c r="B4176" s="1" t="n">
        <v>44259</v>
      </c>
      <c r="C4176" s="1" t="n">
        <v>45810</v>
      </c>
      <c r="D4176" t="inlineStr">
        <is>
          <t>VÄRMLANDS LÄN</t>
        </is>
      </c>
      <c r="E4176" t="inlineStr">
        <is>
          <t>TORSBY</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10750-2021</t>
        </is>
      </c>
      <c r="B4177" s="1" t="n">
        <v>44259</v>
      </c>
      <c r="C4177" s="1" t="n">
        <v>45810</v>
      </c>
      <c r="D4177" t="inlineStr">
        <is>
          <t>VÄRMLANDS LÄN</t>
        </is>
      </c>
      <c r="E4177" t="inlineStr">
        <is>
          <t>ARVIKA</t>
        </is>
      </c>
      <c r="F4177" t="inlineStr">
        <is>
          <t>Bergvik skog väst AB</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10774-2021</t>
        </is>
      </c>
      <c r="B4178" s="1" t="n">
        <v>44259</v>
      </c>
      <c r="C4178" s="1" t="n">
        <v>45810</v>
      </c>
      <c r="D4178" t="inlineStr">
        <is>
          <t>VÄRMLANDS LÄN</t>
        </is>
      </c>
      <c r="E4178" t="inlineStr">
        <is>
          <t>EDA</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10957-2021</t>
        </is>
      </c>
      <c r="B4179" s="1" t="n">
        <v>44260</v>
      </c>
      <c r="C4179" s="1" t="n">
        <v>45810</v>
      </c>
      <c r="D4179" t="inlineStr">
        <is>
          <t>VÄRMLANDS LÄN</t>
        </is>
      </c>
      <c r="E4179" t="inlineStr">
        <is>
          <t>SUNNE</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11015-2021</t>
        </is>
      </c>
      <c r="B4180" s="1" t="n">
        <v>44260</v>
      </c>
      <c r="C4180" s="1" t="n">
        <v>45810</v>
      </c>
      <c r="D4180" t="inlineStr">
        <is>
          <t>VÄRMLANDS LÄN</t>
        </is>
      </c>
      <c r="E4180" t="inlineStr">
        <is>
          <t>SÄFFLE</t>
        </is>
      </c>
      <c r="G4180" t="n">
        <v>3.5</v>
      </c>
      <c r="H4180" t="n">
        <v>0</v>
      </c>
      <c r="I4180" t="n">
        <v>0</v>
      </c>
      <c r="J4180" t="n">
        <v>0</v>
      </c>
      <c r="K4180" t="n">
        <v>0</v>
      </c>
      <c r="L4180" t="n">
        <v>0</v>
      </c>
      <c r="M4180" t="n">
        <v>0</v>
      </c>
      <c r="N4180" t="n">
        <v>0</v>
      </c>
      <c r="O4180" t="n">
        <v>0</v>
      </c>
      <c r="P4180" t="n">
        <v>0</v>
      </c>
      <c r="Q4180" t="n">
        <v>0</v>
      </c>
      <c r="R4180" s="2" t="inlineStr"/>
    </row>
    <row r="4181" ht="15" customHeight="1">
      <c r="A4181" t="inlineStr">
        <is>
          <t>A 11157-2021</t>
        </is>
      </c>
      <c r="B4181" s="1" t="n">
        <v>44261</v>
      </c>
      <c r="C4181" s="1" t="n">
        <v>45810</v>
      </c>
      <c r="D4181" t="inlineStr">
        <is>
          <t>VÄRMLANDS LÄN</t>
        </is>
      </c>
      <c r="E4181" t="inlineStr">
        <is>
          <t>ÅRJÄNG</t>
        </is>
      </c>
      <c r="G4181" t="n">
        <v>9</v>
      </c>
      <c r="H4181" t="n">
        <v>0</v>
      </c>
      <c r="I4181" t="n">
        <v>0</v>
      </c>
      <c r="J4181" t="n">
        <v>0</v>
      </c>
      <c r="K4181" t="n">
        <v>0</v>
      </c>
      <c r="L4181" t="n">
        <v>0</v>
      </c>
      <c r="M4181" t="n">
        <v>0</v>
      </c>
      <c r="N4181" t="n">
        <v>0</v>
      </c>
      <c r="O4181" t="n">
        <v>0</v>
      </c>
      <c r="P4181" t="n">
        <v>0</v>
      </c>
      <c r="Q4181" t="n">
        <v>0</v>
      </c>
      <c r="R4181" s="2" t="inlineStr"/>
    </row>
    <row r="4182" ht="15" customHeight="1">
      <c r="A4182" t="inlineStr">
        <is>
          <t>A 11156-2021</t>
        </is>
      </c>
      <c r="B4182" s="1" t="n">
        <v>44261</v>
      </c>
      <c r="C4182" s="1" t="n">
        <v>45810</v>
      </c>
      <c r="D4182" t="inlineStr">
        <is>
          <t>VÄRMLANDS LÄN</t>
        </is>
      </c>
      <c r="E4182" t="inlineStr">
        <is>
          <t>ÅRJÄNG</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11265-2021</t>
        </is>
      </c>
      <c r="B4183" s="1" t="n">
        <v>44263</v>
      </c>
      <c r="C4183" s="1" t="n">
        <v>45810</v>
      </c>
      <c r="D4183" t="inlineStr">
        <is>
          <t>VÄRMLANDS LÄN</t>
        </is>
      </c>
      <c r="E4183" t="inlineStr">
        <is>
          <t>ÅRJÄNG</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11285-2021</t>
        </is>
      </c>
      <c r="B4184" s="1" t="n">
        <v>44263</v>
      </c>
      <c r="C4184" s="1" t="n">
        <v>45810</v>
      </c>
      <c r="D4184" t="inlineStr">
        <is>
          <t>VÄRMLANDS LÄN</t>
        </is>
      </c>
      <c r="E4184" t="inlineStr">
        <is>
          <t>SÄFFLE</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11397-2021</t>
        </is>
      </c>
      <c r="B4185" s="1" t="n">
        <v>44263</v>
      </c>
      <c r="C4185" s="1" t="n">
        <v>45810</v>
      </c>
      <c r="D4185" t="inlineStr">
        <is>
          <t>VÄRMLANDS LÄN</t>
        </is>
      </c>
      <c r="E4185" t="inlineStr">
        <is>
          <t>SUNNE</t>
        </is>
      </c>
      <c r="G4185" t="n">
        <v>6.5</v>
      </c>
      <c r="H4185" t="n">
        <v>0</v>
      </c>
      <c r="I4185" t="n">
        <v>0</v>
      </c>
      <c r="J4185" t="n">
        <v>0</v>
      </c>
      <c r="K4185" t="n">
        <v>0</v>
      </c>
      <c r="L4185" t="n">
        <v>0</v>
      </c>
      <c r="M4185" t="n">
        <v>0</v>
      </c>
      <c r="N4185" t="n">
        <v>0</v>
      </c>
      <c r="O4185" t="n">
        <v>0</v>
      </c>
      <c r="P4185" t="n">
        <v>0</v>
      </c>
      <c r="Q4185" t="n">
        <v>0</v>
      </c>
      <c r="R4185" s="2" t="inlineStr"/>
    </row>
    <row r="4186" ht="15" customHeight="1">
      <c r="A4186" t="inlineStr">
        <is>
          <t>A 11512-2021</t>
        </is>
      </c>
      <c r="B4186" s="1" t="n">
        <v>44264</v>
      </c>
      <c r="C4186" s="1" t="n">
        <v>45810</v>
      </c>
      <c r="D4186" t="inlineStr">
        <is>
          <t>VÄRMLANDS LÄN</t>
        </is>
      </c>
      <c r="E4186" t="inlineStr">
        <is>
          <t>SUNNE</t>
        </is>
      </c>
      <c r="G4186" t="n">
        <v>5.6</v>
      </c>
      <c r="H4186" t="n">
        <v>0</v>
      </c>
      <c r="I4186" t="n">
        <v>0</v>
      </c>
      <c r="J4186" t="n">
        <v>0</v>
      </c>
      <c r="K4186" t="n">
        <v>0</v>
      </c>
      <c r="L4186" t="n">
        <v>0</v>
      </c>
      <c r="M4186" t="n">
        <v>0</v>
      </c>
      <c r="N4186" t="n">
        <v>0</v>
      </c>
      <c r="O4186" t="n">
        <v>0</v>
      </c>
      <c r="P4186" t="n">
        <v>0</v>
      </c>
      <c r="Q4186" t="n">
        <v>0</v>
      </c>
      <c r="R4186" s="2" t="inlineStr"/>
    </row>
    <row r="4187" ht="15" customHeight="1">
      <c r="A4187" t="inlineStr">
        <is>
          <t>A 11620-2021</t>
        </is>
      </c>
      <c r="B4187" s="1" t="n">
        <v>44264</v>
      </c>
      <c r="C4187" s="1" t="n">
        <v>45810</v>
      </c>
      <c r="D4187" t="inlineStr">
        <is>
          <t>VÄRMLANDS LÄN</t>
        </is>
      </c>
      <c r="E4187" t="inlineStr">
        <is>
          <t>SUNNE</t>
        </is>
      </c>
      <c r="G4187" t="n">
        <v>5.1</v>
      </c>
      <c r="H4187" t="n">
        <v>0</v>
      </c>
      <c r="I4187" t="n">
        <v>0</v>
      </c>
      <c r="J4187" t="n">
        <v>0</v>
      </c>
      <c r="K4187" t="n">
        <v>0</v>
      </c>
      <c r="L4187" t="n">
        <v>0</v>
      </c>
      <c r="M4187" t="n">
        <v>0</v>
      </c>
      <c r="N4187" t="n">
        <v>0</v>
      </c>
      <c r="O4187" t="n">
        <v>0</v>
      </c>
      <c r="P4187" t="n">
        <v>0</v>
      </c>
      <c r="Q4187" t="n">
        <v>0</v>
      </c>
      <c r="R4187" s="2" t="inlineStr"/>
    </row>
    <row r="4188" ht="15" customHeight="1">
      <c r="A4188" t="inlineStr">
        <is>
          <t>A 11513-2021</t>
        </is>
      </c>
      <c r="B4188" s="1" t="n">
        <v>44264</v>
      </c>
      <c r="C4188" s="1" t="n">
        <v>45810</v>
      </c>
      <c r="D4188" t="inlineStr">
        <is>
          <t>VÄRMLANDS LÄN</t>
        </is>
      </c>
      <c r="E4188" t="inlineStr">
        <is>
          <t>SUNNE</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11580-2021</t>
        </is>
      </c>
      <c r="B4189" s="1" t="n">
        <v>44264</v>
      </c>
      <c r="C4189" s="1" t="n">
        <v>45810</v>
      </c>
      <c r="D4189" t="inlineStr">
        <is>
          <t>VÄRMLANDS LÄN</t>
        </is>
      </c>
      <c r="E4189" t="inlineStr">
        <is>
          <t>SÄFFLE</t>
        </is>
      </c>
      <c r="G4189" t="n">
        <v>7.6</v>
      </c>
      <c r="H4189" t="n">
        <v>0</v>
      </c>
      <c r="I4189" t="n">
        <v>0</v>
      </c>
      <c r="J4189" t="n">
        <v>0</v>
      </c>
      <c r="K4189" t="n">
        <v>0</v>
      </c>
      <c r="L4189" t="n">
        <v>0</v>
      </c>
      <c r="M4189" t="n">
        <v>0</v>
      </c>
      <c r="N4189" t="n">
        <v>0</v>
      </c>
      <c r="O4189" t="n">
        <v>0</v>
      </c>
      <c r="P4189" t="n">
        <v>0</v>
      </c>
      <c r="Q4189" t="n">
        <v>0</v>
      </c>
      <c r="R4189" s="2" t="inlineStr"/>
    </row>
    <row r="4190" ht="15" customHeight="1">
      <c r="A4190" t="inlineStr">
        <is>
          <t>A 11577-2021</t>
        </is>
      </c>
      <c r="B4190" s="1" t="n">
        <v>44264</v>
      </c>
      <c r="C4190" s="1" t="n">
        <v>45810</v>
      </c>
      <c r="D4190" t="inlineStr">
        <is>
          <t>VÄRMLANDS LÄN</t>
        </is>
      </c>
      <c r="E4190" t="inlineStr">
        <is>
          <t>KARLSTAD</t>
        </is>
      </c>
      <c r="F4190" t="inlineStr">
        <is>
          <t>Kommuner</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11634-2021</t>
        </is>
      </c>
      <c r="B4191" s="1" t="n">
        <v>44264</v>
      </c>
      <c r="C4191" s="1" t="n">
        <v>45810</v>
      </c>
      <c r="D4191" t="inlineStr">
        <is>
          <t>VÄRMLANDS LÄN</t>
        </is>
      </c>
      <c r="E4191" t="inlineStr">
        <is>
          <t>SUNNE</t>
        </is>
      </c>
      <c r="G4191" t="n">
        <v>3.9</v>
      </c>
      <c r="H4191" t="n">
        <v>0</v>
      </c>
      <c r="I4191" t="n">
        <v>0</v>
      </c>
      <c r="J4191" t="n">
        <v>0</v>
      </c>
      <c r="K4191" t="n">
        <v>0</v>
      </c>
      <c r="L4191" t="n">
        <v>0</v>
      </c>
      <c r="M4191" t="n">
        <v>0</v>
      </c>
      <c r="N4191" t="n">
        <v>0</v>
      </c>
      <c r="O4191" t="n">
        <v>0</v>
      </c>
      <c r="P4191" t="n">
        <v>0</v>
      </c>
      <c r="Q4191" t="n">
        <v>0</v>
      </c>
      <c r="R4191" s="2" t="inlineStr"/>
    </row>
    <row r="4192" ht="15" customHeight="1">
      <c r="A4192" t="inlineStr">
        <is>
          <t>A 11632-2021</t>
        </is>
      </c>
      <c r="B4192" s="1" t="n">
        <v>44264</v>
      </c>
      <c r="C4192" s="1" t="n">
        <v>45810</v>
      </c>
      <c r="D4192" t="inlineStr">
        <is>
          <t>VÄRMLANDS LÄN</t>
        </is>
      </c>
      <c r="E4192" t="inlineStr">
        <is>
          <t>SUNNE</t>
        </is>
      </c>
      <c r="G4192" t="n">
        <v>11.7</v>
      </c>
      <c r="H4192" t="n">
        <v>0</v>
      </c>
      <c r="I4192" t="n">
        <v>0</v>
      </c>
      <c r="J4192" t="n">
        <v>0</v>
      </c>
      <c r="K4192" t="n">
        <v>0</v>
      </c>
      <c r="L4192" t="n">
        <v>0</v>
      </c>
      <c r="M4192" t="n">
        <v>0</v>
      </c>
      <c r="N4192" t="n">
        <v>0</v>
      </c>
      <c r="O4192" t="n">
        <v>0</v>
      </c>
      <c r="P4192" t="n">
        <v>0</v>
      </c>
      <c r="Q4192" t="n">
        <v>0</v>
      </c>
      <c r="R4192" s="2" t="inlineStr"/>
    </row>
    <row r="4193" ht="15" customHeight="1">
      <c r="A4193" t="inlineStr">
        <is>
          <t>A 11695-2021</t>
        </is>
      </c>
      <c r="B4193" s="1" t="n">
        <v>44264</v>
      </c>
      <c r="C4193" s="1" t="n">
        <v>45810</v>
      </c>
      <c r="D4193" t="inlineStr">
        <is>
          <t>VÄRMLANDS LÄN</t>
        </is>
      </c>
      <c r="E4193" t="inlineStr">
        <is>
          <t>TORSBY</t>
        </is>
      </c>
      <c r="G4193" t="n">
        <v>3</v>
      </c>
      <c r="H4193" t="n">
        <v>0</v>
      </c>
      <c r="I4193" t="n">
        <v>0</v>
      </c>
      <c r="J4193" t="n">
        <v>0</v>
      </c>
      <c r="K4193" t="n">
        <v>0</v>
      </c>
      <c r="L4193" t="n">
        <v>0</v>
      </c>
      <c r="M4193" t="n">
        <v>0</v>
      </c>
      <c r="N4193" t="n">
        <v>0</v>
      </c>
      <c r="O4193" t="n">
        <v>0</v>
      </c>
      <c r="P4193" t="n">
        <v>0</v>
      </c>
      <c r="Q4193" t="n">
        <v>0</v>
      </c>
      <c r="R4193" s="2" t="inlineStr"/>
    </row>
    <row r="4194" ht="15" customHeight="1">
      <c r="A4194" t="inlineStr">
        <is>
          <t>A 11783-2021</t>
        </is>
      </c>
      <c r="B4194" s="1" t="n">
        <v>44265</v>
      </c>
      <c r="C4194" s="1" t="n">
        <v>45810</v>
      </c>
      <c r="D4194" t="inlineStr">
        <is>
          <t>VÄRMLANDS LÄN</t>
        </is>
      </c>
      <c r="E4194" t="inlineStr">
        <is>
          <t>GRUMS</t>
        </is>
      </c>
      <c r="F4194" t="inlineStr">
        <is>
          <t>Bergvik skog väst AB</t>
        </is>
      </c>
      <c r="G4194" t="n">
        <v>9.6</v>
      </c>
      <c r="H4194" t="n">
        <v>0</v>
      </c>
      <c r="I4194" t="n">
        <v>0</v>
      </c>
      <c r="J4194" t="n">
        <v>0</v>
      </c>
      <c r="K4194" t="n">
        <v>0</v>
      </c>
      <c r="L4194" t="n">
        <v>0</v>
      </c>
      <c r="M4194" t="n">
        <v>0</v>
      </c>
      <c r="N4194" t="n">
        <v>0</v>
      </c>
      <c r="O4194" t="n">
        <v>0</v>
      </c>
      <c r="P4194" t="n">
        <v>0</v>
      </c>
      <c r="Q4194" t="n">
        <v>0</v>
      </c>
      <c r="R4194" s="2" t="inlineStr"/>
    </row>
    <row r="4195" ht="15" customHeight="1">
      <c r="A4195" t="inlineStr">
        <is>
          <t>A 11721-2021</t>
        </is>
      </c>
      <c r="B4195" s="1" t="n">
        <v>44265</v>
      </c>
      <c r="C4195" s="1" t="n">
        <v>45810</v>
      </c>
      <c r="D4195" t="inlineStr">
        <is>
          <t>VÄRMLANDS LÄN</t>
        </is>
      </c>
      <c r="E4195" t="inlineStr">
        <is>
          <t>SUNNE</t>
        </is>
      </c>
      <c r="F4195" t="inlineStr">
        <is>
          <t>Övriga Aktiebolag</t>
        </is>
      </c>
      <c r="G4195" t="n">
        <v>12.9</v>
      </c>
      <c r="H4195" t="n">
        <v>0</v>
      </c>
      <c r="I4195" t="n">
        <v>0</v>
      </c>
      <c r="J4195" t="n">
        <v>0</v>
      </c>
      <c r="K4195" t="n">
        <v>0</v>
      </c>
      <c r="L4195" t="n">
        <v>0</v>
      </c>
      <c r="M4195" t="n">
        <v>0</v>
      </c>
      <c r="N4195" t="n">
        <v>0</v>
      </c>
      <c r="O4195" t="n">
        <v>0</v>
      </c>
      <c r="P4195" t="n">
        <v>0</v>
      </c>
      <c r="Q4195" t="n">
        <v>0</v>
      </c>
      <c r="R4195" s="2" t="inlineStr"/>
    </row>
    <row r="4196" ht="15" customHeight="1">
      <c r="A4196" t="inlineStr">
        <is>
          <t>A 11785-2021</t>
        </is>
      </c>
      <c r="B4196" s="1" t="n">
        <v>44265</v>
      </c>
      <c r="C4196" s="1" t="n">
        <v>45810</v>
      </c>
      <c r="D4196" t="inlineStr">
        <is>
          <t>VÄRMLANDS LÄN</t>
        </is>
      </c>
      <c r="E4196" t="inlineStr">
        <is>
          <t>KIL</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11897-2021</t>
        </is>
      </c>
      <c r="B4197" s="1" t="n">
        <v>44265</v>
      </c>
      <c r="C4197" s="1" t="n">
        <v>45810</v>
      </c>
      <c r="D4197" t="inlineStr">
        <is>
          <t>VÄRMLANDS LÄN</t>
        </is>
      </c>
      <c r="E4197" t="inlineStr">
        <is>
          <t>ÅRJÄNG</t>
        </is>
      </c>
      <c r="G4197" t="n">
        <v>8.6</v>
      </c>
      <c r="H4197" t="n">
        <v>0</v>
      </c>
      <c r="I4197" t="n">
        <v>0</v>
      </c>
      <c r="J4197" t="n">
        <v>0</v>
      </c>
      <c r="K4197" t="n">
        <v>0</v>
      </c>
      <c r="L4197" t="n">
        <v>0</v>
      </c>
      <c r="M4197" t="n">
        <v>0</v>
      </c>
      <c r="N4197" t="n">
        <v>0</v>
      </c>
      <c r="O4197" t="n">
        <v>0</v>
      </c>
      <c r="P4197" t="n">
        <v>0</v>
      </c>
      <c r="Q4197" t="n">
        <v>0</v>
      </c>
      <c r="R4197" s="2" t="inlineStr"/>
    </row>
    <row r="4198" ht="15" customHeight="1">
      <c r="A4198" t="inlineStr">
        <is>
          <t>A 11921-2021</t>
        </is>
      </c>
      <c r="B4198" s="1" t="n">
        <v>44265</v>
      </c>
      <c r="C4198" s="1" t="n">
        <v>45810</v>
      </c>
      <c r="D4198" t="inlineStr">
        <is>
          <t>VÄRMLANDS LÄN</t>
        </is>
      </c>
      <c r="E4198" t="inlineStr">
        <is>
          <t>KRISTINEHAMN</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11947-2021</t>
        </is>
      </c>
      <c r="B4199" s="1" t="n">
        <v>44265</v>
      </c>
      <c r="C4199" s="1" t="n">
        <v>45810</v>
      </c>
      <c r="D4199" t="inlineStr">
        <is>
          <t>VÄRMLANDS LÄN</t>
        </is>
      </c>
      <c r="E4199" t="inlineStr">
        <is>
          <t>TORSBY</t>
        </is>
      </c>
      <c r="G4199" t="n">
        <v>2.1</v>
      </c>
      <c r="H4199" t="n">
        <v>0</v>
      </c>
      <c r="I4199" t="n">
        <v>0</v>
      </c>
      <c r="J4199" t="n">
        <v>0</v>
      </c>
      <c r="K4199" t="n">
        <v>0</v>
      </c>
      <c r="L4199" t="n">
        <v>0</v>
      </c>
      <c r="M4199" t="n">
        <v>0</v>
      </c>
      <c r="N4199" t="n">
        <v>0</v>
      </c>
      <c r="O4199" t="n">
        <v>0</v>
      </c>
      <c r="P4199" t="n">
        <v>0</v>
      </c>
      <c r="Q4199" t="n">
        <v>0</v>
      </c>
      <c r="R4199" s="2" t="inlineStr"/>
    </row>
    <row r="4200" ht="15" customHeight="1">
      <c r="A4200" t="inlineStr">
        <is>
          <t>A 11945-2021</t>
        </is>
      </c>
      <c r="B4200" s="1" t="n">
        <v>44266</v>
      </c>
      <c r="C4200" s="1" t="n">
        <v>45810</v>
      </c>
      <c r="D4200" t="inlineStr">
        <is>
          <t>VÄRMLANDS LÄN</t>
        </is>
      </c>
      <c r="E4200" t="inlineStr">
        <is>
          <t>ARVIKA</t>
        </is>
      </c>
      <c r="F4200" t="inlineStr">
        <is>
          <t>Bergvik skog väst AB</t>
        </is>
      </c>
      <c r="G4200" t="n">
        <v>4.6</v>
      </c>
      <c r="H4200" t="n">
        <v>0</v>
      </c>
      <c r="I4200" t="n">
        <v>0</v>
      </c>
      <c r="J4200" t="n">
        <v>0</v>
      </c>
      <c r="K4200" t="n">
        <v>0</v>
      </c>
      <c r="L4200" t="n">
        <v>0</v>
      </c>
      <c r="M4200" t="n">
        <v>0</v>
      </c>
      <c r="N4200" t="n">
        <v>0</v>
      </c>
      <c r="O4200" t="n">
        <v>0</v>
      </c>
      <c r="P4200" t="n">
        <v>0</v>
      </c>
      <c r="Q4200" t="n">
        <v>0</v>
      </c>
      <c r="R4200" s="2" t="inlineStr"/>
    </row>
    <row r="4201" ht="15" customHeight="1">
      <c r="A4201" t="inlineStr">
        <is>
          <t>A 12055-2021</t>
        </is>
      </c>
      <c r="B4201" s="1" t="n">
        <v>44266</v>
      </c>
      <c r="C4201" s="1" t="n">
        <v>45810</v>
      </c>
      <c r="D4201" t="inlineStr">
        <is>
          <t>VÄRMLANDS LÄN</t>
        </is>
      </c>
      <c r="E4201" t="inlineStr">
        <is>
          <t>SÄFFLE</t>
        </is>
      </c>
      <c r="G4201" t="n">
        <v>3.1</v>
      </c>
      <c r="H4201" t="n">
        <v>0</v>
      </c>
      <c r="I4201" t="n">
        <v>0</v>
      </c>
      <c r="J4201" t="n">
        <v>0</v>
      </c>
      <c r="K4201" t="n">
        <v>0</v>
      </c>
      <c r="L4201" t="n">
        <v>0</v>
      </c>
      <c r="M4201" t="n">
        <v>0</v>
      </c>
      <c r="N4201" t="n">
        <v>0</v>
      </c>
      <c r="O4201" t="n">
        <v>0</v>
      </c>
      <c r="P4201" t="n">
        <v>0</v>
      </c>
      <c r="Q4201" t="n">
        <v>0</v>
      </c>
      <c r="R4201" s="2" t="inlineStr"/>
    </row>
    <row r="4202" ht="15" customHeight="1">
      <c r="A4202" t="inlineStr">
        <is>
          <t>A 11981-2021</t>
        </is>
      </c>
      <c r="B4202" s="1" t="n">
        <v>44266</v>
      </c>
      <c r="C4202" s="1" t="n">
        <v>45810</v>
      </c>
      <c r="D4202" t="inlineStr">
        <is>
          <t>VÄRMLANDS LÄN</t>
        </is>
      </c>
      <c r="E4202" t="inlineStr">
        <is>
          <t>STORFORS</t>
        </is>
      </c>
      <c r="G4202" t="n">
        <v>4.2</v>
      </c>
      <c r="H4202" t="n">
        <v>0</v>
      </c>
      <c r="I4202" t="n">
        <v>0</v>
      </c>
      <c r="J4202" t="n">
        <v>0</v>
      </c>
      <c r="K4202" t="n">
        <v>0</v>
      </c>
      <c r="L4202" t="n">
        <v>0</v>
      </c>
      <c r="M4202" t="n">
        <v>0</v>
      </c>
      <c r="N4202" t="n">
        <v>0</v>
      </c>
      <c r="O4202" t="n">
        <v>0</v>
      </c>
      <c r="P4202" t="n">
        <v>0</v>
      </c>
      <c r="Q4202" t="n">
        <v>0</v>
      </c>
      <c r="R4202" s="2" t="inlineStr"/>
    </row>
    <row r="4203" ht="15" customHeight="1">
      <c r="A4203" t="inlineStr">
        <is>
          <t>A 12137-2021</t>
        </is>
      </c>
      <c r="B4203" s="1" t="n">
        <v>44266</v>
      </c>
      <c r="C4203" s="1" t="n">
        <v>45810</v>
      </c>
      <c r="D4203" t="inlineStr">
        <is>
          <t>VÄRMLANDS LÄN</t>
        </is>
      </c>
      <c r="E4203" t="inlineStr">
        <is>
          <t>ÅRJÄNG</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12141-2021</t>
        </is>
      </c>
      <c r="B4204" s="1" t="n">
        <v>44266</v>
      </c>
      <c r="C4204" s="1" t="n">
        <v>45810</v>
      </c>
      <c r="D4204" t="inlineStr">
        <is>
          <t>VÄRMLANDS LÄN</t>
        </is>
      </c>
      <c r="E4204" t="inlineStr">
        <is>
          <t>HAGFORS</t>
        </is>
      </c>
      <c r="F4204" t="inlineStr">
        <is>
          <t>Bergvik skog väst AB</t>
        </is>
      </c>
      <c r="G4204" t="n">
        <v>4.5</v>
      </c>
      <c r="H4204" t="n">
        <v>0</v>
      </c>
      <c r="I4204" t="n">
        <v>0</v>
      </c>
      <c r="J4204" t="n">
        <v>0</v>
      </c>
      <c r="K4204" t="n">
        <v>0</v>
      </c>
      <c r="L4204" t="n">
        <v>0</v>
      </c>
      <c r="M4204" t="n">
        <v>0</v>
      </c>
      <c r="N4204" t="n">
        <v>0</v>
      </c>
      <c r="O4204" t="n">
        <v>0</v>
      </c>
      <c r="P4204" t="n">
        <v>0</v>
      </c>
      <c r="Q4204" t="n">
        <v>0</v>
      </c>
      <c r="R4204" s="2" t="inlineStr"/>
    </row>
    <row r="4205" ht="15" customHeight="1">
      <c r="A4205" t="inlineStr">
        <is>
          <t>A 12023-2021</t>
        </is>
      </c>
      <c r="B4205" s="1" t="n">
        <v>44266</v>
      </c>
      <c r="C4205" s="1" t="n">
        <v>45810</v>
      </c>
      <c r="D4205" t="inlineStr">
        <is>
          <t>VÄRMLANDS LÄN</t>
        </is>
      </c>
      <c r="E4205" t="inlineStr">
        <is>
          <t>STORFORS</t>
        </is>
      </c>
      <c r="G4205" t="n">
        <v>0.4</v>
      </c>
      <c r="H4205" t="n">
        <v>0</v>
      </c>
      <c r="I4205" t="n">
        <v>0</v>
      </c>
      <c r="J4205" t="n">
        <v>0</v>
      </c>
      <c r="K4205" t="n">
        <v>0</v>
      </c>
      <c r="L4205" t="n">
        <v>0</v>
      </c>
      <c r="M4205" t="n">
        <v>0</v>
      </c>
      <c r="N4205" t="n">
        <v>0</v>
      </c>
      <c r="O4205" t="n">
        <v>0</v>
      </c>
      <c r="P4205" t="n">
        <v>0</v>
      </c>
      <c r="Q4205" t="n">
        <v>0</v>
      </c>
      <c r="R4205" s="2" t="inlineStr"/>
    </row>
    <row r="4206" ht="15" customHeight="1">
      <c r="A4206" t="inlineStr">
        <is>
          <t>A 12215-2021</t>
        </is>
      </c>
      <c r="B4206" s="1" t="n">
        <v>44266</v>
      </c>
      <c r="C4206" s="1" t="n">
        <v>45810</v>
      </c>
      <c r="D4206" t="inlineStr">
        <is>
          <t>VÄRMLANDS LÄN</t>
        </is>
      </c>
      <c r="E4206" t="inlineStr">
        <is>
          <t>KIL</t>
        </is>
      </c>
      <c r="F4206" t="inlineStr">
        <is>
          <t>Kommuner</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12424-2021</t>
        </is>
      </c>
      <c r="B4207" s="1" t="n">
        <v>44266</v>
      </c>
      <c r="C4207" s="1" t="n">
        <v>45810</v>
      </c>
      <c r="D4207" t="inlineStr">
        <is>
          <t>VÄRMLANDS LÄN</t>
        </is>
      </c>
      <c r="E4207" t="inlineStr">
        <is>
          <t>KIL</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12352-2021</t>
        </is>
      </c>
      <c r="B4208" s="1" t="n">
        <v>44267</v>
      </c>
      <c r="C4208" s="1" t="n">
        <v>45810</v>
      </c>
      <c r="D4208" t="inlineStr">
        <is>
          <t>VÄRMLANDS LÄN</t>
        </is>
      </c>
      <c r="E4208" t="inlineStr">
        <is>
          <t>ÅRJÄNG</t>
        </is>
      </c>
      <c r="G4208" t="n">
        <v>7.1</v>
      </c>
      <c r="H4208" t="n">
        <v>0</v>
      </c>
      <c r="I4208" t="n">
        <v>0</v>
      </c>
      <c r="J4208" t="n">
        <v>0</v>
      </c>
      <c r="K4208" t="n">
        <v>0</v>
      </c>
      <c r="L4208" t="n">
        <v>0</v>
      </c>
      <c r="M4208" t="n">
        <v>0</v>
      </c>
      <c r="N4208" t="n">
        <v>0</v>
      </c>
      <c r="O4208" t="n">
        <v>0</v>
      </c>
      <c r="P4208" t="n">
        <v>0</v>
      </c>
      <c r="Q4208" t="n">
        <v>0</v>
      </c>
      <c r="R4208" s="2" t="inlineStr"/>
    </row>
    <row r="4209" ht="15" customHeight="1">
      <c r="A4209" t="inlineStr">
        <is>
          <t>A 12389-2021</t>
        </is>
      </c>
      <c r="B4209" s="1" t="n">
        <v>44267</v>
      </c>
      <c r="C4209" s="1" t="n">
        <v>45810</v>
      </c>
      <c r="D4209" t="inlineStr">
        <is>
          <t>VÄRMLANDS LÄN</t>
        </is>
      </c>
      <c r="E4209" t="inlineStr">
        <is>
          <t>GRUMS</t>
        </is>
      </c>
      <c r="G4209" t="n">
        <v>9.4</v>
      </c>
      <c r="H4209" t="n">
        <v>0</v>
      </c>
      <c r="I4209" t="n">
        <v>0</v>
      </c>
      <c r="J4209" t="n">
        <v>0</v>
      </c>
      <c r="K4209" t="n">
        <v>0</v>
      </c>
      <c r="L4209" t="n">
        <v>0</v>
      </c>
      <c r="M4209" t="n">
        <v>0</v>
      </c>
      <c r="N4209" t="n">
        <v>0</v>
      </c>
      <c r="O4209" t="n">
        <v>0</v>
      </c>
      <c r="P4209" t="n">
        <v>0</v>
      </c>
      <c r="Q4209" t="n">
        <v>0</v>
      </c>
      <c r="R4209" s="2" t="inlineStr"/>
    </row>
    <row r="4210" ht="15" customHeight="1">
      <c r="A4210" t="inlineStr">
        <is>
          <t>A 12527-2021</t>
        </is>
      </c>
      <c r="B4210" s="1" t="n">
        <v>44269</v>
      </c>
      <c r="C4210" s="1" t="n">
        <v>45810</v>
      </c>
      <c r="D4210" t="inlineStr">
        <is>
          <t>VÄRMLANDS LÄN</t>
        </is>
      </c>
      <c r="E4210" t="inlineStr">
        <is>
          <t>FORSHAGA</t>
        </is>
      </c>
      <c r="F4210" t="inlineStr">
        <is>
          <t>Bergvik skog väst AB</t>
        </is>
      </c>
      <c r="G4210" t="n">
        <v>18.8</v>
      </c>
      <c r="H4210" t="n">
        <v>0</v>
      </c>
      <c r="I4210" t="n">
        <v>0</v>
      </c>
      <c r="J4210" t="n">
        <v>0</v>
      </c>
      <c r="K4210" t="n">
        <v>0</v>
      </c>
      <c r="L4210" t="n">
        <v>0</v>
      </c>
      <c r="M4210" t="n">
        <v>0</v>
      </c>
      <c r="N4210" t="n">
        <v>0</v>
      </c>
      <c r="O4210" t="n">
        <v>0</v>
      </c>
      <c r="P4210" t="n">
        <v>0</v>
      </c>
      <c r="Q4210" t="n">
        <v>0</v>
      </c>
      <c r="R4210" s="2" t="inlineStr"/>
    </row>
    <row r="4211" ht="15" customHeight="1">
      <c r="A4211" t="inlineStr">
        <is>
          <t>A 12533-2021</t>
        </is>
      </c>
      <c r="B4211" s="1" t="n">
        <v>44269</v>
      </c>
      <c r="C4211" s="1" t="n">
        <v>45810</v>
      </c>
      <c r="D4211" t="inlineStr">
        <is>
          <t>VÄRMLANDS LÄN</t>
        </is>
      </c>
      <c r="E4211" t="inlineStr">
        <is>
          <t>ARVIKA</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12529-2021</t>
        </is>
      </c>
      <c r="B4212" s="1" t="n">
        <v>44269</v>
      </c>
      <c r="C4212" s="1" t="n">
        <v>45810</v>
      </c>
      <c r="D4212" t="inlineStr">
        <is>
          <t>VÄRMLANDS LÄN</t>
        </is>
      </c>
      <c r="E4212" t="inlineStr">
        <is>
          <t>ARVIKA</t>
        </is>
      </c>
      <c r="F4212" t="inlineStr">
        <is>
          <t>Bergvik skog väst AB</t>
        </is>
      </c>
      <c r="G4212" t="n">
        <v>4.2</v>
      </c>
      <c r="H4212" t="n">
        <v>0</v>
      </c>
      <c r="I4212" t="n">
        <v>0</v>
      </c>
      <c r="J4212" t="n">
        <v>0</v>
      </c>
      <c r="K4212" t="n">
        <v>0</v>
      </c>
      <c r="L4212" t="n">
        <v>0</v>
      </c>
      <c r="M4212" t="n">
        <v>0</v>
      </c>
      <c r="N4212" t="n">
        <v>0</v>
      </c>
      <c r="O4212" t="n">
        <v>0</v>
      </c>
      <c r="P4212" t="n">
        <v>0</v>
      </c>
      <c r="Q4212" t="n">
        <v>0</v>
      </c>
      <c r="R4212" s="2" t="inlineStr"/>
    </row>
    <row r="4213" ht="15" customHeight="1">
      <c r="A4213" t="inlineStr">
        <is>
          <t>A 12542-2021</t>
        </is>
      </c>
      <c r="B4213" s="1" t="n">
        <v>44270</v>
      </c>
      <c r="C4213" s="1" t="n">
        <v>45810</v>
      </c>
      <c r="D4213" t="inlineStr">
        <is>
          <t>VÄRMLANDS LÄN</t>
        </is>
      </c>
      <c r="E4213" t="inlineStr">
        <is>
          <t>KRISTINEHAMN</t>
        </is>
      </c>
      <c r="G4213" t="n">
        <v>6.3</v>
      </c>
      <c r="H4213" t="n">
        <v>0</v>
      </c>
      <c r="I4213" t="n">
        <v>0</v>
      </c>
      <c r="J4213" t="n">
        <v>0</v>
      </c>
      <c r="K4213" t="n">
        <v>0</v>
      </c>
      <c r="L4213" t="n">
        <v>0</v>
      </c>
      <c r="M4213" t="n">
        <v>0</v>
      </c>
      <c r="N4213" t="n">
        <v>0</v>
      </c>
      <c r="O4213" t="n">
        <v>0</v>
      </c>
      <c r="P4213" t="n">
        <v>0</v>
      </c>
      <c r="Q4213" t="n">
        <v>0</v>
      </c>
      <c r="R4213" s="2" t="inlineStr"/>
    </row>
    <row r="4214" ht="15" customHeight="1">
      <c r="A4214" t="inlineStr">
        <is>
          <t>A 12635-2021</t>
        </is>
      </c>
      <c r="B4214" s="1" t="n">
        <v>44270</v>
      </c>
      <c r="C4214" s="1" t="n">
        <v>45810</v>
      </c>
      <c r="D4214" t="inlineStr">
        <is>
          <t>VÄRMLANDS LÄN</t>
        </is>
      </c>
      <c r="E4214" t="inlineStr">
        <is>
          <t>SUNNE</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12659-2021</t>
        </is>
      </c>
      <c r="B4215" s="1" t="n">
        <v>44270</v>
      </c>
      <c r="C4215" s="1" t="n">
        <v>45810</v>
      </c>
      <c r="D4215" t="inlineStr">
        <is>
          <t>VÄRMLANDS LÄN</t>
        </is>
      </c>
      <c r="E4215" t="inlineStr">
        <is>
          <t>ARVIKA</t>
        </is>
      </c>
      <c r="G4215" t="n">
        <v>2.7</v>
      </c>
      <c r="H4215" t="n">
        <v>0</v>
      </c>
      <c r="I4215" t="n">
        <v>0</v>
      </c>
      <c r="J4215" t="n">
        <v>0</v>
      </c>
      <c r="K4215" t="n">
        <v>0</v>
      </c>
      <c r="L4215" t="n">
        <v>0</v>
      </c>
      <c r="M4215" t="n">
        <v>0</v>
      </c>
      <c r="N4215" t="n">
        <v>0</v>
      </c>
      <c r="O4215" t="n">
        <v>0</v>
      </c>
      <c r="P4215" t="n">
        <v>0</v>
      </c>
      <c r="Q4215" t="n">
        <v>0</v>
      </c>
      <c r="R4215" s="2" t="inlineStr"/>
    </row>
    <row r="4216" ht="15" customHeight="1">
      <c r="A4216" t="inlineStr">
        <is>
          <t>A 12728-2021</t>
        </is>
      </c>
      <c r="B4216" s="1" t="n">
        <v>44270</v>
      </c>
      <c r="C4216" s="1" t="n">
        <v>45810</v>
      </c>
      <c r="D4216" t="inlineStr">
        <is>
          <t>VÄRMLANDS LÄN</t>
        </is>
      </c>
      <c r="E4216" t="inlineStr">
        <is>
          <t>KIL</t>
        </is>
      </c>
      <c r="F4216" t="inlineStr">
        <is>
          <t>Kommuner</t>
        </is>
      </c>
      <c r="G4216" t="n">
        <v>2.5</v>
      </c>
      <c r="H4216" t="n">
        <v>0</v>
      </c>
      <c r="I4216" t="n">
        <v>0</v>
      </c>
      <c r="J4216" t="n">
        <v>0</v>
      </c>
      <c r="K4216" t="n">
        <v>0</v>
      </c>
      <c r="L4216" t="n">
        <v>0</v>
      </c>
      <c r="M4216" t="n">
        <v>0</v>
      </c>
      <c r="N4216" t="n">
        <v>0</v>
      </c>
      <c r="O4216" t="n">
        <v>0</v>
      </c>
      <c r="P4216" t="n">
        <v>0</v>
      </c>
      <c r="Q4216" t="n">
        <v>0</v>
      </c>
      <c r="R4216" s="2" t="inlineStr"/>
    </row>
    <row r="4217" ht="15" customHeight="1">
      <c r="A4217" t="inlineStr">
        <is>
          <t>A 12822-2021</t>
        </is>
      </c>
      <c r="B4217" s="1" t="n">
        <v>44270</v>
      </c>
      <c r="C4217" s="1" t="n">
        <v>45810</v>
      </c>
      <c r="D4217" t="inlineStr">
        <is>
          <t>VÄRMLANDS LÄN</t>
        </is>
      </c>
      <c r="E4217" t="inlineStr">
        <is>
          <t>SÄFFLE</t>
        </is>
      </c>
      <c r="G4217" t="n">
        <v>26.3</v>
      </c>
      <c r="H4217" t="n">
        <v>0</v>
      </c>
      <c r="I4217" t="n">
        <v>0</v>
      </c>
      <c r="J4217" t="n">
        <v>0</v>
      </c>
      <c r="K4217" t="n">
        <v>0</v>
      </c>
      <c r="L4217" t="n">
        <v>0</v>
      </c>
      <c r="M4217" t="n">
        <v>0</v>
      </c>
      <c r="N4217" t="n">
        <v>0</v>
      </c>
      <c r="O4217" t="n">
        <v>0</v>
      </c>
      <c r="P4217" t="n">
        <v>0</v>
      </c>
      <c r="Q4217" t="n">
        <v>0</v>
      </c>
      <c r="R4217" s="2" t="inlineStr"/>
    </row>
    <row r="4218" ht="15" customHeight="1">
      <c r="A4218" t="inlineStr">
        <is>
          <t>A 12792-2021</t>
        </is>
      </c>
      <c r="B4218" s="1" t="n">
        <v>44270</v>
      </c>
      <c r="C4218" s="1" t="n">
        <v>45810</v>
      </c>
      <c r="D4218" t="inlineStr">
        <is>
          <t>VÄRMLANDS LÄN</t>
        </is>
      </c>
      <c r="E4218" t="inlineStr">
        <is>
          <t>SUNNE</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12541-2021</t>
        </is>
      </c>
      <c r="B4219" s="1" t="n">
        <v>44270</v>
      </c>
      <c r="C4219" s="1" t="n">
        <v>45810</v>
      </c>
      <c r="D4219" t="inlineStr">
        <is>
          <t>VÄRMLANDS LÄN</t>
        </is>
      </c>
      <c r="E4219" t="inlineStr">
        <is>
          <t>KRISTINEHAMN</t>
        </is>
      </c>
      <c r="G4219" t="n">
        <v>10.1</v>
      </c>
      <c r="H4219" t="n">
        <v>0</v>
      </c>
      <c r="I4219" t="n">
        <v>0</v>
      </c>
      <c r="J4219" t="n">
        <v>0</v>
      </c>
      <c r="K4219" t="n">
        <v>0</v>
      </c>
      <c r="L4219" t="n">
        <v>0</v>
      </c>
      <c r="M4219" t="n">
        <v>0</v>
      </c>
      <c r="N4219" t="n">
        <v>0</v>
      </c>
      <c r="O4219" t="n">
        <v>0</v>
      </c>
      <c r="P4219" t="n">
        <v>0</v>
      </c>
      <c r="Q4219" t="n">
        <v>0</v>
      </c>
      <c r="R4219" s="2" t="inlineStr"/>
    </row>
    <row r="4220" ht="15" customHeight="1">
      <c r="A4220" t="inlineStr">
        <is>
          <t>A 12853-2021</t>
        </is>
      </c>
      <c r="B4220" s="1" t="n">
        <v>44271</v>
      </c>
      <c r="C4220" s="1" t="n">
        <v>45810</v>
      </c>
      <c r="D4220" t="inlineStr">
        <is>
          <t>VÄRMLANDS LÄN</t>
        </is>
      </c>
      <c r="E4220" t="inlineStr">
        <is>
          <t>ÅRJÄNG</t>
        </is>
      </c>
      <c r="G4220" t="n">
        <v>2.1</v>
      </c>
      <c r="H4220" t="n">
        <v>0</v>
      </c>
      <c r="I4220" t="n">
        <v>0</v>
      </c>
      <c r="J4220" t="n">
        <v>0</v>
      </c>
      <c r="K4220" t="n">
        <v>0</v>
      </c>
      <c r="L4220" t="n">
        <v>0</v>
      </c>
      <c r="M4220" t="n">
        <v>0</v>
      </c>
      <c r="N4220" t="n">
        <v>0</v>
      </c>
      <c r="O4220" t="n">
        <v>0</v>
      </c>
      <c r="P4220" t="n">
        <v>0</v>
      </c>
      <c r="Q4220" t="n">
        <v>0</v>
      </c>
      <c r="R4220" s="2" t="inlineStr"/>
    </row>
    <row r="4221" ht="15" customHeight="1">
      <c r="A4221" t="inlineStr">
        <is>
          <t>A 13013-2021</t>
        </is>
      </c>
      <c r="B4221" s="1" t="n">
        <v>44271</v>
      </c>
      <c r="C4221" s="1" t="n">
        <v>45810</v>
      </c>
      <c r="D4221" t="inlineStr">
        <is>
          <t>VÄRMLANDS LÄN</t>
        </is>
      </c>
      <c r="E4221" t="inlineStr">
        <is>
          <t>TORSBY</t>
        </is>
      </c>
      <c r="G4221" t="n">
        <v>7.7</v>
      </c>
      <c r="H4221" t="n">
        <v>0</v>
      </c>
      <c r="I4221" t="n">
        <v>0</v>
      </c>
      <c r="J4221" t="n">
        <v>0</v>
      </c>
      <c r="K4221" t="n">
        <v>0</v>
      </c>
      <c r="L4221" t="n">
        <v>0</v>
      </c>
      <c r="M4221" t="n">
        <v>0</v>
      </c>
      <c r="N4221" t="n">
        <v>0</v>
      </c>
      <c r="O4221" t="n">
        <v>0</v>
      </c>
      <c r="P4221" t="n">
        <v>0</v>
      </c>
      <c r="Q4221" t="n">
        <v>0</v>
      </c>
      <c r="R4221" s="2" t="inlineStr"/>
    </row>
    <row r="4222" ht="15" customHeight="1">
      <c r="A4222" t="inlineStr">
        <is>
          <t>A 12892-2021</t>
        </is>
      </c>
      <c r="B4222" s="1" t="n">
        <v>44271</v>
      </c>
      <c r="C4222" s="1" t="n">
        <v>45810</v>
      </c>
      <c r="D4222" t="inlineStr">
        <is>
          <t>VÄRMLANDS LÄN</t>
        </is>
      </c>
      <c r="E4222" t="inlineStr">
        <is>
          <t>EDA</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12842-2021</t>
        </is>
      </c>
      <c r="B4223" s="1" t="n">
        <v>44271</v>
      </c>
      <c r="C4223" s="1" t="n">
        <v>45810</v>
      </c>
      <c r="D4223" t="inlineStr">
        <is>
          <t>VÄRMLANDS LÄN</t>
        </is>
      </c>
      <c r="E4223" t="inlineStr">
        <is>
          <t>ÅRJÄNG</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12940-2021</t>
        </is>
      </c>
      <c r="B4224" s="1" t="n">
        <v>44271</v>
      </c>
      <c r="C4224" s="1" t="n">
        <v>45810</v>
      </c>
      <c r="D4224" t="inlineStr">
        <is>
          <t>VÄRMLANDS LÄN</t>
        </is>
      </c>
      <c r="E4224" t="inlineStr">
        <is>
          <t>SÄFFLE</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13007-2021</t>
        </is>
      </c>
      <c r="B4225" s="1" t="n">
        <v>44271</v>
      </c>
      <c r="C4225" s="1" t="n">
        <v>45810</v>
      </c>
      <c r="D4225" t="inlineStr">
        <is>
          <t>VÄRMLANDS LÄN</t>
        </is>
      </c>
      <c r="E4225" t="inlineStr">
        <is>
          <t>ARVIKA</t>
        </is>
      </c>
      <c r="G4225" t="n">
        <v>9.1</v>
      </c>
      <c r="H4225" t="n">
        <v>0</v>
      </c>
      <c r="I4225" t="n">
        <v>0</v>
      </c>
      <c r="J4225" t="n">
        <v>0</v>
      </c>
      <c r="K4225" t="n">
        <v>0</v>
      </c>
      <c r="L4225" t="n">
        <v>0</v>
      </c>
      <c r="M4225" t="n">
        <v>0</v>
      </c>
      <c r="N4225" t="n">
        <v>0</v>
      </c>
      <c r="O4225" t="n">
        <v>0</v>
      </c>
      <c r="P4225" t="n">
        <v>0</v>
      </c>
      <c r="Q4225" t="n">
        <v>0</v>
      </c>
      <c r="R4225" s="2" t="inlineStr"/>
    </row>
    <row r="4226" ht="15" customHeight="1">
      <c r="A4226" t="inlineStr">
        <is>
          <t>A 13025-2021</t>
        </is>
      </c>
      <c r="B4226" s="1" t="n">
        <v>44271</v>
      </c>
      <c r="C4226" s="1" t="n">
        <v>45810</v>
      </c>
      <c r="D4226" t="inlineStr">
        <is>
          <t>VÄRMLANDS LÄN</t>
        </is>
      </c>
      <c r="E4226" t="inlineStr">
        <is>
          <t>ARVIKA</t>
        </is>
      </c>
      <c r="G4226" t="n">
        <v>3.9</v>
      </c>
      <c r="H4226" t="n">
        <v>0</v>
      </c>
      <c r="I4226" t="n">
        <v>0</v>
      </c>
      <c r="J4226" t="n">
        <v>0</v>
      </c>
      <c r="K4226" t="n">
        <v>0</v>
      </c>
      <c r="L4226" t="n">
        <v>0</v>
      </c>
      <c r="M4226" t="n">
        <v>0</v>
      </c>
      <c r="N4226" t="n">
        <v>0</v>
      </c>
      <c r="O4226" t="n">
        <v>0</v>
      </c>
      <c r="P4226" t="n">
        <v>0</v>
      </c>
      <c r="Q4226" t="n">
        <v>0</v>
      </c>
      <c r="R4226" s="2" t="inlineStr"/>
    </row>
    <row r="4227" ht="15" customHeight="1">
      <c r="A4227" t="inlineStr">
        <is>
          <t>A 13140-2021</t>
        </is>
      </c>
      <c r="B4227" s="1" t="n">
        <v>44271</v>
      </c>
      <c r="C4227" s="1" t="n">
        <v>45810</v>
      </c>
      <c r="D4227" t="inlineStr">
        <is>
          <t>VÄRMLANDS LÄN</t>
        </is>
      </c>
      <c r="E4227" t="inlineStr">
        <is>
          <t>GRUMS</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13156-2021</t>
        </is>
      </c>
      <c r="B4228" s="1" t="n">
        <v>44272</v>
      </c>
      <c r="C4228" s="1" t="n">
        <v>45810</v>
      </c>
      <c r="D4228" t="inlineStr">
        <is>
          <t>VÄRMLANDS LÄN</t>
        </is>
      </c>
      <c r="E4228" t="inlineStr">
        <is>
          <t>FORSHAGA</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13115-2021</t>
        </is>
      </c>
      <c r="B4229" s="1" t="n">
        <v>44272</v>
      </c>
      <c r="C4229" s="1" t="n">
        <v>45810</v>
      </c>
      <c r="D4229" t="inlineStr">
        <is>
          <t>VÄRMLANDS LÄN</t>
        </is>
      </c>
      <c r="E4229" t="inlineStr">
        <is>
          <t>ÅRJÄNG</t>
        </is>
      </c>
      <c r="F4229" t="inlineStr">
        <is>
          <t>Övriga Aktiebolag</t>
        </is>
      </c>
      <c r="G4229" t="n">
        <v>2.5</v>
      </c>
      <c r="H4229" t="n">
        <v>0</v>
      </c>
      <c r="I4229" t="n">
        <v>0</v>
      </c>
      <c r="J4229" t="n">
        <v>0</v>
      </c>
      <c r="K4229" t="n">
        <v>0</v>
      </c>
      <c r="L4229" t="n">
        <v>0</v>
      </c>
      <c r="M4229" t="n">
        <v>0</v>
      </c>
      <c r="N4229" t="n">
        <v>0</v>
      </c>
      <c r="O4229" t="n">
        <v>0</v>
      </c>
      <c r="P4229" t="n">
        <v>0</v>
      </c>
      <c r="Q4229" t="n">
        <v>0</v>
      </c>
      <c r="R4229" s="2" t="inlineStr"/>
    </row>
    <row r="4230" ht="15" customHeight="1">
      <c r="A4230" t="inlineStr">
        <is>
          <t>A 13047-2021</t>
        </is>
      </c>
      <c r="B4230" s="1" t="n">
        <v>44272</v>
      </c>
      <c r="C4230" s="1" t="n">
        <v>45810</v>
      </c>
      <c r="D4230" t="inlineStr">
        <is>
          <t>VÄRMLANDS LÄN</t>
        </is>
      </c>
      <c r="E4230" t="inlineStr">
        <is>
          <t>STORFORS</t>
        </is>
      </c>
      <c r="G4230" t="n">
        <v>5.1</v>
      </c>
      <c r="H4230" t="n">
        <v>0</v>
      </c>
      <c r="I4230" t="n">
        <v>0</v>
      </c>
      <c r="J4230" t="n">
        <v>0</v>
      </c>
      <c r="K4230" t="n">
        <v>0</v>
      </c>
      <c r="L4230" t="n">
        <v>0</v>
      </c>
      <c r="M4230" t="n">
        <v>0</v>
      </c>
      <c r="N4230" t="n">
        <v>0</v>
      </c>
      <c r="O4230" t="n">
        <v>0</v>
      </c>
      <c r="P4230" t="n">
        <v>0</v>
      </c>
      <c r="Q4230" t="n">
        <v>0</v>
      </c>
      <c r="R4230" s="2" t="inlineStr"/>
    </row>
    <row r="4231" ht="15" customHeight="1">
      <c r="A4231" t="inlineStr">
        <is>
          <t>A 13107-2021</t>
        </is>
      </c>
      <c r="B4231" s="1" t="n">
        <v>44272</v>
      </c>
      <c r="C4231" s="1" t="n">
        <v>45810</v>
      </c>
      <c r="D4231" t="inlineStr">
        <is>
          <t>VÄRMLANDS LÄN</t>
        </is>
      </c>
      <c r="E4231" t="inlineStr">
        <is>
          <t>SUNNE</t>
        </is>
      </c>
      <c r="G4231" t="n">
        <v>14.9</v>
      </c>
      <c r="H4231" t="n">
        <v>0</v>
      </c>
      <c r="I4231" t="n">
        <v>0</v>
      </c>
      <c r="J4231" t="n">
        <v>0</v>
      </c>
      <c r="K4231" t="n">
        <v>0</v>
      </c>
      <c r="L4231" t="n">
        <v>0</v>
      </c>
      <c r="M4231" t="n">
        <v>0</v>
      </c>
      <c r="N4231" t="n">
        <v>0</v>
      </c>
      <c r="O4231" t="n">
        <v>0</v>
      </c>
      <c r="P4231" t="n">
        <v>0</v>
      </c>
      <c r="Q4231" t="n">
        <v>0</v>
      </c>
      <c r="R4231" s="2" t="inlineStr"/>
    </row>
    <row r="4232" ht="15" customHeight="1">
      <c r="A4232" t="inlineStr">
        <is>
          <t>A 13575-2021</t>
        </is>
      </c>
      <c r="B4232" s="1" t="n">
        <v>44273</v>
      </c>
      <c r="C4232" s="1" t="n">
        <v>45810</v>
      </c>
      <c r="D4232" t="inlineStr">
        <is>
          <t>VÄRMLANDS LÄN</t>
        </is>
      </c>
      <c r="E4232" t="inlineStr">
        <is>
          <t>HAGFORS</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13601-2021</t>
        </is>
      </c>
      <c r="B4233" s="1" t="n">
        <v>44274</v>
      </c>
      <c r="C4233" s="1" t="n">
        <v>45810</v>
      </c>
      <c r="D4233" t="inlineStr">
        <is>
          <t>VÄRMLANDS LÄN</t>
        </is>
      </c>
      <c r="E4233" t="inlineStr">
        <is>
          <t>STORFORS</t>
        </is>
      </c>
      <c r="F4233" t="inlineStr">
        <is>
          <t>Bergvik skog väst AB</t>
        </is>
      </c>
      <c r="G4233" t="n">
        <v>2.1</v>
      </c>
      <c r="H4233" t="n">
        <v>0</v>
      </c>
      <c r="I4233" t="n">
        <v>0</v>
      </c>
      <c r="J4233" t="n">
        <v>0</v>
      </c>
      <c r="K4233" t="n">
        <v>0</v>
      </c>
      <c r="L4233" t="n">
        <v>0</v>
      </c>
      <c r="M4233" t="n">
        <v>0</v>
      </c>
      <c r="N4233" t="n">
        <v>0</v>
      </c>
      <c r="O4233" t="n">
        <v>0</v>
      </c>
      <c r="P4233" t="n">
        <v>0</v>
      </c>
      <c r="Q4233" t="n">
        <v>0</v>
      </c>
      <c r="R4233" s="2" t="inlineStr"/>
    </row>
    <row r="4234" ht="15" customHeight="1">
      <c r="A4234" t="inlineStr">
        <is>
          <t>A 13932-2021</t>
        </is>
      </c>
      <c r="B4234" s="1" t="n">
        <v>44277</v>
      </c>
      <c r="C4234" s="1" t="n">
        <v>45810</v>
      </c>
      <c r="D4234" t="inlineStr">
        <is>
          <t>VÄRMLANDS LÄN</t>
        </is>
      </c>
      <c r="E4234" t="inlineStr">
        <is>
          <t>FILIPSTAD</t>
        </is>
      </c>
      <c r="F4234" t="inlineStr">
        <is>
          <t>Bergvik skog väst AB</t>
        </is>
      </c>
      <c r="G4234" t="n">
        <v>13.7</v>
      </c>
      <c r="H4234" t="n">
        <v>0</v>
      </c>
      <c r="I4234" t="n">
        <v>0</v>
      </c>
      <c r="J4234" t="n">
        <v>0</v>
      </c>
      <c r="K4234" t="n">
        <v>0</v>
      </c>
      <c r="L4234" t="n">
        <v>0</v>
      </c>
      <c r="M4234" t="n">
        <v>0</v>
      </c>
      <c r="N4234" t="n">
        <v>0</v>
      </c>
      <c r="O4234" t="n">
        <v>0</v>
      </c>
      <c r="P4234" t="n">
        <v>0</v>
      </c>
      <c r="Q4234" t="n">
        <v>0</v>
      </c>
      <c r="R4234" s="2" t="inlineStr"/>
    </row>
    <row r="4235" ht="15" customHeight="1">
      <c r="A4235" t="inlineStr">
        <is>
          <t>A 13828-2021</t>
        </is>
      </c>
      <c r="B4235" s="1" t="n">
        <v>44277</v>
      </c>
      <c r="C4235" s="1" t="n">
        <v>45810</v>
      </c>
      <c r="D4235" t="inlineStr">
        <is>
          <t>VÄRMLANDS LÄN</t>
        </is>
      </c>
      <c r="E4235" t="inlineStr">
        <is>
          <t>ARVIKA</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13914-2021</t>
        </is>
      </c>
      <c r="B4236" s="1" t="n">
        <v>44277</v>
      </c>
      <c r="C4236" s="1" t="n">
        <v>45810</v>
      </c>
      <c r="D4236" t="inlineStr">
        <is>
          <t>VÄRMLANDS LÄN</t>
        </is>
      </c>
      <c r="E4236" t="inlineStr">
        <is>
          <t>KRISTINEHAMN</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14094-2021</t>
        </is>
      </c>
      <c r="B4237" s="1" t="n">
        <v>44278</v>
      </c>
      <c r="C4237" s="1" t="n">
        <v>45810</v>
      </c>
      <c r="D4237" t="inlineStr">
        <is>
          <t>VÄRMLANDS LÄN</t>
        </is>
      </c>
      <c r="E4237" t="inlineStr">
        <is>
          <t>ÅRJÄNG</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14214-2021</t>
        </is>
      </c>
      <c r="B4238" s="1" t="n">
        <v>44278</v>
      </c>
      <c r="C4238" s="1" t="n">
        <v>45810</v>
      </c>
      <c r="D4238" t="inlineStr">
        <is>
          <t>VÄRMLANDS LÄN</t>
        </is>
      </c>
      <c r="E4238" t="inlineStr">
        <is>
          <t>SUNNE</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14181-2021</t>
        </is>
      </c>
      <c r="B4239" s="1" t="n">
        <v>44278</v>
      </c>
      <c r="C4239" s="1" t="n">
        <v>45810</v>
      </c>
      <c r="D4239" t="inlineStr">
        <is>
          <t>VÄRMLANDS LÄN</t>
        </is>
      </c>
      <c r="E4239" t="inlineStr">
        <is>
          <t>ARVIKA</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14222-2021</t>
        </is>
      </c>
      <c r="B4240" s="1" t="n">
        <v>44278</v>
      </c>
      <c r="C4240" s="1" t="n">
        <v>45810</v>
      </c>
      <c r="D4240" t="inlineStr">
        <is>
          <t>VÄRMLANDS LÄN</t>
        </is>
      </c>
      <c r="E4240" t="inlineStr">
        <is>
          <t>EDA</t>
        </is>
      </c>
      <c r="G4240" t="n">
        <v>5.2</v>
      </c>
      <c r="H4240" t="n">
        <v>0</v>
      </c>
      <c r="I4240" t="n">
        <v>0</v>
      </c>
      <c r="J4240" t="n">
        <v>0</v>
      </c>
      <c r="K4240" t="n">
        <v>0</v>
      </c>
      <c r="L4240" t="n">
        <v>0</v>
      </c>
      <c r="M4240" t="n">
        <v>0</v>
      </c>
      <c r="N4240" t="n">
        <v>0</v>
      </c>
      <c r="O4240" t="n">
        <v>0</v>
      </c>
      <c r="P4240" t="n">
        <v>0</v>
      </c>
      <c r="Q4240" t="n">
        <v>0</v>
      </c>
      <c r="R4240" s="2" t="inlineStr"/>
    </row>
    <row r="4241" ht="15" customHeight="1">
      <c r="A4241" t="inlineStr">
        <is>
          <t>A 14273-2021</t>
        </is>
      </c>
      <c r="B4241" s="1" t="n">
        <v>44278</v>
      </c>
      <c r="C4241" s="1" t="n">
        <v>45810</v>
      </c>
      <c r="D4241" t="inlineStr">
        <is>
          <t>VÄRMLANDS LÄN</t>
        </is>
      </c>
      <c r="E4241" t="inlineStr">
        <is>
          <t>ARVIKA</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14356-2021</t>
        </is>
      </c>
      <c r="B4242" s="1" t="n">
        <v>44279</v>
      </c>
      <c r="C4242" s="1" t="n">
        <v>45810</v>
      </c>
      <c r="D4242" t="inlineStr">
        <is>
          <t>VÄRMLANDS LÄN</t>
        </is>
      </c>
      <c r="E4242" t="inlineStr">
        <is>
          <t>STORFORS</t>
        </is>
      </c>
      <c r="G4242" t="n">
        <v>6.6</v>
      </c>
      <c r="H4242" t="n">
        <v>0</v>
      </c>
      <c r="I4242" t="n">
        <v>0</v>
      </c>
      <c r="J4242" t="n">
        <v>0</v>
      </c>
      <c r="K4242" t="n">
        <v>0</v>
      </c>
      <c r="L4242" t="n">
        <v>0</v>
      </c>
      <c r="M4242" t="n">
        <v>0</v>
      </c>
      <c r="N4242" t="n">
        <v>0</v>
      </c>
      <c r="O4242" t="n">
        <v>0</v>
      </c>
      <c r="P4242" t="n">
        <v>0</v>
      </c>
      <c r="Q4242" t="n">
        <v>0</v>
      </c>
      <c r="R4242" s="2" t="inlineStr"/>
    </row>
    <row r="4243" ht="15" customHeight="1">
      <c r="A4243" t="inlineStr">
        <is>
          <t>A 14475-2021</t>
        </is>
      </c>
      <c r="B4243" s="1" t="n">
        <v>44279</v>
      </c>
      <c r="C4243" s="1" t="n">
        <v>45810</v>
      </c>
      <c r="D4243" t="inlineStr">
        <is>
          <t>VÄRMLANDS LÄN</t>
        </is>
      </c>
      <c r="E4243" t="inlineStr">
        <is>
          <t>KARLSTAD</t>
        </is>
      </c>
      <c r="F4243" t="inlineStr">
        <is>
          <t>Bergvik skog väst AB</t>
        </is>
      </c>
      <c r="G4243" t="n">
        <v>25.3</v>
      </c>
      <c r="H4243" t="n">
        <v>0</v>
      </c>
      <c r="I4243" t="n">
        <v>0</v>
      </c>
      <c r="J4243" t="n">
        <v>0</v>
      </c>
      <c r="K4243" t="n">
        <v>0</v>
      </c>
      <c r="L4243" t="n">
        <v>0</v>
      </c>
      <c r="M4243" t="n">
        <v>0</v>
      </c>
      <c r="N4243" t="n">
        <v>0</v>
      </c>
      <c r="O4243" t="n">
        <v>0</v>
      </c>
      <c r="P4243" t="n">
        <v>0</v>
      </c>
      <c r="Q4243" t="n">
        <v>0</v>
      </c>
      <c r="R4243" s="2" t="inlineStr"/>
    </row>
    <row r="4244" ht="15" customHeight="1">
      <c r="A4244" t="inlineStr">
        <is>
          <t>A 14469-2021</t>
        </is>
      </c>
      <c r="B4244" s="1" t="n">
        <v>44279</v>
      </c>
      <c r="C4244" s="1" t="n">
        <v>45810</v>
      </c>
      <c r="D4244" t="inlineStr">
        <is>
          <t>VÄRMLANDS LÄN</t>
        </is>
      </c>
      <c r="E4244" t="inlineStr">
        <is>
          <t>KARLSTAD</t>
        </is>
      </c>
      <c r="F4244" t="inlineStr">
        <is>
          <t>Bergvik skog väst AB</t>
        </is>
      </c>
      <c r="G4244" t="n">
        <v>6.2</v>
      </c>
      <c r="H4244" t="n">
        <v>0</v>
      </c>
      <c r="I4244" t="n">
        <v>0</v>
      </c>
      <c r="J4244" t="n">
        <v>0</v>
      </c>
      <c r="K4244" t="n">
        <v>0</v>
      </c>
      <c r="L4244" t="n">
        <v>0</v>
      </c>
      <c r="M4244" t="n">
        <v>0</v>
      </c>
      <c r="N4244" t="n">
        <v>0</v>
      </c>
      <c r="O4244" t="n">
        <v>0</v>
      </c>
      <c r="P4244" t="n">
        <v>0</v>
      </c>
      <c r="Q4244" t="n">
        <v>0</v>
      </c>
      <c r="R4244" s="2" t="inlineStr"/>
    </row>
    <row r="4245" ht="15" customHeight="1">
      <c r="A4245" t="inlineStr">
        <is>
          <t>A 14740-2021</t>
        </is>
      </c>
      <c r="B4245" s="1" t="n">
        <v>44280</v>
      </c>
      <c r="C4245" s="1" t="n">
        <v>45810</v>
      </c>
      <c r="D4245" t="inlineStr">
        <is>
          <t>VÄRMLANDS LÄN</t>
        </is>
      </c>
      <c r="E4245" t="inlineStr">
        <is>
          <t>SÄFFLE</t>
        </is>
      </c>
      <c r="F4245" t="inlineStr">
        <is>
          <t>Bergvik skog väst AB</t>
        </is>
      </c>
      <c r="G4245" t="n">
        <v>14.5</v>
      </c>
      <c r="H4245" t="n">
        <v>0</v>
      </c>
      <c r="I4245" t="n">
        <v>0</v>
      </c>
      <c r="J4245" t="n">
        <v>0</v>
      </c>
      <c r="K4245" t="n">
        <v>0</v>
      </c>
      <c r="L4245" t="n">
        <v>0</v>
      </c>
      <c r="M4245" t="n">
        <v>0</v>
      </c>
      <c r="N4245" t="n">
        <v>0</v>
      </c>
      <c r="O4245" t="n">
        <v>0</v>
      </c>
      <c r="P4245" t="n">
        <v>0</v>
      </c>
      <c r="Q4245" t="n">
        <v>0</v>
      </c>
      <c r="R4245" s="2" t="inlineStr"/>
    </row>
    <row r="4246" ht="15" customHeight="1">
      <c r="A4246" t="inlineStr">
        <is>
          <t>A 14808-2021</t>
        </is>
      </c>
      <c r="B4246" s="1" t="n">
        <v>44280</v>
      </c>
      <c r="C4246" s="1" t="n">
        <v>45810</v>
      </c>
      <c r="D4246" t="inlineStr">
        <is>
          <t>VÄRMLANDS LÄN</t>
        </is>
      </c>
      <c r="E4246" t="inlineStr">
        <is>
          <t>KRISTINEHAMN</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14913-2021</t>
        </is>
      </c>
      <c r="B4247" s="1" t="n">
        <v>44281</v>
      </c>
      <c r="C4247" s="1" t="n">
        <v>45810</v>
      </c>
      <c r="D4247" t="inlineStr">
        <is>
          <t>VÄRMLANDS LÄN</t>
        </is>
      </c>
      <c r="E4247" t="inlineStr">
        <is>
          <t>EDA</t>
        </is>
      </c>
      <c r="G4247" t="n">
        <v>3.8</v>
      </c>
      <c r="H4247" t="n">
        <v>0</v>
      </c>
      <c r="I4247" t="n">
        <v>0</v>
      </c>
      <c r="J4247" t="n">
        <v>0</v>
      </c>
      <c r="K4247" t="n">
        <v>0</v>
      </c>
      <c r="L4247" t="n">
        <v>0</v>
      </c>
      <c r="M4247" t="n">
        <v>0</v>
      </c>
      <c r="N4247" t="n">
        <v>0</v>
      </c>
      <c r="O4247" t="n">
        <v>0</v>
      </c>
      <c r="P4247" t="n">
        <v>0</v>
      </c>
      <c r="Q4247" t="n">
        <v>0</v>
      </c>
      <c r="R4247" s="2" t="inlineStr"/>
    </row>
    <row r="4248" ht="15" customHeight="1">
      <c r="A4248" t="inlineStr">
        <is>
          <t>A 15058-2021</t>
        </is>
      </c>
      <c r="B4248" s="1" t="n">
        <v>44281</v>
      </c>
      <c r="C4248" s="1" t="n">
        <v>45810</v>
      </c>
      <c r="D4248" t="inlineStr">
        <is>
          <t>VÄRMLANDS LÄN</t>
        </is>
      </c>
      <c r="E4248" t="inlineStr">
        <is>
          <t>ARVIKA</t>
        </is>
      </c>
      <c r="G4248" t="n">
        <v>4.7</v>
      </c>
      <c r="H4248" t="n">
        <v>0</v>
      </c>
      <c r="I4248" t="n">
        <v>0</v>
      </c>
      <c r="J4248" t="n">
        <v>0</v>
      </c>
      <c r="K4248" t="n">
        <v>0</v>
      </c>
      <c r="L4248" t="n">
        <v>0</v>
      </c>
      <c r="M4248" t="n">
        <v>0</v>
      </c>
      <c r="N4248" t="n">
        <v>0</v>
      </c>
      <c r="O4248" t="n">
        <v>0</v>
      </c>
      <c r="P4248" t="n">
        <v>0</v>
      </c>
      <c r="Q4248" t="n">
        <v>0</v>
      </c>
      <c r="R4248" s="2" t="inlineStr"/>
    </row>
    <row r="4249" ht="15" customHeight="1">
      <c r="A4249" t="inlineStr">
        <is>
          <t>A 14906-2021</t>
        </is>
      </c>
      <c r="B4249" s="1" t="n">
        <v>44281</v>
      </c>
      <c r="C4249" s="1" t="n">
        <v>45810</v>
      </c>
      <c r="D4249" t="inlineStr">
        <is>
          <t>VÄRMLANDS LÄN</t>
        </is>
      </c>
      <c r="E4249" t="inlineStr">
        <is>
          <t>ÅRJÄNG</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14996-2021</t>
        </is>
      </c>
      <c r="B4250" s="1" t="n">
        <v>44281</v>
      </c>
      <c r="C4250" s="1" t="n">
        <v>45810</v>
      </c>
      <c r="D4250" t="inlineStr">
        <is>
          <t>VÄRMLANDS LÄN</t>
        </is>
      </c>
      <c r="E4250" t="inlineStr">
        <is>
          <t>FORSHAGA</t>
        </is>
      </c>
      <c r="F4250" t="inlineStr">
        <is>
          <t>Bergvik skog väst AB</t>
        </is>
      </c>
      <c r="G4250" t="n">
        <v>8.4</v>
      </c>
      <c r="H4250" t="n">
        <v>0</v>
      </c>
      <c r="I4250" t="n">
        <v>0</v>
      </c>
      <c r="J4250" t="n">
        <v>0</v>
      </c>
      <c r="K4250" t="n">
        <v>0</v>
      </c>
      <c r="L4250" t="n">
        <v>0</v>
      </c>
      <c r="M4250" t="n">
        <v>0</v>
      </c>
      <c r="N4250" t="n">
        <v>0</v>
      </c>
      <c r="O4250" t="n">
        <v>0</v>
      </c>
      <c r="P4250" t="n">
        <v>0</v>
      </c>
      <c r="Q4250" t="n">
        <v>0</v>
      </c>
      <c r="R4250" s="2" t="inlineStr"/>
    </row>
    <row r="4251" ht="15" customHeight="1">
      <c r="A4251" t="inlineStr">
        <is>
          <t>A 14942-2021</t>
        </is>
      </c>
      <c r="B4251" s="1" t="n">
        <v>44281</v>
      </c>
      <c r="C4251" s="1" t="n">
        <v>45810</v>
      </c>
      <c r="D4251" t="inlineStr">
        <is>
          <t>VÄRMLANDS LÄN</t>
        </is>
      </c>
      <c r="E4251" t="inlineStr">
        <is>
          <t>TORSBY</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15249-2021</t>
        </is>
      </c>
      <c r="B4252" s="1" t="n">
        <v>44282</v>
      </c>
      <c r="C4252" s="1" t="n">
        <v>45810</v>
      </c>
      <c r="D4252" t="inlineStr">
        <is>
          <t>VÄRMLANDS LÄN</t>
        </is>
      </c>
      <c r="E4252" t="inlineStr">
        <is>
          <t>ÅRJÄNG</t>
        </is>
      </c>
      <c r="F4252" t="inlineStr">
        <is>
          <t>Övriga Aktiebolag</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15224-2021</t>
        </is>
      </c>
      <c r="B4253" s="1" t="n">
        <v>44284</v>
      </c>
      <c r="C4253" s="1" t="n">
        <v>45810</v>
      </c>
      <c r="D4253" t="inlineStr">
        <is>
          <t>VÄRMLANDS LÄN</t>
        </is>
      </c>
      <c r="E4253" t="inlineStr">
        <is>
          <t>FORSHAGA</t>
        </is>
      </c>
      <c r="F4253" t="inlineStr">
        <is>
          <t>Bergvik skog väst AB</t>
        </is>
      </c>
      <c r="G4253" t="n">
        <v>6.3</v>
      </c>
      <c r="H4253" t="n">
        <v>0</v>
      </c>
      <c r="I4253" t="n">
        <v>0</v>
      </c>
      <c r="J4253" t="n">
        <v>0</v>
      </c>
      <c r="K4253" t="n">
        <v>0</v>
      </c>
      <c r="L4253" t="n">
        <v>0</v>
      </c>
      <c r="M4253" t="n">
        <v>0</v>
      </c>
      <c r="N4253" t="n">
        <v>0</v>
      </c>
      <c r="O4253" t="n">
        <v>0</v>
      </c>
      <c r="P4253" t="n">
        <v>0</v>
      </c>
      <c r="Q4253" t="n">
        <v>0</v>
      </c>
      <c r="R4253" s="2" t="inlineStr"/>
    </row>
    <row r="4254" ht="15" customHeight="1">
      <c r="A4254" t="inlineStr">
        <is>
          <t>A 15171-2021</t>
        </is>
      </c>
      <c r="B4254" s="1" t="n">
        <v>44284</v>
      </c>
      <c r="C4254" s="1" t="n">
        <v>45810</v>
      </c>
      <c r="D4254" t="inlineStr">
        <is>
          <t>VÄRMLANDS LÄN</t>
        </is>
      </c>
      <c r="E4254" t="inlineStr">
        <is>
          <t>SUNNE</t>
        </is>
      </c>
      <c r="G4254" t="n">
        <v>3.5</v>
      </c>
      <c r="H4254" t="n">
        <v>0</v>
      </c>
      <c r="I4254" t="n">
        <v>0</v>
      </c>
      <c r="J4254" t="n">
        <v>0</v>
      </c>
      <c r="K4254" t="n">
        <v>0</v>
      </c>
      <c r="L4254" t="n">
        <v>0</v>
      </c>
      <c r="M4254" t="n">
        <v>0</v>
      </c>
      <c r="N4254" t="n">
        <v>0</v>
      </c>
      <c r="O4254" t="n">
        <v>0</v>
      </c>
      <c r="P4254" t="n">
        <v>0</v>
      </c>
      <c r="Q4254" t="n">
        <v>0</v>
      </c>
      <c r="R4254" s="2" t="inlineStr"/>
    </row>
    <row r="4255" ht="15" customHeight="1">
      <c r="A4255" t="inlineStr">
        <is>
          <t>A 15203-2021</t>
        </is>
      </c>
      <c r="B4255" s="1" t="n">
        <v>44284</v>
      </c>
      <c r="C4255" s="1" t="n">
        <v>45810</v>
      </c>
      <c r="D4255" t="inlineStr">
        <is>
          <t>VÄRMLANDS LÄN</t>
        </is>
      </c>
      <c r="E4255" t="inlineStr">
        <is>
          <t>FORSHAGA</t>
        </is>
      </c>
      <c r="F4255" t="inlineStr">
        <is>
          <t>Bergvik skog väst AB</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15149-2021</t>
        </is>
      </c>
      <c r="B4256" s="1" t="n">
        <v>44284</v>
      </c>
      <c r="C4256" s="1" t="n">
        <v>45810</v>
      </c>
      <c r="D4256" t="inlineStr">
        <is>
          <t>VÄRMLANDS LÄN</t>
        </is>
      </c>
      <c r="E4256" t="inlineStr">
        <is>
          <t>KARLSTAD</t>
        </is>
      </c>
      <c r="F4256" t="inlineStr">
        <is>
          <t>Bergvik skog väst AB</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15185-2021</t>
        </is>
      </c>
      <c r="B4257" s="1" t="n">
        <v>44284</v>
      </c>
      <c r="C4257" s="1" t="n">
        <v>45810</v>
      </c>
      <c r="D4257" t="inlineStr">
        <is>
          <t>VÄRMLANDS LÄN</t>
        </is>
      </c>
      <c r="E4257" t="inlineStr">
        <is>
          <t>HAGFORS</t>
        </is>
      </c>
      <c r="F4257" t="inlineStr">
        <is>
          <t>Bergvik skog väst AB</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15225-2021</t>
        </is>
      </c>
      <c r="B4258" s="1" t="n">
        <v>44284</v>
      </c>
      <c r="C4258" s="1" t="n">
        <v>45810</v>
      </c>
      <c r="D4258" t="inlineStr">
        <is>
          <t>VÄRMLANDS LÄN</t>
        </is>
      </c>
      <c r="E4258" t="inlineStr">
        <is>
          <t>ARVIKA</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15244-2021</t>
        </is>
      </c>
      <c r="B4259" s="1" t="n">
        <v>44284</v>
      </c>
      <c r="C4259" s="1" t="n">
        <v>45810</v>
      </c>
      <c r="D4259" t="inlineStr">
        <is>
          <t>VÄRMLANDS LÄN</t>
        </is>
      </c>
      <c r="E4259" t="inlineStr">
        <is>
          <t>ÅRJÄNG</t>
        </is>
      </c>
      <c r="G4259" t="n">
        <v>2.7</v>
      </c>
      <c r="H4259" t="n">
        <v>0</v>
      </c>
      <c r="I4259" t="n">
        <v>0</v>
      </c>
      <c r="J4259" t="n">
        <v>0</v>
      </c>
      <c r="K4259" t="n">
        <v>0</v>
      </c>
      <c r="L4259" t="n">
        <v>0</v>
      </c>
      <c r="M4259" t="n">
        <v>0</v>
      </c>
      <c r="N4259" t="n">
        <v>0</v>
      </c>
      <c r="O4259" t="n">
        <v>0</v>
      </c>
      <c r="P4259" t="n">
        <v>0</v>
      </c>
      <c r="Q4259" t="n">
        <v>0</v>
      </c>
      <c r="R4259" s="2" t="inlineStr"/>
    </row>
    <row r="4260" ht="15" customHeight="1">
      <c r="A4260" t="inlineStr">
        <is>
          <t>A 15186-2021</t>
        </is>
      </c>
      <c r="B4260" s="1" t="n">
        <v>44284</v>
      </c>
      <c r="C4260" s="1" t="n">
        <v>45810</v>
      </c>
      <c r="D4260" t="inlineStr">
        <is>
          <t>VÄRMLANDS LÄN</t>
        </is>
      </c>
      <c r="E4260" t="inlineStr">
        <is>
          <t>HAGFORS</t>
        </is>
      </c>
      <c r="F4260" t="inlineStr">
        <is>
          <t>Bergvik skog väst AB</t>
        </is>
      </c>
      <c r="G4260" t="n">
        <v>9.800000000000001</v>
      </c>
      <c r="H4260" t="n">
        <v>0</v>
      </c>
      <c r="I4260" t="n">
        <v>0</v>
      </c>
      <c r="J4260" t="n">
        <v>0</v>
      </c>
      <c r="K4260" t="n">
        <v>0</v>
      </c>
      <c r="L4260" t="n">
        <v>0</v>
      </c>
      <c r="M4260" t="n">
        <v>0</v>
      </c>
      <c r="N4260" t="n">
        <v>0</v>
      </c>
      <c r="O4260" t="n">
        <v>0</v>
      </c>
      <c r="P4260" t="n">
        <v>0</v>
      </c>
      <c r="Q4260" t="n">
        <v>0</v>
      </c>
      <c r="R4260" s="2" t="inlineStr"/>
    </row>
    <row r="4261" ht="15" customHeight="1">
      <c r="A4261" t="inlineStr">
        <is>
          <t>A 15245-2021</t>
        </is>
      </c>
      <c r="B4261" s="1" t="n">
        <v>44284</v>
      </c>
      <c r="C4261" s="1" t="n">
        <v>45810</v>
      </c>
      <c r="D4261" t="inlineStr">
        <is>
          <t>VÄRMLANDS LÄN</t>
        </is>
      </c>
      <c r="E4261" t="inlineStr">
        <is>
          <t>ÅRJÄNG</t>
        </is>
      </c>
      <c r="G4261" t="n">
        <v>6.6</v>
      </c>
      <c r="H4261" t="n">
        <v>0</v>
      </c>
      <c r="I4261" t="n">
        <v>0</v>
      </c>
      <c r="J4261" t="n">
        <v>0</v>
      </c>
      <c r="K4261" t="n">
        <v>0</v>
      </c>
      <c r="L4261" t="n">
        <v>0</v>
      </c>
      <c r="M4261" t="n">
        <v>0</v>
      </c>
      <c r="N4261" t="n">
        <v>0</v>
      </c>
      <c r="O4261" t="n">
        <v>0</v>
      </c>
      <c r="P4261" t="n">
        <v>0</v>
      </c>
      <c r="Q4261" t="n">
        <v>0</v>
      </c>
      <c r="R4261" s="2" t="inlineStr"/>
    </row>
    <row r="4262" ht="15" customHeight="1">
      <c r="A4262" t="inlineStr">
        <is>
          <t>A 15279-2021</t>
        </is>
      </c>
      <c r="B4262" s="1" t="n">
        <v>44284</v>
      </c>
      <c r="C4262" s="1" t="n">
        <v>45810</v>
      </c>
      <c r="D4262" t="inlineStr">
        <is>
          <t>VÄRMLANDS LÄN</t>
        </is>
      </c>
      <c r="E4262" t="inlineStr">
        <is>
          <t>TORSBY</t>
        </is>
      </c>
      <c r="G4262" t="n">
        <v>3.9</v>
      </c>
      <c r="H4262" t="n">
        <v>0</v>
      </c>
      <c r="I4262" t="n">
        <v>0</v>
      </c>
      <c r="J4262" t="n">
        <v>0</v>
      </c>
      <c r="K4262" t="n">
        <v>0</v>
      </c>
      <c r="L4262" t="n">
        <v>0</v>
      </c>
      <c r="M4262" t="n">
        <v>0</v>
      </c>
      <c r="N4262" t="n">
        <v>0</v>
      </c>
      <c r="O4262" t="n">
        <v>0</v>
      </c>
      <c r="P4262" t="n">
        <v>0</v>
      </c>
      <c r="Q4262" t="n">
        <v>0</v>
      </c>
      <c r="R4262" s="2" t="inlineStr"/>
    </row>
    <row r="4263" ht="15" customHeight="1">
      <c r="A4263" t="inlineStr">
        <is>
          <t>A 15256-2021</t>
        </is>
      </c>
      <c r="B4263" s="1" t="n">
        <v>44284</v>
      </c>
      <c r="C4263" s="1" t="n">
        <v>45810</v>
      </c>
      <c r="D4263" t="inlineStr">
        <is>
          <t>VÄRMLANDS LÄN</t>
        </is>
      </c>
      <c r="E4263" t="inlineStr">
        <is>
          <t>SÄFFLE</t>
        </is>
      </c>
      <c r="G4263" t="n">
        <v>6.6</v>
      </c>
      <c r="H4263" t="n">
        <v>0</v>
      </c>
      <c r="I4263" t="n">
        <v>0</v>
      </c>
      <c r="J4263" t="n">
        <v>0</v>
      </c>
      <c r="K4263" t="n">
        <v>0</v>
      </c>
      <c r="L4263" t="n">
        <v>0</v>
      </c>
      <c r="M4263" t="n">
        <v>0</v>
      </c>
      <c r="N4263" t="n">
        <v>0</v>
      </c>
      <c r="O4263" t="n">
        <v>0</v>
      </c>
      <c r="P4263" t="n">
        <v>0</v>
      </c>
      <c r="Q4263" t="n">
        <v>0</v>
      </c>
      <c r="R4263" s="2" t="inlineStr"/>
    </row>
    <row r="4264" ht="15" customHeight="1">
      <c r="A4264" t="inlineStr">
        <is>
          <t>A 15395-2021</t>
        </is>
      </c>
      <c r="B4264" s="1" t="n">
        <v>44285</v>
      </c>
      <c r="C4264" s="1" t="n">
        <v>45810</v>
      </c>
      <c r="D4264" t="inlineStr">
        <is>
          <t>VÄRMLANDS LÄN</t>
        </is>
      </c>
      <c r="E4264" t="inlineStr">
        <is>
          <t>EDA</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15437-2021</t>
        </is>
      </c>
      <c r="B4265" s="1" t="n">
        <v>44285</v>
      </c>
      <c r="C4265" s="1" t="n">
        <v>45810</v>
      </c>
      <c r="D4265" t="inlineStr">
        <is>
          <t>VÄRMLANDS LÄN</t>
        </is>
      </c>
      <c r="E4265" t="inlineStr">
        <is>
          <t>KIL</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15536-2021</t>
        </is>
      </c>
      <c r="B4266" s="1" t="n">
        <v>44285</v>
      </c>
      <c r="C4266" s="1" t="n">
        <v>45810</v>
      </c>
      <c r="D4266" t="inlineStr">
        <is>
          <t>VÄRMLANDS LÄN</t>
        </is>
      </c>
      <c r="E4266" t="inlineStr">
        <is>
          <t>ARVIKA</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15476-2021</t>
        </is>
      </c>
      <c r="B4267" s="1" t="n">
        <v>44285</v>
      </c>
      <c r="C4267" s="1" t="n">
        <v>45810</v>
      </c>
      <c r="D4267" t="inlineStr">
        <is>
          <t>VÄRMLANDS LÄN</t>
        </is>
      </c>
      <c r="E4267" t="inlineStr">
        <is>
          <t>SÄFFLE</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16191-2021</t>
        </is>
      </c>
      <c r="B4268" s="1" t="n">
        <v>44285</v>
      </c>
      <c r="C4268" s="1" t="n">
        <v>45810</v>
      </c>
      <c r="D4268" t="inlineStr">
        <is>
          <t>VÄRMLANDS LÄN</t>
        </is>
      </c>
      <c r="E4268" t="inlineStr">
        <is>
          <t>TORSBY</t>
        </is>
      </c>
      <c r="G4268" t="n">
        <v>3.7</v>
      </c>
      <c r="H4268" t="n">
        <v>0</v>
      </c>
      <c r="I4268" t="n">
        <v>0</v>
      </c>
      <c r="J4268" t="n">
        <v>0</v>
      </c>
      <c r="K4268" t="n">
        <v>0</v>
      </c>
      <c r="L4268" t="n">
        <v>0</v>
      </c>
      <c r="M4268" t="n">
        <v>0</v>
      </c>
      <c r="N4268" t="n">
        <v>0</v>
      </c>
      <c r="O4268" t="n">
        <v>0</v>
      </c>
      <c r="P4268" t="n">
        <v>0</v>
      </c>
      <c r="Q4268" t="n">
        <v>0</v>
      </c>
      <c r="R4268" s="2" t="inlineStr"/>
    </row>
    <row r="4269" ht="15" customHeight="1">
      <c r="A4269" t="inlineStr">
        <is>
          <t>A 15577-2021</t>
        </is>
      </c>
      <c r="B4269" s="1" t="n">
        <v>44285</v>
      </c>
      <c r="C4269" s="1" t="n">
        <v>45810</v>
      </c>
      <c r="D4269" t="inlineStr">
        <is>
          <t>VÄRMLANDS LÄN</t>
        </is>
      </c>
      <c r="E4269" t="inlineStr">
        <is>
          <t>KRISTINEHAMN</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15773-2021</t>
        </is>
      </c>
      <c r="B4270" s="1" t="n">
        <v>44286</v>
      </c>
      <c r="C4270" s="1" t="n">
        <v>45810</v>
      </c>
      <c r="D4270" t="inlineStr">
        <is>
          <t>VÄRMLANDS LÄN</t>
        </is>
      </c>
      <c r="E4270" t="inlineStr">
        <is>
          <t>SUNNE</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15854-2021</t>
        </is>
      </c>
      <c r="B4271" s="1" t="n">
        <v>44286</v>
      </c>
      <c r="C4271" s="1" t="n">
        <v>45810</v>
      </c>
      <c r="D4271" t="inlineStr">
        <is>
          <t>VÄRMLANDS LÄN</t>
        </is>
      </c>
      <c r="E4271" t="inlineStr">
        <is>
          <t>TORSBY</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15759-2021</t>
        </is>
      </c>
      <c r="B4272" s="1" t="n">
        <v>44286</v>
      </c>
      <c r="C4272" s="1" t="n">
        <v>45810</v>
      </c>
      <c r="D4272" t="inlineStr">
        <is>
          <t>VÄRMLANDS LÄN</t>
        </is>
      </c>
      <c r="E4272" t="inlineStr">
        <is>
          <t>EDA</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15701-2021</t>
        </is>
      </c>
      <c r="B4273" s="1" t="n">
        <v>44286</v>
      </c>
      <c r="C4273" s="1" t="n">
        <v>45810</v>
      </c>
      <c r="D4273" t="inlineStr">
        <is>
          <t>VÄRMLANDS LÄN</t>
        </is>
      </c>
      <c r="E4273" t="inlineStr">
        <is>
          <t>GRUMS</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15761-2021</t>
        </is>
      </c>
      <c r="B4274" s="1" t="n">
        <v>44286</v>
      </c>
      <c r="C4274" s="1" t="n">
        <v>45810</v>
      </c>
      <c r="D4274" t="inlineStr">
        <is>
          <t>VÄRMLANDS LÄN</t>
        </is>
      </c>
      <c r="E4274" t="inlineStr">
        <is>
          <t>EDA</t>
        </is>
      </c>
      <c r="G4274" t="n">
        <v>1.9</v>
      </c>
      <c r="H4274" t="n">
        <v>0</v>
      </c>
      <c r="I4274" t="n">
        <v>0</v>
      </c>
      <c r="J4274" t="n">
        <v>0</v>
      </c>
      <c r="K4274" t="n">
        <v>0</v>
      </c>
      <c r="L4274" t="n">
        <v>0</v>
      </c>
      <c r="M4274" t="n">
        <v>0</v>
      </c>
      <c r="N4274" t="n">
        <v>0</v>
      </c>
      <c r="O4274" t="n">
        <v>0</v>
      </c>
      <c r="P4274" t="n">
        <v>0</v>
      </c>
      <c r="Q4274" t="n">
        <v>0</v>
      </c>
      <c r="R4274" s="2" t="inlineStr"/>
    </row>
    <row r="4275" ht="15" customHeight="1">
      <c r="A4275" t="inlineStr">
        <is>
          <t>A 15810-2021</t>
        </is>
      </c>
      <c r="B4275" s="1" t="n">
        <v>44286</v>
      </c>
      <c r="C4275" s="1" t="n">
        <v>45810</v>
      </c>
      <c r="D4275" t="inlineStr">
        <is>
          <t>VÄRMLANDS LÄN</t>
        </is>
      </c>
      <c r="E4275" t="inlineStr">
        <is>
          <t>KARLSTAD</t>
        </is>
      </c>
      <c r="F4275" t="inlineStr">
        <is>
          <t>Bergvik skog väst AB</t>
        </is>
      </c>
      <c r="G4275" t="n">
        <v>13.4</v>
      </c>
      <c r="H4275" t="n">
        <v>0</v>
      </c>
      <c r="I4275" t="n">
        <v>0</v>
      </c>
      <c r="J4275" t="n">
        <v>0</v>
      </c>
      <c r="K4275" t="n">
        <v>0</v>
      </c>
      <c r="L4275" t="n">
        <v>0</v>
      </c>
      <c r="M4275" t="n">
        <v>0</v>
      </c>
      <c r="N4275" t="n">
        <v>0</v>
      </c>
      <c r="O4275" t="n">
        <v>0</v>
      </c>
      <c r="P4275" t="n">
        <v>0</v>
      </c>
      <c r="Q4275" t="n">
        <v>0</v>
      </c>
      <c r="R4275" s="2" t="inlineStr"/>
    </row>
    <row r="4276" ht="15" customHeight="1">
      <c r="A4276" t="inlineStr">
        <is>
          <t>A 15853-2021</t>
        </is>
      </c>
      <c r="B4276" s="1" t="n">
        <v>44286</v>
      </c>
      <c r="C4276" s="1" t="n">
        <v>45810</v>
      </c>
      <c r="D4276" t="inlineStr">
        <is>
          <t>VÄRMLANDS LÄN</t>
        </is>
      </c>
      <c r="E4276" t="inlineStr">
        <is>
          <t>TORSBY</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15912-2021</t>
        </is>
      </c>
      <c r="B4277" s="1" t="n">
        <v>44287</v>
      </c>
      <c r="C4277" s="1" t="n">
        <v>45810</v>
      </c>
      <c r="D4277" t="inlineStr">
        <is>
          <t>VÄRMLANDS LÄN</t>
        </is>
      </c>
      <c r="E4277" t="inlineStr">
        <is>
          <t>ARVIKA</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15945-2021</t>
        </is>
      </c>
      <c r="B4278" s="1" t="n">
        <v>44287</v>
      </c>
      <c r="C4278" s="1" t="n">
        <v>45810</v>
      </c>
      <c r="D4278" t="inlineStr">
        <is>
          <t>VÄRMLANDS LÄN</t>
        </is>
      </c>
      <c r="E4278" t="inlineStr">
        <is>
          <t>TORSBY</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15961-2021</t>
        </is>
      </c>
      <c r="B4279" s="1" t="n">
        <v>44287</v>
      </c>
      <c r="C4279" s="1" t="n">
        <v>45810</v>
      </c>
      <c r="D4279" t="inlineStr">
        <is>
          <t>VÄRMLANDS LÄN</t>
        </is>
      </c>
      <c r="E4279" t="inlineStr">
        <is>
          <t>SÄFFLE</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15919-2021</t>
        </is>
      </c>
      <c r="B4280" s="1" t="n">
        <v>44287</v>
      </c>
      <c r="C4280" s="1" t="n">
        <v>45810</v>
      </c>
      <c r="D4280" t="inlineStr">
        <is>
          <t>VÄRMLANDS LÄN</t>
        </is>
      </c>
      <c r="E4280" t="inlineStr">
        <is>
          <t>KIL</t>
        </is>
      </c>
      <c r="G4280" t="n">
        <v>5</v>
      </c>
      <c r="H4280" t="n">
        <v>0</v>
      </c>
      <c r="I4280" t="n">
        <v>0</v>
      </c>
      <c r="J4280" t="n">
        <v>0</v>
      </c>
      <c r="K4280" t="n">
        <v>0</v>
      </c>
      <c r="L4280" t="n">
        <v>0</v>
      </c>
      <c r="M4280" t="n">
        <v>0</v>
      </c>
      <c r="N4280" t="n">
        <v>0</v>
      </c>
      <c r="O4280" t="n">
        <v>0</v>
      </c>
      <c r="P4280" t="n">
        <v>0</v>
      </c>
      <c r="Q4280" t="n">
        <v>0</v>
      </c>
      <c r="R4280" s="2" t="inlineStr"/>
    </row>
    <row r="4281" ht="15" customHeight="1">
      <c r="A4281" t="inlineStr">
        <is>
          <t>A 15965-2021</t>
        </is>
      </c>
      <c r="B4281" s="1" t="n">
        <v>44287</v>
      </c>
      <c r="C4281" s="1" t="n">
        <v>45810</v>
      </c>
      <c r="D4281" t="inlineStr">
        <is>
          <t>VÄRMLANDS LÄN</t>
        </is>
      </c>
      <c r="E4281" t="inlineStr">
        <is>
          <t>ARVIKA</t>
        </is>
      </c>
      <c r="G4281" t="n">
        <v>5</v>
      </c>
      <c r="H4281" t="n">
        <v>0</v>
      </c>
      <c r="I4281" t="n">
        <v>0</v>
      </c>
      <c r="J4281" t="n">
        <v>0</v>
      </c>
      <c r="K4281" t="n">
        <v>0</v>
      </c>
      <c r="L4281" t="n">
        <v>0</v>
      </c>
      <c r="M4281" t="n">
        <v>0</v>
      </c>
      <c r="N4281" t="n">
        <v>0</v>
      </c>
      <c r="O4281" t="n">
        <v>0</v>
      </c>
      <c r="P4281" t="n">
        <v>0</v>
      </c>
      <c r="Q4281" t="n">
        <v>0</v>
      </c>
      <c r="R4281" s="2" t="inlineStr"/>
    </row>
    <row r="4282" ht="15" customHeight="1">
      <c r="A4282" t="inlineStr">
        <is>
          <t>A 16167-2021</t>
        </is>
      </c>
      <c r="B4282" s="1" t="n">
        <v>44287</v>
      </c>
      <c r="C4282" s="1" t="n">
        <v>45810</v>
      </c>
      <c r="D4282" t="inlineStr">
        <is>
          <t>VÄRMLANDS LÄN</t>
        </is>
      </c>
      <c r="E4282" t="inlineStr">
        <is>
          <t>KIL</t>
        </is>
      </c>
      <c r="G4282" t="n">
        <v>3.1</v>
      </c>
      <c r="H4282" t="n">
        <v>0</v>
      </c>
      <c r="I4282" t="n">
        <v>0</v>
      </c>
      <c r="J4282" t="n">
        <v>0</v>
      </c>
      <c r="K4282" t="n">
        <v>0</v>
      </c>
      <c r="L4282" t="n">
        <v>0</v>
      </c>
      <c r="M4282" t="n">
        <v>0</v>
      </c>
      <c r="N4282" t="n">
        <v>0</v>
      </c>
      <c r="O4282" t="n">
        <v>0</v>
      </c>
      <c r="P4282" t="n">
        <v>0</v>
      </c>
      <c r="Q4282" t="n">
        <v>0</v>
      </c>
      <c r="R4282" s="2" t="inlineStr"/>
    </row>
    <row r="4283" ht="15" customHeight="1">
      <c r="A4283" t="inlineStr">
        <is>
          <t>A 16163-2021</t>
        </is>
      </c>
      <c r="B4283" s="1" t="n">
        <v>44287</v>
      </c>
      <c r="C4283" s="1" t="n">
        <v>45810</v>
      </c>
      <c r="D4283" t="inlineStr">
        <is>
          <t>VÄRMLANDS LÄN</t>
        </is>
      </c>
      <c r="E4283" t="inlineStr">
        <is>
          <t>KIL</t>
        </is>
      </c>
      <c r="G4283" t="n">
        <v>2.9</v>
      </c>
      <c r="H4283" t="n">
        <v>0</v>
      </c>
      <c r="I4283" t="n">
        <v>0</v>
      </c>
      <c r="J4283" t="n">
        <v>0</v>
      </c>
      <c r="K4283" t="n">
        <v>0</v>
      </c>
      <c r="L4283" t="n">
        <v>0</v>
      </c>
      <c r="M4283" t="n">
        <v>0</v>
      </c>
      <c r="N4283" t="n">
        <v>0</v>
      </c>
      <c r="O4283" t="n">
        <v>0</v>
      </c>
      <c r="P4283" t="n">
        <v>0</v>
      </c>
      <c r="Q4283" t="n">
        <v>0</v>
      </c>
      <c r="R4283" s="2" t="inlineStr"/>
    </row>
    <row r="4284" ht="15" customHeight="1">
      <c r="A4284" t="inlineStr">
        <is>
          <t>A 15939-2021</t>
        </is>
      </c>
      <c r="B4284" s="1" t="n">
        <v>44287</v>
      </c>
      <c r="C4284" s="1" t="n">
        <v>45810</v>
      </c>
      <c r="D4284" t="inlineStr">
        <is>
          <t>VÄRMLANDS LÄN</t>
        </is>
      </c>
      <c r="E4284" t="inlineStr">
        <is>
          <t>TORSBY</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15981-2021</t>
        </is>
      </c>
      <c r="B4285" s="1" t="n">
        <v>44287</v>
      </c>
      <c r="C4285" s="1" t="n">
        <v>45810</v>
      </c>
      <c r="D4285" t="inlineStr">
        <is>
          <t>VÄRMLANDS LÄN</t>
        </is>
      </c>
      <c r="E4285" t="inlineStr">
        <is>
          <t>ARVIKA</t>
        </is>
      </c>
      <c r="G4285" t="n">
        <v>3.3</v>
      </c>
      <c r="H4285" t="n">
        <v>0</v>
      </c>
      <c r="I4285" t="n">
        <v>0</v>
      </c>
      <c r="J4285" t="n">
        <v>0</v>
      </c>
      <c r="K4285" t="n">
        <v>0</v>
      </c>
      <c r="L4285" t="n">
        <v>0</v>
      </c>
      <c r="M4285" t="n">
        <v>0</v>
      </c>
      <c r="N4285" t="n">
        <v>0</v>
      </c>
      <c r="O4285" t="n">
        <v>0</v>
      </c>
      <c r="P4285" t="n">
        <v>0</v>
      </c>
      <c r="Q4285" t="n">
        <v>0</v>
      </c>
      <c r="R4285" s="2" t="inlineStr"/>
    </row>
    <row r="4286" ht="15" customHeight="1">
      <c r="A4286" t="inlineStr">
        <is>
          <t>A 16168-2021</t>
        </is>
      </c>
      <c r="B4286" s="1" t="n">
        <v>44287</v>
      </c>
      <c r="C4286" s="1" t="n">
        <v>45810</v>
      </c>
      <c r="D4286" t="inlineStr">
        <is>
          <t>VÄRMLANDS LÄN</t>
        </is>
      </c>
      <c r="E4286" t="inlineStr">
        <is>
          <t>KIL</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16052-2021</t>
        </is>
      </c>
      <c r="B4287" s="1" t="n">
        <v>44287</v>
      </c>
      <c r="C4287" s="1" t="n">
        <v>45810</v>
      </c>
      <c r="D4287" t="inlineStr">
        <is>
          <t>VÄRMLANDS LÄN</t>
        </is>
      </c>
      <c r="E4287" t="inlineStr">
        <is>
          <t>SUNNE</t>
        </is>
      </c>
      <c r="F4287" t="inlineStr">
        <is>
          <t>Övriga Aktiebolag</t>
        </is>
      </c>
      <c r="G4287" t="n">
        <v>6.6</v>
      </c>
      <c r="H4287" t="n">
        <v>0</v>
      </c>
      <c r="I4287" t="n">
        <v>0</v>
      </c>
      <c r="J4287" t="n">
        <v>0</v>
      </c>
      <c r="K4287" t="n">
        <v>0</v>
      </c>
      <c r="L4287" t="n">
        <v>0</v>
      </c>
      <c r="M4287" t="n">
        <v>0</v>
      </c>
      <c r="N4287" t="n">
        <v>0</v>
      </c>
      <c r="O4287" t="n">
        <v>0</v>
      </c>
      <c r="P4287" t="n">
        <v>0</v>
      </c>
      <c r="Q4287" t="n">
        <v>0</v>
      </c>
      <c r="R4287" s="2" t="inlineStr"/>
    </row>
    <row r="4288" ht="15" customHeight="1">
      <c r="A4288" t="inlineStr">
        <is>
          <t>A 16169-2021</t>
        </is>
      </c>
      <c r="B4288" s="1" t="n">
        <v>44287</v>
      </c>
      <c r="C4288" s="1" t="n">
        <v>45810</v>
      </c>
      <c r="D4288" t="inlineStr">
        <is>
          <t>VÄRMLANDS LÄN</t>
        </is>
      </c>
      <c r="E4288" t="inlineStr">
        <is>
          <t>KIL</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16078-2021</t>
        </is>
      </c>
      <c r="B4289" s="1" t="n">
        <v>44288</v>
      </c>
      <c r="C4289" s="1" t="n">
        <v>45810</v>
      </c>
      <c r="D4289" t="inlineStr">
        <is>
          <t>VÄRMLANDS LÄN</t>
        </is>
      </c>
      <c r="E4289" t="inlineStr">
        <is>
          <t>EDA</t>
        </is>
      </c>
      <c r="G4289" t="n">
        <v>5.8</v>
      </c>
      <c r="H4289" t="n">
        <v>0</v>
      </c>
      <c r="I4289" t="n">
        <v>0</v>
      </c>
      <c r="J4289" t="n">
        <v>0</v>
      </c>
      <c r="K4289" t="n">
        <v>0</v>
      </c>
      <c r="L4289" t="n">
        <v>0</v>
      </c>
      <c r="M4289" t="n">
        <v>0</v>
      </c>
      <c r="N4289" t="n">
        <v>0</v>
      </c>
      <c r="O4289" t="n">
        <v>0</v>
      </c>
      <c r="P4289" t="n">
        <v>0</v>
      </c>
      <c r="Q4289" t="n">
        <v>0</v>
      </c>
      <c r="R4289" s="2" t="inlineStr"/>
    </row>
    <row r="4290" ht="15" customHeight="1">
      <c r="A4290" t="inlineStr">
        <is>
          <t>A 16079-2021</t>
        </is>
      </c>
      <c r="B4290" s="1" t="n">
        <v>44288</v>
      </c>
      <c r="C4290" s="1" t="n">
        <v>45810</v>
      </c>
      <c r="D4290" t="inlineStr">
        <is>
          <t>VÄRMLANDS LÄN</t>
        </is>
      </c>
      <c r="E4290" t="inlineStr">
        <is>
          <t>EDA</t>
        </is>
      </c>
      <c r="G4290" t="n">
        <v>0.3</v>
      </c>
      <c r="H4290" t="n">
        <v>0</v>
      </c>
      <c r="I4290" t="n">
        <v>0</v>
      </c>
      <c r="J4290" t="n">
        <v>0</v>
      </c>
      <c r="K4290" t="n">
        <v>0</v>
      </c>
      <c r="L4290" t="n">
        <v>0</v>
      </c>
      <c r="M4290" t="n">
        <v>0</v>
      </c>
      <c r="N4290" t="n">
        <v>0</v>
      </c>
      <c r="O4290" t="n">
        <v>0</v>
      </c>
      <c r="P4290" t="n">
        <v>0</v>
      </c>
      <c r="Q4290" t="n">
        <v>0</v>
      </c>
      <c r="R4290" s="2" t="inlineStr"/>
    </row>
    <row r="4291" ht="15" customHeight="1">
      <c r="A4291" t="inlineStr">
        <is>
          <t>A 16092-2021</t>
        </is>
      </c>
      <c r="B4291" s="1" t="n">
        <v>44289</v>
      </c>
      <c r="C4291" s="1" t="n">
        <v>45810</v>
      </c>
      <c r="D4291" t="inlineStr">
        <is>
          <t>VÄRMLANDS LÄN</t>
        </is>
      </c>
      <c r="E4291" t="inlineStr">
        <is>
          <t>GRUMS</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16105-2021</t>
        </is>
      </c>
      <c r="B4292" s="1" t="n">
        <v>44290</v>
      </c>
      <c r="C4292" s="1" t="n">
        <v>45810</v>
      </c>
      <c r="D4292" t="inlineStr">
        <is>
          <t>VÄRMLANDS LÄN</t>
        </is>
      </c>
      <c r="E4292" t="inlineStr">
        <is>
          <t>EDA</t>
        </is>
      </c>
      <c r="G4292" t="n">
        <v>4.6</v>
      </c>
      <c r="H4292" t="n">
        <v>0</v>
      </c>
      <c r="I4292" t="n">
        <v>0</v>
      </c>
      <c r="J4292" t="n">
        <v>0</v>
      </c>
      <c r="K4292" t="n">
        <v>0</v>
      </c>
      <c r="L4292" t="n">
        <v>0</v>
      </c>
      <c r="M4292" t="n">
        <v>0</v>
      </c>
      <c r="N4292" t="n">
        <v>0</v>
      </c>
      <c r="O4292" t="n">
        <v>0</v>
      </c>
      <c r="P4292" t="n">
        <v>0</v>
      </c>
      <c r="Q4292" t="n">
        <v>0</v>
      </c>
      <c r="R4292" s="2" t="inlineStr"/>
    </row>
    <row r="4293" ht="15" customHeight="1">
      <c r="A4293" t="inlineStr">
        <is>
          <t>A 16103-2021</t>
        </is>
      </c>
      <c r="B4293" s="1" t="n">
        <v>44290</v>
      </c>
      <c r="C4293" s="1" t="n">
        <v>45810</v>
      </c>
      <c r="D4293" t="inlineStr">
        <is>
          <t>VÄRMLANDS LÄN</t>
        </is>
      </c>
      <c r="E4293" t="inlineStr">
        <is>
          <t>EDA</t>
        </is>
      </c>
      <c r="G4293" t="n">
        <v>11.1</v>
      </c>
      <c r="H4293" t="n">
        <v>0</v>
      </c>
      <c r="I4293" t="n">
        <v>0</v>
      </c>
      <c r="J4293" t="n">
        <v>0</v>
      </c>
      <c r="K4293" t="n">
        <v>0</v>
      </c>
      <c r="L4293" t="n">
        <v>0</v>
      </c>
      <c r="M4293" t="n">
        <v>0</v>
      </c>
      <c r="N4293" t="n">
        <v>0</v>
      </c>
      <c r="O4293" t="n">
        <v>0</v>
      </c>
      <c r="P4293" t="n">
        <v>0</v>
      </c>
      <c r="Q4293" t="n">
        <v>0</v>
      </c>
      <c r="R4293" s="2" t="inlineStr"/>
    </row>
    <row r="4294" ht="15" customHeight="1">
      <c r="A4294" t="inlineStr">
        <is>
          <t>A 16104-2021</t>
        </is>
      </c>
      <c r="B4294" s="1" t="n">
        <v>44290</v>
      </c>
      <c r="C4294" s="1" t="n">
        <v>45810</v>
      </c>
      <c r="D4294" t="inlineStr">
        <is>
          <t>VÄRMLANDS LÄN</t>
        </is>
      </c>
      <c r="E4294" t="inlineStr">
        <is>
          <t>EDA</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16248-2021</t>
        </is>
      </c>
      <c r="B4295" s="1" t="n">
        <v>44291</v>
      </c>
      <c r="C4295" s="1" t="n">
        <v>45810</v>
      </c>
      <c r="D4295" t="inlineStr">
        <is>
          <t>VÄRMLANDS LÄN</t>
        </is>
      </c>
      <c r="E4295" t="inlineStr">
        <is>
          <t>ARVIKA</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16206-2021</t>
        </is>
      </c>
      <c r="B4296" s="1" t="n">
        <v>44292</v>
      </c>
      <c r="C4296" s="1" t="n">
        <v>45810</v>
      </c>
      <c r="D4296" t="inlineStr">
        <is>
          <t>VÄRMLANDS LÄN</t>
        </is>
      </c>
      <c r="E4296" t="inlineStr">
        <is>
          <t>KARLSTAD</t>
        </is>
      </c>
      <c r="G4296" t="n">
        <v>3.5</v>
      </c>
      <c r="H4296" t="n">
        <v>0</v>
      </c>
      <c r="I4296" t="n">
        <v>0</v>
      </c>
      <c r="J4296" t="n">
        <v>0</v>
      </c>
      <c r="K4296" t="n">
        <v>0</v>
      </c>
      <c r="L4296" t="n">
        <v>0</v>
      </c>
      <c r="M4296" t="n">
        <v>0</v>
      </c>
      <c r="N4296" t="n">
        <v>0</v>
      </c>
      <c r="O4296" t="n">
        <v>0</v>
      </c>
      <c r="P4296" t="n">
        <v>0</v>
      </c>
      <c r="Q4296" t="n">
        <v>0</v>
      </c>
      <c r="R4296" s="2" t="inlineStr"/>
    </row>
    <row r="4297" ht="15" customHeight="1">
      <c r="A4297" t="inlineStr">
        <is>
          <t>A 16303-2021</t>
        </is>
      </c>
      <c r="B4297" s="1" t="n">
        <v>44292</v>
      </c>
      <c r="C4297" s="1" t="n">
        <v>45810</v>
      </c>
      <c r="D4297" t="inlineStr">
        <is>
          <t>VÄRMLANDS LÄN</t>
        </is>
      </c>
      <c r="E4297" t="inlineStr">
        <is>
          <t>TORSBY</t>
        </is>
      </c>
      <c r="G4297" t="n">
        <v>3.5</v>
      </c>
      <c r="H4297" t="n">
        <v>0</v>
      </c>
      <c r="I4297" t="n">
        <v>0</v>
      </c>
      <c r="J4297" t="n">
        <v>0</v>
      </c>
      <c r="K4297" t="n">
        <v>0</v>
      </c>
      <c r="L4297" t="n">
        <v>0</v>
      </c>
      <c r="M4297" t="n">
        <v>0</v>
      </c>
      <c r="N4297" t="n">
        <v>0</v>
      </c>
      <c r="O4297" t="n">
        <v>0</v>
      </c>
      <c r="P4297" t="n">
        <v>0</v>
      </c>
      <c r="Q4297" t="n">
        <v>0</v>
      </c>
      <c r="R4297" s="2" t="inlineStr"/>
    </row>
    <row r="4298" ht="15" customHeight="1">
      <c r="A4298" t="inlineStr">
        <is>
          <t>A 16176-2021</t>
        </is>
      </c>
      <c r="B4298" s="1" t="n">
        <v>44292</v>
      </c>
      <c r="C4298" s="1" t="n">
        <v>45810</v>
      </c>
      <c r="D4298" t="inlineStr">
        <is>
          <t>VÄRMLANDS LÄN</t>
        </is>
      </c>
      <c r="E4298" t="inlineStr">
        <is>
          <t>ÅRJÄNG</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16299-2021</t>
        </is>
      </c>
      <c r="B4299" s="1" t="n">
        <v>44292</v>
      </c>
      <c r="C4299" s="1" t="n">
        <v>45810</v>
      </c>
      <c r="D4299" t="inlineStr">
        <is>
          <t>VÄRMLANDS LÄN</t>
        </is>
      </c>
      <c r="E4299" t="inlineStr">
        <is>
          <t>TORSBY</t>
        </is>
      </c>
      <c r="G4299" t="n">
        <v>3.4</v>
      </c>
      <c r="H4299" t="n">
        <v>0</v>
      </c>
      <c r="I4299" t="n">
        <v>0</v>
      </c>
      <c r="J4299" t="n">
        <v>0</v>
      </c>
      <c r="K4299" t="n">
        <v>0</v>
      </c>
      <c r="L4299" t="n">
        <v>0</v>
      </c>
      <c r="M4299" t="n">
        <v>0</v>
      </c>
      <c r="N4299" t="n">
        <v>0</v>
      </c>
      <c r="O4299" t="n">
        <v>0</v>
      </c>
      <c r="P4299" t="n">
        <v>0</v>
      </c>
      <c r="Q4299" t="n">
        <v>0</v>
      </c>
      <c r="R4299" s="2" t="inlineStr"/>
    </row>
    <row r="4300" ht="15" customHeight="1">
      <c r="A4300" t="inlineStr">
        <is>
          <t>A 16466-2021</t>
        </is>
      </c>
      <c r="B4300" s="1" t="n">
        <v>44292</v>
      </c>
      <c r="C4300" s="1" t="n">
        <v>45810</v>
      </c>
      <c r="D4300" t="inlineStr">
        <is>
          <t>VÄRMLANDS LÄN</t>
        </is>
      </c>
      <c r="E4300" t="inlineStr">
        <is>
          <t>GRUMS</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16375-2021</t>
        </is>
      </c>
      <c r="B4301" s="1" t="n">
        <v>44292</v>
      </c>
      <c r="C4301" s="1" t="n">
        <v>45810</v>
      </c>
      <c r="D4301" t="inlineStr">
        <is>
          <t>VÄRMLANDS LÄN</t>
        </is>
      </c>
      <c r="E4301" t="inlineStr">
        <is>
          <t>TORSBY</t>
        </is>
      </c>
      <c r="G4301" t="n">
        <v>2.3</v>
      </c>
      <c r="H4301" t="n">
        <v>0</v>
      </c>
      <c r="I4301" t="n">
        <v>0</v>
      </c>
      <c r="J4301" t="n">
        <v>0</v>
      </c>
      <c r="K4301" t="n">
        <v>0</v>
      </c>
      <c r="L4301" t="n">
        <v>0</v>
      </c>
      <c r="M4301" t="n">
        <v>0</v>
      </c>
      <c r="N4301" t="n">
        <v>0</v>
      </c>
      <c r="O4301" t="n">
        <v>0</v>
      </c>
      <c r="P4301" t="n">
        <v>0</v>
      </c>
      <c r="Q4301" t="n">
        <v>0</v>
      </c>
      <c r="R4301" s="2" t="inlineStr"/>
    </row>
    <row r="4302" ht="15" customHeight="1">
      <c r="A4302" t="inlineStr">
        <is>
          <t>A 16467-2021</t>
        </is>
      </c>
      <c r="B4302" s="1" t="n">
        <v>44292</v>
      </c>
      <c r="C4302" s="1" t="n">
        <v>45810</v>
      </c>
      <c r="D4302" t="inlineStr">
        <is>
          <t>VÄRMLANDS LÄN</t>
        </is>
      </c>
      <c r="E4302" t="inlineStr">
        <is>
          <t>GRUMS</t>
        </is>
      </c>
      <c r="G4302" t="n">
        <v>2.5</v>
      </c>
      <c r="H4302" t="n">
        <v>0</v>
      </c>
      <c r="I4302" t="n">
        <v>0</v>
      </c>
      <c r="J4302" t="n">
        <v>0</v>
      </c>
      <c r="K4302" t="n">
        <v>0</v>
      </c>
      <c r="L4302" t="n">
        <v>0</v>
      </c>
      <c r="M4302" t="n">
        <v>0</v>
      </c>
      <c r="N4302" t="n">
        <v>0</v>
      </c>
      <c r="O4302" t="n">
        <v>0</v>
      </c>
      <c r="P4302" t="n">
        <v>0</v>
      </c>
      <c r="Q4302" t="n">
        <v>0</v>
      </c>
      <c r="R4302" s="2" t="inlineStr"/>
    </row>
    <row r="4303" ht="15" customHeight="1">
      <c r="A4303" t="inlineStr">
        <is>
          <t>A 16540-2021</t>
        </is>
      </c>
      <c r="B4303" s="1" t="n">
        <v>44293</v>
      </c>
      <c r="C4303" s="1" t="n">
        <v>45810</v>
      </c>
      <c r="D4303" t="inlineStr">
        <is>
          <t>VÄRMLANDS LÄN</t>
        </is>
      </c>
      <c r="E4303" t="inlineStr">
        <is>
          <t>ARVIKA</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16646-2021</t>
        </is>
      </c>
      <c r="B4304" s="1" t="n">
        <v>44294</v>
      </c>
      <c r="C4304" s="1" t="n">
        <v>45810</v>
      </c>
      <c r="D4304" t="inlineStr">
        <is>
          <t>VÄRMLANDS LÄN</t>
        </is>
      </c>
      <c r="E4304" t="inlineStr">
        <is>
          <t>SÄFFLE</t>
        </is>
      </c>
      <c r="G4304" t="n">
        <v>2.1</v>
      </c>
      <c r="H4304" t="n">
        <v>0</v>
      </c>
      <c r="I4304" t="n">
        <v>0</v>
      </c>
      <c r="J4304" t="n">
        <v>0</v>
      </c>
      <c r="K4304" t="n">
        <v>0</v>
      </c>
      <c r="L4304" t="n">
        <v>0</v>
      </c>
      <c r="M4304" t="n">
        <v>0</v>
      </c>
      <c r="N4304" t="n">
        <v>0</v>
      </c>
      <c r="O4304" t="n">
        <v>0</v>
      </c>
      <c r="P4304" t="n">
        <v>0</v>
      </c>
      <c r="Q4304" t="n">
        <v>0</v>
      </c>
      <c r="R4304" s="2" t="inlineStr"/>
    </row>
    <row r="4305" ht="15" customHeight="1">
      <c r="A4305" t="inlineStr">
        <is>
          <t>A 16655-2021</t>
        </is>
      </c>
      <c r="B4305" s="1" t="n">
        <v>44294</v>
      </c>
      <c r="C4305" s="1" t="n">
        <v>45810</v>
      </c>
      <c r="D4305" t="inlineStr">
        <is>
          <t>VÄRMLANDS LÄN</t>
        </is>
      </c>
      <c r="E4305" t="inlineStr">
        <is>
          <t>FORSHAGA</t>
        </is>
      </c>
      <c r="F4305" t="inlineStr">
        <is>
          <t>Bergvik skog väst AB</t>
        </is>
      </c>
      <c r="G4305" t="n">
        <v>2.7</v>
      </c>
      <c r="H4305" t="n">
        <v>0</v>
      </c>
      <c r="I4305" t="n">
        <v>0</v>
      </c>
      <c r="J4305" t="n">
        <v>0</v>
      </c>
      <c r="K4305" t="n">
        <v>0</v>
      </c>
      <c r="L4305" t="n">
        <v>0</v>
      </c>
      <c r="M4305" t="n">
        <v>0</v>
      </c>
      <c r="N4305" t="n">
        <v>0</v>
      </c>
      <c r="O4305" t="n">
        <v>0</v>
      </c>
      <c r="P4305" t="n">
        <v>0</v>
      </c>
      <c r="Q4305" t="n">
        <v>0</v>
      </c>
      <c r="R4305" s="2" t="inlineStr"/>
    </row>
    <row r="4306" ht="15" customHeight="1">
      <c r="A4306" t="inlineStr">
        <is>
          <t>A 16676-2021</t>
        </is>
      </c>
      <c r="B4306" s="1" t="n">
        <v>44294</v>
      </c>
      <c r="C4306" s="1" t="n">
        <v>45810</v>
      </c>
      <c r="D4306" t="inlineStr">
        <is>
          <t>VÄRMLANDS LÄN</t>
        </is>
      </c>
      <c r="E4306" t="inlineStr">
        <is>
          <t>ÅRJÄNG</t>
        </is>
      </c>
      <c r="G4306" t="n">
        <v>4.3</v>
      </c>
      <c r="H4306" t="n">
        <v>0</v>
      </c>
      <c r="I4306" t="n">
        <v>0</v>
      </c>
      <c r="J4306" t="n">
        <v>0</v>
      </c>
      <c r="K4306" t="n">
        <v>0</v>
      </c>
      <c r="L4306" t="n">
        <v>0</v>
      </c>
      <c r="M4306" t="n">
        <v>0</v>
      </c>
      <c r="N4306" t="n">
        <v>0</v>
      </c>
      <c r="O4306" t="n">
        <v>0</v>
      </c>
      <c r="P4306" t="n">
        <v>0</v>
      </c>
      <c r="Q4306" t="n">
        <v>0</v>
      </c>
      <c r="R4306" s="2" t="inlineStr"/>
    </row>
    <row r="4307" ht="15" customHeight="1">
      <c r="A4307" t="inlineStr">
        <is>
          <t>A 16689-2021</t>
        </is>
      </c>
      <c r="B4307" s="1" t="n">
        <v>44294</v>
      </c>
      <c r="C4307" s="1" t="n">
        <v>45810</v>
      </c>
      <c r="D4307" t="inlineStr">
        <is>
          <t>VÄRMLANDS LÄN</t>
        </is>
      </c>
      <c r="E4307" t="inlineStr">
        <is>
          <t>ÅRJÄNG</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16867-2021</t>
        </is>
      </c>
      <c r="B4308" s="1" t="n">
        <v>44295</v>
      </c>
      <c r="C4308" s="1" t="n">
        <v>45810</v>
      </c>
      <c r="D4308" t="inlineStr">
        <is>
          <t>VÄRMLANDS LÄN</t>
        </is>
      </c>
      <c r="E4308" t="inlineStr">
        <is>
          <t>ARVIKA</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16940-2021</t>
        </is>
      </c>
      <c r="B4309" s="1" t="n">
        <v>44295</v>
      </c>
      <c r="C4309" s="1" t="n">
        <v>45810</v>
      </c>
      <c r="D4309" t="inlineStr">
        <is>
          <t>VÄRMLANDS LÄN</t>
        </is>
      </c>
      <c r="E4309" t="inlineStr">
        <is>
          <t>SUNNE</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16797-2021</t>
        </is>
      </c>
      <c r="B4310" s="1" t="n">
        <v>44295</v>
      </c>
      <c r="C4310" s="1" t="n">
        <v>45810</v>
      </c>
      <c r="D4310" t="inlineStr">
        <is>
          <t>VÄRMLANDS LÄN</t>
        </is>
      </c>
      <c r="E4310" t="inlineStr">
        <is>
          <t>ARVIKA</t>
        </is>
      </c>
      <c r="G4310" t="n">
        <v>0.3</v>
      </c>
      <c r="H4310" t="n">
        <v>0</v>
      </c>
      <c r="I4310" t="n">
        <v>0</v>
      </c>
      <c r="J4310" t="n">
        <v>0</v>
      </c>
      <c r="K4310" t="n">
        <v>0</v>
      </c>
      <c r="L4310" t="n">
        <v>0</v>
      </c>
      <c r="M4310" t="n">
        <v>0</v>
      </c>
      <c r="N4310" t="n">
        <v>0</v>
      </c>
      <c r="O4310" t="n">
        <v>0</v>
      </c>
      <c r="P4310" t="n">
        <v>0</v>
      </c>
      <c r="Q4310" t="n">
        <v>0</v>
      </c>
      <c r="R4310" s="2" t="inlineStr"/>
    </row>
    <row r="4311" ht="15" customHeight="1">
      <c r="A4311" t="inlineStr">
        <is>
          <t>A 16820-2021</t>
        </is>
      </c>
      <c r="B4311" s="1" t="n">
        <v>44295</v>
      </c>
      <c r="C4311" s="1" t="n">
        <v>45810</v>
      </c>
      <c r="D4311" t="inlineStr">
        <is>
          <t>VÄRMLANDS LÄN</t>
        </is>
      </c>
      <c r="E4311" t="inlineStr">
        <is>
          <t>KARLSTAD</t>
        </is>
      </c>
      <c r="G4311" t="n">
        <v>2.9</v>
      </c>
      <c r="H4311" t="n">
        <v>0</v>
      </c>
      <c r="I4311" t="n">
        <v>0</v>
      </c>
      <c r="J4311" t="n">
        <v>0</v>
      </c>
      <c r="K4311" t="n">
        <v>0</v>
      </c>
      <c r="L4311" t="n">
        <v>0</v>
      </c>
      <c r="M4311" t="n">
        <v>0</v>
      </c>
      <c r="N4311" t="n">
        <v>0</v>
      </c>
      <c r="O4311" t="n">
        <v>0</v>
      </c>
      <c r="P4311" t="n">
        <v>0</v>
      </c>
      <c r="Q4311" t="n">
        <v>0</v>
      </c>
      <c r="R4311" s="2" t="inlineStr"/>
    </row>
    <row r="4312" ht="15" customHeight="1">
      <c r="A4312" t="inlineStr">
        <is>
          <t>A 16890-2021</t>
        </is>
      </c>
      <c r="B4312" s="1" t="n">
        <v>44295</v>
      </c>
      <c r="C4312" s="1" t="n">
        <v>45810</v>
      </c>
      <c r="D4312" t="inlineStr">
        <is>
          <t>VÄRMLANDS LÄN</t>
        </is>
      </c>
      <c r="E4312" t="inlineStr">
        <is>
          <t>HAMMARÖ</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16861-2021</t>
        </is>
      </c>
      <c r="B4313" s="1" t="n">
        <v>44295</v>
      </c>
      <c r="C4313" s="1" t="n">
        <v>45810</v>
      </c>
      <c r="D4313" t="inlineStr">
        <is>
          <t>VÄRMLANDS LÄN</t>
        </is>
      </c>
      <c r="E4313" t="inlineStr">
        <is>
          <t>KARLSTAD</t>
        </is>
      </c>
      <c r="G4313" t="n">
        <v>2.4</v>
      </c>
      <c r="H4313" t="n">
        <v>0</v>
      </c>
      <c r="I4313" t="n">
        <v>0</v>
      </c>
      <c r="J4313" t="n">
        <v>0</v>
      </c>
      <c r="K4313" t="n">
        <v>0</v>
      </c>
      <c r="L4313" t="n">
        <v>0</v>
      </c>
      <c r="M4313" t="n">
        <v>0</v>
      </c>
      <c r="N4313" t="n">
        <v>0</v>
      </c>
      <c r="O4313" t="n">
        <v>0</v>
      </c>
      <c r="P4313" t="n">
        <v>0</v>
      </c>
      <c r="Q4313" t="n">
        <v>0</v>
      </c>
      <c r="R4313" s="2" t="inlineStr"/>
    </row>
    <row r="4314" ht="15" customHeight="1">
      <c r="A4314" t="inlineStr">
        <is>
          <t>A 16941-2021</t>
        </is>
      </c>
      <c r="B4314" s="1" t="n">
        <v>44295</v>
      </c>
      <c r="C4314" s="1" t="n">
        <v>45810</v>
      </c>
      <c r="D4314" t="inlineStr">
        <is>
          <t>VÄRMLANDS LÄN</t>
        </is>
      </c>
      <c r="E4314" t="inlineStr">
        <is>
          <t>ARVIKA</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16981-2021</t>
        </is>
      </c>
      <c r="B4315" s="1" t="n">
        <v>44295</v>
      </c>
      <c r="C4315" s="1" t="n">
        <v>45810</v>
      </c>
      <c r="D4315" t="inlineStr">
        <is>
          <t>VÄRMLANDS LÄN</t>
        </is>
      </c>
      <c r="E4315" t="inlineStr">
        <is>
          <t>ARVIKA</t>
        </is>
      </c>
      <c r="G4315" t="n">
        <v>3.3</v>
      </c>
      <c r="H4315" t="n">
        <v>0</v>
      </c>
      <c r="I4315" t="n">
        <v>0</v>
      </c>
      <c r="J4315" t="n">
        <v>0</v>
      </c>
      <c r="K4315" t="n">
        <v>0</v>
      </c>
      <c r="L4315" t="n">
        <v>0</v>
      </c>
      <c r="M4315" t="n">
        <v>0</v>
      </c>
      <c r="N4315" t="n">
        <v>0</v>
      </c>
      <c r="O4315" t="n">
        <v>0</v>
      </c>
      <c r="P4315" t="n">
        <v>0</v>
      </c>
      <c r="Q4315" t="n">
        <v>0</v>
      </c>
      <c r="R4315" s="2" t="inlineStr"/>
    </row>
    <row r="4316" ht="15" customHeight="1">
      <c r="A4316" t="inlineStr">
        <is>
          <t>A 17054-2021</t>
        </is>
      </c>
      <c r="B4316" s="1" t="n">
        <v>44296</v>
      </c>
      <c r="C4316" s="1" t="n">
        <v>45810</v>
      </c>
      <c r="D4316" t="inlineStr">
        <is>
          <t>VÄRMLANDS LÄN</t>
        </is>
      </c>
      <c r="E4316" t="inlineStr">
        <is>
          <t>SÄFFLE</t>
        </is>
      </c>
      <c r="G4316" t="n">
        <v>5.2</v>
      </c>
      <c r="H4316" t="n">
        <v>0</v>
      </c>
      <c r="I4316" t="n">
        <v>0</v>
      </c>
      <c r="J4316" t="n">
        <v>0</v>
      </c>
      <c r="K4316" t="n">
        <v>0</v>
      </c>
      <c r="L4316" t="n">
        <v>0</v>
      </c>
      <c r="M4316" t="n">
        <v>0</v>
      </c>
      <c r="N4316" t="n">
        <v>0</v>
      </c>
      <c r="O4316" t="n">
        <v>0</v>
      </c>
      <c r="P4316" t="n">
        <v>0</v>
      </c>
      <c r="Q4316" t="n">
        <v>0</v>
      </c>
      <c r="R4316" s="2" t="inlineStr"/>
    </row>
    <row r="4317" ht="15" customHeight="1">
      <c r="A4317" t="inlineStr">
        <is>
          <t>A 17067-2021</t>
        </is>
      </c>
      <c r="B4317" s="1" t="n">
        <v>44297</v>
      </c>
      <c r="C4317" s="1" t="n">
        <v>45810</v>
      </c>
      <c r="D4317" t="inlineStr">
        <is>
          <t>VÄRMLANDS LÄN</t>
        </is>
      </c>
      <c r="E4317" t="inlineStr">
        <is>
          <t>HAGFORS</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17248-2021</t>
        </is>
      </c>
      <c r="B4318" s="1" t="n">
        <v>44298</v>
      </c>
      <c r="C4318" s="1" t="n">
        <v>45810</v>
      </c>
      <c r="D4318" t="inlineStr">
        <is>
          <t>VÄRMLANDS LÄN</t>
        </is>
      </c>
      <c r="E4318" t="inlineStr">
        <is>
          <t>ÅRJÄNG</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17158-2021</t>
        </is>
      </c>
      <c r="B4319" s="1" t="n">
        <v>44298</v>
      </c>
      <c r="C4319" s="1" t="n">
        <v>45810</v>
      </c>
      <c r="D4319" t="inlineStr">
        <is>
          <t>VÄRMLANDS LÄN</t>
        </is>
      </c>
      <c r="E4319" t="inlineStr">
        <is>
          <t>ARVIKA</t>
        </is>
      </c>
      <c r="F4319" t="inlineStr">
        <is>
          <t>Bergvik skog väst AB</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17178-2021</t>
        </is>
      </c>
      <c r="B4320" s="1" t="n">
        <v>44298</v>
      </c>
      <c r="C4320" s="1" t="n">
        <v>45810</v>
      </c>
      <c r="D4320" t="inlineStr">
        <is>
          <t>VÄRMLANDS LÄN</t>
        </is>
      </c>
      <c r="E4320" t="inlineStr">
        <is>
          <t>ÅRJÄNG</t>
        </is>
      </c>
      <c r="G4320" t="n">
        <v>4</v>
      </c>
      <c r="H4320" t="n">
        <v>0</v>
      </c>
      <c r="I4320" t="n">
        <v>0</v>
      </c>
      <c r="J4320" t="n">
        <v>0</v>
      </c>
      <c r="K4320" t="n">
        <v>0</v>
      </c>
      <c r="L4320" t="n">
        <v>0</v>
      </c>
      <c r="M4320" t="n">
        <v>0</v>
      </c>
      <c r="N4320" t="n">
        <v>0</v>
      </c>
      <c r="O4320" t="n">
        <v>0</v>
      </c>
      <c r="P4320" t="n">
        <v>0</v>
      </c>
      <c r="Q4320" t="n">
        <v>0</v>
      </c>
      <c r="R4320" s="2" t="inlineStr"/>
    </row>
    <row r="4321" ht="15" customHeight="1">
      <c r="A4321" t="inlineStr">
        <is>
          <t>A 17249-2021</t>
        </is>
      </c>
      <c r="B4321" s="1" t="n">
        <v>44298</v>
      </c>
      <c r="C4321" s="1" t="n">
        <v>45810</v>
      </c>
      <c r="D4321" t="inlineStr">
        <is>
          <t>VÄRMLANDS LÄN</t>
        </is>
      </c>
      <c r="E4321" t="inlineStr">
        <is>
          <t>TORSBY</t>
        </is>
      </c>
      <c r="G4321" t="n">
        <v>2.7</v>
      </c>
      <c r="H4321" t="n">
        <v>0</v>
      </c>
      <c r="I4321" t="n">
        <v>0</v>
      </c>
      <c r="J4321" t="n">
        <v>0</v>
      </c>
      <c r="K4321" t="n">
        <v>0</v>
      </c>
      <c r="L4321" t="n">
        <v>0</v>
      </c>
      <c r="M4321" t="n">
        <v>0</v>
      </c>
      <c r="N4321" t="n">
        <v>0</v>
      </c>
      <c r="O4321" t="n">
        <v>0</v>
      </c>
      <c r="P4321" t="n">
        <v>0</v>
      </c>
      <c r="Q4321" t="n">
        <v>0</v>
      </c>
      <c r="R4321" s="2" t="inlineStr"/>
    </row>
    <row r="4322" ht="15" customHeight="1">
      <c r="A4322" t="inlineStr">
        <is>
          <t>A 17140-2021</t>
        </is>
      </c>
      <c r="B4322" s="1" t="n">
        <v>44298</v>
      </c>
      <c r="C4322" s="1" t="n">
        <v>45810</v>
      </c>
      <c r="D4322" t="inlineStr">
        <is>
          <t>VÄRMLANDS LÄN</t>
        </is>
      </c>
      <c r="E4322" t="inlineStr">
        <is>
          <t>ARVIKA</t>
        </is>
      </c>
      <c r="F4322" t="inlineStr">
        <is>
          <t>Bergvik skog väst AB</t>
        </is>
      </c>
      <c r="G4322" t="n">
        <v>3.9</v>
      </c>
      <c r="H4322" t="n">
        <v>0</v>
      </c>
      <c r="I4322" t="n">
        <v>0</v>
      </c>
      <c r="J4322" t="n">
        <v>0</v>
      </c>
      <c r="K4322" t="n">
        <v>0</v>
      </c>
      <c r="L4322" t="n">
        <v>0</v>
      </c>
      <c r="M4322" t="n">
        <v>0</v>
      </c>
      <c r="N4322" t="n">
        <v>0</v>
      </c>
      <c r="O4322" t="n">
        <v>0</v>
      </c>
      <c r="P4322" t="n">
        <v>0</v>
      </c>
      <c r="Q4322" t="n">
        <v>0</v>
      </c>
      <c r="R4322" s="2" t="inlineStr"/>
    </row>
    <row r="4323" ht="15" customHeight="1">
      <c r="A4323" t="inlineStr">
        <is>
          <t>A 17162-2021</t>
        </is>
      </c>
      <c r="B4323" s="1" t="n">
        <v>44298</v>
      </c>
      <c r="C4323" s="1" t="n">
        <v>45810</v>
      </c>
      <c r="D4323" t="inlineStr">
        <is>
          <t>VÄRMLANDS LÄN</t>
        </is>
      </c>
      <c r="E4323" t="inlineStr">
        <is>
          <t>EDA</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17208-2021</t>
        </is>
      </c>
      <c r="B4324" s="1" t="n">
        <v>44298</v>
      </c>
      <c r="C4324" s="1" t="n">
        <v>45810</v>
      </c>
      <c r="D4324" t="inlineStr">
        <is>
          <t>VÄRMLANDS LÄN</t>
        </is>
      </c>
      <c r="E4324" t="inlineStr">
        <is>
          <t>KARLSTAD</t>
        </is>
      </c>
      <c r="G4324" t="n">
        <v>3.7</v>
      </c>
      <c r="H4324" t="n">
        <v>0</v>
      </c>
      <c r="I4324" t="n">
        <v>0</v>
      </c>
      <c r="J4324" t="n">
        <v>0</v>
      </c>
      <c r="K4324" t="n">
        <v>0</v>
      </c>
      <c r="L4324" t="n">
        <v>0</v>
      </c>
      <c r="M4324" t="n">
        <v>0</v>
      </c>
      <c r="N4324" t="n">
        <v>0</v>
      </c>
      <c r="O4324" t="n">
        <v>0</v>
      </c>
      <c r="P4324" t="n">
        <v>0</v>
      </c>
      <c r="Q4324" t="n">
        <v>0</v>
      </c>
      <c r="R4324" s="2" t="inlineStr"/>
    </row>
    <row r="4325" ht="15" customHeight="1">
      <c r="A4325" t="inlineStr">
        <is>
          <t>A 17559-2021</t>
        </is>
      </c>
      <c r="B4325" s="1" t="n">
        <v>44299</v>
      </c>
      <c r="C4325" s="1" t="n">
        <v>45810</v>
      </c>
      <c r="D4325" t="inlineStr">
        <is>
          <t>VÄRMLANDS LÄN</t>
        </is>
      </c>
      <c r="E4325" t="inlineStr">
        <is>
          <t>KIL</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17664-2021</t>
        </is>
      </c>
      <c r="B4326" s="1" t="n">
        <v>44299</v>
      </c>
      <c r="C4326" s="1" t="n">
        <v>45810</v>
      </c>
      <c r="D4326" t="inlineStr">
        <is>
          <t>VÄRMLANDS LÄN</t>
        </is>
      </c>
      <c r="E4326" t="inlineStr">
        <is>
          <t>GRUMS</t>
        </is>
      </c>
      <c r="F4326" t="inlineStr">
        <is>
          <t>Bergvik skog väst AB</t>
        </is>
      </c>
      <c r="G4326" t="n">
        <v>17.3</v>
      </c>
      <c r="H4326" t="n">
        <v>0</v>
      </c>
      <c r="I4326" t="n">
        <v>0</v>
      </c>
      <c r="J4326" t="n">
        <v>0</v>
      </c>
      <c r="K4326" t="n">
        <v>0</v>
      </c>
      <c r="L4326" t="n">
        <v>0</v>
      </c>
      <c r="M4326" t="n">
        <v>0</v>
      </c>
      <c r="N4326" t="n">
        <v>0</v>
      </c>
      <c r="O4326" t="n">
        <v>0</v>
      </c>
      <c r="P4326" t="n">
        <v>0</v>
      </c>
      <c r="Q4326" t="n">
        <v>0</v>
      </c>
      <c r="R4326" s="2" t="inlineStr"/>
    </row>
    <row r="4327" ht="15" customHeight="1">
      <c r="A4327" t="inlineStr">
        <is>
          <t>A 17665-2021</t>
        </is>
      </c>
      <c r="B4327" s="1" t="n">
        <v>44299</v>
      </c>
      <c r="C4327" s="1" t="n">
        <v>45810</v>
      </c>
      <c r="D4327" t="inlineStr">
        <is>
          <t>VÄRMLANDS LÄN</t>
        </is>
      </c>
      <c r="E4327" t="inlineStr">
        <is>
          <t>SÄFFLE</t>
        </is>
      </c>
      <c r="G4327" t="n">
        <v>13.7</v>
      </c>
      <c r="H4327" t="n">
        <v>0</v>
      </c>
      <c r="I4327" t="n">
        <v>0</v>
      </c>
      <c r="J4327" t="n">
        <v>0</v>
      </c>
      <c r="K4327" t="n">
        <v>0</v>
      </c>
      <c r="L4327" t="n">
        <v>0</v>
      </c>
      <c r="M4327" t="n">
        <v>0</v>
      </c>
      <c r="N4327" t="n">
        <v>0</v>
      </c>
      <c r="O4327" t="n">
        <v>0</v>
      </c>
      <c r="P4327" t="n">
        <v>0</v>
      </c>
      <c r="Q4327" t="n">
        <v>0</v>
      </c>
      <c r="R4327" s="2" t="inlineStr"/>
    </row>
    <row r="4328" ht="15" customHeight="1">
      <c r="A4328" t="inlineStr">
        <is>
          <t>A 17625-2021</t>
        </is>
      </c>
      <c r="B4328" s="1" t="n">
        <v>44299</v>
      </c>
      <c r="C4328" s="1" t="n">
        <v>45810</v>
      </c>
      <c r="D4328" t="inlineStr">
        <is>
          <t>VÄRMLANDS LÄN</t>
        </is>
      </c>
      <c r="E4328" t="inlineStr">
        <is>
          <t>STORFORS</t>
        </is>
      </c>
      <c r="G4328" t="n">
        <v>5.5</v>
      </c>
      <c r="H4328" t="n">
        <v>0</v>
      </c>
      <c r="I4328" t="n">
        <v>0</v>
      </c>
      <c r="J4328" t="n">
        <v>0</v>
      </c>
      <c r="K4328" t="n">
        <v>0</v>
      </c>
      <c r="L4328" t="n">
        <v>0</v>
      </c>
      <c r="M4328" t="n">
        <v>0</v>
      </c>
      <c r="N4328" t="n">
        <v>0</v>
      </c>
      <c r="O4328" t="n">
        <v>0</v>
      </c>
      <c r="P4328" t="n">
        <v>0</v>
      </c>
      <c r="Q4328" t="n">
        <v>0</v>
      </c>
      <c r="R4328" s="2" t="inlineStr"/>
    </row>
    <row r="4329" ht="15" customHeight="1">
      <c r="A4329" t="inlineStr">
        <is>
          <t>A 17809-2021</t>
        </is>
      </c>
      <c r="B4329" s="1" t="n">
        <v>44300</v>
      </c>
      <c r="C4329" s="1" t="n">
        <v>45810</v>
      </c>
      <c r="D4329" t="inlineStr">
        <is>
          <t>VÄRMLANDS LÄN</t>
        </is>
      </c>
      <c r="E4329" t="inlineStr">
        <is>
          <t>FILIPSTAD</t>
        </is>
      </c>
      <c r="G4329" t="n">
        <v>2.9</v>
      </c>
      <c r="H4329" t="n">
        <v>0</v>
      </c>
      <c r="I4329" t="n">
        <v>0</v>
      </c>
      <c r="J4329" t="n">
        <v>0</v>
      </c>
      <c r="K4329" t="n">
        <v>0</v>
      </c>
      <c r="L4329" t="n">
        <v>0</v>
      </c>
      <c r="M4329" t="n">
        <v>0</v>
      </c>
      <c r="N4329" t="n">
        <v>0</v>
      </c>
      <c r="O4329" t="n">
        <v>0</v>
      </c>
      <c r="P4329" t="n">
        <v>0</v>
      </c>
      <c r="Q4329" t="n">
        <v>0</v>
      </c>
      <c r="R4329" s="2" t="inlineStr"/>
    </row>
    <row r="4330" ht="15" customHeight="1">
      <c r="A4330" t="inlineStr">
        <is>
          <t>A 17807-2021</t>
        </is>
      </c>
      <c r="B4330" s="1" t="n">
        <v>44300</v>
      </c>
      <c r="C4330" s="1" t="n">
        <v>45810</v>
      </c>
      <c r="D4330" t="inlineStr">
        <is>
          <t>VÄRMLANDS LÄN</t>
        </is>
      </c>
      <c r="E4330" t="inlineStr">
        <is>
          <t>FILIPSTAD</t>
        </is>
      </c>
      <c r="G4330" t="n">
        <v>5.9</v>
      </c>
      <c r="H4330" t="n">
        <v>0</v>
      </c>
      <c r="I4330" t="n">
        <v>0</v>
      </c>
      <c r="J4330" t="n">
        <v>0</v>
      </c>
      <c r="K4330" t="n">
        <v>0</v>
      </c>
      <c r="L4330" t="n">
        <v>0</v>
      </c>
      <c r="M4330" t="n">
        <v>0</v>
      </c>
      <c r="N4330" t="n">
        <v>0</v>
      </c>
      <c r="O4330" t="n">
        <v>0</v>
      </c>
      <c r="P4330" t="n">
        <v>0</v>
      </c>
      <c r="Q4330" t="n">
        <v>0</v>
      </c>
      <c r="R4330" s="2" t="inlineStr"/>
    </row>
    <row r="4331" ht="15" customHeight="1">
      <c r="A4331" t="inlineStr">
        <is>
          <t>A 17813-2021</t>
        </is>
      </c>
      <c r="B4331" s="1" t="n">
        <v>44300</v>
      </c>
      <c r="C4331" s="1" t="n">
        <v>45810</v>
      </c>
      <c r="D4331" t="inlineStr">
        <is>
          <t>VÄRMLANDS LÄN</t>
        </is>
      </c>
      <c r="E4331" t="inlineStr">
        <is>
          <t>FILIPSTAD</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17941-2021</t>
        </is>
      </c>
      <c r="B4332" s="1" t="n">
        <v>44301</v>
      </c>
      <c r="C4332" s="1" t="n">
        <v>45810</v>
      </c>
      <c r="D4332" t="inlineStr">
        <is>
          <t>VÄRMLANDS LÄN</t>
        </is>
      </c>
      <c r="E4332" t="inlineStr">
        <is>
          <t>TORSBY</t>
        </is>
      </c>
      <c r="F4332" t="inlineStr">
        <is>
          <t>Kommuner</t>
        </is>
      </c>
      <c r="G4332" t="n">
        <v>8</v>
      </c>
      <c r="H4332" t="n">
        <v>0</v>
      </c>
      <c r="I4332" t="n">
        <v>0</v>
      </c>
      <c r="J4332" t="n">
        <v>0</v>
      </c>
      <c r="K4332" t="n">
        <v>0</v>
      </c>
      <c r="L4332" t="n">
        <v>0</v>
      </c>
      <c r="M4332" t="n">
        <v>0</v>
      </c>
      <c r="N4332" t="n">
        <v>0</v>
      </c>
      <c r="O4332" t="n">
        <v>0</v>
      </c>
      <c r="P4332" t="n">
        <v>0</v>
      </c>
      <c r="Q4332" t="n">
        <v>0</v>
      </c>
      <c r="R4332" s="2" t="inlineStr"/>
    </row>
    <row r="4333" ht="15" customHeight="1">
      <c r="A4333" t="inlineStr">
        <is>
          <t>A 17962-2021</t>
        </is>
      </c>
      <c r="B4333" s="1" t="n">
        <v>44301</v>
      </c>
      <c r="C4333" s="1" t="n">
        <v>45810</v>
      </c>
      <c r="D4333" t="inlineStr">
        <is>
          <t>VÄRMLANDS LÄN</t>
        </is>
      </c>
      <c r="E4333" t="inlineStr">
        <is>
          <t>TORSBY</t>
        </is>
      </c>
      <c r="G4333" t="n">
        <v>2.1</v>
      </c>
      <c r="H4333" t="n">
        <v>0</v>
      </c>
      <c r="I4333" t="n">
        <v>0</v>
      </c>
      <c r="J4333" t="n">
        <v>0</v>
      </c>
      <c r="K4333" t="n">
        <v>0</v>
      </c>
      <c r="L4333" t="n">
        <v>0</v>
      </c>
      <c r="M4333" t="n">
        <v>0</v>
      </c>
      <c r="N4333" t="n">
        <v>0</v>
      </c>
      <c r="O4333" t="n">
        <v>0</v>
      </c>
      <c r="P4333" t="n">
        <v>0</v>
      </c>
      <c r="Q4333" t="n">
        <v>0</v>
      </c>
      <c r="R4333" s="2" t="inlineStr"/>
    </row>
    <row r="4334" ht="15" customHeight="1">
      <c r="A4334" t="inlineStr">
        <is>
          <t>A 17927-2021</t>
        </is>
      </c>
      <c r="B4334" s="1" t="n">
        <v>44301</v>
      </c>
      <c r="C4334" s="1" t="n">
        <v>45810</v>
      </c>
      <c r="D4334" t="inlineStr">
        <is>
          <t>VÄRMLANDS LÄN</t>
        </is>
      </c>
      <c r="E4334" t="inlineStr">
        <is>
          <t>ÅRJÄNG</t>
        </is>
      </c>
      <c r="G4334" t="n">
        <v>3.4</v>
      </c>
      <c r="H4334" t="n">
        <v>0</v>
      </c>
      <c r="I4334" t="n">
        <v>0</v>
      </c>
      <c r="J4334" t="n">
        <v>0</v>
      </c>
      <c r="K4334" t="n">
        <v>0</v>
      </c>
      <c r="L4334" t="n">
        <v>0</v>
      </c>
      <c r="M4334" t="n">
        <v>0</v>
      </c>
      <c r="N4334" t="n">
        <v>0</v>
      </c>
      <c r="O4334" t="n">
        <v>0</v>
      </c>
      <c r="P4334" t="n">
        <v>0</v>
      </c>
      <c r="Q4334" t="n">
        <v>0</v>
      </c>
      <c r="R4334" s="2" t="inlineStr"/>
    </row>
    <row r="4335" ht="15" customHeight="1">
      <c r="A4335" t="inlineStr">
        <is>
          <t>A 17878-2021</t>
        </is>
      </c>
      <c r="B4335" s="1" t="n">
        <v>44301</v>
      </c>
      <c r="C4335" s="1" t="n">
        <v>45810</v>
      </c>
      <c r="D4335" t="inlineStr">
        <is>
          <t>VÄRMLANDS LÄN</t>
        </is>
      </c>
      <c r="E4335" t="inlineStr">
        <is>
          <t>SUNNE</t>
        </is>
      </c>
      <c r="G4335" t="n">
        <v>12.2</v>
      </c>
      <c r="H4335" t="n">
        <v>0</v>
      </c>
      <c r="I4335" t="n">
        <v>0</v>
      </c>
      <c r="J4335" t="n">
        <v>0</v>
      </c>
      <c r="K4335" t="n">
        <v>0</v>
      </c>
      <c r="L4335" t="n">
        <v>0</v>
      </c>
      <c r="M4335" t="n">
        <v>0</v>
      </c>
      <c r="N4335" t="n">
        <v>0</v>
      </c>
      <c r="O4335" t="n">
        <v>0</v>
      </c>
      <c r="P4335" t="n">
        <v>0</v>
      </c>
      <c r="Q4335" t="n">
        <v>0</v>
      </c>
      <c r="R4335" s="2" t="inlineStr"/>
    </row>
    <row r="4336" ht="15" customHeight="1">
      <c r="A4336" t="inlineStr">
        <is>
          <t>A 17940-2021</t>
        </is>
      </c>
      <c r="B4336" s="1" t="n">
        <v>44301</v>
      </c>
      <c r="C4336" s="1" t="n">
        <v>45810</v>
      </c>
      <c r="D4336" t="inlineStr">
        <is>
          <t>VÄRMLANDS LÄN</t>
        </is>
      </c>
      <c r="E4336" t="inlineStr">
        <is>
          <t>SÄFFLE</t>
        </is>
      </c>
      <c r="G4336" t="n">
        <v>1.8</v>
      </c>
      <c r="H4336" t="n">
        <v>0</v>
      </c>
      <c r="I4336" t="n">
        <v>0</v>
      </c>
      <c r="J4336" t="n">
        <v>0</v>
      </c>
      <c r="K4336" t="n">
        <v>0</v>
      </c>
      <c r="L4336" t="n">
        <v>0</v>
      </c>
      <c r="M4336" t="n">
        <v>0</v>
      </c>
      <c r="N4336" t="n">
        <v>0</v>
      </c>
      <c r="O4336" t="n">
        <v>0</v>
      </c>
      <c r="P4336" t="n">
        <v>0</v>
      </c>
      <c r="Q4336" t="n">
        <v>0</v>
      </c>
      <c r="R4336" s="2" t="inlineStr"/>
    </row>
    <row r="4337" ht="15" customHeight="1">
      <c r="A4337" t="inlineStr">
        <is>
          <t>A 17892-2021</t>
        </is>
      </c>
      <c r="B4337" s="1" t="n">
        <v>44301</v>
      </c>
      <c r="C4337" s="1" t="n">
        <v>45810</v>
      </c>
      <c r="D4337" t="inlineStr">
        <is>
          <t>VÄRMLANDS LÄN</t>
        </is>
      </c>
      <c r="E4337" t="inlineStr">
        <is>
          <t>ÅRJÄNG</t>
        </is>
      </c>
      <c r="G4337" t="n">
        <v>3.9</v>
      </c>
      <c r="H4337" t="n">
        <v>0</v>
      </c>
      <c r="I4337" t="n">
        <v>0</v>
      </c>
      <c r="J4337" t="n">
        <v>0</v>
      </c>
      <c r="K4337" t="n">
        <v>0</v>
      </c>
      <c r="L4337" t="n">
        <v>0</v>
      </c>
      <c r="M4337" t="n">
        <v>0</v>
      </c>
      <c r="N4337" t="n">
        <v>0</v>
      </c>
      <c r="O4337" t="n">
        <v>0</v>
      </c>
      <c r="P4337" t="n">
        <v>0</v>
      </c>
      <c r="Q4337" t="n">
        <v>0</v>
      </c>
      <c r="R4337" s="2" t="inlineStr"/>
    </row>
    <row r="4338" ht="15" customHeight="1">
      <c r="A4338" t="inlineStr">
        <is>
          <t>A 17944-2021</t>
        </is>
      </c>
      <c r="B4338" s="1" t="n">
        <v>44301</v>
      </c>
      <c r="C4338" s="1" t="n">
        <v>45810</v>
      </c>
      <c r="D4338" t="inlineStr">
        <is>
          <t>VÄRMLANDS LÄN</t>
        </is>
      </c>
      <c r="E4338" t="inlineStr">
        <is>
          <t>TORSBY</t>
        </is>
      </c>
      <c r="F4338" t="inlineStr">
        <is>
          <t>Kommuner</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23524-2021</t>
        </is>
      </c>
      <c r="B4339" s="1" t="n">
        <v>44301</v>
      </c>
      <c r="C4339" s="1" t="n">
        <v>45810</v>
      </c>
      <c r="D4339" t="inlineStr">
        <is>
          <t>VÄRMLANDS LÄN</t>
        </is>
      </c>
      <c r="E4339" t="inlineStr">
        <is>
          <t>TORSBY</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18174-2021</t>
        </is>
      </c>
      <c r="B4340" s="1" t="n">
        <v>44302</v>
      </c>
      <c r="C4340" s="1" t="n">
        <v>45810</v>
      </c>
      <c r="D4340" t="inlineStr">
        <is>
          <t>VÄRMLANDS LÄN</t>
        </is>
      </c>
      <c r="E4340" t="inlineStr">
        <is>
          <t>TORSBY</t>
        </is>
      </c>
      <c r="G4340" t="n">
        <v>4.5</v>
      </c>
      <c r="H4340" t="n">
        <v>0</v>
      </c>
      <c r="I4340" t="n">
        <v>0</v>
      </c>
      <c r="J4340" t="n">
        <v>0</v>
      </c>
      <c r="K4340" t="n">
        <v>0</v>
      </c>
      <c r="L4340" t="n">
        <v>0</v>
      </c>
      <c r="M4340" t="n">
        <v>0</v>
      </c>
      <c r="N4340" t="n">
        <v>0</v>
      </c>
      <c r="O4340" t="n">
        <v>0</v>
      </c>
      <c r="P4340" t="n">
        <v>0</v>
      </c>
      <c r="Q4340" t="n">
        <v>0</v>
      </c>
      <c r="R4340" s="2" t="inlineStr"/>
    </row>
    <row r="4341" ht="15" customHeight="1">
      <c r="A4341" t="inlineStr">
        <is>
          <t>A 18033-2021</t>
        </is>
      </c>
      <c r="B4341" s="1" t="n">
        <v>44302</v>
      </c>
      <c r="C4341" s="1" t="n">
        <v>45810</v>
      </c>
      <c r="D4341" t="inlineStr">
        <is>
          <t>VÄRMLANDS LÄN</t>
        </is>
      </c>
      <c r="E4341" t="inlineStr">
        <is>
          <t>TORSBY</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18044-2021</t>
        </is>
      </c>
      <c r="B4342" s="1" t="n">
        <v>44302</v>
      </c>
      <c r="C4342" s="1" t="n">
        <v>45810</v>
      </c>
      <c r="D4342" t="inlineStr">
        <is>
          <t>VÄRMLANDS LÄN</t>
        </is>
      </c>
      <c r="E4342" t="inlineStr">
        <is>
          <t>SÄFFLE</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18235-2021</t>
        </is>
      </c>
      <c r="B4343" s="1" t="n">
        <v>44303</v>
      </c>
      <c r="C4343" s="1" t="n">
        <v>45810</v>
      </c>
      <c r="D4343" t="inlineStr">
        <is>
          <t>VÄRMLANDS LÄN</t>
        </is>
      </c>
      <c r="E4343" t="inlineStr">
        <is>
          <t>FILIPSTAD</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18232-2021</t>
        </is>
      </c>
      <c r="B4344" s="1" t="n">
        <v>44303</v>
      </c>
      <c r="C4344" s="1" t="n">
        <v>45810</v>
      </c>
      <c r="D4344" t="inlineStr">
        <is>
          <t>VÄRMLANDS LÄN</t>
        </is>
      </c>
      <c r="E4344" t="inlineStr">
        <is>
          <t>KRISTINEHAMN</t>
        </is>
      </c>
      <c r="F4344" t="inlineStr">
        <is>
          <t>Kommuner</t>
        </is>
      </c>
      <c r="G4344" t="n">
        <v>4.3</v>
      </c>
      <c r="H4344" t="n">
        <v>0</v>
      </c>
      <c r="I4344" t="n">
        <v>0</v>
      </c>
      <c r="J4344" t="n">
        <v>0</v>
      </c>
      <c r="K4344" t="n">
        <v>0</v>
      </c>
      <c r="L4344" t="n">
        <v>0</v>
      </c>
      <c r="M4344" t="n">
        <v>0</v>
      </c>
      <c r="N4344" t="n">
        <v>0</v>
      </c>
      <c r="O4344" t="n">
        <v>0</v>
      </c>
      <c r="P4344" t="n">
        <v>0</v>
      </c>
      <c r="Q4344" t="n">
        <v>0</v>
      </c>
      <c r="R4344" s="2" t="inlineStr"/>
    </row>
    <row r="4345" ht="15" customHeight="1">
      <c r="A4345" t="inlineStr">
        <is>
          <t>A 18354-2021</t>
        </is>
      </c>
      <c r="B4345" s="1" t="n">
        <v>44305</v>
      </c>
      <c r="C4345" s="1" t="n">
        <v>45810</v>
      </c>
      <c r="D4345" t="inlineStr">
        <is>
          <t>VÄRMLANDS LÄN</t>
        </is>
      </c>
      <c r="E4345" t="inlineStr">
        <is>
          <t>TORSBY</t>
        </is>
      </c>
      <c r="F4345" t="inlineStr">
        <is>
          <t>Kommuner</t>
        </is>
      </c>
      <c r="G4345" t="n">
        <v>2.4</v>
      </c>
      <c r="H4345" t="n">
        <v>0</v>
      </c>
      <c r="I4345" t="n">
        <v>0</v>
      </c>
      <c r="J4345" t="n">
        <v>0</v>
      </c>
      <c r="K4345" t="n">
        <v>0</v>
      </c>
      <c r="L4345" t="n">
        <v>0</v>
      </c>
      <c r="M4345" t="n">
        <v>0</v>
      </c>
      <c r="N4345" t="n">
        <v>0</v>
      </c>
      <c r="O4345" t="n">
        <v>0</v>
      </c>
      <c r="P4345" t="n">
        <v>0</v>
      </c>
      <c r="Q4345" t="n">
        <v>0</v>
      </c>
      <c r="R4345" s="2" t="inlineStr"/>
    </row>
    <row r="4346" ht="15" customHeight="1">
      <c r="A4346" t="inlineStr">
        <is>
          <t>A 18344-2021</t>
        </is>
      </c>
      <c r="B4346" s="1" t="n">
        <v>44305</v>
      </c>
      <c r="C4346" s="1" t="n">
        <v>45810</v>
      </c>
      <c r="D4346" t="inlineStr">
        <is>
          <t>VÄRMLANDS LÄN</t>
        </is>
      </c>
      <c r="E4346" t="inlineStr">
        <is>
          <t>TORSBY</t>
        </is>
      </c>
      <c r="F4346" t="inlineStr">
        <is>
          <t>Kommuner</t>
        </is>
      </c>
      <c r="G4346" t="n">
        <v>4.3</v>
      </c>
      <c r="H4346" t="n">
        <v>0</v>
      </c>
      <c r="I4346" t="n">
        <v>0</v>
      </c>
      <c r="J4346" t="n">
        <v>0</v>
      </c>
      <c r="K4346" t="n">
        <v>0</v>
      </c>
      <c r="L4346" t="n">
        <v>0</v>
      </c>
      <c r="M4346" t="n">
        <v>0</v>
      </c>
      <c r="N4346" t="n">
        <v>0</v>
      </c>
      <c r="O4346" t="n">
        <v>0</v>
      </c>
      <c r="P4346" t="n">
        <v>0</v>
      </c>
      <c r="Q4346" t="n">
        <v>0</v>
      </c>
      <c r="R4346" s="2" t="inlineStr"/>
    </row>
    <row r="4347" ht="15" customHeight="1">
      <c r="A4347" t="inlineStr">
        <is>
          <t>A 18349-2021</t>
        </is>
      </c>
      <c r="B4347" s="1" t="n">
        <v>44305</v>
      </c>
      <c r="C4347" s="1" t="n">
        <v>45810</v>
      </c>
      <c r="D4347" t="inlineStr">
        <is>
          <t>VÄRMLANDS LÄN</t>
        </is>
      </c>
      <c r="E4347" t="inlineStr">
        <is>
          <t>TORSBY</t>
        </is>
      </c>
      <c r="G4347" t="n">
        <v>3</v>
      </c>
      <c r="H4347" t="n">
        <v>0</v>
      </c>
      <c r="I4347" t="n">
        <v>0</v>
      </c>
      <c r="J4347" t="n">
        <v>0</v>
      </c>
      <c r="K4347" t="n">
        <v>0</v>
      </c>
      <c r="L4347" t="n">
        <v>0</v>
      </c>
      <c r="M4347" t="n">
        <v>0</v>
      </c>
      <c r="N4347" t="n">
        <v>0</v>
      </c>
      <c r="O4347" t="n">
        <v>0</v>
      </c>
      <c r="P4347" t="n">
        <v>0</v>
      </c>
      <c r="Q4347" t="n">
        <v>0</v>
      </c>
      <c r="R4347" s="2" t="inlineStr"/>
    </row>
    <row r="4348" ht="15" customHeight="1">
      <c r="A4348" t="inlineStr">
        <is>
          <t>A 18499-2021</t>
        </is>
      </c>
      <c r="B4348" s="1" t="n">
        <v>44306</v>
      </c>
      <c r="C4348" s="1" t="n">
        <v>45810</v>
      </c>
      <c r="D4348" t="inlineStr">
        <is>
          <t>VÄRMLANDS LÄN</t>
        </is>
      </c>
      <c r="E4348" t="inlineStr">
        <is>
          <t>SUNNE</t>
        </is>
      </c>
      <c r="G4348" t="n">
        <v>5.8</v>
      </c>
      <c r="H4348" t="n">
        <v>0</v>
      </c>
      <c r="I4348" t="n">
        <v>0</v>
      </c>
      <c r="J4348" t="n">
        <v>0</v>
      </c>
      <c r="K4348" t="n">
        <v>0</v>
      </c>
      <c r="L4348" t="n">
        <v>0</v>
      </c>
      <c r="M4348" t="n">
        <v>0</v>
      </c>
      <c r="N4348" t="n">
        <v>0</v>
      </c>
      <c r="O4348" t="n">
        <v>0</v>
      </c>
      <c r="P4348" t="n">
        <v>0</v>
      </c>
      <c r="Q4348" t="n">
        <v>0</v>
      </c>
      <c r="R4348" s="2" t="inlineStr"/>
    </row>
    <row r="4349" ht="15" customHeight="1">
      <c r="A4349" t="inlineStr">
        <is>
          <t>A 18661-2021</t>
        </is>
      </c>
      <c r="B4349" s="1" t="n">
        <v>44306</v>
      </c>
      <c r="C4349" s="1" t="n">
        <v>45810</v>
      </c>
      <c r="D4349" t="inlineStr">
        <is>
          <t>VÄRMLANDS LÄN</t>
        </is>
      </c>
      <c r="E4349" t="inlineStr">
        <is>
          <t>ÅRJÄNG</t>
        </is>
      </c>
      <c r="G4349" t="n">
        <v>3.7</v>
      </c>
      <c r="H4349" t="n">
        <v>0</v>
      </c>
      <c r="I4349" t="n">
        <v>0</v>
      </c>
      <c r="J4349" t="n">
        <v>0</v>
      </c>
      <c r="K4349" t="n">
        <v>0</v>
      </c>
      <c r="L4349" t="n">
        <v>0</v>
      </c>
      <c r="M4349" t="n">
        <v>0</v>
      </c>
      <c r="N4349" t="n">
        <v>0</v>
      </c>
      <c r="O4349" t="n">
        <v>0</v>
      </c>
      <c r="P4349" t="n">
        <v>0</v>
      </c>
      <c r="Q4349" t="n">
        <v>0</v>
      </c>
      <c r="R4349" s="2" t="inlineStr"/>
    </row>
    <row r="4350" ht="15" customHeight="1">
      <c r="A4350" t="inlineStr">
        <is>
          <t>A 18560-2021</t>
        </is>
      </c>
      <c r="B4350" s="1" t="n">
        <v>44306</v>
      </c>
      <c r="C4350" s="1" t="n">
        <v>45810</v>
      </c>
      <c r="D4350" t="inlineStr">
        <is>
          <t>VÄRMLANDS LÄN</t>
        </is>
      </c>
      <c r="E4350" t="inlineStr">
        <is>
          <t>TORSBY</t>
        </is>
      </c>
      <c r="F4350" t="inlineStr">
        <is>
          <t>Kommuner</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18755-2021</t>
        </is>
      </c>
      <c r="B4351" s="1" t="n">
        <v>44307</v>
      </c>
      <c r="C4351" s="1" t="n">
        <v>45810</v>
      </c>
      <c r="D4351" t="inlineStr">
        <is>
          <t>VÄRMLANDS LÄN</t>
        </is>
      </c>
      <c r="E4351" t="inlineStr">
        <is>
          <t>KARLSTAD</t>
        </is>
      </c>
      <c r="G4351" t="n">
        <v>8.199999999999999</v>
      </c>
      <c r="H4351" t="n">
        <v>0</v>
      </c>
      <c r="I4351" t="n">
        <v>0</v>
      </c>
      <c r="J4351" t="n">
        <v>0</v>
      </c>
      <c r="K4351" t="n">
        <v>0</v>
      </c>
      <c r="L4351" t="n">
        <v>0</v>
      </c>
      <c r="M4351" t="n">
        <v>0</v>
      </c>
      <c r="N4351" t="n">
        <v>0</v>
      </c>
      <c r="O4351" t="n">
        <v>0</v>
      </c>
      <c r="P4351" t="n">
        <v>0</v>
      </c>
      <c r="Q4351" t="n">
        <v>0</v>
      </c>
      <c r="R4351" s="2" t="inlineStr"/>
    </row>
    <row r="4352" ht="15" customHeight="1">
      <c r="A4352" t="inlineStr">
        <is>
          <t>A 18772-2021</t>
        </is>
      </c>
      <c r="B4352" s="1" t="n">
        <v>44307</v>
      </c>
      <c r="C4352" s="1" t="n">
        <v>45810</v>
      </c>
      <c r="D4352" t="inlineStr">
        <is>
          <t>VÄRMLANDS LÄN</t>
        </is>
      </c>
      <c r="E4352" t="inlineStr">
        <is>
          <t>SÄFFLE</t>
        </is>
      </c>
      <c r="F4352" t="inlineStr">
        <is>
          <t>Bergvik skog väst AB</t>
        </is>
      </c>
      <c r="G4352" t="n">
        <v>2.8</v>
      </c>
      <c r="H4352" t="n">
        <v>0</v>
      </c>
      <c r="I4352" t="n">
        <v>0</v>
      </c>
      <c r="J4352" t="n">
        <v>0</v>
      </c>
      <c r="K4352" t="n">
        <v>0</v>
      </c>
      <c r="L4352" t="n">
        <v>0</v>
      </c>
      <c r="M4352" t="n">
        <v>0</v>
      </c>
      <c r="N4352" t="n">
        <v>0</v>
      </c>
      <c r="O4352" t="n">
        <v>0</v>
      </c>
      <c r="P4352" t="n">
        <v>0</v>
      </c>
      <c r="Q4352" t="n">
        <v>0</v>
      </c>
      <c r="R4352" s="2" t="inlineStr"/>
    </row>
    <row r="4353" ht="15" customHeight="1">
      <c r="A4353" t="inlineStr">
        <is>
          <t>A 18978-2021</t>
        </is>
      </c>
      <c r="B4353" s="1" t="n">
        <v>44308</v>
      </c>
      <c r="C4353" s="1" t="n">
        <v>45810</v>
      </c>
      <c r="D4353" t="inlineStr">
        <is>
          <t>VÄRMLANDS LÄN</t>
        </is>
      </c>
      <c r="E4353" t="inlineStr">
        <is>
          <t>MUNKFORS</t>
        </is>
      </c>
      <c r="F4353" t="inlineStr">
        <is>
          <t>Bergvik skog väst AB</t>
        </is>
      </c>
      <c r="G4353" t="n">
        <v>2.9</v>
      </c>
      <c r="H4353" t="n">
        <v>0</v>
      </c>
      <c r="I4353" t="n">
        <v>0</v>
      </c>
      <c r="J4353" t="n">
        <v>0</v>
      </c>
      <c r="K4353" t="n">
        <v>0</v>
      </c>
      <c r="L4353" t="n">
        <v>0</v>
      </c>
      <c r="M4353" t="n">
        <v>0</v>
      </c>
      <c r="N4353" t="n">
        <v>0</v>
      </c>
      <c r="O4353" t="n">
        <v>0</v>
      </c>
      <c r="P4353" t="n">
        <v>0</v>
      </c>
      <c r="Q4353" t="n">
        <v>0</v>
      </c>
      <c r="R4353" s="2" t="inlineStr"/>
    </row>
    <row r="4354" ht="15" customHeight="1">
      <c r="A4354" t="inlineStr">
        <is>
          <t>A 18903-2021</t>
        </is>
      </c>
      <c r="B4354" s="1" t="n">
        <v>44308</v>
      </c>
      <c r="C4354" s="1" t="n">
        <v>45810</v>
      </c>
      <c r="D4354" t="inlineStr">
        <is>
          <t>VÄRMLANDS LÄN</t>
        </is>
      </c>
      <c r="E4354" t="inlineStr">
        <is>
          <t>ÅRJÄNG</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19031-2021</t>
        </is>
      </c>
      <c r="B4355" s="1" t="n">
        <v>44308</v>
      </c>
      <c r="C4355" s="1" t="n">
        <v>45810</v>
      </c>
      <c r="D4355" t="inlineStr">
        <is>
          <t>VÄRMLANDS LÄN</t>
        </is>
      </c>
      <c r="E4355" t="inlineStr">
        <is>
          <t>TORSBY</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19193-2021</t>
        </is>
      </c>
      <c r="B4356" s="1" t="n">
        <v>44308</v>
      </c>
      <c r="C4356" s="1" t="n">
        <v>45810</v>
      </c>
      <c r="D4356" t="inlineStr">
        <is>
          <t>VÄRMLANDS LÄN</t>
        </is>
      </c>
      <c r="E4356" t="inlineStr">
        <is>
          <t>HAGFORS</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19244-2021</t>
        </is>
      </c>
      <c r="B4357" s="1" t="n">
        <v>44309</v>
      </c>
      <c r="C4357" s="1" t="n">
        <v>45810</v>
      </c>
      <c r="D4357" t="inlineStr">
        <is>
          <t>VÄRMLANDS LÄN</t>
        </is>
      </c>
      <c r="E4357" t="inlineStr">
        <is>
          <t>ÅRJÄNG</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19272-2021</t>
        </is>
      </c>
      <c r="B4358" s="1" t="n">
        <v>44309</v>
      </c>
      <c r="C4358" s="1" t="n">
        <v>45810</v>
      </c>
      <c r="D4358" t="inlineStr">
        <is>
          <t>VÄRMLANDS LÄN</t>
        </is>
      </c>
      <c r="E4358" t="inlineStr">
        <is>
          <t>HAGFORS</t>
        </is>
      </c>
      <c r="F4358" t="inlineStr">
        <is>
          <t>Bergvik skog väst AB</t>
        </is>
      </c>
      <c r="G4358" t="n">
        <v>11.7</v>
      </c>
      <c r="H4358" t="n">
        <v>0</v>
      </c>
      <c r="I4358" t="n">
        <v>0</v>
      </c>
      <c r="J4358" t="n">
        <v>0</v>
      </c>
      <c r="K4358" t="n">
        <v>0</v>
      </c>
      <c r="L4358" t="n">
        <v>0</v>
      </c>
      <c r="M4358" t="n">
        <v>0</v>
      </c>
      <c r="N4358" t="n">
        <v>0</v>
      </c>
      <c r="O4358" t="n">
        <v>0</v>
      </c>
      <c r="P4358" t="n">
        <v>0</v>
      </c>
      <c r="Q4358" t="n">
        <v>0</v>
      </c>
      <c r="R4358" s="2" t="inlineStr"/>
    </row>
    <row r="4359" ht="15" customHeight="1">
      <c r="A4359" t="inlineStr">
        <is>
          <t>A 19349-2021</t>
        </is>
      </c>
      <c r="B4359" s="1" t="n">
        <v>44309</v>
      </c>
      <c r="C4359" s="1" t="n">
        <v>45810</v>
      </c>
      <c r="D4359" t="inlineStr">
        <is>
          <t>VÄRMLANDS LÄN</t>
        </is>
      </c>
      <c r="E4359" t="inlineStr">
        <is>
          <t>KRISTINEHAMN</t>
        </is>
      </c>
      <c r="G4359" t="n">
        <v>4.8</v>
      </c>
      <c r="H4359" t="n">
        <v>0</v>
      </c>
      <c r="I4359" t="n">
        <v>0</v>
      </c>
      <c r="J4359" t="n">
        <v>0</v>
      </c>
      <c r="K4359" t="n">
        <v>0</v>
      </c>
      <c r="L4359" t="n">
        <v>0</v>
      </c>
      <c r="M4359" t="n">
        <v>0</v>
      </c>
      <c r="N4359" t="n">
        <v>0</v>
      </c>
      <c r="O4359" t="n">
        <v>0</v>
      </c>
      <c r="P4359" t="n">
        <v>0</v>
      </c>
      <c r="Q4359" t="n">
        <v>0</v>
      </c>
      <c r="R4359" s="2" t="inlineStr"/>
    </row>
    <row r="4360" ht="15" customHeight="1">
      <c r="A4360" t="inlineStr">
        <is>
          <t>A 19374-2021</t>
        </is>
      </c>
      <c r="B4360" s="1" t="n">
        <v>44309</v>
      </c>
      <c r="C4360" s="1" t="n">
        <v>45810</v>
      </c>
      <c r="D4360" t="inlineStr">
        <is>
          <t>VÄRMLANDS LÄN</t>
        </is>
      </c>
      <c r="E4360" t="inlineStr">
        <is>
          <t>SUNNE</t>
        </is>
      </c>
      <c r="G4360" t="n">
        <v>2.7</v>
      </c>
      <c r="H4360" t="n">
        <v>0</v>
      </c>
      <c r="I4360" t="n">
        <v>0</v>
      </c>
      <c r="J4360" t="n">
        <v>0</v>
      </c>
      <c r="K4360" t="n">
        <v>0</v>
      </c>
      <c r="L4360" t="n">
        <v>0</v>
      </c>
      <c r="M4360" t="n">
        <v>0</v>
      </c>
      <c r="N4360" t="n">
        <v>0</v>
      </c>
      <c r="O4360" t="n">
        <v>0</v>
      </c>
      <c r="P4360" t="n">
        <v>0</v>
      </c>
      <c r="Q4360" t="n">
        <v>0</v>
      </c>
      <c r="R4360" s="2" t="inlineStr"/>
    </row>
    <row r="4361" ht="15" customHeight="1">
      <c r="A4361" t="inlineStr">
        <is>
          <t>A 19338-2021</t>
        </is>
      </c>
      <c r="B4361" s="1" t="n">
        <v>44309</v>
      </c>
      <c r="C4361" s="1" t="n">
        <v>45810</v>
      </c>
      <c r="D4361" t="inlineStr">
        <is>
          <t>VÄRMLANDS LÄN</t>
        </is>
      </c>
      <c r="E4361" t="inlineStr">
        <is>
          <t>TORSBY</t>
        </is>
      </c>
      <c r="F4361" t="inlineStr">
        <is>
          <t>Bergvik skog väst AB</t>
        </is>
      </c>
      <c r="G4361" t="n">
        <v>3.7</v>
      </c>
      <c r="H4361" t="n">
        <v>0</v>
      </c>
      <c r="I4361" t="n">
        <v>0</v>
      </c>
      <c r="J4361" t="n">
        <v>0</v>
      </c>
      <c r="K4361" t="n">
        <v>0</v>
      </c>
      <c r="L4361" t="n">
        <v>0</v>
      </c>
      <c r="M4361" t="n">
        <v>0</v>
      </c>
      <c r="N4361" t="n">
        <v>0</v>
      </c>
      <c r="O4361" t="n">
        <v>0</v>
      </c>
      <c r="P4361" t="n">
        <v>0</v>
      </c>
      <c r="Q4361" t="n">
        <v>0</v>
      </c>
      <c r="R4361" s="2" t="inlineStr"/>
    </row>
    <row r="4362" ht="15" customHeight="1">
      <c r="A4362" t="inlineStr">
        <is>
          <t>A 19375-2021</t>
        </is>
      </c>
      <c r="B4362" s="1" t="n">
        <v>44309</v>
      </c>
      <c r="C4362" s="1" t="n">
        <v>45810</v>
      </c>
      <c r="D4362" t="inlineStr">
        <is>
          <t>VÄRMLANDS LÄN</t>
        </is>
      </c>
      <c r="E4362" t="inlineStr">
        <is>
          <t>TORSBY</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19458-2021</t>
        </is>
      </c>
      <c r="B4363" s="1" t="n">
        <v>44311</v>
      </c>
      <c r="C4363" s="1" t="n">
        <v>45810</v>
      </c>
      <c r="D4363" t="inlineStr">
        <is>
          <t>VÄRMLANDS LÄN</t>
        </is>
      </c>
      <c r="E4363" t="inlineStr">
        <is>
          <t>ÅRJÄNG</t>
        </is>
      </c>
      <c r="G4363" t="n">
        <v>15.6</v>
      </c>
      <c r="H4363" t="n">
        <v>0</v>
      </c>
      <c r="I4363" t="n">
        <v>0</v>
      </c>
      <c r="J4363" t="n">
        <v>0</v>
      </c>
      <c r="K4363" t="n">
        <v>0</v>
      </c>
      <c r="L4363" t="n">
        <v>0</v>
      </c>
      <c r="M4363" t="n">
        <v>0</v>
      </c>
      <c r="N4363" t="n">
        <v>0</v>
      </c>
      <c r="O4363" t="n">
        <v>0</v>
      </c>
      <c r="P4363" t="n">
        <v>0</v>
      </c>
      <c r="Q4363" t="n">
        <v>0</v>
      </c>
      <c r="R4363" s="2" t="inlineStr"/>
    </row>
    <row r="4364" ht="15" customHeight="1">
      <c r="A4364" t="inlineStr">
        <is>
          <t>A 19464-2021</t>
        </is>
      </c>
      <c r="B4364" s="1" t="n">
        <v>44311</v>
      </c>
      <c r="C4364" s="1" t="n">
        <v>45810</v>
      </c>
      <c r="D4364" t="inlineStr">
        <is>
          <t>VÄRMLANDS LÄN</t>
        </is>
      </c>
      <c r="E4364" t="inlineStr">
        <is>
          <t>STORFORS</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20182-2021</t>
        </is>
      </c>
      <c r="B4365" s="1" t="n">
        <v>44312</v>
      </c>
      <c r="C4365" s="1" t="n">
        <v>45810</v>
      </c>
      <c r="D4365" t="inlineStr">
        <is>
          <t>VÄRMLANDS LÄN</t>
        </is>
      </c>
      <c r="E4365" t="inlineStr">
        <is>
          <t>TORSBY</t>
        </is>
      </c>
      <c r="G4365" t="n">
        <v>14.4</v>
      </c>
      <c r="H4365" t="n">
        <v>0</v>
      </c>
      <c r="I4365" t="n">
        <v>0</v>
      </c>
      <c r="J4365" t="n">
        <v>0</v>
      </c>
      <c r="K4365" t="n">
        <v>0</v>
      </c>
      <c r="L4365" t="n">
        <v>0</v>
      </c>
      <c r="M4365" t="n">
        <v>0</v>
      </c>
      <c r="N4365" t="n">
        <v>0</v>
      </c>
      <c r="O4365" t="n">
        <v>0</v>
      </c>
      <c r="P4365" t="n">
        <v>0</v>
      </c>
      <c r="Q4365" t="n">
        <v>0</v>
      </c>
      <c r="R4365" s="2" t="inlineStr"/>
    </row>
    <row r="4366" ht="15" customHeight="1">
      <c r="A4366" t="inlineStr">
        <is>
          <t>A 19484-2021</t>
        </is>
      </c>
      <c r="B4366" s="1" t="n">
        <v>44312</v>
      </c>
      <c r="C4366" s="1" t="n">
        <v>45810</v>
      </c>
      <c r="D4366" t="inlineStr">
        <is>
          <t>VÄRMLANDS LÄN</t>
        </is>
      </c>
      <c r="E4366" t="inlineStr">
        <is>
          <t>ARVIKA</t>
        </is>
      </c>
      <c r="G4366" t="n">
        <v>11.3</v>
      </c>
      <c r="H4366" t="n">
        <v>0</v>
      </c>
      <c r="I4366" t="n">
        <v>0</v>
      </c>
      <c r="J4366" t="n">
        <v>0</v>
      </c>
      <c r="K4366" t="n">
        <v>0</v>
      </c>
      <c r="L4366" t="n">
        <v>0</v>
      </c>
      <c r="M4366" t="n">
        <v>0</v>
      </c>
      <c r="N4366" t="n">
        <v>0</v>
      </c>
      <c r="O4366" t="n">
        <v>0</v>
      </c>
      <c r="P4366" t="n">
        <v>0</v>
      </c>
      <c r="Q4366" t="n">
        <v>0</v>
      </c>
      <c r="R4366" s="2" t="inlineStr"/>
    </row>
    <row r="4367" ht="15" customHeight="1">
      <c r="A4367" t="inlineStr">
        <is>
          <t>A 19489-2021</t>
        </is>
      </c>
      <c r="B4367" s="1" t="n">
        <v>44312</v>
      </c>
      <c r="C4367" s="1" t="n">
        <v>45810</v>
      </c>
      <c r="D4367" t="inlineStr">
        <is>
          <t>VÄRMLANDS LÄN</t>
        </is>
      </c>
      <c r="E4367" t="inlineStr">
        <is>
          <t>SUNNE</t>
        </is>
      </c>
      <c r="G4367" t="n">
        <v>2.3</v>
      </c>
      <c r="H4367" t="n">
        <v>0</v>
      </c>
      <c r="I4367" t="n">
        <v>0</v>
      </c>
      <c r="J4367" t="n">
        <v>0</v>
      </c>
      <c r="K4367" t="n">
        <v>0</v>
      </c>
      <c r="L4367" t="n">
        <v>0</v>
      </c>
      <c r="M4367" t="n">
        <v>0</v>
      </c>
      <c r="N4367" t="n">
        <v>0</v>
      </c>
      <c r="O4367" t="n">
        <v>0</v>
      </c>
      <c r="P4367" t="n">
        <v>0</v>
      </c>
      <c r="Q4367" t="n">
        <v>0</v>
      </c>
      <c r="R4367" s="2" t="inlineStr"/>
    </row>
    <row r="4368" ht="15" customHeight="1">
      <c r="A4368" t="inlineStr">
        <is>
          <t>A 19549-2021</t>
        </is>
      </c>
      <c r="B4368" s="1" t="n">
        <v>44312</v>
      </c>
      <c r="C4368" s="1" t="n">
        <v>45810</v>
      </c>
      <c r="D4368" t="inlineStr">
        <is>
          <t>VÄRMLANDS LÄN</t>
        </is>
      </c>
      <c r="E4368" t="inlineStr">
        <is>
          <t>SUNNE</t>
        </is>
      </c>
      <c r="G4368" t="n">
        <v>2</v>
      </c>
      <c r="H4368" t="n">
        <v>0</v>
      </c>
      <c r="I4368" t="n">
        <v>0</v>
      </c>
      <c r="J4368" t="n">
        <v>0</v>
      </c>
      <c r="K4368" t="n">
        <v>0</v>
      </c>
      <c r="L4368" t="n">
        <v>0</v>
      </c>
      <c r="M4368" t="n">
        <v>0</v>
      </c>
      <c r="N4368" t="n">
        <v>0</v>
      </c>
      <c r="O4368" t="n">
        <v>0</v>
      </c>
      <c r="P4368" t="n">
        <v>0</v>
      </c>
      <c r="Q4368" t="n">
        <v>0</v>
      </c>
      <c r="R4368" s="2" t="inlineStr"/>
    </row>
    <row r="4369" ht="15" customHeight="1">
      <c r="A4369" t="inlineStr">
        <is>
          <t>A 19486-2021</t>
        </is>
      </c>
      <c r="B4369" s="1" t="n">
        <v>44312</v>
      </c>
      <c r="C4369" s="1" t="n">
        <v>45810</v>
      </c>
      <c r="D4369" t="inlineStr">
        <is>
          <t>VÄRMLANDS LÄN</t>
        </is>
      </c>
      <c r="E4369" t="inlineStr">
        <is>
          <t>ARVIKA</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20199-2021</t>
        </is>
      </c>
      <c r="B4370" s="1" t="n">
        <v>44312</v>
      </c>
      <c r="C4370" s="1" t="n">
        <v>45810</v>
      </c>
      <c r="D4370" t="inlineStr">
        <is>
          <t>VÄRMLANDS LÄN</t>
        </is>
      </c>
      <c r="E4370" t="inlineStr">
        <is>
          <t>TORSBY</t>
        </is>
      </c>
      <c r="G4370" t="n">
        <v>11.4</v>
      </c>
      <c r="H4370" t="n">
        <v>0</v>
      </c>
      <c r="I4370" t="n">
        <v>0</v>
      </c>
      <c r="J4370" t="n">
        <v>0</v>
      </c>
      <c r="K4370" t="n">
        <v>0</v>
      </c>
      <c r="L4370" t="n">
        <v>0</v>
      </c>
      <c r="M4370" t="n">
        <v>0</v>
      </c>
      <c r="N4370" t="n">
        <v>0</v>
      </c>
      <c r="O4370" t="n">
        <v>0</v>
      </c>
      <c r="P4370" t="n">
        <v>0</v>
      </c>
      <c r="Q4370" t="n">
        <v>0</v>
      </c>
      <c r="R4370" s="2" t="inlineStr"/>
    </row>
    <row r="4371" ht="15" customHeight="1">
      <c r="A4371" t="inlineStr">
        <is>
          <t>A 20170-2021</t>
        </is>
      </c>
      <c r="B4371" s="1" t="n">
        <v>44312</v>
      </c>
      <c r="C4371" s="1" t="n">
        <v>45810</v>
      </c>
      <c r="D4371" t="inlineStr">
        <is>
          <t>VÄRMLANDS LÄN</t>
        </is>
      </c>
      <c r="E4371" t="inlineStr">
        <is>
          <t>TORSBY</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19508-2021</t>
        </is>
      </c>
      <c r="B4372" s="1" t="n">
        <v>44312</v>
      </c>
      <c r="C4372" s="1" t="n">
        <v>45810</v>
      </c>
      <c r="D4372" t="inlineStr">
        <is>
          <t>VÄRMLANDS LÄN</t>
        </is>
      </c>
      <c r="E4372" t="inlineStr">
        <is>
          <t>GRUMS</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19864-2021</t>
        </is>
      </c>
      <c r="B4373" s="1" t="n">
        <v>44313</v>
      </c>
      <c r="C4373" s="1" t="n">
        <v>45810</v>
      </c>
      <c r="D4373" t="inlineStr">
        <is>
          <t>VÄRMLANDS LÄN</t>
        </is>
      </c>
      <c r="E4373" t="inlineStr">
        <is>
          <t>SUNNE</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19877-2021</t>
        </is>
      </c>
      <c r="B4374" s="1" t="n">
        <v>44313</v>
      </c>
      <c r="C4374" s="1" t="n">
        <v>45810</v>
      </c>
      <c r="D4374" t="inlineStr">
        <is>
          <t>VÄRMLANDS LÄN</t>
        </is>
      </c>
      <c r="E4374" t="inlineStr">
        <is>
          <t>TORSBY</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19870-2021</t>
        </is>
      </c>
      <c r="B4375" s="1" t="n">
        <v>44313</v>
      </c>
      <c r="C4375" s="1" t="n">
        <v>45810</v>
      </c>
      <c r="D4375" t="inlineStr">
        <is>
          <t>VÄRMLANDS LÄN</t>
        </is>
      </c>
      <c r="E4375" t="inlineStr">
        <is>
          <t>SUNNE</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19826-2021</t>
        </is>
      </c>
      <c r="B4376" s="1" t="n">
        <v>44313</v>
      </c>
      <c r="C4376" s="1" t="n">
        <v>45810</v>
      </c>
      <c r="D4376" t="inlineStr">
        <is>
          <t>VÄRMLANDS LÄN</t>
        </is>
      </c>
      <c r="E4376" t="inlineStr">
        <is>
          <t>ARVIKA</t>
        </is>
      </c>
      <c r="G4376" t="n">
        <v>6</v>
      </c>
      <c r="H4376" t="n">
        <v>0</v>
      </c>
      <c r="I4376" t="n">
        <v>0</v>
      </c>
      <c r="J4376" t="n">
        <v>0</v>
      </c>
      <c r="K4376" t="n">
        <v>0</v>
      </c>
      <c r="L4376" t="n">
        <v>0</v>
      </c>
      <c r="M4376" t="n">
        <v>0</v>
      </c>
      <c r="N4376" t="n">
        <v>0</v>
      </c>
      <c r="O4376" t="n">
        <v>0</v>
      </c>
      <c r="P4376" t="n">
        <v>0</v>
      </c>
      <c r="Q4376" t="n">
        <v>0</v>
      </c>
      <c r="R4376" s="2" t="inlineStr"/>
    </row>
    <row r="4377" ht="15" customHeight="1">
      <c r="A4377" t="inlineStr">
        <is>
          <t>A 19974-2021</t>
        </is>
      </c>
      <c r="B4377" s="1" t="n">
        <v>44313</v>
      </c>
      <c r="C4377" s="1" t="n">
        <v>45810</v>
      </c>
      <c r="D4377" t="inlineStr">
        <is>
          <t>VÄRMLANDS LÄN</t>
        </is>
      </c>
      <c r="E4377" t="inlineStr">
        <is>
          <t>TORSBY</t>
        </is>
      </c>
      <c r="G4377" t="n">
        <v>0.4</v>
      </c>
      <c r="H4377" t="n">
        <v>0</v>
      </c>
      <c r="I4377" t="n">
        <v>0</v>
      </c>
      <c r="J4377" t="n">
        <v>0</v>
      </c>
      <c r="K4377" t="n">
        <v>0</v>
      </c>
      <c r="L4377" t="n">
        <v>0</v>
      </c>
      <c r="M4377" t="n">
        <v>0</v>
      </c>
      <c r="N4377" t="n">
        <v>0</v>
      </c>
      <c r="O4377" t="n">
        <v>0</v>
      </c>
      <c r="P4377" t="n">
        <v>0</v>
      </c>
      <c r="Q4377" t="n">
        <v>0</v>
      </c>
      <c r="R4377" s="2" t="inlineStr"/>
    </row>
    <row r="4378" ht="15" customHeight="1">
      <c r="A4378" t="inlineStr">
        <is>
          <t>A 20103-2021</t>
        </is>
      </c>
      <c r="B4378" s="1" t="n">
        <v>44314</v>
      </c>
      <c r="C4378" s="1" t="n">
        <v>45810</v>
      </c>
      <c r="D4378" t="inlineStr">
        <is>
          <t>VÄRMLANDS LÄN</t>
        </is>
      </c>
      <c r="E4378" t="inlineStr">
        <is>
          <t>FORSHAGA</t>
        </is>
      </c>
      <c r="F4378" t="inlineStr">
        <is>
          <t>Bergvik skog väst AB</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20139-2021</t>
        </is>
      </c>
      <c r="B4379" s="1" t="n">
        <v>44314</v>
      </c>
      <c r="C4379" s="1" t="n">
        <v>45810</v>
      </c>
      <c r="D4379" t="inlineStr">
        <is>
          <t>VÄRMLANDS LÄN</t>
        </is>
      </c>
      <c r="E4379" t="inlineStr">
        <is>
          <t>KIL</t>
        </is>
      </c>
      <c r="F4379" t="inlineStr">
        <is>
          <t>Kommuner</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20122-2021</t>
        </is>
      </c>
      <c r="B4380" s="1" t="n">
        <v>44314</v>
      </c>
      <c r="C4380" s="1" t="n">
        <v>45810</v>
      </c>
      <c r="D4380" t="inlineStr">
        <is>
          <t>VÄRMLANDS LÄN</t>
        </is>
      </c>
      <c r="E4380" t="inlineStr">
        <is>
          <t>TORSBY</t>
        </is>
      </c>
      <c r="G4380" t="n">
        <v>2.5</v>
      </c>
      <c r="H4380" t="n">
        <v>0</v>
      </c>
      <c r="I4380" t="n">
        <v>0</v>
      </c>
      <c r="J4380" t="n">
        <v>0</v>
      </c>
      <c r="K4380" t="n">
        <v>0</v>
      </c>
      <c r="L4380" t="n">
        <v>0</v>
      </c>
      <c r="M4380" t="n">
        <v>0</v>
      </c>
      <c r="N4380" t="n">
        <v>0</v>
      </c>
      <c r="O4380" t="n">
        <v>0</v>
      </c>
      <c r="P4380" t="n">
        <v>0</v>
      </c>
      <c r="Q4380" t="n">
        <v>0</v>
      </c>
      <c r="R4380" s="2" t="inlineStr"/>
    </row>
    <row r="4381" ht="15" customHeight="1">
      <c r="A4381" t="inlineStr">
        <is>
          <t>A 21233-2021</t>
        </is>
      </c>
      <c r="B4381" s="1" t="n">
        <v>44314</v>
      </c>
      <c r="C4381" s="1" t="n">
        <v>45810</v>
      </c>
      <c r="D4381" t="inlineStr">
        <is>
          <t>VÄRMLANDS LÄN</t>
        </is>
      </c>
      <c r="E4381" t="inlineStr">
        <is>
          <t>KIL</t>
        </is>
      </c>
      <c r="G4381" t="n">
        <v>9.699999999999999</v>
      </c>
      <c r="H4381" t="n">
        <v>0</v>
      </c>
      <c r="I4381" t="n">
        <v>0</v>
      </c>
      <c r="J4381" t="n">
        <v>0</v>
      </c>
      <c r="K4381" t="n">
        <v>0</v>
      </c>
      <c r="L4381" t="n">
        <v>0</v>
      </c>
      <c r="M4381" t="n">
        <v>0</v>
      </c>
      <c r="N4381" t="n">
        <v>0</v>
      </c>
      <c r="O4381" t="n">
        <v>0</v>
      </c>
      <c r="P4381" t="n">
        <v>0</v>
      </c>
      <c r="Q4381" t="n">
        <v>0</v>
      </c>
      <c r="R4381" s="2" t="inlineStr"/>
    </row>
    <row r="4382" ht="15" customHeight="1">
      <c r="A4382" t="inlineStr">
        <is>
          <t>A 20357-2021</t>
        </is>
      </c>
      <c r="B4382" s="1" t="n">
        <v>44315</v>
      </c>
      <c r="C4382" s="1" t="n">
        <v>45810</v>
      </c>
      <c r="D4382" t="inlineStr">
        <is>
          <t>VÄRMLANDS LÄN</t>
        </is>
      </c>
      <c r="E4382" t="inlineStr">
        <is>
          <t>KIL</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20311-2021</t>
        </is>
      </c>
      <c r="B4383" s="1" t="n">
        <v>44315</v>
      </c>
      <c r="C4383" s="1" t="n">
        <v>45810</v>
      </c>
      <c r="D4383" t="inlineStr">
        <is>
          <t>VÄRMLANDS LÄN</t>
        </is>
      </c>
      <c r="E4383" t="inlineStr">
        <is>
          <t>KIL</t>
        </is>
      </c>
      <c r="G4383" t="n">
        <v>2.5</v>
      </c>
      <c r="H4383" t="n">
        <v>0</v>
      </c>
      <c r="I4383" t="n">
        <v>0</v>
      </c>
      <c r="J4383" t="n">
        <v>0</v>
      </c>
      <c r="K4383" t="n">
        <v>0</v>
      </c>
      <c r="L4383" t="n">
        <v>0</v>
      </c>
      <c r="M4383" t="n">
        <v>0</v>
      </c>
      <c r="N4383" t="n">
        <v>0</v>
      </c>
      <c r="O4383" t="n">
        <v>0</v>
      </c>
      <c r="P4383" t="n">
        <v>0</v>
      </c>
      <c r="Q4383" t="n">
        <v>0</v>
      </c>
      <c r="R4383" s="2" t="inlineStr"/>
    </row>
    <row r="4384" ht="15" customHeight="1">
      <c r="A4384" t="inlineStr">
        <is>
          <t>A 20346-2021</t>
        </is>
      </c>
      <c r="B4384" s="1" t="n">
        <v>44315</v>
      </c>
      <c r="C4384" s="1" t="n">
        <v>45810</v>
      </c>
      <c r="D4384" t="inlineStr">
        <is>
          <t>VÄRMLANDS LÄN</t>
        </is>
      </c>
      <c r="E4384" t="inlineStr">
        <is>
          <t>ARVIKA</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20637-2021</t>
        </is>
      </c>
      <c r="B4385" s="1" t="n">
        <v>44316</v>
      </c>
      <c r="C4385" s="1" t="n">
        <v>45810</v>
      </c>
      <c r="D4385" t="inlineStr">
        <is>
          <t>VÄRMLANDS LÄN</t>
        </is>
      </c>
      <c r="E4385" t="inlineStr">
        <is>
          <t>SUNNE</t>
        </is>
      </c>
      <c r="G4385" t="n">
        <v>2.5</v>
      </c>
      <c r="H4385" t="n">
        <v>0</v>
      </c>
      <c r="I4385" t="n">
        <v>0</v>
      </c>
      <c r="J4385" t="n">
        <v>0</v>
      </c>
      <c r="K4385" t="n">
        <v>0</v>
      </c>
      <c r="L4385" t="n">
        <v>0</v>
      </c>
      <c r="M4385" t="n">
        <v>0</v>
      </c>
      <c r="N4385" t="n">
        <v>0</v>
      </c>
      <c r="O4385" t="n">
        <v>0</v>
      </c>
      <c r="P4385" t="n">
        <v>0</v>
      </c>
      <c r="Q4385" t="n">
        <v>0</v>
      </c>
      <c r="R4385" s="2" t="inlineStr"/>
    </row>
    <row r="4386" ht="15" customHeight="1">
      <c r="A4386" t="inlineStr">
        <is>
          <t>A 20778-2021</t>
        </is>
      </c>
      <c r="B4386" s="1" t="n">
        <v>44316</v>
      </c>
      <c r="C4386" s="1" t="n">
        <v>45810</v>
      </c>
      <c r="D4386" t="inlineStr">
        <is>
          <t>VÄRMLANDS LÄN</t>
        </is>
      </c>
      <c r="E4386" t="inlineStr">
        <is>
          <t>HAGFORS</t>
        </is>
      </c>
      <c r="F4386" t="inlineStr">
        <is>
          <t>Bergvik skog väst AB</t>
        </is>
      </c>
      <c r="G4386" t="n">
        <v>14.1</v>
      </c>
      <c r="H4386" t="n">
        <v>0</v>
      </c>
      <c r="I4386" t="n">
        <v>0</v>
      </c>
      <c r="J4386" t="n">
        <v>0</v>
      </c>
      <c r="K4386" t="n">
        <v>0</v>
      </c>
      <c r="L4386" t="n">
        <v>0</v>
      </c>
      <c r="M4386" t="n">
        <v>0</v>
      </c>
      <c r="N4386" t="n">
        <v>0</v>
      </c>
      <c r="O4386" t="n">
        <v>0</v>
      </c>
      <c r="P4386" t="n">
        <v>0</v>
      </c>
      <c r="Q4386" t="n">
        <v>0</v>
      </c>
      <c r="R4386" s="2" t="inlineStr"/>
    </row>
    <row r="4387" ht="15" customHeight="1">
      <c r="A4387" t="inlineStr">
        <is>
          <t>A 20684-2021</t>
        </is>
      </c>
      <c r="B4387" s="1" t="n">
        <v>44316</v>
      </c>
      <c r="C4387" s="1" t="n">
        <v>45810</v>
      </c>
      <c r="D4387" t="inlineStr">
        <is>
          <t>VÄRMLANDS LÄN</t>
        </is>
      </c>
      <c r="E4387" t="inlineStr">
        <is>
          <t>SÄFFLE</t>
        </is>
      </c>
      <c r="F4387" t="inlineStr">
        <is>
          <t>Bergvik skog väst AB</t>
        </is>
      </c>
      <c r="G4387" t="n">
        <v>8.1</v>
      </c>
      <c r="H4387" t="n">
        <v>0</v>
      </c>
      <c r="I4387" t="n">
        <v>0</v>
      </c>
      <c r="J4387" t="n">
        <v>0</v>
      </c>
      <c r="K4387" t="n">
        <v>0</v>
      </c>
      <c r="L4387" t="n">
        <v>0</v>
      </c>
      <c r="M4387" t="n">
        <v>0</v>
      </c>
      <c r="N4387" t="n">
        <v>0</v>
      </c>
      <c r="O4387" t="n">
        <v>0</v>
      </c>
      <c r="P4387" t="n">
        <v>0</v>
      </c>
      <c r="Q4387" t="n">
        <v>0</v>
      </c>
      <c r="R4387" s="2" t="inlineStr"/>
    </row>
    <row r="4388" ht="15" customHeight="1">
      <c r="A4388" t="inlineStr">
        <is>
          <t>A 20800-2021</t>
        </is>
      </c>
      <c r="B4388" s="1" t="n">
        <v>44316</v>
      </c>
      <c r="C4388" s="1" t="n">
        <v>45810</v>
      </c>
      <c r="D4388" t="inlineStr">
        <is>
          <t>VÄRMLANDS LÄN</t>
        </is>
      </c>
      <c r="E4388" t="inlineStr">
        <is>
          <t>SUNNE</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20931-2021</t>
        </is>
      </c>
      <c r="B4389" s="1" t="n">
        <v>44319</v>
      </c>
      <c r="C4389" s="1" t="n">
        <v>45810</v>
      </c>
      <c r="D4389" t="inlineStr">
        <is>
          <t>VÄRMLANDS LÄN</t>
        </is>
      </c>
      <c r="E4389" t="inlineStr">
        <is>
          <t>SÄFFLE</t>
        </is>
      </c>
      <c r="G4389" t="n">
        <v>5.3</v>
      </c>
      <c r="H4389" t="n">
        <v>0</v>
      </c>
      <c r="I4389" t="n">
        <v>0</v>
      </c>
      <c r="J4389" t="n">
        <v>0</v>
      </c>
      <c r="K4389" t="n">
        <v>0</v>
      </c>
      <c r="L4389" t="n">
        <v>0</v>
      </c>
      <c r="M4389" t="n">
        <v>0</v>
      </c>
      <c r="N4389" t="n">
        <v>0</v>
      </c>
      <c r="O4389" t="n">
        <v>0</v>
      </c>
      <c r="P4389" t="n">
        <v>0</v>
      </c>
      <c r="Q4389" t="n">
        <v>0</v>
      </c>
      <c r="R4389" s="2" t="inlineStr"/>
    </row>
    <row r="4390" ht="15" customHeight="1">
      <c r="A4390" t="inlineStr">
        <is>
          <t>A 20954-2021</t>
        </is>
      </c>
      <c r="B4390" s="1" t="n">
        <v>44319</v>
      </c>
      <c r="C4390" s="1" t="n">
        <v>45810</v>
      </c>
      <c r="D4390" t="inlineStr">
        <is>
          <t>VÄRMLANDS LÄN</t>
        </is>
      </c>
      <c r="E4390" t="inlineStr">
        <is>
          <t>FILIPSTAD</t>
        </is>
      </c>
      <c r="G4390" t="n">
        <v>5.1</v>
      </c>
      <c r="H4390" t="n">
        <v>0</v>
      </c>
      <c r="I4390" t="n">
        <v>0</v>
      </c>
      <c r="J4390" t="n">
        <v>0</v>
      </c>
      <c r="K4390" t="n">
        <v>0</v>
      </c>
      <c r="L4390" t="n">
        <v>0</v>
      </c>
      <c r="M4390" t="n">
        <v>0</v>
      </c>
      <c r="N4390" t="n">
        <v>0</v>
      </c>
      <c r="O4390" t="n">
        <v>0</v>
      </c>
      <c r="P4390" t="n">
        <v>0</v>
      </c>
      <c r="Q4390" t="n">
        <v>0</v>
      </c>
      <c r="R4390" s="2" t="inlineStr"/>
    </row>
    <row r="4391" ht="15" customHeight="1">
      <c r="A4391" t="inlineStr">
        <is>
          <t>A 21031-2021</t>
        </is>
      </c>
      <c r="B4391" s="1" t="n">
        <v>44319</v>
      </c>
      <c r="C4391" s="1" t="n">
        <v>45810</v>
      </c>
      <c r="D4391" t="inlineStr">
        <is>
          <t>VÄRMLANDS LÄN</t>
        </is>
      </c>
      <c r="E4391" t="inlineStr">
        <is>
          <t>TORSBY</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21071-2021</t>
        </is>
      </c>
      <c r="B4392" s="1" t="n">
        <v>44319</v>
      </c>
      <c r="C4392" s="1" t="n">
        <v>45810</v>
      </c>
      <c r="D4392" t="inlineStr">
        <is>
          <t>VÄRMLANDS LÄN</t>
        </is>
      </c>
      <c r="E4392" t="inlineStr">
        <is>
          <t>SUNNE</t>
        </is>
      </c>
      <c r="F4392" t="inlineStr">
        <is>
          <t>Övriga Aktiebolag</t>
        </is>
      </c>
      <c r="G4392" t="n">
        <v>6.4</v>
      </c>
      <c r="H4392" t="n">
        <v>0</v>
      </c>
      <c r="I4392" t="n">
        <v>0</v>
      </c>
      <c r="J4392" t="n">
        <v>0</v>
      </c>
      <c r="K4392" t="n">
        <v>0</v>
      </c>
      <c r="L4392" t="n">
        <v>0</v>
      </c>
      <c r="M4392" t="n">
        <v>0</v>
      </c>
      <c r="N4392" t="n">
        <v>0</v>
      </c>
      <c r="O4392" t="n">
        <v>0</v>
      </c>
      <c r="P4392" t="n">
        <v>0</v>
      </c>
      <c r="Q4392" t="n">
        <v>0</v>
      </c>
      <c r="R4392" s="2" t="inlineStr"/>
    </row>
    <row r="4393" ht="15" customHeight="1">
      <c r="A4393" t="inlineStr">
        <is>
          <t>A 21072-2021</t>
        </is>
      </c>
      <c r="B4393" s="1" t="n">
        <v>44319</v>
      </c>
      <c r="C4393" s="1" t="n">
        <v>45810</v>
      </c>
      <c r="D4393" t="inlineStr">
        <is>
          <t>VÄRMLANDS LÄN</t>
        </is>
      </c>
      <c r="E4393" t="inlineStr">
        <is>
          <t>SUNNE</t>
        </is>
      </c>
      <c r="F4393" t="inlineStr">
        <is>
          <t>Övriga Aktiebolag</t>
        </is>
      </c>
      <c r="G4393" t="n">
        <v>6.8</v>
      </c>
      <c r="H4393" t="n">
        <v>0</v>
      </c>
      <c r="I4393" t="n">
        <v>0</v>
      </c>
      <c r="J4393" t="n">
        <v>0</v>
      </c>
      <c r="K4393" t="n">
        <v>0</v>
      </c>
      <c r="L4393" t="n">
        <v>0</v>
      </c>
      <c r="M4393" t="n">
        <v>0</v>
      </c>
      <c r="N4393" t="n">
        <v>0</v>
      </c>
      <c r="O4393" t="n">
        <v>0</v>
      </c>
      <c r="P4393" t="n">
        <v>0</v>
      </c>
      <c r="Q4393" t="n">
        <v>0</v>
      </c>
      <c r="R4393" s="2" t="inlineStr"/>
    </row>
    <row r="4394" ht="15" customHeight="1">
      <c r="A4394" t="inlineStr">
        <is>
          <t>A 21378-2021</t>
        </is>
      </c>
      <c r="B4394" s="1" t="n">
        <v>44320</v>
      </c>
      <c r="C4394" s="1" t="n">
        <v>45810</v>
      </c>
      <c r="D4394" t="inlineStr">
        <is>
          <t>VÄRMLANDS LÄN</t>
        </is>
      </c>
      <c r="E4394" t="inlineStr">
        <is>
          <t>KIL</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21146-2021</t>
        </is>
      </c>
      <c r="B4395" s="1" t="n">
        <v>44320</v>
      </c>
      <c r="C4395" s="1" t="n">
        <v>45810</v>
      </c>
      <c r="D4395" t="inlineStr">
        <is>
          <t>VÄRMLANDS LÄN</t>
        </is>
      </c>
      <c r="E4395" t="inlineStr">
        <is>
          <t>HAGFORS</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21206-2021</t>
        </is>
      </c>
      <c r="B4396" s="1" t="n">
        <v>44320</v>
      </c>
      <c r="C4396" s="1" t="n">
        <v>45810</v>
      </c>
      <c r="D4396" t="inlineStr">
        <is>
          <t>VÄRMLANDS LÄN</t>
        </is>
      </c>
      <c r="E4396" t="inlineStr">
        <is>
          <t>TORSBY</t>
        </is>
      </c>
      <c r="G4396" t="n">
        <v>2.6</v>
      </c>
      <c r="H4396" t="n">
        <v>0</v>
      </c>
      <c r="I4396" t="n">
        <v>0</v>
      </c>
      <c r="J4396" t="n">
        <v>0</v>
      </c>
      <c r="K4396" t="n">
        <v>0</v>
      </c>
      <c r="L4396" t="n">
        <v>0</v>
      </c>
      <c r="M4396" t="n">
        <v>0</v>
      </c>
      <c r="N4396" t="n">
        <v>0</v>
      </c>
      <c r="O4396" t="n">
        <v>0</v>
      </c>
      <c r="P4396" t="n">
        <v>0</v>
      </c>
      <c r="Q4396" t="n">
        <v>0</v>
      </c>
      <c r="R4396" s="2" t="inlineStr"/>
    </row>
    <row r="4397" ht="15" customHeight="1">
      <c r="A4397" t="inlineStr">
        <is>
          <t>A 21308-2021</t>
        </is>
      </c>
      <c r="B4397" s="1" t="n">
        <v>44320</v>
      </c>
      <c r="C4397" s="1" t="n">
        <v>45810</v>
      </c>
      <c r="D4397" t="inlineStr">
        <is>
          <t>VÄRMLANDS LÄN</t>
        </is>
      </c>
      <c r="E4397" t="inlineStr">
        <is>
          <t>EDA</t>
        </is>
      </c>
      <c r="G4397" t="n">
        <v>15.1</v>
      </c>
      <c r="H4397" t="n">
        <v>0</v>
      </c>
      <c r="I4397" t="n">
        <v>0</v>
      </c>
      <c r="J4397" t="n">
        <v>0</v>
      </c>
      <c r="K4397" t="n">
        <v>0</v>
      </c>
      <c r="L4397" t="n">
        <v>0</v>
      </c>
      <c r="M4397" t="n">
        <v>0</v>
      </c>
      <c r="N4397" t="n">
        <v>0</v>
      </c>
      <c r="O4397" t="n">
        <v>0</v>
      </c>
      <c r="P4397" t="n">
        <v>0</v>
      </c>
      <c r="Q4397" t="n">
        <v>0</v>
      </c>
      <c r="R4397" s="2" t="inlineStr"/>
    </row>
    <row r="4398" ht="15" customHeight="1">
      <c r="A4398" t="inlineStr">
        <is>
          <t>A 21382-2021</t>
        </is>
      </c>
      <c r="B4398" s="1" t="n">
        <v>44320</v>
      </c>
      <c r="C4398" s="1" t="n">
        <v>45810</v>
      </c>
      <c r="D4398" t="inlineStr">
        <is>
          <t>VÄRMLANDS LÄN</t>
        </is>
      </c>
      <c r="E4398" t="inlineStr">
        <is>
          <t>ARVIKA</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21381-2021</t>
        </is>
      </c>
      <c r="B4399" s="1" t="n">
        <v>44320</v>
      </c>
      <c r="C4399" s="1" t="n">
        <v>45810</v>
      </c>
      <c r="D4399" t="inlineStr">
        <is>
          <t>VÄRMLANDS LÄN</t>
        </is>
      </c>
      <c r="E4399" t="inlineStr">
        <is>
          <t>ARVIKA</t>
        </is>
      </c>
      <c r="G4399" t="n">
        <v>3.2</v>
      </c>
      <c r="H4399" t="n">
        <v>0</v>
      </c>
      <c r="I4399" t="n">
        <v>0</v>
      </c>
      <c r="J4399" t="n">
        <v>0</v>
      </c>
      <c r="K4399" t="n">
        <v>0</v>
      </c>
      <c r="L4399" t="n">
        <v>0</v>
      </c>
      <c r="M4399" t="n">
        <v>0</v>
      </c>
      <c r="N4399" t="n">
        <v>0</v>
      </c>
      <c r="O4399" t="n">
        <v>0</v>
      </c>
      <c r="P4399" t="n">
        <v>0</v>
      </c>
      <c r="Q4399" t="n">
        <v>0</v>
      </c>
      <c r="R4399" s="2" t="inlineStr"/>
    </row>
    <row r="4400" ht="15" customHeight="1">
      <c r="A4400" t="inlineStr">
        <is>
          <t>A 21525-2021</t>
        </is>
      </c>
      <c r="B4400" s="1" t="n">
        <v>44321</v>
      </c>
      <c r="C4400" s="1" t="n">
        <v>45810</v>
      </c>
      <c r="D4400" t="inlineStr">
        <is>
          <t>VÄRMLANDS LÄN</t>
        </is>
      </c>
      <c r="E4400" t="inlineStr">
        <is>
          <t>SÄFFLE</t>
        </is>
      </c>
      <c r="F4400" t="inlineStr">
        <is>
          <t>Bergvik skog väst AB</t>
        </is>
      </c>
      <c r="G4400" t="n">
        <v>14.4</v>
      </c>
      <c r="H4400" t="n">
        <v>0</v>
      </c>
      <c r="I4400" t="n">
        <v>0</v>
      </c>
      <c r="J4400" t="n">
        <v>0</v>
      </c>
      <c r="K4400" t="n">
        <v>0</v>
      </c>
      <c r="L4400" t="n">
        <v>0</v>
      </c>
      <c r="M4400" t="n">
        <v>0</v>
      </c>
      <c r="N4400" t="n">
        <v>0</v>
      </c>
      <c r="O4400" t="n">
        <v>0</v>
      </c>
      <c r="P4400" t="n">
        <v>0</v>
      </c>
      <c r="Q4400" t="n">
        <v>0</v>
      </c>
      <c r="R4400" s="2" t="inlineStr"/>
    </row>
    <row r="4401" ht="15" customHeight="1">
      <c r="A4401" t="inlineStr">
        <is>
          <t>A 21528-2021</t>
        </is>
      </c>
      <c r="B4401" s="1" t="n">
        <v>44321</v>
      </c>
      <c r="C4401" s="1" t="n">
        <v>45810</v>
      </c>
      <c r="D4401" t="inlineStr">
        <is>
          <t>VÄRMLANDS LÄN</t>
        </is>
      </c>
      <c r="E4401" t="inlineStr">
        <is>
          <t>SÄFFLE</t>
        </is>
      </c>
      <c r="F4401" t="inlineStr">
        <is>
          <t>Bergvik skog väst AB</t>
        </is>
      </c>
      <c r="G4401" t="n">
        <v>13.4</v>
      </c>
      <c r="H4401" t="n">
        <v>0</v>
      </c>
      <c r="I4401" t="n">
        <v>0</v>
      </c>
      <c r="J4401" t="n">
        <v>0</v>
      </c>
      <c r="K4401" t="n">
        <v>0</v>
      </c>
      <c r="L4401" t="n">
        <v>0</v>
      </c>
      <c r="M4401" t="n">
        <v>0</v>
      </c>
      <c r="N4401" t="n">
        <v>0</v>
      </c>
      <c r="O4401" t="n">
        <v>0</v>
      </c>
      <c r="P4401" t="n">
        <v>0</v>
      </c>
      <c r="Q4401" t="n">
        <v>0</v>
      </c>
      <c r="R4401" s="2" t="inlineStr"/>
    </row>
    <row r="4402" ht="15" customHeight="1">
      <c r="A4402" t="inlineStr">
        <is>
          <t>A 21590-2021</t>
        </is>
      </c>
      <c r="B4402" s="1" t="n">
        <v>44321</v>
      </c>
      <c r="C4402" s="1" t="n">
        <v>45810</v>
      </c>
      <c r="D4402" t="inlineStr">
        <is>
          <t>VÄRMLANDS LÄN</t>
        </is>
      </c>
      <c r="E4402" t="inlineStr">
        <is>
          <t>STORFORS</t>
        </is>
      </c>
      <c r="F4402" t="inlineStr">
        <is>
          <t>Bergvik skog väst AB</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21656-2021</t>
        </is>
      </c>
      <c r="B4403" s="1" t="n">
        <v>44322</v>
      </c>
      <c r="C4403" s="1" t="n">
        <v>45810</v>
      </c>
      <c r="D4403" t="inlineStr">
        <is>
          <t>VÄRMLANDS LÄN</t>
        </is>
      </c>
      <c r="E4403" t="inlineStr">
        <is>
          <t>KARLSTAD</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21681-2021</t>
        </is>
      </c>
      <c r="B4404" s="1" t="n">
        <v>44322</v>
      </c>
      <c r="C4404" s="1" t="n">
        <v>45810</v>
      </c>
      <c r="D4404" t="inlineStr">
        <is>
          <t>VÄRMLANDS LÄN</t>
        </is>
      </c>
      <c r="E4404" t="inlineStr">
        <is>
          <t>KIL</t>
        </is>
      </c>
      <c r="F4404" t="inlineStr">
        <is>
          <t>Kommuner</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21737-2021</t>
        </is>
      </c>
      <c r="B4405" s="1" t="n">
        <v>44322</v>
      </c>
      <c r="C4405" s="1" t="n">
        <v>45810</v>
      </c>
      <c r="D4405" t="inlineStr">
        <is>
          <t>VÄRMLANDS LÄN</t>
        </is>
      </c>
      <c r="E4405" t="inlineStr">
        <is>
          <t>SUNNE</t>
        </is>
      </c>
      <c r="G4405" t="n">
        <v>5.1</v>
      </c>
      <c r="H4405" t="n">
        <v>0</v>
      </c>
      <c r="I4405" t="n">
        <v>0</v>
      </c>
      <c r="J4405" t="n">
        <v>0</v>
      </c>
      <c r="K4405" t="n">
        <v>0</v>
      </c>
      <c r="L4405" t="n">
        <v>0</v>
      </c>
      <c r="M4405" t="n">
        <v>0</v>
      </c>
      <c r="N4405" t="n">
        <v>0</v>
      </c>
      <c r="O4405" t="n">
        <v>0</v>
      </c>
      <c r="P4405" t="n">
        <v>0</v>
      </c>
      <c r="Q4405" t="n">
        <v>0</v>
      </c>
      <c r="R4405" s="2" t="inlineStr"/>
    </row>
    <row r="4406" ht="15" customHeight="1">
      <c r="A4406" t="inlineStr">
        <is>
          <t>A 21818-2021</t>
        </is>
      </c>
      <c r="B4406" s="1" t="n">
        <v>44322</v>
      </c>
      <c r="C4406" s="1" t="n">
        <v>45810</v>
      </c>
      <c r="D4406" t="inlineStr">
        <is>
          <t>VÄRMLANDS LÄN</t>
        </is>
      </c>
      <c r="E4406" t="inlineStr">
        <is>
          <t>KARLSTAD</t>
        </is>
      </c>
      <c r="G4406" t="n">
        <v>9.300000000000001</v>
      </c>
      <c r="H4406" t="n">
        <v>0</v>
      </c>
      <c r="I4406" t="n">
        <v>0</v>
      </c>
      <c r="J4406" t="n">
        <v>0</v>
      </c>
      <c r="K4406" t="n">
        <v>0</v>
      </c>
      <c r="L4406" t="n">
        <v>0</v>
      </c>
      <c r="M4406" t="n">
        <v>0</v>
      </c>
      <c r="N4406" t="n">
        <v>0</v>
      </c>
      <c r="O4406" t="n">
        <v>0</v>
      </c>
      <c r="P4406" t="n">
        <v>0</v>
      </c>
      <c r="Q4406" t="n">
        <v>0</v>
      </c>
      <c r="R4406" s="2" t="inlineStr"/>
    </row>
    <row r="4407" ht="15" customHeight="1">
      <c r="A4407" t="inlineStr">
        <is>
          <t>A 21701-2021</t>
        </is>
      </c>
      <c r="B4407" s="1" t="n">
        <v>44322</v>
      </c>
      <c r="C4407" s="1" t="n">
        <v>45810</v>
      </c>
      <c r="D4407" t="inlineStr">
        <is>
          <t>VÄRMLANDS LÄN</t>
        </is>
      </c>
      <c r="E4407" t="inlineStr">
        <is>
          <t>ÅRJÄNG</t>
        </is>
      </c>
      <c r="G4407" t="n">
        <v>2.4</v>
      </c>
      <c r="H4407" t="n">
        <v>0</v>
      </c>
      <c r="I4407" t="n">
        <v>0</v>
      </c>
      <c r="J4407" t="n">
        <v>0</v>
      </c>
      <c r="K4407" t="n">
        <v>0</v>
      </c>
      <c r="L4407" t="n">
        <v>0</v>
      </c>
      <c r="M4407" t="n">
        <v>0</v>
      </c>
      <c r="N4407" t="n">
        <v>0</v>
      </c>
      <c r="O4407" t="n">
        <v>0</v>
      </c>
      <c r="P4407" t="n">
        <v>0</v>
      </c>
      <c r="Q4407" t="n">
        <v>0</v>
      </c>
      <c r="R4407" s="2" t="inlineStr"/>
    </row>
    <row r="4408" ht="15" customHeight="1">
      <c r="A4408" t="inlineStr">
        <is>
          <t>A 21651-2021</t>
        </is>
      </c>
      <c r="B4408" s="1" t="n">
        <v>44322</v>
      </c>
      <c r="C4408" s="1" t="n">
        <v>45810</v>
      </c>
      <c r="D4408" t="inlineStr">
        <is>
          <t>VÄRMLANDS LÄN</t>
        </is>
      </c>
      <c r="E4408" t="inlineStr">
        <is>
          <t>SÄFFLE</t>
        </is>
      </c>
      <c r="G4408" t="n">
        <v>8.699999999999999</v>
      </c>
      <c r="H4408" t="n">
        <v>0</v>
      </c>
      <c r="I4408" t="n">
        <v>0</v>
      </c>
      <c r="J4408" t="n">
        <v>0</v>
      </c>
      <c r="K4408" t="n">
        <v>0</v>
      </c>
      <c r="L4408" t="n">
        <v>0</v>
      </c>
      <c r="M4408" t="n">
        <v>0</v>
      </c>
      <c r="N4408" t="n">
        <v>0</v>
      </c>
      <c r="O4408" t="n">
        <v>0</v>
      </c>
      <c r="P4408" t="n">
        <v>0</v>
      </c>
      <c r="Q4408" t="n">
        <v>0</v>
      </c>
      <c r="R4408" s="2" t="inlineStr"/>
    </row>
    <row r="4409" ht="15" customHeight="1">
      <c r="A4409" t="inlineStr">
        <is>
          <t>A 21660-2021</t>
        </is>
      </c>
      <c r="B4409" s="1" t="n">
        <v>44322</v>
      </c>
      <c r="C4409" s="1" t="n">
        <v>45810</v>
      </c>
      <c r="D4409" t="inlineStr">
        <is>
          <t>VÄRMLANDS LÄN</t>
        </is>
      </c>
      <c r="E4409" t="inlineStr">
        <is>
          <t>SÄFFLE</t>
        </is>
      </c>
      <c r="G4409" t="n">
        <v>2.7</v>
      </c>
      <c r="H4409" t="n">
        <v>0</v>
      </c>
      <c r="I4409" t="n">
        <v>0</v>
      </c>
      <c r="J4409" t="n">
        <v>0</v>
      </c>
      <c r="K4409" t="n">
        <v>0</v>
      </c>
      <c r="L4409" t="n">
        <v>0</v>
      </c>
      <c r="M4409" t="n">
        <v>0</v>
      </c>
      <c r="N4409" t="n">
        <v>0</v>
      </c>
      <c r="O4409" t="n">
        <v>0</v>
      </c>
      <c r="P4409" t="n">
        <v>0</v>
      </c>
      <c r="Q4409" t="n">
        <v>0</v>
      </c>
      <c r="R4409" s="2" t="inlineStr"/>
    </row>
    <row r="4410" ht="15" customHeight="1">
      <c r="A4410" t="inlineStr">
        <is>
          <t>A 21826-2021</t>
        </is>
      </c>
      <c r="B4410" s="1" t="n">
        <v>44322</v>
      </c>
      <c r="C4410" s="1" t="n">
        <v>45810</v>
      </c>
      <c r="D4410" t="inlineStr">
        <is>
          <t>VÄRMLANDS LÄN</t>
        </is>
      </c>
      <c r="E4410" t="inlineStr">
        <is>
          <t>KARLSTAD</t>
        </is>
      </c>
      <c r="G4410" t="n">
        <v>2.1</v>
      </c>
      <c r="H4410" t="n">
        <v>0</v>
      </c>
      <c r="I4410" t="n">
        <v>0</v>
      </c>
      <c r="J4410" t="n">
        <v>0</v>
      </c>
      <c r="K4410" t="n">
        <v>0</v>
      </c>
      <c r="L4410" t="n">
        <v>0</v>
      </c>
      <c r="M4410" t="n">
        <v>0</v>
      </c>
      <c r="N4410" t="n">
        <v>0</v>
      </c>
      <c r="O4410" t="n">
        <v>0</v>
      </c>
      <c r="P4410" t="n">
        <v>0</v>
      </c>
      <c r="Q4410" t="n">
        <v>0</v>
      </c>
      <c r="R4410" s="2" t="inlineStr"/>
    </row>
    <row r="4411" ht="15" customHeight="1">
      <c r="A4411" t="inlineStr">
        <is>
          <t>A 21840-2021</t>
        </is>
      </c>
      <c r="B4411" s="1" t="n">
        <v>44322</v>
      </c>
      <c r="C4411" s="1" t="n">
        <v>45810</v>
      </c>
      <c r="D4411" t="inlineStr">
        <is>
          <t>VÄRMLANDS LÄN</t>
        </is>
      </c>
      <c r="E4411" t="inlineStr">
        <is>
          <t>KARLSTAD</t>
        </is>
      </c>
      <c r="G4411" t="n">
        <v>9.6</v>
      </c>
      <c r="H4411" t="n">
        <v>0</v>
      </c>
      <c r="I4411" t="n">
        <v>0</v>
      </c>
      <c r="J4411" t="n">
        <v>0</v>
      </c>
      <c r="K4411" t="n">
        <v>0</v>
      </c>
      <c r="L4411" t="n">
        <v>0</v>
      </c>
      <c r="M4411" t="n">
        <v>0</v>
      </c>
      <c r="N4411" t="n">
        <v>0</v>
      </c>
      <c r="O4411" t="n">
        <v>0</v>
      </c>
      <c r="P4411" t="n">
        <v>0</v>
      </c>
      <c r="Q4411" t="n">
        <v>0</v>
      </c>
      <c r="R4411" s="2" t="inlineStr"/>
    </row>
    <row r="4412" ht="15" customHeight="1">
      <c r="A4412" t="inlineStr">
        <is>
          <t>A 21862-2021</t>
        </is>
      </c>
      <c r="B4412" s="1" t="n">
        <v>44322</v>
      </c>
      <c r="C4412" s="1" t="n">
        <v>45810</v>
      </c>
      <c r="D4412" t="inlineStr">
        <is>
          <t>VÄRMLANDS LÄN</t>
        </is>
      </c>
      <c r="E4412" t="inlineStr">
        <is>
          <t>KARLSTAD</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22563-2021</t>
        </is>
      </c>
      <c r="B4413" s="1" t="n">
        <v>44322</v>
      </c>
      <c r="C4413" s="1" t="n">
        <v>45810</v>
      </c>
      <c r="D4413" t="inlineStr">
        <is>
          <t>VÄRMLANDS LÄN</t>
        </is>
      </c>
      <c r="E4413" t="inlineStr">
        <is>
          <t>ARVIKA</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22435-2021</t>
        </is>
      </c>
      <c r="B4414" s="1" t="n">
        <v>44322</v>
      </c>
      <c r="C4414" s="1" t="n">
        <v>45810</v>
      </c>
      <c r="D4414" t="inlineStr">
        <is>
          <t>VÄRMLANDS LÄN</t>
        </is>
      </c>
      <c r="E4414" t="inlineStr">
        <is>
          <t>STORFORS</t>
        </is>
      </c>
      <c r="G4414" t="n">
        <v>2.4</v>
      </c>
      <c r="H4414" t="n">
        <v>0</v>
      </c>
      <c r="I4414" t="n">
        <v>0</v>
      </c>
      <c r="J4414" t="n">
        <v>0</v>
      </c>
      <c r="K4414" t="n">
        <v>0</v>
      </c>
      <c r="L4414" t="n">
        <v>0</v>
      </c>
      <c r="M4414" t="n">
        <v>0</v>
      </c>
      <c r="N4414" t="n">
        <v>0</v>
      </c>
      <c r="O4414" t="n">
        <v>0</v>
      </c>
      <c r="P4414" t="n">
        <v>0</v>
      </c>
      <c r="Q4414" t="n">
        <v>0</v>
      </c>
      <c r="R4414" s="2" t="inlineStr"/>
    </row>
    <row r="4415" ht="15" customHeight="1">
      <c r="A4415" t="inlineStr">
        <is>
          <t>A 22565-2021</t>
        </is>
      </c>
      <c r="B4415" s="1" t="n">
        <v>44322</v>
      </c>
      <c r="C4415" s="1" t="n">
        <v>45810</v>
      </c>
      <c r="D4415" t="inlineStr">
        <is>
          <t>VÄRMLANDS LÄN</t>
        </is>
      </c>
      <c r="E4415" t="inlineStr">
        <is>
          <t>ARVIKA</t>
        </is>
      </c>
      <c r="G4415" t="n">
        <v>3.1</v>
      </c>
      <c r="H4415" t="n">
        <v>0</v>
      </c>
      <c r="I4415" t="n">
        <v>0</v>
      </c>
      <c r="J4415" t="n">
        <v>0</v>
      </c>
      <c r="K4415" t="n">
        <v>0</v>
      </c>
      <c r="L4415" t="n">
        <v>0</v>
      </c>
      <c r="M4415" t="n">
        <v>0</v>
      </c>
      <c r="N4415" t="n">
        <v>0</v>
      </c>
      <c r="O4415" t="n">
        <v>0</v>
      </c>
      <c r="P4415" t="n">
        <v>0</v>
      </c>
      <c r="Q4415" t="n">
        <v>0</v>
      </c>
      <c r="R4415" s="2" t="inlineStr"/>
    </row>
    <row r="4416" ht="15" customHeight="1">
      <c r="A4416" t="inlineStr">
        <is>
          <t>A 21995-2021</t>
        </is>
      </c>
      <c r="B4416" s="1" t="n">
        <v>44323</v>
      </c>
      <c r="C4416" s="1" t="n">
        <v>45810</v>
      </c>
      <c r="D4416" t="inlineStr">
        <is>
          <t>VÄRMLANDS LÄN</t>
        </is>
      </c>
      <c r="E4416" t="inlineStr">
        <is>
          <t>ÅRJÄNG</t>
        </is>
      </c>
      <c r="G4416" t="n">
        <v>4.3</v>
      </c>
      <c r="H4416" t="n">
        <v>0</v>
      </c>
      <c r="I4416" t="n">
        <v>0</v>
      </c>
      <c r="J4416" t="n">
        <v>0</v>
      </c>
      <c r="K4416" t="n">
        <v>0</v>
      </c>
      <c r="L4416" t="n">
        <v>0</v>
      </c>
      <c r="M4416" t="n">
        <v>0</v>
      </c>
      <c r="N4416" t="n">
        <v>0</v>
      </c>
      <c r="O4416" t="n">
        <v>0</v>
      </c>
      <c r="P4416" t="n">
        <v>0</v>
      </c>
      <c r="Q4416" t="n">
        <v>0</v>
      </c>
      <c r="R4416" s="2" t="inlineStr"/>
    </row>
    <row r="4417" ht="15" customHeight="1">
      <c r="A4417" t="inlineStr">
        <is>
          <t>A 22007-2021</t>
        </is>
      </c>
      <c r="B4417" s="1" t="n">
        <v>44323</v>
      </c>
      <c r="C4417" s="1" t="n">
        <v>45810</v>
      </c>
      <c r="D4417" t="inlineStr">
        <is>
          <t>VÄRMLANDS LÄN</t>
        </is>
      </c>
      <c r="E4417" t="inlineStr">
        <is>
          <t>HAGFORS</t>
        </is>
      </c>
      <c r="G4417" t="n">
        <v>4.2</v>
      </c>
      <c r="H4417" t="n">
        <v>0</v>
      </c>
      <c r="I4417" t="n">
        <v>0</v>
      </c>
      <c r="J4417" t="n">
        <v>0</v>
      </c>
      <c r="K4417" t="n">
        <v>0</v>
      </c>
      <c r="L4417" t="n">
        <v>0</v>
      </c>
      <c r="M4417" t="n">
        <v>0</v>
      </c>
      <c r="N4417" t="n">
        <v>0</v>
      </c>
      <c r="O4417" t="n">
        <v>0</v>
      </c>
      <c r="P4417" t="n">
        <v>0</v>
      </c>
      <c r="Q4417" t="n">
        <v>0</v>
      </c>
      <c r="R4417" s="2" t="inlineStr"/>
    </row>
    <row r="4418" ht="15" customHeight="1">
      <c r="A4418" t="inlineStr">
        <is>
          <t>A 21996-2021</t>
        </is>
      </c>
      <c r="B4418" s="1" t="n">
        <v>44323</v>
      </c>
      <c r="C4418" s="1" t="n">
        <v>45810</v>
      </c>
      <c r="D4418" t="inlineStr">
        <is>
          <t>VÄRMLANDS LÄN</t>
        </is>
      </c>
      <c r="E4418" t="inlineStr">
        <is>
          <t>ÅRJÄNG</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22091-2021</t>
        </is>
      </c>
      <c r="B4419" s="1" t="n">
        <v>44323</v>
      </c>
      <c r="C4419" s="1" t="n">
        <v>45810</v>
      </c>
      <c r="D4419" t="inlineStr">
        <is>
          <t>VÄRMLANDS LÄN</t>
        </is>
      </c>
      <c r="E4419" t="inlineStr">
        <is>
          <t>KARLSTAD</t>
        </is>
      </c>
      <c r="F4419" t="inlineStr">
        <is>
          <t>Övriga statliga verk och myndigheter</t>
        </is>
      </c>
      <c r="G4419" t="n">
        <v>5.1</v>
      </c>
      <c r="H4419" t="n">
        <v>0</v>
      </c>
      <c r="I4419" t="n">
        <v>0</v>
      </c>
      <c r="J4419" t="n">
        <v>0</v>
      </c>
      <c r="K4419" t="n">
        <v>0</v>
      </c>
      <c r="L4419" t="n">
        <v>0</v>
      </c>
      <c r="M4419" t="n">
        <v>0</v>
      </c>
      <c r="N4419" t="n">
        <v>0</v>
      </c>
      <c r="O4419" t="n">
        <v>0</v>
      </c>
      <c r="P4419" t="n">
        <v>0</v>
      </c>
      <c r="Q4419" t="n">
        <v>0</v>
      </c>
      <c r="R4419" s="2" t="inlineStr"/>
    </row>
    <row r="4420" ht="15" customHeight="1">
      <c r="A4420" t="inlineStr">
        <is>
          <t>A 22016-2021</t>
        </is>
      </c>
      <c r="B4420" s="1" t="n">
        <v>44323</v>
      </c>
      <c r="C4420" s="1" t="n">
        <v>45810</v>
      </c>
      <c r="D4420" t="inlineStr">
        <is>
          <t>VÄRMLANDS LÄN</t>
        </is>
      </c>
      <c r="E4420" t="inlineStr">
        <is>
          <t>HAGFORS</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22022-2021</t>
        </is>
      </c>
      <c r="B4421" s="1" t="n">
        <v>44323</v>
      </c>
      <c r="C4421" s="1" t="n">
        <v>45810</v>
      </c>
      <c r="D4421" t="inlineStr">
        <is>
          <t>VÄRMLANDS LÄN</t>
        </is>
      </c>
      <c r="E4421" t="inlineStr">
        <is>
          <t>HAGFORS</t>
        </is>
      </c>
      <c r="G4421" t="n">
        <v>4.1</v>
      </c>
      <c r="H4421" t="n">
        <v>0</v>
      </c>
      <c r="I4421" t="n">
        <v>0</v>
      </c>
      <c r="J4421" t="n">
        <v>0</v>
      </c>
      <c r="K4421" t="n">
        <v>0</v>
      </c>
      <c r="L4421" t="n">
        <v>0</v>
      </c>
      <c r="M4421" t="n">
        <v>0</v>
      </c>
      <c r="N4421" t="n">
        <v>0</v>
      </c>
      <c r="O4421" t="n">
        <v>0</v>
      </c>
      <c r="P4421" t="n">
        <v>0</v>
      </c>
      <c r="Q4421" t="n">
        <v>0</v>
      </c>
      <c r="R4421" s="2" t="inlineStr"/>
    </row>
    <row r="4422" ht="15" customHeight="1">
      <c r="A4422" t="inlineStr">
        <is>
          <t>A 22038-2021</t>
        </is>
      </c>
      <c r="B4422" s="1" t="n">
        <v>44323</v>
      </c>
      <c r="C4422" s="1" t="n">
        <v>45810</v>
      </c>
      <c r="D4422" t="inlineStr">
        <is>
          <t>VÄRMLANDS LÄN</t>
        </is>
      </c>
      <c r="E4422" t="inlineStr">
        <is>
          <t>TORSBY</t>
        </is>
      </c>
      <c r="G4422" t="n">
        <v>4</v>
      </c>
      <c r="H4422" t="n">
        <v>0</v>
      </c>
      <c r="I4422" t="n">
        <v>0</v>
      </c>
      <c r="J4422" t="n">
        <v>0</v>
      </c>
      <c r="K4422" t="n">
        <v>0</v>
      </c>
      <c r="L4422" t="n">
        <v>0</v>
      </c>
      <c r="M4422" t="n">
        <v>0</v>
      </c>
      <c r="N4422" t="n">
        <v>0</v>
      </c>
      <c r="O4422" t="n">
        <v>0</v>
      </c>
      <c r="P4422" t="n">
        <v>0</v>
      </c>
      <c r="Q4422" t="n">
        <v>0</v>
      </c>
      <c r="R4422" s="2" t="inlineStr"/>
    </row>
    <row r="4423" ht="15" customHeight="1">
      <c r="A4423" t="inlineStr">
        <is>
          <t>A 22113-2021</t>
        </is>
      </c>
      <c r="B4423" s="1" t="n">
        <v>44323</v>
      </c>
      <c r="C4423" s="1" t="n">
        <v>45810</v>
      </c>
      <c r="D4423" t="inlineStr">
        <is>
          <t>VÄRMLANDS LÄN</t>
        </is>
      </c>
      <c r="E4423" t="inlineStr">
        <is>
          <t>TORSBY</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22063-2021</t>
        </is>
      </c>
      <c r="B4424" s="1" t="n">
        <v>44323</v>
      </c>
      <c r="C4424" s="1" t="n">
        <v>45810</v>
      </c>
      <c r="D4424" t="inlineStr">
        <is>
          <t>VÄRMLANDS LÄN</t>
        </is>
      </c>
      <c r="E4424" t="inlineStr">
        <is>
          <t>STORFORS</t>
        </is>
      </c>
      <c r="G4424" t="n">
        <v>2.5</v>
      </c>
      <c r="H4424" t="n">
        <v>0</v>
      </c>
      <c r="I4424" t="n">
        <v>0</v>
      </c>
      <c r="J4424" t="n">
        <v>0</v>
      </c>
      <c r="K4424" t="n">
        <v>0</v>
      </c>
      <c r="L4424" t="n">
        <v>0</v>
      </c>
      <c r="M4424" t="n">
        <v>0</v>
      </c>
      <c r="N4424" t="n">
        <v>0</v>
      </c>
      <c r="O4424" t="n">
        <v>0</v>
      </c>
      <c r="P4424" t="n">
        <v>0</v>
      </c>
      <c r="Q4424" t="n">
        <v>0</v>
      </c>
      <c r="R4424" s="2" t="inlineStr"/>
    </row>
    <row r="4425" ht="15" customHeight="1">
      <c r="A4425" t="inlineStr">
        <is>
          <t>A 22149-2021</t>
        </is>
      </c>
      <c r="B4425" s="1" t="n">
        <v>44324</v>
      </c>
      <c r="C4425" s="1" t="n">
        <v>45810</v>
      </c>
      <c r="D4425" t="inlineStr">
        <is>
          <t>VÄRMLANDS LÄN</t>
        </is>
      </c>
      <c r="E4425" t="inlineStr">
        <is>
          <t>KARLSTAD</t>
        </is>
      </c>
      <c r="G4425" t="n">
        <v>2</v>
      </c>
      <c r="H4425" t="n">
        <v>0</v>
      </c>
      <c r="I4425" t="n">
        <v>0</v>
      </c>
      <c r="J4425" t="n">
        <v>0</v>
      </c>
      <c r="K4425" t="n">
        <v>0</v>
      </c>
      <c r="L4425" t="n">
        <v>0</v>
      </c>
      <c r="M4425" t="n">
        <v>0</v>
      </c>
      <c r="N4425" t="n">
        <v>0</v>
      </c>
      <c r="O4425" t="n">
        <v>0</v>
      </c>
      <c r="P4425" t="n">
        <v>0</v>
      </c>
      <c r="Q4425" t="n">
        <v>0</v>
      </c>
      <c r="R4425" s="2" t="inlineStr"/>
    </row>
    <row r="4426" ht="15" customHeight="1">
      <c r="A4426" t="inlineStr">
        <is>
          <t>A 22158-2021</t>
        </is>
      </c>
      <c r="B4426" s="1" t="n">
        <v>44325</v>
      </c>
      <c r="C4426" s="1" t="n">
        <v>45810</v>
      </c>
      <c r="D4426" t="inlineStr">
        <is>
          <t>VÄRMLANDS LÄN</t>
        </is>
      </c>
      <c r="E4426" t="inlineStr">
        <is>
          <t>ÅRJÄNG</t>
        </is>
      </c>
      <c r="G4426" t="n">
        <v>5</v>
      </c>
      <c r="H4426" t="n">
        <v>0</v>
      </c>
      <c r="I4426" t="n">
        <v>0</v>
      </c>
      <c r="J4426" t="n">
        <v>0</v>
      </c>
      <c r="K4426" t="n">
        <v>0</v>
      </c>
      <c r="L4426" t="n">
        <v>0</v>
      </c>
      <c r="M4426" t="n">
        <v>0</v>
      </c>
      <c r="N4426" t="n">
        <v>0</v>
      </c>
      <c r="O4426" t="n">
        <v>0</v>
      </c>
      <c r="P4426" t="n">
        <v>0</v>
      </c>
      <c r="Q4426" t="n">
        <v>0</v>
      </c>
      <c r="R4426" s="2" t="inlineStr"/>
    </row>
    <row r="4427" ht="15" customHeight="1">
      <c r="A4427" t="inlineStr">
        <is>
          <t>A 22167-2021</t>
        </is>
      </c>
      <c r="B4427" s="1" t="n">
        <v>44325</v>
      </c>
      <c r="C4427" s="1" t="n">
        <v>45810</v>
      </c>
      <c r="D4427" t="inlineStr">
        <is>
          <t>VÄRMLANDS LÄN</t>
        </is>
      </c>
      <c r="E4427" t="inlineStr">
        <is>
          <t>HAGFORS</t>
        </is>
      </c>
      <c r="G4427" t="n">
        <v>2.2</v>
      </c>
      <c r="H4427" t="n">
        <v>0</v>
      </c>
      <c r="I4427" t="n">
        <v>0</v>
      </c>
      <c r="J4427" t="n">
        <v>0</v>
      </c>
      <c r="K4427" t="n">
        <v>0</v>
      </c>
      <c r="L4427" t="n">
        <v>0</v>
      </c>
      <c r="M4427" t="n">
        <v>0</v>
      </c>
      <c r="N4427" t="n">
        <v>0</v>
      </c>
      <c r="O4427" t="n">
        <v>0</v>
      </c>
      <c r="P4427" t="n">
        <v>0</v>
      </c>
      <c r="Q4427" t="n">
        <v>0</v>
      </c>
      <c r="R4427" s="2" t="inlineStr"/>
    </row>
    <row r="4428" ht="15" customHeight="1">
      <c r="A4428" t="inlineStr">
        <is>
          <t>A 22319-2021</t>
        </is>
      </c>
      <c r="B4428" s="1" t="n">
        <v>44326</v>
      </c>
      <c r="C4428" s="1" t="n">
        <v>45810</v>
      </c>
      <c r="D4428" t="inlineStr">
        <is>
          <t>VÄRMLANDS LÄN</t>
        </is>
      </c>
      <c r="E4428" t="inlineStr">
        <is>
          <t>GRUMS</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22392-2021</t>
        </is>
      </c>
      <c r="B4429" s="1" t="n">
        <v>44326</v>
      </c>
      <c r="C4429" s="1" t="n">
        <v>45810</v>
      </c>
      <c r="D4429" t="inlineStr">
        <is>
          <t>VÄRMLANDS LÄN</t>
        </is>
      </c>
      <c r="E4429" t="inlineStr">
        <is>
          <t>SUNNE</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22257-2021</t>
        </is>
      </c>
      <c r="B4430" s="1" t="n">
        <v>44326</v>
      </c>
      <c r="C4430" s="1" t="n">
        <v>45810</v>
      </c>
      <c r="D4430" t="inlineStr">
        <is>
          <t>VÄRMLANDS LÄN</t>
        </is>
      </c>
      <c r="E4430" t="inlineStr">
        <is>
          <t>HAGFORS</t>
        </is>
      </c>
      <c r="G4430" t="n">
        <v>2.5</v>
      </c>
      <c r="H4430" t="n">
        <v>0</v>
      </c>
      <c r="I4430" t="n">
        <v>0</v>
      </c>
      <c r="J4430" t="n">
        <v>0</v>
      </c>
      <c r="K4430" t="n">
        <v>0</v>
      </c>
      <c r="L4430" t="n">
        <v>0</v>
      </c>
      <c r="M4430" t="n">
        <v>0</v>
      </c>
      <c r="N4430" t="n">
        <v>0</v>
      </c>
      <c r="O4430" t="n">
        <v>0</v>
      </c>
      <c r="P4430" t="n">
        <v>0</v>
      </c>
      <c r="Q4430" t="n">
        <v>0</v>
      </c>
      <c r="R4430" s="2" t="inlineStr"/>
    </row>
    <row r="4431" ht="15" customHeight="1">
      <c r="A4431" t="inlineStr">
        <is>
          <t>A 22289-2021</t>
        </is>
      </c>
      <c r="B4431" s="1" t="n">
        <v>44326</v>
      </c>
      <c r="C4431" s="1" t="n">
        <v>45810</v>
      </c>
      <c r="D4431" t="inlineStr">
        <is>
          <t>VÄRMLANDS LÄN</t>
        </is>
      </c>
      <c r="E4431" t="inlineStr">
        <is>
          <t>GRUMS</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22295-2021</t>
        </is>
      </c>
      <c r="B4432" s="1" t="n">
        <v>44326</v>
      </c>
      <c r="C4432" s="1" t="n">
        <v>45810</v>
      </c>
      <c r="D4432" t="inlineStr">
        <is>
          <t>VÄRMLANDS LÄN</t>
        </is>
      </c>
      <c r="E4432" t="inlineStr">
        <is>
          <t>FORSHAGA</t>
        </is>
      </c>
      <c r="G4432" t="n">
        <v>2.1</v>
      </c>
      <c r="H4432" t="n">
        <v>0</v>
      </c>
      <c r="I4432" t="n">
        <v>0</v>
      </c>
      <c r="J4432" t="n">
        <v>0</v>
      </c>
      <c r="K4432" t="n">
        <v>0</v>
      </c>
      <c r="L4432" t="n">
        <v>0</v>
      </c>
      <c r="M4432" t="n">
        <v>0</v>
      </c>
      <c r="N4432" t="n">
        <v>0</v>
      </c>
      <c r="O4432" t="n">
        <v>0</v>
      </c>
      <c r="P4432" t="n">
        <v>0</v>
      </c>
      <c r="Q4432" t="n">
        <v>0</v>
      </c>
      <c r="R4432" s="2" t="inlineStr"/>
    </row>
    <row r="4433" ht="15" customHeight="1">
      <c r="A4433" t="inlineStr">
        <is>
          <t>A 22331-2021</t>
        </is>
      </c>
      <c r="B4433" s="1" t="n">
        <v>44326</v>
      </c>
      <c r="C4433" s="1" t="n">
        <v>45810</v>
      </c>
      <c r="D4433" t="inlineStr">
        <is>
          <t>VÄRMLANDS LÄN</t>
        </is>
      </c>
      <c r="E4433" t="inlineStr">
        <is>
          <t>SUNNE</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22350-2021</t>
        </is>
      </c>
      <c r="B4434" s="1" t="n">
        <v>44326</v>
      </c>
      <c r="C4434" s="1" t="n">
        <v>45810</v>
      </c>
      <c r="D4434" t="inlineStr">
        <is>
          <t>VÄRMLANDS LÄN</t>
        </is>
      </c>
      <c r="E4434" t="inlineStr">
        <is>
          <t>KARLSTAD</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22413-2021</t>
        </is>
      </c>
      <c r="B4435" s="1" t="n">
        <v>44326</v>
      </c>
      <c r="C4435" s="1" t="n">
        <v>45810</v>
      </c>
      <c r="D4435" t="inlineStr">
        <is>
          <t>VÄRMLANDS LÄN</t>
        </is>
      </c>
      <c r="E4435" t="inlineStr">
        <is>
          <t>EDA</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22459-2021</t>
        </is>
      </c>
      <c r="B4436" s="1" t="n">
        <v>44326</v>
      </c>
      <c r="C4436" s="1" t="n">
        <v>45810</v>
      </c>
      <c r="D4436" t="inlineStr">
        <is>
          <t>VÄRMLANDS LÄN</t>
        </is>
      </c>
      <c r="E4436" t="inlineStr">
        <is>
          <t>MUNKFORS</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22464-2021</t>
        </is>
      </c>
      <c r="B4437" s="1" t="n">
        <v>44326</v>
      </c>
      <c r="C4437" s="1" t="n">
        <v>45810</v>
      </c>
      <c r="D4437" t="inlineStr">
        <is>
          <t>VÄRMLANDS LÄN</t>
        </is>
      </c>
      <c r="E4437" t="inlineStr">
        <is>
          <t>TORSBY</t>
        </is>
      </c>
      <c r="G4437" t="n">
        <v>6</v>
      </c>
      <c r="H4437" t="n">
        <v>0</v>
      </c>
      <c r="I4437" t="n">
        <v>0</v>
      </c>
      <c r="J4437" t="n">
        <v>0</v>
      </c>
      <c r="K4437" t="n">
        <v>0</v>
      </c>
      <c r="L4437" t="n">
        <v>0</v>
      </c>
      <c r="M4437" t="n">
        <v>0</v>
      </c>
      <c r="N4437" t="n">
        <v>0</v>
      </c>
      <c r="O4437" t="n">
        <v>0</v>
      </c>
      <c r="P4437" t="n">
        <v>0</v>
      </c>
      <c r="Q4437" t="n">
        <v>0</v>
      </c>
      <c r="R4437" s="2" t="inlineStr"/>
    </row>
    <row r="4438" ht="15" customHeight="1">
      <c r="A4438" t="inlineStr">
        <is>
          <t>A 22463-2021</t>
        </is>
      </c>
      <c r="B4438" s="1" t="n">
        <v>44326</v>
      </c>
      <c r="C4438" s="1" t="n">
        <v>45810</v>
      </c>
      <c r="D4438" t="inlineStr">
        <is>
          <t>VÄRMLANDS LÄN</t>
        </is>
      </c>
      <c r="E4438" t="inlineStr">
        <is>
          <t>TORSBY</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22671-2021</t>
        </is>
      </c>
      <c r="B4439" s="1" t="n">
        <v>44327</v>
      </c>
      <c r="C4439" s="1" t="n">
        <v>45810</v>
      </c>
      <c r="D4439" t="inlineStr">
        <is>
          <t>VÄRMLANDS LÄN</t>
        </is>
      </c>
      <c r="E4439" t="inlineStr">
        <is>
          <t>TORSBY</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22700-2021</t>
        </is>
      </c>
      <c r="B4440" s="1" t="n">
        <v>44327</v>
      </c>
      <c r="C4440" s="1" t="n">
        <v>45810</v>
      </c>
      <c r="D4440" t="inlineStr">
        <is>
          <t>VÄRMLANDS LÄN</t>
        </is>
      </c>
      <c r="E4440" t="inlineStr">
        <is>
          <t>EDA</t>
        </is>
      </c>
      <c r="F4440" t="inlineStr">
        <is>
          <t>Kommuner</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22714-2021</t>
        </is>
      </c>
      <c r="B4441" s="1" t="n">
        <v>44327</v>
      </c>
      <c r="C4441" s="1" t="n">
        <v>45810</v>
      </c>
      <c r="D4441" t="inlineStr">
        <is>
          <t>VÄRMLANDS LÄN</t>
        </is>
      </c>
      <c r="E4441" t="inlineStr">
        <is>
          <t>EDA</t>
        </is>
      </c>
      <c r="F4441" t="inlineStr">
        <is>
          <t>Bergvik skog väst AB</t>
        </is>
      </c>
      <c r="G4441" t="n">
        <v>14.3</v>
      </c>
      <c r="H4441" t="n">
        <v>0</v>
      </c>
      <c r="I4441" t="n">
        <v>0</v>
      </c>
      <c r="J4441" t="n">
        <v>0</v>
      </c>
      <c r="K4441" t="n">
        <v>0</v>
      </c>
      <c r="L4441" t="n">
        <v>0</v>
      </c>
      <c r="M4441" t="n">
        <v>0</v>
      </c>
      <c r="N4441" t="n">
        <v>0</v>
      </c>
      <c r="O4441" t="n">
        <v>0</v>
      </c>
      <c r="P4441" t="n">
        <v>0</v>
      </c>
      <c r="Q4441" t="n">
        <v>0</v>
      </c>
      <c r="R4441" s="2" t="inlineStr"/>
    </row>
    <row r="4442" ht="15" customHeight="1">
      <c r="A4442" t="inlineStr">
        <is>
          <t>A 22638-2021</t>
        </is>
      </c>
      <c r="B4442" s="1" t="n">
        <v>44327</v>
      </c>
      <c r="C4442" s="1" t="n">
        <v>45810</v>
      </c>
      <c r="D4442" t="inlineStr">
        <is>
          <t>VÄRMLANDS LÄN</t>
        </is>
      </c>
      <c r="E4442" t="inlineStr">
        <is>
          <t>TORSBY</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22654-2021</t>
        </is>
      </c>
      <c r="B4443" s="1" t="n">
        <v>44327</v>
      </c>
      <c r="C4443" s="1" t="n">
        <v>45810</v>
      </c>
      <c r="D4443" t="inlineStr">
        <is>
          <t>VÄRMLANDS LÄN</t>
        </is>
      </c>
      <c r="E4443" t="inlineStr">
        <is>
          <t>FILIPSTAD</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22642-2021</t>
        </is>
      </c>
      <c r="B4444" s="1" t="n">
        <v>44327</v>
      </c>
      <c r="C4444" s="1" t="n">
        <v>45810</v>
      </c>
      <c r="D4444" t="inlineStr">
        <is>
          <t>VÄRMLANDS LÄN</t>
        </is>
      </c>
      <c r="E4444" t="inlineStr">
        <is>
          <t>HAGFORS</t>
        </is>
      </c>
      <c r="F4444" t="inlineStr">
        <is>
          <t>Bergvik skog väst AB</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22657-2021</t>
        </is>
      </c>
      <c r="B4445" s="1" t="n">
        <v>44327</v>
      </c>
      <c r="C4445" s="1" t="n">
        <v>45810</v>
      </c>
      <c r="D4445" t="inlineStr">
        <is>
          <t>VÄRMLANDS LÄN</t>
        </is>
      </c>
      <c r="E4445" t="inlineStr">
        <is>
          <t>KARLSTAD</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22757-2021</t>
        </is>
      </c>
      <c r="B4446" s="1" t="n">
        <v>44327</v>
      </c>
      <c r="C4446" s="1" t="n">
        <v>45810</v>
      </c>
      <c r="D4446" t="inlineStr">
        <is>
          <t>VÄRMLANDS LÄN</t>
        </is>
      </c>
      <c r="E4446" t="inlineStr">
        <is>
          <t>ARVIKA</t>
        </is>
      </c>
      <c r="G4446" t="n">
        <v>2.5</v>
      </c>
      <c r="H4446" t="n">
        <v>0</v>
      </c>
      <c r="I4446" t="n">
        <v>0</v>
      </c>
      <c r="J4446" t="n">
        <v>0</v>
      </c>
      <c r="K4446" t="n">
        <v>0</v>
      </c>
      <c r="L4446" t="n">
        <v>0</v>
      </c>
      <c r="M4446" t="n">
        <v>0</v>
      </c>
      <c r="N4446" t="n">
        <v>0</v>
      </c>
      <c r="O4446" t="n">
        <v>0</v>
      </c>
      <c r="P4446" t="n">
        <v>0</v>
      </c>
      <c r="Q4446" t="n">
        <v>0</v>
      </c>
      <c r="R4446" s="2" t="inlineStr"/>
    </row>
    <row r="4447" ht="15" customHeight="1">
      <c r="A4447" t="inlineStr">
        <is>
          <t>A 22933-2021</t>
        </is>
      </c>
      <c r="B4447" s="1" t="n">
        <v>44327</v>
      </c>
      <c r="C4447" s="1" t="n">
        <v>45810</v>
      </c>
      <c r="D4447" t="inlineStr">
        <is>
          <t>VÄRMLANDS LÄN</t>
        </is>
      </c>
      <c r="E4447" t="inlineStr">
        <is>
          <t>FILIPSTAD</t>
        </is>
      </c>
      <c r="G4447" t="n">
        <v>9.1</v>
      </c>
      <c r="H4447" t="n">
        <v>0</v>
      </c>
      <c r="I4447" t="n">
        <v>0</v>
      </c>
      <c r="J4447" t="n">
        <v>0</v>
      </c>
      <c r="K4447" t="n">
        <v>0</v>
      </c>
      <c r="L4447" t="n">
        <v>0</v>
      </c>
      <c r="M4447" t="n">
        <v>0</v>
      </c>
      <c r="N4447" t="n">
        <v>0</v>
      </c>
      <c r="O4447" t="n">
        <v>0</v>
      </c>
      <c r="P4447" t="n">
        <v>0</v>
      </c>
      <c r="Q4447" t="n">
        <v>0</v>
      </c>
      <c r="R4447" s="2" t="inlineStr"/>
    </row>
    <row r="4448" ht="15" customHeight="1">
      <c r="A4448" t="inlineStr">
        <is>
          <t>A 22930-2021</t>
        </is>
      </c>
      <c r="B4448" s="1" t="n">
        <v>44327</v>
      </c>
      <c r="C4448" s="1" t="n">
        <v>45810</v>
      </c>
      <c r="D4448" t="inlineStr">
        <is>
          <t>VÄRMLANDS LÄN</t>
        </is>
      </c>
      <c r="E4448" t="inlineStr">
        <is>
          <t>FILIPSTAD</t>
        </is>
      </c>
      <c r="G4448" t="n">
        <v>2.1</v>
      </c>
      <c r="H4448" t="n">
        <v>0</v>
      </c>
      <c r="I4448" t="n">
        <v>0</v>
      </c>
      <c r="J4448" t="n">
        <v>0</v>
      </c>
      <c r="K4448" t="n">
        <v>0</v>
      </c>
      <c r="L4448" t="n">
        <v>0</v>
      </c>
      <c r="M4448" t="n">
        <v>0</v>
      </c>
      <c r="N4448" t="n">
        <v>0</v>
      </c>
      <c r="O4448" t="n">
        <v>0</v>
      </c>
      <c r="P4448" t="n">
        <v>0</v>
      </c>
      <c r="Q4448" t="n">
        <v>0</v>
      </c>
      <c r="R4448" s="2" t="inlineStr"/>
    </row>
    <row r="4449" ht="15" customHeight="1">
      <c r="A4449" t="inlineStr">
        <is>
          <t>A 22982-2021</t>
        </is>
      </c>
      <c r="B4449" s="1" t="n">
        <v>44328</v>
      </c>
      <c r="C4449" s="1" t="n">
        <v>45810</v>
      </c>
      <c r="D4449" t="inlineStr">
        <is>
          <t>VÄRMLANDS LÄN</t>
        </is>
      </c>
      <c r="E4449" t="inlineStr">
        <is>
          <t>SUNNE</t>
        </is>
      </c>
      <c r="G4449" t="n">
        <v>14.7</v>
      </c>
      <c r="H4449" t="n">
        <v>0</v>
      </c>
      <c r="I4449" t="n">
        <v>0</v>
      </c>
      <c r="J4449" t="n">
        <v>0</v>
      </c>
      <c r="K4449" t="n">
        <v>0</v>
      </c>
      <c r="L4449" t="n">
        <v>0</v>
      </c>
      <c r="M4449" t="n">
        <v>0</v>
      </c>
      <c r="N4449" t="n">
        <v>0</v>
      </c>
      <c r="O4449" t="n">
        <v>0</v>
      </c>
      <c r="P4449" t="n">
        <v>0</v>
      </c>
      <c r="Q4449" t="n">
        <v>0</v>
      </c>
      <c r="R4449" s="2" t="inlineStr"/>
    </row>
    <row r="4450" ht="15" customHeight="1">
      <c r="A4450" t="inlineStr">
        <is>
          <t>A 22957-2021</t>
        </is>
      </c>
      <c r="B4450" s="1" t="n">
        <v>44328</v>
      </c>
      <c r="C4450" s="1" t="n">
        <v>45810</v>
      </c>
      <c r="D4450" t="inlineStr">
        <is>
          <t>VÄRMLANDS LÄN</t>
        </is>
      </c>
      <c r="E4450" t="inlineStr">
        <is>
          <t>HAGFORS</t>
        </is>
      </c>
      <c r="F4450" t="inlineStr">
        <is>
          <t>Bergvik skog väst AB</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22897-2021</t>
        </is>
      </c>
      <c r="B4451" s="1" t="n">
        <v>44328</v>
      </c>
      <c r="C4451" s="1" t="n">
        <v>45810</v>
      </c>
      <c r="D4451" t="inlineStr">
        <is>
          <t>VÄRMLANDS LÄN</t>
        </is>
      </c>
      <c r="E4451" t="inlineStr">
        <is>
          <t>SÄFFLE</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23191-2021</t>
        </is>
      </c>
      <c r="B4452" s="1" t="n">
        <v>44328</v>
      </c>
      <c r="C4452" s="1" t="n">
        <v>45810</v>
      </c>
      <c r="D4452" t="inlineStr">
        <is>
          <t>VÄRMLANDS LÄN</t>
        </is>
      </c>
      <c r="E4452" t="inlineStr">
        <is>
          <t>TORSBY</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23332-2021</t>
        </is>
      </c>
      <c r="B4453" s="1" t="n">
        <v>44328</v>
      </c>
      <c r="C4453" s="1" t="n">
        <v>45810</v>
      </c>
      <c r="D4453" t="inlineStr">
        <is>
          <t>VÄRMLANDS LÄN</t>
        </is>
      </c>
      <c r="E4453" t="inlineStr">
        <is>
          <t>GRUMS</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23194-2021</t>
        </is>
      </c>
      <c r="B4454" s="1" t="n">
        <v>44328</v>
      </c>
      <c r="C4454" s="1" t="n">
        <v>45810</v>
      </c>
      <c r="D4454" t="inlineStr">
        <is>
          <t>VÄRMLANDS LÄN</t>
        </is>
      </c>
      <c r="E4454" t="inlineStr">
        <is>
          <t>TORSBY</t>
        </is>
      </c>
      <c r="G4454" t="n">
        <v>4.3</v>
      </c>
      <c r="H4454" t="n">
        <v>0</v>
      </c>
      <c r="I4454" t="n">
        <v>0</v>
      </c>
      <c r="J4454" t="n">
        <v>0</v>
      </c>
      <c r="K4454" t="n">
        <v>0</v>
      </c>
      <c r="L4454" t="n">
        <v>0</v>
      </c>
      <c r="M4454" t="n">
        <v>0</v>
      </c>
      <c r="N4454" t="n">
        <v>0</v>
      </c>
      <c r="O4454" t="n">
        <v>0</v>
      </c>
      <c r="P4454" t="n">
        <v>0</v>
      </c>
      <c r="Q4454" t="n">
        <v>0</v>
      </c>
      <c r="R4454" s="2" t="inlineStr"/>
    </row>
    <row r="4455" ht="15" customHeight="1">
      <c r="A4455" t="inlineStr">
        <is>
          <t>A 22971-2021</t>
        </is>
      </c>
      <c r="B4455" s="1" t="n">
        <v>44328</v>
      </c>
      <c r="C4455" s="1" t="n">
        <v>45810</v>
      </c>
      <c r="D4455" t="inlineStr">
        <is>
          <t>VÄRMLANDS LÄN</t>
        </is>
      </c>
      <c r="E4455" t="inlineStr">
        <is>
          <t>ARVIKA</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23048-2021</t>
        </is>
      </c>
      <c r="B4456" s="1" t="n">
        <v>44329</v>
      </c>
      <c r="C4456" s="1" t="n">
        <v>45810</v>
      </c>
      <c r="D4456" t="inlineStr">
        <is>
          <t>VÄRMLANDS LÄN</t>
        </is>
      </c>
      <c r="E4456" t="inlineStr">
        <is>
          <t>EDA</t>
        </is>
      </c>
      <c r="G4456" t="n">
        <v>1.8</v>
      </c>
      <c r="H4456" t="n">
        <v>0</v>
      </c>
      <c r="I4456" t="n">
        <v>0</v>
      </c>
      <c r="J4456" t="n">
        <v>0</v>
      </c>
      <c r="K4456" t="n">
        <v>0</v>
      </c>
      <c r="L4456" t="n">
        <v>0</v>
      </c>
      <c r="M4456" t="n">
        <v>0</v>
      </c>
      <c r="N4456" t="n">
        <v>0</v>
      </c>
      <c r="O4456" t="n">
        <v>0</v>
      </c>
      <c r="P4456" t="n">
        <v>0</v>
      </c>
      <c r="Q4456" t="n">
        <v>0</v>
      </c>
      <c r="R4456" s="2" t="inlineStr"/>
    </row>
    <row r="4457" ht="15" customHeight="1">
      <c r="A4457" t="inlineStr">
        <is>
          <t>A 23053-2021</t>
        </is>
      </c>
      <c r="B4457" s="1" t="n">
        <v>44329</v>
      </c>
      <c r="C4457" s="1" t="n">
        <v>45810</v>
      </c>
      <c r="D4457" t="inlineStr">
        <is>
          <t>VÄRMLANDS LÄN</t>
        </is>
      </c>
      <c r="E4457" t="inlineStr">
        <is>
          <t>EDA</t>
        </is>
      </c>
      <c r="G4457" t="n">
        <v>6.2</v>
      </c>
      <c r="H4457" t="n">
        <v>0</v>
      </c>
      <c r="I4457" t="n">
        <v>0</v>
      </c>
      <c r="J4457" t="n">
        <v>0</v>
      </c>
      <c r="K4457" t="n">
        <v>0</v>
      </c>
      <c r="L4457" t="n">
        <v>0</v>
      </c>
      <c r="M4457" t="n">
        <v>0</v>
      </c>
      <c r="N4457" t="n">
        <v>0</v>
      </c>
      <c r="O4457" t="n">
        <v>0</v>
      </c>
      <c r="P4457" t="n">
        <v>0</v>
      </c>
      <c r="Q4457" t="n">
        <v>0</v>
      </c>
      <c r="R4457" s="2" t="inlineStr"/>
    </row>
    <row r="4458" ht="15" customHeight="1">
      <c r="A4458" t="inlineStr">
        <is>
          <t>A 23042-2021</t>
        </is>
      </c>
      <c r="B4458" s="1" t="n">
        <v>44329</v>
      </c>
      <c r="C4458" s="1" t="n">
        <v>45810</v>
      </c>
      <c r="D4458" t="inlineStr">
        <is>
          <t>VÄRMLANDS LÄN</t>
        </is>
      </c>
      <c r="E4458" t="inlineStr">
        <is>
          <t>ÅRJÄNG</t>
        </is>
      </c>
      <c r="G4458" t="n">
        <v>7.7</v>
      </c>
      <c r="H4458" t="n">
        <v>0</v>
      </c>
      <c r="I4458" t="n">
        <v>0</v>
      </c>
      <c r="J4458" t="n">
        <v>0</v>
      </c>
      <c r="K4458" t="n">
        <v>0</v>
      </c>
      <c r="L4458" t="n">
        <v>0</v>
      </c>
      <c r="M4458" t="n">
        <v>0</v>
      </c>
      <c r="N4458" t="n">
        <v>0</v>
      </c>
      <c r="O4458" t="n">
        <v>0</v>
      </c>
      <c r="P4458" t="n">
        <v>0</v>
      </c>
      <c r="Q4458" t="n">
        <v>0</v>
      </c>
      <c r="R4458" s="2" t="inlineStr"/>
    </row>
    <row r="4459" ht="15" customHeight="1">
      <c r="A4459" t="inlineStr">
        <is>
          <t>A 23051-2021</t>
        </is>
      </c>
      <c r="B4459" s="1" t="n">
        <v>44329</v>
      </c>
      <c r="C4459" s="1" t="n">
        <v>45810</v>
      </c>
      <c r="D4459" t="inlineStr">
        <is>
          <t>VÄRMLANDS LÄN</t>
        </is>
      </c>
      <c r="E4459" t="inlineStr">
        <is>
          <t>EDA</t>
        </is>
      </c>
      <c r="G4459" t="n">
        <v>6.7</v>
      </c>
      <c r="H4459" t="n">
        <v>0</v>
      </c>
      <c r="I4459" t="n">
        <v>0</v>
      </c>
      <c r="J4459" t="n">
        <v>0</v>
      </c>
      <c r="K4459" t="n">
        <v>0</v>
      </c>
      <c r="L4459" t="n">
        <v>0</v>
      </c>
      <c r="M4459" t="n">
        <v>0</v>
      </c>
      <c r="N4459" t="n">
        <v>0</v>
      </c>
      <c r="O4459" t="n">
        <v>0</v>
      </c>
      <c r="P4459" t="n">
        <v>0</v>
      </c>
      <c r="Q4459" t="n">
        <v>0</v>
      </c>
      <c r="R4459" s="2" t="inlineStr"/>
    </row>
    <row r="4460" ht="15" customHeight="1">
      <c r="A4460" t="inlineStr">
        <is>
          <t>A 23055-2021</t>
        </is>
      </c>
      <c r="B4460" s="1" t="n">
        <v>44329</v>
      </c>
      <c r="C4460" s="1" t="n">
        <v>45810</v>
      </c>
      <c r="D4460" t="inlineStr">
        <is>
          <t>VÄRMLANDS LÄN</t>
        </is>
      </c>
      <c r="E4460" t="inlineStr">
        <is>
          <t>EDA</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23049-2021</t>
        </is>
      </c>
      <c r="B4461" s="1" t="n">
        <v>44329</v>
      </c>
      <c r="C4461" s="1" t="n">
        <v>45810</v>
      </c>
      <c r="D4461" t="inlineStr">
        <is>
          <t>VÄRMLANDS LÄN</t>
        </is>
      </c>
      <c r="E4461" t="inlineStr">
        <is>
          <t>FORSHAGA</t>
        </is>
      </c>
      <c r="G4461" t="n">
        <v>2.3</v>
      </c>
      <c r="H4461" t="n">
        <v>0</v>
      </c>
      <c r="I4461" t="n">
        <v>0</v>
      </c>
      <c r="J4461" t="n">
        <v>0</v>
      </c>
      <c r="K4461" t="n">
        <v>0</v>
      </c>
      <c r="L4461" t="n">
        <v>0</v>
      </c>
      <c r="M4461" t="n">
        <v>0</v>
      </c>
      <c r="N4461" t="n">
        <v>0</v>
      </c>
      <c r="O4461" t="n">
        <v>0</v>
      </c>
      <c r="P4461" t="n">
        <v>0</v>
      </c>
      <c r="Q4461" t="n">
        <v>0</v>
      </c>
      <c r="R4461" s="2" t="inlineStr"/>
    </row>
    <row r="4462" ht="15" customHeight="1">
      <c r="A4462" t="inlineStr">
        <is>
          <t>A 23054-2021</t>
        </is>
      </c>
      <c r="B4462" s="1" t="n">
        <v>44329</v>
      </c>
      <c r="C4462" s="1" t="n">
        <v>45810</v>
      </c>
      <c r="D4462" t="inlineStr">
        <is>
          <t>VÄRMLANDS LÄN</t>
        </is>
      </c>
      <c r="E4462" t="inlineStr">
        <is>
          <t>EDA</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23254-2021</t>
        </is>
      </c>
      <c r="B4463" s="1" t="n">
        <v>44333</v>
      </c>
      <c r="C4463" s="1" t="n">
        <v>45810</v>
      </c>
      <c r="D4463" t="inlineStr">
        <is>
          <t>VÄRMLANDS LÄN</t>
        </is>
      </c>
      <c r="E4463" t="inlineStr">
        <is>
          <t>KARLSTAD</t>
        </is>
      </c>
      <c r="G4463" t="n">
        <v>4.8</v>
      </c>
      <c r="H4463" t="n">
        <v>0</v>
      </c>
      <c r="I4463" t="n">
        <v>0</v>
      </c>
      <c r="J4463" t="n">
        <v>0</v>
      </c>
      <c r="K4463" t="n">
        <v>0</v>
      </c>
      <c r="L4463" t="n">
        <v>0</v>
      </c>
      <c r="M4463" t="n">
        <v>0</v>
      </c>
      <c r="N4463" t="n">
        <v>0</v>
      </c>
      <c r="O4463" t="n">
        <v>0</v>
      </c>
      <c r="P4463" t="n">
        <v>0</v>
      </c>
      <c r="Q4463" t="n">
        <v>0</v>
      </c>
      <c r="R4463" s="2" t="inlineStr"/>
    </row>
    <row r="4464" ht="15" customHeight="1">
      <c r="A4464" t="inlineStr">
        <is>
          <t>A 23412-2021</t>
        </is>
      </c>
      <c r="B4464" s="1" t="n">
        <v>44333</v>
      </c>
      <c r="C4464" s="1" t="n">
        <v>45810</v>
      </c>
      <c r="D4464" t="inlineStr">
        <is>
          <t>VÄRMLANDS LÄN</t>
        </is>
      </c>
      <c r="E4464" t="inlineStr">
        <is>
          <t>SÄFFLE</t>
        </is>
      </c>
      <c r="G4464" t="n">
        <v>3.4</v>
      </c>
      <c r="H4464" t="n">
        <v>0</v>
      </c>
      <c r="I4464" t="n">
        <v>0</v>
      </c>
      <c r="J4464" t="n">
        <v>0</v>
      </c>
      <c r="K4464" t="n">
        <v>0</v>
      </c>
      <c r="L4464" t="n">
        <v>0</v>
      </c>
      <c r="M4464" t="n">
        <v>0</v>
      </c>
      <c r="N4464" t="n">
        <v>0</v>
      </c>
      <c r="O4464" t="n">
        <v>0</v>
      </c>
      <c r="P4464" t="n">
        <v>0</v>
      </c>
      <c r="Q4464" t="n">
        <v>0</v>
      </c>
      <c r="R4464" s="2" t="inlineStr"/>
    </row>
    <row r="4465" ht="15" customHeight="1">
      <c r="A4465" t="inlineStr">
        <is>
          <t>A 23435-2021</t>
        </is>
      </c>
      <c r="B4465" s="1" t="n">
        <v>44333</v>
      </c>
      <c r="C4465" s="1" t="n">
        <v>45810</v>
      </c>
      <c r="D4465" t="inlineStr">
        <is>
          <t>VÄRMLANDS LÄN</t>
        </is>
      </c>
      <c r="E4465" t="inlineStr">
        <is>
          <t>TORSBY</t>
        </is>
      </c>
      <c r="G4465" t="n">
        <v>4.9</v>
      </c>
      <c r="H4465" t="n">
        <v>0</v>
      </c>
      <c r="I4465" t="n">
        <v>0</v>
      </c>
      <c r="J4465" t="n">
        <v>0</v>
      </c>
      <c r="K4465" t="n">
        <v>0</v>
      </c>
      <c r="L4465" t="n">
        <v>0</v>
      </c>
      <c r="M4465" t="n">
        <v>0</v>
      </c>
      <c r="N4465" t="n">
        <v>0</v>
      </c>
      <c r="O4465" t="n">
        <v>0</v>
      </c>
      <c r="P4465" t="n">
        <v>0</v>
      </c>
      <c r="Q4465" t="n">
        <v>0</v>
      </c>
      <c r="R4465" s="2" t="inlineStr"/>
    </row>
    <row r="4466" ht="15" customHeight="1">
      <c r="A4466" t="inlineStr">
        <is>
          <t>A 23256-2021</t>
        </is>
      </c>
      <c r="B4466" s="1" t="n">
        <v>44333</v>
      </c>
      <c r="C4466" s="1" t="n">
        <v>45810</v>
      </c>
      <c r="D4466" t="inlineStr">
        <is>
          <t>VÄRMLANDS LÄN</t>
        </is>
      </c>
      <c r="E4466" t="inlineStr">
        <is>
          <t>ARVIKA</t>
        </is>
      </c>
      <c r="G4466" t="n">
        <v>2.6</v>
      </c>
      <c r="H4466" t="n">
        <v>0</v>
      </c>
      <c r="I4466" t="n">
        <v>0</v>
      </c>
      <c r="J4466" t="n">
        <v>0</v>
      </c>
      <c r="K4466" t="n">
        <v>0</v>
      </c>
      <c r="L4466" t="n">
        <v>0</v>
      </c>
      <c r="M4466" t="n">
        <v>0</v>
      </c>
      <c r="N4466" t="n">
        <v>0</v>
      </c>
      <c r="O4466" t="n">
        <v>0</v>
      </c>
      <c r="P4466" t="n">
        <v>0</v>
      </c>
      <c r="Q4466" t="n">
        <v>0</v>
      </c>
      <c r="R4466" s="2" t="inlineStr"/>
    </row>
    <row r="4467" ht="15" customHeight="1">
      <c r="A4467" t="inlineStr">
        <is>
          <t>A 23275-2021</t>
        </is>
      </c>
      <c r="B4467" s="1" t="n">
        <v>44333</v>
      </c>
      <c r="C4467" s="1" t="n">
        <v>45810</v>
      </c>
      <c r="D4467" t="inlineStr">
        <is>
          <t>VÄRMLANDS LÄN</t>
        </is>
      </c>
      <c r="E4467" t="inlineStr">
        <is>
          <t>STORFORS</t>
        </is>
      </c>
      <c r="F4467" t="inlineStr">
        <is>
          <t>Bergvik skog väst AB</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23293-2021</t>
        </is>
      </c>
      <c r="B4468" s="1" t="n">
        <v>44333</v>
      </c>
      <c r="C4468" s="1" t="n">
        <v>45810</v>
      </c>
      <c r="D4468" t="inlineStr">
        <is>
          <t>VÄRMLANDS LÄN</t>
        </is>
      </c>
      <c r="E4468" t="inlineStr">
        <is>
          <t>ARVIKA</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23314-2021</t>
        </is>
      </c>
      <c r="B4469" s="1" t="n">
        <v>44333</v>
      </c>
      <c r="C4469" s="1" t="n">
        <v>45810</v>
      </c>
      <c r="D4469" t="inlineStr">
        <is>
          <t>VÄRMLANDS LÄN</t>
        </is>
      </c>
      <c r="E4469" t="inlineStr">
        <is>
          <t>KARLSTAD</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23236-2021</t>
        </is>
      </c>
      <c r="B4470" s="1" t="n">
        <v>44333</v>
      </c>
      <c r="C4470" s="1" t="n">
        <v>45810</v>
      </c>
      <c r="D4470" t="inlineStr">
        <is>
          <t>VÄRMLANDS LÄN</t>
        </is>
      </c>
      <c r="E4470" t="inlineStr">
        <is>
          <t>FILIPSTAD</t>
        </is>
      </c>
      <c r="F4470" t="inlineStr">
        <is>
          <t>Kyrkan</t>
        </is>
      </c>
      <c r="G4470" t="n">
        <v>0.3</v>
      </c>
      <c r="H4470" t="n">
        <v>0</v>
      </c>
      <c r="I4470" t="n">
        <v>0</v>
      </c>
      <c r="J4470" t="n">
        <v>0</v>
      </c>
      <c r="K4470" t="n">
        <v>0</v>
      </c>
      <c r="L4470" t="n">
        <v>0</v>
      </c>
      <c r="M4470" t="n">
        <v>0</v>
      </c>
      <c r="N4470" t="n">
        <v>0</v>
      </c>
      <c r="O4470" t="n">
        <v>0</v>
      </c>
      <c r="P4470" t="n">
        <v>0</v>
      </c>
      <c r="Q4470" t="n">
        <v>0</v>
      </c>
      <c r="R4470" s="2" t="inlineStr"/>
    </row>
    <row r="4471" ht="15" customHeight="1">
      <c r="A4471" t="inlineStr">
        <is>
          <t>A 23248-2021</t>
        </is>
      </c>
      <c r="B4471" s="1" t="n">
        <v>44333</v>
      </c>
      <c r="C4471" s="1" t="n">
        <v>45810</v>
      </c>
      <c r="D4471" t="inlineStr">
        <is>
          <t>VÄRMLANDS LÄN</t>
        </is>
      </c>
      <c r="E4471" t="inlineStr">
        <is>
          <t>KARLSTAD</t>
        </is>
      </c>
      <c r="G4471" t="n">
        <v>4.3</v>
      </c>
      <c r="H4471" t="n">
        <v>0</v>
      </c>
      <c r="I4471" t="n">
        <v>0</v>
      </c>
      <c r="J4471" t="n">
        <v>0</v>
      </c>
      <c r="K4471" t="n">
        <v>0</v>
      </c>
      <c r="L4471" t="n">
        <v>0</v>
      </c>
      <c r="M4471" t="n">
        <v>0</v>
      </c>
      <c r="N4471" t="n">
        <v>0</v>
      </c>
      <c r="O4471" t="n">
        <v>0</v>
      </c>
      <c r="P4471" t="n">
        <v>0</v>
      </c>
      <c r="Q4471" t="n">
        <v>0</v>
      </c>
      <c r="R4471" s="2" t="inlineStr"/>
    </row>
    <row r="4472" ht="15" customHeight="1">
      <c r="A4472" t="inlineStr">
        <is>
          <t>A 23450-2021</t>
        </is>
      </c>
      <c r="B4472" s="1" t="n">
        <v>44333</v>
      </c>
      <c r="C4472" s="1" t="n">
        <v>45810</v>
      </c>
      <c r="D4472" t="inlineStr">
        <is>
          <t>VÄRMLANDS LÄN</t>
        </is>
      </c>
      <c r="E4472" t="inlineStr">
        <is>
          <t>ÅRJÄNG</t>
        </is>
      </c>
      <c r="G4472" t="n">
        <v>5.1</v>
      </c>
      <c r="H4472" t="n">
        <v>0</v>
      </c>
      <c r="I4472" t="n">
        <v>0</v>
      </c>
      <c r="J4472" t="n">
        <v>0</v>
      </c>
      <c r="K4472" t="n">
        <v>0</v>
      </c>
      <c r="L4472" t="n">
        <v>0</v>
      </c>
      <c r="M4472" t="n">
        <v>0</v>
      </c>
      <c r="N4472" t="n">
        <v>0</v>
      </c>
      <c r="O4472" t="n">
        <v>0</v>
      </c>
      <c r="P4472" t="n">
        <v>0</v>
      </c>
      <c r="Q4472" t="n">
        <v>0</v>
      </c>
      <c r="R4472" s="2" t="inlineStr"/>
    </row>
    <row r="4473" ht="15" customHeight="1">
      <c r="A4473" t="inlineStr">
        <is>
          <t>A 23451-2021</t>
        </is>
      </c>
      <c r="B4473" s="1" t="n">
        <v>44333</v>
      </c>
      <c r="C4473" s="1" t="n">
        <v>45810</v>
      </c>
      <c r="D4473" t="inlineStr">
        <is>
          <t>VÄRMLANDS LÄN</t>
        </is>
      </c>
      <c r="E4473" t="inlineStr">
        <is>
          <t>ÅRJÄNG</t>
        </is>
      </c>
      <c r="G4473" t="n">
        <v>8.699999999999999</v>
      </c>
      <c r="H4473" t="n">
        <v>0</v>
      </c>
      <c r="I4473" t="n">
        <v>0</v>
      </c>
      <c r="J4473" t="n">
        <v>0</v>
      </c>
      <c r="K4473" t="n">
        <v>0</v>
      </c>
      <c r="L4473" t="n">
        <v>0</v>
      </c>
      <c r="M4473" t="n">
        <v>0</v>
      </c>
      <c r="N4473" t="n">
        <v>0</v>
      </c>
      <c r="O4473" t="n">
        <v>0</v>
      </c>
      <c r="P4473" t="n">
        <v>0</v>
      </c>
      <c r="Q4473" t="n">
        <v>0</v>
      </c>
      <c r="R4473" s="2" t="inlineStr"/>
    </row>
    <row r="4474" ht="15" customHeight="1">
      <c r="A4474" t="inlineStr">
        <is>
          <t>A 23567-2021</t>
        </is>
      </c>
      <c r="B4474" s="1" t="n">
        <v>44333</v>
      </c>
      <c r="C4474" s="1" t="n">
        <v>45810</v>
      </c>
      <c r="D4474" t="inlineStr">
        <is>
          <t>VÄRMLANDS LÄN</t>
        </is>
      </c>
      <c r="E4474" t="inlineStr">
        <is>
          <t>KRISTINEHAMN</t>
        </is>
      </c>
      <c r="G4474" t="n">
        <v>2.4</v>
      </c>
      <c r="H4474" t="n">
        <v>0</v>
      </c>
      <c r="I4474" t="n">
        <v>0</v>
      </c>
      <c r="J4474" t="n">
        <v>0</v>
      </c>
      <c r="K4474" t="n">
        <v>0</v>
      </c>
      <c r="L4474" t="n">
        <v>0</v>
      </c>
      <c r="M4474" t="n">
        <v>0</v>
      </c>
      <c r="N4474" t="n">
        <v>0</v>
      </c>
      <c r="O4474" t="n">
        <v>0</v>
      </c>
      <c r="P4474" t="n">
        <v>0</v>
      </c>
      <c r="Q4474" t="n">
        <v>0</v>
      </c>
      <c r="R4474" s="2" t="inlineStr"/>
    </row>
    <row r="4475" ht="15" customHeight="1">
      <c r="A4475" t="inlineStr">
        <is>
          <t>A 23548-2021</t>
        </is>
      </c>
      <c r="B4475" s="1" t="n">
        <v>44333</v>
      </c>
      <c r="C4475" s="1" t="n">
        <v>45810</v>
      </c>
      <c r="D4475" t="inlineStr">
        <is>
          <t>VÄRMLANDS LÄN</t>
        </is>
      </c>
      <c r="E4475" t="inlineStr">
        <is>
          <t>TORSBY</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23576-2021</t>
        </is>
      </c>
      <c r="B4476" s="1" t="n">
        <v>44334</v>
      </c>
      <c r="C4476" s="1" t="n">
        <v>45810</v>
      </c>
      <c r="D4476" t="inlineStr">
        <is>
          <t>VÄRMLANDS LÄN</t>
        </is>
      </c>
      <c r="E4476" t="inlineStr">
        <is>
          <t>KRISTINEHAMN</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23546-2021</t>
        </is>
      </c>
      <c r="B4477" s="1" t="n">
        <v>44334</v>
      </c>
      <c r="C4477" s="1" t="n">
        <v>45810</v>
      </c>
      <c r="D4477" t="inlineStr">
        <is>
          <t>VÄRMLANDS LÄN</t>
        </is>
      </c>
      <c r="E4477" t="inlineStr">
        <is>
          <t>SUNNE</t>
        </is>
      </c>
      <c r="G4477" t="n">
        <v>2.8</v>
      </c>
      <c r="H4477" t="n">
        <v>0</v>
      </c>
      <c r="I4477" t="n">
        <v>0</v>
      </c>
      <c r="J4477" t="n">
        <v>0</v>
      </c>
      <c r="K4477" t="n">
        <v>0</v>
      </c>
      <c r="L4477" t="n">
        <v>0</v>
      </c>
      <c r="M4477" t="n">
        <v>0</v>
      </c>
      <c r="N4477" t="n">
        <v>0</v>
      </c>
      <c r="O4477" t="n">
        <v>0</v>
      </c>
      <c r="P4477" t="n">
        <v>0</v>
      </c>
      <c r="Q4477" t="n">
        <v>0</v>
      </c>
      <c r="R4477" s="2" t="inlineStr"/>
    </row>
    <row r="4478" ht="15" customHeight="1">
      <c r="A4478" t="inlineStr">
        <is>
          <t>A 23562-2021</t>
        </is>
      </c>
      <c r="B4478" s="1" t="n">
        <v>44334</v>
      </c>
      <c r="C4478" s="1" t="n">
        <v>45810</v>
      </c>
      <c r="D4478" t="inlineStr">
        <is>
          <t>VÄRMLANDS LÄN</t>
        </is>
      </c>
      <c r="E4478" t="inlineStr">
        <is>
          <t>KRISTINEHAMN</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23656-2021</t>
        </is>
      </c>
      <c r="B4479" s="1" t="n">
        <v>44334</v>
      </c>
      <c r="C4479" s="1" t="n">
        <v>45810</v>
      </c>
      <c r="D4479" t="inlineStr">
        <is>
          <t>VÄRMLANDS LÄN</t>
        </is>
      </c>
      <c r="E4479" t="inlineStr">
        <is>
          <t>SUNNE</t>
        </is>
      </c>
      <c r="G4479" t="n">
        <v>4.2</v>
      </c>
      <c r="H4479" t="n">
        <v>0</v>
      </c>
      <c r="I4479" t="n">
        <v>0</v>
      </c>
      <c r="J4479" t="n">
        <v>0</v>
      </c>
      <c r="K4479" t="n">
        <v>0</v>
      </c>
      <c r="L4479" t="n">
        <v>0</v>
      </c>
      <c r="M4479" t="n">
        <v>0</v>
      </c>
      <c r="N4479" t="n">
        <v>0</v>
      </c>
      <c r="O4479" t="n">
        <v>0</v>
      </c>
      <c r="P4479" t="n">
        <v>0</v>
      </c>
      <c r="Q4479" t="n">
        <v>0</v>
      </c>
      <c r="R4479" s="2" t="inlineStr"/>
    </row>
    <row r="4480" ht="15" customHeight="1">
      <c r="A4480" t="inlineStr">
        <is>
          <t>A 23587-2021</t>
        </is>
      </c>
      <c r="B4480" s="1" t="n">
        <v>44334</v>
      </c>
      <c r="C4480" s="1" t="n">
        <v>45810</v>
      </c>
      <c r="D4480" t="inlineStr">
        <is>
          <t>VÄRMLANDS LÄN</t>
        </is>
      </c>
      <c r="E4480" t="inlineStr">
        <is>
          <t>SÄFFLE</t>
        </is>
      </c>
      <c r="G4480" t="n">
        <v>3.5</v>
      </c>
      <c r="H4480" t="n">
        <v>0</v>
      </c>
      <c r="I4480" t="n">
        <v>0</v>
      </c>
      <c r="J4480" t="n">
        <v>0</v>
      </c>
      <c r="K4480" t="n">
        <v>0</v>
      </c>
      <c r="L4480" t="n">
        <v>0</v>
      </c>
      <c r="M4480" t="n">
        <v>0</v>
      </c>
      <c r="N4480" t="n">
        <v>0</v>
      </c>
      <c r="O4480" t="n">
        <v>0</v>
      </c>
      <c r="P4480" t="n">
        <v>0</v>
      </c>
      <c r="Q4480" t="n">
        <v>0</v>
      </c>
      <c r="R4480" s="2" t="inlineStr"/>
    </row>
    <row r="4481" ht="15" customHeight="1">
      <c r="A4481" t="inlineStr">
        <is>
          <t>A 23643-2021</t>
        </is>
      </c>
      <c r="B4481" s="1" t="n">
        <v>44334</v>
      </c>
      <c r="C4481" s="1" t="n">
        <v>45810</v>
      </c>
      <c r="D4481" t="inlineStr">
        <is>
          <t>VÄRMLANDS LÄN</t>
        </is>
      </c>
      <c r="E4481" t="inlineStr">
        <is>
          <t>ARVIKA</t>
        </is>
      </c>
      <c r="F4481" t="inlineStr">
        <is>
          <t>Bergvik skog väst AB</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23802-2021</t>
        </is>
      </c>
      <c r="B4482" s="1" t="n">
        <v>44334</v>
      </c>
      <c r="C4482" s="1" t="n">
        <v>45810</v>
      </c>
      <c r="D4482" t="inlineStr">
        <is>
          <t>VÄRMLANDS LÄN</t>
        </is>
      </c>
      <c r="E4482" t="inlineStr">
        <is>
          <t>SÄFFLE</t>
        </is>
      </c>
      <c r="G4482" t="n">
        <v>11.5</v>
      </c>
      <c r="H4482" t="n">
        <v>0</v>
      </c>
      <c r="I4482" t="n">
        <v>0</v>
      </c>
      <c r="J4482" t="n">
        <v>0</v>
      </c>
      <c r="K4482" t="n">
        <v>0</v>
      </c>
      <c r="L4482" t="n">
        <v>0</v>
      </c>
      <c r="M4482" t="n">
        <v>0</v>
      </c>
      <c r="N4482" t="n">
        <v>0</v>
      </c>
      <c r="O4482" t="n">
        <v>0</v>
      </c>
      <c r="P4482" t="n">
        <v>0</v>
      </c>
      <c r="Q4482" t="n">
        <v>0</v>
      </c>
      <c r="R4482" s="2" t="inlineStr"/>
    </row>
    <row r="4483" ht="15" customHeight="1">
      <c r="A4483" t="inlineStr">
        <is>
          <t>A 23815-2021</t>
        </is>
      </c>
      <c r="B4483" s="1" t="n">
        <v>44335</v>
      </c>
      <c r="C4483" s="1" t="n">
        <v>45810</v>
      </c>
      <c r="D4483" t="inlineStr">
        <is>
          <t>VÄRMLANDS LÄN</t>
        </is>
      </c>
      <c r="E4483" t="inlineStr">
        <is>
          <t>ÅRJÄNG</t>
        </is>
      </c>
      <c r="G4483" t="n">
        <v>4.9</v>
      </c>
      <c r="H4483" t="n">
        <v>0</v>
      </c>
      <c r="I4483" t="n">
        <v>0</v>
      </c>
      <c r="J4483" t="n">
        <v>0</v>
      </c>
      <c r="K4483" t="n">
        <v>0</v>
      </c>
      <c r="L4483" t="n">
        <v>0</v>
      </c>
      <c r="M4483" t="n">
        <v>0</v>
      </c>
      <c r="N4483" t="n">
        <v>0</v>
      </c>
      <c r="O4483" t="n">
        <v>0</v>
      </c>
      <c r="P4483" t="n">
        <v>0</v>
      </c>
      <c r="Q4483" t="n">
        <v>0</v>
      </c>
      <c r="R4483" s="2" t="inlineStr"/>
    </row>
    <row r="4484" ht="15" customHeight="1">
      <c r="A4484" t="inlineStr">
        <is>
          <t>A 23842-2021</t>
        </is>
      </c>
      <c r="B4484" s="1" t="n">
        <v>44335</v>
      </c>
      <c r="C4484" s="1" t="n">
        <v>45810</v>
      </c>
      <c r="D4484" t="inlineStr">
        <is>
          <t>VÄRMLANDS LÄN</t>
        </is>
      </c>
      <c r="E4484" t="inlineStr">
        <is>
          <t>TORSBY</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23786-2021</t>
        </is>
      </c>
      <c r="B4485" s="1" t="n">
        <v>44335</v>
      </c>
      <c r="C4485" s="1" t="n">
        <v>45810</v>
      </c>
      <c r="D4485" t="inlineStr">
        <is>
          <t>VÄRMLANDS LÄN</t>
        </is>
      </c>
      <c r="E4485" t="inlineStr">
        <is>
          <t>KARLSTAD</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23813-2021</t>
        </is>
      </c>
      <c r="B4486" s="1" t="n">
        <v>44335</v>
      </c>
      <c r="C4486" s="1" t="n">
        <v>45810</v>
      </c>
      <c r="D4486" t="inlineStr">
        <is>
          <t>VÄRMLANDS LÄN</t>
        </is>
      </c>
      <c r="E4486" t="inlineStr">
        <is>
          <t>STORFORS</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23820-2021</t>
        </is>
      </c>
      <c r="B4487" s="1" t="n">
        <v>44335</v>
      </c>
      <c r="C4487" s="1" t="n">
        <v>45810</v>
      </c>
      <c r="D4487" t="inlineStr">
        <is>
          <t>VÄRMLANDS LÄN</t>
        </is>
      </c>
      <c r="E4487" t="inlineStr">
        <is>
          <t>STORFORS</t>
        </is>
      </c>
      <c r="G4487" t="n">
        <v>0.4</v>
      </c>
      <c r="H4487" t="n">
        <v>0</v>
      </c>
      <c r="I4487" t="n">
        <v>0</v>
      </c>
      <c r="J4487" t="n">
        <v>0</v>
      </c>
      <c r="K4487" t="n">
        <v>0</v>
      </c>
      <c r="L4487" t="n">
        <v>0</v>
      </c>
      <c r="M4487" t="n">
        <v>0</v>
      </c>
      <c r="N4487" t="n">
        <v>0</v>
      </c>
      <c r="O4487" t="n">
        <v>0</v>
      </c>
      <c r="P4487" t="n">
        <v>0</v>
      </c>
      <c r="Q4487" t="n">
        <v>0</v>
      </c>
      <c r="R4487" s="2" t="inlineStr"/>
    </row>
    <row r="4488" ht="15" customHeight="1">
      <c r="A4488" t="inlineStr">
        <is>
          <t>A 23933-2021</t>
        </is>
      </c>
      <c r="B4488" s="1" t="n">
        <v>44335</v>
      </c>
      <c r="C4488" s="1" t="n">
        <v>45810</v>
      </c>
      <c r="D4488" t="inlineStr">
        <is>
          <t>VÄRMLANDS LÄN</t>
        </is>
      </c>
      <c r="E4488" t="inlineStr">
        <is>
          <t>KRISTINEHAMN</t>
        </is>
      </c>
      <c r="F4488" t="inlineStr">
        <is>
          <t>Sveaskog</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23808-2021</t>
        </is>
      </c>
      <c r="B4489" s="1" t="n">
        <v>44335</v>
      </c>
      <c r="C4489" s="1" t="n">
        <v>45810</v>
      </c>
      <c r="D4489" t="inlineStr">
        <is>
          <t>VÄRMLANDS LÄN</t>
        </is>
      </c>
      <c r="E4489" t="inlineStr">
        <is>
          <t>STORFORS</t>
        </is>
      </c>
      <c r="G4489" t="n">
        <v>3</v>
      </c>
      <c r="H4489" t="n">
        <v>0</v>
      </c>
      <c r="I4489" t="n">
        <v>0</v>
      </c>
      <c r="J4489" t="n">
        <v>0</v>
      </c>
      <c r="K4489" t="n">
        <v>0</v>
      </c>
      <c r="L4489" t="n">
        <v>0</v>
      </c>
      <c r="M4489" t="n">
        <v>0</v>
      </c>
      <c r="N4489" t="n">
        <v>0</v>
      </c>
      <c r="O4489" t="n">
        <v>0</v>
      </c>
      <c r="P4489" t="n">
        <v>0</v>
      </c>
      <c r="Q4489" t="n">
        <v>0</v>
      </c>
      <c r="R4489" s="2" t="inlineStr"/>
    </row>
    <row r="4490" ht="15" customHeight="1">
      <c r="A4490" t="inlineStr">
        <is>
          <t>A 23817-2021</t>
        </is>
      </c>
      <c r="B4490" s="1" t="n">
        <v>44335</v>
      </c>
      <c r="C4490" s="1" t="n">
        <v>45810</v>
      </c>
      <c r="D4490" t="inlineStr">
        <is>
          <t>VÄRMLANDS LÄN</t>
        </is>
      </c>
      <c r="E4490" t="inlineStr">
        <is>
          <t>STORFORS</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23840-2021</t>
        </is>
      </c>
      <c r="B4491" s="1" t="n">
        <v>44335</v>
      </c>
      <c r="C4491" s="1" t="n">
        <v>45810</v>
      </c>
      <c r="D4491" t="inlineStr">
        <is>
          <t>VÄRMLANDS LÄN</t>
        </is>
      </c>
      <c r="E4491" t="inlineStr">
        <is>
          <t>MUNKFORS</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23923-2021</t>
        </is>
      </c>
      <c r="B4492" s="1" t="n">
        <v>44335</v>
      </c>
      <c r="C4492" s="1" t="n">
        <v>45810</v>
      </c>
      <c r="D4492" t="inlineStr">
        <is>
          <t>VÄRMLANDS LÄN</t>
        </is>
      </c>
      <c r="E4492" t="inlineStr">
        <is>
          <t>SUNNE</t>
        </is>
      </c>
      <c r="G4492" t="n">
        <v>3.7</v>
      </c>
      <c r="H4492" t="n">
        <v>0</v>
      </c>
      <c r="I4492" t="n">
        <v>0</v>
      </c>
      <c r="J4492" t="n">
        <v>0</v>
      </c>
      <c r="K4492" t="n">
        <v>0</v>
      </c>
      <c r="L4492" t="n">
        <v>0</v>
      </c>
      <c r="M4492" t="n">
        <v>0</v>
      </c>
      <c r="N4492" t="n">
        <v>0</v>
      </c>
      <c r="O4492" t="n">
        <v>0</v>
      </c>
      <c r="P4492" t="n">
        <v>0</v>
      </c>
      <c r="Q4492" t="n">
        <v>0</v>
      </c>
      <c r="R4492" s="2" t="inlineStr"/>
    </row>
    <row r="4493" ht="15" customHeight="1">
      <c r="A4493" t="inlineStr">
        <is>
          <t>A 23940-2021</t>
        </is>
      </c>
      <c r="B4493" s="1" t="n">
        <v>44335</v>
      </c>
      <c r="C4493" s="1" t="n">
        <v>45810</v>
      </c>
      <c r="D4493" t="inlineStr">
        <is>
          <t>VÄRMLANDS LÄN</t>
        </is>
      </c>
      <c r="E4493" t="inlineStr">
        <is>
          <t>KRISTINEHAMN</t>
        </is>
      </c>
      <c r="F4493" t="inlineStr">
        <is>
          <t>Sveaskog</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23863-2021</t>
        </is>
      </c>
      <c r="B4494" s="1" t="n">
        <v>44335</v>
      </c>
      <c r="C4494" s="1" t="n">
        <v>45810</v>
      </c>
      <c r="D4494" t="inlineStr">
        <is>
          <t>VÄRMLANDS LÄN</t>
        </is>
      </c>
      <c r="E4494" t="inlineStr">
        <is>
          <t>EDA</t>
        </is>
      </c>
      <c r="G4494" t="n">
        <v>4.2</v>
      </c>
      <c r="H4494" t="n">
        <v>0</v>
      </c>
      <c r="I4494" t="n">
        <v>0</v>
      </c>
      <c r="J4494" t="n">
        <v>0</v>
      </c>
      <c r="K4494" t="n">
        <v>0</v>
      </c>
      <c r="L4494" t="n">
        <v>0</v>
      </c>
      <c r="M4494" t="n">
        <v>0</v>
      </c>
      <c r="N4494" t="n">
        <v>0</v>
      </c>
      <c r="O4494" t="n">
        <v>0</v>
      </c>
      <c r="P4494" t="n">
        <v>0</v>
      </c>
      <c r="Q4494" t="n">
        <v>0</v>
      </c>
      <c r="R4494" s="2" t="inlineStr"/>
    </row>
    <row r="4495" ht="15" customHeight="1">
      <c r="A4495" t="inlineStr">
        <is>
          <t>A 23943-2021</t>
        </is>
      </c>
      <c r="B4495" s="1" t="n">
        <v>44335</v>
      </c>
      <c r="C4495" s="1" t="n">
        <v>45810</v>
      </c>
      <c r="D4495" t="inlineStr">
        <is>
          <t>VÄRMLANDS LÄN</t>
        </is>
      </c>
      <c r="E4495" t="inlineStr">
        <is>
          <t>SUNNE</t>
        </is>
      </c>
      <c r="G4495" t="n">
        <v>20</v>
      </c>
      <c r="H4495" t="n">
        <v>0</v>
      </c>
      <c r="I4495" t="n">
        <v>0</v>
      </c>
      <c r="J4495" t="n">
        <v>0</v>
      </c>
      <c r="K4495" t="n">
        <v>0</v>
      </c>
      <c r="L4495" t="n">
        <v>0</v>
      </c>
      <c r="M4495" t="n">
        <v>0</v>
      </c>
      <c r="N4495" t="n">
        <v>0</v>
      </c>
      <c r="O4495" t="n">
        <v>0</v>
      </c>
      <c r="P4495" t="n">
        <v>0</v>
      </c>
      <c r="Q4495" t="n">
        <v>0</v>
      </c>
      <c r="R4495" s="2" t="inlineStr"/>
    </row>
    <row r="4496" ht="15" customHeight="1">
      <c r="A4496" t="inlineStr">
        <is>
          <t>A 23823-2021</t>
        </is>
      </c>
      <c r="B4496" s="1" t="n">
        <v>44335</v>
      </c>
      <c r="C4496" s="1" t="n">
        <v>45810</v>
      </c>
      <c r="D4496" t="inlineStr">
        <is>
          <t>VÄRMLANDS LÄN</t>
        </is>
      </c>
      <c r="E4496" t="inlineStr">
        <is>
          <t>TORSBY</t>
        </is>
      </c>
      <c r="G4496" t="n">
        <v>3.1</v>
      </c>
      <c r="H4496" t="n">
        <v>0</v>
      </c>
      <c r="I4496" t="n">
        <v>0</v>
      </c>
      <c r="J4496" t="n">
        <v>0</v>
      </c>
      <c r="K4496" t="n">
        <v>0</v>
      </c>
      <c r="L4496" t="n">
        <v>0</v>
      </c>
      <c r="M4496" t="n">
        <v>0</v>
      </c>
      <c r="N4496" t="n">
        <v>0</v>
      </c>
      <c r="O4496" t="n">
        <v>0</v>
      </c>
      <c r="P4496" t="n">
        <v>0</v>
      </c>
      <c r="Q4496" t="n">
        <v>0</v>
      </c>
      <c r="R4496" s="2" t="inlineStr"/>
    </row>
    <row r="4497" ht="15" customHeight="1">
      <c r="A4497" t="inlineStr">
        <is>
          <t>A 24054-2021</t>
        </is>
      </c>
      <c r="B4497" s="1" t="n">
        <v>44336</v>
      </c>
      <c r="C4497" s="1" t="n">
        <v>45810</v>
      </c>
      <c r="D4497" t="inlineStr">
        <is>
          <t>VÄRMLANDS LÄN</t>
        </is>
      </c>
      <c r="E4497" t="inlineStr">
        <is>
          <t>TORSBY</t>
        </is>
      </c>
      <c r="G4497" t="n">
        <v>2.9</v>
      </c>
      <c r="H4497" t="n">
        <v>0</v>
      </c>
      <c r="I4497" t="n">
        <v>0</v>
      </c>
      <c r="J4497" t="n">
        <v>0</v>
      </c>
      <c r="K4497" t="n">
        <v>0</v>
      </c>
      <c r="L4497" t="n">
        <v>0</v>
      </c>
      <c r="M4497" t="n">
        <v>0</v>
      </c>
      <c r="N4497" t="n">
        <v>0</v>
      </c>
      <c r="O4497" t="n">
        <v>0</v>
      </c>
      <c r="P4497" t="n">
        <v>0</v>
      </c>
      <c r="Q4497" t="n">
        <v>0</v>
      </c>
      <c r="R4497" s="2" t="inlineStr"/>
    </row>
    <row r="4498" ht="15" customHeight="1">
      <c r="A4498" t="inlineStr">
        <is>
          <t>A 24066-2021</t>
        </is>
      </c>
      <c r="B4498" s="1" t="n">
        <v>44336</v>
      </c>
      <c r="C4498" s="1" t="n">
        <v>45810</v>
      </c>
      <c r="D4498" t="inlineStr">
        <is>
          <t>VÄRMLANDS LÄN</t>
        </is>
      </c>
      <c r="E4498" t="inlineStr">
        <is>
          <t>SUNNE</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24092-2021</t>
        </is>
      </c>
      <c r="B4499" s="1" t="n">
        <v>44336</v>
      </c>
      <c r="C4499" s="1" t="n">
        <v>45810</v>
      </c>
      <c r="D4499" t="inlineStr">
        <is>
          <t>VÄRMLANDS LÄN</t>
        </is>
      </c>
      <c r="E4499" t="inlineStr">
        <is>
          <t>FORSHAGA</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24150-2021</t>
        </is>
      </c>
      <c r="B4500" s="1" t="n">
        <v>44336</v>
      </c>
      <c r="C4500" s="1" t="n">
        <v>45810</v>
      </c>
      <c r="D4500" t="inlineStr">
        <is>
          <t>VÄRMLANDS LÄN</t>
        </is>
      </c>
      <c r="E4500" t="inlineStr">
        <is>
          <t>TORSBY</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24165-2021</t>
        </is>
      </c>
      <c r="B4501" s="1" t="n">
        <v>44336</v>
      </c>
      <c r="C4501" s="1" t="n">
        <v>45810</v>
      </c>
      <c r="D4501" t="inlineStr">
        <is>
          <t>VÄRMLANDS LÄN</t>
        </is>
      </c>
      <c r="E4501" t="inlineStr">
        <is>
          <t>TORSBY</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24332-2021</t>
        </is>
      </c>
      <c r="B4502" s="1" t="n">
        <v>44337</v>
      </c>
      <c r="C4502" s="1" t="n">
        <v>45810</v>
      </c>
      <c r="D4502" t="inlineStr">
        <is>
          <t>VÄRMLANDS LÄN</t>
        </is>
      </c>
      <c r="E4502" t="inlineStr">
        <is>
          <t>SUNNE</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24331-2021</t>
        </is>
      </c>
      <c r="B4503" s="1" t="n">
        <v>44337</v>
      </c>
      <c r="C4503" s="1" t="n">
        <v>45810</v>
      </c>
      <c r="D4503" t="inlineStr">
        <is>
          <t>VÄRMLANDS LÄN</t>
        </is>
      </c>
      <c r="E4503" t="inlineStr">
        <is>
          <t>HAGFORS</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24334-2021</t>
        </is>
      </c>
      <c r="B4504" s="1" t="n">
        <v>44337</v>
      </c>
      <c r="C4504" s="1" t="n">
        <v>45810</v>
      </c>
      <c r="D4504" t="inlineStr">
        <is>
          <t>VÄRMLANDS LÄN</t>
        </is>
      </c>
      <c r="E4504" t="inlineStr">
        <is>
          <t>KRISTINEHAMN</t>
        </is>
      </c>
      <c r="G4504" t="n">
        <v>6.9</v>
      </c>
      <c r="H4504" t="n">
        <v>0</v>
      </c>
      <c r="I4504" t="n">
        <v>0</v>
      </c>
      <c r="J4504" t="n">
        <v>0</v>
      </c>
      <c r="K4504" t="n">
        <v>0</v>
      </c>
      <c r="L4504" t="n">
        <v>0</v>
      </c>
      <c r="M4504" t="n">
        <v>0</v>
      </c>
      <c r="N4504" t="n">
        <v>0</v>
      </c>
      <c r="O4504" t="n">
        <v>0</v>
      </c>
      <c r="P4504" t="n">
        <v>0</v>
      </c>
      <c r="Q4504" t="n">
        <v>0</v>
      </c>
      <c r="R4504" s="2" t="inlineStr"/>
    </row>
    <row r="4505" ht="15" customHeight="1">
      <c r="A4505" t="inlineStr">
        <is>
          <t>A 24429-2021</t>
        </is>
      </c>
      <c r="B4505" s="1" t="n">
        <v>44337</v>
      </c>
      <c r="C4505" s="1" t="n">
        <v>45810</v>
      </c>
      <c r="D4505" t="inlineStr">
        <is>
          <t>VÄRMLANDS LÄN</t>
        </is>
      </c>
      <c r="E4505" t="inlineStr">
        <is>
          <t>SUNNE</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24461-2021</t>
        </is>
      </c>
      <c r="B4506" s="1" t="n">
        <v>44337</v>
      </c>
      <c r="C4506" s="1" t="n">
        <v>45810</v>
      </c>
      <c r="D4506" t="inlineStr">
        <is>
          <t>VÄRMLANDS LÄN</t>
        </is>
      </c>
      <c r="E4506" t="inlineStr">
        <is>
          <t>EDA</t>
        </is>
      </c>
      <c r="G4506" t="n">
        <v>2.2</v>
      </c>
      <c r="H4506" t="n">
        <v>0</v>
      </c>
      <c r="I4506" t="n">
        <v>0</v>
      </c>
      <c r="J4506" t="n">
        <v>0</v>
      </c>
      <c r="K4506" t="n">
        <v>0</v>
      </c>
      <c r="L4506" t="n">
        <v>0</v>
      </c>
      <c r="M4506" t="n">
        <v>0</v>
      </c>
      <c r="N4506" t="n">
        <v>0</v>
      </c>
      <c r="O4506" t="n">
        <v>0</v>
      </c>
      <c r="P4506" t="n">
        <v>0</v>
      </c>
      <c r="Q4506" t="n">
        <v>0</v>
      </c>
      <c r="R4506" s="2" t="inlineStr"/>
    </row>
    <row r="4507" ht="15" customHeight="1">
      <c r="A4507" t="inlineStr">
        <is>
          <t>A 24492-2021</t>
        </is>
      </c>
      <c r="B4507" s="1" t="n">
        <v>44337</v>
      </c>
      <c r="C4507" s="1" t="n">
        <v>45810</v>
      </c>
      <c r="D4507" t="inlineStr">
        <is>
          <t>VÄRMLANDS LÄN</t>
        </is>
      </c>
      <c r="E4507" t="inlineStr">
        <is>
          <t>HAGFORS</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24765-2021</t>
        </is>
      </c>
      <c r="B4508" s="1" t="n">
        <v>44340</v>
      </c>
      <c r="C4508" s="1" t="n">
        <v>45810</v>
      </c>
      <c r="D4508" t="inlineStr">
        <is>
          <t>VÄRMLANDS LÄN</t>
        </is>
      </c>
      <c r="E4508" t="inlineStr">
        <is>
          <t>KIL</t>
        </is>
      </c>
      <c r="G4508" t="n">
        <v>2.9</v>
      </c>
      <c r="H4508" t="n">
        <v>0</v>
      </c>
      <c r="I4508" t="n">
        <v>0</v>
      </c>
      <c r="J4508" t="n">
        <v>0</v>
      </c>
      <c r="K4508" t="n">
        <v>0</v>
      </c>
      <c r="L4508" t="n">
        <v>0</v>
      </c>
      <c r="M4508" t="n">
        <v>0</v>
      </c>
      <c r="N4508" t="n">
        <v>0</v>
      </c>
      <c r="O4508" t="n">
        <v>0</v>
      </c>
      <c r="P4508" t="n">
        <v>0</v>
      </c>
      <c r="Q4508" t="n">
        <v>0</v>
      </c>
      <c r="R4508" s="2" t="inlineStr"/>
    </row>
    <row r="4509" ht="15" customHeight="1">
      <c r="A4509" t="inlineStr">
        <is>
          <t>A 24593-2021</t>
        </is>
      </c>
      <c r="B4509" s="1" t="n">
        <v>44340</v>
      </c>
      <c r="C4509" s="1" t="n">
        <v>45810</v>
      </c>
      <c r="D4509" t="inlineStr">
        <is>
          <t>VÄRMLANDS LÄN</t>
        </is>
      </c>
      <c r="E4509" t="inlineStr">
        <is>
          <t>SÄFFLE</t>
        </is>
      </c>
      <c r="G4509" t="n">
        <v>14.1</v>
      </c>
      <c r="H4509" t="n">
        <v>0</v>
      </c>
      <c r="I4509" t="n">
        <v>0</v>
      </c>
      <c r="J4509" t="n">
        <v>0</v>
      </c>
      <c r="K4509" t="n">
        <v>0</v>
      </c>
      <c r="L4509" t="n">
        <v>0</v>
      </c>
      <c r="M4509" t="n">
        <v>0</v>
      </c>
      <c r="N4509" t="n">
        <v>0</v>
      </c>
      <c r="O4509" t="n">
        <v>0</v>
      </c>
      <c r="P4509" t="n">
        <v>0</v>
      </c>
      <c r="Q4509" t="n">
        <v>0</v>
      </c>
      <c r="R4509" s="2" t="inlineStr"/>
    </row>
    <row r="4510" ht="15" customHeight="1">
      <c r="A4510" t="inlineStr">
        <is>
          <t>A 24668-2021</t>
        </is>
      </c>
      <c r="B4510" s="1" t="n">
        <v>44340</v>
      </c>
      <c r="C4510" s="1" t="n">
        <v>45810</v>
      </c>
      <c r="D4510" t="inlineStr">
        <is>
          <t>VÄRMLANDS LÄN</t>
        </is>
      </c>
      <c r="E4510" t="inlineStr">
        <is>
          <t>ARVIKA</t>
        </is>
      </c>
      <c r="F4510" t="inlineStr">
        <is>
          <t>Bergvik skog väst AB</t>
        </is>
      </c>
      <c r="G4510" t="n">
        <v>2.4</v>
      </c>
      <c r="H4510" t="n">
        <v>0</v>
      </c>
      <c r="I4510" t="n">
        <v>0</v>
      </c>
      <c r="J4510" t="n">
        <v>0</v>
      </c>
      <c r="K4510" t="n">
        <v>0</v>
      </c>
      <c r="L4510" t="n">
        <v>0</v>
      </c>
      <c r="M4510" t="n">
        <v>0</v>
      </c>
      <c r="N4510" t="n">
        <v>0</v>
      </c>
      <c r="O4510" t="n">
        <v>0</v>
      </c>
      <c r="P4510" t="n">
        <v>0</v>
      </c>
      <c r="Q4510" t="n">
        <v>0</v>
      </c>
      <c r="R4510" s="2" t="inlineStr"/>
    </row>
    <row r="4511" ht="15" customHeight="1">
      <c r="A4511" t="inlineStr">
        <is>
          <t>A 25036-2021</t>
        </is>
      </c>
      <c r="B4511" s="1" t="n">
        <v>44341</v>
      </c>
      <c r="C4511" s="1" t="n">
        <v>45810</v>
      </c>
      <c r="D4511" t="inlineStr">
        <is>
          <t>VÄRMLANDS LÄN</t>
        </is>
      </c>
      <c r="E4511" t="inlineStr">
        <is>
          <t>HAGFORS</t>
        </is>
      </c>
      <c r="F4511" t="inlineStr">
        <is>
          <t>Bergvik skog väst AB</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25096-2021</t>
        </is>
      </c>
      <c r="B4512" s="1" t="n">
        <v>44341</v>
      </c>
      <c r="C4512" s="1" t="n">
        <v>45810</v>
      </c>
      <c r="D4512" t="inlineStr">
        <is>
          <t>VÄRMLANDS LÄN</t>
        </is>
      </c>
      <c r="E4512" t="inlineStr">
        <is>
          <t>TORSBY</t>
        </is>
      </c>
      <c r="F4512" t="inlineStr">
        <is>
          <t>Bergvik skog väst AB</t>
        </is>
      </c>
      <c r="G4512" t="n">
        <v>14.7</v>
      </c>
      <c r="H4512" t="n">
        <v>0</v>
      </c>
      <c r="I4512" t="n">
        <v>0</v>
      </c>
      <c r="J4512" t="n">
        <v>0</v>
      </c>
      <c r="K4512" t="n">
        <v>0</v>
      </c>
      <c r="L4512" t="n">
        <v>0</v>
      </c>
      <c r="M4512" t="n">
        <v>0</v>
      </c>
      <c r="N4512" t="n">
        <v>0</v>
      </c>
      <c r="O4512" t="n">
        <v>0</v>
      </c>
      <c r="P4512" t="n">
        <v>0</v>
      </c>
      <c r="Q4512" t="n">
        <v>0</v>
      </c>
      <c r="R4512" s="2" t="inlineStr"/>
    </row>
    <row r="4513" ht="15" customHeight="1">
      <c r="A4513" t="inlineStr">
        <is>
          <t>A 25209-2021</t>
        </is>
      </c>
      <c r="B4513" s="1" t="n">
        <v>44342</v>
      </c>
      <c r="C4513" s="1" t="n">
        <v>45810</v>
      </c>
      <c r="D4513" t="inlineStr">
        <is>
          <t>VÄRMLANDS LÄN</t>
        </is>
      </c>
      <c r="E4513" t="inlineStr">
        <is>
          <t>KRISTINEHAMN</t>
        </is>
      </c>
      <c r="F4513" t="inlineStr">
        <is>
          <t>Sveaskog</t>
        </is>
      </c>
      <c r="G4513" t="n">
        <v>2.3</v>
      </c>
      <c r="H4513" t="n">
        <v>0</v>
      </c>
      <c r="I4513" t="n">
        <v>0</v>
      </c>
      <c r="J4513" t="n">
        <v>0</v>
      </c>
      <c r="K4513" t="n">
        <v>0</v>
      </c>
      <c r="L4513" t="n">
        <v>0</v>
      </c>
      <c r="M4513" t="n">
        <v>0</v>
      </c>
      <c r="N4513" t="n">
        <v>0</v>
      </c>
      <c r="O4513" t="n">
        <v>0</v>
      </c>
      <c r="P4513" t="n">
        <v>0</v>
      </c>
      <c r="Q4513" t="n">
        <v>0</v>
      </c>
      <c r="R4513" s="2" t="inlineStr"/>
    </row>
    <row r="4514" ht="15" customHeight="1">
      <c r="A4514" t="inlineStr">
        <is>
          <t>A 25180-2021</t>
        </is>
      </c>
      <c r="B4514" s="1" t="n">
        <v>44342</v>
      </c>
      <c r="C4514" s="1" t="n">
        <v>45810</v>
      </c>
      <c r="D4514" t="inlineStr">
        <is>
          <t>VÄRMLANDS LÄN</t>
        </is>
      </c>
      <c r="E4514" t="inlineStr">
        <is>
          <t>EDA</t>
        </is>
      </c>
      <c r="G4514" t="n">
        <v>7.7</v>
      </c>
      <c r="H4514" t="n">
        <v>0</v>
      </c>
      <c r="I4514" t="n">
        <v>0</v>
      </c>
      <c r="J4514" t="n">
        <v>0</v>
      </c>
      <c r="K4514" t="n">
        <v>0</v>
      </c>
      <c r="L4514" t="n">
        <v>0</v>
      </c>
      <c r="M4514" t="n">
        <v>0</v>
      </c>
      <c r="N4514" t="n">
        <v>0</v>
      </c>
      <c r="O4514" t="n">
        <v>0</v>
      </c>
      <c r="P4514" t="n">
        <v>0</v>
      </c>
      <c r="Q4514" t="n">
        <v>0</v>
      </c>
      <c r="R4514" s="2" t="inlineStr"/>
    </row>
    <row r="4515" ht="15" customHeight="1">
      <c r="A4515" t="inlineStr">
        <is>
          <t>A 25206-2021</t>
        </is>
      </c>
      <c r="B4515" s="1" t="n">
        <v>44342</v>
      </c>
      <c r="C4515" s="1" t="n">
        <v>45810</v>
      </c>
      <c r="D4515" t="inlineStr">
        <is>
          <t>VÄRMLANDS LÄN</t>
        </is>
      </c>
      <c r="E4515" t="inlineStr">
        <is>
          <t>KRISTINEHAMN</t>
        </is>
      </c>
      <c r="F4515" t="inlineStr">
        <is>
          <t>Sveaskog</t>
        </is>
      </c>
      <c r="G4515" t="n">
        <v>2.7</v>
      </c>
      <c r="H4515" t="n">
        <v>0</v>
      </c>
      <c r="I4515" t="n">
        <v>0</v>
      </c>
      <c r="J4515" t="n">
        <v>0</v>
      </c>
      <c r="K4515" t="n">
        <v>0</v>
      </c>
      <c r="L4515" t="n">
        <v>0</v>
      </c>
      <c r="M4515" t="n">
        <v>0</v>
      </c>
      <c r="N4515" t="n">
        <v>0</v>
      </c>
      <c r="O4515" t="n">
        <v>0</v>
      </c>
      <c r="P4515" t="n">
        <v>0</v>
      </c>
      <c r="Q4515" t="n">
        <v>0</v>
      </c>
      <c r="R4515" s="2" t="inlineStr"/>
    </row>
    <row r="4516" ht="15" customHeight="1">
      <c r="A4516" t="inlineStr">
        <is>
          <t>A 25208-2021</t>
        </is>
      </c>
      <c r="B4516" s="1" t="n">
        <v>44342</v>
      </c>
      <c r="C4516" s="1" t="n">
        <v>45810</v>
      </c>
      <c r="D4516" t="inlineStr">
        <is>
          <t>VÄRMLANDS LÄN</t>
        </is>
      </c>
      <c r="E4516" t="inlineStr">
        <is>
          <t>KRISTINEHAMN</t>
        </is>
      </c>
      <c r="F4516" t="inlineStr">
        <is>
          <t>Sveaskog</t>
        </is>
      </c>
      <c r="G4516" t="n">
        <v>5.2</v>
      </c>
      <c r="H4516" t="n">
        <v>0</v>
      </c>
      <c r="I4516" t="n">
        <v>0</v>
      </c>
      <c r="J4516" t="n">
        <v>0</v>
      </c>
      <c r="K4516" t="n">
        <v>0</v>
      </c>
      <c r="L4516" t="n">
        <v>0</v>
      </c>
      <c r="M4516" t="n">
        <v>0</v>
      </c>
      <c r="N4516" t="n">
        <v>0</v>
      </c>
      <c r="O4516" t="n">
        <v>0</v>
      </c>
      <c r="P4516" t="n">
        <v>0</v>
      </c>
      <c r="Q4516" t="n">
        <v>0</v>
      </c>
      <c r="R4516" s="2" t="inlineStr"/>
    </row>
    <row r="4517" ht="15" customHeight="1">
      <c r="A4517" t="inlineStr">
        <is>
          <t>A 25248-2021</t>
        </is>
      </c>
      <c r="B4517" s="1" t="n">
        <v>44342</v>
      </c>
      <c r="C4517" s="1" t="n">
        <v>45810</v>
      </c>
      <c r="D4517" t="inlineStr">
        <is>
          <t>VÄRMLANDS LÄN</t>
        </is>
      </c>
      <c r="E4517" t="inlineStr">
        <is>
          <t>KARLSTAD</t>
        </is>
      </c>
      <c r="G4517" t="n">
        <v>2.3</v>
      </c>
      <c r="H4517" t="n">
        <v>0</v>
      </c>
      <c r="I4517" t="n">
        <v>0</v>
      </c>
      <c r="J4517" t="n">
        <v>0</v>
      </c>
      <c r="K4517" t="n">
        <v>0</v>
      </c>
      <c r="L4517" t="n">
        <v>0</v>
      </c>
      <c r="M4517" t="n">
        <v>0</v>
      </c>
      <c r="N4517" t="n">
        <v>0</v>
      </c>
      <c r="O4517" t="n">
        <v>0</v>
      </c>
      <c r="P4517" t="n">
        <v>0</v>
      </c>
      <c r="Q4517" t="n">
        <v>0</v>
      </c>
      <c r="R4517" s="2" t="inlineStr"/>
    </row>
    <row r="4518" ht="15" customHeight="1">
      <c r="A4518" t="inlineStr">
        <is>
          <t>A 25207-2021</t>
        </is>
      </c>
      <c r="B4518" s="1" t="n">
        <v>44342</v>
      </c>
      <c r="C4518" s="1" t="n">
        <v>45810</v>
      </c>
      <c r="D4518" t="inlineStr">
        <is>
          <t>VÄRMLANDS LÄN</t>
        </is>
      </c>
      <c r="E4518" t="inlineStr">
        <is>
          <t>KRISTINEHAMN</t>
        </is>
      </c>
      <c r="F4518" t="inlineStr">
        <is>
          <t>Sveaskog</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25247-2021</t>
        </is>
      </c>
      <c r="B4519" s="1" t="n">
        <v>44342</v>
      </c>
      <c r="C4519" s="1" t="n">
        <v>45810</v>
      </c>
      <c r="D4519" t="inlineStr">
        <is>
          <t>VÄRMLANDS LÄN</t>
        </is>
      </c>
      <c r="E4519" t="inlineStr">
        <is>
          <t>TORSBY</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25399-2021</t>
        </is>
      </c>
      <c r="B4520" s="1" t="n">
        <v>44342</v>
      </c>
      <c r="C4520" s="1" t="n">
        <v>45810</v>
      </c>
      <c r="D4520" t="inlineStr">
        <is>
          <t>VÄRMLANDS LÄN</t>
        </is>
      </c>
      <c r="E4520" t="inlineStr">
        <is>
          <t>GRUMS</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25454-2021</t>
        </is>
      </c>
      <c r="B4521" s="1" t="n">
        <v>44342</v>
      </c>
      <c r="C4521" s="1" t="n">
        <v>45810</v>
      </c>
      <c r="D4521" t="inlineStr">
        <is>
          <t>VÄRMLANDS LÄN</t>
        </is>
      </c>
      <c r="E4521" t="inlineStr">
        <is>
          <t>ARVIKA</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25544-2021</t>
        </is>
      </c>
      <c r="B4522" s="1" t="n">
        <v>44342</v>
      </c>
      <c r="C4522" s="1" t="n">
        <v>45810</v>
      </c>
      <c r="D4522" t="inlineStr">
        <is>
          <t>VÄRMLANDS LÄN</t>
        </is>
      </c>
      <c r="E4522" t="inlineStr">
        <is>
          <t>ARVIKA</t>
        </is>
      </c>
      <c r="G4522" t="n">
        <v>5.3</v>
      </c>
      <c r="H4522" t="n">
        <v>0</v>
      </c>
      <c r="I4522" t="n">
        <v>0</v>
      </c>
      <c r="J4522" t="n">
        <v>0</v>
      </c>
      <c r="K4522" t="n">
        <v>0</v>
      </c>
      <c r="L4522" t="n">
        <v>0</v>
      </c>
      <c r="M4522" t="n">
        <v>0</v>
      </c>
      <c r="N4522" t="n">
        <v>0</v>
      </c>
      <c r="O4522" t="n">
        <v>0</v>
      </c>
      <c r="P4522" t="n">
        <v>0</v>
      </c>
      <c r="Q4522" t="n">
        <v>0</v>
      </c>
      <c r="R4522" s="2" t="inlineStr"/>
    </row>
    <row r="4523" ht="15" customHeight="1">
      <c r="A4523" t="inlineStr">
        <is>
          <t>A 25580-2021</t>
        </is>
      </c>
      <c r="B4523" s="1" t="n">
        <v>44343</v>
      </c>
      <c r="C4523" s="1" t="n">
        <v>45810</v>
      </c>
      <c r="D4523" t="inlineStr">
        <is>
          <t>VÄRMLANDS LÄN</t>
        </is>
      </c>
      <c r="E4523" t="inlineStr">
        <is>
          <t>SÄFFLE</t>
        </is>
      </c>
      <c r="G4523" t="n">
        <v>2.9</v>
      </c>
      <c r="H4523" t="n">
        <v>0</v>
      </c>
      <c r="I4523" t="n">
        <v>0</v>
      </c>
      <c r="J4523" t="n">
        <v>0</v>
      </c>
      <c r="K4523" t="n">
        <v>0</v>
      </c>
      <c r="L4523" t="n">
        <v>0</v>
      </c>
      <c r="M4523" t="n">
        <v>0</v>
      </c>
      <c r="N4523" t="n">
        <v>0</v>
      </c>
      <c r="O4523" t="n">
        <v>0</v>
      </c>
      <c r="P4523" t="n">
        <v>0</v>
      </c>
      <c r="Q4523" t="n">
        <v>0</v>
      </c>
      <c r="R4523" s="2" t="inlineStr"/>
    </row>
    <row r="4524" ht="15" customHeight="1">
      <c r="A4524" t="inlineStr">
        <is>
          <t>A 25605-2021</t>
        </is>
      </c>
      <c r="B4524" s="1" t="n">
        <v>44343</v>
      </c>
      <c r="C4524" s="1" t="n">
        <v>45810</v>
      </c>
      <c r="D4524" t="inlineStr">
        <is>
          <t>VÄRMLANDS LÄN</t>
        </is>
      </c>
      <c r="E4524" t="inlineStr">
        <is>
          <t>SUNNE</t>
        </is>
      </c>
      <c r="G4524" t="n">
        <v>3.7</v>
      </c>
      <c r="H4524" t="n">
        <v>0</v>
      </c>
      <c r="I4524" t="n">
        <v>0</v>
      </c>
      <c r="J4524" t="n">
        <v>0</v>
      </c>
      <c r="K4524" t="n">
        <v>0</v>
      </c>
      <c r="L4524" t="n">
        <v>0</v>
      </c>
      <c r="M4524" t="n">
        <v>0</v>
      </c>
      <c r="N4524" t="n">
        <v>0</v>
      </c>
      <c r="O4524" t="n">
        <v>0</v>
      </c>
      <c r="P4524" t="n">
        <v>0</v>
      </c>
      <c r="Q4524" t="n">
        <v>0</v>
      </c>
      <c r="R4524" s="2" t="inlineStr"/>
    </row>
    <row r="4525" ht="15" customHeight="1">
      <c r="A4525" t="inlineStr">
        <is>
          <t>A 25796-2021</t>
        </is>
      </c>
      <c r="B4525" s="1" t="n">
        <v>44343</v>
      </c>
      <c r="C4525" s="1" t="n">
        <v>45810</v>
      </c>
      <c r="D4525" t="inlineStr">
        <is>
          <t>VÄRMLANDS LÄN</t>
        </is>
      </c>
      <c r="E4525" t="inlineStr">
        <is>
          <t>SUNNE</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25797-2021</t>
        </is>
      </c>
      <c r="B4526" s="1" t="n">
        <v>44343</v>
      </c>
      <c r="C4526" s="1" t="n">
        <v>45810</v>
      </c>
      <c r="D4526" t="inlineStr">
        <is>
          <t>VÄRMLANDS LÄN</t>
        </is>
      </c>
      <c r="E4526" t="inlineStr">
        <is>
          <t>SUNNE</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25770-2021</t>
        </is>
      </c>
      <c r="B4527" s="1" t="n">
        <v>44343</v>
      </c>
      <c r="C4527" s="1" t="n">
        <v>45810</v>
      </c>
      <c r="D4527" t="inlineStr">
        <is>
          <t>VÄRMLANDS LÄN</t>
        </is>
      </c>
      <c r="E4527" t="inlineStr">
        <is>
          <t>HAGFORS</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25792-2021</t>
        </is>
      </c>
      <c r="B4528" s="1" t="n">
        <v>44343</v>
      </c>
      <c r="C4528" s="1" t="n">
        <v>45810</v>
      </c>
      <c r="D4528" t="inlineStr">
        <is>
          <t>VÄRMLANDS LÄN</t>
        </is>
      </c>
      <c r="E4528" t="inlineStr">
        <is>
          <t>SUNNE</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25850-2021</t>
        </is>
      </c>
      <c r="B4529" s="1" t="n">
        <v>44344</v>
      </c>
      <c r="C4529" s="1" t="n">
        <v>45810</v>
      </c>
      <c r="D4529" t="inlineStr">
        <is>
          <t>VÄRMLANDS LÄN</t>
        </is>
      </c>
      <c r="E4529" t="inlineStr">
        <is>
          <t>SÄFFLE</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25920-2021</t>
        </is>
      </c>
      <c r="B4530" s="1" t="n">
        <v>44344</v>
      </c>
      <c r="C4530" s="1" t="n">
        <v>45810</v>
      </c>
      <c r="D4530" t="inlineStr">
        <is>
          <t>VÄRMLANDS LÄN</t>
        </is>
      </c>
      <c r="E4530" t="inlineStr">
        <is>
          <t>TORSBY</t>
        </is>
      </c>
      <c r="G4530" t="n">
        <v>1.8</v>
      </c>
      <c r="H4530" t="n">
        <v>0</v>
      </c>
      <c r="I4530" t="n">
        <v>0</v>
      </c>
      <c r="J4530" t="n">
        <v>0</v>
      </c>
      <c r="K4530" t="n">
        <v>0</v>
      </c>
      <c r="L4530" t="n">
        <v>0</v>
      </c>
      <c r="M4530" t="n">
        <v>0</v>
      </c>
      <c r="N4530" t="n">
        <v>0</v>
      </c>
      <c r="O4530" t="n">
        <v>0</v>
      </c>
      <c r="P4530" t="n">
        <v>0</v>
      </c>
      <c r="Q4530" t="n">
        <v>0</v>
      </c>
      <c r="R4530" s="2" t="inlineStr"/>
    </row>
    <row r="4531" ht="15" customHeight="1">
      <c r="A4531" t="inlineStr">
        <is>
          <t>A 25846-2021</t>
        </is>
      </c>
      <c r="B4531" s="1" t="n">
        <v>44344</v>
      </c>
      <c r="C4531" s="1" t="n">
        <v>45810</v>
      </c>
      <c r="D4531" t="inlineStr">
        <is>
          <t>VÄRMLANDS LÄN</t>
        </is>
      </c>
      <c r="E4531" t="inlineStr">
        <is>
          <t>SÄFFLE</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26082-2021</t>
        </is>
      </c>
      <c r="B4532" s="1" t="n">
        <v>44344</v>
      </c>
      <c r="C4532" s="1" t="n">
        <v>45810</v>
      </c>
      <c r="D4532" t="inlineStr">
        <is>
          <t>VÄRMLANDS LÄN</t>
        </is>
      </c>
      <c r="E4532" t="inlineStr">
        <is>
          <t>TORSBY</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26211-2021</t>
        </is>
      </c>
      <c r="B4533" s="1" t="n">
        <v>44347</v>
      </c>
      <c r="C4533" s="1" t="n">
        <v>45810</v>
      </c>
      <c r="D4533" t="inlineStr">
        <is>
          <t>VÄRMLANDS LÄN</t>
        </is>
      </c>
      <c r="E4533" t="inlineStr">
        <is>
          <t>ÅRJÄNG</t>
        </is>
      </c>
      <c r="G4533" t="n">
        <v>2.8</v>
      </c>
      <c r="H4533" t="n">
        <v>0</v>
      </c>
      <c r="I4533" t="n">
        <v>0</v>
      </c>
      <c r="J4533" t="n">
        <v>0</v>
      </c>
      <c r="K4533" t="n">
        <v>0</v>
      </c>
      <c r="L4533" t="n">
        <v>0</v>
      </c>
      <c r="M4533" t="n">
        <v>0</v>
      </c>
      <c r="N4533" t="n">
        <v>0</v>
      </c>
      <c r="O4533" t="n">
        <v>0</v>
      </c>
      <c r="P4533" t="n">
        <v>0</v>
      </c>
      <c r="Q4533" t="n">
        <v>0</v>
      </c>
      <c r="R4533" s="2" t="inlineStr"/>
    </row>
    <row r="4534" ht="15" customHeight="1">
      <c r="A4534" t="inlineStr">
        <is>
          <t>A 26223-2021</t>
        </is>
      </c>
      <c r="B4534" s="1" t="n">
        <v>44347</v>
      </c>
      <c r="C4534" s="1" t="n">
        <v>45810</v>
      </c>
      <c r="D4534" t="inlineStr">
        <is>
          <t>VÄRMLANDS LÄN</t>
        </is>
      </c>
      <c r="E4534" t="inlineStr">
        <is>
          <t>TORSBY</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26358-2021</t>
        </is>
      </c>
      <c r="B4535" s="1" t="n">
        <v>44347</v>
      </c>
      <c r="C4535" s="1" t="n">
        <v>45810</v>
      </c>
      <c r="D4535" t="inlineStr">
        <is>
          <t>VÄRMLANDS LÄN</t>
        </is>
      </c>
      <c r="E4535" t="inlineStr">
        <is>
          <t>SÄFFLE</t>
        </is>
      </c>
      <c r="G4535" t="n">
        <v>2.6</v>
      </c>
      <c r="H4535" t="n">
        <v>0</v>
      </c>
      <c r="I4535" t="n">
        <v>0</v>
      </c>
      <c r="J4535" t="n">
        <v>0</v>
      </c>
      <c r="K4535" t="n">
        <v>0</v>
      </c>
      <c r="L4535" t="n">
        <v>0</v>
      </c>
      <c r="M4535" t="n">
        <v>0</v>
      </c>
      <c r="N4535" t="n">
        <v>0</v>
      </c>
      <c r="O4535" t="n">
        <v>0</v>
      </c>
      <c r="P4535" t="n">
        <v>0</v>
      </c>
      <c r="Q4535" t="n">
        <v>0</v>
      </c>
      <c r="R4535" s="2" t="inlineStr"/>
    </row>
    <row r="4536" ht="15" customHeight="1">
      <c r="A4536" t="inlineStr">
        <is>
          <t>A 26284-2021</t>
        </is>
      </c>
      <c r="B4536" s="1" t="n">
        <v>44347</v>
      </c>
      <c r="C4536" s="1" t="n">
        <v>45810</v>
      </c>
      <c r="D4536" t="inlineStr">
        <is>
          <t>VÄRMLANDS LÄN</t>
        </is>
      </c>
      <c r="E4536" t="inlineStr">
        <is>
          <t>ÅRJÄNG</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26353-2021</t>
        </is>
      </c>
      <c r="B4537" s="1" t="n">
        <v>44347</v>
      </c>
      <c r="C4537" s="1" t="n">
        <v>45810</v>
      </c>
      <c r="D4537" t="inlineStr">
        <is>
          <t>VÄRMLANDS LÄN</t>
        </is>
      </c>
      <c r="E4537" t="inlineStr">
        <is>
          <t>SÄFFLE</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26300-2021</t>
        </is>
      </c>
      <c r="B4538" s="1" t="n">
        <v>44347</v>
      </c>
      <c r="C4538" s="1" t="n">
        <v>45810</v>
      </c>
      <c r="D4538" t="inlineStr">
        <is>
          <t>VÄRMLANDS LÄN</t>
        </is>
      </c>
      <c r="E4538" t="inlineStr">
        <is>
          <t>SUNNE</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26317-2021</t>
        </is>
      </c>
      <c r="B4539" s="1" t="n">
        <v>44347</v>
      </c>
      <c r="C4539" s="1" t="n">
        <v>45810</v>
      </c>
      <c r="D4539" t="inlineStr">
        <is>
          <t>VÄRMLANDS LÄN</t>
        </is>
      </c>
      <c r="E4539" t="inlineStr">
        <is>
          <t>KRISTINEHAMN</t>
        </is>
      </c>
      <c r="G4539" t="n">
        <v>3.2</v>
      </c>
      <c r="H4539" t="n">
        <v>0</v>
      </c>
      <c r="I4539" t="n">
        <v>0</v>
      </c>
      <c r="J4539" t="n">
        <v>0</v>
      </c>
      <c r="K4539" t="n">
        <v>0</v>
      </c>
      <c r="L4539" t="n">
        <v>0</v>
      </c>
      <c r="M4539" t="n">
        <v>0</v>
      </c>
      <c r="N4539" t="n">
        <v>0</v>
      </c>
      <c r="O4539" t="n">
        <v>0</v>
      </c>
      <c r="P4539" t="n">
        <v>0</v>
      </c>
      <c r="Q4539" t="n">
        <v>0</v>
      </c>
      <c r="R4539" s="2" t="inlineStr"/>
    </row>
    <row r="4540" ht="15" customHeight="1">
      <c r="A4540" t="inlineStr">
        <is>
          <t>A 26377-2021</t>
        </is>
      </c>
      <c r="B4540" s="1" t="n">
        <v>44347</v>
      </c>
      <c r="C4540" s="1" t="n">
        <v>45810</v>
      </c>
      <c r="D4540" t="inlineStr">
        <is>
          <t>VÄRMLANDS LÄN</t>
        </is>
      </c>
      <c r="E4540" t="inlineStr">
        <is>
          <t>FILIPSTAD</t>
        </is>
      </c>
      <c r="F4540" t="inlineStr">
        <is>
          <t>Bergvik skog väst AB</t>
        </is>
      </c>
      <c r="G4540" t="n">
        <v>25.9</v>
      </c>
      <c r="H4540" t="n">
        <v>0</v>
      </c>
      <c r="I4540" t="n">
        <v>0</v>
      </c>
      <c r="J4540" t="n">
        <v>0</v>
      </c>
      <c r="K4540" t="n">
        <v>0</v>
      </c>
      <c r="L4540" t="n">
        <v>0</v>
      </c>
      <c r="M4540" t="n">
        <v>0</v>
      </c>
      <c r="N4540" t="n">
        <v>0</v>
      </c>
      <c r="O4540" t="n">
        <v>0</v>
      </c>
      <c r="P4540" t="n">
        <v>0</v>
      </c>
      <c r="Q4540" t="n">
        <v>0</v>
      </c>
      <c r="R4540" s="2" t="inlineStr"/>
    </row>
    <row r="4541" ht="15" customHeight="1">
      <c r="A4541" t="inlineStr">
        <is>
          <t>A 26427-2021</t>
        </is>
      </c>
      <c r="B4541" s="1" t="n">
        <v>44347</v>
      </c>
      <c r="C4541" s="1" t="n">
        <v>45810</v>
      </c>
      <c r="D4541" t="inlineStr">
        <is>
          <t>VÄRMLANDS LÄN</t>
        </is>
      </c>
      <c r="E4541" t="inlineStr">
        <is>
          <t>KRISTINEHAMN</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26558-2021</t>
        </is>
      </c>
      <c r="B4542" s="1" t="n">
        <v>44348</v>
      </c>
      <c r="C4542" s="1" t="n">
        <v>45810</v>
      </c>
      <c r="D4542" t="inlineStr">
        <is>
          <t>VÄRMLANDS LÄN</t>
        </is>
      </c>
      <c r="E4542" t="inlineStr">
        <is>
          <t>TORSBY</t>
        </is>
      </c>
      <c r="G4542" t="n">
        <v>19.7</v>
      </c>
      <c r="H4542" t="n">
        <v>0</v>
      </c>
      <c r="I4542" t="n">
        <v>0</v>
      </c>
      <c r="J4542" t="n">
        <v>0</v>
      </c>
      <c r="K4542" t="n">
        <v>0</v>
      </c>
      <c r="L4542" t="n">
        <v>0</v>
      </c>
      <c r="M4542" t="n">
        <v>0</v>
      </c>
      <c r="N4542" t="n">
        <v>0</v>
      </c>
      <c r="O4542" t="n">
        <v>0</v>
      </c>
      <c r="P4542" t="n">
        <v>0</v>
      </c>
      <c r="Q4542" t="n">
        <v>0</v>
      </c>
      <c r="R4542" s="2" t="inlineStr"/>
    </row>
    <row r="4543" ht="15" customHeight="1">
      <c r="A4543" t="inlineStr">
        <is>
          <t>A 26580-2021</t>
        </is>
      </c>
      <c r="B4543" s="1" t="n">
        <v>44348</v>
      </c>
      <c r="C4543" s="1" t="n">
        <v>45810</v>
      </c>
      <c r="D4543" t="inlineStr">
        <is>
          <t>VÄRMLANDS LÄN</t>
        </is>
      </c>
      <c r="E4543" t="inlineStr">
        <is>
          <t>SUNNE</t>
        </is>
      </c>
      <c r="G4543" t="n">
        <v>4.7</v>
      </c>
      <c r="H4543" t="n">
        <v>0</v>
      </c>
      <c r="I4543" t="n">
        <v>0</v>
      </c>
      <c r="J4543" t="n">
        <v>0</v>
      </c>
      <c r="K4543" t="n">
        <v>0</v>
      </c>
      <c r="L4543" t="n">
        <v>0</v>
      </c>
      <c r="M4543" t="n">
        <v>0</v>
      </c>
      <c r="N4543" t="n">
        <v>0</v>
      </c>
      <c r="O4543" t="n">
        <v>0</v>
      </c>
      <c r="P4543" t="n">
        <v>0</v>
      </c>
      <c r="Q4543" t="n">
        <v>0</v>
      </c>
      <c r="R4543" s="2" t="inlineStr"/>
    </row>
    <row r="4544" ht="15" customHeight="1">
      <c r="A4544" t="inlineStr">
        <is>
          <t>A 26645-2021</t>
        </is>
      </c>
      <c r="B4544" s="1" t="n">
        <v>44348</v>
      </c>
      <c r="C4544" s="1" t="n">
        <v>45810</v>
      </c>
      <c r="D4544" t="inlineStr">
        <is>
          <t>VÄRMLANDS LÄN</t>
        </is>
      </c>
      <c r="E4544" t="inlineStr">
        <is>
          <t>KIL</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27031-2021</t>
        </is>
      </c>
      <c r="B4545" s="1" t="n">
        <v>44350</v>
      </c>
      <c r="C4545" s="1" t="n">
        <v>45810</v>
      </c>
      <c r="D4545" t="inlineStr">
        <is>
          <t>VÄRMLANDS LÄN</t>
        </is>
      </c>
      <c r="E4545" t="inlineStr">
        <is>
          <t>EDA</t>
        </is>
      </c>
      <c r="G4545" t="n">
        <v>5.2</v>
      </c>
      <c r="H4545" t="n">
        <v>0</v>
      </c>
      <c r="I4545" t="n">
        <v>0</v>
      </c>
      <c r="J4545" t="n">
        <v>0</v>
      </c>
      <c r="K4545" t="n">
        <v>0</v>
      </c>
      <c r="L4545" t="n">
        <v>0</v>
      </c>
      <c r="M4545" t="n">
        <v>0</v>
      </c>
      <c r="N4545" t="n">
        <v>0</v>
      </c>
      <c r="O4545" t="n">
        <v>0</v>
      </c>
      <c r="P4545" t="n">
        <v>0</v>
      </c>
      <c r="Q4545" t="n">
        <v>0</v>
      </c>
      <c r="R4545" s="2" t="inlineStr"/>
    </row>
    <row r="4546" ht="15" customHeight="1">
      <c r="A4546" t="inlineStr">
        <is>
          <t>A 27162-2021</t>
        </is>
      </c>
      <c r="B4546" s="1" t="n">
        <v>44350</v>
      </c>
      <c r="C4546" s="1" t="n">
        <v>45810</v>
      </c>
      <c r="D4546" t="inlineStr">
        <is>
          <t>VÄRMLANDS LÄN</t>
        </is>
      </c>
      <c r="E4546" t="inlineStr">
        <is>
          <t>ARVIKA</t>
        </is>
      </c>
      <c r="F4546" t="inlineStr">
        <is>
          <t>Bergvik skog väst AB</t>
        </is>
      </c>
      <c r="G4546" t="n">
        <v>5.4</v>
      </c>
      <c r="H4546" t="n">
        <v>0</v>
      </c>
      <c r="I4546" t="n">
        <v>0</v>
      </c>
      <c r="J4546" t="n">
        <v>0</v>
      </c>
      <c r="K4546" t="n">
        <v>0</v>
      </c>
      <c r="L4546" t="n">
        <v>0</v>
      </c>
      <c r="M4546" t="n">
        <v>0</v>
      </c>
      <c r="N4546" t="n">
        <v>0</v>
      </c>
      <c r="O4546" t="n">
        <v>0</v>
      </c>
      <c r="P4546" t="n">
        <v>0</v>
      </c>
      <c r="Q4546" t="n">
        <v>0</v>
      </c>
      <c r="R4546" s="2" t="inlineStr"/>
    </row>
    <row r="4547" ht="15" customHeight="1">
      <c r="A4547" t="inlineStr">
        <is>
          <t>A 26999-2021</t>
        </is>
      </c>
      <c r="B4547" s="1" t="n">
        <v>44350</v>
      </c>
      <c r="C4547" s="1" t="n">
        <v>45810</v>
      </c>
      <c r="D4547" t="inlineStr">
        <is>
          <t>VÄRMLANDS LÄN</t>
        </is>
      </c>
      <c r="E4547" t="inlineStr">
        <is>
          <t>ARVIKA</t>
        </is>
      </c>
      <c r="G4547" t="n">
        <v>4.1</v>
      </c>
      <c r="H4547" t="n">
        <v>0</v>
      </c>
      <c r="I4547" t="n">
        <v>0</v>
      </c>
      <c r="J4547" t="n">
        <v>0</v>
      </c>
      <c r="K4547" t="n">
        <v>0</v>
      </c>
      <c r="L4547" t="n">
        <v>0</v>
      </c>
      <c r="M4547" t="n">
        <v>0</v>
      </c>
      <c r="N4547" t="n">
        <v>0</v>
      </c>
      <c r="O4547" t="n">
        <v>0</v>
      </c>
      <c r="P4547" t="n">
        <v>0</v>
      </c>
      <c r="Q4547" t="n">
        <v>0</v>
      </c>
      <c r="R4547" s="2" t="inlineStr"/>
    </row>
    <row r="4548" ht="15" customHeight="1">
      <c r="A4548" t="inlineStr">
        <is>
          <t>A 27001-2021</t>
        </is>
      </c>
      <c r="B4548" s="1" t="n">
        <v>44350</v>
      </c>
      <c r="C4548" s="1" t="n">
        <v>45810</v>
      </c>
      <c r="D4548" t="inlineStr">
        <is>
          <t>VÄRMLANDS LÄN</t>
        </is>
      </c>
      <c r="E4548" t="inlineStr">
        <is>
          <t>ÅRJÄNG</t>
        </is>
      </c>
      <c r="G4548" t="n">
        <v>3.7</v>
      </c>
      <c r="H4548" t="n">
        <v>0</v>
      </c>
      <c r="I4548" t="n">
        <v>0</v>
      </c>
      <c r="J4548" t="n">
        <v>0</v>
      </c>
      <c r="K4548" t="n">
        <v>0</v>
      </c>
      <c r="L4548" t="n">
        <v>0</v>
      </c>
      <c r="M4548" t="n">
        <v>0</v>
      </c>
      <c r="N4548" t="n">
        <v>0</v>
      </c>
      <c r="O4548" t="n">
        <v>0</v>
      </c>
      <c r="P4548" t="n">
        <v>0</v>
      </c>
      <c r="Q4548" t="n">
        <v>0</v>
      </c>
      <c r="R4548" s="2" t="inlineStr"/>
    </row>
    <row r="4549" ht="15" customHeight="1">
      <c r="A4549" t="inlineStr">
        <is>
          <t>A 27045-2021</t>
        </is>
      </c>
      <c r="B4549" s="1" t="n">
        <v>44350</v>
      </c>
      <c r="C4549" s="1" t="n">
        <v>45810</v>
      </c>
      <c r="D4549" t="inlineStr">
        <is>
          <t>VÄRMLANDS LÄN</t>
        </is>
      </c>
      <c r="E4549" t="inlineStr">
        <is>
          <t>ÅRJÄNG</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27224-2021</t>
        </is>
      </c>
      <c r="B4550" s="1" t="n">
        <v>44350</v>
      </c>
      <c r="C4550" s="1" t="n">
        <v>45810</v>
      </c>
      <c r="D4550" t="inlineStr">
        <is>
          <t>VÄRMLANDS LÄN</t>
        </is>
      </c>
      <c r="E4550" t="inlineStr">
        <is>
          <t>SUNNE</t>
        </is>
      </c>
      <c r="G4550" t="n">
        <v>3.4</v>
      </c>
      <c r="H4550" t="n">
        <v>0</v>
      </c>
      <c r="I4550" t="n">
        <v>0</v>
      </c>
      <c r="J4550" t="n">
        <v>0</v>
      </c>
      <c r="K4550" t="n">
        <v>0</v>
      </c>
      <c r="L4550" t="n">
        <v>0</v>
      </c>
      <c r="M4550" t="n">
        <v>0</v>
      </c>
      <c r="N4550" t="n">
        <v>0</v>
      </c>
      <c r="O4550" t="n">
        <v>0</v>
      </c>
      <c r="P4550" t="n">
        <v>0</v>
      </c>
      <c r="Q4550" t="n">
        <v>0</v>
      </c>
      <c r="R4550" s="2" t="inlineStr"/>
    </row>
    <row r="4551" ht="15" customHeight="1">
      <c r="A4551" t="inlineStr">
        <is>
          <t>A 27408-2021</t>
        </is>
      </c>
      <c r="B4551" s="1" t="n">
        <v>44351</v>
      </c>
      <c r="C4551" s="1" t="n">
        <v>45810</v>
      </c>
      <c r="D4551" t="inlineStr">
        <is>
          <t>VÄRMLANDS LÄN</t>
        </is>
      </c>
      <c r="E4551" t="inlineStr">
        <is>
          <t>SUNNE</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27446-2021</t>
        </is>
      </c>
      <c r="B4552" s="1" t="n">
        <v>44351</v>
      </c>
      <c r="C4552" s="1" t="n">
        <v>45810</v>
      </c>
      <c r="D4552" t="inlineStr">
        <is>
          <t>VÄRMLANDS LÄN</t>
        </is>
      </c>
      <c r="E4552" t="inlineStr">
        <is>
          <t>TORSBY</t>
        </is>
      </c>
      <c r="G4552" t="n">
        <v>7.6</v>
      </c>
      <c r="H4552" t="n">
        <v>0</v>
      </c>
      <c r="I4552" t="n">
        <v>0</v>
      </c>
      <c r="J4552" t="n">
        <v>0</v>
      </c>
      <c r="K4552" t="n">
        <v>0</v>
      </c>
      <c r="L4552" t="n">
        <v>0</v>
      </c>
      <c r="M4552" t="n">
        <v>0</v>
      </c>
      <c r="N4552" t="n">
        <v>0</v>
      </c>
      <c r="O4552" t="n">
        <v>0</v>
      </c>
      <c r="P4552" t="n">
        <v>0</v>
      </c>
      <c r="Q4552" t="n">
        <v>0</v>
      </c>
      <c r="R4552" s="2" t="inlineStr"/>
    </row>
    <row r="4553" ht="15" customHeight="1">
      <c r="A4553" t="inlineStr">
        <is>
          <t>A 27455-2021</t>
        </is>
      </c>
      <c r="B4553" s="1" t="n">
        <v>44351</v>
      </c>
      <c r="C4553" s="1" t="n">
        <v>45810</v>
      </c>
      <c r="D4553" t="inlineStr">
        <is>
          <t>VÄRMLANDS LÄN</t>
        </is>
      </c>
      <c r="E4553" t="inlineStr">
        <is>
          <t>HAGFORS</t>
        </is>
      </c>
      <c r="G4553" t="n">
        <v>3.5</v>
      </c>
      <c r="H4553" t="n">
        <v>0</v>
      </c>
      <c r="I4553" t="n">
        <v>0</v>
      </c>
      <c r="J4553" t="n">
        <v>0</v>
      </c>
      <c r="K4553" t="n">
        <v>0</v>
      </c>
      <c r="L4553" t="n">
        <v>0</v>
      </c>
      <c r="M4553" t="n">
        <v>0</v>
      </c>
      <c r="N4553" t="n">
        <v>0</v>
      </c>
      <c r="O4553" t="n">
        <v>0</v>
      </c>
      <c r="P4553" t="n">
        <v>0</v>
      </c>
      <c r="Q4553" t="n">
        <v>0</v>
      </c>
      <c r="R4553" s="2" t="inlineStr"/>
    </row>
    <row r="4554" ht="15" customHeight="1">
      <c r="A4554" t="inlineStr">
        <is>
          <t>A 27329-2021</t>
        </is>
      </c>
      <c r="B4554" s="1" t="n">
        <v>44351</v>
      </c>
      <c r="C4554" s="1" t="n">
        <v>45810</v>
      </c>
      <c r="D4554" t="inlineStr">
        <is>
          <t>VÄRMLANDS LÄN</t>
        </is>
      </c>
      <c r="E4554" t="inlineStr">
        <is>
          <t>ARVIKA</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27420-2021</t>
        </is>
      </c>
      <c r="B4555" s="1" t="n">
        <v>44351</v>
      </c>
      <c r="C4555" s="1" t="n">
        <v>45810</v>
      </c>
      <c r="D4555" t="inlineStr">
        <is>
          <t>VÄRMLANDS LÄN</t>
        </is>
      </c>
      <c r="E4555" t="inlineStr">
        <is>
          <t>KRISTINEHAMN</t>
        </is>
      </c>
      <c r="G4555" t="n">
        <v>12.5</v>
      </c>
      <c r="H4555" t="n">
        <v>0</v>
      </c>
      <c r="I4555" t="n">
        <v>0</v>
      </c>
      <c r="J4555" t="n">
        <v>0</v>
      </c>
      <c r="K4555" t="n">
        <v>0</v>
      </c>
      <c r="L4555" t="n">
        <v>0</v>
      </c>
      <c r="M4555" t="n">
        <v>0</v>
      </c>
      <c r="N4555" t="n">
        <v>0</v>
      </c>
      <c r="O4555" t="n">
        <v>0</v>
      </c>
      <c r="P4555" t="n">
        <v>0</v>
      </c>
      <c r="Q4555" t="n">
        <v>0</v>
      </c>
      <c r="R4555" s="2" t="inlineStr"/>
    </row>
    <row r="4556" ht="15" customHeight="1">
      <c r="A4556" t="inlineStr">
        <is>
          <t>A 27340-2021</t>
        </is>
      </c>
      <c r="B4556" s="1" t="n">
        <v>44351</v>
      </c>
      <c r="C4556" s="1" t="n">
        <v>45810</v>
      </c>
      <c r="D4556" t="inlineStr">
        <is>
          <t>VÄRMLANDS LÄN</t>
        </is>
      </c>
      <c r="E4556" t="inlineStr">
        <is>
          <t>SÄFFLE</t>
        </is>
      </c>
      <c r="G4556" t="n">
        <v>2.6</v>
      </c>
      <c r="H4556" t="n">
        <v>0</v>
      </c>
      <c r="I4556" t="n">
        <v>0</v>
      </c>
      <c r="J4556" t="n">
        <v>0</v>
      </c>
      <c r="K4556" t="n">
        <v>0</v>
      </c>
      <c r="L4556" t="n">
        <v>0</v>
      </c>
      <c r="M4556" t="n">
        <v>0</v>
      </c>
      <c r="N4556" t="n">
        <v>0</v>
      </c>
      <c r="O4556" t="n">
        <v>0</v>
      </c>
      <c r="P4556" t="n">
        <v>0</v>
      </c>
      <c r="Q4556" t="n">
        <v>0</v>
      </c>
      <c r="R4556" s="2" t="inlineStr"/>
    </row>
    <row r="4557" ht="15" customHeight="1">
      <c r="A4557" t="inlineStr">
        <is>
          <t>A 27411-2021</t>
        </is>
      </c>
      <c r="B4557" s="1" t="n">
        <v>44351</v>
      </c>
      <c r="C4557" s="1" t="n">
        <v>45810</v>
      </c>
      <c r="D4557" t="inlineStr">
        <is>
          <t>VÄRMLANDS LÄN</t>
        </is>
      </c>
      <c r="E4557" t="inlineStr">
        <is>
          <t>TORSBY</t>
        </is>
      </c>
      <c r="G4557" t="n">
        <v>2.5</v>
      </c>
      <c r="H4557" t="n">
        <v>0</v>
      </c>
      <c r="I4557" t="n">
        <v>0</v>
      </c>
      <c r="J4557" t="n">
        <v>0</v>
      </c>
      <c r="K4557" t="n">
        <v>0</v>
      </c>
      <c r="L4557" t="n">
        <v>0</v>
      </c>
      <c r="M4557" t="n">
        <v>0</v>
      </c>
      <c r="N4557" t="n">
        <v>0</v>
      </c>
      <c r="O4557" t="n">
        <v>0</v>
      </c>
      <c r="P4557" t="n">
        <v>0</v>
      </c>
      <c r="Q4557" t="n">
        <v>0</v>
      </c>
      <c r="R4557" s="2" t="inlineStr"/>
    </row>
    <row r="4558" ht="15" customHeight="1">
      <c r="A4558" t="inlineStr">
        <is>
          <t>A 27362-2021</t>
        </is>
      </c>
      <c r="B4558" s="1" t="n">
        <v>44351</v>
      </c>
      <c r="C4558" s="1" t="n">
        <v>45810</v>
      </c>
      <c r="D4558" t="inlineStr">
        <is>
          <t>VÄRMLANDS LÄN</t>
        </is>
      </c>
      <c r="E4558" t="inlineStr">
        <is>
          <t>TORSBY</t>
        </is>
      </c>
      <c r="G4558" t="n">
        <v>2.9</v>
      </c>
      <c r="H4558" t="n">
        <v>0</v>
      </c>
      <c r="I4558" t="n">
        <v>0</v>
      </c>
      <c r="J4558" t="n">
        <v>0</v>
      </c>
      <c r="K4558" t="n">
        <v>0</v>
      </c>
      <c r="L4558" t="n">
        <v>0</v>
      </c>
      <c r="M4558" t="n">
        <v>0</v>
      </c>
      <c r="N4558" t="n">
        <v>0</v>
      </c>
      <c r="O4558" t="n">
        <v>0</v>
      </c>
      <c r="P4558" t="n">
        <v>0</v>
      </c>
      <c r="Q4558" t="n">
        <v>0</v>
      </c>
      <c r="R4558" s="2" t="inlineStr"/>
    </row>
    <row r="4559" ht="15" customHeight="1">
      <c r="A4559" t="inlineStr">
        <is>
          <t>A 27300-2021</t>
        </is>
      </c>
      <c r="B4559" s="1" t="n">
        <v>44351</v>
      </c>
      <c r="C4559" s="1" t="n">
        <v>45810</v>
      </c>
      <c r="D4559" t="inlineStr">
        <is>
          <t>VÄRMLANDS LÄN</t>
        </is>
      </c>
      <c r="E4559" t="inlineStr">
        <is>
          <t>EDA</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27641-2021</t>
        </is>
      </c>
      <c r="B4560" s="1" t="n">
        <v>44354</v>
      </c>
      <c r="C4560" s="1" t="n">
        <v>45810</v>
      </c>
      <c r="D4560" t="inlineStr">
        <is>
          <t>VÄRMLANDS LÄN</t>
        </is>
      </c>
      <c r="E4560" t="inlineStr">
        <is>
          <t>SÄFFLE</t>
        </is>
      </c>
      <c r="G4560" t="n">
        <v>3.8</v>
      </c>
      <c r="H4560" t="n">
        <v>0</v>
      </c>
      <c r="I4560" t="n">
        <v>0</v>
      </c>
      <c r="J4560" t="n">
        <v>0</v>
      </c>
      <c r="K4560" t="n">
        <v>0</v>
      </c>
      <c r="L4560" t="n">
        <v>0</v>
      </c>
      <c r="M4560" t="n">
        <v>0</v>
      </c>
      <c r="N4560" t="n">
        <v>0</v>
      </c>
      <c r="O4560" t="n">
        <v>0</v>
      </c>
      <c r="P4560" t="n">
        <v>0</v>
      </c>
      <c r="Q4560" t="n">
        <v>0</v>
      </c>
      <c r="R4560" s="2" t="inlineStr"/>
    </row>
    <row r="4561" ht="15" customHeight="1">
      <c r="A4561" t="inlineStr">
        <is>
          <t>A 27670-2021</t>
        </is>
      </c>
      <c r="B4561" s="1" t="n">
        <v>44354</v>
      </c>
      <c r="C4561" s="1" t="n">
        <v>45810</v>
      </c>
      <c r="D4561" t="inlineStr">
        <is>
          <t>VÄRMLANDS LÄN</t>
        </is>
      </c>
      <c r="E4561" t="inlineStr">
        <is>
          <t>KARLSTAD</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27688-2021</t>
        </is>
      </c>
      <c r="B4562" s="1" t="n">
        <v>44354</v>
      </c>
      <c r="C4562" s="1" t="n">
        <v>45810</v>
      </c>
      <c r="D4562" t="inlineStr">
        <is>
          <t>VÄRMLANDS LÄN</t>
        </is>
      </c>
      <c r="E4562" t="inlineStr">
        <is>
          <t>KARLSTAD</t>
        </is>
      </c>
      <c r="G4562" t="n">
        <v>5</v>
      </c>
      <c r="H4562" t="n">
        <v>0</v>
      </c>
      <c r="I4562" t="n">
        <v>0</v>
      </c>
      <c r="J4562" t="n">
        <v>0</v>
      </c>
      <c r="K4562" t="n">
        <v>0</v>
      </c>
      <c r="L4562" t="n">
        <v>0</v>
      </c>
      <c r="M4562" t="n">
        <v>0</v>
      </c>
      <c r="N4562" t="n">
        <v>0</v>
      </c>
      <c r="O4562" t="n">
        <v>0</v>
      </c>
      <c r="P4562" t="n">
        <v>0</v>
      </c>
      <c r="Q4562" t="n">
        <v>0</v>
      </c>
      <c r="R4562" s="2" t="inlineStr"/>
    </row>
    <row r="4563" ht="15" customHeight="1">
      <c r="A4563" t="inlineStr">
        <is>
          <t>A 27745-2021</t>
        </is>
      </c>
      <c r="B4563" s="1" t="n">
        <v>44354</v>
      </c>
      <c r="C4563" s="1" t="n">
        <v>45810</v>
      </c>
      <c r="D4563" t="inlineStr">
        <is>
          <t>VÄRMLANDS LÄN</t>
        </is>
      </c>
      <c r="E4563" t="inlineStr">
        <is>
          <t>ÅRJÄNG</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27815-2021</t>
        </is>
      </c>
      <c r="B4564" s="1" t="n">
        <v>44354</v>
      </c>
      <c r="C4564" s="1" t="n">
        <v>45810</v>
      </c>
      <c r="D4564" t="inlineStr">
        <is>
          <t>VÄRMLANDS LÄN</t>
        </is>
      </c>
      <c r="E4564" t="inlineStr">
        <is>
          <t>KRISTINEHAMN</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27836-2021</t>
        </is>
      </c>
      <c r="B4565" s="1" t="n">
        <v>44354</v>
      </c>
      <c r="C4565" s="1" t="n">
        <v>45810</v>
      </c>
      <c r="D4565" t="inlineStr">
        <is>
          <t>VÄRMLANDS LÄN</t>
        </is>
      </c>
      <c r="E4565" t="inlineStr">
        <is>
          <t>KRISTINEHAMN</t>
        </is>
      </c>
      <c r="G4565" t="n">
        <v>2.9</v>
      </c>
      <c r="H4565" t="n">
        <v>0</v>
      </c>
      <c r="I4565" t="n">
        <v>0</v>
      </c>
      <c r="J4565" t="n">
        <v>0</v>
      </c>
      <c r="K4565" t="n">
        <v>0</v>
      </c>
      <c r="L4565" t="n">
        <v>0</v>
      </c>
      <c r="M4565" t="n">
        <v>0</v>
      </c>
      <c r="N4565" t="n">
        <v>0</v>
      </c>
      <c r="O4565" t="n">
        <v>0</v>
      </c>
      <c r="P4565" t="n">
        <v>0</v>
      </c>
      <c r="Q4565" t="n">
        <v>0</v>
      </c>
      <c r="R4565" s="2" t="inlineStr"/>
    </row>
    <row r="4566" ht="15" customHeight="1">
      <c r="A4566" t="inlineStr">
        <is>
          <t>A 27871-2021</t>
        </is>
      </c>
      <c r="B4566" s="1" t="n">
        <v>44354</v>
      </c>
      <c r="C4566" s="1" t="n">
        <v>45810</v>
      </c>
      <c r="D4566" t="inlineStr">
        <is>
          <t>VÄRMLANDS LÄN</t>
        </is>
      </c>
      <c r="E4566" t="inlineStr">
        <is>
          <t>ÅRJÄNG</t>
        </is>
      </c>
      <c r="G4566" t="n">
        <v>2.3</v>
      </c>
      <c r="H4566" t="n">
        <v>0</v>
      </c>
      <c r="I4566" t="n">
        <v>0</v>
      </c>
      <c r="J4566" t="n">
        <v>0</v>
      </c>
      <c r="K4566" t="n">
        <v>0</v>
      </c>
      <c r="L4566" t="n">
        <v>0</v>
      </c>
      <c r="M4566" t="n">
        <v>0</v>
      </c>
      <c r="N4566" t="n">
        <v>0</v>
      </c>
      <c r="O4566" t="n">
        <v>0</v>
      </c>
      <c r="P4566" t="n">
        <v>0</v>
      </c>
      <c r="Q4566" t="n">
        <v>0</v>
      </c>
      <c r="R4566" s="2" t="inlineStr"/>
    </row>
    <row r="4567" ht="15" customHeight="1">
      <c r="A4567" t="inlineStr">
        <is>
          <t>A 27862-2021</t>
        </is>
      </c>
      <c r="B4567" s="1" t="n">
        <v>44354</v>
      </c>
      <c r="C4567" s="1" t="n">
        <v>45810</v>
      </c>
      <c r="D4567" t="inlineStr">
        <is>
          <t>VÄRMLANDS LÄN</t>
        </is>
      </c>
      <c r="E4567" t="inlineStr">
        <is>
          <t>ÅRJÄNG</t>
        </is>
      </c>
      <c r="G4567" t="n">
        <v>3.7</v>
      </c>
      <c r="H4567" t="n">
        <v>0</v>
      </c>
      <c r="I4567" t="n">
        <v>0</v>
      </c>
      <c r="J4567" t="n">
        <v>0</v>
      </c>
      <c r="K4567" t="n">
        <v>0</v>
      </c>
      <c r="L4567" t="n">
        <v>0</v>
      </c>
      <c r="M4567" t="n">
        <v>0</v>
      </c>
      <c r="N4567" t="n">
        <v>0</v>
      </c>
      <c r="O4567" t="n">
        <v>0</v>
      </c>
      <c r="P4567" t="n">
        <v>0</v>
      </c>
      <c r="Q4567" t="n">
        <v>0</v>
      </c>
      <c r="R4567" s="2" t="inlineStr"/>
    </row>
    <row r="4568" ht="15" customHeight="1">
      <c r="A4568" t="inlineStr">
        <is>
          <t>A 27932-2021</t>
        </is>
      </c>
      <c r="B4568" s="1" t="n">
        <v>44354</v>
      </c>
      <c r="C4568" s="1" t="n">
        <v>45810</v>
      </c>
      <c r="D4568" t="inlineStr">
        <is>
          <t>VÄRMLANDS LÄN</t>
        </is>
      </c>
      <c r="E4568" t="inlineStr">
        <is>
          <t>TORSBY</t>
        </is>
      </c>
      <c r="F4568" t="inlineStr">
        <is>
          <t>Bergvik skog väst AB</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28084-2021</t>
        </is>
      </c>
      <c r="B4569" s="1" t="n">
        <v>44355</v>
      </c>
      <c r="C4569" s="1" t="n">
        <v>45810</v>
      </c>
      <c r="D4569" t="inlineStr">
        <is>
          <t>VÄRMLANDS LÄN</t>
        </is>
      </c>
      <c r="E4569" t="inlineStr">
        <is>
          <t>KRISTINEHAMN</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28144-2021</t>
        </is>
      </c>
      <c r="B4570" s="1" t="n">
        <v>44355</v>
      </c>
      <c r="C4570" s="1" t="n">
        <v>45810</v>
      </c>
      <c r="D4570" t="inlineStr">
        <is>
          <t>VÄRMLANDS LÄN</t>
        </is>
      </c>
      <c r="E4570" t="inlineStr">
        <is>
          <t>SUNNE</t>
        </is>
      </c>
      <c r="G4570" t="n">
        <v>2.3</v>
      </c>
      <c r="H4570" t="n">
        <v>0</v>
      </c>
      <c r="I4570" t="n">
        <v>0</v>
      </c>
      <c r="J4570" t="n">
        <v>0</v>
      </c>
      <c r="K4570" t="n">
        <v>0</v>
      </c>
      <c r="L4570" t="n">
        <v>0</v>
      </c>
      <c r="M4570" t="n">
        <v>0</v>
      </c>
      <c r="N4570" t="n">
        <v>0</v>
      </c>
      <c r="O4570" t="n">
        <v>0</v>
      </c>
      <c r="P4570" t="n">
        <v>0</v>
      </c>
      <c r="Q4570" t="n">
        <v>0</v>
      </c>
      <c r="R4570" s="2" t="inlineStr"/>
    </row>
    <row r="4571" ht="15" customHeight="1">
      <c r="A4571" t="inlineStr">
        <is>
          <t>A 28351-2021</t>
        </is>
      </c>
      <c r="B4571" s="1" t="n">
        <v>44356</v>
      </c>
      <c r="C4571" s="1" t="n">
        <v>45810</v>
      </c>
      <c r="D4571" t="inlineStr">
        <is>
          <t>VÄRMLANDS LÄN</t>
        </is>
      </c>
      <c r="E4571" t="inlineStr">
        <is>
          <t>FILIPSTAD</t>
        </is>
      </c>
      <c r="F4571" t="inlineStr">
        <is>
          <t>Bergvik skog väst AB</t>
        </is>
      </c>
      <c r="G4571" t="n">
        <v>13.4</v>
      </c>
      <c r="H4571" t="n">
        <v>0</v>
      </c>
      <c r="I4571" t="n">
        <v>0</v>
      </c>
      <c r="J4571" t="n">
        <v>0</v>
      </c>
      <c r="K4571" t="n">
        <v>0</v>
      </c>
      <c r="L4571" t="n">
        <v>0</v>
      </c>
      <c r="M4571" t="n">
        <v>0</v>
      </c>
      <c r="N4571" t="n">
        <v>0</v>
      </c>
      <c r="O4571" t="n">
        <v>0</v>
      </c>
      <c r="P4571" t="n">
        <v>0</v>
      </c>
      <c r="Q4571" t="n">
        <v>0</v>
      </c>
      <c r="R4571" s="2" t="inlineStr"/>
    </row>
    <row r="4572" ht="15" customHeight="1">
      <c r="A4572" t="inlineStr">
        <is>
          <t>A 28352-2021</t>
        </is>
      </c>
      <c r="B4572" s="1" t="n">
        <v>44356</v>
      </c>
      <c r="C4572" s="1" t="n">
        <v>45810</v>
      </c>
      <c r="D4572" t="inlineStr">
        <is>
          <t>VÄRMLANDS LÄN</t>
        </is>
      </c>
      <c r="E4572" t="inlineStr">
        <is>
          <t>EDA</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28492-2021</t>
        </is>
      </c>
      <c r="B4573" s="1" t="n">
        <v>44356</v>
      </c>
      <c r="C4573" s="1" t="n">
        <v>45810</v>
      </c>
      <c r="D4573" t="inlineStr">
        <is>
          <t>VÄRMLANDS LÄN</t>
        </is>
      </c>
      <c r="E4573" t="inlineStr">
        <is>
          <t>SUNNE</t>
        </is>
      </c>
      <c r="G4573" t="n">
        <v>2.6</v>
      </c>
      <c r="H4573" t="n">
        <v>0</v>
      </c>
      <c r="I4573" t="n">
        <v>0</v>
      </c>
      <c r="J4573" t="n">
        <v>0</v>
      </c>
      <c r="K4573" t="n">
        <v>0</v>
      </c>
      <c r="L4573" t="n">
        <v>0</v>
      </c>
      <c r="M4573" t="n">
        <v>0</v>
      </c>
      <c r="N4573" t="n">
        <v>0</v>
      </c>
      <c r="O4573" t="n">
        <v>0</v>
      </c>
      <c r="P4573" t="n">
        <v>0</v>
      </c>
      <c r="Q4573" t="n">
        <v>0</v>
      </c>
      <c r="R4573" s="2" t="inlineStr"/>
    </row>
    <row r="4574" ht="15" customHeight="1">
      <c r="A4574" t="inlineStr">
        <is>
          <t>A 28529-2021</t>
        </is>
      </c>
      <c r="B4574" s="1" t="n">
        <v>44356</v>
      </c>
      <c r="C4574" s="1" t="n">
        <v>45810</v>
      </c>
      <c r="D4574" t="inlineStr">
        <is>
          <t>VÄRMLANDS LÄN</t>
        </is>
      </c>
      <c r="E4574" t="inlineStr">
        <is>
          <t>KRISTINEHAMN</t>
        </is>
      </c>
      <c r="G4574" t="n">
        <v>3.5</v>
      </c>
      <c r="H4574" t="n">
        <v>0</v>
      </c>
      <c r="I4574" t="n">
        <v>0</v>
      </c>
      <c r="J4574" t="n">
        <v>0</v>
      </c>
      <c r="K4574" t="n">
        <v>0</v>
      </c>
      <c r="L4574" t="n">
        <v>0</v>
      </c>
      <c r="M4574" t="n">
        <v>0</v>
      </c>
      <c r="N4574" t="n">
        <v>0</v>
      </c>
      <c r="O4574" t="n">
        <v>0</v>
      </c>
      <c r="P4574" t="n">
        <v>0</v>
      </c>
      <c r="Q4574" t="n">
        <v>0</v>
      </c>
      <c r="R4574" s="2" t="inlineStr"/>
    </row>
    <row r="4575" ht="15" customHeight="1">
      <c r="A4575" t="inlineStr">
        <is>
          <t>A 28559-2021</t>
        </is>
      </c>
      <c r="B4575" s="1" t="n">
        <v>44356</v>
      </c>
      <c r="C4575" s="1" t="n">
        <v>45810</v>
      </c>
      <c r="D4575" t="inlineStr">
        <is>
          <t>VÄRMLANDS LÄN</t>
        </is>
      </c>
      <c r="E4575" t="inlineStr">
        <is>
          <t>TORSBY</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28437-2021</t>
        </is>
      </c>
      <c r="B4576" s="1" t="n">
        <v>44356</v>
      </c>
      <c r="C4576" s="1" t="n">
        <v>45810</v>
      </c>
      <c r="D4576" t="inlineStr">
        <is>
          <t>VÄRMLANDS LÄN</t>
        </is>
      </c>
      <c r="E4576" t="inlineStr">
        <is>
          <t>ÅRJÄNG</t>
        </is>
      </c>
      <c r="G4576" t="n">
        <v>2.9</v>
      </c>
      <c r="H4576" t="n">
        <v>0</v>
      </c>
      <c r="I4576" t="n">
        <v>0</v>
      </c>
      <c r="J4576" t="n">
        <v>0</v>
      </c>
      <c r="K4576" t="n">
        <v>0</v>
      </c>
      <c r="L4576" t="n">
        <v>0</v>
      </c>
      <c r="M4576" t="n">
        <v>0</v>
      </c>
      <c r="N4576" t="n">
        <v>0</v>
      </c>
      <c r="O4576" t="n">
        <v>0</v>
      </c>
      <c r="P4576" t="n">
        <v>0</v>
      </c>
      <c r="Q4576" t="n">
        <v>0</v>
      </c>
      <c r="R4576" s="2" t="inlineStr"/>
    </row>
    <row r="4577" ht="15" customHeight="1">
      <c r="A4577" t="inlineStr">
        <is>
          <t>A 28471-2021</t>
        </is>
      </c>
      <c r="B4577" s="1" t="n">
        <v>44356</v>
      </c>
      <c r="C4577" s="1" t="n">
        <v>45810</v>
      </c>
      <c r="D4577" t="inlineStr">
        <is>
          <t>VÄRMLANDS LÄN</t>
        </is>
      </c>
      <c r="E4577" t="inlineStr">
        <is>
          <t>EDA</t>
        </is>
      </c>
      <c r="G4577" t="n">
        <v>3.5</v>
      </c>
      <c r="H4577" t="n">
        <v>0</v>
      </c>
      <c r="I4577" t="n">
        <v>0</v>
      </c>
      <c r="J4577" t="n">
        <v>0</v>
      </c>
      <c r="K4577" t="n">
        <v>0</v>
      </c>
      <c r="L4577" t="n">
        <v>0</v>
      </c>
      <c r="M4577" t="n">
        <v>0</v>
      </c>
      <c r="N4577" t="n">
        <v>0</v>
      </c>
      <c r="O4577" t="n">
        <v>0</v>
      </c>
      <c r="P4577" t="n">
        <v>0</v>
      </c>
      <c r="Q4577" t="n">
        <v>0</v>
      </c>
      <c r="R4577" s="2" t="inlineStr"/>
    </row>
    <row r="4578" ht="15" customHeight="1">
      <c r="A4578" t="inlineStr">
        <is>
          <t>A 28488-2021</t>
        </is>
      </c>
      <c r="B4578" s="1" t="n">
        <v>44356</v>
      </c>
      <c r="C4578" s="1" t="n">
        <v>45810</v>
      </c>
      <c r="D4578" t="inlineStr">
        <is>
          <t>VÄRMLANDS LÄN</t>
        </is>
      </c>
      <c r="E4578" t="inlineStr">
        <is>
          <t>SUNNE</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28402-2021</t>
        </is>
      </c>
      <c r="B4579" s="1" t="n">
        <v>44356</v>
      </c>
      <c r="C4579" s="1" t="n">
        <v>45810</v>
      </c>
      <c r="D4579" t="inlineStr">
        <is>
          <t>VÄRMLANDS LÄN</t>
        </is>
      </c>
      <c r="E4579" t="inlineStr">
        <is>
          <t>KARLSTAD</t>
        </is>
      </c>
      <c r="F4579" t="inlineStr">
        <is>
          <t>Kommuner</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28562-2021</t>
        </is>
      </c>
      <c r="B4580" s="1" t="n">
        <v>44356</v>
      </c>
      <c r="C4580" s="1" t="n">
        <v>45810</v>
      </c>
      <c r="D4580" t="inlineStr">
        <is>
          <t>VÄRMLANDS LÄN</t>
        </is>
      </c>
      <c r="E4580" t="inlineStr">
        <is>
          <t>TORSBY</t>
        </is>
      </c>
      <c r="G4580" t="n">
        <v>4.4</v>
      </c>
      <c r="H4580" t="n">
        <v>0</v>
      </c>
      <c r="I4580" t="n">
        <v>0</v>
      </c>
      <c r="J4580" t="n">
        <v>0</v>
      </c>
      <c r="K4580" t="n">
        <v>0</v>
      </c>
      <c r="L4580" t="n">
        <v>0</v>
      </c>
      <c r="M4580" t="n">
        <v>0</v>
      </c>
      <c r="N4580" t="n">
        <v>0</v>
      </c>
      <c r="O4580" t="n">
        <v>0</v>
      </c>
      <c r="P4580" t="n">
        <v>0</v>
      </c>
      <c r="Q4580" t="n">
        <v>0</v>
      </c>
      <c r="R4580" s="2" t="inlineStr"/>
    </row>
    <row r="4581" ht="15" customHeight="1">
      <c r="A4581" t="inlineStr">
        <is>
          <t>A 28703-2021</t>
        </is>
      </c>
      <c r="B4581" s="1" t="n">
        <v>44357</v>
      </c>
      <c r="C4581" s="1" t="n">
        <v>45810</v>
      </c>
      <c r="D4581" t="inlineStr">
        <is>
          <t>VÄRMLANDS LÄN</t>
        </is>
      </c>
      <c r="E4581" t="inlineStr">
        <is>
          <t>HAGFORS</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28655-2021</t>
        </is>
      </c>
      <c r="B4582" s="1" t="n">
        <v>44357</v>
      </c>
      <c r="C4582" s="1" t="n">
        <v>45810</v>
      </c>
      <c r="D4582" t="inlineStr">
        <is>
          <t>VÄRMLANDS LÄN</t>
        </is>
      </c>
      <c r="E4582" t="inlineStr">
        <is>
          <t>ARVIKA</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28730-2021</t>
        </is>
      </c>
      <c r="B4583" s="1" t="n">
        <v>44357</v>
      </c>
      <c r="C4583" s="1" t="n">
        <v>45810</v>
      </c>
      <c r="D4583" t="inlineStr">
        <is>
          <t>VÄRMLANDS LÄN</t>
        </is>
      </c>
      <c r="E4583" t="inlineStr">
        <is>
          <t>EDA</t>
        </is>
      </c>
      <c r="G4583" t="n">
        <v>2.4</v>
      </c>
      <c r="H4583" t="n">
        <v>0</v>
      </c>
      <c r="I4583" t="n">
        <v>0</v>
      </c>
      <c r="J4583" t="n">
        <v>0</v>
      </c>
      <c r="K4583" t="n">
        <v>0</v>
      </c>
      <c r="L4583" t="n">
        <v>0</v>
      </c>
      <c r="M4583" t="n">
        <v>0</v>
      </c>
      <c r="N4583" t="n">
        <v>0</v>
      </c>
      <c r="O4583" t="n">
        <v>0</v>
      </c>
      <c r="P4583" t="n">
        <v>0</v>
      </c>
      <c r="Q4583" t="n">
        <v>0</v>
      </c>
      <c r="R4583" s="2" t="inlineStr"/>
    </row>
    <row r="4584" ht="15" customHeight="1">
      <c r="A4584" t="inlineStr">
        <is>
          <t>A 28744-2021</t>
        </is>
      </c>
      <c r="B4584" s="1" t="n">
        <v>44357</v>
      </c>
      <c r="C4584" s="1" t="n">
        <v>45810</v>
      </c>
      <c r="D4584" t="inlineStr">
        <is>
          <t>VÄRMLANDS LÄN</t>
        </is>
      </c>
      <c r="E4584" t="inlineStr">
        <is>
          <t>EDA</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28819-2021</t>
        </is>
      </c>
      <c r="B4585" s="1" t="n">
        <v>44357</v>
      </c>
      <c r="C4585" s="1" t="n">
        <v>45810</v>
      </c>
      <c r="D4585" t="inlineStr">
        <is>
          <t>VÄRMLANDS LÄN</t>
        </is>
      </c>
      <c r="E4585" t="inlineStr">
        <is>
          <t>HAGFORS</t>
        </is>
      </c>
      <c r="F4585" t="inlineStr">
        <is>
          <t>Bergvik skog väst AB</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28725-2021</t>
        </is>
      </c>
      <c r="B4586" s="1" t="n">
        <v>44357</v>
      </c>
      <c r="C4586" s="1" t="n">
        <v>45810</v>
      </c>
      <c r="D4586" t="inlineStr">
        <is>
          <t>VÄRMLANDS LÄN</t>
        </is>
      </c>
      <c r="E4586" t="inlineStr">
        <is>
          <t>EDA</t>
        </is>
      </c>
      <c r="G4586" t="n">
        <v>6.3</v>
      </c>
      <c r="H4586" t="n">
        <v>0</v>
      </c>
      <c r="I4586" t="n">
        <v>0</v>
      </c>
      <c r="J4586" t="n">
        <v>0</v>
      </c>
      <c r="K4586" t="n">
        <v>0</v>
      </c>
      <c r="L4586" t="n">
        <v>0</v>
      </c>
      <c r="M4586" t="n">
        <v>0</v>
      </c>
      <c r="N4586" t="n">
        <v>0</v>
      </c>
      <c r="O4586" t="n">
        <v>0</v>
      </c>
      <c r="P4586" t="n">
        <v>0</v>
      </c>
      <c r="Q4586" t="n">
        <v>0</v>
      </c>
      <c r="R4586" s="2" t="inlineStr"/>
    </row>
    <row r="4587" ht="15" customHeight="1">
      <c r="A4587" t="inlineStr">
        <is>
          <t>A 28940-2021</t>
        </is>
      </c>
      <c r="B4587" s="1" t="n">
        <v>44358</v>
      </c>
      <c r="C4587" s="1" t="n">
        <v>45810</v>
      </c>
      <c r="D4587" t="inlineStr">
        <is>
          <t>VÄRMLANDS LÄN</t>
        </is>
      </c>
      <c r="E4587" t="inlineStr">
        <is>
          <t>TORSBY</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28968-2021</t>
        </is>
      </c>
      <c r="B4588" s="1" t="n">
        <v>44358</v>
      </c>
      <c r="C4588" s="1" t="n">
        <v>45810</v>
      </c>
      <c r="D4588" t="inlineStr">
        <is>
          <t>VÄRMLANDS LÄN</t>
        </is>
      </c>
      <c r="E4588" t="inlineStr">
        <is>
          <t>SUNNE</t>
        </is>
      </c>
      <c r="G4588" t="n">
        <v>16.6</v>
      </c>
      <c r="H4588" t="n">
        <v>0</v>
      </c>
      <c r="I4588" t="n">
        <v>0</v>
      </c>
      <c r="J4588" t="n">
        <v>0</v>
      </c>
      <c r="K4588" t="n">
        <v>0</v>
      </c>
      <c r="L4588" t="n">
        <v>0</v>
      </c>
      <c r="M4588" t="n">
        <v>0</v>
      </c>
      <c r="N4588" t="n">
        <v>0</v>
      </c>
      <c r="O4588" t="n">
        <v>0</v>
      </c>
      <c r="P4588" t="n">
        <v>0</v>
      </c>
      <c r="Q4588" t="n">
        <v>0</v>
      </c>
      <c r="R4588" s="2" t="inlineStr"/>
    </row>
    <row r="4589" ht="15" customHeight="1">
      <c r="A4589" t="inlineStr">
        <is>
          <t>A 28983-2021</t>
        </is>
      </c>
      <c r="B4589" s="1" t="n">
        <v>44358</v>
      </c>
      <c r="C4589" s="1" t="n">
        <v>45810</v>
      </c>
      <c r="D4589" t="inlineStr">
        <is>
          <t>VÄRMLANDS LÄN</t>
        </is>
      </c>
      <c r="E4589" t="inlineStr">
        <is>
          <t>KARLSTAD</t>
        </is>
      </c>
      <c r="G4589" t="n">
        <v>10.5</v>
      </c>
      <c r="H4589" t="n">
        <v>0</v>
      </c>
      <c r="I4589" t="n">
        <v>0</v>
      </c>
      <c r="J4589" t="n">
        <v>0</v>
      </c>
      <c r="K4589" t="n">
        <v>0</v>
      </c>
      <c r="L4589" t="n">
        <v>0</v>
      </c>
      <c r="M4589" t="n">
        <v>0</v>
      </c>
      <c r="N4589" t="n">
        <v>0</v>
      </c>
      <c r="O4589" t="n">
        <v>0</v>
      </c>
      <c r="P4589" t="n">
        <v>0</v>
      </c>
      <c r="Q4589" t="n">
        <v>0</v>
      </c>
      <c r="R4589" s="2" t="inlineStr"/>
    </row>
    <row r="4590" ht="15" customHeight="1">
      <c r="A4590" t="inlineStr">
        <is>
          <t>A 28991-2021</t>
        </is>
      </c>
      <c r="B4590" s="1" t="n">
        <v>44358</v>
      </c>
      <c r="C4590" s="1" t="n">
        <v>45810</v>
      </c>
      <c r="D4590" t="inlineStr">
        <is>
          <t>VÄRMLANDS LÄN</t>
        </is>
      </c>
      <c r="E4590" t="inlineStr">
        <is>
          <t>KARLSTAD</t>
        </is>
      </c>
      <c r="G4590" t="n">
        <v>5.9</v>
      </c>
      <c r="H4590" t="n">
        <v>0</v>
      </c>
      <c r="I4590" t="n">
        <v>0</v>
      </c>
      <c r="J4590" t="n">
        <v>0</v>
      </c>
      <c r="K4590" t="n">
        <v>0</v>
      </c>
      <c r="L4590" t="n">
        <v>0</v>
      </c>
      <c r="M4590" t="n">
        <v>0</v>
      </c>
      <c r="N4590" t="n">
        <v>0</v>
      </c>
      <c r="O4590" t="n">
        <v>0</v>
      </c>
      <c r="P4590" t="n">
        <v>0</v>
      </c>
      <c r="Q4590" t="n">
        <v>0</v>
      </c>
      <c r="R4590" s="2" t="inlineStr"/>
    </row>
    <row r="4591" ht="15" customHeight="1">
      <c r="A4591" t="inlineStr">
        <is>
          <t>A 29119-2021</t>
        </is>
      </c>
      <c r="B4591" s="1" t="n">
        <v>44358</v>
      </c>
      <c r="C4591" s="1" t="n">
        <v>45810</v>
      </c>
      <c r="D4591" t="inlineStr">
        <is>
          <t>VÄRMLANDS LÄN</t>
        </is>
      </c>
      <c r="E4591" t="inlineStr">
        <is>
          <t>SUNNE</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28987-2021</t>
        </is>
      </c>
      <c r="B4592" s="1" t="n">
        <v>44358</v>
      </c>
      <c r="C4592" s="1" t="n">
        <v>45810</v>
      </c>
      <c r="D4592" t="inlineStr">
        <is>
          <t>VÄRMLANDS LÄN</t>
        </is>
      </c>
      <c r="E4592" t="inlineStr">
        <is>
          <t>KARLSTAD</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28997-2021</t>
        </is>
      </c>
      <c r="B4593" s="1" t="n">
        <v>44358</v>
      </c>
      <c r="C4593" s="1" t="n">
        <v>45810</v>
      </c>
      <c r="D4593" t="inlineStr">
        <is>
          <t>VÄRMLANDS LÄN</t>
        </is>
      </c>
      <c r="E4593" t="inlineStr">
        <is>
          <t>SÄFFLE</t>
        </is>
      </c>
      <c r="G4593" t="n">
        <v>4</v>
      </c>
      <c r="H4593" t="n">
        <v>0</v>
      </c>
      <c r="I4593" t="n">
        <v>0</v>
      </c>
      <c r="J4593" t="n">
        <v>0</v>
      </c>
      <c r="K4593" t="n">
        <v>0</v>
      </c>
      <c r="L4593" t="n">
        <v>0</v>
      </c>
      <c r="M4593" t="n">
        <v>0</v>
      </c>
      <c r="N4593" t="n">
        <v>0</v>
      </c>
      <c r="O4593" t="n">
        <v>0</v>
      </c>
      <c r="P4593" t="n">
        <v>0</v>
      </c>
      <c r="Q4593" t="n">
        <v>0</v>
      </c>
      <c r="R4593" s="2" t="inlineStr"/>
    </row>
    <row r="4594" ht="15" customHeight="1">
      <c r="A4594" t="inlineStr">
        <is>
          <t>A 29253-2021</t>
        </is>
      </c>
      <c r="B4594" s="1" t="n">
        <v>44358</v>
      </c>
      <c r="C4594" s="1" t="n">
        <v>45810</v>
      </c>
      <c r="D4594" t="inlineStr">
        <is>
          <t>VÄRMLANDS LÄN</t>
        </is>
      </c>
      <c r="E4594" t="inlineStr">
        <is>
          <t>KARLSTAD</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29280-2021</t>
        </is>
      </c>
      <c r="B4595" s="1" t="n">
        <v>44361</v>
      </c>
      <c r="C4595" s="1" t="n">
        <v>45810</v>
      </c>
      <c r="D4595" t="inlineStr">
        <is>
          <t>VÄRMLANDS LÄN</t>
        </is>
      </c>
      <c r="E4595" t="inlineStr">
        <is>
          <t>KARLSTAD</t>
        </is>
      </c>
      <c r="G4595" t="n">
        <v>2.2</v>
      </c>
      <c r="H4595" t="n">
        <v>0</v>
      </c>
      <c r="I4595" t="n">
        <v>0</v>
      </c>
      <c r="J4595" t="n">
        <v>0</v>
      </c>
      <c r="K4595" t="n">
        <v>0</v>
      </c>
      <c r="L4595" t="n">
        <v>0</v>
      </c>
      <c r="M4595" t="n">
        <v>0</v>
      </c>
      <c r="N4595" t="n">
        <v>0</v>
      </c>
      <c r="O4595" t="n">
        <v>0</v>
      </c>
      <c r="P4595" t="n">
        <v>0</v>
      </c>
      <c r="Q4595" t="n">
        <v>0</v>
      </c>
      <c r="R4595" s="2" t="inlineStr"/>
    </row>
    <row r="4596" ht="15" customHeight="1">
      <c r="A4596" t="inlineStr">
        <is>
          <t>A 29340-2021</t>
        </is>
      </c>
      <c r="B4596" s="1" t="n">
        <v>44361</v>
      </c>
      <c r="C4596" s="1" t="n">
        <v>45810</v>
      </c>
      <c r="D4596" t="inlineStr">
        <is>
          <t>VÄRMLANDS LÄN</t>
        </is>
      </c>
      <c r="E4596" t="inlineStr">
        <is>
          <t>KRISTINEHAMN</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29495-2021</t>
        </is>
      </c>
      <c r="B4597" s="1" t="n">
        <v>44361</v>
      </c>
      <c r="C4597" s="1" t="n">
        <v>45810</v>
      </c>
      <c r="D4597" t="inlineStr">
        <is>
          <t>VÄRMLANDS LÄN</t>
        </is>
      </c>
      <c r="E4597" t="inlineStr">
        <is>
          <t>TORSBY</t>
        </is>
      </c>
      <c r="F4597" t="inlineStr">
        <is>
          <t>Övriga Aktiebolag</t>
        </is>
      </c>
      <c r="G4597" t="n">
        <v>38.2</v>
      </c>
      <c r="H4597" t="n">
        <v>0</v>
      </c>
      <c r="I4597" t="n">
        <v>0</v>
      </c>
      <c r="J4597" t="n">
        <v>0</v>
      </c>
      <c r="K4597" t="n">
        <v>0</v>
      </c>
      <c r="L4597" t="n">
        <v>0</v>
      </c>
      <c r="M4597" t="n">
        <v>0</v>
      </c>
      <c r="N4597" t="n">
        <v>0</v>
      </c>
      <c r="O4597" t="n">
        <v>0</v>
      </c>
      <c r="P4597" t="n">
        <v>0</v>
      </c>
      <c r="Q4597" t="n">
        <v>0</v>
      </c>
      <c r="R4597" s="2" t="inlineStr"/>
    </row>
    <row r="4598" ht="15" customHeight="1">
      <c r="A4598" t="inlineStr">
        <is>
          <t>A 29457-2021</t>
        </is>
      </c>
      <c r="B4598" s="1" t="n">
        <v>44361</v>
      </c>
      <c r="C4598" s="1" t="n">
        <v>45810</v>
      </c>
      <c r="D4598" t="inlineStr">
        <is>
          <t>VÄRMLANDS LÄN</t>
        </is>
      </c>
      <c r="E4598" t="inlineStr">
        <is>
          <t>TORSBY</t>
        </is>
      </c>
      <c r="G4598" t="n">
        <v>7.6</v>
      </c>
      <c r="H4598" t="n">
        <v>0</v>
      </c>
      <c r="I4598" t="n">
        <v>0</v>
      </c>
      <c r="J4598" t="n">
        <v>0</v>
      </c>
      <c r="K4598" t="n">
        <v>0</v>
      </c>
      <c r="L4598" t="n">
        <v>0</v>
      </c>
      <c r="M4598" t="n">
        <v>0</v>
      </c>
      <c r="N4598" t="n">
        <v>0</v>
      </c>
      <c r="O4598" t="n">
        <v>0</v>
      </c>
      <c r="P4598" t="n">
        <v>0</v>
      </c>
      <c r="Q4598" t="n">
        <v>0</v>
      </c>
      <c r="R4598" s="2" t="inlineStr"/>
    </row>
    <row r="4599" ht="15" customHeight="1">
      <c r="A4599" t="inlineStr">
        <is>
          <t>A 29518-2021</t>
        </is>
      </c>
      <c r="B4599" s="1" t="n">
        <v>44361</v>
      </c>
      <c r="C4599" s="1" t="n">
        <v>45810</v>
      </c>
      <c r="D4599" t="inlineStr">
        <is>
          <t>VÄRMLANDS LÄN</t>
        </is>
      </c>
      <c r="E4599" t="inlineStr">
        <is>
          <t>TORSBY</t>
        </is>
      </c>
      <c r="F4599" t="inlineStr">
        <is>
          <t>Bergvik skog väst AB</t>
        </is>
      </c>
      <c r="G4599" t="n">
        <v>16.7</v>
      </c>
      <c r="H4599" t="n">
        <v>0</v>
      </c>
      <c r="I4599" t="n">
        <v>0</v>
      </c>
      <c r="J4599" t="n">
        <v>0</v>
      </c>
      <c r="K4599" t="n">
        <v>0</v>
      </c>
      <c r="L4599" t="n">
        <v>0</v>
      </c>
      <c r="M4599" t="n">
        <v>0</v>
      </c>
      <c r="N4599" t="n">
        <v>0</v>
      </c>
      <c r="O4599" t="n">
        <v>0</v>
      </c>
      <c r="P4599" t="n">
        <v>0</v>
      </c>
      <c r="Q4599" t="n">
        <v>0</v>
      </c>
      <c r="R4599" s="2" t="inlineStr"/>
    </row>
    <row r="4600" ht="15" customHeight="1">
      <c r="A4600" t="inlineStr">
        <is>
          <t>A 29699-2021</t>
        </is>
      </c>
      <c r="B4600" s="1" t="n">
        <v>44362</v>
      </c>
      <c r="C4600" s="1" t="n">
        <v>45810</v>
      </c>
      <c r="D4600" t="inlineStr">
        <is>
          <t>VÄRMLANDS LÄN</t>
        </is>
      </c>
      <c r="E4600" t="inlineStr">
        <is>
          <t>SUNNE</t>
        </is>
      </c>
      <c r="G4600" t="n">
        <v>2.1</v>
      </c>
      <c r="H4600" t="n">
        <v>0</v>
      </c>
      <c r="I4600" t="n">
        <v>0</v>
      </c>
      <c r="J4600" t="n">
        <v>0</v>
      </c>
      <c r="K4600" t="n">
        <v>0</v>
      </c>
      <c r="L4600" t="n">
        <v>0</v>
      </c>
      <c r="M4600" t="n">
        <v>0</v>
      </c>
      <c r="N4600" t="n">
        <v>0</v>
      </c>
      <c r="O4600" t="n">
        <v>0</v>
      </c>
      <c r="P4600" t="n">
        <v>0</v>
      </c>
      <c r="Q4600" t="n">
        <v>0</v>
      </c>
      <c r="R4600" s="2" t="inlineStr"/>
    </row>
    <row r="4601" ht="15" customHeight="1">
      <c r="A4601" t="inlineStr">
        <is>
          <t>A 29701-2021</t>
        </is>
      </c>
      <c r="B4601" s="1" t="n">
        <v>44362</v>
      </c>
      <c r="C4601" s="1" t="n">
        <v>45810</v>
      </c>
      <c r="D4601" t="inlineStr">
        <is>
          <t>VÄRMLANDS LÄN</t>
        </is>
      </c>
      <c r="E4601" t="inlineStr">
        <is>
          <t>ÅRJÄNG</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29726-2021</t>
        </is>
      </c>
      <c r="B4602" s="1" t="n">
        <v>44362</v>
      </c>
      <c r="C4602" s="1" t="n">
        <v>45810</v>
      </c>
      <c r="D4602" t="inlineStr">
        <is>
          <t>VÄRMLANDS LÄN</t>
        </is>
      </c>
      <c r="E4602" t="inlineStr">
        <is>
          <t>HAGFORS</t>
        </is>
      </c>
      <c r="G4602" t="n">
        <v>3.8</v>
      </c>
      <c r="H4602" t="n">
        <v>0</v>
      </c>
      <c r="I4602" t="n">
        <v>0</v>
      </c>
      <c r="J4602" t="n">
        <v>0</v>
      </c>
      <c r="K4602" t="n">
        <v>0</v>
      </c>
      <c r="L4602" t="n">
        <v>0</v>
      </c>
      <c r="M4602" t="n">
        <v>0</v>
      </c>
      <c r="N4602" t="n">
        <v>0</v>
      </c>
      <c r="O4602" t="n">
        <v>0</v>
      </c>
      <c r="P4602" t="n">
        <v>0</v>
      </c>
      <c r="Q4602" t="n">
        <v>0</v>
      </c>
      <c r="R4602" s="2" t="inlineStr"/>
    </row>
    <row r="4603" ht="15" customHeight="1">
      <c r="A4603" t="inlineStr">
        <is>
          <t>A 29700-2021</t>
        </is>
      </c>
      <c r="B4603" s="1" t="n">
        <v>44362</v>
      </c>
      <c r="C4603" s="1" t="n">
        <v>45810</v>
      </c>
      <c r="D4603" t="inlineStr">
        <is>
          <t>VÄRMLANDS LÄN</t>
        </is>
      </c>
      <c r="E4603" t="inlineStr">
        <is>
          <t>ÅRJÄNG</t>
        </is>
      </c>
      <c r="G4603" t="n">
        <v>3.1</v>
      </c>
      <c r="H4603" t="n">
        <v>0</v>
      </c>
      <c r="I4603" t="n">
        <v>0</v>
      </c>
      <c r="J4603" t="n">
        <v>0</v>
      </c>
      <c r="K4603" t="n">
        <v>0</v>
      </c>
      <c r="L4603" t="n">
        <v>0</v>
      </c>
      <c r="M4603" t="n">
        <v>0</v>
      </c>
      <c r="N4603" t="n">
        <v>0</v>
      </c>
      <c r="O4603" t="n">
        <v>0</v>
      </c>
      <c r="P4603" t="n">
        <v>0</v>
      </c>
      <c r="Q4603" t="n">
        <v>0</v>
      </c>
      <c r="R4603" s="2" t="inlineStr"/>
    </row>
    <row r="4604" ht="15" customHeight="1">
      <c r="A4604" t="inlineStr">
        <is>
          <t>A 29746-2021</t>
        </is>
      </c>
      <c r="B4604" s="1" t="n">
        <v>44362</v>
      </c>
      <c r="C4604" s="1" t="n">
        <v>45810</v>
      </c>
      <c r="D4604" t="inlineStr">
        <is>
          <t>VÄRMLANDS LÄN</t>
        </is>
      </c>
      <c r="E4604" t="inlineStr">
        <is>
          <t>TORSBY</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30050-2021</t>
        </is>
      </c>
      <c r="B4605" s="1" t="n">
        <v>44362</v>
      </c>
      <c r="C4605" s="1" t="n">
        <v>45810</v>
      </c>
      <c r="D4605" t="inlineStr">
        <is>
          <t>VÄRMLANDS LÄN</t>
        </is>
      </c>
      <c r="E4605" t="inlineStr">
        <is>
          <t>SÄFFLE</t>
        </is>
      </c>
      <c r="G4605" t="n">
        <v>4.3</v>
      </c>
      <c r="H4605" t="n">
        <v>0</v>
      </c>
      <c r="I4605" t="n">
        <v>0</v>
      </c>
      <c r="J4605" t="n">
        <v>0</v>
      </c>
      <c r="K4605" t="n">
        <v>0</v>
      </c>
      <c r="L4605" t="n">
        <v>0</v>
      </c>
      <c r="M4605" t="n">
        <v>0</v>
      </c>
      <c r="N4605" t="n">
        <v>0</v>
      </c>
      <c r="O4605" t="n">
        <v>0</v>
      </c>
      <c r="P4605" t="n">
        <v>0</v>
      </c>
      <c r="Q4605" t="n">
        <v>0</v>
      </c>
      <c r="R4605" s="2" t="inlineStr"/>
    </row>
    <row r="4606" ht="15" customHeight="1">
      <c r="A4606" t="inlineStr">
        <is>
          <t>A 29738-2021</t>
        </is>
      </c>
      <c r="B4606" s="1" t="n">
        <v>44362</v>
      </c>
      <c r="C4606" s="1" t="n">
        <v>45810</v>
      </c>
      <c r="D4606" t="inlineStr">
        <is>
          <t>VÄRMLANDS LÄN</t>
        </is>
      </c>
      <c r="E4606" t="inlineStr">
        <is>
          <t>SÄFFLE</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30111-2021</t>
        </is>
      </c>
      <c r="B4607" s="1" t="n">
        <v>44363</v>
      </c>
      <c r="C4607" s="1" t="n">
        <v>45810</v>
      </c>
      <c r="D4607" t="inlineStr">
        <is>
          <t>VÄRMLANDS LÄN</t>
        </is>
      </c>
      <c r="E4607" t="inlineStr">
        <is>
          <t>KARLSTAD</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29980-2021</t>
        </is>
      </c>
      <c r="B4608" s="1" t="n">
        <v>44363</v>
      </c>
      <c r="C4608" s="1" t="n">
        <v>45810</v>
      </c>
      <c r="D4608" t="inlineStr">
        <is>
          <t>VÄRMLANDS LÄN</t>
        </is>
      </c>
      <c r="E4608" t="inlineStr">
        <is>
          <t>SUNNE</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30162-2021</t>
        </is>
      </c>
      <c r="B4609" s="1" t="n">
        <v>44363</v>
      </c>
      <c r="C4609" s="1" t="n">
        <v>45810</v>
      </c>
      <c r="D4609" t="inlineStr">
        <is>
          <t>VÄRMLANDS LÄN</t>
        </is>
      </c>
      <c r="E4609" t="inlineStr">
        <is>
          <t>TORSBY</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30384-2021</t>
        </is>
      </c>
      <c r="B4610" s="1" t="n">
        <v>44364</v>
      </c>
      <c r="C4610" s="1" t="n">
        <v>45810</v>
      </c>
      <c r="D4610" t="inlineStr">
        <is>
          <t>VÄRMLANDS LÄN</t>
        </is>
      </c>
      <c r="E4610" t="inlineStr">
        <is>
          <t>TORSBY</t>
        </is>
      </c>
      <c r="G4610" t="n">
        <v>2.8</v>
      </c>
      <c r="H4610" t="n">
        <v>0</v>
      </c>
      <c r="I4610" t="n">
        <v>0</v>
      </c>
      <c r="J4610" t="n">
        <v>0</v>
      </c>
      <c r="K4610" t="n">
        <v>0</v>
      </c>
      <c r="L4610" t="n">
        <v>0</v>
      </c>
      <c r="M4610" t="n">
        <v>0</v>
      </c>
      <c r="N4610" t="n">
        <v>0</v>
      </c>
      <c r="O4610" t="n">
        <v>0</v>
      </c>
      <c r="P4610" t="n">
        <v>0</v>
      </c>
      <c r="Q4610" t="n">
        <v>0</v>
      </c>
      <c r="R4610" s="2" t="inlineStr"/>
    </row>
    <row r="4611" ht="15" customHeight="1">
      <c r="A4611" t="inlineStr">
        <is>
          <t>A 30478-2021</t>
        </is>
      </c>
      <c r="B4611" s="1" t="n">
        <v>44364</v>
      </c>
      <c r="C4611" s="1" t="n">
        <v>45810</v>
      </c>
      <c r="D4611" t="inlineStr">
        <is>
          <t>VÄRMLANDS LÄN</t>
        </is>
      </c>
      <c r="E4611" t="inlineStr">
        <is>
          <t>GRUMS</t>
        </is>
      </c>
      <c r="G4611" t="n">
        <v>7.6</v>
      </c>
      <c r="H4611" t="n">
        <v>0</v>
      </c>
      <c r="I4611" t="n">
        <v>0</v>
      </c>
      <c r="J4611" t="n">
        <v>0</v>
      </c>
      <c r="K4611" t="n">
        <v>0</v>
      </c>
      <c r="L4611" t="n">
        <v>0</v>
      </c>
      <c r="M4611" t="n">
        <v>0</v>
      </c>
      <c r="N4611" t="n">
        <v>0</v>
      </c>
      <c r="O4611" t="n">
        <v>0</v>
      </c>
      <c r="P4611" t="n">
        <v>0</v>
      </c>
      <c r="Q4611" t="n">
        <v>0</v>
      </c>
      <c r="R4611" s="2" t="inlineStr"/>
    </row>
    <row r="4612" ht="15" customHeight="1">
      <c r="A4612" t="inlineStr">
        <is>
          <t>A 30494-2021</t>
        </is>
      </c>
      <c r="B4612" s="1" t="n">
        <v>44364</v>
      </c>
      <c r="C4612" s="1" t="n">
        <v>45810</v>
      </c>
      <c r="D4612" t="inlineStr">
        <is>
          <t>VÄRMLANDS LÄN</t>
        </is>
      </c>
      <c r="E4612" t="inlineStr">
        <is>
          <t>HAGFORS</t>
        </is>
      </c>
      <c r="F4612" t="inlineStr">
        <is>
          <t>Kyrkan</t>
        </is>
      </c>
      <c r="G4612" t="n">
        <v>4.8</v>
      </c>
      <c r="H4612" t="n">
        <v>0</v>
      </c>
      <c r="I4612" t="n">
        <v>0</v>
      </c>
      <c r="J4612" t="n">
        <v>0</v>
      </c>
      <c r="K4612" t="n">
        <v>0</v>
      </c>
      <c r="L4612" t="n">
        <v>0</v>
      </c>
      <c r="M4612" t="n">
        <v>0</v>
      </c>
      <c r="N4612" t="n">
        <v>0</v>
      </c>
      <c r="O4612" t="n">
        <v>0</v>
      </c>
      <c r="P4612" t="n">
        <v>0</v>
      </c>
      <c r="Q4612" t="n">
        <v>0</v>
      </c>
      <c r="R4612" s="2" t="inlineStr"/>
    </row>
    <row r="4613" ht="15" customHeight="1">
      <c r="A4613" t="inlineStr">
        <is>
          <t>A 30343-2021</t>
        </is>
      </c>
      <c r="B4613" s="1" t="n">
        <v>44364</v>
      </c>
      <c r="C4613" s="1" t="n">
        <v>45810</v>
      </c>
      <c r="D4613" t="inlineStr">
        <is>
          <t>VÄRMLANDS LÄN</t>
        </is>
      </c>
      <c r="E4613" t="inlineStr">
        <is>
          <t>SUNNE</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30479-2021</t>
        </is>
      </c>
      <c r="B4614" s="1" t="n">
        <v>44364</v>
      </c>
      <c r="C4614" s="1" t="n">
        <v>45810</v>
      </c>
      <c r="D4614" t="inlineStr">
        <is>
          <t>VÄRMLANDS LÄN</t>
        </is>
      </c>
      <c r="E4614" t="inlineStr">
        <is>
          <t>ARVIKA</t>
        </is>
      </c>
      <c r="G4614" t="n">
        <v>3</v>
      </c>
      <c r="H4614" t="n">
        <v>0</v>
      </c>
      <c r="I4614" t="n">
        <v>0</v>
      </c>
      <c r="J4614" t="n">
        <v>0</v>
      </c>
      <c r="K4614" t="n">
        <v>0</v>
      </c>
      <c r="L4614" t="n">
        <v>0</v>
      </c>
      <c r="M4614" t="n">
        <v>0</v>
      </c>
      <c r="N4614" t="n">
        <v>0</v>
      </c>
      <c r="O4614" t="n">
        <v>0</v>
      </c>
      <c r="P4614" t="n">
        <v>0</v>
      </c>
      <c r="Q4614" t="n">
        <v>0</v>
      </c>
      <c r="R4614" s="2" t="inlineStr"/>
    </row>
    <row r="4615" ht="15" customHeight="1">
      <c r="A4615" t="inlineStr">
        <is>
          <t>A 30376-2021</t>
        </is>
      </c>
      <c r="B4615" s="1" t="n">
        <v>44364</v>
      </c>
      <c r="C4615" s="1" t="n">
        <v>45810</v>
      </c>
      <c r="D4615" t="inlineStr">
        <is>
          <t>VÄRMLANDS LÄN</t>
        </is>
      </c>
      <c r="E4615" t="inlineStr">
        <is>
          <t>FORSHAGA</t>
        </is>
      </c>
      <c r="F4615" t="inlineStr">
        <is>
          <t>Bergvik skog väst AB</t>
        </is>
      </c>
      <c r="G4615" t="n">
        <v>17.9</v>
      </c>
      <c r="H4615" t="n">
        <v>0</v>
      </c>
      <c r="I4615" t="n">
        <v>0</v>
      </c>
      <c r="J4615" t="n">
        <v>0</v>
      </c>
      <c r="K4615" t="n">
        <v>0</v>
      </c>
      <c r="L4615" t="n">
        <v>0</v>
      </c>
      <c r="M4615" t="n">
        <v>0</v>
      </c>
      <c r="N4615" t="n">
        <v>0</v>
      </c>
      <c r="O4615" t="n">
        <v>0</v>
      </c>
      <c r="P4615" t="n">
        <v>0</v>
      </c>
      <c r="Q4615" t="n">
        <v>0</v>
      </c>
      <c r="R4615" s="2" t="inlineStr"/>
    </row>
    <row r="4616" ht="15" customHeight="1">
      <c r="A4616" t="inlineStr">
        <is>
          <t>A 30390-2021</t>
        </is>
      </c>
      <c r="B4616" s="1" t="n">
        <v>44364</v>
      </c>
      <c r="C4616" s="1" t="n">
        <v>45810</v>
      </c>
      <c r="D4616" t="inlineStr">
        <is>
          <t>VÄRMLANDS LÄN</t>
        </is>
      </c>
      <c r="E4616" t="inlineStr">
        <is>
          <t>HAGFORS</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30524-2021</t>
        </is>
      </c>
      <c r="B4617" s="1" t="n">
        <v>44364</v>
      </c>
      <c r="C4617" s="1" t="n">
        <v>45810</v>
      </c>
      <c r="D4617" t="inlineStr">
        <is>
          <t>VÄRMLANDS LÄN</t>
        </is>
      </c>
      <c r="E4617" t="inlineStr">
        <is>
          <t>FILIPSTAD</t>
        </is>
      </c>
      <c r="F4617" t="inlineStr">
        <is>
          <t>Bergvik skog väst AB</t>
        </is>
      </c>
      <c r="G4617" t="n">
        <v>2.6</v>
      </c>
      <c r="H4617" t="n">
        <v>0</v>
      </c>
      <c r="I4617" t="n">
        <v>0</v>
      </c>
      <c r="J4617" t="n">
        <v>0</v>
      </c>
      <c r="K4617" t="n">
        <v>0</v>
      </c>
      <c r="L4617" t="n">
        <v>0</v>
      </c>
      <c r="M4617" t="n">
        <v>0</v>
      </c>
      <c r="N4617" t="n">
        <v>0</v>
      </c>
      <c r="O4617" t="n">
        <v>0</v>
      </c>
      <c r="P4617" t="n">
        <v>0</v>
      </c>
      <c r="Q4617" t="n">
        <v>0</v>
      </c>
      <c r="R4617" s="2" t="inlineStr"/>
    </row>
    <row r="4618" ht="15" customHeight="1">
      <c r="A4618" t="inlineStr">
        <is>
          <t>A 30669-2021</t>
        </is>
      </c>
      <c r="B4618" s="1" t="n">
        <v>44365</v>
      </c>
      <c r="C4618" s="1" t="n">
        <v>45810</v>
      </c>
      <c r="D4618" t="inlineStr">
        <is>
          <t>VÄRMLANDS LÄN</t>
        </is>
      </c>
      <c r="E4618" t="inlineStr">
        <is>
          <t>SUNNE</t>
        </is>
      </c>
      <c r="G4618" t="n">
        <v>3.5</v>
      </c>
      <c r="H4618" t="n">
        <v>0</v>
      </c>
      <c r="I4618" t="n">
        <v>0</v>
      </c>
      <c r="J4618" t="n">
        <v>0</v>
      </c>
      <c r="K4618" t="n">
        <v>0</v>
      </c>
      <c r="L4618" t="n">
        <v>0</v>
      </c>
      <c r="M4618" t="n">
        <v>0</v>
      </c>
      <c r="N4618" t="n">
        <v>0</v>
      </c>
      <c r="O4618" t="n">
        <v>0</v>
      </c>
      <c r="P4618" t="n">
        <v>0</v>
      </c>
      <c r="Q4618" t="n">
        <v>0</v>
      </c>
      <c r="R4618" s="2" t="inlineStr"/>
    </row>
    <row r="4619" ht="15" customHeight="1">
      <c r="A4619" t="inlineStr">
        <is>
          <t>A 30699-2021</t>
        </is>
      </c>
      <c r="B4619" s="1" t="n">
        <v>44365</v>
      </c>
      <c r="C4619" s="1" t="n">
        <v>45810</v>
      </c>
      <c r="D4619" t="inlineStr">
        <is>
          <t>VÄRMLANDS LÄN</t>
        </is>
      </c>
      <c r="E4619" t="inlineStr">
        <is>
          <t>ÅRJÄNG</t>
        </is>
      </c>
      <c r="G4619" t="n">
        <v>3.1</v>
      </c>
      <c r="H4619" t="n">
        <v>0</v>
      </c>
      <c r="I4619" t="n">
        <v>0</v>
      </c>
      <c r="J4619" t="n">
        <v>0</v>
      </c>
      <c r="K4619" t="n">
        <v>0</v>
      </c>
      <c r="L4619" t="n">
        <v>0</v>
      </c>
      <c r="M4619" t="n">
        <v>0</v>
      </c>
      <c r="N4619" t="n">
        <v>0</v>
      </c>
      <c r="O4619" t="n">
        <v>0</v>
      </c>
      <c r="P4619" t="n">
        <v>0</v>
      </c>
      <c r="Q4619" t="n">
        <v>0</v>
      </c>
      <c r="R4619" s="2" t="inlineStr"/>
    </row>
    <row r="4620" ht="15" customHeight="1">
      <c r="A4620" t="inlineStr">
        <is>
          <t>A 30693-2021</t>
        </is>
      </c>
      <c r="B4620" s="1" t="n">
        <v>44365</v>
      </c>
      <c r="C4620" s="1" t="n">
        <v>45810</v>
      </c>
      <c r="D4620" t="inlineStr">
        <is>
          <t>VÄRMLANDS LÄN</t>
        </is>
      </c>
      <c r="E4620" t="inlineStr">
        <is>
          <t>ÅRJÄNG</t>
        </is>
      </c>
      <c r="G4620" t="n">
        <v>8.4</v>
      </c>
      <c r="H4620" t="n">
        <v>0</v>
      </c>
      <c r="I4620" t="n">
        <v>0</v>
      </c>
      <c r="J4620" t="n">
        <v>0</v>
      </c>
      <c r="K4620" t="n">
        <v>0</v>
      </c>
      <c r="L4620" t="n">
        <v>0</v>
      </c>
      <c r="M4620" t="n">
        <v>0</v>
      </c>
      <c r="N4620" t="n">
        <v>0</v>
      </c>
      <c r="O4620" t="n">
        <v>0</v>
      </c>
      <c r="P4620" t="n">
        <v>0</v>
      </c>
      <c r="Q4620" t="n">
        <v>0</v>
      </c>
      <c r="R4620" s="2" t="inlineStr"/>
    </row>
    <row r="4621" ht="15" customHeight="1">
      <c r="A4621" t="inlineStr">
        <is>
          <t>A 30678-2021</t>
        </is>
      </c>
      <c r="B4621" s="1" t="n">
        <v>44365</v>
      </c>
      <c r="C4621" s="1" t="n">
        <v>45810</v>
      </c>
      <c r="D4621" t="inlineStr">
        <is>
          <t>VÄRMLANDS LÄN</t>
        </is>
      </c>
      <c r="E4621" t="inlineStr">
        <is>
          <t>KRISTINEHAMN</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30685-2021</t>
        </is>
      </c>
      <c r="B4622" s="1" t="n">
        <v>44365</v>
      </c>
      <c r="C4622" s="1" t="n">
        <v>45810</v>
      </c>
      <c r="D4622" t="inlineStr">
        <is>
          <t>VÄRMLANDS LÄN</t>
        </is>
      </c>
      <c r="E4622" t="inlineStr">
        <is>
          <t>KRISTINEHAMN</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30701-2021</t>
        </is>
      </c>
      <c r="B4623" s="1" t="n">
        <v>44365</v>
      </c>
      <c r="C4623" s="1" t="n">
        <v>45810</v>
      </c>
      <c r="D4623" t="inlineStr">
        <is>
          <t>VÄRMLANDS LÄN</t>
        </is>
      </c>
      <c r="E4623" t="inlineStr">
        <is>
          <t>KRISTINEHAMN</t>
        </is>
      </c>
      <c r="G4623" t="n">
        <v>3.1</v>
      </c>
      <c r="H4623" t="n">
        <v>0</v>
      </c>
      <c r="I4623" t="n">
        <v>0</v>
      </c>
      <c r="J4623" t="n">
        <v>0</v>
      </c>
      <c r="K4623" t="n">
        <v>0</v>
      </c>
      <c r="L4623" t="n">
        <v>0</v>
      </c>
      <c r="M4623" t="n">
        <v>0</v>
      </c>
      <c r="N4623" t="n">
        <v>0</v>
      </c>
      <c r="O4623" t="n">
        <v>0</v>
      </c>
      <c r="P4623" t="n">
        <v>0</v>
      </c>
      <c r="Q4623" t="n">
        <v>0</v>
      </c>
      <c r="R4623" s="2" t="inlineStr"/>
    </row>
    <row r="4624" ht="15" customHeight="1">
      <c r="A4624" t="inlineStr">
        <is>
          <t>A 30733-2021</t>
        </is>
      </c>
      <c r="B4624" s="1" t="n">
        <v>44365</v>
      </c>
      <c r="C4624" s="1" t="n">
        <v>45810</v>
      </c>
      <c r="D4624" t="inlineStr">
        <is>
          <t>VÄRMLANDS LÄN</t>
        </is>
      </c>
      <c r="E4624" t="inlineStr">
        <is>
          <t>ARVIKA</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30785-2021</t>
        </is>
      </c>
      <c r="B4625" s="1" t="n">
        <v>44365</v>
      </c>
      <c r="C4625" s="1" t="n">
        <v>45810</v>
      </c>
      <c r="D4625" t="inlineStr">
        <is>
          <t>VÄRMLANDS LÄN</t>
        </is>
      </c>
      <c r="E4625" t="inlineStr">
        <is>
          <t>SUNNE</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30802-2021</t>
        </is>
      </c>
      <c r="B4626" s="1" t="n">
        <v>44365</v>
      </c>
      <c r="C4626" s="1" t="n">
        <v>45810</v>
      </c>
      <c r="D4626" t="inlineStr">
        <is>
          <t>VÄRMLANDS LÄN</t>
        </is>
      </c>
      <c r="E4626" t="inlineStr">
        <is>
          <t>TORSBY</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30746-2021</t>
        </is>
      </c>
      <c r="B4627" s="1" t="n">
        <v>44365</v>
      </c>
      <c r="C4627" s="1" t="n">
        <v>45810</v>
      </c>
      <c r="D4627" t="inlineStr">
        <is>
          <t>VÄRMLANDS LÄN</t>
        </is>
      </c>
      <c r="E4627" t="inlineStr">
        <is>
          <t>ARVIKA</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30766-2021</t>
        </is>
      </c>
      <c r="B4628" s="1" t="n">
        <v>44365</v>
      </c>
      <c r="C4628" s="1" t="n">
        <v>45810</v>
      </c>
      <c r="D4628" t="inlineStr">
        <is>
          <t>VÄRMLANDS LÄN</t>
        </is>
      </c>
      <c r="E4628" t="inlineStr">
        <is>
          <t>SUNNE</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30787-2021</t>
        </is>
      </c>
      <c r="B4629" s="1" t="n">
        <v>44365</v>
      </c>
      <c r="C4629" s="1" t="n">
        <v>45810</v>
      </c>
      <c r="D4629" t="inlineStr">
        <is>
          <t>VÄRMLANDS LÄN</t>
        </is>
      </c>
      <c r="E4629" t="inlineStr">
        <is>
          <t>KIL</t>
        </is>
      </c>
      <c r="G4629" t="n">
        <v>11.7</v>
      </c>
      <c r="H4629" t="n">
        <v>0</v>
      </c>
      <c r="I4629" t="n">
        <v>0</v>
      </c>
      <c r="J4629" t="n">
        <v>0</v>
      </c>
      <c r="K4629" t="n">
        <v>0</v>
      </c>
      <c r="L4629" t="n">
        <v>0</v>
      </c>
      <c r="M4629" t="n">
        <v>0</v>
      </c>
      <c r="N4629" t="n">
        <v>0</v>
      </c>
      <c r="O4629" t="n">
        <v>0</v>
      </c>
      <c r="P4629" t="n">
        <v>0</v>
      </c>
      <c r="Q4629" t="n">
        <v>0</v>
      </c>
      <c r="R4629" s="2" t="inlineStr"/>
    </row>
    <row r="4630" ht="15" customHeight="1">
      <c r="A4630" t="inlineStr">
        <is>
          <t>A 30817-2021</t>
        </is>
      </c>
      <c r="B4630" s="1" t="n">
        <v>44365</v>
      </c>
      <c r="C4630" s="1" t="n">
        <v>45810</v>
      </c>
      <c r="D4630" t="inlineStr">
        <is>
          <t>VÄRMLANDS LÄN</t>
        </is>
      </c>
      <c r="E4630" t="inlineStr">
        <is>
          <t>ÅRJÄNG</t>
        </is>
      </c>
      <c r="G4630" t="n">
        <v>5.6</v>
      </c>
      <c r="H4630" t="n">
        <v>0</v>
      </c>
      <c r="I4630" t="n">
        <v>0</v>
      </c>
      <c r="J4630" t="n">
        <v>0</v>
      </c>
      <c r="K4630" t="n">
        <v>0</v>
      </c>
      <c r="L4630" t="n">
        <v>0</v>
      </c>
      <c r="M4630" t="n">
        <v>0</v>
      </c>
      <c r="N4630" t="n">
        <v>0</v>
      </c>
      <c r="O4630" t="n">
        <v>0</v>
      </c>
      <c r="P4630" t="n">
        <v>0</v>
      </c>
      <c r="Q4630" t="n">
        <v>0</v>
      </c>
      <c r="R4630" s="2" t="inlineStr"/>
    </row>
    <row r="4631" ht="15" customHeight="1">
      <c r="A4631" t="inlineStr">
        <is>
          <t>A 31111-2021</t>
        </is>
      </c>
      <c r="B4631" s="1" t="n">
        <v>44365</v>
      </c>
      <c r="C4631" s="1" t="n">
        <v>45810</v>
      </c>
      <c r="D4631" t="inlineStr">
        <is>
          <t>VÄRMLANDS LÄN</t>
        </is>
      </c>
      <c r="E4631" t="inlineStr">
        <is>
          <t>ARVIKA</t>
        </is>
      </c>
      <c r="G4631" t="n">
        <v>4.6</v>
      </c>
      <c r="H4631" t="n">
        <v>0</v>
      </c>
      <c r="I4631" t="n">
        <v>0</v>
      </c>
      <c r="J4631" t="n">
        <v>0</v>
      </c>
      <c r="K4631" t="n">
        <v>0</v>
      </c>
      <c r="L4631" t="n">
        <v>0</v>
      </c>
      <c r="M4631" t="n">
        <v>0</v>
      </c>
      <c r="N4631" t="n">
        <v>0</v>
      </c>
      <c r="O4631" t="n">
        <v>0</v>
      </c>
      <c r="P4631" t="n">
        <v>0</v>
      </c>
      <c r="Q4631" t="n">
        <v>0</v>
      </c>
      <c r="R4631" s="2" t="inlineStr"/>
    </row>
    <row r="4632" ht="15" customHeight="1">
      <c r="A4632" t="inlineStr">
        <is>
          <t>A 31189-2021</t>
        </is>
      </c>
      <c r="B4632" s="1" t="n">
        <v>44368</v>
      </c>
      <c r="C4632" s="1" t="n">
        <v>45810</v>
      </c>
      <c r="D4632" t="inlineStr">
        <is>
          <t>VÄRMLANDS LÄN</t>
        </is>
      </c>
      <c r="E4632" t="inlineStr">
        <is>
          <t>FILIPSTAD</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31889-2021</t>
        </is>
      </c>
      <c r="B4633" s="1" t="n">
        <v>44368</v>
      </c>
      <c r="C4633" s="1" t="n">
        <v>45810</v>
      </c>
      <c r="D4633" t="inlineStr">
        <is>
          <t>VÄRMLANDS LÄN</t>
        </is>
      </c>
      <c r="E4633" t="inlineStr">
        <is>
          <t>SÄFFLE</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31049-2021</t>
        </is>
      </c>
      <c r="B4634" s="1" t="n">
        <v>44368</v>
      </c>
      <c r="C4634" s="1" t="n">
        <v>45810</v>
      </c>
      <c r="D4634" t="inlineStr">
        <is>
          <t>VÄRMLANDS LÄN</t>
        </is>
      </c>
      <c r="E4634" t="inlineStr">
        <is>
          <t>FORSHAGA</t>
        </is>
      </c>
      <c r="F4634" t="inlineStr">
        <is>
          <t>Bergvik skog väst AB</t>
        </is>
      </c>
      <c r="G4634" t="n">
        <v>21.6</v>
      </c>
      <c r="H4634" t="n">
        <v>0</v>
      </c>
      <c r="I4634" t="n">
        <v>0</v>
      </c>
      <c r="J4634" t="n">
        <v>0</v>
      </c>
      <c r="K4634" t="n">
        <v>0</v>
      </c>
      <c r="L4634" t="n">
        <v>0</v>
      </c>
      <c r="M4634" t="n">
        <v>0</v>
      </c>
      <c r="N4634" t="n">
        <v>0</v>
      </c>
      <c r="O4634" t="n">
        <v>0</v>
      </c>
      <c r="P4634" t="n">
        <v>0</v>
      </c>
      <c r="Q4634" t="n">
        <v>0</v>
      </c>
      <c r="R4634" s="2" t="inlineStr"/>
    </row>
    <row r="4635" ht="15" customHeight="1">
      <c r="A4635" t="inlineStr">
        <is>
          <t>A 31885-2021</t>
        </is>
      </c>
      <c r="B4635" s="1" t="n">
        <v>44368</v>
      </c>
      <c r="C4635" s="1" t="n">
        <v>45810</v>
      </c>
      <c r="D4635" t="inlineStr">
        <is>
          <t>VÄRMLANDS LÄN</t>
        </is>
      </c>
      <c r="E4635" t="inlineStr">
        <is>
          <t>SÄFFLE</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31576-2021</t>
        </is>
      </c>
      <c r="B4636" s="1" t="n">
        <v>44369</v>
      </c>
      <c r="C4636" s="1" t="n">
        <v>45810</v>
      </c>
      <c r="D4636" t="inlineStr">
        <is>
          <t>VÄRMLANDS LÄN</t>
        </is>
      </c>
      <c r="E4636" t="inlineStr">
        <is>
          <t>SUNNE</t>
        </is>
      </c>
      <c r="G4636" t="n">
        <v>5.9</v>
      </c>
      <c r="H4636" t="n">
        <v>0</v>
      </c>
      <c r="I4636" t="n">
        <v>0</v>
      </c>
      <c r="J4636" t="n">
        <v>0</v>
      </c>
      <c r="K4636" t="n">
        <v>0</v>
      </c>
      <c r="L4636" t="n">
        <v>0</v>
      </c>
      <c r="M4636" t="n">
        <v>0</v>
      </c>
      <c r="N4636" t="n">
        <v>0</v>
      </c>
      <c r="O4636" t="n">
        <v>0</v>
      </c>
      <c r="P4636" t="n">
        <v>0</v>
      </c>
      <c r="Q4636" t="n">
        <v>0</v>
      </c>
      <c r="R4636" s="2" t="inlineStr"/>
    </row>
    <row r="4637" ht="15" customHeight="1">
      <c r="A4637" t="inlineStr">
        <is>
          <t>A 31494-2021</t>
        </is>
      </c>
      <c r="B4637" s="1" t="n">
        <v>44369</v>
      </c>
      <c r="C4637" s="1" t="n">
        <v>45810</v>
      </c>
      <c r="D4637" t="inlineStr">
        <is>
          <t>VÄRMLANDS LÄN</t>
        </is>
      </c>
      <c r="E4637" t="inlineStr">
        <is>
          <t>TORSBY</t>
        </is>
      </c>
      <c r="G4637" t="n">
        <v>3.5</v>
      </c>
      <c r="H4637" t="n">
        <v>0</v>
      </c>
      <c r="I4637" t="n">
        <v>0</v>
      </c>
      <c r="J4637" t="n">
        <v>0</v>
      </c>
      <c r="K4637" t="n">
        <v>0</v>
      </c>
      <c r="L4637" t="n">
        <v>0</v>
      </c>
      <c r="M4637" t="n">
        <v>0</v>
      </c>
      <c r="N4637" t="n">
        <v>0</v>
      </c>
      <c r="O4637" t="n">
        <v>0</v>
      </c>
      <c r="P4637" t="n">
        <v>0</v>
      </c>
      <c r="Q4637" t="n">
        <v>0</v>
      </c>
      <c r="R4637" s="2" t="inlineStr"/>
    </row>
    <row r="4638" ht="15" customHeight="1">
      <c r="A4638" t="inlineStr">
        <is>
          <t>A 31594-2021</t>
        </is>
      </c>
      <c r="B4638" s="1" t="n">
        <v>44369</v>
      </c>
      <c r="C4638" s="1" t="n">
        <v>45810</v>
      </c>
      <c r="D4638" t="inlineStr">
        <is>
          <t>VÄRMLANDS LÄN</t>
        </is>
      </c>
      <c r="E4638" t="inlineStr">
        <is>
          <t>SUNNE</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31589-2021</t>
        </is>
      </c>
      <c r="B4639" s="1" t="n">
        <v>44369</v>
      </c>
      <c r="C4639" s="1" t="n">
        <v>45810</v>
      </c>
      <c r="D4639" t="inlineStr">
        <is>
          <t>VÄRMLANDS LÄN</t>
        </is>
      </c>
      <c r="E4639" t="inlineStr">
        <is>
          <t>SUNNE</t>
        </is>
      </c>
      <c r="G4639" t="n">
        <v>3.9</v>
      </c>
      <c r="H4639" t="n">
        <v>0</v>
      </c>
      <c r="I4639" t="n">
        <v>0</v>
      </c>
      <c r="J4639" t="n">
        <v>0</v>
      </c>
      <c r="K4639" t="n">
        <v>0</v>
      </c>
      <c r="L4639" t="n">
        <v>0</v>
      </c>
      <c r="M4639" t="n">
        <v>0</v>
      </c>
      <c r="N4639" t="n">
        <v>0</v>
      </c>
      <c r="O4639" t="n">
        <v>0</v>
      </c>
      <c r="P4639" t="n">
        <v>0</v>
      </c>
      <c r="Q4639" t="n">
        <v>0</v>
      </c>
      <c r="R4639" s="2" t="inlineStr"/>
    </row>
    <row r="4640" ht="15" customHeight="1">
      <c r="A4640" t="inlineStr">
        <is>
          <t>A 31488-2021</t>
        </is>
      </c>
      <c r="B4640" s="1" t="n">
        <v>44369</v>
      </c>
      <c r="C4640" s="1" t="n">
        <v>45810</v>
      </c>
      <c r="D4640" t="inlineStr">
        <is>
          <t>VÄRMLANDS LÄN</t>
        </is>
      </c>
      <c r="E4640" t="inlineStr">
        <is>
          <t>GRUMS</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31493-2021</t>
        </is>
      </c>
      <c r="B4641" s="1" t="n">
        <v>44369</v>
      </c>
      <c r="C4641" s="1" t="n">
        <v>45810</v>
      </c>
      <c r="D4641" t="inlineStr">
        <is>
          <t>VÄRMLANDS LÄN</t>
        </is>
      </c>
      <c r="E4641" t="inlineStr">
        <is>
          <t>TORSBY</t>
        </is>
      </c>
      <c r="G4641" t="n">
        <v>2.6</v>
      </c>
      <c r="H4641" t="n">
        <v>0</v>
      </c>
      <c r="I4641" t="n">
        <v>0</v>
      </c>
      <c r="J4641" t="n">
        <v>0</v>
      </c>
      <c r="K4641" t="n">
        <v>0</v>
      </c>
      <c r="L4641" t="n">
        <v>0</v>
      </c>
      <c r="M4641" t="n">
        <v>0</v>
      </c>
      <c r="N4641" t="n">
        <v>0</v>
      </c>
      <c r="O4641" t="n">
        <v>0</v>
      </c>
      <c r="P4641" t="n">
        <v>0</v>
      </c>
      <c r="Q4641" t="n">
        <v>0</v>
      </c>
      <c r="R4641" s="2" t="inlineStr"/>
    </row>
    <row r="4642" ht="15" customHeight="1">
      <c r="A4642" t="inlineStr">
        <is>
          <t>A 31511-2021</t>
        </is>
      </c>
      <c r="B4642" s="1" t="n">
        <v>44369</v>
      </c>
      <c r="C4642" s="1" t="n">
        <v>45810</v>
      </c>
      <c r="D4642" t="inlineStr">
        <is>
          <t>VÄRMLANDS LÄN</t>
        </is>
      </c>
      <c r="E4642" t="inlineStr">
        <is>
          <t>TORSBY</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31525-2021</t>
        </is>
      </c>
      <c r="B4643" s="1" t="n">
        <v>44369</v>
      </c>
      <c r="C4643" s="1" t="n">
        <v>45810</v>
      </c>
      <c r="D4643" t="inlineStr">
        <is>
          <t>VÄRMLANDS LÄN</t>
        </is>
      </c>
      <c r="E4643" t="inlineStr">
        <is>
          <t>SUNNE</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31608-2021</t>
        </is>
      </c>
      <c r="B4644" s="1" t="n">
        <v>44369</v>
      </c>
      <c r="C4644" s="1" t="n">
        <v>45810</v>
      </c>
      <c r="D4644" t="inlineStr">
        <is>
          <t>VÄRMLANDS LÄN</t>
        </is>
      </c>
      <c r="E4644" t="inlineStr">
        <is>
          <t>SUNNE</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31599-2021</t>
        </is>
      </c>
      <c r="B4645" s="1" t="n">
        <v>44369</v>
      </c>
      <c r="C4645" s="1" t="n">
        <v>45810</v>
      </c>
      <c r="D4645" t="inlineStr">
        <is>
          <t>VÄRMLANDS LÄN</t>
        </is>
      </c>
      <c r="E4645" t="inlineStr">
        <is>
          <t>EDA</t>
        </is>
      </c>
      <c r="G4645" t="n">
        <v>2.6</v>
      </c>
      <c r="H4645" t="n">
        <v>0</v>
      </c>
      <c r="I4645" t="n">
        <v>0</v>
      </c>
      <c r="J4645" t="n">
        <v>0</v>
      </c>
      <c r="K4645" t="n">
        <v>0</v>
      </c>
      <c r="L4645" t="n">
        <v>0</v>
      </c>
      <c r="M4645" t="n">
        <v>0</v>
      </c>
      <c r="N4645" t="n">
        <v>0</v>
      </c>
      <c r="O4645" t="n">
        <v>0</v>
      </c>
      <c r="P4645" t="n">
        <v>0</v>
      </c>
      <c r="Q4645" t="n">
        <v>0</v>
      </c>
      <c r="R4645" s="2" t="inlineStr"/>
    </row>
    <row r="4646" ht="15" customHeight="1">
      <c r="A4646" t="inlineStr">
        <is>
          <t>A 31606-2021</t>
        </is>
      </c>
      <c r="B4646" s="1" t="n">
        <v>44369</v>
      </c>
      <c r="C4646" s="1" t="n">
        <v>45810</v>
      </c>
      <c r="D4646" t="inlineStr">
        <is>
          <t>VÄRMLANDS LÄN</t>
        </is>
      </c>
      <c r="E4646" t="inlineStr">
        <is>
          <t>SUNNE</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31615-2021</t>
        </is>
      </c>
      <c r="B4647" s="1" t="n">
        <v>44369</v>
      </c>
      <c r="C4647" s="1" t="n">
        <v>45810</v>
      </c>
      <c r="D4647" t="inlineStr">
        <is>
          <t>VÄRMLANDS LÄN</t>
        </is>
      </c>
      <c r="E4647" t="inlineStr">
        <is>
          <t>SUNNE</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31644-2021</t>
        </is>
      </c>
      <c r="B4648" s="1" t="n">
        <v>44369</v>
      </c>
      <c r="C4648" s="1" t="n">
        <v>45810</v>
      </c>
      <c r="D4648" t="inlineStr">
        <is>
          <t>VÄRMLANDS LÄN</t>
        </is>
      </c>
      <c r="E4648" t="inlineStr">
        <is>
          <t>EDA</t>
        </is>
      </c>
      <c r="G4648" t="n">
        <v>4</v>
      </c>
      <c r="H4648" t="n">
        <v>0</v>
      </c>
      <c r="I4648" t="n">
        <v>0</v>
      </c>
      <c r="J4648" t="n">
        <v>0</v>
      </c>
      <c r="K4648" t="n">
        <v>0</v>
      </c>
      <c r="L4648" t="n">
        <v>0</v>
      </c>
      <c r="M4648" t="n">
        <v>0</v>
      </c>
      <c r="N4648" t="n">
        <v>0</v>
      </c>
      <c r="O4648" t="n">
        <v>0</v>
      </c>
      <c r="P4648" t="n">
        <v>0</v>
      </c>
      <c r="Q4648" t="n">
        <v>0</v>
      </c>
      <c r="R4648" s="2" t="inlineStr"/>
    </row>
    <row r="4649" ht="15" customHeight="1">
      <c r="A4649" t="inlineStr">
        <is>
          <t>A 31657-2021</t>
        </is>
      </c>
      <c r="B4649" s="1" t="n">
        <v>44369</v>
      </c>
      <c r="C4649" s="1" t="n">
        <v>45810</v>
      </c>
      <c r="D4649" t="inlineStr">
        <is>
          <t>VÄRMLANDS LÄN</t>
        </is>
      </c>
      <c r="E4649" t="inlineStr">
        <is>
          <t>EDA</t>
        </is>
      </c>
      <c r="G4649" t="n">
        <v>3.3</v>
      </c>
      <c r="H4649" t="n">
        <v>0</v>
      </c>
      <c r="I4649" t="n">
        <v>0</v>
      </c>
      <c r="J4649" t="n">
        <v>0</v>
      </c>
      <c r="K4649" t="n">
        <v>0</v>
      </c>
      <c r="L4649" t="n">
        <v>0</v>
      </c>
      <c r="M4649" t="n">
        <v>0</v>
      </c>
      <c r="N4649" t="n">
        <v>0</v>
      </c>
      <c r="O4649" t="n">
        <v>0</v>
      </c>
      <c r="P4649" t="n">
        <v>0</v>
      </c>
      <c r="Q4649" t="n">
        <v>0</v>
      </c>
      <c r="R4649" s="2" t="inlineStr"/>
    </row>
    <row r="4650" ht="15" customHeight="1">
      <c r="A4650" t="inlineStr">
        <is>
          <t>A 31601-2021</t>
        </is>
      </c>
      <c r="B4650" s="1" t="n">
        <v>44369</v>
      </c>
      <c r="C4650" s="1" t="n">
        <v>45810</v>
      </c>
      <c r="D4650" t="inlineStr">
        <is>
          <t>VÄRMLANDS LÄN</t>
        </is>
      </c>
      <c r="E4650" t="inlineStr">
        <is>
          <t>SUNNE</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31609-2021</t>
        </is>
      </c>
      <c r="B4651" s="1" t="n">
        <v>44369</v>
      </c>
      <c r="C4651" s="1" t="n">
        <v>45810</v>
      </c>
      <c r="D4651" t="inlineStr">
        <is>
          <t>VÄRMLANDS LÄN</t>
        </is>
      </c>
      <c r="E4651" t="inlineStr">
        <is>
          <t>SUNNE</t>
        </is>
      </c>
      <c r="G4651" t="n">
        <v>2.1</v>
      </c>
      <c r="H4651" t="n">
        <v>0</v>
      </c>
      <c r="I4651" t="n">
        <v>0</v>
      </c>
      <c r="J4651" t="n">
        <v>0</v>
      </c>
      <c r="K4651" t="n">
        <v>0</v>
      </c>
      <c r="L4651" t="n">
        <v>0</v>
      </c>
      <c r="M4651" t="n">
        <v>0</v>
      </c>
      <c r="N4651" t="n">
        <v>0</v>
      </c>
      <c r="O4651" t="n">
        <v>0</v>
      </c>
      <c r="P4651" t="n">
        <v>0</v>
      </c>
      <c r="Q4651" t="n">
        <v>0</v>
      </c>
      <c r="R4651" s="2" t="inlineStr"/>
    </row>
    <row r="4652" ht="15" customHeight="1">
      <c r="A4652" t="inlineStr">
        <is>
          <t>A 31603-2021</t>
        </is>
      </c>
      <c r="B4652" s="1" t="n">
        <v>44369</v>
      </c>
      <c r="C4652" s="1" t="n">
        <v>45810</v>
      </c>
      <c r="D4652" t="inlineStr">
        <is>
          <t>VÄRMLANDS LÄN</t>
        </is>
      </c>
      <c r="E4652" t="inlineStr">
        <is>
          <t>SUNNE</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31621-2021</t>
        </is>
      </c>
      <c r="B4653" s="1" t="n">
        <v>44369</v>
      </c>
      <c r="C4653" s="1" t="n">
        <v>45810</v>
      </c>
      <c r="D4653" t="inlineStr">
        <is>
          <t>VÄRMLANDS LÄN</t>
        </is>
      </c>
      <c r="E4653" t="inlineStr">
        <is>
          <t>SUNNE</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32951-2021</t>
        </is>
      </c>
      <c r="B4654" s="1" t="n">
        <v>44369</v>
      </c>
      <c r="C4654" s="1" t="n">
        <v>45810</v>
      </c>
      <c r="D4654" t="inlineStr">
        <is>
          <t>VÄRMLANDS LÄN</t>
        </is>
      </c>
      <c r="E4654" t="inlineStr">
        <is>
          <t>SUNNE</t>
        </is>
      </c>
      <c r="G4654" t="n">
        <v>2.8</v>
      </c>
      <c r="H4654" t="n">
        <v>0</v>
      </c>
      <c r="I4654" t="n">
        <v>0</v>
      </c>
      <c r="J4654" t="n">
        <v>0</v>
      </c>
      <c r="K4654" t="n">
        <v>0</v>
      </c>
      <c r="L4654" t="n">
        <v>0</v>
      </c>
      <c r="M4654" t="n">
        <v>0</v>
      </c>
      <c r="N4654" t="n">
        <v>0</v>
      </c>
      <c r="O4654" t="n">
        <v>0</v>
      </c>
      <c r="P4654" t="n">
        <v>0</v>
      </c>
      <c r="Q4654" t="n">
        <v>0</v>
      </c>
      <c r="R4654" s="2" t="inlineStr"/>
    </row>
    <row r="4655" ht="15" customHeight="1">
      <c r="A4655" t="inlineStr">
        <is>
          <t>A 31870-2021</t>
        </is>
      </c>
      <c r="B4655" s="1" t="n">
        <v>44370</v>
      </c>
      <c r="C4655" s="1" t="n">
        <v>45810</v>
      </c>
      <c r="D4655" t="inlineStr">
        <is>
          <t>VÄRMLANDS LÄN</t>
        </is>
      </c>
      <c r="E4655" t="inlineStr">
        <is>
          <t>ARVIKA</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31929-2021</t>
        </is>
      </c>
      <c r="B4656" s="1" t="n">
        <v>44370</v>
      </c>
      <c r="C4656" s="1" t="n">
        <v>45810</v>
      </c>
      <c r="D4656" t="inlineStr">
        <is>
          <t>VÄRMLANDS LÄN</t>
        </is>
      </c>
      <c r="E4656" t="inlineStr">
        <is>
          <t>ARVIKA</t>
        </is>
      </c>
      <c r="G4656" t="n">
        <v>4.2</v>
      </c>
      <c r="H4656" t="n">
        <v>0</v>
      </c>
      <c r="I4656" t="n">
        <v>0</v>
      </c>
      <c r="J4656" t="n">
        <v>0</v>
      </c>
      <c r="K4656" t="n">
        <v>0</v>
      </c>
      <c r="L4656" t="n">
        <v>0</v>
      </c>
      <c r="M4656" t="n">
        <v>0</v>
      </c>
      <c r="N4656" t="n">
        <v>0</v>
      </c>
      <c r="O4656" t="n">
        <v>0</v>
      </c>
      <c r="P4656" t="n">
        <v>0</v>
      </c>
      <c r="Q4656" t="n">
        <v>0</v>
      </c>
      <c r="R4656" s="2" t="inlineStr"/>
    </row>
    <row r="4657" ht="15" customHeight="1">
      <c r="A4657" t="inlineStr">
        <is>
          <t>A 31894-2021</t>
        </is>
      </c>
      <c r="B4657" s="1" t="n">
        <v>44370</v>
      </c>
      <c r="C4657" s="1" t="n">
        <v>45810</v>
      </c>
      <c r="D4657" t="inlineStr">
        <is>
          <t>VÄRMLANDS LÄN</t>
        </is>
      </c>
      <c r="E4657" t="inlineStr">
        <is>
          <t>TORSBY</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31937-2021</t>
        </is>
      </c>
      <c r="B4658" s="1" t="n">
        <v>44370</v>
      </c>
      <c r="C4658" s="1" t="n">
        <v>45810</v>
      </c>
      <c r="D4658" t="inlineStr">
        <is>
          <t>VÄRMLANDS LÄN</t>
        </is>
      </c>
      <c r="E4658" t="inlineStr">
        <is>
          <t>HAGFORS</t>
        </is>
      </c>
      <c r="F4658" t="inlineStr">
        <is>
          <t>Bergvik skog väst AB</t>
        </is>
      </c>
      <c r="G4658" t="n">
        <v>2.7</v>
      </c>
      <c r="H4658" t="n">
        <v>0</v>
      </c>
      <c r="I4658" t="n">
        <v>0</v>
      </c>
      <c r="J4658" t="n">
        <v>0</v>
      </c>
      <c r="K4658" t="n">
        <v>0</v>
      </c>
      <c r="L4658" t="n">
        <v>0</v>
      </c>
      <c r="M4658" t="n">
        <v>0</v>
      </c>
      <c r="N4658" t="n">
        <v>0</v>
      </c>
      <c r="O4658" t="n">
        <v>0</v>
      </c>
      <c r="P4658" t="n">
        <v>0</v>
      </c>
      <c r="Q4658" t="n">
        <v>0</v>
      </c>
      <c r="R4658" s="2" t="inlineStr"/>
    </row>
    <row r="4659" ht="15" customHeight="1">
      <c r="A4659" t="inlineStr">
        <is>
          <t>A 31911-2021</t>
        </is>
      </c>
      <c r="B4659" s="1" t="n">
        <v>44370</v>
      </c>
      <c r="C4659" s="1" t="n">
        <v>45810</v>
      </c>
      <c r="D4659" t="inlineStr">
        <is>
          <t>VÄRMLANDS LÄN</t>
        </is>
      </c>
      <c r="E4659" t="inlineStr">
        <is>
          <t>TORSBY</t>
        </is>
      </c>
      <c r="G4659" t="n">
        <v>2.6</v>
      </c>
      <c r="H4659" t="n">
        <v>0</v>
      </c>
      <c r="I4659" t="n">
        <v>0</v>
      </c>
      <c r="J4659" t="n">
        <v>0</v>
      </c>
      <c r="K4659" t="n">
        <v>0</v>
      </c>
      <c r="L4659" t="n">
        <v>0</v>
      </c>
      <c r="M4659" t="n">
        <v>0</v>
      </c>
      <c r="N4659" t="n">
        <v>0</v>
      </c>
      <c r="O4659" t="n">
        <v>0</v>
      </c>
      <c r="P4659" t="n">
        <v>0</v>
      </c>
      <c r="Q4659" t="n">
        <v>0</v>
      </c>
      <c r="R4659" s="2" t="inlineStr"/>
    </row>
    <row r="4660" ht="15" customHeight="1">
      <c r="A4660" t="inlineStr">
        <is>
          <t>A 31996-2021</t>
        </is>
      </c>
      <c r="B4660" s="1" t="n">
        <v>44370</v>
      </c>
      <c r="C4660" s="1" t="n">
        <v>45810</v>
      </c>
      <c r="D4660" t="inlineStr">
        <is>
          <t>VÄRMLANDS LÄN</t>
        </is>
      </c>
      <c r="E4660" t="inlineStr">
        <is>
          <t>ARVIKA</t>
        </is>
      </c>
      <c r="F4660" t="inlineStr">
        <is>
          <t>Bergvik skog väst AB</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32256-2021</t>
        </is>
      </c>
      <c r="B4661" s="1" t="n">
        <v>44370</v>
      </c>
      <c r="C4661" s="1" t="n">
        <v>45810</v>
      </c>
      <c r="D4661" t="inlineStr">
        <is>
          <t>VÄRMLANDS LÄN</t>
        </is>
      </c>
      <c r="E4661" t="inlineStr">
        <is>
          <t>SÄFFLE</t>
        </is>
      </c>
      <c r="G4661" t="n">
        <v>10.8</v>
      </c>
      <c r="H4661" t="n">
        <v>0</v>
      </c>
      <c r="I4661" t="n">
        <v>0</v>
      </c>
      <c r="J4661" t="n">
        <v>0</v>
      </c>
      <c r="K4661" t="n">
        <v>0</v>
      </c>
      <c r="L4661" t="n">
        <v>0</v>
      </c>
      <c r="M4661" t="n">
        <v>0</v>
      </c>
      <c r="N4661" t="n">
        <v>0</v>
      </c>
      <c r="O4661" t="n">
        <v>0</v>
      </c>
      <c r="P4661" t="n">
        <v>0</v>
      </c>
      <c r="Q4661" t="n">
        <v>0</v>
      </c>
      <c r="R4661" s="2" t="inlineStr"/>
    </row>
    <row r="4662" ht="15" customHeight="1">
      <c r="A4662" t="inlineStr">
        <is>
          <t>A 32350-2021</t>
        </is>
      </c>
      <c r="B4662" s="1" t="n">
        <v>44371</v>
      </c>
      <c r="C4662" s="1" t="n">
        <v>45810</v>
      </c>
      <c r="D4662" t="inlineStr">
        <is>
          <t>VÄRMLANDS LÄN</t>
        </is>
      </c>
      <c r="E4662" t="inlineStr">
        <is>
          <t>KARLSTAD</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32336-2021</t>
        </is>
      </c>
      <c r="B4663" s="1" t="n">
        <v>44371</v>
      </c>
      <c r="C4663" s="1" t="n">
        <v>45810</v>
      </c>
      <c r="D4663" t="inlineStr">
        <is>
          <t>VÄRMLANDS LÄN</t>
        </is>
      </c>
      <c r="E4663" t="inlineStr">
        <is>
          <t>ARVIKA</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32348-2021</t>
        </is>
      </c>
      <c r="B4664" s="1" t="n">
        <v>44371</v>
      </c>
      <c r="C4664" s="1" t="n">
        <v>45810</v>
      </c>
      <c r="D4664" t="inlineStr">
        <is>
          <t>VÄRMLANDS LÄN</t>
        </is>
      </c>
      <c r="E4664" t="inlineStr">
        <is>
          <t>SUNNE</t>
        </is>
      </c>
      <c r="G4664" t="n">
        <v>2.5</v>
      </c>
      <c r="H4664" t="n">
        <v>0</v>
      </c>
      <c r="I4664" t="n">
        <v>0</v>
      </c>
      <c r="J4664" t="n">
        <v>0</v>
      </c>
      <c r="K4664" t="n">
        <v>0</v>
      </c>
      <c r="L4664" t="n">
        <v>0</v>
      </c>
      <c r="M4664" t="n">
        <v>0</v>
      </c>
      <c r="N4664" t="n">
        <v>0</v>
      </c>
      <c r="O4664" t="n">
        <v>0</v>
      </c>
      <c r="P4664" t="n">
        <v>0</v>
      </c>
      <c r="Q4664" t="n">
        <v>0</v>
      </c>
      <c r="R4664" s="2" t="inlineStr"/>
    </row>
    <row r="4665" ht="15" customHeight="1">
      <c r="A4665" t="inlineStr">
        <is>
          <t>A 32368-2021</t>
        </is>
      </c>
      <c r="B4665" s="1" t="n">
        <v>44371</v>
      </c>
      <c r="C4665" s="1" t="n">
        <v>45810</v>
      </c>
      <c r="D4665" t="inlineStr">
        <is>
          <t>VÄRMLANDS LÄN</t>
        </is>
      </c>
      <c r="E4665" t="inlineStr">
        <is>
          <t>KIL</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32696-2021</t>
        </is>
      </c>
      <c r="B4666" s="1" t="n">
        <v>44375</v>
      </c>
      <c r="C4666" s="1" t="n">
        <v>45810</v>
      </c>
      <c r="D4666" t="inlineStr">
        <is>
          <t>VÄRMLANDS LÄN</t>
        </is>
      </c>
      <c r="E4666" t="inlineStr">
        <is>
          <t>TORSBY</t>
        </is>
      </c>
      <c r="F4666" t="inlineStr">
        <is>
          <t>Bergvik skog väst AB</t>
        </is>
      </c>
      <c r="G4666" t="n">
        <v>14.8</v>
      </c>
      <c r="H4666" t="n">
        <v>0</v>
      </c>
      <c r="I4666" t="n">
        <v>0</v>
      </c>
      <c r="J4666" t="n">
        <v>0</v>
      </c>
      <c r="K4666" t="n">
        <v>0</v>
      </c>
      <c r="L4666" t="n">
        <v>0</v>
      </c>
      <c r="M4666" t="n">
        <v>0</v>
      </c>
      <c r="N4666" t="n">
        <v>0</v>
      </c>
      <c r="O4666" t="n">
        <v>0</v>
      </c>
      <c r="P4666" t="n">
        <v>0</v>
      </c>
      <c r="Q4666" t="n">
        <v>0</v>
      </c>
      <c r="R4666" s="2" t="inlineStr"/>
    </row>
    <row r="4667" ht="15" customHeight="1">
      <c r="A4667" t="inlineStr">
        <is>
          <t>A 32761-2021</t>
        </is>
      </c>
      <c r="B4667" s="1" t="n">
        <v>44375</v>
      </c>
      <c r="C4667" s="1" t="n">
        <v>45810</v>
      </c>
      <c r="D4667" t="inlineStr">
        <is>
          <t>VÄRMLANDS LÄN</t>
        </is>
      </c>
      <c r="E4667" t="inlineStr">
        <is>
          <t>ÅRJÄNG</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36418-2021</t>
        </is>
      </c>
      <c r="B4668" s="1" t="n">
        <v>44375</v>
      </c>
      <c r="C4668" s="1" t="n">
        <v>45810</v>
      </c>
      <c r="D4668" t="inlineStr">
        <is>
          <t>VÄRMLANDS LÄN</t>
        </is>
      </c>
      <c r="E4668" t="inlineStr">
        <is>
          <t>EDA</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32821-2021</t>
        </is>
      </c>
      <c r="B4669" s="1" t="n">
        <v>44375</v>
      </c>
      <c r="C4669" s="1" t="n">
        <v>45810</v>
      </c>
      <c r="D4669" t="inlineStr">
        <is>
          <t>VÄRMLANDS LÄN</t>
        </is>
      </c>
      <c r="E4669" t="inlineStr">
        <is>
          <t>TORSBY</t>
        </is>
      </c>
      <c r="G4669" t="n">
        <v>3.9</v>
      </c>
      <c r="H4669" t="n">
        <v>0</v>
      </c>
      <c r="I4669" t="n">
        <v>0</v>
      </c>
      <c r="J4669" t="n">
        <v>0</v>
      </c>
      <c r="K4669" t="n">
        <v>0</v>
      </c>
      <c r="L4669" t="n">
        <v>0</v>
      </c>
      <c r="M4669" t="n">
        <v>0</v>
      </c>
      <c r="N4669" t="n">
        <v>0</v>
      </c>
      <c r="O4669" t="n">
        <v>0</v>
      </c>
      <c r="P4669" t="n">
        <v>0</v>
      </c>
      <c r="Q4669" t="n">
        <v>0</v>
      </c>
      <c r="R4669" s="2" t="inlineStr"/>
    </row>
    <row r="4670" ht="15" customHeight="1">
      <c r="A4670" t="inlineStr">
        <is>
          <t>A 32747-2021</t>
        </is>
      </c>
      <c r="B4670" s="1" t="n">
        <v>44375</v>
      </c>
      <c r="C4670" s="1" t="n">
        <v>45810</v>
      </c>
      <c r="D4670" t="inlineStr">
        <is>
          <t>VÄRMLANDS LÄN</t>
        </is>
      </c>
      <c r="E4670" t="inlineStr">
        <is>
          <t>TORSBY</t>
        </is>
      </c>
      <c r="G4670" t="n">
        <v>6.3</v>
      </c>
      <c r="H4670" t="n">
        <v>0</v>
      </c>
      <c r="I4670" t="n">
        <v>0</v>
      </c>
      <c r="J4670" t="n">
        <v>0</v>
      </c>
      <c r="K4670" t="n">
        <v>0</v>
      </c>
      <c r="L4670" t="n">
        <v>0</v>
      </c>
      <c r="M4670" t="n">
        <v>0</v>
      </c>
      <c r="N4670" t="n">
        <v>0</v>
      </c>
      <c r="O4670" t="n">
        <v>0</v>
      </c>
      <c r="P4670" t="n">
        <v>0</v>
      </c>
      <c r="Q4670" t="n">
        <v>0</v>
      </c>
      <c r="R4670" s="2" t="inlineStr"/>
    </row>
    <row r="4671" ht="15" customHeight="1">
      <c r="A4671" t="inlineStr">
        <is>
          <t>A 32851-2021</t>
        </is>
      </c>
      <c r="B4671" s="1" t="n">
        <v>44375</v>
      </c>
      <c r="C4671" s="1" t="n">
        <v>45810</v>
      </c>
      <c r="D4671" t="inlineStr">
        <is>
          <t>VÄRMLANDS LÄN</t>
        </is>
      </c>
      <c r="E4671" t="inlineStr">
        <is>
          <t>EDA</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33003-2021</t>
        </is>
      </c>
      <c r="B4672" s="1" t="n">
        <v>44375</v>
      </c>
      <c r="C4672" s="1" t="n">
        <v>45810</v>
      </c>
      <c r="D4672" t="inlineStr">
        <is>
          <t>VÄRMLANDS LÄN</t>
        </is>
      </c>
      <c r="E4672" t="inlineStr">
        <is>
          <t>FORSHAGA</t>
        </is>
      </c>
      <c r="G4672" t="n">
        <v>5.8</v>
      </c>
      <c r="H4672" t="n">
        <v>0</v>
      </c>
      <c r="I4672" t="n">
        <v>0</v>
      </c>
      <c r="J4672" t="n">
        <v>0</v>
      </c>
      <c r="K4672" t="n">
        <v>0</v>
      </c>
      <c r="L4672" t="n">
        <v>0</v>
      </c>
      <c r="M4672" t="n">
        <v>0</v>
      </c>
      <c r="N4672" t="n">
        <v>0</v>
      </c>
      <c r="O4672" t="n">
        <v>0</v>
      </c>
      <c r="P4672" t="n">
        <v>0</v>
      </c>
      <c r="Q4672" t="n">
        <v>0</v>
      </c>
      <c r="R4672" s="2" t="inlineStr"/>
    </row>
    <row r="4673" ht="15" customHeight="1">
      <c r="A4673" t="inlineStr">
        <is>
          <t>A 32973-2021</t>
        </is>
      </c>
      <c r="B4673" s="1" t="n">
        <v>44376</v>
      </c>
      <c r="C4673" s="1" t="n">
        <v>45810</v>
      </c>
      <c r="D4673" t="inlineStr">
        <is>
          <t>VÄRMLANDS LÄN</t>
        </is>
      </c>
      <c r="E4673" t="inlineStr">
        <is>
          <t>ÅRJÄNG</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33107-2021</t>
        </is>
      </c>
      <c r="B4674" s="1" t="n">
        <v>44376</v>
      </c>
      <c r="C4674" s="1" t="n">
        <v>45810</v>
      </c>
      <c r="D4674" t="inlineStr">
        <is>
          <t>VÄRMLANDS LÄN</t>
        </is>
      </c>
      <c r="E4674" t="inlineStr">
        <is>
          <t>HAGFORS</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32943-2021</t>
        </is>
      </c>
      <c r="B4675" s="1" t="n">
        <v>44376</v>
      </c>
      <c r="C4675" s="1" t="n">
        <v>45810</v>
      </c>
      <c r="D4675" t="inlineStr">
        <is>
          <t>VÄRMLANDS LÄN</t>
        </is>
      </c>
      <c r="E4675" t="inlineStr">
        <is>
          <t>KARLSTAD</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33005-2021</t>
        </is>
      </c>
      <c r="B4676" s="1" t="n">
        <v>44376</v>
      </c>
      <c r="C4676" s="1" t="n">
        <v>45810</v>
      </c>
      <c r="D4676" t="inlineStr">
        <is>
          <t>VÄRMLANDS LÄN</t>
        </is>
      </c>
      <c r="E4676" t="inlineStr">
        <is>
          <t>SUNNE</t>
        </is>
      </c>
      <c r="G4676" t="n">
        <v>13.5</v>
      </c>
      <c r="H4676" t="n">
        <v>0</v>
      </c>
      <c r="I4676" t="n">
        <v>0</v>
      </c>
      <c r="J4676" t="n">
        <v>0</v>
      </c>
      <c r="K4676" t="n">
        <v>0</v>
      </c>
      <c r="L4676" t="n">
        <v>0</v>
      </c>
      <c r="M4676" t="n">
        <v>0</v>
      </c>
      <c r="N4676" t="n">
        <v>0</v>
      </c>
      <c r="O4676" t="n">
        <v>0</v>
      </c>
      <c r="P4676" t="n">
        <v>0</v>
      </c>
      <c r="Q4676" t="n">
        <v>0</v>
      </c>
      <c r="R4676" s="2" t="inlineStr"/>
    </row>
    <row r="4677" ht="15" customHeight="1">
      <c r="A4677" t="inlineStr">
        <is>
          <t>A 32940-2021</t>
        </is>
      </c>
      <c r="B4677" s="1" t="n">
        <v>44376</v>
      </c>
      <c r="C4677" s="1" t="n">
        <v>45810</v>
      </c>
      <c r="D4677" t="inlineStr">
        <is>
          <t>VÄRMLANDS LÄN</t>
        </is>
      </c>
      <c r="E4677" t="inlineStr">
        <is>
          <t>KARLSTAD</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33025-2021</t>
        </is>
      </c>
      <c r="B4678" s="1" t="n">
        <v>44376</v>
      </c>
      <c r="C4678" s="1" t="n">
        <v>45810</v>
      </c>
      <c r="D4678" t="inlineStr">
        <is>
          <t>VÄRMLANDS LÄN</t>
        </is>
      </c>
      <c r="E4678" t="inlineStr">
        <is>
          <t>ÅRJÄNG</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33146-2021</t>
        </is>
      </c>
      <c r="B4679" s="1" t="n">
        <v>44376</v>
      </c>
      <c r="C4679" s="1" t="n">
        <v>45810</v>
      </c>
      <c r="D4679" t="inlineStr">
        <is>
          <t>VÄRMLANDS LÄN</t>
        </is>
      </c>
      <c r="E4679" t="inlineStr">
        <is>
          <t>TORSBY</t>
        </is>
      </c>
      <c r="F4679" t="inlineStr">
        <is>
          <t>Bergvik skog väst AB</t>
        </is>
      </c>
      <c r="G4679" t="n">
        <v>44.5</v>
      </c>
      <c r="H4679" t="n">
        <v>0</v>
      </c>
      <c r="I4679" t="n">
        <v>0</v>
      </c>
      <c r="J4679" t="n">
        <v>0</v>
      </c>
      <c r="K4679" t="n">
        <v>0</v>
      </c>
      <c r="L4679" t="n">
        <v>0</v>
      </c>
      <c r="M4679" t="n">
        <v>0</v>
      </c>
      <c r="N4679" t="n">
        <v>0</v>
      </c>
      <c r="O4679" t="n">
        <v>0</v>
      </c>
      <c r="P4679" t="n">
        <v>0</v>
      </c>
      <c r="Q4679" t="n">
        <v>0</v>
      </c>
      <c r="R4679" s="2" t="inlineStr"/>
    </row>
    <row r="4680" ht="15" customHeight="1">
      <c r="A4680" t="inlineStr">
        <is>
          <t>A 33182-2021</t>
        </is>
      </c>
      <c r="B4680" s="1" t="n">
        <v>44376</v>
      </c>
      <c r="C4680" s="1" t="n">
        <v>45810</v>
      </c>
      <c r="D4680" t="inlineStr">
        <is>
          <t>VÄRMLANDS LÄN</t>
        </is>
      </c>
      <c r="E4680" t="inlineStr">
        <is>
          <t>TORSBY</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33145-2021</t>
        </is>
      </c>
      <c r="B4681" s="1" t="n">
        <v>44376</v>
      </c>
      <c r="C4681" s="1" t="n">
        <v>45810</v>
      </c>
      <c r="D4681" t="inlineStr">
        <is>
          <t>VÄRMLANDS LÄN</t>
        </is>
      </c>
      <c r="E4681" t="inlineStr">
        <is>
          <t>TORSBY</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33149-2021</t>
        </is>
      </c>
      <c r="B4682" s="1" t="n">
        <v>44376</v>
      </c>
      <c r="C4682" s="1" t="n">
        <v>45810</v>
      </c>
      <c r="D4682" t="inlineStr">
        <is>
          <t>VÄRMLANDS LÄN</t>
        </is>
      </c>
      <c r="E4682" t="inlineStr">
        <is>
          <t>TORSBY</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33153-2021</t>
        </is>
      </c>
      <c r="B4683" s="1" t="n">
        <v>44376</v>
      </c>
      <c r="C4683" s="1" t="n">
        <v>45810</v>
      </c>
      <c r="D4683" t="inlineStr">
        <is>
          <t>VÄRMLANDS LÄN</t>
        </is>
      </c>
      <c r="E4683" t="inlineStr">
        <is>
          <t>EDA</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33183-2021</t>
        </is>
      </c>
      <c r="B4684" s="1" t="n">
        <v>44376</v>
      </c>
      <c r="C4684" s="1" t="n">
        <v>45810</v>
      </c>
      <c r="D4684" t="inlineStr">
        <is>
          <t>VÄRMLANDS LÄN</t>
        </is>
      </c>
      <c r="E4684" t="inlineStr">
        <is>
          <t>TORSBY</t>
        </is>
      </c>
      <c r="G4684" t="n">
        <v>2.3</v>
      </c>
      <c r="H4684" t="n">
        <v>0</v>
      </c>
      <c r="I4684" t="n">
        <v>0</v>
      </c>
      <c r="J4684" t="n">
        <v>0</v>
      </c>
      <c r="K4684" t="n">
        <v>0</v>
      </c>
      <c r="L4684" t="n">
        <v>0</v>
      </c>
      <c r="M4684" t="n">
        <v>0</v>
      </c>
      <c r="N4684" t="n">
        <v>0</v>
      </c>
      <c r="O4684" t="n">
        <v>0</v>
      </c>
      <c r="P4684" t="n">
        <v>0</v>
      </c>
      <c r="Q4684" t="n">
        <v>0</v>
      </c>
      <c r="R4684" s="2" t="inlineStr"/>
    </row>
    <row r="4685" ht="15" customHeight="1">
      <c r="A4685" t="inlineStr">
        <is>
          <t>A 33254-2021</t>
        </is>
      </c>
      <c r="B4685" s="1" t="n">
        <v>44377</v>
      </c>
      <c r="C4685" s="1" t="n">
        <v>45810</v>
      </c>
      <c r="D4685" t="inlineStr">
        <is>
          <t>VÄRMLANDS LÄN</t>
        </is>
      </c>
      <c r="E4685" t="inlineStr">
        <is>
          <t>EDA</t>
        </is>
      </c>
      <c r="G4685" t="n">
        <v>0.3</v>
      </c>
      <c r="H4685" t="n">
        <v>0</v>
      </c>
      <c r="I4685" t="n">
        <v>0</v>
      </c>
      <c r="J4685" t="n">
        <v>0</v>
      </c>
      <c r="K4685" t="n">
        <v>0</v>
      </c>
      <c r="L4685" t="n">
        <v>0</v>
      </c>
      <c r="M4685" t="n">
        <v>0</v>
      </c>
      <c r="N4685" t="n">
        <v>0</v>
      </c>
      <c r="O4685" t="n">
        <v>0</v>
      </c>
      <c r="P4685" t="n">
        <v>0</v>
      </c>
      <c r="Q4685" t="n">
        <v>0</v>
      </c>
      <c r="R4685" s="2" t="inlineStr"/>
    </row>
    <row r="4686" ht="15" customHeight="1">
      <c r="A4686" t="inlineStr">
        <is>
          <t>A 33304-2021</t>
        </is>
      </c>
      <c r="B4686" s="1" t="n">
        <v>44377</v>
      </c>
      <c r="C4686" s="1" t="n">
        <v>45810</v>
      </c>
      <c r="D4686" t="inlineStr">
        <is>
          <t>VÄRMLANDS LÄN</t>
        </is>
      </c>
      <c r="E4686" t="inlineStr">
        <is>
          <t>ÅRJÄNG</t>
        </is>
      </c>
      <c r="G4686" t="n">
        <v>4.9</v>
      </c>
      <c r="H4686" t="n">
        <v>0</v>
      </c>
      <c r="I4686" t="n">
        <v>0</v>
      </c>
      <c r="J4686" t="n">
        <v>0</v>
      </c>
      <c r="K4686" t="n">
        <v>0</v>
      </c>
      <c r="L4686" t="n">
        <v>0</v>
      </c>
      <c r="M4686" t="n">
        <v>0</v>
      </c>
      <c r="N4686" t="n">
        <v>0</v>
      </c>
      <c r="O4686" t="n">
        <v>0</v>
      </c>
      <c r="P4686" t="n">
        <v>0</v>
      </c>
      <c r="Q4686" t="n">
        <v>0</v>
      </c>
      <c r="R4686" s="2" t="inlineStr"/>
    </row>
    <row r="4687" ht="15" customHeight="1">
      <c r="A4687" t="inlineStr">
        <is>
          <t>A 33247-2021</t>
        </is>
      </c>
      <c r="B4687" s="1" t="n">
        <v>44377</v>
      </c>
      <c r="C4687" s="1" t="n">
        <v>45810</v>
      </c>
      <c r="D4687" t="inlineStr">
        <is>
          <t>VÄRMLANDS LÄN</t>
        </is>
      </c>
      <c r="E4687" t="inlineStr">
        <is>
          <t>EDA</t>
        </is>
      </c>
      <c r="G4687" t="n">
        <v>0.4</v>
      </c>
      <c r="H4687" t="n">
        <v>0</v>
      </c>
      <c r="I4687" t="n">
        <v>0</v>
      </c>
      <c r="J4687" t="n">
        <v>0</v>
      </c>
      <c r="K4687" t="n">
        <v>0</v>
      </c>
      <c r="L4687" t="n">
        <v>0</v>
      </c>
      <c r="M4687" t="n">
        <v>0</v>
      </c>
      <c r="N4687" t="n">
        <v>0</v>
      </c>
      <c r="O4687" t="n">
        <v>0</v>
      </c>
      <c r="P4687" t="n">
        <v>0</v>
      </c>
      <c r="Q4687" t="n">
        <v>0</v>
      </c>
      <c r="R4687" s="2" t="inlineStr"/>
    </row>
    <row r="4688" ht="15" customHeight="1">
      <c r="A4688" t="inlineStr">
        <is>
          <t>A 33291-2021</t>
        </is>
      </c>
      <c r="B4688" s="1" t="n">
        <v>44377</v>
      </c>
      <c r="C4688" s="1" t="n">
        <v>45810</v>
      </c>
      <c r="D4688" t="inlineStr">
        <is>
          <t>VÄRMLANDS LÄN</t>
        </is>
      </c>
      <c r="E4688" t="inlineStr">
        <is>
          <t>KRISTINEHAMN</t>
        </is>
      </c>
      <c r="F4688" t="inlineStr">
        <is>
          <t>Sveaskog</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33239-2021</t>
        </is>
      </c>
      <c r="B4689" s="1" t="n">
        <v>44377</v>
      </c>
      <c r="C4689" s="1" t="n">
        <v>45810</v>
      </c>
      <c r="D4689" t="inlineStr">
        <is>
          <t>VÄRMLANDS LÄN</t>
        </is>
      </c>
      <c r="E4689" t="inlineStr">
        <is>
          <t>EDA</t>
        </is>
      </c>
      <c r="G4689" t="n">
        <v>10.3</v>
      </c>
      <c r="H4689" t="n">
        <v>0</v>
      </c>
      <c r="I4689" t="n">
        <v>0</v>
      </c>
      <c r="J4689" t="n">
        <v>0</v>
      </c>
      <c r="K4689" t="n">
        <v>0</v>
      </c>
      <c r="L4689" t="n">
        <v>0</v>
      </c>
      <c r="M4689" t="n">
        <v>0</v>
      </c>
      <c r="N4689" t="n">
        <v>0</v>
      </c>
      <c r="O4689" t="n">
        <v>0</v>
      </c>
      <c r="P4689" t="n">
        <v>0</v>
      </c>
      <c r="Q4689" t="n">
        <v>0</v>
      </c>
      <c r="R4689" s="2" t="inlineStr"/>
    </row>
    <row r="4690" ht="15" customHeight="1">
      <c r="A4690" t="inlineStr">
        <is>
          <t>A 33461-2021</t>
        </is>
      </c>
      <c r="B4690" s="1" t="n">
        <v>44377</v>
      </c>
      <c r="C4690" s="1" t="n">
        <v>45810</v>
      </c>
      <c r="D4690" t="inlineStr">
        <is>
          <t>VÄRMLANDS LÄN</t>
        </is>
      </c>
      <c r="E4690" t="inlineStr">
        <is>
          <t>STORFORS</t>
        </is>
      </c>
      <c r="F4690" t="inlineStr">
        <is>
          <t>Kyrkan</t>
        </is>
      </c>
      <c r="G4690" t="n">
        <v>8.6</v>
      </c>
      <c r="H4690" t="n">
        <v>0</v>
      </c>
      <c r="I4690" t="n">
        <v>0</v>
      </c>
      <c r="J4690" t="n">
        <v>0</v>
      </c>
      <c r="K4690" t="n">
        <v>0</v>
      </c>
      <c r="L4690" t="n">
        <v>0</v>
      </c>
      <c r="M4690" t="n">
        <v>0</v>
      </c>
      <c r="N4690" t="n">
        <v>0</v>
      </c>
      <c r="O4690" t="n">
        <v>0</v>
      </c>
      <c r="P4690" t="n">
        <v>0</v>
      </c>
      <c r="Q4690" t="n">
        <v>0</v>
      </c>
      <c r="R4690" s="2" t="inlineStr"/>
    </row>
    <row r="4691" ht="15" customHeight="1">
      <c r="A4691" t="inlineStr">
        <is>
          <t>A 33517-2021</t>
        </is>
      </c>
      <c r="B4691" s="1" t="n">
        <v>44377</v>
      </c>
      <c r="C4691" s="1" t="n">
        <v>45810</v>
      </c>
      <c r="D4691" t="inlineStr">
        <is>
          <t>VÄRMLANDS LÄN</t>
        </is>
      </c>
      <c r="E4691" t="inlineStr">
        <is>
          <t>TORSBY</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33515-2021</t>
        </is>
      </c>
      <c r="B4692" s="1" t="n">
        <v>44377</v>
      </c>
      <c r="C4692" s="1" t="n">
        <v>45810</v>
      </c>
      <c r="D4692" t="inlineStr">
        <is>
          <t>VÄRMLANDS LÄN</t>
        </is>
      </c>
      <c r="E4692" t="inlineStr">
        <is>
          <t>TORSBY</t>
        </is>
      </c>
      <c r="G4692" t="n">
        <v>3.5</v>
      </c>
      <c r="H4692" t="n">
        <v>0</v>
      </c>
      <c r="I4692" t="n">
        <v>0</v>
      </c>
      <c r="J4692" t="n">
        <v>0</v>
      </c>
      <c r="K4692" t="n">
        <v>0</v>
      </c>
      <c r="L4692" t="n">
        <v>0</v>
      </c>
      <c r="M4692" t="n">
        <v>0</v>
      </c>
      <c r="N4692" t="n">
        <v>0</v>
      </c>
      <c r="O4692" t="n">
        <v>0</v>
      </c>
      <c r="P4692" t="n">
        <v>0</v>
      </c>
      <c r="Q4692" t="n">
        <v>0</v>
      </c>
      <c r="R4692" s="2" t="inlineStr"/>
    </row>
    <row r="4693" ht="15" customHeight="1">
      <c r="A4693" t="inlineStr">
        <is>
          <t>A 33438-2021</t>
        </is>
      </c>
      <c r="B4693" s="1" t="n">
        <v>44377</v>
      </c>
      <c r="C4693" s="1" t="n">
        <v>45810</v>
      </c>
      <c r="D4693" t="inlineStr">
        <is>
          <t>VÄRMLANDS LÄN</t>
        </is>
      </c>
      <c r="E4693" t="inlineStr">
        <is>
          <t>SÄFFLE</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33705-2021</t>
        </is>
      </c>
      <c r="B4694" s="1" t="n">
        <v>44378</v>
      </c>
      <c r="C4694" s="1" t="n">
        <v>45810</v>
      </c>
      <c r="D4694" t="inlineStr">
        <is>
          <t>VÄRMLANDS LÄN</t>
        </is>
      </c>
      <c r="E4694" t="inlineStr">
        <is>
          <t>SÄFFLE</t>
        </is>
      </c>
      <c r="G4694" t="n">
        <v>3.4</v>
      </c>
      <c r="H4694" t="n">
        <v>0</v>
      </c>
      <c r="I4694" t="n">
        <v>0</v>
      </c>
      <c r="J4694" t="n">
        <v>0</v>
      </c>
      <c r="K4694" t="n">
        <v>0</v>
      </c>
      <c r="L4694" t="n">
        <v>0</v>
      </c>
      <c r="M4694" t="n">
        <v>0</v>
      </c>
      <c r="N4694" t="n">
        <v>0</v>
      </c>
      <c r="O4694" t="n">
        <v>0</v>
      </c>
      <c r="P4694" t="n">
        <v>0</v>
      </c>
      <c r="Q4694" t="n">
        <v>0</v>
      </c>
      <c r="R4694" s="2" t="inlineStr"/>
    </row>
    <row r="4695" ht="15" customHeight="1">
      <c r="A4695" t="inlineStr">
        <is>
          <t>A 33717-2021</t>
        </is>
      </c>
      <c r="B4695" s="1" t="n">
        <v>44378</v>
      </c>
      <c r="C4695" s="1" t="n">
        <v>45810</v>
      </c>
      <c r="D4695" t="inlineStr">
        <is>
          <t>VÄRMLANDS LÄN</t>
        </is>
      </c>
      <c r="E4695" t="inlineStr">
        <is>
          <t>SUNNE</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33725-2021</t>
        </is>
      </c>
      <c r="B4696" s="1" t="n">
        <v>44378</v>
      </c>
      <c r="C4696" s="1" t="n">
        <v>45810</v>
      </c>
      <c r="D4696" t="inlineStr">
        <is>
          <t>VÄRMLANDS LÄN</t>
        </is>
      </c>
      <c r="E4696" t="inlineStr">
        <is>
          <t>SÄFFLE</t>
        </is>
      </c>
      <c r="G4696" t="n">
        <v>2.4</v>
      </c>
      <c r="H4696" t="n">
        <v>0</v>
      </c>
      <c r="I4696" t="n">
        <v>0</v>
      </c>
      <c r="J4696" t="n">
        <v>0</v>
      </c>
      <c r="K4696" t="n">
        <v>0</v>
      </c>
      <c r="L4696" t="n">
        <v>0</v>
      </c>
      <c r="M4696" t="n">
        <v>0</v>
      </c>
      <c r="N4696" t="n">
        <v>0</v>
      </c>
      <c r="O4696" t="n">
        <v>0</v>
      </c>
      <c r="P4696" t="n">
        <v>0</v>
      </c>
      <c r="Q4696" t="n">
        <v>0</v>
      </c>
      <c r="R4696" s="2" t="inlineStr"/>
    </row>
    <row r="4697" ht="15" customHeight="1">
      <c r="A4697" t="inlineStr">
        <is>
          <t>A 33738-2021</t>
        </is>
      </c>
      <c r="B4697" s="1" t="n">
        <v>44378</v>
      </c>
      <c r="C4697" s="1" t="n">
        <v>45810</v>
      </c>
      <c r="D4697" t="inlineStr">
        <is>
          <t>VÄRMLANDS LÄN</t>
        </is>
      </c>
      <c r="E4697" t="inlineStr">
        <is>
          <t>ÅRJÄNG</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33593-2021</t>
        </is>
      </c>
      <c r="B4698" s="1" t="n">
        <v>44378</v>
      </c>
      <c r="C4698" s="1" t="n">
        <v>45810</v>
      </c>
      <c r="D4698" t="inlineStr">
        <is>
          <t>VÄRMLANDS LÄN</t>
        </is>
      </c>
      <c r="E4698" t="inlineStr">
        <is>
          <t>KARLSTAD</t>
        </is>
      </c>
      <c r="G4698" t="n">
        <v>0.4</v>
      </c>
      <c r="H4698" t="n">
        <v>0</v>
      </c>
      <c r="I4698" t="n">
        <v>0</v>
      </c>
      <c r="J4698" t="n">
        <v>0</v>
      </c>
      <c r="K4698" t="n">
        <v>0</v>
      </c>
      <c r="L4698" t="n">
        <v>0</v>
      </c>
      <c r="M4698" t="n">
        <v>0</v>
      </c>
      <c r="N4698" t="n">
        <v>0</v>
      </c>
      <c r="O4698" t="n">
        <v>0</v>
      </c>
      <c r="P4698" t="n">
        <v>0</v>
      </c>
      <c r="Q4698" t="n">
        <v>0</v>
      </c>
      <c r="R4698" s="2" t="inlineStr"/>
    </row>
    <row r="4699" ht="15" customHeight="1">
      <c r="A4699" t="inlineStr">
        <is>
          <t>A 33671-2021</t>
        </is>
      </c>
      <c r="B4699" s="1" t="n">
        <v>44378</v>
      </c>
      <c r="C4699" s="1" t="n">
        <v>45810</v>
      </c>
      <c r="D4699" t="inlineStr">
        <is>
          <t>VÄRMLANDS LÄN</t>
        </is>
      </c>
      <c r="E4699" t="inlineStr">
        <is>
          <t>SÄFFLE</t>
        </is>
      </c>
      <c r="G4699" t="n">
        <v>1.9</v>
      </c>
      <c r="H4699" t="n">
        <v>0</v>
      </c>
      <c r="I4699" t="n">
        <v>0</v>
      </c>
      <c r="J4699" t="n">
        <v>0</v>
      </c>
      <c r="K4699" t="n">
        <v>0</v>
      </c>
      <c r="L4699" t="n">
        <v>0</v>
      </c>
      <c r="M4699" t="n">
        <v>0</v>
      </c>
      <c r="N4699" t="n">
        <v>0</v>
      </c>
      <c r="O4699" t="n">
        <v>0</v>
      </c>
      <c r="P4699" t="n">
        <v>0</v>
      </c>
      <c r="Q4699" t="n">
        <v>0</v>
      </c>
      <c r="R4699" s="2" t="inlineStr"/>
    </row>
    <row r="4700" ht="15" customHeight="1">
      <c r="A4700" t="inlineStr">
        <is>
          <t>A 33728-2021</t>
        </is>
      </c>
      <c r="B4700" s="1" t="n">
        <v>44378</v>
      </c>
      <c r="C4700" s="1" t="n">
        <v>45810</v>
      </c>
      <c r="D4700" t="inlineStr">
        <is>
          <t>VÄRMLANDS LÄN</t>
        </is>
      </c>
      <c r="E4700" t="inlineStr">
        <is>
          <t>ÅRJÄNG</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33839-2021</t>
        </is>
      </c>
      <c r="B4701" s="1" t="n">
        <v>44378</v>
      </c>
      <c r="C4701" s="1" t="n">
        <v>45810</v>
      </c>
      <c r="D4701" t="inlineStr">
        <is>
          <t>VÄRMLANDS LÄN</t>
        </is>
      </c>
      <c r="E4701" t="inlineStr">
        <is>
          <t>TORSBY</t>
        </is>
      </c>
      <c r="F4701" t="inlineStr">
        <is>
          <t>Bergvik skog väst AB</t>
        </is>
      </c>
      <c r="G4701" t="n">
        <v>2.5</v>
      </c>
      <c r="H4701" t="n">
        <v>0</v>
      </c>
      <c r="I4701" t="n">
        <v>0</v>
      </c>
      <c r="J4701" t="n">
        <v>0</v>
      </c>
      <c r="K4701" t="n">
        <v>0</v>
      </c>
      <c r="L4701" t="n">
        <v>0</v>
      </c>
      <c r="M4701" t="n">
        <v>0</v>
      </c>
      <c r="N4701" t="n">
        <v>0</v>
      </c>
      <c r="O4701" t="n">
        <v>0</v>
      </c>
      <c r="P4701" t="n">
        <v>0</v>
      </c>
      <c r="Q4701" t="n">
        <v>0</v>
      </c>
      <c r="R4701" s="2" t="inlineStr"/>
    </row>
    <row r="4702" ht="15" customHeight="1">
      <c r="A4702" t="inlineStr">
        <is>
          <t>A 33853-2021</t>
        </is>
      </c>
      <c r="B4702" s="1" t="n">
        <v>44378</v>
      </c>
      <c r="C4702" s="1" t="n">
        <v>45810</v>
      </c>
      <c r="D4702" t="inlineStr">
        <is>
          <t>VÄRMLANDS LÄN</t>
        </is>
      </c>
      <c r="E4702" t="inlineStr">
        <is>
          <t>TORSBY</t>
        </is>
      </c>
      <c r="F4702" t="inlineStr">
        <is>
          <t>Bergvik skog väst AB</t>
        </is>
      </c>
      <c r="G4702" t="n">
        <v>2</v>
      </c>
      <c r="H4702" t="n">
        <v>0</v>
      </c>
      <c r="I4702" t="n">
        <v>0</v>
      </c>
      <c r="J4702" t="n">
        <v>0</v>
      </c>
      <c r="K4702" t="n">
        <v>0</v>
      </c>
      <c r="L4702" t="n">
        <v>0</v>
      </c>
      <c r="M4702" t="n">
        <v>0</v>
      </c>
      <c r="N4702" t="n">
        <v>0</v>
      </c>
      <c r="O4702" t="n">
        <v>0</v>
      </c>
      <c r="P4702" t="n">
        <v>0</v>
      </c>
      <c r="Q4702" t="n">
        <v>0</v>
      </c>
      <c r="R4702" s="2" t="inlineStr"/>
    </row>
    <row r="4703" ht="15" customHeight="1">
      <c r="A4703" t="inlineStr">
        <is>
          <t>A 33937-2021</t>
        </is>
      </c>
      <c r="B4703" s="1" t="n">
        <v>44378</v>
      </c>
      <c r="C4703" s="1" t="n">
        <v>45810</v>
      </c>
      <c r="D4703" t="inlineStr">
        <is>
          <t>VÄRMLANDS LÄN</t>
        </is>
      </c>
      <c r="E4703" t="inlineStr">
        <is>
          <t>TORSBY</t>
        </is>
      </c>
      <c r="G4703" t="n">
        <v>3.1</v>
      </c>
      <c r="H4703" t="n">
        <v>0</v>
      </c>
      <c r="I4703" t="n">
        <v>0</v>
      </c>
      <c r="J4703" t="n">
        <v>0</v>
      </c>
      <c r="K4703" t="n">
        <v>0</v>
      </c>
      <c r="L4703" t="n">
        <v>0</v>
      </c>
      <c r="M4703" t="n">
        <v>0</v>
      </c>
      <c r="N4703" t="n">
        <v>0</v>
      </c>
      <c r="O4703" t="n">
        <v>0</v>
      </c>
      <c r="P4703" t="n">
        <v>0</v>
      </c>
      <c r="Q4703" t="n">
        <v>0</v>
      </c>
      <c r="R4703" s="2" t="inlineStr"/>
    </row>
    <row r="4704" ht="15" customHeight="1">
      <c r="A4704" t="inlineStr">
        <is>
          <t>A 34006-2021</t>
        </is>
      </c>
      <c r="B4704" s="1" t="n">
        <v>44378</v>
      </c>
      <c r="C4704" s="1" t="n">
        <v>45810</v>
      </c>
      <c r="D4704" t="inlineStr">
        <is>
          <t>VÄRMLANDS LÄN</t>
        </is>
      </c>
      <c r="E4704" t="inlineStr">
        <is>
          <t>SÄFFLE</t>
        </is>
      </c>
      <c r="G4704" t="n">
        <v>5</v>
      </c>
      <c r="H4704" t="n">
        <v>0</v>
      </c>
      <c r="I4704" t="n">
        <v>0</v>
      </c>
      <c r="J4704" t="n">
        <v>0</v>
      </c>
      <c r="K4704" t="n">
        <v>0</v>
      </c>
      <c r="L4704" t="n">
        <v>0</v>
      </c>
      <c r="M4704" t="n">
        <v>0</v>
      </c>
      <c r="N4704" t="n">
        <v>0</v>
      </c>
      <c r="O4704" t="n">
        <v>0</v>
      </c>
      <c r="P4704" t="n">
        <v>0</v>
      </c>
      <c r="Q4704" t="n">
        <v>0</v>
      </c>
      <c r="R4704" s="2" t="inlineStr"/>
    </row>
    <row r="4705" ht="15" customHeight="1">
      <c r="A4705" t="inlineStr">
        <is>
          <t>A 34032-2021</t>
        </is>
      </c>
      <c r="B4705" s="1" t="n">
        <v>44378</v>
      </c>
      <c r="C4705" s="1" t="n">
        <v>45810</v>
      </c>
      <c r="D4705" t="inlineStr">
        <is>
          <t>VÄRMLANDS LÄN</t>
        </is>
      </c>
      <c r="E4705" t="inlineStr">
        <is>
          <t>ÅRJÄNG</t>
        </is>
      </c>
      <c r="F4705" t="inlineStr">
        <is>
          <t>Övriga Aktiebolag</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34063-2021</t>
        </is>
      </c>
      <c r="B4706" s="1" t="n">
        <v>44379</v>
      </c>
      <c r="C4706" s="1" t="n">
        <v>45810</v>
      </c>
      <c r="D4706" t="inlineStr">
        <is>
          <t>VÄRMLANDS LÄN</t>
        </is>
      </c>
      <c r="E4706" t="inlineStr">
        <is>
          <t>HAGFORS</t>
        </is>
      </c>
      <c r="F4706" t="inlineStr">
        <is>
          <t>Bergvik skog väst AB</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34261-2021</t>
        </is>
      </c>
      <c r="B4707" s="1" t="n">
        <v>44379</v>
      </c>
      <c r="C4707" s="1" t="n">
        <v>45810</v>
      </c>
      <c r="D4707" t="inlineStr">
        <is>
          <t>VÄRMLANDS LÄN</t>
        </is>
      </c>
      <c r="E4707" t="inlineStr">
        <is>
          <t>KARLSTAD</t>
        </is>
      </c>
      <c r="G4707" t="n">
        <v>2.4</v>
      </c>
      <c r="H4707" t="n">
        <v>0</v>
      </c>
      <c r="I4707" t="n">
        <v>0</v>
      </c>
      <c r="J4707" t="n">
        <v>0</v>
      </c>
      <c r="K4707" t="n">
        <v>0</v>
      </c>
      <c r="L4707" t="n">
        <v>0</v>
      </c>
      <c r="M4707" t="n">
        <v>0</v>
      </c>
      <c r="N4707" t="n">
        <v>0</v>
      </c>
      <c r="O4707" t="n">
        <v>0</v>
      </c>
      <c r="P4707" t="n">
        <v>0</v>
      </c>
      <c r="Q4707" t="n">
        <v>0</v>
      </c>
      <c r="R4707" s="2" t="inlineStr"/>
    </row>
    <row r="4708" ht="15" customHeight="1">
      <c r="A4708" t="inlineStr">
        <is>
          <t>A 34359-2021</t>
        </is>
      </c>
      <c r="B4708" s="1" t="n">
        <v>44379</v>
      </c>
      <c r="C4708" s="1" t="n">
        <v>45810</v>
      </c>
      <c r="D4708" t="inlineStr">
        <is>
          <t>VÄRMLANDS LÄN</t>
        </is>
      </c>
      <c r="E4708" t="inlineStr">
        <is>
          <t>KARLSTAD</t>
        </is>
      </c>
      <c r="G4708" t="n">
        <v>2.1</v>
      </c>
      <c r="H4708" t="n">
        <v>0</v>
      </c>
      <c r="I4708" t="n">
        <v>0</v>
      </c>
      <c r="J4708" t="n">
        <v>0</v>
      </c>
      <c r="K4708" t="n">
        <v>0</v>
      </c>
      <c r="L4708" t="n">
        <v>0</v>
      </c>
      <c r="M4708" t="n">
        <v>0</v>
      </c>
      <c r="N4708" t="n">
        <v>0</v>
      </c>
      <c r="O4708" t="n">
        <v>0</v>
      </c>
      <c r="P4708" t="n">
        <v>0</v>
      </c>
      <c r="Q4708" t="n">
        <v>0</v>
      </c>
      <c r="R4708" s="2" t="inlineStr"/>
    </row>
    <row r="4709" ht="15" customHeight="1">
      <c r="A4709" t="inlineStr">
        <is>
          <t>A 34290-2021</t>
        </is>
      </c>
      <c r="B4709" s="1" t="n">
        <v>44379</v>
      </c>
      <c r="C4709" s="1" t="n">
        <v>45810</v>
      </c>
      <c r="D4709" t="inlineStr">
        <is>
          <t>VÄRMLANDS LÄN</t>
        </is>
      </c>
      <c r="E4709" t="inlineStr">
        <is>
          <t>KARLSTAD</t>
        </is>
      </c>
      <c r="G4709" t="n">
        <v>2.2</v>
      </c>
      <c r="H4709" t="n">
        <v>0</v>
      </c>
      <c r="I4709" t="n">
        <v>0</v>
      </c>
      <c r="J4709" t="n">
        <v>0</v>
      </c>
      <c r="K4709" t="n">
        <v>0</v>
      </c>
      <c r="L4709" t="n">
        <v>0</v>
      </c>
      <c r="M4709" t="n">
        <v>0</v>
      </c>
      <c r="N4709" t="n">
        <v>0</v>
      </c>
      <c r="O4709" t="n">
        <v>0</v>
      </c>
      <c r="P4709" t="n">
        <v>0</v>
      </c>
      <c r="Q4709" t="n">
        <v>0</v>
      </c>
      <c r="R4709" s="2" t="inlineStr"/>
    </row>
    <row r="4710" ht="15" customHeight="1">
      <c r="A4710" t="inlineStr">
        <is>
          <t>A 34275-2021</t>
        </is>
      </c>
      <c r="B4710" s="1" t="n">
        <v>44379</v>
      </c>
      <c r="C4710" s="1" t="n">
        <v>45810</v>
      </c>
      <c r="D4710" t="inlineStr">
        <is>
          <t>VÄRMLANDS LÄN</t>
        </is>
      </c>
      <c r="E4710" t="inlineStr">
        <is>
          <t>KARLSTAD</t>
        </is>
      </c>
      <c r="F4710" t="inlineStr">
        <is>
          <t>Kyrkan</t>
        </is>
      </c>
      <c r="G4710" t="n">
        <v>8.5</v>
      </c>
      <c r="H4710" t="n">
        <v>0</v>
      </c>
      <c r="I4710" t="n">
        <v>0</v>
      </c>
      <c r="J4710" t="n">
        <v>0</v>
      </c>
      <c r="K4710" t="n">
        <v>0</v>
      </c>
      <c r="L4710" t="n">
        <v>0</v>
      </c>
      <c r="M4710" t="n">
        <v>0</v>
      </c>
      <c r="N4710" t="n">
        <v>0</v>
      </c>
      <c r="O4710" t="n">
        <v>0</v>
      </c>
      <c r="P4710" t="n">
        <v>0</v>
      </c>
      <c r="Q4710" t="n">
        <v>0</v>
      </c>
      <c r="R4710" s="2" t="inlineStr"/>
    </row>
    <row r="4711" ht="15" customHeight="1">
      <c r="A4711" t="inlineStr">
        <is>
          <t>A 34299-2021</t>
        </is>
      </c>
      <c r="B4711" s="1" t="n">
        <v>44379</v>
      </c>
      <c r="C4711" s="1" t="n">
        <v>45810</v>
      </c>
      <c r="D4711" t="inlineStr">
        <is>
          <t>VÄRMLANDS LÄN</t>
        </is>
      </c>
      <c r="E4711" t="inlineStr">
        <is>
          <t>KRISTINEHAMN</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34430-2021</t>
        </is>
      </c>
      <c r="B4712" s="1" t="n">
        <v>44380</v>
      </c>
      <c r="C4712" s="1" t="n">
        <v>45810</v>
      </c>
      <c r="D4712" t="inlineStr">
        <is>
          <t>VÄRMLANDS LÄN</t>
        </is>
      </c>
      <c r="E4712" t="inlineStr">
        <is>
          <t>KRISTINEHAMN</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34425-2021</t>
        </is>
      </c>
      <c r="B4713" s="1" t="n">
        <v>44380</v>
      </c>
      <c r="C4713" s="1" t="n">
        <v>45810</v>
      </c>
      <c r="D4713" t="inlineStr">
        <is>
          <t>VÄRMLANDS LÄN</t>
        </is>
      </c>
      <c r="E4713" t="inlineStr">
        <is>
          <t>ÅRJÄNG</t>
        </is>
      </c>
      <c r="G4713" t="n">
        <v>2.9</v>
      </c>
      <c r="H4713" t="n">
        <v>0</v>
      </c>
      <c r="I4713" t="n">
        <v>0</v>
      </c>
      <c r="J4713" t="n">
        <v>0</v>
      </c>
      <c r="K4713" t="n">
        <v>0</v>
      </c>
      <c r="L4713" t="n">
        <v>0</v>
      </c>
      <c r="M4713" t="n">
        <v>0</v>
      </c>
      <c r="N4713" t="n">
        <v>0</v>
      </c>
      <c r="O4713" t="n">
        <v>0</v>
      </c>
      <c r="P4713" t="n">
        <v>0</v>
      </c>
      <c r="Q4713" t="n">
        <v>0</v>
      </c>
      <c r="R4713" s="2" t="inlineStr"/>
    </row>
    <row r="4714" ht="15" customHeight="1">
      <c r="A4714" t="inlineStr">
        <is>
          <t>A 34466-2021</t>
        </is>
      </c>
      <c r="B4714" s="1" t="n">
        <v>44381</v>
      </c>
      <c r="C4714" s="1" t="n">
        <v>45810</v>
      </c>
      <c r="D4714" t="inlineStr">
        <is>
          <t>VÄRMLANDS LÄN</t>
        </is>
      </c>
      <c r="E4714" t="inlineStr">
        <is>
          <t>ÅRJÄNG</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34607-2021</t>
        </is>
      </c>
      <c r="B4715" s="1" t="n">
        <v>44382</v>
      </c>
      <c r="C4715" s="1" t="n">
        <v>45810</v>
      </c>
      <c r="D4715" t="inlineStr">
        <is>
          <t>VÄRMLANDS LÄN</t>
        </is>
      </c>
      <c r="E4715" t="inlineStr">
        <is>
          <t>KIL</t>
        </is>
      </c>
      <c r="G4715" t="n">
        <v>16.6</v>
      </c>
      <c r="H4715" t="n">
        <v>0</v>
      </c>
      <c r="I4715" t="n">
        <v>0</v>
      </c>
      <c r="J4715" t="n">
        <v>0</v>
      </c>
      <c r="K4715" t="n">
        <v>0</v>
      </c>
      <c r="L4715" t="n">
        <v>0</v>
      </c>
      <c r="M4715" t="n">
        <v>0</v>
      </c>
      <c r="N4715" t="n">
        <v>0</v>
      </c>
      <c r="O4715" t="n">
        <v>0</v>
      </c>
      <c r="P4715" t="n">
        <v>0</v>
      </c>
      <c r="Q4715" t="n">
        <v>0</v>
      </c>
      <c r="R4715" s="2" t="inlineStr"/>
    </row>
    <row r="4716" ht="15" customHeight="1">
      <c r="A4716" t="inlineStr">
        <is>
          <t>A 34618-2021</t>
        </is>
      </c>
      <c r="B4716" s="1" t="n">
        <v>44382</v>
      </c>
      <c r="C4716" s="1" t="n">
        <v>45810</v>
      </c>
      <c r="D4716" t="inlineStr">
        <is>
          <t>VÄRMLANDS LÄN</t>
        </is>
      </c>
      <c r="E4716" t="inlineStr">
        <is>
          <t>KARLSTAD</t>
        </is>
      </c>
      <c r="F4716" t="inlineStr">
        <is>
          <t>Bergvik skog väst AB</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34634-2021</t>
        </is>
      </c>
      <c r="B4717" s="1" t="n">
        <v>44382</v>
      </c>
      <c r="C4717" s="1" t="n">
        <v>45810</v>
      </c>
      <c r="D4717" t="inlineStr">
        <is>
          <t>VÄRMLANDS LÄN</t>
        </is>
      </c>
      <c r="E4717" t="inlineStr">
        <is>
          <t>STORFORS</t>
        </is>
      </c>
      <c r="F4717" t="inlineStr">
        <is>
          <t>Kyrkan</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34616-2021</t>
        </is>
      </c>
      <c r="B4718" s="1" t="n">
        <v>44382</v>
      </c>
      <c r="C4718" s="1" t="n">
        <v>45810</v>
      </c>
      <c r="D4718" t="inlineStr">
        <is>
          <t>VÄRMLANDS LÄN</t>
        </is>
      </c>
      <c r="E4718" t="inlineStr">
        <is>
          <t>EDA</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34538-2021</t>
        </is>
      </c>
      <c r="B4719" s="1" t="n">
        <v>44382</v>
      </c>
      <c r="C4719" s="1" t="n">
        <v>45810</v>
      </c>
      <c r="D4719" t="inlineStr">
        <is>
          <t>VÄRMLANDS LÄN</t>
        </is>
      </c>
      <c r="E4719" t="inlineStr">
        <is>
          <t>MUNKFORS</t>
        </is>
      </c>
      <c r="F4719" t="inlineStr">
        <is>
          <t>Kommuner</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34626-2021</t>
        </is>
      </c>
      <c r="B4720" s="1" t="n">
        <v>44382</v>
      </c>
      <c r="C4720" s="1" t="n">
        <v>45810</v>
      </c>
      <c r="D4720" t="inlineStr">
        <is>
          <t>VÄRMLANDS LÄN</t>
        </is>
      </c>
      <c r="E4720" t="inlineStr">
        <is>
          <t>TORSBY</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34635-2021</t>
        </is>
      </c>
      <c r="B4721" s="1" t="n">
        <v>44382</v>
      </c>
      <c r="C4721" s="1" t="n">
        <v>45810</v>
      </c>
      <c r="D4721" t="inlineStr">
        <is>
          <t>VÄRMLANDS LÄN</t>
        </is>
      </c>
      <c r="E4721" t="inlineStr">
        <is>
          <t>STORFORS</t>
        </is>
      </c>
      <c r="F4721" t="inlineStr">
        <is>
          <t>Kyrkan</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34694-2021</t>
        </is>
      </c>
      <c r="B4722" s="1" t="n">
        <v>44382</v>
      </c>
      <c r="C4722" s="1" t="n">
        <v>45810</v>
      </c>
      <c r="D4722" t="inlineStr">
        <is>
          <t>VÄRMLANDS LÄN</t>
        </is>
      </c>
      <c r="E4722" t="inlineStr">
        <is>
          <t>TORSBY</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34737-2021</t>
        </is>
      </c>
      <c r="B4723" s="1" t="n">
        <v>44382</v>
      </c>
      <c r="C4723" s="1" t="n">
        <v>45810</v>
      </c>
      <c r="D4723" t="inlineStr">
        <is>
          <t>VÄRMLANDS LÄN</t>
        </is>
      </c>
      <c r="E4723" t="inlineStr">
        <is>
          <t>FORSHAGA</t>
        </is>
      </c>
      <c r="F4723" t="inlineStr">
        <is>
          <t>Bergvik skog väst AB</t>
        </is>
      </c>
      <c r="G4723" t="n">
        <v>7.7</v>
      </c>
      <c r="H4723" t="n">
        <v>0</v>
      </c>
      <c r="I4723" t="n">
        <v>0</v>
      </c>
      <c r="J4723" t="n">
        <v>0</v>
      </c>
      <c r="K4723" t="n">
        <v>0</v>
      </c>
      <c r="L4723" t="n">
        <v>0</v>
      </c>
      <c r="M4723" t="n">
        <v>0</v>
      </c>
      <c r="N4723" t="n">
        <v>0</v>
      </c>
      <c r="O4723" t="n">
        <v>0</v>
      </c>
      <c r="P4723" t="n">
        <v>0</v>
      </c>
      <c r="Q4723" t="n">
        <v>0</v>
      </c>
      <c r="R4723" s="2" t="inlineStr"/>
    </row>
    <row r="4724" ht="15" customHeight="1">
      <c r="A4724" t="inlineStr">
        <is>
          <t>A 34913-2021</t>
        </is>
      </c>
      <c r="B4724" s="1" t="n">
        <v>44383</v>
      </c>
      <c r="C4724" s="1" t="n">
        <v>45810</v>
      </c>
      <c r="D4724" t="inlineStr">
        <is>
          <t>VÄRMLANDS LÄN</t>
        </is>
      </c>
      <c r="E4724" t="inlineStr">
        <is>
          <t>STORFORS</t>
        </is>
      </c>
      <c r="F4724" t="inlineStr">
        <is>
          <t>Bergvik skog väst AB</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34885-2021</t>
        </is>
      </c>
      <c r="B4725" s="1" t="n">
        <v>44383</v>
      </c>
      <c r="C4725" s="1" t="n">
        <v>45810</v>
      </c>
      <c r="D4725" t="inlineStr">
        <is>
          <t>VÄRMLANDS LÄN</t>
        </is>
      </c>
      <c r="E4725" t="inlineStr">
        <is>
          <t>TORSBY</t>
        </is>
      </c>
      <c r="G4725" t="n">
        <v>8.9</v>
      </c>
      <c r="H4725" t="n">
        <v>0</v>
      </c>
      <c r="I4725" t="n">
        <v>0</v>
      </c>
      <c r="J4725" t="n">
        <v>0</v>
      </c>
      <c r="K4725" t="n">
        <v>0</v>
      </c>
      <c r="L4725" t="n">
        <v>0</v>
      </c>
      <c r="M4725" t="n">
        <v>0</v>
      </c>
      <c r="N4725" t="n">
        <v>0</v>
      </c>
      <c r="O4725" t="n">
        <v>0</v>
      </c>
      <c r="P4725" t="n">
        <v>0</v>
      </c>
      <c r="Q4725" t="n">
        <v>0</v>
      </c>
      <c r="R4725" s="2" t="inlineStr"/>
    </row>
    <row r="4726" ht="15" customHeight="1">
      <c r="A4726" t="inlineStr">
        <is>
          <t>A 34803-2021</t>
        </is>
      </c>
      <c r="B4726" s="1" t="n">
        <v>44383</v>
      </c>
      <c r="C4726" s="1" t="n">
        <v>45810</v>
      </c>
      <c r="D4726" t="inlineStr">
        <is>
          <t>VÄRMLANDS LÄN</t>
        </is>
      </c>
      <c r="E4726" t="inlineStr">
        <is>
          <t>ÅRJÄNG</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34937-2021</t>
        </is>
      </c>
      <c r="B4727" s="1" t="n">
        <v>44383</v>
      </c>
      <c r="C4727" s="1" t="n">
        <v>45810</v>
      </c>
      <c r="D4727" t="inlineStr">
        <is>
          <t>VÄRMLANDS LÄN</t>
        </is>
      </c>
      <c r="E4727" t="inlineStr">
        <is>
          <t>GRUMS</t>
        </is>
      </c>
      <c r="F4727" t="inlineStr">
        <is>
          <t>Bergvik skog väst AB</t>
        </is>
      </c>
      <c r="G4727" t="n">
        <v>6.6</v>
      </c>
      <c r="H4727" t="n">
        <v>0</v>
      </c>
      <c r="I4727" t="n">
        <v>0</v>
      </c>
      <c r="J4727" t="n">
        <v>0</v>
      </c>
      <c r="K4727" t="n">
        <v>0</v>
      </c>
      <c r="L4727" t="n">
        <v>0</v>
      </c>
      <c r="M4727" t="n">
        <v>0</v>
      </c>
      <c r="N4727" t="n">
        <v>0</v>
      </c>
      <c r="O4727" t="n">
        <v>0</v>
      </c>
      <c r="P4727" t="n">
        <v>0</v>
      </c>
      <c r="Q4727" t="n">
        <v>0</v>
      </c>
      <c r="R4727" s="2" t="inlineStr"/>
    </row>
    <row r="4728" ht="15" customHeight="1">
      <c r="A4728" t="inlineStr">
        <is>
          <t>A 34994-2021</t>
        </is>
      </c>
      <c r="B4728" s="1" t="n">
        <v>44383</v>
      </c>
      <c r="C4728" s="1" t="n">
        <v>45810</v>
      </c>
      <c r="D4728" t="inlineStr">
        <is>
          <t>VÄRMLANDS LÄN</t>
        </is>
      </c>
      <c r="E4728" t="inlineStr">
        <is>
          <t>EDA</t>
        </is>
      </c>
      <c r="G4728" t="n">
        <v>3.1</v>
      </c>
      <c r="H4728" t="n">
        <v>0</v>
      </c>
      <c r="I4728" t="n">
        <v>0</v>
      </c>
      <c r="J4728" t="n">
        <v>0</v>
      </c>
      <c r="K4728" t="n">
        <v>0</v>
      </c>
      <c r="L4728" t="n">
        <v>0</v>
      </c>
      <c r="M4728" t="n">
        <v>0</v>
      </c>
      <c r="N4728" t="n">
        <v>0</v>
      </c>
      <c r="O4728" t="n">
        <v>0</v>
      </c>
      <c r="P4728" t="n">
        <v>0</v>
      </c>
      <c r="Q4728" t="n">
        <v>0</v>
      </c>
      <c r="R4728" s="2" t="inlineStr"/>
    </row>
    <row r="4729" ht="15" customHeight="1">
      <c r="A4729" t="inlineStr">
        <is>
          <t>A 35288-2021</t>
        </is>
      </c>
      <c r="B4729" s="1" t="n">
        <v>44383</v>
      </c>
      <c r="C4729" s="1" t="n">
        <v>45810</v>
      </c>
      <c r="D4729" t="inlineStr">
        <is>
          <t>VÄRMLANDS LÄN</t>
        </is>
      </c>
      <c r="E4729" t="inlineStr">
        <is>
          <t>ARVIKA</t>
        </is>
      </c>
      <c r="G4729" t="n">
        <v>1.6</v>
      </c>
      <c r="H4729" t="n">
        <v>0</v>
      </c>
      <c r="I4729" t="n">
        <v>0</v>
      </c>
      <c r="J4729" t="n">
        <v>0</v>
      </c>
      <c r="K4729" t="n">
        <v>0</v>
      </c>
      <c r="L4729" t="n">
        <v>0</v>
      </c>
      <c r="M4729" t="n">
        <v>0</v>
      </c>
      <c r="N4729" t="n">
        <v>0</v>
      </c>
      <c r="O4729" t="n">
        <v>0</v>
      </c>
      <c r="P4729" t="n">
        <v>0</v>
      </c>
      <c r="Q4729" t="n">
        <v>0</v>
      </c>
      <c r="R4729" s="2" t="inlineStr"/>
    </row>
    <row r="4730" ht="15" customHeight="1">
      <c r="A4730" t="inlineStr">
        <is>
          <t>A 35015-2021</t>
        </is>
      </c>
      <c r="B4730" s="1" t="n">
        <v>44383</v>
      </c>
      <c r="C4730" s="1" t="n">
        <v>45810</v>
      </c>
      <c r="D4730" t="inlineStr">
        <is>
          <t>VÄRMLANDS LÄN</t>
        </is>
      </c>
      <c r="E4730" t="inlineStr">
        <is>
          <t>ÅRJÄNG</t>
        </is>
      </c>
      <c r="G4730" t="n">
        <v>3.9</v>
      </c>
      <c r="H4730" t="n">
        <v>0</v>
      </c>
      <c r="I4730" t="n">
        <v>0</v>
      </c>
      <c r="J4730" t="n">
        <v>0</v>
      </c>
      <c r="K4730" t="n">
        <v>0</v>
      </c>
      <c r="L4730" t="n">
        <v>0</v>
      </c>
      <c r="M4730" t="n">
        <v>0</v>
      </c>
      <c r="N4730" t="n">
        <v>0</v>
      </c>
      <c r="O4730" t="n">
        <v>0</v>
      </c>
      <c r="P4730" t="n">
        <v>0</v>
      </c>
      <c r="Q4730" t="n">
        <v>0</v>
      </c>
      <c r="R4730" s="2" t="inlineStr"/>
    </row>
    <row r="4731" ht="15" customHeight="1">
      <c r="A4731" t="inlineStr">
        <is>
          <t>A 35157-2021</t>
        </is>
      </c>
      <c r="B4731" s="1" t="n">
        <v>44383</v>
      </c>
      <c r="C4731" s="1" t="n">
        <v>45810</v>
      </c>
      <c r="D4731" t="inlineStr">
        <is>
          <t>VÄRMLANDS LÄN</t>
        </is>
      </c>
      <c r="E4731" t="inlineStr">
        <is>
          <t>ÅRJÄNG</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35294-2021</t>
        </is>
      </c>
      <c r="B4732" s="1" t="n">
        <v>44383</v>
      </c>
      <c r="C4732" s="1" t="n">
        <v>45810</v>
      </c>
      <c r="D4732" t="inlineStr">
        <is>
          <t>VÄRMLANDS LÄN</t>
        </is>
      </c>
      <c r="E4732" t="inlineStr">
        <is>
          <t>ARVIKA</t>
        </is>
      </c>
      <c r="G4732" t="n">
        <v>2.2</v>
      </c>
      <c r="H4732" t="n">
        <v>0</v>
      </c>
      <c r="I4732" t="n">
        <v>0</v>
      </c>
      <c r="J4732" t="n">
        <v>0</v>
      </c>
      <c r="K4732" t="n">
        <v>0</v>
      </c>
      <c r="L4732" t="n">
        <v>0</v>
      </c>
      <c r="M4732" t="n">
        <v>0</v>
      </c>
      <c r="N4732" t="n">
        <v>0</v>
      </c>
      <c r="O4732" t="n">
        <v>0</v>
      </c>
      <c r="P4732" t="n">
        <v>0</v>
      </c>
      <c r="Q4732" t="n">
        <v>0</v>
      </c>
      <c r="R4732" s="2" t="inlineStr"/>
    </row>
    <row r="4733" ht="15" customHeight="1">
      <c r="A4733" t="inlineStr">
        <is>
          <t>A 35292-2021</t>
        </is>
      </c>
      <c r="B4733" s="1" t="n">
        <v>44383</v>
      </c>
      <c r="C4733" s="1" t="n">
        <v>45810</v>
      </c>
      <c r="D4733" t="inlineStr">
        <is>
          <t>VÄRMLANDS LÄN</t>
        </is>
      </c>
      <c r="E4733" t="inlineStr">
        <is>
          <t>ARVIKA</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35221-2021</t>
        </is>
      </c>
      <c r="B4734" s="1" t="n">
        <v>44384</v>
      </c>
      <c r="C4734" s="1" t="n">
        <v>45810</v>
      </c>
      <c r="D4734" t="inlineStr">
        <is>
          <t>VÄRMLANDS LÄN</t>
        </is>
      </c>
      <c r="E4734" t="inlineStr">
        <is>
          <t>TORSBY</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35248-2021</t>
        </is>
      </c>
      <c r="B4735" s="1" t="n">
        <v>44384</v>
      </c>
      <c r="C4735" s="1" t="n">
        <v>45810</v>
      </c>
      <c r="D4735" t="inlineStr">
        <is>
          <t>VÄRMLANDS LÄN</t>
        </is>
      </c>
      <c r="E4735" t="inlineStr">
        <is>
          <t>KARLSTAD</t>
        </is>
      </c>
      <c r="F4735" t="inlineStr">
        <is>
          <t>Bergvik skog väst AB</t>
        </is>
      </c>
      <c r="G4735" t="n">
        <v>2.8</v>
      </c>
      <c r="H4735" t="n">
        <v>0</v>
      </c>
      <c r="I4735" t="n">
        <v>0</v>
      </c>
      <c r="J4735" t="n">
        <v>0</v>
      </c>
      <c r="K4735" t="n">
        <v>0</v>
      </c>
      <c r="L4735" t="n">
        <v>0</v>
      </c>
      <c r="M4735" t="n">
        <v>0</v>
      </c>
      <c r="N4735" t="n">
        <v>0</v>
      </c>
      <c r="O4735" t="n">
        <v>0</v>
      </c>
      <c r="P4735" t="n">
        <v>0</v>
      </c>
      <c r="Q4735" t="n">
        <v>0</v>
      </c>
      <c r="R4735" s="2" t="inlineStr"/>
    </row>
    <row r="4736" ht="15" customHeight="1">
      <c r="A4736" t="inlineStr">
        <is>
          <t>A 35104-2021</t>
        </is>
      </c>
      <c r="B4736" s="1" t="n">
        <v>44384</v>
      </c>
      <c r="C4736" s="1" t="n">
        <v>45810</v>
      </c>
      <c r="D4736" t="inlineStr">
        <is>
          <t>VÄRMLANDS LÄN</t>
        </is>
      </c>
      <c r="E4736" t="inlineStr">
        <is>
          <t>ÅRJÄNG</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35265-2021</t>
        </is>
      </c>
      <c r="B4737" s="1" t="n">
        <v>44384</v>
      </c>
      <c r="C4737" s="1" t="n">
        <v>45810</v>
      </c>
      <c r="D4737" t="inlineStr">
        <is>
          <t>VÄRMLANDS LÄN</t>
        </is>
      </c>
      <c r="E4737" t="inlineStr">
        <is>
          <t>ÅRJÄNG</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35406-2021</t>
        </is>
      </c>
      <c r="B4738" s="1" t="n">
        <v>44385</v>
      </c>
      <c r="C4738" s="1" t="n">
        <v>45810</v>
      </c>
      <c r="D4738" t="inlineStr">
        <is>
          <t>VÄRMLANDS LÄN</t>
        </is>
      </c>
      <c r="E4738" t="inlineStr">
        <is>
          <t>GRUMS</t>
        </is>
      </c>
      <c r="G4738" t="n">
        <v>2.7</v>
      </c>
      <c r="H4738" t="n">
        <v>0</v>
      </c>
      <c r="I4738" t="n">
        <v>0</v>
      </c>
      <c r="J4738" t="n">
        <v>0</v>
      </c>
      <c r="K4738" t="n">
        <v>0</v>
      </c>
      <c r="L4738" t="n">
        <v>0</v>
      </c>
      <c r="M4738" t="n">
        <v>0</v>
      </c>
      <c r="N4738" t="n">
        <v>0</v>
      </c>
      <c r="O4738" t="n">
        <v>0</v>
      </c>
      <c r="P4738" t="n">
        <v>0</v>
      </c>
      <c r="Q4738" t="n">
        <v>0</v>
      </c>
      <c r="R4738" s="2" t="inlineStr"/>
    </row>
    <row r="4739" ht="15" customHeight="1">
      <c r="A4739" t="inlineStr">
        <is>
          <t>A 35410-2021</t>
        </is>
      </c>
      <c r="B4739" s="1" t="n">
        <v>44385</v>
      </c>
      <c r="C4739" s="1" t="n">
        <v>45810</v>
      </c>
      <c r="D4739" t="inlineStr">
        <is>
          <t>VÄRMLANDS LÄN</t>
        </is>
      </c>
      <c r="E4739" t="inlineStr">
        <is>
          <t>SÄFFLE</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35488-2021</t>
        </is>
      </c>
      <c r="B4740" s="1" t="n">
        <v>44385</v>
      </c>
      <c r="C4740" s="1" t="n">
        <v>45810</v>
      </c>
      <c r="D4740" t="inlineStr">
        <is>
          <t>VÄRMLANDS LÄN</t>
        </is>
      </c>
      <c r="E4740" t="inlineStr">
        <is>
          <t>EDA</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35543-2021</t>
        </is>
      </c>
      <c r="B4741" s="1" t="n">
        <v>44385</v>
      </c>
      <c r="C4741" s="1" t="n">
        <v>45810</v>
      </c>
      <c r="D4741" t="inlineStr">
        <is>
          <t>VÄRMLANDS LÄN</t>
        </is>
      </c>
      <c r="E4741" t="inlineStr">
        <is>
          <t>ÅRJÄNG</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35422-2021</t>
        </is>
      </c>
      <c r="B4742" s="1" t="n">
        <v>44385</v>
      </c>
      <c r="C4742" s="1" t="n">
        <v>45810</v>
      </c>
      <c r="D4742" t="inlineStr">
        <is>
          <t>VÄRMLANDS LÄN</t>
        </is>
      </c>
      <c r="E4742" t="inlineStr">
        <is>
          <t>SÄFFLE</t>
        </is>
      </c>
      <c r="G4742" t="n">
        <v>4.6</v>
      </c>
      <c r="H4742" t="n">
        <v>0</v>
      </c>
      <c r="I4742" t="n">
        <v>0</v>
      </c>
      <c r="J4742" t="n">
        <v>0</v>
      </c>
      <c r="K4742" t="n">
        <v>0</v>
      </c>
      <c r="L4742" t="n">
        <v>0</v>
      </c>
      <c r="M4742" t="n">
        <v>0</v>
      </c>
      <c r="N4742" t="n">
        <v>0</v>
      </c>
      <c r="O4742" t="n">
        <v>0</v>
      </c>
      <c r="P4742" t="n">
        <v>0</v>
      </c>
      <c r="Q4742" t="n">
        <v>0</v>
      </c>
      <c r="R4742" s="2" t="inlineStr"/>
    </row>
    <row r="4743" ht="15" customHeight="1">
      <c r="A4743" t="inlineStr">
        <is>
          <t>A 35412-2021</t>
        </is>
      </c>
      <c r="B4743" s="1" t="n">
        <v>44385</v>
      </c>
      <c r="C4743" s="1" t="n">
        <v>45810</v>
      </c>
      <c r="D4743" t="inlineStr">
        <is>
          <t>VÄRMLANDS LÄN</t>
        </is>
      </c>
      <c r="E4743" t="inlineStr">
        <is>
          <t>KARLSTAD</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35823-2021</t>
        </is>
      </c>
      <c r="B4744" s="1" t="n">
        <v>44385</v>
      </c>
      <c r="C4744" s="1" t="n">
        <v>45810</v>
      </c>
      <c r="D4744" t="inlineStr">
        <is>
          <t>VÄRMLANDS LÄN</t>
        </is>
      </c>
      <c r="E4744" t="inlineStr">
        <is>
          <t>SÄFFLE</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35517-2021</t>
        </is>
      </c>
      <c r="B4745" s="1" t="n">
        <v>44385</v>
      </c>
      <c r="C4745" s="1" t="n">
        <v>45810</v>
      </c>
      <c r="D4745" t="inlineStr">
        <is>
          <t>VÄRMLANDS LÄN</t>
        </is>
      </c>
      <c r="E4745" t="inlineStr">
        <is>
          <t>ARVIKA</t>
        </is>
      </c>
      <c r="F4745" t="inlineStr">
        <is>
          <t>Bergvik skog väst AB</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35972-2021</t>
        </is>
      </c>
      <c r="B4746" s="1" t="n">
        <v>44385</v>
      </c>
      <c r="C4746" s="1" t="n">
        <v>45810</v>
      </c>
      <c r="D4746" t="inlineStr">
        <is>
          <t>VÄRMLANDS LÄN</t>
        </is>
      </c>
      <c r="E4746" t="inlineStr">
        <is>
          <t>SÄFFLE</t>
        </is>
      </c>
      <c r="G4746" t="n">
        <v>4.5</v>
      </c>
      <c r="H4746" t="n">
        <v>0</v>
      </c>
      <c r="I4746" t="n">
        <v>0</v>
      </c>
      <c r="J4746" t="n">
        <v>0</v>
      </c>
      <c r="K4746" t="n">
        <v>0</v>
      </c>
      <c r="L4746" t="n">
        <v>0</v>
      </c>
      <c r="M4746" t="n">
        <v>0</v>
      </c>
      <c r="N4746" t="n">
        <v>0</v>
      </c>
      <c r="O4746" t="n">
        <v>0</v>
      </c>
      <c r="P4746" t="n">
        <v>0</v>
      </c>
      <c r="Q4746" t="n">
        <v>0</v>
      </c>
      <c r="R4746" s="2" t="inlineStr"/>
    </row>
    <row r="4747" ht="15" customHeight="1">
      <c r="A4747" t="inlineStr">
        <is>
          <t>A 35407-2021</t>
        </is>
      </c>
      <c r="B4747" s="1" t="n">
        <v>44385</v>
      </c>
      <c r="C4747" s="1" t="n">
        <v>45810</v>
      </c>
      <c r="D4747" t="inlineStr">
        <is>
          <t>VÄRMLANDS LÄN</t>
        </is>
      </c>
      <c r="E4747" t="inlineStr">
        <is>
          <t>SÄFFLE</t>
        </is>
      </c>
      <c r="G4747" t="n">
        <v>2.2</v>
      </c>
      <c r="H4747" t="n">
        <v>0</v>
      </c>
      <c r="I4747" t="n">
        <v>0</v>
      </c>
      <c r="J4747" t="n">
        <v>0</v>
      </c>
      <c r="K4747" t="n">
        <v>0</v>
      </c>
      <c r="L4747" t="n">
        <v>0</v>
      </c>
      <c r="M4747" t="n">
        <v>0</v>
      </c>
      <c r="N4747" t="n">
        <v>0</v>
      </c>
      <c r="O4747" t="n">
        <v>0</v>
      </c>
      <c r="P4747" t="n">
        <v>0</v>
      </c>
      <c r="Q4747" t="n">
        <v>0</v>
      </c>
      <c r="R4747" s="2" t="inlineStr"/>
    </row>
    <row r="4748" ht="15" customHeight="1">
      <c r="A4748" t="inlineStr">
        <is>
          <t>A 35737-2021</t>
        </is>
      </c>
      <c r="B4748" s="1" t="n">
        <v>44386</v>
      </c>
      <c r="C4748" s="1" t="n">
        <v>45810</v>
      </c>
      <c r="D4748" t="inlineStr">
        <is>
          <t>VÄRMLANDS LÄN</t>
        </is>
      </c>
      <c r="E4748" t="inlineStr">
        <is>
          <t>FILIPSTAD</t>
        </is>
      </c>
      <c r="F4748" t="inlineStr">
        <is>
          <t>Bergvik skog väst AB</t>
        </is>
      </c>
      <c r="G4748" t="n">
        <v>3.8</v>
      </c>
      <c r="H4748" t="n">
        <v>0</v>
      </c>
      <c r="I4748" t="n">
        <v>0</v>
      </c>
      <c r="J4748" t="n">
        <v>0</v>
      </c>
      <c r="K4748" t="n">
        <v>0</v>
      </c>
      <c r="L4748" t="n">
        <v>0</v>
      </c>
      <c r="M4748" t="n">
        <v>0</v>
      </c>
      <c r="N4748" t="n">
        <v>0</v>
      </c>
      <c r="O4748" t="n">
        <v>0</v>
      </c>
      <c r="P4748" t="n">
        <v>0</v>
      </c>
      <c r="Q4748" t="n">
        <v>0</v>
      </c>
      <c r="R4748" s="2" t="inlineStr"/>
    </row>
    <row r="4749" ht="15" customHeight="1">
      <c r="A4749" t="inlineStr">
        <is>
          <t>A 35586-2021</t>
        </is>
      </c>
      <c r="B4749" s="1" t="n">
        <v>44386</v>
      </c>
      <c r="C4749" s="1" t="n">
        <v>45810</v>
      </c>
      <c r="D4749" t="inlineStr">
        <is>
          <t>VÄRMLANDS LÄN</t>
        </is>
      </c>
      <c r="E4749" t="inlineStr">
        <is>
          <t>TORSBY</t>
        </is>
      </c>
      <c r="F4749" t="inlineStr">
        <is>
          <t>Bergvik skog väst AB</t>
        </is>
      </c>
      <c r="G4749" t="n">
        <v>5.1</v>
      </c>
      <c r="H4749" t="n">
        <v>0</v>
      </c>
      <c r="I4749" t="n">
        <v>0</v>
      </c>
      <c r="J4749" t="n">
        <v>0</v>
      </c>
      <c r="K4749" t="n">
        <v>0</v>
      </c>
      <c r="L4749" t="n">
        <v>0</v>
      </c>
      <c r="M4749" t="n">
        <v>0</v>
      </c>
      <c r="N4749" t="n">
        <v>0</v>
      </c>
      <c r="O4749" t="n">
        <v>0</v>
      </c>
      <c r="P4749" t="n">
        <v>0</v>
      </c>
      <c r="Q4749" t="n">
        <v>0</v>
      </c>
      <c r="R4749" s="2" t="inlineStr"/>
    </row>
    <row r="4750" ht="15" customHeight="1">
      <c r="A4750" t="inlineStr">
        <is>
          <t>A 35613-2021</t>
        </is>
      </c>
      <c r="B4750" s="1" t="n">
        <v>44386</v>
      </c>
      <c r="C4750" s="1" t="n">
        <v>45810</v>
      </c>
      <c r="D4750" t="inlineStr">
        <is>
          <t>VÄRMLANDS LÄN</t>
        </is>
      </c>
      <c r="E4750" t="inlineStr">
        <is>
          <t>EDA</t>
        </is>
      </c>
      <c r="G4750" t="n">
        <v>1.8</v>
      </c>
      <c r="H4750" t="n">
        <v>0</v>
      </c>
      <c r="I4750" t="n">
        <v>0</v>
      </c>
      <c r="J4750" t="n">
        <v>0</v>
      </c>
      <c r="K4750" t="n">
        <v>0</v>
      </c>
      <c r="L4750" t="n">
        <v>0</v>
      </c>
      <c r="M4750" t="n">
        <v>0</v>
      </c>
      <c r="N4750" t="n">
        <v>0</v>
      </c>
      <c r="O4750" t="n">
        <v>0</v>
      </c>
      <c r="P4750" t="n">
        <v>0</v>
      </c>
      <c r="Q4750" t="n">
        <v>0</v>
      </c>
      <c r="R4750" s="2" t="inlineStr"/>
    </row>
    <row r="4751" ht="15" customHeight="1">
      <c r="A4751" t="inlineStr">
        <is>
          <t>A 35697-2021</t>
        </is>
      </c>
      <c r="B4751" s="1" t="n">
        <v>44386</v>
      </c>
      <c r="C4751" s="1" t="n">
        <v>45810</v>
      </c>
      <c r="D4751" t="inlineStr">
        <is>
          <t>VÄRMLANDS LÄN</t>
        </is>
      </c>
      <c r="E4751" t="inlineStr">
        <is>
          <t>SÄFFLE</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35817-2021</t>
        </is>
      </c>
      <c r="B4752" s="1" t="n">
        <v>44386</v>
      </c>
      <c r="C4752" s="1" t="n">
        <v>45810</v>
      </c>
      <c r="D4752" t="inlineStr">
        <is>
          <t>VÄRMLANDS LÄN</t>
        </is>
      </c>
      <c r="E4752" t="inlineStr">
        <is>
          <t>KIL</t>
        </is>
      </c>
      <c r="F4752" t="inlineStr">
        <is>
          <t>Kyrkan</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36042-2021</t>
        </is>
      </c>
      <c r="B4753" s="1" t="n">
        <v>44386</v>
      </c>
      <c r="C4753" s="1" t="n">
        <v>45810</v>
      </c>
      <c r="D4753" t="inlineStr">
        <is>
          <t>VÄRMLANDS LÄN</t>
        </is>
      </c>
      <c r="E4753" t="inlineStr">
        <is>
          <t>FILIPSTAD</t>
        </is>
      </c>
      <c r="G4753" t="n">
        <v>1.9</v>
      </c>
      <c r="H4753" t="n">
        <v>0</v>
      </c>
      <c r="I4753" t="n">
        <v>0</v>
      </c>
      <c r="J4753" t="n">
        <v>0</v>
      </c>
      <c r="K4753" t="n">
        <v>0</v>
      </c>
      <c r="L4753" t="n">
        <v>0</v>
      </c>
      <c r="M4753" t="n">
        <v>0</v>
      </c>
      <c r="N4753" t="n">
        <v>0</v>
      </c>
      <c r="O4753" t="n">
        <v>0</v>
      </c>
      <c r="P4753" t="n">
        <v>0</v>
      </c>
      <c r="Q4753" t="n">
        <v>0</v>
      </c>
      <c r="R4753" s="2" t="inlineStr"/>
    </row>
    <row r="4754" ht="15" customHeight="1">
      <c r="A4754" t="inlineStr">
        <is>
          <t>A 35901-2021</t>
        </is>
      </c>
      <c r="B4754" s="1" t="n">
        <v>44387</v>
      </c>
      <c r="C4754" s="1" t="n">
        <v>45810</v>
      </c>
      <c r="D4754" t="inlineStr">
        <is>
          <t>VÄRMLANDS LÄN</t>
        </is>
      </c>
      <c r="E4754" t="inlineStr">
        <is>
          <t>SUNNE</t>
        </is>
      </c>
      <c r="G4754" t="n">
        <v>11.9</v>
      </c>
      <c r="H4754" t="n">
        <v>0</v>
      </c>
      <c r="I4754" t="n">
        <v>0</v>
      </c>
      <c r="J4754" t="n">
        <v>0</v>
      </c>
      <c r="K4754" t="n">
        <v>0</v>
      </c>
      <c r="L4754" t="n">
        <v>0</v>
      </c>
      <c r="M4754" t="n">
        <v>0</v>
      </c>
      <c r="N4754" t="n">
        <v>0</v>
      </c>
      <c r="O4754" t="n">
        <v>0</v>
      </c>
      <c r="P4754" t="n">
        <v>0</v>
      </c>
      <c r="Q4754" t="n">
        <v>0</v>
      </c>
      <c r="R4754" s="2" t="inlineStr"/>
    </row>
    <row r="4755" ht="15" customHeight="1">
      <c r="A4755" t="inlineStr">
        <is>
          <t>A 35907-2021</t>
        </is>
      </c>
      <c r="B4755" s="1" t="n">
        <v>44387</v>
      </c>
      <c r="C4755" s="1" t="n">
        <v>45810</v>
      </c>
      <c r="D4755" t="inlineStr">
        <is>
          <t>VÄRMLANDS LÄN</t>
        </is>
      </c>
      <c r="E4755" t="inlineStr">
        <is>
          <t>TORSBY</t>
        </is>
      </c>
      <c r="G4755" t="n">
        <v>3</v>
      </c>
      <c r="H4755" t="n">
        <v>0</v>
      </c>
      <c r="I4755" t="n">
        <v>0</v>
      </c>
      <c r="J4755" t="n">
        <v>0</v>
      </c>
      <c r="K4755" t="n">
        <v>0</v>
      </c>
      <c r="L4755" t="n">
        <v>0</v>
      </c>
      <c r="M4755" t="n">
        <v>0</v>
      </c>
      <c r="N4755" t="n">
        <v>0</v>
      </c>
      <c r="O4755" t="n">
        <v>0</v>
      </c>
      <c r="P4755" t="n">
        <v>0</v>
      </c>
      <c r="Q4755" t="n">
        <v>0</v>
      </c>
      <c r="R4755" s="2" t="inlineStr"/>
    </row>
    <row r="4756" ht="15" customHeight="1">
      <c r="A4756" t="inlineStr">
        <is>
          <t>A 35899-2021</t>
        </is>
      </c>
      <c r="B4756" s="1" t="n">
        <v>44387</v>
      </c>
      <c r="C4756" s="1" t="n">
        <v>45810</v>
      </c>
      <c r="D4756" t="inlineStr">
        <is>
          <t>VÄRMLANDS LÄN</t>
        </is>
      </c>
      <c r="E4756" t="inlineStr">
        <is>
          <t>SUNNE</t>
        </is>
      </c>
      <c r="G4756" t="n">
        <v>4.4</v>
      </c>
      <c r="H4756" t="n">
        <v>0</v>
      </c>
      <c r="I4756" t="n">
        <v>0</v>
      </c>
      <c r="J4756" t="n">
        <v>0</v>
      </c>
      <c r="K4756" t="n">
        <v>0</v>
      </c>
      <c r="L4756" t="n">
        <v>0</v>
      </c>
      <c r="M4756" t="n">
        <v>0</v>
      </c>
      <c r="N4756" t="n">
        <v>0</v>
      </c>
      <c r="O4756" t="n">
        <v>0</v>
      </c>
      <c r="P4756" t="n">
        <v>0</v>
      </c>
      <c r="Q4756" t="n">
        <v>0</v>
      </c>
      <c r="R4756" s="2" t="inlineStr"/>
    </row>
    <row r="4757" ht="15" customHeight="1">
      <c r="A4757" t="inlineStr">
        <is>
          <t>A 35909-2021</t>
        </is>
      </c>
      <c r="B4757" s="1" t="n">
        <v>44387</v>
      </c>
      <c r="C4757" s="1" t="n">
        <v>45810</v>
      </c>
      <c r="D4757" t="inlineStr">
        <is>
          <t>VÄRMLANDS LÄN</t>
        </is>
      </c>
      <c r="E4757" t="inlineStr">
        <is>
          <t>TORSBY</t>
        </is>
      </c>
      <c r="G4757" t="n">
        <v>3.3</v>
      </c>
      <c r="H4757" t="n">
        <v>0</v>
      </c>
      <c r="I4757" t="n">
        <v>0</v>
      </c>
      <c r="J4757" t="n">
        <v>0</v>
      </c>
      <c r="K4757" t="n">
        <v>0</v>
      </c>
      <c r="L4757" t="n">
        <v>0</v>
      </c>
      <c r="M4757" t="n">
        <v>0</v>
      </c>
      <c r="N4757" t="n">
        <v>0</v>
      </c>
      <c r="O4757" t="n">
        <v>0</v>
      </c>
      <c r="P4757" t="n">
        <v>0</v>
      </c>
      <c r="Q4757" t="n">
        <v>0</v>
      </c>
      <c r="R4757" s="2" t="inlineStr"/>
    </row>
    <row r="4758" ht="15" customHeight="1">
      <c r="A4758" t="inlineStr">
        <is>
          <t>A 35902-2021</t>
        </is>
      </c>
      <c r="B4758" s="1" t="n">
        <v>44387</v>
      </c>
      <c r="C4758" s="1" t="n">
        <v>45810</v>
      </c>
      <c r="D4758" t="inlineStr">
        <is>
          <t>VÄRMLANDS LÄN</t>
        </is>
      </c>
      <c r="E4758" t="inlineStr">
        <is>
          <t>SUNNE</t>
        </is>
      </c>
      <c r="G4758" t="n">
        <v>4.7</v>
      </c>
      <c r="H4758" t="n">
        <v>0</v>
      </c>
      <c r="I4758" t="n">
        <v>0</v>
      </c>
      <c r="J4758" t="n">
        <v>0</v>
      </c>
      <c r="K4758" t="n">
        <v>0</v>
      </c>
      <c r="L4758" t="n">
        <v>0</v>
      </c>
      <c r="M4758" t="n">
        <v>0</v>
      </c>
      <c r="N4758" t="n">
        <v>0</v>
      </c>
      <c r="O4758" t="n">
        <v>0</v>
      </c>
      <c r="P4758" t="n">
        <v>0</v>
      </c>
      <c r="Q4758" t="n">
        <v>0</v>
      </c>
      <c r="R4758" s="2" t="inlineStr"/>
    </row>
    <row r="4759" ht="15" customHeight="1">
      <c r="A4759" t="inlineStr">
        <is>
          <t>A 35947-2021</t>
        </is>
      </c>
      <c r="B4759" s="1" t="n">
        <v>44388</v>
      </c>
      <c r="C4759" s="1" t="n">
        <v>45810</v>
      </c>
      <c r="D4759" t="inlineStr">
        <is>
          <t>VÄRMLANDS LÄN</t>
        </is>
      </c>
      <c r="E4759" t="inlineStr">
        <is>
          <t>KRISTINEHAMN</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35978-2021</t>
        </is>
      </c>
      <c r="B4760" s="1" t="n">
        <v>44389</v>
      </c>
      <c r="C4760" s="1" t="n">
        <v>45810</v>
      </c>
      <c r="D4760" t="inlineStr">
        <is>
          <t>VÄRMLANDS LÄN</t>
        </is>
      </c>
      <c r="E4760" t="inlineStr">
        <is>
          <t>KRISTINEHAMN</t>
        </is>
      </c>
      <c r="F4760" t="inlineStr">
        <is>
          <t>Sveaskog</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35973-2021</t>
        </is>
      </c>
      <c r="B4761" s="1" t="n">
        <v>44389</v>
      </c>
      <c r="C4761" s="1" t="n">
        <v>45810</v>
      </c>
      <c r="D4761" t="inlineStr">
        <is>
          <t>VÄRMLANDS LÄN</t>
        </is>
      </c>
      <c r="E4761" t="inlineStr">
        <is>
          <t>KRISTINEHAMN</t>
        </is>
      </c>
      <c r="F4761" t="inlineStr">
        <is>
          <t>Sveaskog</t>
        </is>
      </c>
      <c r="G4761" t="n">
        <v>2.7</v>
      </c>
      <c r="H4761" t="n">
        <v>0</v>
      </c>
      <c r="I4761" t="n">
        <v>0</v>
      </c>
      <c r="J4761" t="n">
        <v>0</v>
      </c>
      <c r="K4761" t="n">
        <v>0</v>
      </c>
      <c r="L4761" t="n">
        <v>0</v>
      </c>
      <c r="M4761" t="n">
        <v>0</v>
      </c>
      <c r="N4761" t="n">
        <v>0</v>
      </c>
      <c r="O4761" t="n">
        <v>0</v>
      </c>
      <c r="P4761" t="n">
        <v>0</v>
      </c>
      <c r="Q4761" t="n">
        <v>0</v>
      </c>
      <c r="R4761" s="2" t="inlineStr"/>
    </row>
    <row r="4762" ht="15" customHeight="1">
      <c r="A4762" t="inlineStr">
        <is>
          <t>A 36093-2021</t>
        </is>
      </c>
      <c r="B4762" s="1" t="n">
        <v>44389</v>
      </c>
      <c r="C4762" s="1" t="n">
        <v>45810</v>
      </c>
      <c r="D4762" t="inlineStr">
        <is>
          <t>VÄRMLANDS LÄN</t>
        </is>
      </c>
      <c r="E4762" t="inlineStr">
        <is>
          <t>SUNNE</t>
        </is>
      </c>
      <c r="G4762" t="n">
        <v>0.3</v>
      </c>
      <c r="H4762" t="n">
        <v>0</v>
      </c>
      <c r="I4762" t="n">
        <v>0</v>
      </c>
      <c r="J4762" t="n">
        <v>0</v>
      </c>
      <c r="K4762" t="n">
        <v>0</v>
      </c>
      <c r="L4762" t="n">
        <v>0</v>
      </c>
      <c r="M4762" t="n">
        <v>0</v>
      </c>
      <c r="N4762" t="n">
        <v>0</v>
      </c>
      <c r="O4762" t="n">
        <v>0</v>
      </c>
      <c r="P4762" t="n">
        <v>0</v>
      </c>
      <c r="Q4762" t="n">
        <v>0</v>
      </c>
      <c r="R4762" s="2" t="inlineStr"/>
    </row>
    <row r="4763" ht="15" customHeight="1">
      <c r="A4763" t="inlineStr">
        <is>
          <t>A 36119-2021</t>
        </is>
      </c>
      <c r="B4763" s="1" t="n">
        <v>44389</v>
      </c>
      <c r="C4763" s="1" t="n">
        <v>45810</v>
      </c>
      <c r="D4763" t="inlineStr">
        <is>
          <t>VÄRMLANDS LÄN</t>
        </is>
      </c>
      <c r="E4763" t="inlineStr">
        <is>
          <t>SÄFFLE</t>
        </is>
      </c>
      <c r="G4763" t="n">
        <v>10.4</v>
      </c>
      <c r="H4763" t="n">
        <v>0</v>
      </c>
      <c r="I4763" t="n">
        <v>0</v>
      </c>
      <c r="J4763" t="n">
        <v>0</v>
      </c>
      <c r="K4763" t="n">
        <v>0</v>
      </c>
      <c r="L4763" t="n">
        <v>0</v>
      </c>
      <c r="M4763" t="n">
        <v>0</v>
      </c>
      <c r="N4763" t="n">
        <v>0</v>
      </c>
      <c r="O4763" t="n">
        <v>0</v>
      </c>
      <c r="P4763" t="n">
        <v>0</v>
      </c>
      <c r="Q4763" t="n">
        <v>0</v>
      </c>
      <c r="R4763" s="2" t="inlineStr"/>
    </row>
    <row r="4764" ht="15" customHeight="1">
      <c r="A4764" t="inlineStr">
        <is>
          <t>A 36189-2021</t>
        </is>
      </c>
      <c r="B4764" s="1" t="n">
        <v>44389</v>
      </c>
      <c r="C4764" s="1" t="n">
        <v>45810</v>
      </c>
      <c r="D4764" t="inlineStr">
        <is>
          <t>VÄRMLANDS LÄN</t>
        </is>
      </c>
      <c r="E4764" t="inlineStr">
        <is>
          <t>TORSBY</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36088-2021</t>
        </is>
      </c>
      <c r="B4765" s="1" t="n">
        <v>44389</v>
      </c>
      <c r="C4765" s="1" t="n">
        <v>45810</v>
      </c>
      <c r="D4765" t="inlineStr">
        <is>
          <t>VÄRMLANDS LÄN</t>
        </is>
      </c>
      <c r="E4765" t="inlineStr">
        <is>
          <t>SÄFFLE</t>
        </is>
      </c>
      <c r="G4765" t="n">
        <v>15.6</v>
      </c>
      <c r="H4765" t="n">
        <v>0</v>
      </c>
      <c r="I4765" t="n">
        <v>0</v>
      </c>
      <c r="J4765" t="n">
        <v>0</v>
      </c>
      <c r="K4765" t="n">
        <v>0</v>
      </c>
      <c r="L4765" t="n">
        <v>0</v>
      </c>
      <c r="M4765" t="n">
        <v>0</v>
      </c>
      <c r="N4765" t="n">
        <v>0</v>
      </c>
      <c r="O4765" t="n">
        <v>0</v>
      </c>
      <c r="P4765" t="n">
        <v>0</v>
      </c>
      <c r="Q4765" t="n">
        <v>0</v>
      </c>
      <c r="R4765" s="2" t="inlineStr"/>
    </row>
    <row r="4766" ht="15" customHeight="1">
      <c r="A4766" t="inlineStr">
        <is>
          <t>A 36095-2021</t>
        </is>
      </c>
      <c r="B4766" s="1" t="n">
        <v>44389</v>
      </c>
      <c r="C4766" s="1" t="n">
        <v>45810</v>
      </c>
      <c r="D4766" t="inlineStr">
        <is>
          <t>VÄRMLANDS LÄN</t>
        </is>
      </c>
      <c r="E4766" t="inlineStr">
        <is>
          <t>SÄFFLE</t>
        </is>
      </c>
      <c r="G4766" t="n">
        <v>13.5</v>
      </c>
      <c r="H4766" t="n">
        <v>0</v>
      </c>
      <c r="I4766" t="n">
        <v>0</v>
      </c>
      <c r="J4766" t="n">
        <v>0</v>
      </c>
      <c r="K4766" t="n">
        <v>0</v>
      </c>
      <c r="L4766" t="n">
        <v>0</v>
      </c>
      <c r="M4766" t="n">
        <v>0</v>
      </c>
      <c r="N4766" t="n">
        <v>0</v>
      </c>
      <c r="O4766" t="n">
        <v>0</v>
      </c>
      <c r="P4766" t="n">
        <v>0</v>
      </c>
      <c r="Q4766" t="n">
        <v>0</v>
      </c>
      <c r="R4766" s="2" t="inlineStr"/>
    </row>
    <row r="4767" ht="15" customHeight="1">
      <c r="A4767" t="inlineStr">
        <is>
          <t>A 36116-2021</t>
        </is>
      </c>
      <c r="B4767" s="1" t="n">
        <v>44389</v>
      </c>
      <c r="C4767" s="1" t="n">
        <v>45810</v>
      </c>
      <c r="D4767" t="inlineStr">
        <is>
          <t>VÄRMLANDS LÄN</t>
        </is>
      </c>
      <c r="E4767" t="inlineStr">
        <is>
          <t>SÄFFLE</t>
        </is>
      </c>
      <c r="G4767" t="n">
        <v>7.8</v>
      </c>
      <c r="H4767" t="n">
        <v>0</v>
      </c>
      <c r="I4767" t="n">
        <v>0</v>
      </c>
      <c r="J4767" t="n">
        <v>0</v>
      </c>
      <c r="K4767" t="n">
        <v>0</v>
      </c>
      <c r="L4767" t="n">
        <v>0</v>
      </c>
      <c r="M4767" t="n">
        <v>0</v>
      </c>
      <c r="N4767" t="n">
        <v>0</v>
      </c>
      <c r="O4767" t="n">
        <v>0</v>
      </c>
      <c r="P4767" t="n">
        <v>0</v>
      </c>
      <c r="Q4767" t="n">
        <v>0</v>
      </c>
      <c r="R4767" s="2" t="inlineStr"/>
    </row>
    <row r="4768" ht="15" customHeight="1">
      <c r="A4768" t="inlineStr">
        <is>
          <t>A 35975-2021</t>
        </is>
      </c>
      <c r="B4768" s="1" t="n">
        <v>44389</v>
      </c>
      <c r="C4768" s="1" t="n">
        <v>45810</v>
      </c>
      <c r="D4768" t="inlineStr">
        <is>
          <t>VÄRMLANDS LÄN</t>
        </is>
      </c>
      <c r="E4768" t="inlineStr">
        <is>
          <t>KRISTINEHAMN</t>
        </is>
      </c>
      <c r="F4768" t="inlineStr">
        <is>
          <t>Sveaskog</t>
        </is>
      </c>
      <c r="G4768" t="n">
        <v>3.1</v>
      </c>
      <c r="H4768" t="n">
        <v>0</v>
      </c>
      <c r="I4768" t="n">
        <v>0</v>
      </c>
      <c r="J4768" t="n">
        <v>0</v>
      </c>
      <c r="K4768" t="n">
        <v>0</v>
      </c>
      <c r="L4768" t="n">
        <v>0</v>
      </c>
      <c r="M4768" t="n">
        <v>0</v>
      </c>
      <c r="N4768" t="n">
        <v>0</v>
      </c>
      <c r="O4768" t="n">
        <v>0</v>
      </c>
      <c r="P4768" t="n">
        <v>0</v>
      </c>
      <c r="Q4768" t="n">
        <v>0</v>
      </c>
      <c r="R4768" s="2" t="inlineStr"/>
    </row>
    <row r="4769" ht="15" customHeight="1">
      <c r="A4769" t="inlineStr">
        <is>
          <t>A 36087-2021</t>
        </is>
      </c>
      <c r="B4769" s="1" t="n">
        <v>44389</v>
      </c>
      <c r="C4769" s="1" t="n">
        <v>45810</v>
      </c>
      <c r="D4769" t="inlineStr">
        <is>
          <t>VÄRMLANDS LÄN</t>
        </is>
      </c>
      <c r="E4769" t="inlineStr">
        <is>
          <t>ÅRJÄNG</t>
        </is>
      </c>
      <c r="G4769" t="n">
        <v>2.2</v>
      </c>
      <c r="H4769" t="n">
        <v>0</v>
      </c>
      <c r="I4769" t="n">
        <v>0</v>
      </c>
      <c r="J4769" t="n">
        <v>0</v>
      </c>
      <c r="K4769" t="n">
        <v>0</v>
      </c>
      <c r="L4769" t="n">
        <v>0</v>
      </c>
      <c r="M4769" t="n">
        <v>0</v>
      </c>
      <c r="N4769" t="n">
        <v>0</v>
      </c>
      <c r="O4769" t="n">
        <v>0</v>
      </c>
      <c r="P4769" t="n">
        <v>0</v>
      </c>
      <c r="Q4769" t="n">
        <v>0</v>
      </c>
      <c r="R4769" s="2" t="inlineStr"/>
    </row>
    <row r="4770" ht="15" customHeight="1">
      <c r="A4770" t="inlineStr">
        <is>
          <t>A 36094-2021</t>
        </is>
      </c>
      <c r="B4770" s="1" t="n">
        <v>44389</v>
      </c>
      <c r="C4770" s="1" t="n">
        <v>45810</v>
      </c>
      <c r="D4770" t="inlineStr">
        <is>
          <t>VÄRMLANDS LÄN</t>
        </is>
      </c>
      <c r="E4770" t="inlineStr">
        <is>
          <t>SÄFFLE</t>
        </is>
      </c>
      <c r="G4770" t="n">
        <v>8.199999999999999</v>
      </c>
      <c r="H4770" t="n">
        <v>0</v>
      </c>
      <c r="I4770" t="n">
        <v>0</v>
      </c>
      <c r="J4770" t="n">
        <v>0</v>
      </c>
      <c r="K4770" t="n">
        <v>0</v>
      </c>
      <c r="L4770" t="n">
        <v>0</v>
      </c>
      <c r="M4770" t="n">
        <v>0</v>
      </c>
      <c r="N4770" t="n">
        <v>0</v>
      </c>
      <c r="O4770" t="n">
        <v>0</v>
      </c>
      <c r="P4770" t="n">
        <v>0</v>
      </c>
      <c r="Q4770" t="n">
        <v>0</v>
      </c>
      <c r="R4770" s="2" t="inlineStr"/>
    </row>
    <row r="4771" ht="15" customHeight="1">
      <c r="A4771" t="inlineStr">
        <is>
          <t>A 36099-2021</t>
        </is>
      </c>
      <c r="B4771" s="1" t="n">
        <v>44389</v>
      </c>
      <c r="C4771" s="1" t="n">
        <v>45810</v>
      </c>
      <c r="D4771" t="inlineStr">
        <is>
          <t>VÄRMLANDS LÄN</t>
        </is>
      </c>
      <c r="E4771" t="inlineStr">
        <is>
          <t>SUNNE</t>
        </is>
      </c>
      <c r="G4771" t="n">
        <v>4.4</v>
      </c>
      <c r="H4771" t="n">
        <v>0</v>
      </c>
      <c r="I4771" t="n">
        <v>0</v>
      </c>
      <c r="J4771" t="n">
        <v>0</v>
      </c>
      <c r="K4771" t="n">
        <v>0</v>
      </c>
      <c r="L4771" t="n">
        <v>0</v>
      </c>
      <c r="M4771" t="n">
        <v>0</v>
      </c>
      <c r="N4771" t="n">
        <v>0</v>
      </c>
      <c r="O4771" t="n">
        <v>0</v>
      </c>
      <c r="P4771" t="n">
        <v>0</v>
      </c>
      <c r="Q4771" t="n">
        <v>0</v>
      </c>
      <c r="R4771" s="2" t="inlineStr"/>
    </row>
    <row r="4772" ht="15" customHeight="1">
      <c r="A4772" t="inlineStr">
        <is>
          <t>A 36186-2021</t>
        </is>
      </c>
      <c r="B4772" s="1" t="n">
        <v>44389</v>
      </c>
      <c r="C4772" s="1" t="n">
        <v>45810</v>
      </c>
      <c r="D4772" t="inlineStr">
        <is>
          <t>VÄRMLANDS LÄN</t>
        </is>
      </c>
      <c r="E4772" t="inlineStr">
        <is>
          <t>TORSBY</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36187-2021</t>
        </is>
      </c>
      <c r="B4773" s="1" t="n">
        <v>44389</v>
      </c>
      <c r="C4773" s="1" t="n">
        <v>45810</v>
      </c>
      <c r="D4773" t="inlineStr">
        <is>
          <t>VÄRMLANDS LÄN</t>
        </is>
      </c>
      <c r="E4773" t="inlineStr">
        <is>
          <t>SÄFFLE</t>
        </is>
      </c>
      <c r="G4773" t="n">
        <v>3.3</v>
      </c>
      <c r="H4773" t="n">
        <v>0</v>
      </c>
      <c r="I4773" t="n">
        <v>0</v>
      </c>
      <c r="J4773" t="n">
        <v>0</v>
      </c>
      <c r="K4773" t="n">
        <v>0</v>
      </c>
      <c r="L4773" t="n">
        <v>0</v>
      </c>
      <c r="M4773" t="n">
        <v>0</v>
      </c>
      <c r="N4773" t="n">
        <v>0</v>
      </c>
      <c r="O4773" t="n">
        <v>0</v>
      </c>
      <c r="P4773" t="n">
        <v>0</v>
      </c>
      <c r="Q4773" t="n">
        <v>0</v>
      </c>
      <c r="R4773" s="2" t="inlineStr"/>
    </row>
    <row r="4774" ht="15" customHeight="1">
      <c r="A4774" t="inlineStr">
        <is>
          <t>A 36191-2021</t>
        </is>
      </c>
      <c r="B4774" s="1" t="n">
        <v>44389</v>
      </c>
      <c r="C4774" s="1" t="n">
        <v>45810</v>
      </c>
      <c r="D4774" t="inlineStr">
        <is>
          <t>VÄRMLANDS LÄN</t>
        </is>
      </c>
      <c r="E4774" t="inlineStr">
        <is>
          <t>SÄFFLE</t>
        </is>
      </c>
      <c r="G4774" t="n">
        <v>3.1</v>
      </c>
      <c r="H4774" t="n">
        <v>0</v>
      </c>
      <c r="I4774" t="n">
        <v>0</v>
      </c>
      <c r="J4774" t="n">
        <v>0</v>
      </c>
      <c r="K4774" t="n">
        <v>0</v>
      </c>
      <c r="L4774" t="n">
        <v>0</v>
      </c>
      <c r="M4774" t="n">
        <v>0</v>
      </c>
      <c r="N4774" t="n">
        <v>0</v>
      </c>
      <c r="O4774" t="n">
        <v>0</v>
      </c>
      <c r="P4774" t="n">
        <v>0</v>
      </c>
      <c r="Q4774" t="n">
        <v>0</v>
      </c>
      <c r="R4774" s="2" t="inlineStr"/>
    </row>
    <row r="4775" ht="15" customHeight="1">
      <c r="A4775" t="inlineStr">
        <is>
          <t>A 36327-2021</t>
        </is>
      </c>
      <c r="B4775" s="1" t="n">
        <v>44390</v>
      </c>
      <c r="C4775" s="1" t="n">
        <v>45810</v>
      </c>
      <c r="D4775" t="inlineStr">
        <is>
          <t>VÄRMLANDS LÄN</t>
        </is>
      </c>
      <c r="E4775" t="inlineStr">
        <is>
          <t>TORSBY</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36379-2021</t>
        </is>
      </c>
      <c r="B4776" s="1" t="n">
        <v>44390</v>
      </c>
      <c r="C4776" s="1" t="n">
        <v>45810</v>
      </c>
      <c r="D4776" t="inlineStr">
        <is>
          <t>VÄRMLANDS LÄN</t>
        </is>
      </c>
      <c r="E4776" t="inlineStr">
        <is>
          <t>SUNNE</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36499-2021</t>
        </is>
      </c>
      <c r="B4777" s="1" t="n">
        <v>44391</v>
      </c>
      <c r="C4777" s="1" t="n">
        <v>45810</v>
      </c>
      <c r="D4777" t="inlineStr">
        <is>
          <t>VÄRMLANDS LÄN</t>
        </is>
      </c>
      <c r="E4777" t="inlineStr">
        <is>
          <t>ÅRJÄNG</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36520-2021</t>
        </is>
      </c>
      <c r="B4778" s="1" t="n">
        <v>44391</v>
      </c>
      <c r="C4778" s="1" t="n">
        <v>45810</v>
      </c>
      <c r="D4778" t="inlineStr">
        <is>
          <t>VÄRMLANDS LÄN</t>
        </is>
      </c>
      <c r="E4778" t="inlineStr">
        <is>
          <t>ARVIKA</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36506-2021</t>
        </is>
      </c>
      <c r="B4779" s="1" t="n">
        <v>44391</v>
      </c>
      <c r="C4779" s="1" t="n">
        <v>45810</v>
      </c>
      <c r="D4779" t="inlineStr">
        <is>
          <t>VÄRMLANDS LÄN</t>
        </is>
      </c>
      <c r="E4779" t="inlineStr">
        <is>
          <t>GRUMS</t>
        </is>
      </c>
      <c r="G4779" t="n">
        <v>10.7</v>
      </c>
      <c r="H4779" t="n">
        <v>0</v>
      </c>
      <c r="I4779" t="n">
        <v>0</v>
      </c>
      <c r="J4779" t="n">
        <v>0</v>
      </c>
      <c r="K4779" t="n">
        <v>0</v>
      </c>
      <c r="L4779" t="n">
        <v>0</v>
      </c>
      <c r="M4779" t="n">
        <v>0</v>
      </c>
      <c r="N4779" t="n">
        <v>0</v>
      </c>
      <c r="O4779" t="n">
        <v>0</v>
      </c>
      <c r="P4779" t="n">
        <v>0</v>
      </c>
      <c r="Q4779" t="n">
        <v>0</v>
      </c>
      <c r="R4779" s="2" t="inlineStr"/>
    </row>
    <row r="4780" ht="15" customHeight="1">
      <c r="A4780" t="inlineStr">
        <is>
          <t>A 36589-2021</t>
        </is>
      </c>
      <c r="B4780" s="1" t="n">
        <v>44391</v>
      </c>
      <c r="C4780" s="1" t="n">
        <v>45810</v>
      </c>
      <c r="D4780" t="inlineStr">
        <is>
          <t>VÄRMLANDS LÄN</t>
        </is>
      </c>
      <c r="E4780" t="inlineStr">
        <is>
          <t>TORSBY</t>
        </is>
      </c>
      <c r="G4780" t="n">
        <v>3.9</v>
      </c>
      <c r="H4780" t="n">
        <v>0</v>
      </c>
      <c r="I4780" t="n">
        <v>0</v>
      </c>
      <c r="J4780" t="n">
        <v>0</v>
      </c>
      <c r="K4780" t="n">
        <v>0</v>
      </c>
      <c r="L4780" t="n">
        <v>0</v>
      </c>
      <c r="M4780" t="n">
        <v>0</v>
      </c>
      <c r="N4780" t="n">
        <v>0</v>
      </c>
      <c r="O4780" t="n">
        <v>0</v>
      </c>
      <c r="P4780" t="n">
        <v>0</v>
      </c>
      <c r="Q4780" t="n">
        <v>0</v>
      </c>
      <c r="R4780" s="2" t="inlineStr"/>
    </row>
    <row r="4781" ht="15" customHeight="1">
      <c r="A4781" t="inlineStr">
        <is>
          <t>A 36642-2021</t>
        </is>
      </c>
      <c r="B4781" s="1" t="n">
        <v>44392</v>
      </c>
      <c r="C4781" s="1" t="n">
        <v>45810</v>
      </c>
      <c r="D4781" t="inlineStr">
        <is>
          <t>VÄRMLANDS LÄN</t>
        </is>
      </c>
      <c r="E4781" t="inlineStr">
        <is>
          <t>ÅRJÄNG</t>
        </is>
      </c>
      <c r="G4781" t="n">
        <v>6.1</v>
      </c>
      <c r="H4781" t="n">
        <v>0</v>
      </c>
      <c r="I4781" t="n">
        <v>0</v>
      </c>
      <c r="J4781" t="n">
        <v>0</v>
      </c>
      <c r="K4781" t="n">
        <v>0</v>
      </c>
      <c r="L4781" t="n">
        <v>0</v>
      </c>
      <c r="M4781" t="n">
        <v>0</v>
      </c>
      <c r="N4781" t="n">
        <v>0</v>
      </c>
      <c r="O4781" t="n">
        <v>0</v>
      </c>
      <c r="P4781" t="n">
        <v>0</v>
      </c>
      <c r="Q4781" t="n">
        <v>0</v>
      </c>
      <c r="R4781" s="2" t="inlineStr"/>
    </row>
    <row r="4782" ht="15" customHeight="1">
      <c r="A4782" t="inlineStr">
        <is>
          <t>A 36738-2021</t>
        </is>
      </c>
      <c r="B4782" s="1" t="n">
        <v>44392</v>
      </c>
      <c r="C4782" s="1" t="n">
        <v>45810</v>
      </c>
      <c r="D4782" t="inlineStr">
        <is>
          <t>VÄRMLANDS LÄN</t>
        </is>
      </c>
      <c r="E4782" t="inlineStr">
        <is>
          <t>SUNNE</t>
        </is>
      </c>
      <c r="G4782" t="n">
        <v>2.7</v>
      </c>
      <c r="H4782" t="n">
        <v>0</v>
      </c>
      <c r="I4782" t="n">
        <v>0</v>
      </c>
      <c r="J4782" t="n">
        <v>0</v>
      </c>
      <c r="K4782" t="n">
        <v>0</v>
      </c>
      <c r="L4782" t="n">
        <v>0</v>
      </c>
      <c r="M4782" t="n">
        <v>0</v>
      </c>
      <c r="N4782" t="n">
        <v>0</v>
      </c>
      <c r="O4782" t="n">
        <v>0</v>
      </c>
      <c r="P4782" t="n">
        <v>0</v>
      </c>
      <c r="Q4782" t="n">
        <v>0</v>
      </c>
      <c r="R4782" s="2" t="inlineStr"/>
    </row>
    <row r="4783" ht="15" customHeight="1">
      <c r="A4783" t="inlineStr">
        <is>
          <t>A 36641-2021</t>
        </is>
      </c>
      <c r="B4783" s="1" t="n">
        <v>44392</v>
      </c>
      <c r="C4783" s="1" t="n">
        <v>45810</v>
      </c>
      <c r="D4783" t="inlineStr">
        <is>
          <t>VÄRMLANDS LÄN</t>
        </is>
      </c>
      <c r="E4783" t="inlineStr">
        <is>
          <t>ÅRJÄNG</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36700-2021</t>
        </is>
      </c>
      <c r="B4784" s="1" t="n">
        <v>44392</v>
      </c>
      <c r="C4784" s="1" t="n">
        <v>45810</v>
      </c>
      <c r="D4784" t="inlineStr">
        <is>
          <t>VÄRMLANDS LÄN</t>
        </is>
      </c>
      <c r="E4784" t="inlineStr">
        <is>
          <t>TORSBY</t>
        </is>
      </c>
      <c r="F4784" t="inlineStr">
        <is>
          <t>Bergvik skog väst AB</t>
        </is>
      </c>
      <c r="G4784" t="n">
        <v>9.9</v>
      </c>
      <c r="H4784" t="n">
        <v>0</v>
      </c>
      <c r="I4784" t="n">
        <v>0</v>
      </c>
      <c r="J4784" t="n">
        <v>0</v>
      </c>
      <c r="K4784" t="n">
        <v>0</v>
      </c>
      <c r="L4784" t="n">
        <v>0</v>
      </c>
      <c r="M4784" t="n">
        <v>0</v>
      </c>
      <c r="N4784" t="n">
        <v>0</v>
      </c>
      <c r="O4784" t="n">
        <v>0</v>
      </c>
      <c r="P4784" t="n">
        <v>0</v>
      </c>
      <c r="Q4784" t="n">
        <v>0</v>
      </c>
      <c r="R4784" s="2" t="inlineStr"/>
    </row>
    <row r="4785" ht="15" customHeight="1">
      <c r="A4785" t="inlineStr">
        <is>
          <t>A 36766-2021</t>
        </is>
      </c>
      <c r="B4785" s="1" t="n">
        <v>44392</v>
      </c>
      <c r="C4785" s="1" t="n">
        <v>45810</v>
      </c>
      <c r="D4785" t="inlineStr">
        <is>
          <t>VÄRMLANDS LÄN</t>
        </is>
      </c>
      <c r="E4785" t="inlineStr">
        <is>
          <t>SÄFFLE</t>
        </is>
      </c>
      <c r="G4785" t="n">
        <v>6.8</v>
      </c>
      <c r="H4785" t="n">
        <v>0</v>
      </c>
      <c r="I4785" t="n">
        <v>0</v>
      </c>
      <c r="J4785" t="n">
        <v>0</v>
      </c>
      <c r="K4785" t="n">
        <v>0</v>
      </c>
      <c r="L4785" t="n">
        <v>0</v>
      </c>
      <c r="M4785" t="n">
        <v>0</v>
      </c>
      <c r="N4785" t="n">
        <v>0</v>
      </c>
      <c r="O4785" t="n">
        <v>0</v>
      </c>
      <c r="P4785" t="n">
        <v>0</v>
      </c>
      <c r="Q4785" t="n">
        <v>0</v>
      </c>
      <c r="R4785" s="2" t="inlineStr"/>
    </row>
    <row r="4786" ht="15" customHeight="1">
      <c r="A4786" t="inlineStr">
        <is>
          <t>A 36774-2021</t>
        </is>
      </c>
      <c r="B4786" s="1" t="n">
        <v>44392</v>
      </c>
      <c r="C4786" s="1" t="n">
        <v>45810</v>
      </c>
      <c r="D4786" t="inlineStr">
        <is>
          <t>VÄRMLANDS LÄN</t>
        </is>
      </c>
      <c r="E4786" t="inlineStr">
        <is>
          <t>SÄFFLE</t>
        </is>
      </c>
      <c r="G4786" t="n">
        <v>4.4</v>
      </c>
      <c r="H4786" t="n">
        <v>0</v>
      </c>
      <c r="I4786" t="n">
        <v>0</v>
      </c>
      <c r="J4786" t="n">
        <v>0</v>
      </c>
      <c r="K4786" t="n">
        <v>0</v>
      </c>
      <c r="L4786" t="n">
        <v>0</v>
      </c>
      <c r="M4786" t="n">
        <v>0</v>
      </c>
      <c r="N4786" t="n">
        <v>0</v>
      </c>
      <c r="O4786" t="n">
        <v>0</v>
      </c>
      <c r="P4786" t="n">
        <v>0</v>
      </c>
      <c r="Q4786" t="n">
        <v>0</v>
      </c>
      <c r="R4786" s="2" t="inlineStr"/>
    </row>
    <row r="4787" ht="15" customHeight="1">
      <c r="A4787" t="inlineStr">
        <is>
          <t>A 36788-2021</t>
        </is>
      </c>
      <c r="B4787" s="1" t="n">
        <v>44392</v>
      </c>
      <c r="C4787" s="1" t="n">
        <v>45810</v>
      </c>
      <c r="D4787" t="inlineStr">
        <is>
          <t>VÄRMLANDS LÄN</t>
        </is>
      </c>
      <c r="E4787" t="inlineStr">
        <is>
          <t>SÄFFLE</t>
        </is>
      </c>
      <c r="G4787" t="n">
        <v>10.3</v>
      </c>
      <c r="H4787" t="n">
        <v>0</v>
      </c>
      <c r="I4787" t="n">
        <v>0</v>
      </c>
      <c r="J4787" t="n">
        <v>0</v>
      </c>
      <c r="K4787" t="n">
        <v>0</v>
      </c>
      <c r="L4787" t="n">
        <v>0</v>
      </c>
      <c r="M4787" t="n">
        <v>0</v>
      </c>
      <c r="N4787" t="n">
        <v>0</v>
      </c>
      <c r="O4787" t="n">
        <v>0</v>
      </c>
      <c r="P4787" t="n">
        <v>0</v>
      </c>
      <c r="Q4787" t="n">
        <v>0</v>
      </c>
      <c r="R4787" s="2" t="inlineStr"/>
    </row>
    <row r="4788" ht="15" customHeight="1">
      <c r="A4788" t="inlineStr">
        <is>
          <t>A 36794-2021</t>
        </is>
      </c>
      <c r="B4788" s="1" t="n">
        <v>44392</v>
      </c>
      <c r="C4788" s="1" t="n">
        <v>45810</v>
      </c>
      <c r="D4788" t="inlineStr">
        <is>
          <t>VÄRMLANDS LÄN</t>
        </is>
      </c>
      <c r="E4788" t="inlineStr">
        <is>
          <t>SÄFFLE</t>
        </is>
      </c>
      <c r="G4788" t="n">
        <v>2.2</v>
      </c>
      <c r="H4788" t="n">
        <v>0</v>
      </c>
      <c r="I4788" t="n">
        <v>0</v>
      </c>
      <c r="J4788" t="n">
        <v>0</v>
      </c>
      <c r="K4788" t="n">
        <v>0</v>
      </c>
      <c r="L4788" t="n">
        <v>0</v>
      </c>
      <c r="M4788" t="n">
        <v>0</v>
      </c>
      <c r="N4788" t="n">
        <v>0</v>
      </c>
      <c r="O4788" t="n">
        <v>0</v>
      </c>
      <c r="P4788" t="n">
        <v>0</v>
      </c>
      <c r="Q4788" t="n">
        <v>0</v>
      </c>
      <c r="R4788" s="2" t="inlineStr"/>
    </row>
    <row r="4789" ht="15" customHeight="1">
      <c r="A4789" t="inlineStr">
        <is>
          <t>A 36643-2021</t>
        </is>
      </c>
      <c r="B4789" s="1" t="n">
        <v>44392</v>
      </c>
      <c r="C4789" s="1" t="n">
        <v>45810</v>
      </c>
      <c r="D4789" t="inlineStr">
        <is>
          <t>VÄRMLANDS LÄN</t>
        </is>
      </c>
      <c r="E4789" t="inlineStr">
        <is>
          <t>ARVIKA</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36686-2021</t>
        </is>
      </c>
      <c r="B4790" s="1" t="n">
        <v>44392</v>
      </c>
      <c r="C4790" s="1" t="n">
        <v>45810</v>
      </c>
      <c r="D4790" t="inlineStr">
        <is>
          <t>VÄRMLANDS LÄN</t>
        </is>
      </c>
      <c r="E4790" t="inlineStr">
        <is>
          <t>SUNNE</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36763-2021</t>
        </is>
      </c>
      <c r="B4791" s="1" t="n">
        <v>44392</v>
      </c>
      <c r="C4791" s="1" t="n">
        <v>45810</v>
      </c>
      <c r="D4791" t="inlineStr">
        <is>
          <t>VÄRMLANDS LÄN</t>
        </is>
      </c>
      <c r="E4791" t="inlineStr">
        <is>
          <t>SÄFFLE</t>
        </is>
      </c>
      <c r="G4791" t="n">
        <v>5.6</v>
      </c>
      <c r="H4791" t="n">
        <v>0</v>
      </c>
      <c r="I4791" t="n">
        <v>0</v>
      </c>
      <c r="J4791" t="n">
        <v>0</v>
      </c>
      <c r="K4791" t="n">
        <v>0</v>
      </c>
      <c r="L4791" t="n">
        <v>0</v>
      </c>
      <c r="M4791" t="n">
        <v>0</v>
      </c>
      <c r="N4791" t="n">
        <v>0</v>
      </c>
      <c r="O4791" t="n">
        <v>0</v>
      </c>
      <c r="P4791" t="n">
        <v>0</v>
      </c>
      <c r="Q4791" t="n">
        <v>0</v>
      </c>
      <c r="R4791" s="2" t="inlineStr"/>
    </row>
    <row r="4792" ht="15" customHeight="1">
      <c r="A4792" t="inlineStr">
        <is>
          <t>A 36781-2021</t>
        </is>
      </c>
      <c r="B4792" s="1" t="n">
        <v>44392</v>
      </c>
      <c r="C4792" s="1" t="n">
        <v>45810</v>
      </c>
      <c r="D4792" t="inlineStr">
        <is>
          <t>VÄRMLANDS LÄN</t>
        </is>
      </c>
      <c r="E4792" t="inlineStr">
        <is>
          <t>SÄFFLE</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36759-2021</t>
        </is>
      </c>
      <c r="B4793" s="1" t="n">
        <v>44392</v>
      </c>
      <c r="C4793" s="1" t="n">
        <v>45810</v>
      </c>
      <c r="D4793" t="inlineStr">
        <is>
          <t>VÄRMLANDS LÄN</t>
        </is>
      </c>
      <c r="E4793" t="inlineStr">
        <is>
          <t>SÄFFLE</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36767-2021</t>
        </is>
      </c>
      <c r="B4794" s="1" t="n">
        <v>44392</v>
      </c>
      <c r="C4794" s="1" t="n">
        <v>45810</v>
      </c>
      <c r="D4794" t="inlineStr">
        <is>
          <t>VÄRMLANDS LÄN</t>
        </is>
      </c>
      <c r="E4794" t="inlineStr">
        <is>
          <t>SÄFFLE</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36784-2021</t>
        </is>
      </c>
      <c r="B4795" s="1" t="n">
        <v>44392</v>
      </c>
      <c r="C4795" s="1" t="n">
        <v>45810</v>
      </c>
      <c r="D4795" t="inlineStr">
        <is>
          <t>VÄRMLANDS LÄN</t>
        </is>
      </c>
      <c r="E4795" t="inlineStr">
        <is>
          <t>SÄFFLE</t>
        </is>
      </c>
      <c r="G4795" t="n">
        <v>3.3</v>
      </c>
      <c r="H4795" t="n">
        <v>0</v>
      </c>
      <c r="I4795" t="n">
        <v>0</v>
      </c>
      <c r="J4795" t="n">
        <v>0</v>
      </c>
      <c r="K4795" t="n">
        <v>0</v>
      </c>
      <c r="L4795" t="n">
        <v>0</v>
      </c>
      <c r="M4795" t="n">
        <v>0</v>
      </c>
      <c r="N4795" t="n">
        <v>0</v>
      </c>
      <c r="O4795" t="n">
        <v>0</v>
      </c>
      <c r="P4795" t="n">
        <v>0</v>
      </c>
      <c r="Q4795" t="n">
        <v>0</v>
      </c>
      <c r="R4795" s="2" t="inlineStr"/>
    </row>
    <row r="4796" ht="15" customHeight="1">
      <c r="A4796" t="inlineStr">
        <is>
          <t>A 36800-2021</t>
        </is>
      </c>
      <c r="B4796" s="1" t="n">
        <v>44392</v>
      </c>
      <c r="C4796" s="1" t="n">
        <v>45810</v>
      </c>
      <c r="D4796" t="inlineStr">
        <is>
          <t>VÄRMLANDS LÄN</t>
        </is>
      </c>
      <c r="E4796" t="inlineStr">
        <is>
          <t>SUNNE</t>
        </is>
      </c>
      <c r="F4796" t="inlineStr">
        <is>
          <t>Övriga Aktiebolag</t>
        </is>
      </c>
      <c r="G4796" t="n">
        <v>6</v>
      </c>
      <c r="H4796" t="n">
        <v>0</v>
      </c>
      <c r="I4796" t="n">
        <v>0</v>
      </c>
      <c r="J4796" t="n">
        <v>0</v>
      </c>
      <c r="K4796" t="n">
        <v>0</v>
      </c>
      <c r="L4796" t="n">
        <v>0</v>
      </c>
      <c r="M4796" t="n">
        <v>0</v>
      </c>
      <c r="N4796" t="n">
        <v>0</v>
      </c>
      <c r="O4796" t="n">
        <v>0</v>
      </c>
      <c r="P4796" t="n">
        <v>0</v>
      </c>
      <c r="Q4796" t="n">
        <v>0</v>
      </c>
      <c r="R4796" s="2" t="inlineStr"/>
    </row>
    <row r="4797" ht="15" customHeight="1">
      <c r="A4797" t="inlineStr">
        <is>
          <t>A 36876-2021</t>
        </is>
      </c>
      <c r="B4797" s="1" t="n">
        <v>44393</v>
      </c>
      <c r="C4797" s="1" t="n">
        <v>45810</v>
      </c>
      <c r="D4797" t="inlineStr">
        <is>
          <t>VÄRMLANDS LÄN</t>
        </is>
      </c>
      <c r="E4797" t="inlineStr">
        <is>
          <t>FORSHAGA</t>
        </is>
      </c>
      <c r="F4797" t="inlineStr">
        <is>
          <t>Bergvik skog väst AB</t>
        </is>
      </c>
      <c r="G4797" t="n">
        <v>19.4</v>
      </c>
      <c r="H4797" t="n">
        <v>0</v>
      </c>
      <c r="I4797" t="n">
        <v>0</v>
      </c>
      <c r="J4797" t="n">
        <v>0</v>
      </c>
      <c r="K4797" t="n">
        <v>0</v>
      </c>
      <c r="L4797" t="n">
        <v>0</v>
      </c>
      <c r="M4797" t="n">
        <v>0</v>
      </c>
      <c r="N4797" t="n">
        <v>0</v>
      </c>
      <c r="O4797" t="n">
        <v>0</v>
      </c>
      <c r="P4797" t="n">
        <v>0</v>
      </c>
      <c r="Q4797" t="n">
        <v>0</v>
      </c>
      <c r="R4797" s="2" t="inlineStr"/>
    </row>
    <row r="4798" ht="15" customHeight="1">
      <c r="A4798" t="inlineStr">
        <is>
          <t>A 36874-2021</t>
        </is>
      </c>
      <c r="B4798" s="1" t="n">
        <v>44393</v>
      </c>
      <c r="C4798" s="1" t="n">
        <v>45810</v>
      </c>
      <c r="D4798" t="inlineStr">
        <is>
          <t>VÄRMLANDS LÄN</t>
        </is>
      </c>
      <c r="E4798" t="inlineStr">
        <is>
          <t>SUNNE</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36961-2021</t>
        </is>
      </c>
      <c r="B4799" s="1" t="n">
        <v>44393</v>
      </c>
      <c r="C4799" s="1" t="n">
        <v>45810</v>
      </c>
      <c r="D4799" t="inlineStr">
        <is>
          <t>VÄRMLANDS LÄN</t>
        </is>
      </c>
      <c r="E4799" t="inlineStr">
        <is>
          <t>KRISTINEHAMN</t>
        </is>
      </c>
      <c r="F4799" t="inlineStr">
        <is>
          <t>Sveaskog</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36886-2021</t>
        </is>
      </c>
      <c r="B4800" s="1" t="n">
        <v>44393</v>
      </c>
      <c r="C4800" s="1" t="n">
        <v>45810</v>
      </c>
      <c r="D4800" t="inlineStr">
        <is>
          <t>VÄRMLANDS LÄN</t>
        </is>
      </c>
      <c r="E4800" t="inlineStr">
        <is>
          <t>HAGFORS</t>
        </is>
      </c>
      <c r="F4800" t="inlineStr">
        <is>
          <t>Bergvik skog väst AB</t>
        </is>
      </c>
      <c r="G4800" t="n">
        <v>6.4</v>
      </c>
      <c r="H4800" t="n">
        <v>0</v>
      </c>
      <c r="I4800" t="n">
        <v>0</v>
      </c>
      <c r="J4800" t="n">
        <v>0</v>
      </c>
      <c r="K4800" t="n">
        <v>0</v>
      </c>
      <c r="L4800" t="n">
        <v>0</v>
      </c>
      <c r="M4800" t="n">
        <v>0</v>
      </c>
      <c r="N4800" t="n">
        <v>0</v>
      </c>
      <c r="O4800" t="n">
        <v>0</v>
      </c>
      <c r="P4800" t="n">
        <v>0</v>
      </c>
      <c r="Q4800" t="n">
        <v>0</v>
      </c>
      <c r="R4800" s="2" t="inlineStr"/>
    </row>
    <row r="4801" ht="15" customHeight="1">
      <c r="A4801" t="inlineStr">
        <is>
          <t>A 36948-2021</t>
        </is>
      </c>
      <c r="B4801" s="1" t="n">
        <v>44393</v>
      </c>
      <c r="C4801" s="1" t="n">
        <v>45810</v>
      </c>
      <c r="D4801" t="inlineStr">
        <is>
          <t>VÄRMLANDS LÄN</t>
        </is>
      </c>
      <c r="E4801" t="inlineStr">
        <is>
          <t>ÅRJÄNG</t>
        </is>
      </c>
      <c r="G4801" t="n">
        <v>4.4</v>
      </c>
      <c r="H4801" t="n">
        <v>0</v>
      </c>
      <c r="I4801" t="n">
        <v>0</v>
      </c>
      <c r="J4801" t="n">
        <v>0</v>
      </c>
      <c r="K4801" t="n">
        <v>0</v>
      </c>
      <c r="L4801" t="n">
        <v>0</v>
      </c>
      <c r="M4801" t="n">
        <v>0</v>
      </c>
      <c r="N4801" t="n">
        <v>0</v>
      </c>
      <c r="O4801" t="n">
        <v>0</v>
      </c>
      <c r="P4801" t="n">
        <v>0</v>
      </c>
      <c r="Q4801" t="n">
        <v>0</v>
      </c>
      <c r="R4801" s="2" t="inlineStr"/>
    </row>
    <row r="4802" ht="15" customHeight="1">
      <c r="A4802" t="inlineStr">
        <is>
          <t>A 36960-2021</t>
        </is>
      </c>
      <c r="B4802" s="1" t="n">
        <v>44393</v>
      </c>
      <c r="C4802" s="1" t="n">
        <v>45810</v>
      </c>
      <c r="D4802" t="inlineStr">
        <is>
          <t>VÄRMLANDS LÄN</t>
        </is>
      </c>
      <c r="E4802" t="inlineStr">
        <is>
          <t>KRISTINEHAMN</t>
        </is>
      </c>
      <c r="F4802" t="inlineStr">
        <is>
          <t>Sveaskog</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36955-2021</t>
        </is>
      </c>
      <c r="B4803" s="1" t="n">
        <v>44393</v>
      </c>
      <c r="C4803" s="1" t="n">
        <v>45810</v>
      </c>
      <c r="D4803" t="inlineStr">
        <is>
          <t>VÄRMLANDS LÄN</t>
        </is>
      </c>
      <c r="E4803" t="inlineStr">
        <is>
          <t>KRISTINEHAMN</t>
        </is>
      </c>
      <c r="F4803" t="inlineStr">
        <is>
          <t>Sveaskog</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37008-2021</t>
        </is>
      </c>
      <c r="B4804" s="1" t="n">
        <v>44393</v>
      </c>
      <c r="C4804" s="1" t="n">
        <v>45810</v>
      </c>
      <c r="D4804" t="inlineStr">
        <is>
          <t>VÄRMLANDS LÄN</t>
        </is>
      </c>
      <c r="E4804" t="inlineStr">
        <is>
          <t>FILIPSTAD</t>
        </is>
      </c>
      <c r="G4804" t="n">
        <v>4.2</v>
      </c>
      <c r="H4804" t="n">
        <v>0</v>
      </c>
      <c r="I4804" t="n">
        <v>0</v>
      </c>
      <c r="J4804" t="n">
        <v>0</v>
      </c>
      <c r="K4804" t="n">
        <v>0</v>
      </c>
      <c r="L4804" t="n">
        <v>0</v>
      </c>
      <c r="M4804" t="n">
        <v>0</v>
      </c>
      <c r="N4804" t="n">
        <v>0</v>
      </c>
      <c r="O4804" t="n">
        <v>0</v>
      </c>
      <c r="P4804" t="n">
        <v>0</v>
      </c>
      <c r="Q4804" t="n">
        <v>0</v>
      </c>
      <c r="R4804" s="2" t="inlineStr"/>
    </row>
    <row r="4805" ht="15" customHeight="1">
      <c r="A4805" t="inlineStr">
        <is>
          <t>A 37074-2021</t>
        </is>
      </c>
      <c r="B4805" s="1" t="n">
        <v>44394</v>
      </c>
      <c r="C4805" s="1" t="n">
        <v>45810</v>
      </c>
      <c r="D4805" t="inlineStr">
        <is>
          <t>VÄRMLANDS LÄN</t>
        </is>
      </c>
      <c r="E4805" t="inlineStr">
        <is>
          <t>TORSBY</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37075-2021</t>
        </is>
      </c>
      <c r="B4806" s="1" t="n">
        <v>44394</v>
      </c>
      <c r="C4806" s="1" t="n">
        <v>45810</v>
      </c>
      <c r="D4806" t="inlineStr">
        <is>
          <t>VÄRMLANDS LÄN</t>
        </is>
      </c>
      <c r="E4806" t="inlineStr">
        <is>
          <t>TORSBY</t>
        </is>
      </c>
      <c r="G4806" t="n">
        <v>3.2</v>
      </c>
      <c r="H4806" t="n">
        <v>0</v>
      </c>
      <c r="I4806" t="n">
        <v>0</v>
      </c>
      <c r="J4806" t="n">
        <v>0</v>
      </c>
      <c r="K4806" t="n">
        <v>0</v>
      </c>
      <c r="L4806" t="n">
        <v>0</v>
      </c>
      <c r="M4806" t="n">
        <v>0</v>
      </c>
      <c r="N4806" t="n">
        <v>0</v>
      </c>
      <c r="O4806" t="n">
        <v>0</v>
      </c>
      <c r="P4806" t="n">
        <v>0</v>
      </c>
      <c r="Q4806" t="n">
        <v>0</v>
      </c>
      <c r="R4806" s="2" t="inlineStr"/>
    </row>
    <row r="4807" ht="15" customHeight="1">
      <c r="A4807" t="inlineStr">
        <is>
          <t>A 37084-2021</t>
        </is>
      </c>
      <c r="B4807" s="1" t="n">
        <v>44395</v>
      </c>
      <c r="C4807" s="1" t="n">
        <v>45810</v>
      </c>
      <c r="D4807" t="inlineStr">
        <is>
          <t>VÄRMLANDS LÄN</t>
        </is>
      </c>
      <c r="E4807" t="inlineStr">
        <is>
          <t>SUNNE</t>
        </is>
      </c>
      <c r="G4807" t="n">
        <v>2.1</v>
      </c>
      <c r="H4807" t="n">
        <v>0</v>
      </c>
      <c r="I4807" t="n">
        <v>0</v>
      </c>
      <c r="J4807" t="n">
        <v>0</v>
      </c>
      <c r="K4807" t="n">
        <v>0</v>
      </c>
      <c r="L4807" t="n">
        <v>0</v>
      </c>
      <c r="M4807" t="n">
        <v>0</v>
      </c>
      <c r="N4807" t="n">
        <v>0</v>
      </c>
      <c r="O4807" t="n">
        <v>0</v>
      </c>
      <c r="P4807" t="n">
        <v>0</v>
      </c>
      <c r="Q4807" t="n">
        <v>0</v>
      </c>
      <c r="R4807" s="2" t="inlineStr"/>
    </row>
    <row r="4808" ht="15" customHeight="1">
      <c r="A4808" t="inlineStr">
        <is>
          <t>A 37083-2021</t>
        </is>
      </c>
      <c r="B4808" s="1" t="n">
        <v>44395</v>
      </c>
      <c r="C4808" s="1" t="n">
        <v>45810</v>
      </c>
      <c r="D4808" t="inlineStr">
        <is>
          <t>VÄRMLANDS LÄN</t>
        </is>
      </c>
      <c r="E4808" t="inlineStr">
        <is>
          <t>SUNNE</t>
        </is>
      </c>
      <c r="G4808" t="n">
        <v>2.8</v>
      </c>
      <c r="H4808" t="n">
        <v>0</v>
      </c>
      <c r="I4808" t="n">
        <v>0</v>
      </c>
      <c r="J4808" t="n">
        <v>0</v>
      </c>
      <c r="K4808" t="n">
        <v>0</v>
      </c>
      <c r="L4808" t="n">
        <v>0</v>
      </c>
      <c r="M4808" t="n">
        <v>0</v>
      </c>
      <c r="N4808" t="n">
        <v>0</v>
      </c>
      <c r="O4808" t="n">
        <v>0</v>
      </c>
      <c r="P4808" t="n">
        <v>0</v>
      </c>
      <c r="Q4808" t="n">
        <v>0</v>
      </c>
      <c r="R4808" s="2" t="inlineStr"/>
    </row>
    <row r="4809" ht="15" customHeight="1">
      <c r="A4809" t="inlineStr">
        <is>
          <t>A 37169-2021</t>
        </is>
      </c>
      <c r="B4809" s="1" t="n">
        <v>44395</v>
      </c>
      <c r="C4809" s="1" t="n">
        <v>45810</v>
      </c>
      <c r="D4809" t="inlineStr">
        <is>
          <t>VÄRMLANDS LÄN</t>
        </is>
      </c>
      <c r="E4809" t="inlineStr">
        <is>
          <t>KIL</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37125-2021</t>
        </is>
      </c>
      <c r="B4810" s="1" t="n">
        <v>44396</v>
      </c>
      <c r="C4810" s="1" t="n">
        <v>45810</v>
      </c>
      <c r="D4810" t="inlineStr">
        <is>
          <t>VÄRMLANDS LÄN</t>
        </is>
      </c>
      <c r="E4810" t="inlineStr">
        <is>
          <t>KARLSTAD</t>
        </is>
      </c>
      <c r="F4810" t="inlineStr">
        <is>
          <t>Naturvårdsverket</t>
        </is>
      </c>
      <c r="G4810" t="n">
        <v>16.9</v>
      </c>
      <c r="H4810" t="n">
        <v>0</v>
      </c>
      <c r="I4810" t="n">
        <v>0</v>
      </c>
      <c r="J4810" t="n">
        <v>0</v>
      </c>
      <c r="K4810" t="n">
        <v>0</v>
      </c>
      <c r="L4810" t="n">
        <v>0</v>
      </c>
      <c r="M4810" t="n">
        <v>0</v>
      </c>
      <c r="N4810" t="n">
        <v>0</v>
      </c>
      <c r="O4810" t="n">
        <v>0</v>
      </c>
      <c r="P4810" t="n">
        <v>0</v>
      </c>
      <c r="Q4810" t="n">
        <v>0</v>
      </c>
      <c r="R4810" s="2" t="inlineStr"/>
    </row>
    <row r="4811" ht="15" customHeight="1">
      <c r="A4811" t="inlineStr">
        <is>
          <t>A 37136-2021</t>
        </is>
      </c>
      <c r="B4811" s="1" t="n">
        <v>44396</v>
      </c>
      <c r="C4811" s="1" t="n">
        <v>45810</v>
      </c>
      <c r="D4811" t="inlineStr">
        <is>
          <t>VÄRMLANDS LÄN</t>
        </is>
      </c>
      <c r="E4811" t="inlineStr">
        <is>
          <t>ÅRJÄNG</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37127-2021</t>
        </is>
      </c>
      <c r="B4812" s="1" t="n">
        <v>44396</v>
      </c>
      <c r="C4812" s="1" t="n">
        <v>45810</v>
      </c>
      <c r="D4812" t="inlineStr">
        <is>
          <t>VÄRMLANDS LÄN</t>
        </is>
      </c>
      <c r="E4812" t="inlineStr">
        <is>
          <t>SUNNE</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37182-2021</t>
        </is>
      </c>
      <c r="B4813" s="1" t="n">
        <v>44396</v>
      </c>
      <c r="C4813" s="1" t="n">
        <v>45810</v>
      </c>
      <c r="D4813" t="inlineStr">
        <is>
          <t>VÄRMLANDS LÄN</t>
        </is>
      </c>
      <c r="E4813" t="inlineStr">
        <is>
          <t>SUNNE</t>
        </is>
      </c>
      <c r="G4813" t="n">
        <v>5</v>
      </c>
      <c r="H4813" t="n">
        <v>0</v>
      </c>
      <c r="I4813" t="n">
        <v>0</v>
      </c>
      <c r="J4813" t="n">
        <v>0</v>
      </c>
      <c r="K4813" t="n">
        <v>0</v>
      </c>
      <c r="L4813" t="n">
        <v>0</v>
      </c>
      <c r="M4813" t="n">
        <v>0</v>
      </c>
      <c r="N4813" t="n">
        <v>0</v>
      </c>
      <c r="O4813" t="n">
        <v>0</v>
      </c>
      <c r="P4813" t="n">
        <v>0</v>
      </c>
      <c r="Q4813" t="n">
        <v>0</v>
      </c>
      <c r="R4813" s="2" t="inlineStr"/>
    </row>
    <row r="4814" ht="15" customHeight="1">
      <c r="A4814" t="inlineStr">
        <is>
          <t>A 37212-2021</t>
        </is>
      </c>
      <c r="B4814" s="1" t="n">
        <v>44396</v>
      </c>
      <c r="C4814" s="1" t="n">
        <v>45810</v>
      </c>
      <c r="D4814" t="inlineStr">
        <is>
          <t>VÄRMLANDS LÄN</t>
        </is>
      </c>
      <c r="E4814" t="inlineStr">
        <is>
          <t>SUNNE</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37181-2021</t>
        </is>
      </c>
      <c r="B4815" s="1" t="n">
        <v>44396</v>
      </c>
      <c r="C4815" s="1" t="n">
        <v>45810</v>
      </c>
      <c r="D4815" t="inlineStr">
        <is>
          <t>VÄRMLANDS LÄN</t>
        </is>
      </c>
      <c r="E4815" t="inlineStr">
        <is>
          <t>SUNNE</t>
        </is>
      </c>
      <c r="G4815" t="n">
        <v>6.6</v>
      </c>
      <c r="H4815" t="n">
        <v>0</v>
      </c>
      <c r="I4815" t="n">
        <v>0</v>
      </c>
      <c r="J4815" t="n">
        <v>0</v>
      </c>
      <c r="K4815" t="n">
        <v>0</v>
      </c>
      <c r="L4815" t="n">
        <v>0</v>
      </c>
      <c r="M4815" t="n">
        <v>0</v>
      </c>
      <c r="N4815" t="n">
        <v>0</v>
      </c>
      <c r="O4815" t="n">
        <v>0</v>
      </c>
      <c r="P4815" t="n">
        <v>0</v>
      </c>
      <c r="Q4815" t="n">
        <v>0</v>
      </c>
      <c r="R4815" s="2" t="inlineStr"/>
    </row>
    <row r="4816" ht="15" customHeight="1">
      <c r="A4816" t="inlineStr">
        <is>
          <t>A 37191-2021</t>
        </is>
      </c>
      <c r="B4816" s="1" t="n">
        <v>44396</v>
      </c>
      <c r="C4816" s="1" t="n">
        <v>45810</v>
      </c>
      <c r="D4816" t="inlineStr">
        <is>
          <t>VÄRMLANDS LÄN</t>
        </is>
      </c>
      <c r="E4816" t="inlineStr">
        <is>
          <t>SUNNE</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37213-2021</t>
        </is>
      </c>
      <c r="B4817" s="1" t="n">
        <v>44396</v>
      </c>
      <c r="C4817" s="1" t="n">
        <v>45810</v>
      </c>
      <c r="D4817" t="inlineStr">
        <is>
          <t>VÄRMLANDS LÄN</t>
        </is>
      </c>
      <c r="E4817" t="inlineStr">
        <is>
          <t>SUNNE</t>
        </is>
      </c>
      <c r="F4817" t="inlineStr">
        <is>
          <t>Övriga Aktiebolag</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37218-2021</t>
        </is>
      </c>
      <c r="B4818" s="1" t="n">
        <v>44396</v>
      </c>
      <c r="C4818" s="1" t="n">
        <v>45810</v>
      </c>
      <c r="D4818" t="inlineStr">
        <is>
          <t>VÄRMLANDS LÄN</t>
        </is>
      </c>
      <c r="E4818" t="inlineStr">
        <is>
          <t>SUNNE</t>
        </is>
      </c>
      <c r="F4818" t="inlineStr">
        <is>
          <t>Övriga Aktiebolag</t>
        </is>
      </c>
      <c r="G4818" t="n">
        <v>2.4</v>
      </c>
      <c r="H4818" t="n">
        <v>0</v>
      </c>
      <c r="I4818" t="n">
        <v>0</v>
      </c>
      <c r="J4818" t="n">
        <v>0</v>
      </c>
      <c r="K4818" t="n">
        <v>0</v>
      </c>
      <c r="L4818" t="n">
        <v>0</v>
      </c>
      <c r="M4818" t="n">
        <v>0</v>
      </c>
      <c r="N4818" t="n">
        <v>0</v>
      </c>
      <c r="O4818" t="n">
        <v>0</v>
      </c>
      <c r="P4818" t="n">
        <v>0</v>
      </c>
      <c r="Q4818" t="n">
        <v>0</v>
      </c>
      <c r="R4818" s="2" t="inlineStr"/>
    </row>
    <row r="4819" ht="15" customHeight="1">
      <c r="A4819" t="inlineStr">
        <is>
          <t>A 37225-2021</t>
        </is>
      </c>
      <c r="B4819" s="1" t="n">
        <v>44396</v>
      </c>
      <c r="C4819" s="1" t="n">
        <v>45810</v>
      </c>
      <c r="D4819" t="inlineStr">
        <is>
          <t>VÄRMLANDS LÄN</t>
        </is>
      </c>
      <c r="E4819" t="inlineStr">
        <is>
          <t>TORSBY</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37276-2021</t>
        </is>
      </c>
      <c r="B4820" s="1" t="n">
        <v>44397</v>
      </c>
      <c r="C4820" s="1" t="n">
        <v>45810</v>
      </c>
      <c r="D4820" t="inlineStr">
        <is>
          <t>VÄRMLANDS LÄN</t>
        </is>
      </c>
      <c r="E4820" t="inlineStr">
        <is>
          <t>SUNNE</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37381-2021</t>
        </is>
      </c>
      <c r="B4821" s="1" t="n">
        <v>44398</v>
      </c>
      <c r="C4821" s="1" t="n">
        <v>45810</v>
      </c>
      <c r="D4821" t="inlineStr">
        <is>
          <t>VÄRMLANDS LÄN</t>
        </is>
      </c>
      <c r="E4821" t="inlineStr">
        <is>
          <t>SUNNE</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37379-2021</t>
        </is>
      </c>
      <c r="B4822" s="1" t="n">
        <v>44398</v>
      </c>
      <c r="C4822" s="1" t="n">
        <v>45810</v>
      </c>
      <c r="D4822" t="inlineStr">
        <is>
          <t>VÄRMLANDS LÄN</t>
        </is>
      </c>
      <c r="E4822" t="inlineStr">
        <is>
          <t>SUNNE</t>
        </is>
      </c>
      <c r="G4822" t="n">
        <v>5.2</v>
      </c>
      <c r="H4822" t="n">
        <v>0</v>
      </c>
      <c r="I4822" t="n">
        <v>0</v>
      </c>
      <c r="J4822" t="n">
        <v>0</v>
      </c>
      <c r="K4822" t="n">
        <v>0</v>
      </c>
      <c r="L4822" t="n">
        <v>0</v>
      </c>
      <c r="M4822" t="n">
        <v>0</v>
      </c>
      <c r="N4822" t="n">
        <v>0</v>
      </c>
      <c r="O4822" t="n">
        <v>0</v>
      </c>
      <c r="P4822" t="n">
        <v>0</v>
      </c>
      <c r="Q4822" t="n">
        <v>0</v>
      </c>
      <c r="R4822" s="2" t="inlineStr"/>
    </row>
    <row r="4823" ht="15" customHeight="1">
      <c r="A4823" t="inlineStr">
        <is>
          <t>A 37509-2021</t>
        </is>
      </c>
      <c r="B4823" s="1" t="n">
        <v>44399</v>
      </c>
      <c r="C4823" s="1" t="n">
        <v>45810</v>
      </c>
      <c r="D4823" t="inlineStr">
        <is>
          <t>VÄRMLANDS LÄN</t>
        </is>
      </c>
      <c r="E4823" t="inlineStr">
        <is>
          <t>SUNNE</t>
        </is>
      </c>
      <c r="G4823" t="n">
        <v>3.1</v>
      </c>
      <c r="H4823" t="n">
        <v>0</v>
      </c>
      <c r="I4823" t="n">
        <v>0</v>
      </c>
      <c r="J4823" t="n">
        <v>0</v>
      </c>
      <c r="K4823" t="n">
        <v>0</v>
      </c>
      <c r="L4823" t="n">
        <v>0</v>
      </c>
      <c r="M4823" t="n">
        <v>0</v>
      </c>
      <c r="N4823" t="n">
        <v>0</v>
      </c>
      <c r="O4823" t="n">
        <v>0</v>
      </c>
      <c r="P4823" t="n">
        <v>0</v>
      </c>
      <c r="Q4823" t="n">
        <v>0</v>
      </c>
      <c r="R4823" s="2" t="inlineStr"/>
    </row>
    <row r="4824" ht="15" customHeight="1">
      <c r="A4824" t="inlineStr">
        <is>
          <t>A 37585-2021</t>
        </is>
      </c>
      <c r="B4824" s="1" t="n">
        <v>44399</v>
      </c>
      <c r="C4824" s="1" t="n">
        <v>45810</v>
      </c>
      <c r="D4824" t="inlineStr">
        <is>
          <t>VÄRMLANDS LÄN</t>
        </is>
      </c>
      <c r="E4824" t="inlineStr">
        <is>
          <t>SUNNE</t>
        </is>
      </c>
      <c r="G4824" t="n">
        <v>2.1</v>
      </c>
      <c r="H4824" t="n">
        <v>0</v>
      </c>
      <c r="I4824" t="n">
        <v>0</v>
      </c>
      <c r="J4824" t="n">
        <v>0</v>
      </c>
      <c r="K4824" t="n">
        <v>0</v>
      </c>
      <c r="L4824" t="n">
        <v>0</v>
      </c>
      <c r="M4824" t="n">
        <v>0</v>
      </c>
      <c r="N4824" t="n">
        <v>0</v>
      </c>
      <c r="O4824" t="n">
        <v>0</v>
      </c>
      <c r="P4824" t="n">
        <v>0</v>
      </c>
      <c r="Q4824" t="n">
        <v>0</v>
      </c>
      <c r="R4824" s="2" t="inlineStr"/>
    </row>
    <row r="4825" ht="15" customHeight="1">
      <c r="A4825" t="inlineStr">
        <is>
          <t>A 37540-2021</t>
        </is>
      </c>
      <c r="B4825" s="1" t="n">
        <v>44399</v>
      </c>
      <c r="C4825" s="1" t="n">
        <v>45810</v>
      </c>
      <c r="D4825" t="inlineStr">
        <is>
          <t>VÄRMLANDS LÄN</t>
        </is>
      </c>
      <c r="E4825" t="inlineStr">
        <is>
          <t>ARVIKA</t>
        </is>
      </c>
      <c r="G4825" t="n">
        <v>5.9</v>
      </c>
      <c r="H4825" t="n">
        <v>0</v>
      </c>
      <c r="I4825" t="n">
        <v>0</v>
      </c>
      <c r="J4825" t="n">
        <v>0</v>
      </c>
      <c r="K4825" t="n">
        <v>0</v>
      </c>
      <c r="L4825" t="n">
        <v>0</v>
      </c>
      <c r="M4825" t="n">
        <v>0</v>
      </c>
      <c r="N4825" t="n">
        <v>0</v>
      </c>
      <c r="O4825" t="n">
        <v>0</v>
      </c>
      <c r="P4825" t="n">
        <v>0</v>
      </c>
      <c r="Q4825" t="n">
        <v>0</v>
      </c>
      <c r="R4825" s="2" t="inlineStr"/>
    </row>
    <row r="4826" ht="15" customHeight="1">
      <c r="A4826" t="inlineStr">
        <is>
          <t>A 37543-2021</t>
        </is>
      </c>
      <c r="B4826" s="1" t="n">
        <v>44399</v>
      </c>
      <c r="C4826" s="1" t="n">
        <v>45810</v>
      </c>
      <c r="D4826" t="inlineStr">
        <is>
          <t>VÄRMLANDS LÄN</t>
        </is>
      </c>
      <c r="E4826" t="inlineStr">
        <is>
          <t>KARLSTAD</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37597-2021</t>
        </is>
      </c>
      <c r="B4827" s="1" t="n">
        <v>44399</v>
      </c>
      <c r="C4827" s="1" t="n">
        <v>45810</v>
      </c>
      <c r="D4827" t="inlineStr">
        <is>
          <t>VÄRMLANDS LÄN</t>
        </is>
      </c>
      <c r="E4827" t="inlineStr">
        <is>
          <t>SUNNE</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37603-2021</t>
        </is>
      </c>
      <c r="B4828" s="1" t="n">
        <v>44399</v>
      </c>
      <c r="C4828" s="1" t="n">
        <v>45810</v>
      </c>
      <c r="D4828" t="inlineStr">
        <is>
          <t>VÄRMLANDS LÄN</t>
        </is>
      </c>
      <c r="E4828" t="inlineStr">
        <is>
          <t>SUNNE</t>
        </is>
      </c>
      <c r="G4828" t="n">
        <v>11.7</v>
      </c>
      <c r="H4828" t="n">
        <v>0</v>
      </c>
      <c r="I4828" t="n">
        <v>0</v>
      </c>
      <c r="J4828" t="n">
        <v>0</v>
      </c>
      <c r="K4828" t="n">
        <v>0</v>
      </c>
      <c r="L4828" t="n">
        <v>0</v>
      </c>
      <c r="M4828" t="n">
        <v>0</v>
      </c>
      <c r="N4828" t="n">
        <v>0</v>
      </c>
      <c r="O4828" t="n">
        <v>0</v>
      </c>
      <c r="P4828" t="n">
        <v>0</v>
      </c>
      <c r="Q4828" t="n">
        <v>0</v>
      </c>
      <c r="R4828" s="2" t="inlineStr"/>
    </row>
    <row r="4829" ht="15" customHeight="1">
      <c r="A4829" t="inlineStr">
        <is>
          <t>A 37609-2021</t>
        </is>
      </c>
      <c r="B4829" s="1" t="n">
        <v>44399</v>
      </c>
      <c r="C4829" s="1" t="n">
        <v>45810</v>
      </c>
      <c r="D4829" t="inlineStr">
        <is>
          <t>VÄRMLANDS LÄN</t>
        </is>
      </c>
      <c r="E4829" t="inlineStr">
        <is>
          <t>TORSBY</t>
        </is>
      </c>
      <c r="G4829" t="n">
        <v>0.2</v>
      </c>
      <c r="H4829" t="n">
        <v>0</v>
      </c>
      <c r="I4829" t="n">
        <v>0</v>
      </c>
      <c r="J4829" t="n">
        <v>0</v>
      </c>
      <c r="K4829" t="n">
        <v>0</v>
      </c>
      <c r="L4829" t="n">
        <v>0</v>
      </c>
      <c r="M4829" t="n">
        <v>0</v>
      </c>
      <c r="N4829" t="n">
        <v>0</v>
      </c>
      <c r="O4829" t="n">
        <v>0</v>
      </c>
      <c r="P4829" t="n">
        <v>0</v>
      </c>
      <c r="Q4829" t="n">
        <v>0</v>
      </c>
      <c r="R4829" s="2" t="inlineStr"/>
    </row>
    <row r="4830" ht="15" customHeight="1">
      <c r="A4830" t="inlineStr">
        <is>
          <t>A 37608-2021</t>
        </is>
      </c>
      <c r="B4830" s="1" t="n">
        <v>44399</v>
      </c>
      <c r="C4830" s="1" t="n">
        <v>45810</v>
      </c>
      <c r="D4830" t="inlineStr">
        <is>
          <t>VÄRMLANDS LÄN</t>
        </is>
      </c>
      <c r="E4830" t="inlineStr">
        <is>
          <t>TORSBY</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37637-2021</t>
        </is>
      </c>
      <c r="B4831" s="1" t="n">
        <v>44400</v>
      </c>
      <c r="C4831" s="1" t="n">
        <v>45810</v>
      </c>
      <c r="D4831" t="inlineStr">
        <is>
          <t>VÄRMLANDS LÄN</t>
        </is>
      </c>
      <c r="E4831" t="inlineStr">
        <is>
          <t>SÄFFLE</t>
        </is>
      </c>
      <c r="G4831" t="n">
        <v>0.2</v>
      </c>
      <c r="H4831" t="n">
        <v>0</v>
      </c>
      <c r="I4831" t="n">
        <v>0</v>
      </c>
      <c r="J4831" t="n">
        <v>0</v>
      </c>
      <c r="K4831" t="n">
        <v>0</v>
      </c>
      <c r="L4831" t="n">
        <v>0</v>
      </c>
      <c r="M4831" t="n">
        <v>0</v>
      </c>
      <c r="N4831" t="n">
        <v>0</v>
      </c>
      <c r="O4831" t="n">
        <v>0</v>
      </c>
      <c r="P4831" t="n">
        <v>0</v>
      </c>
      <c r="Q4831" t="n">
        <v>0</v>
      </c>
      <c r="R4831" s="2" t="inlineStr"/>
    </row>
    <row r="4832" ht="15" customHeight="1">
      <c r="A4832" t="inlineStr">
        <is>
          <t>A 37697-2021</t>
        </is>
      </c>
      <c r="B4832" s="1" t="n">
        <v>44400</v>
      </c>
      <c r="C4832" s="1" t="n">
        <v>45810</v>
      </c>
      <c r="D4832" t="inlineStr">
        <is>
          <t>VÄRMLANDS LÄN</t>
        </is>
      </c>
      <c r="E4832" t="inlineStr">
        <is>
          <t>ÅRJÄNG</t>
        </is>
      </c>
      <c r="G4832" t="n">
        <v>4.3</v>
      </c>
      <c r="H4832" t="n">
        <v>0</v>
      </c>
      <c r="I4832" t="n">
        <v>0</v>
      </c>
      <c r="J4832" t="n">
        <v>0</v>
      </c>
      <c r="K4832" t="n">
        <v>0</v>
      </c>
      <c r="L4832" t="n">
        <v>0</v>
      </c>
      <c r="M4832" t="n">
        <v>0</v>
      </c>
      <c r="N4832" t="n">
        <v>0</v>
      </c>
      <c r="O4832" t="n">
        <v>0</v>
      </c>
      <c r="P4832" t="n">
        <v>0</v>
      </c>
      <c r="Q4832" t="n">
        <v>0</v>
      </c>
      <c r="R4832" s="2" t="inlineStr"/>
    </row>
    <row r="4833" ht="15" customHeight="1">
      <c r="A4833" t="inlineStr">
        <is>
          <t>A 37699-2021</t>
        </is>
      </c>
      <c r="B4833" s="1" t="n">
        <v>44400</v>
      </c>
      <c r="C4833" s="1" t="n">
        <v>45810</v>
      </c>
      <c r="D4833" t="inlineStr">
        <is>
          <t>VÄRMLANDS LÄN</t>
        </is>
      </c>
      <c r="E4833" t="inlineStr">
        <is>
          <t>HAGFORS</t>
        </is>
      </c>
      <c r="F4833" t="inlineStr">
        <is>
          <t>Bergvik skog väst AB</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37710-2021</t>
        </is>
      </c>
      <c r="B4834" s="1" t="n">
        <v>44400</v>
      </c>
      <c r="C4834" s="1" t="n">
        <v>45810</v>
      </c>
      <c r="D4834" t="inlineStr">
        <is>
          <t>VÄRMLANDS LÄN</t>
        </is>
      </c>
      <c r="E4834" t="inlineStr">
        <is>
          <t>SUNNE</t>
        </is>
      </c>
      <c r="G4834" t="n">
        <v>6.4</v>
      </c>
      <c r="H4834" t="n">
        <v>0</v>
      </c>
      <c r="I4834" t="n">
        <v>0</v>
      </c>
      <c r="J4834" t="n">
        <v>0</v>
      </c>
      <c r="K4834" t="n">
        <v>0</v>
      </c>
      <c r="L4834" t="n">
        <v>0</v>
      </c>
      <c r="M4834" t="n">
        <v>0</v>
      </c>
      <c r="N4834" t="n">
        <v>0</v>
      </c>
      <c r="O4834" t="n">
        <v>0</v>
      </c>
      <c r="P4834" t="n">
        <v>0</v>
      </c>
      <c r="Q4834" t="n">
        <v>0</v>
      </c>
      <c r="R4834" s="2" t="inlineStr"/>
    </row>
    <row r="4835" ht="15" customHeight="1">
      <c r="A4835" t="inlineStr">
        <is>
          <t>A 37715-2021</t>
        </is>
      </c>
      <c r="B4835" s="1" t="n">
        <v>44400</v>
      </c>
      <c r="C4835" s="1" t="n">
        <v>45810</v>
      </c>
      <c r="D4835" t="inlineStr">
        <is>
          <t>VÄRMLANDS LÄN</t>
        </is>
      </c>
      <c r="E4835" t="inlineStr">
        <is>
          <t>HAGFORS</t>
        </is>
      </c>
      <c r="F4835" t="inlineStr">
        <is>
          <t>Bergvik skog väst AB</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37784-2021</t>
        </is>
      </c>
      <c r="B4836" s="1" t="n">
        <v>44401</v>
      </c>
      <c r="C4836" s="1" t="n">
        <v>45810</v>
      </c>
      <c r="D4836" t="inlineStr">
        <is>
          <t>VÄRMLANDS LÄN</t>
        </is>
      </c>
      <c r="E4836" t="inlineStr">
        <is>
          <t>FILIPSTAD</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37783-2021</t>
        </is>
      </c>
      <c r="B4837" s="1" t="n">
        <v>44401</v>
      </c>
      <c r="C4837" s="1" t="n">
        <v>45810</v>
      </c>
      <c r="D4837" t="inlineStr">
        <is>
          <t>VÄRMLANDS LÄN</t>
        </is>
      </c>
      <c r="E4837" t="inlineStr">
        <is>
          <t>FILIPSTAD</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37878-2021</t>
        </is>
      </c>
      <c r="B4838" s="1" t="n">
        <v>44403</v>
      </c>
      <c r="C4838" s="1" t="n">
        <v>45810</v>
      </c>
      <c r="D4838" t="inlineStr">
        <is>
          <t>VÄRMLANDS LÄN</t>
        </is>
      </c>
      <c r="E4838" t="inlineStr">
        <is>
          <t>KARLSTAD</t>
        </is>
      </c>
      <c r="G4838" t="n">
        <v>0.2</v>
      </c>
      <c r="H4838" t="n">
        <v>0</v>
      </c>
      <c r="I4838" t="n">
        <v>0</v>
      </c>
      <c r="J4838" t="n">
        <v>0</v>
      </c>
      <c r="K4838" t="n">
        <v>0</v>
      </c>
      <c r="L4838" t="n">
        <v>0</v>
      </c>
      <c r="M4838" t="n">
        <v>0</v>
      </c>
      <c r="N4838" t="n">
        <v>0</v>
      </c>
      <c r="O4838" t="n">
        <v>0</v>
      </c>
      <c r="P4838" t="n">
        <v>0</v>
      </c>
      <c r="Q4838" t="n">
        <v>0</v>
      </c>
      <c r="R4838" s="2" t="inlineStr"/>
    </row>
    <row r="4839" ht="15" customHeight="1">
      <c r="A4839" t="inlineStr">
        <is>
          <t>A 37853-2021</t>
        </is>
      </c>
      <c r="B4839" s="1" t="n">
        <v>44403</v>
      </c>
      <c r="C4839" s="1" t="n">
        <v>45810</v>
      </c>
      <c r="D4839" t="inlineStr">
        <is>
          <t>VÄRMLANDS LÄN</t>
        </is>
      </c>
      <c r="E4839" t="inlineStr">
        <is>
          <t>SÄFFLE</t>
        </is>
      </c>
      <c r="G4839" t="n">
        <v>3.2</v>
      </c>
      <c r="H4839" t="n">
        <v>0</v>
      </c>
      <c r="I4839" t="n">
        <v>0</v>
      </c>
      <c r="J4839" t="n">
        <v>0</v>
      </c>
      <c r="K4839" t="n">
        <v>0</v>
      </c>
      <c r="L4839" t="n">
        <v>0</v>
      </c>
      <c r="M4839" t="n">
        <v>0</v>
      </c>
      <c r="N4839" t="n">
        <v>0</v>
      </c>
      <c r="O4839" t="n">
        <v>0</v>
      </c>
      <c r="P4839" t="n">
        <v>0</v>
      </c>
      <c r="Q4839" t="n">
        <v>0</v>
      </c>
      <c r="R4839" s="2" t="inlineStr"/>
    </row>
    <row r="4840" ht="15" customHeight="1">
      <c r="A4840" t="inlineStr">
        <is>
          <t>A 37860-2021</t>
        </is>
      </c>
      <c r="B4840" s="1" t="n">
        <v>44403</v>
      </c>
      <c r="C4840" s="1" t="n">
        <v>45810</v>
      </c>
      <c r="D4840" t="inlineStr">
        <is>
          <t>VÄRMLANDS LÄN</t>
        </is>
      </c>
      <c r="E4840" t="inlineStr">
        <is>
          <t>EDA</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37888-2021</t>
        </is>
      </c>
      <c r="B4841" s="1" t="n">
        <v>44403</v>
      </c>
      <c r="C4841" s="1" t="n">
        <v>45810</v>
      </c>
      <c r="D4841" t="inlineStr">
        <is>
          <t>VÄRMLANDS LÄN</t>
        </is>
      </c>
      <c r="E4841" t="inlineStr">
        <is>
          <t>KARLSTAD</t>
        </is>
      </c>
      <c r="G4841" t="n">
        <v>2.5</v>
      </c>
      <c r="H4841" t="n">
        <v>0</v>
      </c>
      <c r="I4841" t="n">
        <v>0</v>
      </c>
      <c r="J4841" t="n">
        <v>0</v>
      </c>
      <c r="K4841" t="n">
        <v>0</v>
      </c>
      <c r="L4841" t="n">
        <v>0</v>
      </c>
      <c r="M4841" t="n">
        <v>0</v>
      </c>
      <c r="N4841" t="n">
        <v>0</v>
      </c>
      <c r="O4841" t="n">
        <v>0</v>
      </c>
      <c r="P4841" t="n">
        <v>0</v>
      </c>
      <c r="Q4841" t="n">
        <v>0</v>
      </c>
      <c r="R4841" s="2" t="inlineStr"/>
    </row>
    <row r="4842" ht="15" customHeight="1">
      <c r="A4842" t="inlineStr">
        <is>
          <t>A 37927-2021</t>
        </is>
      </c>
      <c r="B4842" s="1" t="n">
        <v>44403</v>
      </c>
      <c r="C4842" s="1" t="n">
        <v>45810</v>
      </c>
      <c r="D4842" t="inlineStr">
        <is>
          <t>VÄRMLANDS LÄN</t>
        </is>
      </c>
      <c r="E4842" t="inlineStr">
        <is>
          <t>SUNNE</t>
        </is>
      </c>
      <c r="G4842" t="n">
        <v>4.7</v>
      </c>
      <c r="H4842" t="n">
        <v>0</v>
      </c>
      <c r="I4842" t="n">
        <v>0</v>
      </c>
      <c r="J4842" t="n">
        <v>0</v>
      </c>
      <c r="K4842" t="n">
        <v>0</v>
      </c>
      <c r="L4842" t="n">
        <v>0</v>
      </c>
      <c r="M4842" t="n">
        <v>0</v>
      </c>
      <c r="N4842" t="n">
        <v>0</v>
      </c>
      <c r="O4842" t="n">
        <v>0</v>
      </c>
      <c r="P4842" t="n">
        <v>0</v>
      </c>
      <c r="Q4842" t="n">
        <v>0</v>
      </c>
      <c r="R4842" s="2" t="inlineStr"/>
    </row>
    <row r="4843" ht="15" customHeight="1">
      <c r="A4843" t="inlineStr">
        <is>
          <t>A 37873-2021</t>
        </is>
      </c>
      <c r="B4843" s="1" t="n">
        <v>44403</v>
      </c>
      <c r="C4843" s="1" t="n">
        <v>45810</v>
      </c>
      <c r="D4843" t="inlineStr">
        <is>
          <t>VÄRMLANDS LÄN</t>
        </is>
      </c>
      <c r="E4843" t="inlineStr">
        <is>
          <t>KARLSTAD</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38014-2021</t>
        </is>
      </c>
      <c r="B4844" s="1" t="n">
        <v>44404</v>
      </c>
      <c r="C4844" s="1" t="n">
        <v>45810</v>
      </c>
      <c r="D4844" t="inlineStr">
        <is>
          <t>VÄRMLANDS LÄN</t>
        </is>
      </c>
      <c r="E4844" t="inlineStr">
        <is>
          <t>SÄFFLE</t>
        </is>
      </c>
      <c r="G4844" t="n">
        <v>2.5</v>
      </c>
      <c r="H4844" t="n">
        <v>0</v>
      </c>
      <c r="I4844" t="n">
        <v>0</v>
      </c>
      <c r="J4844" t="n">
        <v>0</v>
      </c>
      <c r="K4844" t="n">
        <v>0</v>
      </c>
      <c r="L4844" t="n">
        <v>0</v>
      </c>
      <c r="M4844" t="n">
        <v>0</v>
      </c>
      <c r="N4844" t="n">
        <v>0</v>
      </c>
      <c r="O4844" t="n">
        <v>0</v>
      </c>
      <c r="P4844" t="n">
        <v>0</v>
      </c>
      <c r="Q4844" t="n">
        <v>0</v>
      </c>
      <c r="R4844" s="2" t="inlineStr"/>
    </row>
    <row r="4845" ht="15" customHeight="1">
      <c r="A4845" t="inlineStr">
        <is>
          <t>A 38038-2021</t>
        </is>
      </c>
      <c r="B4845" s="1" t="n">
        <v>44404</v>
      </c>
      <c r="C4845" s="1" t="n">
        <v>45810</v>
      </c>
      <c r="D4845" t="inlineStr">
        <is>
          <t>VÄRMLANDS LÄN</t>
        </is>
      </c>
      <c r="E4845" t="inlineStr">
        <is>
          <t>SUNNE</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37993-2021</t>
        </is>
      </c>
      <c r="B4846" s="1" t="n">
        <v>44404</v>
      </c>
      <c r="C4846" s="1" t="n">
        <v>45810</v>
      </c>
      <c r="D4846" t="inlineStr">
        <is>
          <t>VÄRMLANDS LÄN</t>
        </is>
      </c>
      <c r="E4846" t="inlineStr">
        <is>
          <t>SUNNE</t>
        </is>
      </c>
      <c r="G4846" t="n">
        <v>11.7</v>
      </c>
      <c r="H4846" t="n">
        <v>0</v>
      </c>
      <c r="I4846" t="n">
        <v>0</v>
      </c>
      <c r="J4846" t="n">
        <v>0</v>
      </c>
      <c r="K4846" t="n">
        <v>0</v>
      </c>
      <c r="L4846" t="n">
        <v>0</v>
      </c>
      <c r="M4846" t="n">
        <v>0</v>
      </c>
      <c r="N4846" t="n">
        <v>0</v>
      </c>
      <c r="O4846" t="n">
        <v>0</v>
      </c>
      <c r="P4846" t="n">
        <v>0</v>
      </c>
      <c r="Q4846" t="n">
        <v>0</v>
      </c>
      <c r="R4846" s="2" t="inlineStr"/>
    </row>
    <row r="4847" ht="15" customHeight="1">
      <c r="A4847" t="inlineStr">
        <is>
          <t>A 38025-2021</t>
        </is>
      </c>
      <c r="B4847" s="1" t="n">
        <v>44404</v>
      </c>
      <c r="C4847" s="1" t="n">
        <v>45810</v>
      </c>
      <c r="D4847" t="inlineStr">
        <is>
          <t>VÄRMLANDS LÄN</t>
        </is>
      </c>
      <c r="E4847" t="inlineStr">
        <is>
          <t>SUNNE</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38061-2021</t>
        </is>
      </c>
      <c r="B4848" s="1" t="n">
        <v>44404</v>
      </c>
      <c r="C4848" s="1" t="n">
        <v>45810</v>
      </c>
      <c r="D4848" t="inlineStr">
        <is>
          <t>VÄRMLANDS LÄN</t>
        </is>
      </c>
      <c r="E4848" t="inlineStr">
        <is>
          <t>KARLSTAD</t>
        </is>
      </c>
      <c r="F4848" t="inlineStr">
        <is>
          <t>Naturvårdsverket</t>
        </is>
      </c>
      <c r="G4848" t="n">
        <v>16.6</v>
      </c>
      <c r="H4848" t="n">
        <v>0</v>
      </c>
      <c r="I4848" t="n">
        <v>0</v>
      </c>
      <c r="J4848" t="n">
        <v>0</v>
      </c>
      <c r="K4848" t="n">
        <v>0</v>
      </c>
      <c r="L4848" t="n">
        <v>0</v>
      </c>
      <c r="M4848" t="n">
        <v>0</v>
      </c>
      <c r="N4848" t="n">
        <v>0</v>
      </c>
      <c r="O4848" t="n">
        <v>0</v>
      </c>
      <c r="P4848" t="n">
        <v>0</v>
      </c>
      <c r="Q4848" t="n">
        <v>0</v>
      </c>
      <c r="R4848" s="2" t="inlineStr"/>
    </row>
    <row r="4849" ht="15" customHeight="1">
      <c r="A4849" t="inlineStr">
        <is>
          <t>A 38209-2021</t>
        </is>
      </c>
      <c r="B4849" s="1" t="n">
        <v>44405</v>
      </c>
      <c r="C4849" s="1" t="n">
        <v>45810</v>
      </c>
      <c r="D4849" t="inlineStr">
        <is>
          <t>VÄRMLANDS LÄN</t>
        </is>
      </c>
      <c r="E4849" t="inlineStr">
        <is>
          <t>GRUMS</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38121-2021</t>
        </is>
      </c>
      <c r="B4850" s="1" t="n">
        <v>44405</v>
      </c>
      <c r="C4850" s="1" t="n">
        <v>45810</v>
      </c>
      <c r="D4850" t="inlineStr">
        <is>
          <t>VÄRMLANDS LÄN</t>
        </is>
      </c>
      <c r="E4850" t="inlineStr">
        <is>
          <t>KARLSTAD</t>
        </is>
      </c>
      <c r="G4850" t="n">
        <v>4.8</v>
      </c>
      <c r="H4850" t="n">
        <v>0</v>
      </c>
      <c r="I4850" t="n">
        <v>0</v>
      </c>
      <c r="J4850" t="n">
        <v>0</v>
      </c>
      <c r="K4850" t="n">
        <v>0</v>
      </c>
      <c r="L4850" t="n">
        <v>0</v>
      </c>
      <c r="M4850" t="n">
        <v>0</v>
      </c>
      <c r="N4850" t="n">
        <v>0</v>
      </c>
      <c r="O4850" t="n">
        <v>0</v>
      </c>
      <c r="P4850" t="n">
        <v>0</v>
      </c>
      <c r="Q4850" t="n">
        <v>0</v>
      </c>
      <c r="R4850" s="2" t="inlineStr"/>
    </row>
    <row r="4851" ht="15" customHeight="1">
      <c r="A4851" t="inlineStr">
        <is>
          <t>A 38124-2021</t>
        </is>
      </c>
      <c r="B4851" s="1" t="n">
        <v>44405</v>
      </c>
      <c r="C4851" s="1" t="n">
        <v>45810</v>
      </c>
      <c r="D4851" t="inlineStr">
        <is>
          <t>VÄRMLANDS LÄN</t>
        </is>
      </c>
      <c r="E4851" t="inlineStr">
        <is>
          <t>KARLSTAD</t>
        </is>
      </c>
      <c r="G4851" t="n">
        <v>4.4</v>
      </c>
      <c r="H4851" t="n">
        <v>0</v>
      </c>
      <c r="I4851" t="n">
        <v>0</v>
      </c>
      <c r="J4851" t="n">
        <v>0</v>
      </c>
      <c r="K4851" t="n">
        <v>0</v>
      </c>
      <c r="L4851" t="n">
        <v>0</v>
      </c>
      <c r="M4851" t="n">
        <v>0</v>
      </c>
      <c r="N4851" t="n">
        <v>0</v>
      </c>
      <c r="O4851" t="n">
        <v>0</v>
      </c>
      <c r="P4851" t="n">
        <v>0</v>
      </c>
      <c r="Q4851" t="n">
        <v>0</v>
      </c>
      <c r="R4851" s="2" t="inlineStr"/>
    </row>
    <row r="4852" ht="15" customHeight="1">
      <c r="A4852" t="inlineStr">
        <is>
          <t>A 38227-2021</t>
        </is>
      </c>
      <c r="B4852" s="1" t="n">
        <v>44405</v>
      </c>
      <c r="C4852" s="1" t="n">
        <v>45810</v>
      </c>
      <c r="D4852" t="inlineStr">
        <is>
          <t>VÄRMLANDS LÄN</t>
        </is>
      </c>
      <c r="E4852" t="inlineStr">
        <is>
          <t>STORFORS</t>
        </is>
      </c>
      <c r="F4852" t="inlineStr">
        <is>
          <t>Bergvik skog väst AB</t>
        </is>
      </c>
      <c r="G4852" t="n">
        <v>6.1</v>
      </c>
      <c r="H4852" t="n">
        <v>0</v>
      </c>
      <c r="I4852" t="n">
        <v>0</v>
      </c>
      <c r="J4852" t="n">
        <v>0</v>
      </c>
      <c r="K4852" t="n">
        <v>0</v>
      </c>
      <c r="L4852" t="n">
        <v>0</v>
      </c>
      <c r="M4852" t="n">
        <v>0</v>
      </c>
      <c r="N4852" t="n">
        <v>0</v>
      </c>
      <c r="O4852" t="n">
        <v>0</v>
      </c>
      <c r="P4852" t="n">
        <v>0</v>
      </c>
      <c r="Q4852" t="n">
        <v>0</v>
      </c>
      <c r="R4852" s="2" t="inlineStr"/>
    </row>
    <row r="4853" ht="15" customHeight="1">
      <c r="A4853" t="inlineStr">
        <is>
          <t>A 38246-2021</t>
        </is>
      </c>
      <c r="B4853" s="1" t="n">
        <v>44405</v>
      </c>
      <c r="C4853" s="1" t="n">
        <v>45810</v>
      </c>
      <c r="D4853" t="inlineStr">
        <is>
          <t>VÄRMLANDS LÄN</t>
        </is>
      </c>
      <c r="E4853" t="inlineStr">
        <is>
          <t>HAGFORS</t>
        </is>
      </c>
      <c r="G4853" t="n">
        <v>7.7</v>
      </c>
      <c r="H4853" t="n">
        <v>0</v>
      </c>
      <c r="I4853" t="n">
        <v>0</v>
      </c>
      <c r="J4853" t="n">
        <v>0</v>
      </c>
      <c r="K4853" t="n">
        <v>0</v>
      </c>
      <c r="L4853" t="n">
        <v>0</v>
      </c>
      <c r="M4853" t="n">
        <v>0</v>
      </c>
      <c r="N4853" t="n">
        <v>0</v>
      </c>
      <c r="O4853" t="n">
        <v>0</v>
      </c>
      <c r="P4853" t="n">
        <v>0</v>
      </c>
      <c r="Q4853" t="n">
        <v>0</v>
      </c>
      <c r="R4853" s="2" t="inlineStr"/>
    </row>
    <row r="4854" ht="15" customHeight="1">
      <c r="A4854" t="inlineStr">
        <is>
          <t>A 38467-2021</t>
        </is>
      </c>
      <c r="B4854" s="1" t="n">
        <v>44405</v>
      </c>
      <c r="C4854" s="1" t="n">
        <v>45810</v>
      </c>
      <c r="D4854" t="inlineStr">
        <is>
          <t>VÄRMLANDS LÄN</t>
        </is>
      </c>
      <c r="E4854" t="inlineStr">
        <is>
          <t>TORSBY</t>
        </is>
      </c>
      <c r="G4854" t="n">
        <v>2.8</v>
      </c>
      <c r="H4854" t="n">
        <v>0</v>
      </c>
      <c r="I4854" t="n">
        <v>0</v>
      </c>
      <c r="J4854" t="n">
        <v>0</v>
      </c>
      <c r="K4854" t="n">
        <v>0</v>
      </c>
      <c r="L4854" t="n">
        <v>0</v>
      </c>
      <c r="M4854" t="n">
        <v>0</v>
      </c>
      <c r="N4854" t="n">
        <v>0</v>
      </c>
      <c r="O4854" t="n">
        <v>0</v>
      </c>
      <c r="P4854" t="n">
        <v>0</v>
      </c>
      <c r="Q4854" t="n">
        <v>0</v>
      </c>
      <c r="R4854" s="2" t="inlineStr"/>
    </row>
    <row r="4855" ht="15" customHeight="1">
      <c r="A4855" t="inlineStr">
        <is>
          <t>A 38229-2021</t>
        </is>
      </c>
      <c r="B4855" s="1" t="n">
        <v>44405</v>
      </c>
      <c r="C4855" s="1" t="n">
        <v>45810</v>
      </c>
      <c r="D4855" t="inlineStr">
        <is>
          <t>VÄRMLANDS LÄN</t>
        </is>
      </c>
      <c r="E4855" t="inlineStr">
        <is>
          <t>TORSBY</t>
        </is>
      </c>
      <c r="F4855" t="inlineStr">
        <is>
          <t>Bergvik skog väst AB</t>
        </is>
      </c>
      <c r="G4855" t="n">
        <v>2.7</v>
      </c>
      <c r="H4855" t="n">
        <v>0</v>
      </c>
      <c r="I4855" t="n">
        <v>0</v>
      </c>
      <c r="J4855" t="n">
        <v>0</v>
      </c>
      <c r="K4855" t="n">
        <v>0</v>
      </c>
      <c r="L4855" t="n">
        <v>0</v>
      </c>
      <c r="M4855" t="n">
        <v>0</v>
      </c>
      <c r="N4855" t="n">
        <v>0</v>
      </c>
      <c r="O4855" t="n">
        <v>0</v>
      </c>
      <c r="P4855" t="n">
        <v>0</v>
      </c>
      <c r="Q4855" t="n">
        <v>0</v>
      </c>
      <c r="R4855" s="2" t="inlineStr"/>
    </row>
    <row r="4856" ht="15" customHeight="1">
      <c r="A4856" t="inlineStr">
        <is>
          <t>A 38298-2021</t>
        </is>
      </c>
      <c r="B4856" s="1" t="n">
        <v>44406</v>
      </c>
      <c r="C4856" s="1" t="n">
        <v>45810</v>
      </c>
      <c r="D4856" t="inlineStr">
        <is>
          <t>VÄRMLANDS LÄN</t>
        </is>
      </c>
      <c r="E4856" t="inlineStr">
        <is>
          <t>TORSBY</t>
        </is>
      </c>
      <c r="G4856" t="n">
        <v>3.3</v>
      </c>
      <c r="H4856" t="n">
        <v>0</v>
      </c>
      <c r="I4856" t="n">
        <v>0</v>
      </c>
      <c r="J4856" t="n">
        <v>0</v>
      </c>
      <c r="K4856" t="n">
        <v>0</v>
      </c>
      <c r="L4856" t="n">
        <v>0</v>
      </c>
      <c r="M4856" t="n">
        <v>0</v>
      </c>
      <c r="N4856" t="n">
        <v>0</v>
      </c>
      <c r="O4856" t="n">
        <v>0</v>
      </c>
      <c r="P4856" t="n">
        <v>0</v>
      </c>
      <c r="Q4856" t="n">
        <v>0</v>
      </c>
      <c r="R4856" s="2" t="inlineStr"/>
    </row>
    <row r="4857" ht="15" customHeight="1">
      <c r="A4857" t="inlineStr">
        <is>
          <t>A 38374-2021</t>
        </is>
      </c>
      <c r="B4857" s="1" t="n">
        <v>44406</v>
      </c>
      <c r="C4857" s="1" t="n">
        <v>45810</v>
      </c>
      <c r="D4857" t="inlineStr">
        <is>
          <t>VÄRMLANDS LÄN</t>
        </is>
      </c>
      <c r="E4857" t="inlineStr">
        <is>
          <t>MUNKFORS</t>
        </is>
      </c>
      <c r="F4857" t="inlineStr">
        <is>
          <t>Bergvik skog väst AB</t>
        </is>
      </c>
      <c r="G4857" t="n">
        <v>5</v>
      </c>
      <c r="H4857" t="n">
        <v>0</v>
      </c>
      <c r="I4857" t="n">
        <v>0</v>
      </c>
      <c r="J4857" t="n">
        <v>0</v>
      </c>
      <c r="K4857" t="n">
        <v>0</v>
      </c>
      <c r="L4857" t="n">
        <v>0</v>
      </c>
      <c r="M4857" t="n">
        <v>0</v>
      </c>
      <c r="N4857" t="n">
        <v>0</v>
      </c>
      <c r="O4857" t="n">
        <v>0</v>
      </c>
      <c r="P4857" t="n">
        <v>0</v>
      </c>
      <c r="Q4857" t="n">
        <v>0</v>
      </c>
      <c r="R4857" s="2" t="inlineStr"/>
    </row>
    <row r="4858" ht="15" customHeight="1">
      <c r="A4858" t="inlineStr">
        <is>
          <t>A 38423-2021</t>
        </is>
      </c>
      <c r="B4858" s="1" t="n">
        <v>44406</v>
      </c>
      <c r="C4858" s="1" t="n">
        <v>45810</v>
      </c>
      <c r="D4858" t="inlineStr">
        <is>
          <t>VÄRMLANDS LÄN</t>
        </is>
      </c>
      <c r="E4858" t="inlineStr">
        <is>
          <t>SUNNE</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38510-2021</t>
        </is>
      </c>
      <c r="B4859" s="1" t="n">
        <v>44407</v>
      </c>
      <c r="C4859" s="1" t="n">
        <v>45810</v>
      </c>
      <c r="D4859" t="inlineStr">
        <is>
          <t>VÄRMLANDS LÄN</t>
        </is>
      </c>
      <c r="E4859" t="inlineStr">
        <is>
          <t>SUNNE</t>
        </is>
      </c>
      <c r="G4859" t="n">
        <v>0.2</v>
      </c>
      <c r="H4859" t="n">
        <v>0</v>
      </c>
      <c r="I4859" t="n">
        <v>0</v>
      </c>
      <c r="J4859" t="n">
        <v>0</v>
      </c>
      <c r="K4859" t="n">
        <v>0</v>
      </c>
      <c r="L4859" t="n">
        <v>0</v>
      </c>
      <c r="M4859" t="n">
        <v>0</v>
      </c>
      <c r="N4859" t="n">
        <v>0</v>
      </c>
      <c r="O4859" t="n">
        <v>0</v>
      </c>
      <c r="P4859" t="n">
        <v>0</v>
      </c>
      <c r="Q4859" t="n">
        <v>0</v>
      </c>
      <c r="R4859" s="2" t="inlineStr"/>
    </row>
    <row r="4860" ht="15" customHeight="1">
      <c r="A4860" t="inlineStr">
        <is>
          <t>A 38564-2021</t>
        </is>
      </c>
      <c r="B4860" s="1" t="n">
        <v>44407</v>
      </c>
      <c r="C4860" s="1" t="n">
        <v>45810</v>
      </c>
      <c r="D4860" t="inlineStr">
        <is>
          <t>VÄRMLANDS LÄN</t>
        </is>
      </c>
      <c r="E4860" t="inlineStr">
        <is>
          <t>TORSBY</t>
        </is>
      </c>
      <c r="F4860" t="inlineStr">
        <is>
          <t>Bergvik skog väst AB</t>
        </is>
      </c>
      <c r="G4860" t="n">
        <v>15.7</v>
      </c>
      <c r="H4860" t="n">
        <v>0</v>
      </c>
      <c r="I4860" t="n">
        <v>0</v>
      </c>
      <c r="J4860" t="n">
        <v>0</v>
      </c>
      <c r="K4860" t="n">
        <v>0</v>
      </c>
      <c r="L4860" t="n">
        <v>0</v>
      </c>
      <c r="M4860" t="n">
        <v>0</v>
      </c>
      <c r="N4860" t="n">
        <v>0</v>
      </c>
      <c r="O4860" t="n">
        <v>0</v>
      </c>
      <c r="P4860" t="n">
        <v>0</v>
      </c>
      <c r="Q4860" t="n">
        <v>0</v>
      </c>
      <c r="R4860" s="2" t="inlineStr"/>
    </row>
    <row r="4861" ht="15" customHeight="1">
      <c r="A4861" t="inlineStr">
        <is>
          <t>A 38490-2021</t>
        </is>
      </c>
      <c r="B4861" s="1" t="n">
        <v>44407</v>
      </c>
      <c r="C4861" s="1" t="n">
        <v>45810</v>
      </c>
      <c r="D4861" t="inlineStr">
        <is>
          <t>VÄRMLANDS LÄN</t>
        </is>
      </c>
      <c r="E4861" t="inlineStr">
        <is>
          <t>KRISTINEHAMN</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38528-2021</t>
        </is>
      </c>
      <c r="B4862" s="1" t="n">
        <v>44407</v>
      </c>
      <c r="C4862" s="1" t="n">
        <v>45810</v>
      </c>
      <c r="D4862" t="inlineStr">
        <is>
          <t>VÄRMLANDS LÄN</t>
        </is>
      </c>
      <c r="E4862" t="inlineStr">
        <is>
          <t>TORSBY</t>
        </is>
      </c>
      <c r="F4862" t="inlineStr">
        <is>
          <t>Bergvik skog väst AB</t>
        </is>
      </c>
      <c r="G4862" t="n">
        <v>12.5</v>
      </c>
      <c r="H4862" t="n">
        <v>0</v>
      </c>
      <c r="I4862" t="n">
        <v>0</v>
      </c>
      <c r="J4862" t="n">
        <v>0</v>
      </c>
      <c r="K4862" t="n">
        <v>0</v>
      </c>
      <c r="L4862" t="n">
        <v>0</v>
      </c>
      <c r="M4862" t="n">
        <v>0</v>
      </c>
      <c r="N4862" t="n">
        <v>0</v>
      </c>
      <c r="O4862" t="n">
        <v>0</v>
      </c>
      <c r="P4862" t="n">
        <v>0</v>
      </c>
      <c r="Q4862" t="n">
        <v>0</v>
      </c>
      <c r="R4862" s="2" t="inlineStr"/>
    </row>
    <row r="4863" ht="15" customHeight="1">
      <c r="A4863" t="inlineStr">
        <is>
          <t>A 38635-2021</t>
        </is>
      </c>
      <c r="B4863" s="1" t="n">
        <v>44410</v>
      </c>
      <c r="C4863" s="1" t="n">
        <v>45810</v>
      </c>
      <c r="D4863" t="inlineStr">
        <is>
          <t>VÄRMLANDS LÄN</t>
        </is>
      </c>
      <c r="E4863" t="inlineStr">
        <is>
          <t>KIL</t>
        </is>
      </c>
      <c r="G4863" t="n">
        <v>3</v>
      </c>
      <c r="H4863" t="n">
        <v>0</v>
      </c>
      <c r="I4863" t="n">
        <v>0</v>
      </c>
      <c r="J4863" t="n">
        <v>0</v>
      </c>
      <c r="K4863" t="n">
        <v>0</v>
      </c>
      <c r="L4863" t="n">
        <v>0</v>
      </c>
      <c r="M4863" t="n">
        <v>0</v>
      </c>
      <c r="N4863" t="n">
        <v>0</v>
      </c>
      <c r="O4863" t="n">
        <v>0</v>
      </c>
      <c r="P4863" t="n">
        <v>0</v>
      </c>
      <c r="Q4863" t="n">
        <v>0</v>
      </c>
      <c r="R4863" s="2" t="inlineStr"/>
    </row>
    <row r="4864" ht="15" customHeight="1">
      <c r="A4864" t="inlineStr">
        <is>
          <t>A 38703-2021</t>
        </is>
      </c>
      <c r="B4864" s="1" t="n">
        <v>44410</v>
      </c>
      <c r="C4864" s="1" t="n">
        <v>45810</v>
      </c>
      <c r="D4864" t="inlineStr">
        <is>
          <t>VÄRMLANDS LÄN</t>
        </is>
      </c>
      <c r="E4864" t="inlineStr">
        <is>
          <t>SUNNE</t>
        </is>
      </c>
      <c r="G4864" t="n">
        <v>4</v>
      </c>
      <c r="H4864" t="n">
        <v>0</v>
      </c>
      <c r="I4864" t="n">
        <v>0</v>
      </c>
      <c r="J4864" t="n">
        <v>0</v>
      </c>
      <c r="K4864" t="n">
        <v>0</v>
      </c>
      <c r="L4864" t="n">
        <v>0</v>
      </c>
      <c r="M4864" t="n">
        <v>0</v>
      </c>
      <c r="N4864" t="n">
        <v>0</v>
      </c>
      <c r="O4864" t="n">
        <v>0</v>
      </c>
      <c r="P4864" t="n">
        <v>0</v>
      </c>
      <c r="Q4864" t="n">
        <v>0</v>
      </c>
      <c r="R4864" s="2" t="inlineStr"/>
    </row>
    <row r="4865" ht="15" customHeight="1">
      <c r="A4865" t="inlineStr">
        <is>
          <t>A 38767-2021</t>
        </is>
      </c>
      <c r="B4865" s="1" t="n">
        <v>44410</v>
      </c>
      <c r="C4865" s="1" t="n">
        <v>45810</v>
      </c>
      <c r="D4865" t="inlineStr">
        <is>
          <t>VÄRMLANDS LÄN</t>
        </is>
      </c>
      <c r="E4865" t="inlineStr">
        <is>
          <t>TORSBY</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38705-2021</t>
        </is>
      </c>
      <c r="B4866" s="1" t="n">
        <v>44410</v>
      </c>
      <c r="C4866" s="1" t="n">
        <v>45810</v>
      </c>
      <c r="D4866" t="inlineStr">
        <is>
          <t>VÄRMLANDS LÄN</t>
        </is>
      </c>
      <c r="E4866" t="inlineStr">
        <is>
          <t>SUNNE</t>
        </is>
      </c>
      <c r="G4866" t="n">
        <v>2.2</v>
      </c>
      <c r="H4866" t="n">
        <v>0</v>
      </c>
      <c r="I4866" t="n">
        <v>0</v>
      </c>
      <c r="J4866" t="n">
        <v>0</v>
      </c>
      <c r="K4866" t="n">
        <v>0</v>
      </c>
      <c r="L4866" t="n">
        <v>0</v>
      </c>
      <c r="M4866" t="n">
        <v>0</v>
      </c>
      <c r="N4866" t="n">
        <v>0</v>
      </c>
      <c r="O4866" t="n">
        <v>0</v>
      </c>
      <c r="P4866" t="n">
        <v>0</v>
      </c>
      <c r="Q4866" t="n">
        <v>0</v>
      </c>
      <c r="R4866" s="2" t="inlineStr"/>
    </row>
    <row r="4867" ht="15" customHeight="1">
      <c r="A4867" t="inlineStr">
        <is>
          <t>A 38745-2021</t>
        </is>
      </c>
      <c r="B4867" s="1" t="n">
        <v>44410</v>
      </c>
      <c r="C4867" s="1" t="n">
        <v>45810</v>
      </c>
      <c r="D4867" t="inlineStr">
        <is>
          <t>VÄRMLANDS LÄN</t>
        </is>
      </c>
      <c r="E4867" t="inlineStr">
        <is>
          <t>EDA</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38765-2021</t>
        </is>
      </c>
      <c r="B4868" s="1" t="n">
        <v>44410</v>
      </c>
      <c r="C4868" s="1" t="n">
        <v>45810</v>
      </c>
      <c r="D4868" t="inlineStr">
        <is>
          <t>VÄRMLANDS LÄN</t>
        </is>
      </c>
      <c r="E4868" t="inlineStr">
        <is>
          <t>EDA</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38905-2021</t>
        </is>
      </c>
      <c r="B4869" s="1" t="n">
        <v>44411</v>
      </c>
      <c r="C4869" s="1" t="n">
        <v>45810</v>
      </c>
      <c r="D4869" t="inlineStr">
        <is>
          <t>VÄRMLANDS LÄN</t>
        </is>
      </c>
      <c r="E4869" t="inlineStr">
        <is>
          <t>SUNNE</t>
        </is>
      </c>
      <c r="G4869" t="n">
        <v>2.3</v>
      </c>
      <c r="H4869" t="n">
        <v>0</v>
      </c>
      <c r="I4869" t="n">
        <v>0</v>
      </c>
      <c r="J4869" t="n">
        <v>0</v>
      </c>
      <c r="K4869" t="n">
        <v>0</v>
      </c>
      <c r="L4869" t="n">
        <v>0</v>
      </c>
      <c r="M4869" t="n">
        <v>0</v>
      </c>
      <c r="N4869" t="n">
        <v>0</v>
      </c>
      <c r="O4869" t="n">
        <v>0</v>
      </c>
      <c r="P4869" t="n">
        <v>0</v>
      </c>
      <c r="Q4869" t="n">
        <v>0</v>
      </c>
      <c r="R4869" s="2" t="inlineStr"/>
    </row>
    <row r="4870" ht="15" customHeight="1">
      <c r="A4870" t="inlineStr">
        <is>
          <t>A 38901-2021</t>
        </is>
      </c>
      <c r="B4870" s="1" t="n">
        <v>44411</v>
      </c>
      <c r="C4870" s="1" t="n">
        <v>45810</v>
      </c>
      <c r="D4870" t="inlineStr">
        <is>
          <t>VÄRMLANDS LÄN</t>
        </is>
      </c>
      <c r="E4870" t="inlineStr">
        <is>
          <t>SUNNE</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38841-2021</t>
        </is>
      </c>
      <c r="B4871" s="1" t="n">
        <v>44411</v>
      </c>
      <c r="C4871" s="1" t="n">
        <v>45810</v>
      </c>
      <c r="D4871" t="inlineStr">
        <is>
          <t>VÄRMLANDS LÄN</t>
        </is>
      </c>
      <c r="E4871" t="inlineStr">
        <is>
          <t>TORSBY</t>
        </is>
      </c>
      <c r="F4871" t="inlineStr">
        <is>
          <t>Bergvik skog väst AB</t>
        </is>
      </c>
      <c r="G4871" t="n">
        <v>13.8</v>
      </c>
      <c r="H4871" t="n">
        <v>0</v>
      </c>
      <c r="I4871" t="n">
        <v>0</v>
      </c>
      <c r="J4871" t="n">
        <v>0</v>
      </c>
      <c r="K4871" t="n">
        <v>0</v>
      </c>
      <c r="L4871" t="n">
        <v>0</v>
      </c>
      <c r="M4871" t="n">
        <v>0</v>
      </c>
      <c r="N4871" t="n">
        <v>0</v>
      </c>
      <c r="O4871" t="n">
        <v>0</v>
      </c>
      <c r="P4871" t="n">
        <v>0</v>
      </c>
      <c r="Q4871" t="n">
        <v>0</v>
      </c>
      <c r="R4871" s="2" t="inlineStr"/>
    </row>
    <row r="4872" ht="15" customHeight="1">
      <c r="A4872" t="inlineStr">
        <is>
          <t>A 38945-2021</t>
        </is>
      </c>
      <c r="B4872" s="1" t="n">
        <v>44411</v>
      </c>
      <c r="C4872" s="1" t="n">
        <v>45810</v>
      </c>
      <c r="D4872" t="inlineStr">
        <is>
          <t>VÄRMLANDS LÄN</t>
        </is>
      </c>
      <c r="E4872" t="inlineStr">
        <is>
          <t>MUNKFORS</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38894-2021</t>
        </is>
      </c>
      <c r="B4873" s="1" t="n">
        <v>44411</v>
      </c>
      <c r="C4873" s="1" t="n">
        <v>45810</v>
      </c>
      <c r="D4873" t="inlineStr">
        <is>
          <t>VÄRMLANDS LÄN</t>
        </is>
      </c>
      <c r="E4873" t="inlineStr">
        <is>
          <t>ARVIKA</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38947-2021</t>
        </is>
      </c>
      <c r="B4874" s="1" t="n">
        <v>44411</v>
      </c>
      <c r="C4874" s="1" t="n">
        <v>45810</v>
      </c>
      <c r="D4874" t="inlineStr">
        <is>
          <t>VÄRMLANDS LÄN</t>
        </is>
      </c>
      <c r="E4874" t="inlineStr">
        <is>
          <t>MUNKFORS</t>
        </is>
      </c>
      <c r="G4874" t="n">
        <v>9.699999999999999</v>
      </c>
      <c r="H4874" t="n">
        <v>0</v>
      </c>
      <c r="I4874" t="n">
        <v>0</v>
      </c>
      <c r="J4874" t="n">
        <v>0</v>
      </c>
      <c r="K4874" t="n">
        <v>0</v>
      </c>
      <c r="L4874" t="n">
        <v>0</v>
      </c>
      <c r="M4874" t="n">
        <v>0</v>
      </c>
      <c r="N4874" t="n">
        <v>0</v>
      </c>
      <c r="O4874" t="n">
        <v>0</v>
      </c>
      <c r="P4874" t="n">
        <v>0</v>
      </c>
      <c r="Q4874" t="n">
        <v>0</v>
      </c>
      <c r="R4874" s="2" t="inlineStr"/>
    </row>
    <row r="4875" ht="15" customHeight="1">
      <c r="A4875" t="inlineStr">
        <is>
          <t>A 38969-2021</t>
        </is>
      </c>
      <c r="B4875" s="1" t="n">
        <v>44411</v>
      </c>
      <c r="C4875" s="1" t="n">
        <v>45810</v>
      </c>
      <c r="D4875" t="inlineStr">
        <is>
          <t>VÄRMLANDS LÄN</t>
        </is>
      </c>
      <c r="E4875" t="inlineStr">
        <is>
          <t>SUNNE</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39067-2021</t>
        </is>
      </c>
      <c r="B4876" s="1" t="n">
        <v>44412</v>
      </c>
      <c r="C4876" s="1" t="n">
        <v>45810</v>
      </c>
      <c r="D4876" t="inlineStr">
        <is>
          <t>VÄRMLANDS LÄN</t>
        </is>
      </c>
      <c r="E4876" t="inlineStr">
        <is>
          <t>ÅRJÄNG</t>
        </is>
      </c>
      <c r="G4876" t="n">
        <v>3.7</v>
      </c>
      <c r="H4876" t="n">
        <v>0</v>
      </c>
      <c r="I4876" t="n">
        <v>0</v>
      </c>
      <c r="J4876" t="n">
        <v>0</v>
      </c>
      <c r="K4876" t="n">
        <v>0</v>
      </c>
      <c r="L4876" t="n">
        <v>0</v>
      </c>
      <c r="M4876" t="n">
        <v>0</v>
      </c>
      <c r="N4876" t="n">
        <v>0</v>
      </c>
      <c r="O4876" t="n">
        <v>0</v>
      </c>
      <c r="P4876" t="n">
        <v>0</v>
      </c>
      <c r="Q4876" t="n">
        <v>0</v>
      </c>
      <c r="R4876" s="2" t="inlineStr"/>
    </row>
    <row r="4877" ht="15" customHeight="1">
      <c r="A4877" t="inlineStr">
        <is>
          <t>A 39000-2021</t>
        </is>
      </c>
      <c r="B4877" s="1" t="n">
        <v>44412</v>
      </c>
      <c r="C4877" s="1" t="n">
        <v>45810</v>
      </c>
      <c r="D4877" t="inlineStr">
        <is>
          <t>VÄRMLANDS LÄN</t>
        </is>
      </c>
      <c r="E4877" t="inlineStr">
        <is>
          <t>SUNNE</t>
        </is>
      </c>
      <c r="G4877" t="n">
        <v>4.2</v>
      </c>
      <c r="H4877" t="n">
        <v>0</v>
      </c>
      <c r="I4877" t="n">
        <v>0</v>
      </c>
      <c r="J4877" t="n">
        <v>0</v>
      </c>
      <c r="K4877" t="n">
        <v>0</v>
      </c>
      <c r="L4877" t="n">
        <v>0</v>
      </c>
      <c r="M4877" t="n">
        <v>0</v>
      </c>
      <c r="N4877" t="n">
        <v>0</v>
      </c>
      <c r="O4877" t="n">
        <v>0</v>
      </c>
      <c r="P4877" t="n">
        <v>0</v>
      </c>
      <c r="Q4877" t="n">
        <v>0</v>
      </c>
      <c r="R4877" s="2" t="inlineStr"/>
    </row>
    <row r="4878" ht="15" customHeight="1">
      <c r="A4878" t="inlineStr">
        <is>
          <t>A 39098-2021</t>
        </is>
      </c>
      <c r="B4878" s="1" t="n">
        <v>44412</v>
      </c>
      <c r="C4878" s="1" t="n">
        <v>45810</v>
      </c>
      <c r="D4878" t="inlineStr">
        <is>
          <t>VÄRMLANDS LÄN</t>
        </is>
      </c>
      <c r="E4878" t="inlineStr">
        <is>
          <t>SUNNE</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39131-2021</t>
        </is>
      </c>
      <c r="B4879" s="1" t="n">
        <v>44412</v>
      </c>
      <c r="C4879" s="1" t="n">
        <v>45810</v>
      </c>
      <c r="D4879" t="inlineStr">
        <is>
          <t>VÄRMLANDS LÄN</t>
        </is>
      </c>
      <c r="E4879" t="inlineStr">
        <is>
          <t>GRUMS</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39145-2021</t>
        </is>
      </c>
      <c r="B4880" s="1" t="n">
        <v>44412</v>
      </c>
      <c r="C4880" s="1" t="n">
        <v>45810</v>
      </c>
      <c r="D4880" t="inlineStr">
        <is>
          <t>VÄRMLANDS LÄN</t>
        </is>
      </c>
      <c r="E4880" t="inlineStr">
        <is>
          <t>GRUMS</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39002-2021</t>
        </is>
      </c>
      <c r="B4881" s="1" t="n">
        <v>44412</v>
      </c>
      <c r="C4881" s="1" t="n">
        <v>45810</v>
      </c>
      <c r="D4881" t="inlineStr">
        <is>
          <t>VÄRMLANDS LÄN</t>
        </is>
      </c>
      <c r="E4881" t="inlineStr">
        <is>
          <t>EDA</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39015-2021</t>
        </is>
      </c>
      <c r="B4882" s="1" t="n">
        <v>44412</v>
      </c>
      <c r="C4882" s="1" t="n">
        <v>45810</v>
      </c>
      <c r="D4882" t="inlineStr">
        <is>
          <t>VÄRMLANDS LÄN</t>
        </is>
      </c>
      <c r="E4882" t="inlineStr">
        <is>
          <t>ÅRJÄNG</t>
        </is>
      </c>
      <c r="G4882" t="n">
        <v>2.8</v>
      </c>
      <c r="H4882" t="n">
        <v>0</v>
      </c>
      <c r="I4882" t="n">
        <v>0</v>
      </c>
      <c r="J4882" t="n">
        <v>0</v>
      </c>
      <c r="K4882" t="n">
        <v>0</v>
      </c>
      <c r="L4882" t="n">
        <v>0</v>
      </c>
      <c r="M4882" t="n">
        <v>0</v>
      </c>
      <c r="N4882" t="n">
        <v>0</v>
      </c>
      <c r="O4882" t="n">
        <v>0</v>
      </c>
      <c r="P4882" t="n">
        <v>0</v>
      </c>
      <c r="Q4882" t="n">
        <v>0</v>
      </c>
      <c r="R4882" s="2" t="inlineStr"/>
    </row>
    <row r="4883" ht="15" customHeight="1">
      <c r="A4883" t="inlineStr">
        <is>
          <t>A 39068-2021</t>
        </is>
      </c>
      <c r="B4883" s="1" t="n">
        <v>44412</v>
      </c>
      <c r="C4883" s="1" t="n">
        <v>45810</v>
      </c>
      <c r="D4883" t="inlineStr">
        <is>
          <t>VÄRMLANDS LÄN</t>
        </is>
      </c>
      <c r="E4883" t="inlineStr">
        <is>
          <t>SUNNE</t>
        </is>
      </c>
      <c r="G4883" t="n">
        <v>7.3</v>
      </c>
      <c r="H4883" t="n">
        <v>0</v>
      </c>
      <c r="I4883" t="n">
        <v>0</v>
      </c>
      <c r="J4883" t="n">
        <v>0</v>
      </c>
      <c r="K4883" t="n">
        <v>0</v>
      </c>
      <c r="L4883" t="n">
        <v>0</v>
      </c>
      <c r="M4883" t="n">
        <v>0</v>
      </c>
      <c r="N4883" t="n">
        <v>0</v>
      </c>
      <c r="O4883" t="n">
        <v>0</v>
      </c>
      <c r="P4883" t="n">
        <v>0</v>
      </c>
      <c r="Q4883" t="n">
        <v>0</v>
      </c>
      <c r="R4883" s="2" t="inlineStr"/>
    </row>
    <row r="4884" ht="15" customHeight="1">
      <c r="A4884" t="inlineStr">
        <is>
          <t>A 39095-2021</t>
        </is>
      </c>
      <c r="B4884" s="1" t="n">
        <v>44412</v>
      </c>
      <c r="C4884" s="1" t="n">
        <v>45810</v>
      </c>
      <c r="D4884" t="inlineStr">
        <is>
          <t>VÄRMLANDS LÄN</t>
        </is>
      </c>
      <c r="E4884" t="inlineStr">
        <is>
          <t>KIL</t>
        </is>
      </c>
      <c r="G4884" t="n">
        <v>4.6</v>
      </c>
      <c r="H4884" t="n">
        <v>0</v>
      </c>
      <c r="I4884" t="n">
        <v>0</v>
      </c>
      <c r="J4884" t="n">
        <v>0</v>
      </c>
      <c r="K4884" t="n">
        <v>0</v>
      </c>
      <c r="L4884" t="n">
        <v>0</v>
      </c>
      <c r="M4884" t="n">
        <v>0</v>
      </c>
      <c r="N4884" t="n">
        <v>0</v>
      </c>
      <c r="O4884" t="n">
        <v>0</v>
      </c>
      <c r="P4884" t="n">
        <v>0</v>
      </c>
      <c r="Q4884" t="n">
        <v>0</v>
      </c>
      <c r="R4884" s="2" t="inlineStr"/>
    </row>
    <row r="4885" ht="15" customHeight="1">
      <c r="A4885" t="inlineStr">
        <is>
          <t>A 39113-2021</t>
        </is>
      </c>
      <c r="B4885" s="1" t="n">
        <v>44412</v>
      </c>
      <c r="C4885" s="1" t="n">
        <v>45810</v>
      </c>
      <c r="D4885" t="inlineStr">
        <is>
          <t>VÄRMLANDS LÄN</t>
        </is>
      </c>
      <c r="E4885" t="inlineStr">
        <is>
          <t>SUNNE</t>
        </is>
      </c>
      <c r="G4885" t="n">
        <v>3.9</v>
      </c>
      <c r="H4885" t="n">
        <v>0</v>
      </c>
      <c r="I4885" t="n">
        <v>0</v>
      </c>
      <c r="J4885" t="n">
        <v>0</v>
      </c>
      <c r="K4885" t="n">
        <v>0</v>
      </c>
      <c r="L4885" t="n">
        <v>0</v>
      </c>
      <c r="M4885" t="n">
        <v>0</v>
      </c>
      <c r="N4885" t="n">
        <v>0</v>
      </c>
      <c r="O4885" t="n">
        <v>0</v>
      </c>
      <c r="P4885" t="n">
        <v>0</v>
      </c>
      <c r="Q4885" t="n">
        <v>0</v>
      </c>
      <c r="R4885" s="2" t="inlineStr"/>
    </row>
    <row r="4886" ht="15" customHeight="1">
      <c r="A4886" t="inlineStr">
        <is>
          <t>A 39122-2021</t>
        </is>
      </c>
      <c r="B4886" s="1" t="n">
        <v>44412</v>
      </c>
      <c r="C4886" s="1" t="n">
        <v>45810</v>
      </c>
      <c r="D4886" t="inlineStr">
        <is>
          <t>VÄRMLANDS LÄN</t>
        </is>
      </c>
      <c r="E4886" t="inlineStr">
        <is>
          <t>EDA</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38985-2021</t>
        </is>
      </c>
      <c r="B4887" s="1" t="n">
        <v>44412</v>
      </c>
      <c r="C4887" s="1" t="n">
        <v>45810</v>
      </c>
      <c r="D4887" t="inlineStr">
        <is>
          <t>VÄRMLANDS LÄN</t>
        </is>
      </c>
      <c r="E4887" t="inlineStr">
        <is>
          <t>HAGFORS</t>
        </is>
      </c>
      <c r="F4887" t="inlineStr">
        <is>
          <t>Bergvik skog väst AB</t>
        </is>
      </c>
      <c r="G4887" t="n">
        <v>2.2</v>
      </c>
      <c r="H4887" t="n">
        <v>0</v>
      </c>
      <c r="I4887" t="n">
        <v>0</v>
      </c>
      <c r="J4887" t="n">
        <v>0</v>
      </c>
      <c r="K4887" t="n">
        <v>0</v>
      </c>
      <c r="L4887" t="n">
        <v>0</v>
      </c>
      <c r="M4887" t="n">
        <v>0</v>
      </c>
      <c r="N4887" t="n">
        <v>0</v>
      </c>
      <c r="O4887" t="n">
        <v>0</v>
      </c>
      <c r="P4887" t="n">
        <v>0</v>
      </c>
      <c r="Q4887" t="n">
        <v>0</v>
      </c>
      <c r="R4887" s="2" t="inlineStr"/>
    </row>
    <row r="4888" ht="15" customHeight="1">
      <c r="A4888" t="inlineStr">
        <is>
          <t>A 39003-2021</t>
        </is>
      </c>
      <c r="B4888" s="1" t="n">
        <v>44412</v>
      </c>
      <c r="C4888" s="1" t="n">
        <v>45810</v>
      </c>
      <c r="D4888" t="inlineStr">
        <is>
          <t>VÄRMLANDS LÄN</t>
        </is>
      </c>
      <c r="E4888" t="inlineStr">
        <is>
          <t>TORSBY</t>
        </is>
      </c>
      <c r="F4888" t="inlineStr">
        <is>
          <t>Bergvik skog väst AB</t>
        </is>
      </c>
      <c r="G4888" t="n">
        <v>3.1</v>
      </c>
      <c r="H4888" t="n">
        <v>0</v>
      </c>
      <c r="I4888" t="n">
        <v>0</v>
      </c>
      <c r="J4888" t="n">
        <v>0</v>
      </c>
      <c r="K4888" t="n">
        <v>0</v>
      </c>
      <c r="L4888" t="n">
        <v>0</v>
      </c>
      <c r="M4888" t="n">
        <v>0</v>
      </c>
      <c r="N4888" t="n">
        <v>0</v>
      </c>
      <c r="O4888" t="n">
        <v>0</v>
      </c>
      <c r="P4888" t="n">
        <v>0</v>
      </c>
      <c r="Q4888" t="n">
        <v>0</v>
      </c>
      <c r="R4888" s="2" t="inlineStr"/>
    </row>
    <row r="4889" ht="15" customHeight="1">
      <c r="A4889" t="inlineStr">
        <is>
          <t>A 39115-2021</t>
        </is>
      </c>
      <c r="B4889" s="1" t="n">
        <v>44412</v>
      </c>
      <c r="C4889" s="1" t="n">
        <v>45810</v>
      </c>
      <c r="D4889" t="inlineStr">
        <is>
          <t>VÄRMLANDS LÄN</t>
        </is>
      </c>
      <c r="E4889" t="inlineStr">
        <is>
          <t>SUNNE</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39139-2021</t>
        </is>
      </c>
      <c r="B4890" s="1" t="n">
        <v>44412</v>
      </c>
      <c r="C4890" s="1" t="n">
        <v>45810</v>
      </c>
      <c r="D4890" t="inlineStr">
        <is>
          <t>VÄRMLANDS LÄN</t>
        </is>
      </c>
      <c r="E4890" t="inlineStr">
        <is>
          <t>SÄFFLE</t>
        </is>
      </c>
      <c r="G4890" t="n">
        <v>1.9</v>
      </c>
      <c r="H4890" t="n">
        <v>0</v>
      </c>
      <c r="I4890" t="n">
        <v>0</v>
      </c>
      <c r="J4890" t="n">
        <v>0</v>
      </c>
      <c r="K4890" t="n">
        <v>0</v>
      </c>
      <c r="L4890" t="n">
        <v>0</v>
      </c>
      <c r="M4890" t="n">
        <v>0</v>
      </c>
      <c r="N4890" t="n">
        <v>0</v>
      </c>
      <c r="O4890" t="n">
        <v>0</v>
      </c>
      <c r="P4890" t="n">
        <v>0</v>
      </c>
      <c r="Q4890" t="n">
        <v>0</v>
      </c>
      <c r="R4890" s="2" t="inlineStr"/>
    </row>
    <row r="4891" ht="15" customHeight="1">
      <c r="A4891" t="inlineStr">
        <is>
          <t>A 39195-2021</t>
        </is>
      </c>
      <c r="B4891" s="1" t="n">
        <v>44413</v>
      </c>
      <c r="C4891" s="1" t="n">
        <v>45810</v>
      </c>
      <c r="D4891" t="inlineStr">
        <is>
          <t>VÄRMLANDS LÄN</t>
        </is>
      </c>
      <c r="E4891" t="inlineStr">
        <is>
          <t>ARVIKA</t>
        </is>
      </c>
      <c r="G4891" t="n">
        <v>2.6</v>
      </c>
      <c r="H4891" t="n">
        <v>0</v>
      </c>
      <c r="I4891" t="n">
        <v>0</v>
      </c>
      <c r="J4891" t="n">
        <v>0</v>
      </c>
      <c r="K4891" t="n">
        <v>0</v>
      </c>
      <c r="L4891" t="n">
        <v>0</v>
      </c>
      <c r="M4891" t="n">
        <v>0</v>
      </c>
      <c r="N4891" t="n">
        <v>0</v>
      </c>
      <c r="O4891" t="n">
        <v>0</v>
      </c>
      <c r="P4891" t="n">
        <v>0</v>
      </c>
      <c r="Q4891" t="n">
        <v>0</v>
      </c>
      <c r="R4891" s="2" t="inlineStr"/>
    </row>
    <row r="4892" ht="15" customHeight="1">
      <c r="A4892" t="inlineStr">
        <is>
          <t>A 39273-2021</t>
        </is>
      </c>
      <c r="B4892" s="1" t="n">
        <v>44413</v>
      </c>
      <c r="C4892" s="1" t="n">
        <v>45810</v>
      </c>
      <c r="D4892" t="inlineStr">
        <is>
          <t>VÄRMLANDS LÄN</t>
        </is>
      </c>
      <c r="E4892" t="inlineStr">
        <is>
          <t>EDA</t>
        </is>
      </c>
      <c r="G4892" t="n">
        <v>2</v>
      </c>
      <c r="H4892" t="n">
        <v>0</v>
      </c>
      <c r="I4892" t="n">
        <v>0</v>
      </c>
      <c r="J4892" t="n">
        <v>0</v>
      </c>
      <c r="K4892" t="n">
        <v>0</v>
      </c>
      <c r="L4892" t="n">
        <v>0</v>
      </c>
      <c r="M4892" t="n">
        <v>0</v>
      </c>
      <c r="N4892" t="n">
        <v>0</v>
      </c>
      <c r="O4892" t="n">
        <v>0</v>
      </c>
      <c r="P4892" t="n">
        <v>0</v>
      </c>
      <c r="Q4892" t="n">
        <v>0</v>
      </c>
      <c r="R4892" s="2" t="inlineStr"/>
    </row>
    <row r="4893" ht="15" customHeight="1">
      <c r="A4893" t="inlineStr">
        <is>
          <t>A 39229-2021</t>
        </is>
      </c>
      <c r="B4893" s="1" t="n">
        <v>44413</v>
      </c>
      <c r="C4893" s="1" t="n">
        <v>45810</v>
      </c>
      <c r="D4893" t="inlineStr">
        <is>
          <t>VÄRMLANDS LÄN</t>
        </is>
      </c>
      <c r="E4893" t="inlineStr">
        <is>
          <t>KARLSTAD</t>
        </is>
      </c>
      <c r="G4893" t="n">
        <v>5.5</v>
      </c>
      <c r="H4893" t="n">
        <v>0</v>
      </c>
      <c r="I4893" t="n">
        <v>0</v>
      </c>
      <c r="J4893" t="n">
        <v>0</v>
      </c>
      <c r="K4893" t="n">
        <v>0</v>
      </c>
      <c r="L4893" t="n">
        <v>0</v>
      </c>
      <c r="M4893" t="n">
        <v>0</v>
      </c>
      <c r="N4893" t="n">
        <v>0</v>
      </c>
      <c r="O4893" t="n">
        <v>0</v>
      </c>
      <c r="P4893" t="n">
        <v>0</v>
      </c>
      <c r="Q4893" t="n">
        <v>0</v>
      </c>
      <c r="R4893" s="2" t="inlineStr"/>
    </row>
    <row r="4894" ht="15" customHeight="1">
      <c r="A4894" t="inlineStr">
        <is>
          <t>A 39302-2021</t>
        </is>
      </c>
      <c r="B4894" s="1" t="n">
        <v>44413</v>
      </c>
      <c r="C4894" s="1" t="n">
        <v>45810</v>
      </c>
      <c r="D4894" t="inlineStr">
        <is>
          <t>VÄRMLANDS LÄN</t>
        </is>
      </c>
      <c r="E4894" t="inlineStr">
        <is>
          <t>EDA</t>
        </is>
      </c>
      <c r="G4894" t="n">
        <v>5</v>
      </c>
      <c r="H4894" t="n">
        <v>0</v>
      </c>
      <c r="I4894" t="n">
        <v>0</v>
      </c>
      <c r="J4894" t="n">
        <v>0</v>
      </c>
      <c r="K4894" t="n">
        <v>0</v>
      </c>
      <c r="L4894" t="n">
        <v>0</v>
      </c>
      <c r="M4894" t="n">
        <v>0</v>
      </c>
      <c r="N4894" t="n">
        <v>0</v>
      </c>
      <c r="O4894" t="n">
        <v>0</v>
      </c>
      <c r="P4894" t="n">
        <v>0</v>
      </c>
      <c r="Q4894" t="n">
        <v>0</v>
      </c>
      <c r="R4894" s="2" t="inlineStr"/>
    </row>
    <row r="4895" ht="15" customHeight="1">
      <c r="A4895" t="inlineStr">
        <is>
          <t>A 39653-2021</t>
        </is>
      </c>
      <c r="B4895" s="1" t="n">
        <v>44413</v>
      </c>
      <c r="C4895" s="1" t="n">
        <v>45810</v>
      </c>
      <c r="D4895" t="inlineStr">
        <is>
          <t>VÄRMLANDS LÄN</t>
        </is>
      </c>
      <c r="E4895" t="inlineStr">
        <is>
          <t>KRISTINEHAMN</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39260-2021</t>
        </is>
      </c>
      <c r="B4896" s="1" t="n">
        <v>44413</v>
      </c>
      <c r="C4896" s="1" t="n">
        <v>45810</v>
      </c>
      <c r="D4896" t="inlineStr">
        <is>
          <t>VÄRMLANDS LÄN</t>
        </is>
      </c>
      <c r="E4896" t="inlineStr">
        <is>
          <t>TORSBY</t>
        </is>
      </c>
      <c r="G4896" t="n">
        <v>4.7</v>
      </c>
      <c r="H4896" t="n">
        <v>0</v>
      </c>
      <c r="I4896" t="n">
        <v>0</v>
      </c>
      <c r="J4896" t="n">
        <v>0</v>
      </c>
      <c r="K4896" t="n">
        <v>0</v>
      </c>
      <c r="L4896" t="n">
        <v>0</v>
      </c>
      <c r="M4896" t="n">
        <v>0</v>
      </c>
      <c r="N4896" t="n">
        <v>0</v>
      </c>
      <c r="O4896" t="n">
        <v>0</v>
      </c>
      <c r="P4896" t="n">
        <v>0</v>
      </c>
      <c r="Q4896" t="n">
        <v>0</v>
      </c>
      <c r="R4896" s="2" t="inlineStr"/>
    </row>
    <row r="4897" ht="15" customHeight="1">
      <c r="A4897" t="inlineStr">
        <is>
          <t>A 39638-2021</t>
        </is>
      </c>
      <c r="B4897" s="1" t="n">
        <v>44413</v>
      </c>
      <c r="C4897" s="1" t="n">
        <v>45810</v>
      </c>
      <c r="D4897" t="inlineStr">
        <is>
          <t>VÄRMLANDS LÄN</t>
        </is>
      </c>
      <c r="E4897" t="inlineStr">
        <is>
          <t>KRISTINEHAMN</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39665-2021</t>
        </is>
      </c>
      <c r="B4898" s="1" t="n">
        <v>44413</v>
      </c>
      <c r="C4898" s="1" t="n">
        <v>45810</v>
      </c>
      <c r="D4898" t="inlineStr">
        <is>
          <t>VÄRMLANDS LÄN</t>
        </is>
      </c>
      <c r="E4898" t="inlineStr">
        <is>
          <t>GRUMS</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39628-2021</t>
        </is>
      </c>
      <c r="B4899" s="1" t="n">
        <v>44413</v>
      </c>
      <c r="C4899" s="1" t="n">
        <v>45810</v>
      </c>
      <c r="D4899" t="inlineStr">
        <is>
          <t>VÄRMLANDS LÄN</t>
        </is>
      </c>
      <c r="E4899" t="inlineStr">
        <is>
          <t>KRISTINEHAMN</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39659-2021</t>
        </is>
      </c>
      <c r="B4900" s="1" t="n">
        <v>44413</v>
      </c>
      <c r="C4900" s="1" t="n">
        <v>45810</v>
      </c>
      <c r="D4900" t="inlineStr">
        <is>
          <t>VÄRMLANDS LÄN</t>
        </is>
      </c>
      <c r="E4900" t="inlineStr">
        <is>
          <t>KRISTINEHAMN</t>
        </is>
      </c>
      <c r="G4900" t="n">
        <v>3.8</v>
      </c>
      <c r="H4900" t="n">
        <v>0</v>
      </c>
      <c r="I4900" t="n">
        <v>0</v>
      </c>
      <c r="J4900" t="n">
        <v>0</v>
      </c>
      <c r="K4900" t="n">
        <v>0</v>
      </c>
      <c r="L4900" t="n">
        <v>0</v>
      </c>
      <c r="M4900" t="n">
        <v>0</v>
      </c>
      <c r="N4900" t="n">
        <v>0</v>
      </c>
      <c r="O4900" t="n">
        <v>0</v>
      </c>
      <c r="P4900" t="n">
        <v>0</v>
      </c>
      <c r="Q4900" t="n">
        <v>0</v>
      </c>
      <c r="R4900" s="2" t="inlineStr"/>
    </row>
    <row r="4901" ht="15" customHeight="1">
      <c r="A4901" t="inlineStr">
        <is>
          <t>A 39409-2021</t>
        </is>
      </c>
      <c r="B4901" s="1" t="n">
        <v>44414</v>
      </c>
      <c r="C4901" s="1" t="n">
        <v>45810</v>
      </c>
      <c r="D4901" t="inlineStr">
        <is>
          <t>VÄRMLANDS LÄN</t>
        </is>
      </c>
      <c r="E4901" t="inlineStr">
        <is>
          <t>HAGFORS</t>
        </is>
      </c>
      <c r="F4901" t="inlineStr">
        <is>
          <t>Bergvik skog väst AB</t>
        </is>
      </c>
      <c r="G4901" t="n">
        <v>9.199999999999999</v>
      </c>
      <c r="H4901" t="n">
        <v>0</v>
      </c>
      <c r="I4901" t="n">
        <v>0</v>
      </c>
      <c r="J4901" t="n">
        <v>0</v>
      </c>
      <c r="K4901" t="n">
        <v>0</v>
      </c>
      <c r="L4901" t="n">
        <v>0</v>
      </c>
      <c r="M4901" t="n">
        <v>0</v>
      </c>
      <c r="N4901" t="n">
        <v>0</v>
      </c>
      <c r="O4901" t="n">
        <v>0</v>
      </c>
      <c r="P4901" t="n">
        <v>0</v>
      </c>
      <c r="Q4901" t="n">
        <v>0</v>
      </c>
      <c r="R4901" s="2" t="inlineStr"/>
    </row>
    <row r="4902" ht="15" customHeight="1">
      <c r="A4902" t="inlineStr">
        <is>
          <t>A 39573-2021</t>
        </is>
      </c>
      <c r="B4902" s="1" t="n">
        <v>44416</v>
      </c>
      <c r="C4902" s="1" t="n">
        <v>45810</v>
      </c>
      <c r="D4902" t="inlineStr">
        <is>
          <t>VÄRMLANDS LÄN</t>
        </is>
      </c>
      <c r="E4902" t="inlineStr">
        <is>
          <t>SUNNE</t>
        </is>
      </c>
      <c r="G4902" t="n">
        <v>2.9</v>
      </c>
      <c r="H4902" t="n">
        <v>0</v>
      </c>
      <c r="I4902" t="n">
        <v>0</v>
      </c>
      <c r="J4902" t="n">
        <v>0</v>
      </c>
      <c r="K4902" t="n">
        <v>0</v>
      </c>
      <c r="L4902" t="n">
        <v>0</v>
      </c>
      <c r="M4902" t="n">
        <v>0</v>
      </c>
      <c r="N4902" t="n">
        <v>0</v>
      </c>
      <c r="O4902" t="n">
        <v>0</v>
      </c>
      <c r="P4902" t="n">
        <v>0</v>
      </c>
      <c r="Q4902" t="n">
        <v>0</v>
      </c>
      <c r="R4902" s="2" t="inlineStr"/>
    </row>
    <row r="4903" ht="15" customHeight="1">
      <c r="A4903" t="inlineStr">
        <is>
          <t>A 39572-2021</t>
        </is>
      </c>
      <c r="B4903" s="1" t="n">
        <v>44416</v>
      </c>
      <c r="C4903" s="1" t="n">
        <v>45810</v>
      </c>
      <c r="D4903" t="inlineStr">
        <is>
          <t>VÄRMLANDS LÄN</t>
        </is>
      </c>
      <c r="E4903" t="inlineStr">
        <is>
          <t>SUNNE</t>
        </is>
      </c>
      <c r="G4903" t="n">
        <v>3.6</v>
      </c>
      <c r="H4903" t="n">
        <v>0</v>
      </c>
      <c r="I4903" t="n">
        <v>0</v>
      </c>
      <c r="J4903" t="n">
        <v>0</v>
      </c>
      <c r="K4903" t="n">
        <v>0</v>
      </c>
      <c r="L4903" t="n">
        <v>0</v>
      </c>
      <c r="M4903" t="n">
        <v>0</v>
      </c>
      <c r="N4903" t="n">
        <v>0</v>
      </c>
      <c r="O4903" t="n">
        <v>0</v>
      </c>
      <c r="P4903" t="n">
        <v>0</v>
      </c>
      <c r="Q4903" t="n">
        <v>0</v>
      </c>
      <c r="R4903" s="2" t="inlineStr"/>
    </row>
    <row r="4904" ht="15" customHeight="1">
      <c r="A4904" t="inlineStr">
        <is>
          <t>A 39642-2021</t>
        </is>
      </c>
      <c r="B4904" s="1" t="n">
        <v>44417</v>
      </c>
      <c r="C4904" s="1" t="n">
        <v>45810</v>
      </c>
      <c r="D4904" t="inlineStr">
        <is>
          <t>VÄRMLANDS LÄN</t>
        </is>
      </c>
      <c r="E4904" t="inlineStr">
        <is>
          <t>TORSBY</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39746-2021</t>
        </is>
      </c>
      <c r="B4905" s="1" t="n">
        <v>44417</v>
      </c>
      <c r="C4905" s="1" t="n">
        <v>45810</v>
      </c>
      <c r="D4905" t="inlineStr">
        <is>
          <t>VÄRMLANDS LÄN</t>
        </is>
      </c>
      <c r="E4905" t="inlineStr">
        <is>
          <t>ARVIKA</t>
        </is>
      </c>
      <c r="F4905" t="inlineStr">
        <is>
          <t>Bergvik skog väst AB</t>
        </is>
      </c>
      <c r="G4905" t="n">
        <v>2</v>
      </c>
      <c r="H4905" t="n">
        <v>0</v>
      </c>
      <c r="I4905" t="n">
        <v>0</v>
      </c>
      <c r="J4905" t="n">
        <v>0</v>
      </c>
      <c r="K4905" t="n">
        <v>0</v>
      </c>
      <c r="L4905" t="n">
        <v>0</v>
      </c>
      <c r="M4905" t="n">
        <v>0</v>
      </c>
      <c r="N4905" t="n">
        <v>0</v>
      </c>
      <c r="O4905" t="n">
        <v>0</v>
      </c>
      <c r="P4905" t="n">
        <v>0</v>
      </c>
      <c r="Q4905" t="n">
        <v>0</v>
      </c>
      <c r="R4905" s="2" t="inlineStr"/>
    </row>
    <row r="4906" ht="15" customHeight="1">
      <c r="A4906" t="inlineStr">
        <is>
          <t>A 39660-2021</t>
        </is>
      </c>
      <c r="B4906" s="1" t="n">
        <v>44417</v>
      </c>
      <c r="C4906" s="1" t="n">
        <v>45810</v>
      </c>
      <c r="D4906" t="inlineStr">
        <is>
          <t>VÄRMLANDS LÄN</t>
        </is>
      </c>
      <c r="E4906" t="inlineStr">
        <is>
          <t>FORSHAGA</t>
        </is>
      </c>
      <c r="G4906" t="n">
        <v>14.8</v>
      </c>
      <c r="H4906" t="n">
        <v>0</v>
      </c>
      <c r="I4906" t="n">
        <v>0</v>
      </c>
      <c r="J4906" t="n">
        <v>0</v>
      </c>
      <c r="K4906" t="n">
        <v>0</v>
      </c>
      <c r="L4906" t="n">
        <v>0</v>
      </c>
      <c r="M4906" t="n">
        <v>0</v>
      </c>
      <c r="N4906" t="n">
        <v>0</v>
      </c>
      <c r="O4906" t="n">
        <v>0</v>
      </c>
      <c r="P4906" t="n">
        <v>0</v>
      </c>
      <c r="Q4906" t="n">
        <v>0</v>
      </c>
      <c r="R4906" s="2" t="inlineStr"/>
    </row>
    <row r="4907" ht="15" customHeight="1">
      <c r="A4907" t="inlineStr">
        <is>
          <t>A 39752-2021</t>
        </is>
      </c>
      <c r="B4907" s="1" t="n">
        <v>44417</v>
      </c>
      <c r="C4907" s="1" t="n">
        <v>45810</v>
      </c>
      <c r="D4907" t="inlineStr">
        <is>
          <t>VÄRMLANDS LÄN</t>
        </is>
      </c>
      <c r="E4907" t="inlineStr">
        <is>
          <t>ÅRJÄNG</t>
        </is>
      </c>
      <c r="F4907" t="inlineStr">
        <is>
          <t>Bergvik skog väst AB</t>
        </is>
      </c>
      <c r="G4907" t="n">
        <v>4.3</v>
      </c>
      <c r="H4907" t="n">
        <v>0</v>
      </c>
      <c r="I4907" t="n">
        <v>0</v>
      </c>
      <c r="J4907" t="n">
        <v>0</v>
      </c>
      <c r="K4907" t="n">
        <v>0</v>
      </c>
      <c r="L4907" t="n">
        <v>0</v>
      </c>
      <c r="M4907" t="n">
        <v>0</v>
      </c>
      <c r="N4907" t="n">
        <v>0</v>
      </c>
      <c r="O4907" t="n">
        <v>0</v>
      </c>
      <c r="P4907" t="n">
        <v>0</v>
      </c>
      <c r="Q4907" t="n">
        <v>0</v>
      </c>
      <c r="R4907" s="2" t="inlineStr"/>
    </row>
    <row r="4908" ht="15" customHeight="1">
      <c r="A4908" t="inlineStr">
        <is>
          <t>A 39768-2021</t>
        </is>
      </c>
      <c r="B4908" s="1" t="n">
        <v>44417</v>
      </c>
      <c r="C4908" s="1" t="n">
        <v>45810</v>
      </c>
      <c r="D4908" t="inlineStr">
        <is>
          <t>VÄRMLANDS LÄN</t>
        </is>
      </c>
      <c r="E4908" t="inlineStr">
        <is>
          <t>SUNNE</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39789-2021</t>
        </is>
      </c>
      <c r="B4909" s="1" t="n">
        <v>44417</v>
      </c>
      <c r="C4909" s="1" t="n">
        <v>45810</v>
      </c>
      <c r="D4909" t="inlineStr">
        <is>
          <t>VÄRMLANDS LÄN</t>
        </is>
      </c>
      <c r="E4909" t="inlineStr">
        <is>
          <t>HAGFORS</t>
        </is>
      </c>
      <c r="F4909" t="inlineStr">
        <is>
          <t>Bergvik skog väst AB</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39698-2021</t>
        </is>
      </c>
      <c r="B4910" s="1" t="n">
        <v>44417</v>
      </c>
      <c r="C4910" s="1" t="n">
        <v>45810</v>
      </c>
      <c r="D4910" t="inlineStr">
        <is>
          <t>VÄRMLANDS LÄN</t>
        </is>
      </c>
      <c r="E4910" t="inlineStr">
        <is>
          <t>HAGFORS</t>
        </is>
      </c>
      <c r="F4910" t="inlineStr">
        <is>
          <t>Bergvik skog väst AB</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39756-2021</t>
        </is>
      </c>
      <c r="B4911" s="1" t="n">
        <v>44417</v>
      </c>
      <c r="C4911" s="1" t="n">
        <v>45810</v>
      </c>
      <c r="D4911" t="inlineStr">
        <is>
          <t>VÄRMLANDS LÄN</t>
        </is>
      </c>
      <c r="E4911" t="inlineStr">
        <is>
          <t>SÄFFLE</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39641-2021</t>
        </is>
      </c>
      <c r="B4912" s="1" t="n">
        <v>44417</v>
      </c>
      <c r="C4912" s="1" t="n">
        <v>45810</v>
      </c>
      <c r="D4912" t="inlineStr">
        <is>
          <t>VÄRMLANDS LÄN</t>
        </is>
      </c>
      <c r="E4912" t="inlineStr">
        <is>
          <t>SUNNE</t>
        </is>
      </c>
      <c r="G4912" t="n">
        <v>6.5</v>
      </c>
      <c r="H4912" t="n">
        <v>0</v>
      </c>
      <c r="I4912" t="n">
        <v>0</v>
      </c>
      <c r="J4912" t="n">
        <v>0</v>
      </c>
      <c r="K4912" t="n">
        <v>0</v>
      </c>
      <c r="L4912" t="n">
        <v>0</v>
      </c>
      <c r="M4912" t="n">
        <v>0</v>
      </c>
      <c r="N4912" t="n">
        <v>0</v>
      </c>
      <c r="O4912" t="n">
        <v>0</v>
      </c>
      <c r="P4912" t="n">
        <v>0</v>
      </c>
      <c r="Q4912" t="n">
        <v>0</v>
      </c>
      <c r="R4912" s="2" t="inlineStr"/>
    </row>
    <row r="4913" ht="15" customHeight="1">
      <c r="A4913" t="inlineStr">
        <is>
          <t>A 39745-2021</t>
        </is>
      </c>
      <c r="B4913" s="1" t="n">
        <v>44417</v>
      </c>
      <c r="C4913" s="1" t="n">
        <v>45810</v>
      </c>
      <c r="D4913" t="inlineStr">
        <is>
          <t>VÄRMLANDS LÄN</t>
        </is>
      </c>
      <c r="E4913" t="inlineStr">
        <is>
          <t>HAGFORS</t>
        </is>
      </c>
      <c r="F4913" t="inlineStr">
        <is>
          <t>Bergvik skog väst AB</t>
        </is>
      </c>
      <c r="G4913" t="n">
        <v>42.5</v>
      </c>
      <c r="H4913" t="n">
        <v>0</v>
      </c>
      <c r="I4913" t="n">
        <v>0</v>
      </c>
      <c r="J4913" t="n">
        <v>0</v>
      </c>
      <c r="K4913" t="n">
        <v>0</v>
      </c>
      <c r="L4913" t="n">
        <v>0</v>
      </c>
      <c r="M4913" t="n">
        <v>0</v>
      </c>
      <c r="N4913" t="n">
        <v>0</v>
      </c>
      <c r="O4913" t="n">
        <v>0</v>
      </c>
      <c r="P4913" t="n">
        <v>0</v>
      </c>
      <c r="Q4913" t="n">
        <v>0</v>
      </c>
      <c r="R4913" s="2" t="inlineStr"/>
    </row>
    <row r="4914" ht="15" customHeight="1">
      <c r="A4914" t="inlineStr">
        <is>
          <t>A 39802-2021</t>
        </is>
      </c>
      <c r="B4914" s="1" t="n">
        <v>44417</v>
      </c>
      <c r="C4914" s="1" t="n">
        <v>45810</v>
      </c>
      <c r="D4914" t="inlineStr">
        <is>
          <t>VÄRMLANDS LÄN</t>
        </is>
      </c>
      <c r="E4914" t="inlineStr">
        <is>
          <t>FORSHAGA</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39849-2021</t>
        </is>
      </c>
      <c r="B4915" s="1" t="n">
        <v>44417</v>
      </c>
      <c r="C4915" s="1" t="n">
        <v>45810</v>
      </c>
      <c r="D4915" t="inlineStr">
        <is>
          <t>VÄRMLANDS LÄN</t>
        </is>
      </c>
      <c r="E4915" t="inlineStr">
        <is>
          <t>SUNNE</t>
        </is>
      </c>
      <c r="G4915" t="n">
        <v>4.6</v>
      </c>
      <c r="H4915" t="n">
        <v>0</v>
      </c>
      <c r="I4915" t="n">
        <v>0</v>
      </c>
      <c r="J4915" t="n">
        <v>0</v>
      </c>
      <c r="K4915" t="n">
        <v>0</v>
      </c>
      <c r="L4915" t="n">
        <v>0</v>
      </c>
      <c r="M4915" t="n">
        <v>0</v>
      </c>
      <c r="N4915" t="n">
        <v>0</v>
      </c>
      <c r="O4915" t="n">
        <v>0</v>
      </c>
      <c r="P4915" t="n">
        <v>0</v>
      </c>
      <c r="Q4915" t="n">
        <v>0</v>
      </c>
      <c r="R4915" s="2" t="inlineStr"/>
    </row>
    <row r="4916" ht="15" customHeight="1">
      <c r="A4916" t="inlineStr">
        <is>
          <t>A 39925-2021</t>
        </is>
      </c>
      <c r="B4916" s="1" t="n">
        <v>44417</v>
      </c>
      <c r="C4916" s="1" t="n">
        <v>45810</v>
      </c>
      <c r="D4916" t="inlineStr">
        <is>
          <t>VÄRMLANDS LÄN</t>
        </is>
      </c>
      <c r="E4916" t="inlineStr">
        <is>
          <t>SUNNE</t>
        </is>
      </c>
      <c r="F4916" t="inlineStr">
        <is>
          <t>Övriga statliga verk och myndigheter</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39826-2021</t>
        </is>
      </c>
      <c r="B4917" s="1" t="n">
        <v>44417</v>
      </c>
      <c r="C4917" s="1" t="n">
        <v>45810</v>
      </c>
      <c r="D4917" t="inlineStr">
        <is>
          <t>VÄRMLANDS LÄN</t>
        </is>
      </c>
      <c r="E4917" t="inlineStr">
        <is>
          <t>TORSBY</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40001-2021</t>
        </is>
      </c>
      <c r="B4918" s="1" t="n">
        <v>44417</v>
      </c>
      <c r="C4918" s="1" t="n">
        <v>45810</v>
      </c>
      <c r="D4918" t="inlineStr">
        <is>
          <t>VÄRMLANDS LÄN</t>
        </is>
      </c>
      <c r="E4918" t="inlineStr">
        <is>
          <t>ARVIKA</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40298-2021</t>
        </is>
      </c>
      <c r="B4919" s="1" t="n">
        <v>44417</v>
      </c>
      <c r="C4919" s="1" t="n">
        <v>45810</v>
      </c>
      <c r="D4919" t="inlineStr">
        <is>
          <t>VÄRMLANDS LÄN</t>
        </is>
      </c>
      <c r="E4919" t="inlineStr">
        <is>
          <t>SUNNE</t>
        </is>
      </c>
      <c r="G4919" t="n">
        <v>2.2</v>
      </c>
      <c r="H4919" t="n">
        <v>0</v>
      </c>
      <c r="I4919" t="n">
        <v>0</v>
      </c>
      <c r="J4919" t="n">
        <v>0</v>
      </c>
      <c r="K4919" t="n">
        <v>0</v>
      </c>
      <c r="L4919" t="n">
        <v>0</v>
      </c>
      <c r="M4919" t="n">
        <v>0</v>
      </c>
      <c r="N4919" t="n">
        <v>0</v>
      </c>
      <c r="O4919" t="n">
        <v>0</v>
      </c>
      <c r="P4919" t="n">
        <v>0</v>
      </c>
      <c r="Q4919" t="n">
        <v>0</v>
      </c>
      <c r="R4919" s="2" t="inlineStr"/>
    </row>
    <row r="4920" ht="15" customHeight="1">
      <c r="A4920" t="inlineStr">
        <is>
          <t>A 40003-2021</t>
        </is>
      </c>
      <c r="B4920" s="1" t="n">
        <v>44417</v>
      </c>
      <c r="C4920" s="1" t="n">
        <v>45810</v>
      </c>
      <c r="D4920" t="inlineStr">
        <is>
          <t>VÄRMLANDS LÄN</t>
        </is>
      </c>
      <c r="E4920" t="inlineStr">
        <is>
          <t>ARVIKA</t>
        </is>
      </c>
      <c r="G4920" t="n">
        <v>3.3</v>
      </c>
      <c r="H4920" t="n">
        <v>0</v>
      </c>
      <c r="I4920" t="n">
        <v>0</v>
      </c>
      <c r="J4920" t="n">
        <v>0</v>
      </c>
      <c r="K4920" t="n">
        <v>0</v>
      </c>
      <c r="L4920" t="n">
        <v>0</v>
      </c>
      <c r="M4920" t="n">
        <v>0</v>
      </c>
      <c r="N4920" t="n">
        <v>0</v>
      </c>
      <c r="O4920" t="n">
        <v>0</v>
      </c>
      <c r="P4920" t="n">
        <v>0</v>
      </c>
      <c r="Q4920" t="n">
        <v>0</v>
      </c>
      <c r="R4920" s="2" t="inlineStr"/>
    </row>
    <row r="4921" ht="15" customHeight="1">
      <c r="A4921" t="inlineStr">
        <is>
          <t>A 40303-2021</t>
        </is>
      </c>
      <c r="B4921" s="1" t="n">
        <v>44417</v>
      </c>
      <c r="C4921" s="1" t="n">
        <v>45810</v>
      </c>
      <c r="D4921" t="inlineStr">
        <is>
          <t>VÄRMLANDS LÄN</t>
        </is>
      </c>
      <c r="E4921" t="inlineStr">
        <is>
          <t>SUNNE</t>
        </is>
      </c>
      <c r="G4921" t="n">
        <v>7.8</v>
      </c>
      <c r="H4921" t="n">
        <v>0</v>
      </c>
      <c r="I4921" t="n">
        <v>0</v>
      </c>
      <c r="J4921" t="n">
        <v>0</v>
      </c>
      <c r="K4921" t="n">
        <v>0</v>
      </c>
      <c r="L4921" t="n">
        <v>0</v>
      </c>
      <c r="M4921" t="n">
        <v>0</v>
      </c>
      <c r="N4921" t="n">
        <v>0</v>
      </c>
      <c r="O4921" t="n">
        <v>0</v>
      </c>
      <c r="P4921" t="n">
        <v>0</v>
      </c>
      <c r="Q4921" t="n">
        <v>0</v>
      </c>
      <c r="R4921" s="2" t="inlineStr"/>
    </row>
    <row r="4922" ht="15" customHeight="1">
      <c r="A4922" t="inlineStr">
        <is>
          <t>A 39967-2021</t>
        </is>
      </c>
      <c r="B4922" s="1" t="n">
        <v>44418</v>
      </c>
      <c r="C4922" s="1" t="n">
        <v>45810</v>
      </c>
      <c r="D4922" t="inlineStr">
        <is>
          <t>VÄRMLANDS LÄN</t>
        </is>
      </c>
      <c r="E4922" t="inlineStr">
        <is>
          <t>TORSBY</t>
        </is>
      </c>
      <c r="F4922" t="inlineStr">
        <is>
          <t>Bergvik skog väst AB</t>
        </is>
      </c>
      <c r="G4922" t="n">
        <v>11.8</v>
      </c>
      <c r="H4922" t="n">
        <v>0</v>
      </c>
      <c r="I4922" t="n">
        <v>0</v>
      </c>
      <c r="J4922" t="n">
        <v>0</v>
      </c>
      <c r="K4922" t="n">
        <v>0</v>
      </c>
      <c r="L4922" t="n">
        <v>0</v>
      </c>
      <c r="M4922" t="n">
        <v>0</v>
      </c>
      <c r="N4922" t="n">
        <v>0</v>
      </c>
      <c r="O4922" t="n">
        <v>0</v>
      </c>
      <c r="P4922" t="n">
        <v>0</v>
      </c>
      <c r="Q4922" t="n">
        <v>0</v>
      </c>
      <c r="R4922" s="2" t="inlineStr"/>
    </row>
    <row r="4923" ht="15" customHeight="1">
      <c r="A4923" t="inlineStr">
        <is>
          <t>A 39971-2021</t>
        </is>
      </c>
      <c r="B4923" s="1" t="n">
        <v>44418</v>
      </c>
      <c r="C4923" s="1" t="n">
        <v>45810</v>
      </c>
      <c r="D4923" t="inlineStr">
        <is>
          <t>VÄRMLANDS LÄN</t>
        </is>
      </c>
      <c r="E4923" t="inlineStr">
        <is>
          <t>SÄFFLE</t>
        </is>
      </c>
      <c r="F4923" t="inlineStr">
        <is>
          <t>Kyrkan</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39998-2021</t>
        </is>
      </c>
      <c r="B4924" s="1" t="n">
        <v>44418</v>
      </c>
      <c r="C4924" s="1" t="n">
        <v>45810</v>
      </c>
      <c r="D4924" t="inlineStr">
        <is>
          <t>VÄRMLANDS LÄN</t>
        </is>
      </c>
      <c r="E4924" t="inlineStr">
        <is>
          <t>KIL</t>
        </is>
      </c>
      <c r="G4924" t="n">
        <v>6.4</v>
      </c>
      <c r="H4924" t="n">
        <v>0</v>
      </c>
      <c r="I4924" t="n">
        <v>0</v>
      </c>
      <c r="J4924" t="n">
        <v>0</v>
      </c>
      <c r="K4924" t="n">
        <v>0</v>
      </c>
      <c r="L4924" t="n">
        <v>0</v>
      </c>
      <c r="M4924" t="n">
        <v>0</v>
      </c>
      <c r="N4924" t="n">
        <v>0</v>
      </c>
      <c r="O4924" t="n">
        <v>0</v>
      </c>
      <c r="P4924" t="n">
        <v>0</v>
      </c>
      <c r="Q4924" t="n">
        <v>0</v>
      </c>
      <c r="R4924" s="2" t="inlineStr"/>
    </row>
    <row r="4925" ht="15" customHeight="1">
      <c r="A4925" t="inlineStr">
        <is>
          <t>A 40174-2021</t>
        </is>
      </c>
      <c r="B4925" s="1" t="n">
        <v>44418</v>
      </c>
      <c r="C4925" s="1" t="n">
        <v>45810</v>
      </c>
      <c r="D4925" t="inlineStr">
        <is>
          <t>VÄRMLANDS LÄN</t>
        </is>
      </c>
      <c r="E4925" t="inlineStr">
        <is>
          <t>SUNNE</t>
        </is>
      </c>
      <c r="F4925" t="inlineStr">
        <is>
          <t>Övriga Aktiebolag</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40185-2021</t>
        </is>
      </c>
      <c r="B4926" s="1" t="n">
        <v>44418</v>
      </c>
      <c r="C4926" s="1" t="n">
        <v>45810</v>
      </c>
      <c r="D4926" t="inlineStr">
        <is>
          <t>VÄRMLANDS LÄN</t>
        </is>
      </c>
      <c r="E4926" t="inlineStr">
        <is>
          <t>SUNNE</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40243-2021</t>
        </is>
      </c>
      <c r="B4927" s="1" t="n">
        <v>44419</v>
      </c>
      <c r="C4927" s="1" t="n">
        <v>45810</v>
      </c>
      <c r="D4927" t="inlineStr">
        <is>
          <t>VÄRMLANDS LÄN</t>
        </is>
      </c>
      <c r="E4927" t="inlineStr">
        <is>
          <t>KRISTINEHAMN</t>
        </is>
      </c>
      <c r="G4927" t="n">
        <v>3.1</v>
      </c>
      <c r="H4927" t="n">
        <v>0</v>
      </c>
      <c r="I4927" t="n">
        <v>0</v>
      </c>
      <c r="J4927" t="n">
        <v>0</v>
      </c>
      <c r="K4927" t="n">
        <v>0</v>
      </c>
      <c r="L4927" t="n">
        <v>0</v>
      </c>
      <c r="M4927" t="n">
        <v>0</v>
      </c>
      <c r="N4927" t="n">
        <v>0</v>
      </c>
      <c r="O4927" t="n">
        <v>0</v>
      </c>
      <c r="P4927" t="n">
        <v>0</v>
      </c>
      <c r="Q4927" t="n">
        <v>0</v>
      </c>
      <c r="R4927" s="2" t="inlineStr"/>
    </row>
    <row r="4928" ht="15" customHeight="1">
      <c r="A4928" t="inlineStr">
        <is>
          <t>A 40281-2021</t>
        </is>
      </c>
      <c r="B4928" s="1" t="n">
        <v>44419</v>
      </c>
      <c r="C4928" s="1" t="n">
        <v>45810</v>
      </c>
      <c r="D4928" t="inlineStr">
        <is>
          <t>VÄRMLANDS LÄN</t>
        </is>
      </c>
      <c r="E4928" t="inlineStr">
        <is>
          <t>TORSBY</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40276-2021</t>
        </is>
      </c>
      <c r="B4929" s="1" t="n">
        <v>44419</v>
      </c>
      <c r="C4929" s="1" t="n">
        <v>45810</v>
      </c>
      <c r="D4929" t="inlineStr">
        <is>
          <t>VÄRMLANDS LÄN</t>
        </is>
      </c>
      <c r="E4929" t="inlineStr">
        <is>
          <t>TORSBY</t>
        </is>
      </c>
      <c r="G4929" t="n">
        <v>2.2</v>
      </c>
      <c r="H4929" t="n">
        <v>0</v>
      </c>
      <c r="I4929" t="n">
        <v>0</v>
      </c>
      <c r="J4929" t="n">
        <v>0</v>
      </c>
      <c r="K4929" t="n">
        <v>0</v>
      </c>
      <c r="L4929" t="n">
        <v>0</v>
      </c>
      <c r="M4929" t="n">
        <v>0</v>
      </c>
      <c r="N4929" t="n">
        <v>0</v>
      </c>
      <c r="O4929" t="n">
        <v>0</v>
      </c>
      <c r="P4929" t="n">
        <v>0</v>
      </c>
      <c r="Q4929" t="n">
        <v>0</v>
      </c>
      <c r="R4929" s="2" t="inlineStr"/>
    </row>
    <row r="4930" ht="15" customHeight="1">
      <c r="A4930" t="inlineStr">
        <is>
          <t>A 40278-2021</t>
        </is>
      </c>
      <c r="B4930" s="1" t="n">
        <v>44419</v>
      </c>
      <c r="C4930" s="1" t="n">
        <v>45810</v>
      </c>
      <c r="D4930" t="inlineStr">
        <is>
          <t>VÄRMLANDS LÄN</t>
        </is>
      </c>
      <c r="E4930" t="inlineStr">
        <is>
          <t>TORSBY</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40350-2021</t>
        </is>
      </c>
      <c r="B4931" s="1" t="n">
        <v>44419</v>
      </c>
      <c r="C4931" s="1" t="n">
        <v>45810</v>
      </c>
      <c r="D4931" t="inlineStr">
        <is>
          <t>VÄRMLANDS LÄN</t>
        </is>
      </c>
      <c r="E4931" t="inlineStr">
        <is>
          <t>EDA</t>
        </is>
      </c>
      <c r="G4931" t="n">
        <v>4.9</v>
      </c>
      <c r="H4931" t="n">
        <v>0</v>
      </c>
      <c r="I4931" t="n">
        <v>0</v>
      </c>
      <c r="J4931" t="n">
        <v>0</v>
      </c>
      <c r="K4931" t="n">
        <v>0</v>
      </c>
      <c r="L4931" t="n">
        <v>0</v>
      </c>
      <c r="M4931" t="n">
        <v>0</v>
      </c>
      <c r="N4931" t="n">
        <v>0</v>
      </c>
      <c r="O4931" t="n">
        <v>0</v>
      </c>
      <c r="P4931" t="n">
        <v>0</v>
      </c>
      <c r="Q4931" t="n">
        <v>0</v>
      </c>
      <c r="R4931" s="2" t="inlineStr"/>
    </row>
    <row r="4932" ht="15" customHeight="1">
      <c r="A4932" t="inlineStr">
        <is>
          <t>A 40282-2021</t>
        </is>
      </c>
      <c r="B4932" s="1" t="n">
        <v>44419</v>
      </c>
      <c r="C4932" s="1" t="n">
        <v>45810</v>
      </c>
      <c r="D4932" t="inlineStr">
        <is>
          <t>VÄRMLANDS LÄN</t>
        </is>
      </c>
      <c r="E4932" t="inlineStr">
        <is>
          <t>TORSBY</t>
        </is>
      </c>
      <c r="G4932" t="n">
        <v>3.1</v>
      </c>
      <c r="H4932" t="n">
        <v>0</v>
      </c>
      <c r="I4932" t="n">
        <v>0</v>
      </c>
      <c r="J4932" t="n">
        <v>0</v>
      </c>
      <c r="K4932" t="n">
        <v>0</v>
      </c>
      <c r="L4932" t="n">
        <v>0</v>
      </c>
      <c r="M4932" t="n">
        <v>0</v>
      </c>
      <c r="N4932" t="n">
        <v>0</v>
      </c>
      <c r="O4932" t="n">
        <v>0</v>
      </c>
      <c r="P4932" t="n">
        <v>0</v>
      </c>
      <c r="Q4932" t="n">
        <v>0</v>
      </c>
      <c r="R4932" s="2" t="inlineStr"/>
    </row>
    <row r="4933" ht="15" customHeight="1">
      <c r="A4933" t="inlineStr">
        <is>
          <t>A 40292-2021</t>
        </is>
      </c>
      <c r="B4933" s="1" t="n">
        <v>44419</v>
      </c>
      <c r="C4933" s="1" t="n">
        <v>45810</v>
      </c>
      <c r="D4933" t="inlineStr">
        <is>
          <t>VÄRMLANDS LÄN</t>
        </is>
      </c>
      <c r="E4933" t="inlineStr">
        <is>
          <t>KIL</t>
        </is>
      </c>
      <c r="G4933" t="n">
        <v>5.9</v>
      </c>
      <c r="H4933" t="n">
        <v>0</v>
      </c>
      <c r="I4933" t="n">
        <v>0</v>
      </c>
      <c r="J4933" t="n">
        <v>0</v>
      </c>
      <c r="K4933" t="n">
        <v>0</v>
      </c>
      <c r="L4933" t="n">
        <v>0</v>
      </c>
      <c r="M4933" t="n">
        <v>0</v>
      </c>
      <c r="N4933" t="n">
        <v>0</v>
      </c>
      <c r="O4933" t="n">
        <v>0</v>
      </c>
      <c r="P4933" t="n">
        <v>0</v>
      </c>
      <c r="Q4933" t="n">
        <v>0</v>
      </c>
      <c r="R4933" s="2" t="inlineStr"/>
    </row>
    <row r="4934" ht="15" customHeight="1">
      <c r="A4934" t="inlineStr">
        <is>
          <t>A 40351-2021</t>
        </is>
      </c>
      <c r="B4934" s="1" t="n">
        <v>44419</v>
      </c>
      <c r="C4934" s="1" t="n">
        <v>45810</v>
      </c>
      <c r="D4934" t="inlineStr">
        <is>
          <t>VÄRMLANDS LÄN</t>
        </is>
      </c>
      <c r="E4934" t="inlineStr">
        <is>
          <t>ARVIKA</t>
        </is>
      </c>
      <c r="G4934" t="n">
        <v>2.2</v>
      </c>
      <c r="H4934" t="n">
        <v>0</v>
      </c>
      <c r="I4934" t="n">
        <v>0</v>
      </c>
      <c r="J4934" t="n">
        <v>0</v>
      </c>
      <c r="K4934" t="n">
        <v>0</v>
      </c>
      <c r="L4934" t="n">
        <v>0</v>
      </c>
      <c r="M4934" t="n">
        <v>0</v>
      </c>
      <c r="N4934" t="n">
        <v>0</v>
      </c>
      <c r="O4934" t="n">
        <v>0</v>
      </c>
      <c r="P4934" t="n">
        <v>0</v>
      </c>
      <c r="Q4934" t="n">
        <v>0</v>
      </c>
      <c r="R4934" s="2" t="inlineStr"/>
    </row>
    <row r="4935" ht="15" customHeight="1">
      <c r="A4935" t="inlineStr">
        <is>
          <t>A 40324-2021</t>
        </is>
      </c>
      <c r="B4935" s="1" t="n">
        <v>44419</v>
      </c>
      <c r="C4935" s="1" t="n">
        <v>45810</v>
      </c>
      <c r="D4935" t="inlineStr">
        <is>
          <t>VÄRMLANDS LÄN</t>
        </is>
      </c>
      <c r="E4935" t="inlineStr">
        <is>
          <t>SÄFFLE</t>
        </is>
      </c>
      <c r="G4935" t="n">
        <v>5.1</v>
      </c>
      <c r="H4935" t="n">
        <v>0</v>
      </c>
      <c r="I4935" t="n">
        <v>0</v>
      </c>
      <c r="J4935" t="n">
        <v>0</v>
      </c>
      <c r="K4935" t="n">
        <v>0</v>
      </c>
      <c r="L4935" t="n">
        <v>0</v>
      </c>
      <c r="M4935" t="n">
        <v>0</v>
      </c>
      <c r="N4935" t="n">
        <v>0</v>
      </c>
      <c r="O4935" t="n">
        <v>0</v>
      </c>
      <c r="P4935" t="n">
        <v>0</v>
      </c>
      <c r="Q4935" t="n">
        <v>0</v>
      </c>
      <c r="R4935" s="2" t="inlineStr"/>
    </row>
    <row r="4936" ht="15" customHeight="1">
      <c r="A4936" t="inlineStr">
        <is>
          <t>A 40432-2021</t>
        </is>
      </c>
      <c r="B4936" s="1" t="n">
        <v>44419</v>
      </c>
      <c r="C4936" s="1" t="n">
        <v>45810</v>
      </c>
      <c r="D4936" t="inlineStr">
        <is>
          <t>VÄRMLANDS LÄN</t>
        </is>
      </c>
      <c r="E4936" t="inlineStr">
        <is>
          <t>SÄFFLE</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40433-2021</t>
        </is>
      </c>
      <c r="B4937" s="1" t="n">
        <v>44419</v>
      </c>
      <c r="C4937" s="1" t="n">
        <v>45810</v>
      </c>
      <c r="D4937" t="inlineStr">
        <is>
          <t>VÄRMLANDS LÄN</t>
        </is>
      </c>
      <c r="E4937" t="inlineStr">
        <is>
          <t>SÄFFLE</t>
        </is>
      </c>
      <c r="G4937" t="n">
        <v>3.3</v>
      </c>
      <c r="H4937" t="n">
        <v>0</v>
      </c>
      <c r="I4937" t="n">
        <v>0</v>
      </c>
      <c r="J4937" t="n">
        <v>0</v>
      </c>
      <c r="K4937" t="n">
        <v>0</v>
      </c>
      <c r="L4937" t="n">
        <v>0</v>
      </c>
      <c r="M4937" t="n">
        <v>0</v>
      </c>
      <c r="N4937" t="n">
        <v>0</v>
      </c>
      <c r="O4937" t="n">
        <v>0</v>
      </c>
      <c r="P4937" t="n">
        <v>0</v>
      </c>
      <c r="Q4937" t="n">
        <v>0</v>
      </c>
      <c r="R4937" s="2" t="inlineStr"/>
    </row>
    <row r="4938" ht="15" customHeight="1">
      <c r="A4938" t="inlineStr">
        <is>
          <t>A 40355-2021</t>
        </is>
      </c>
      <c r="B4938" s="1" t="n">
        <v>44419</v>
      </c>
      <c r="C4938" s="1" t="n">
        <v>45810</v>
      </c>
      <c r="D4938" t="inlineStr">
        <is>
          <t>VÄRMLANDS LÄN</t>
        </is>
      </c>
      <c r="E4938" t="inlineStr">
        <is>
          <t>EDA</t>
        </is>
      </c>
      <c r="G4938" t="n">
        <v>2.8</v>
      </c>
      <c r="H4938" t="n">
        <v>0</v>
      </c>
      <c r="I4938" t="n">
        <v>0</v>
      </c>
      <c r="J4938" t="n">
        <v>0</v>
      </c>
      <c r="K4938" t="n">
        <v>0</v>
      </c>
      <c r="L4938" t="n">
        <v>0</v>
      </c>
      <c r="M4938" t="n">
        <v>0</v>
      </c>
      <c r="N4938" t="n">
        <v>0</v>
      </c>
      <c r="O4938" t="n">
        <v>0</v>
      </c>
      <c r="P4938" t="n">
        <v>0</v>
      </c>
      <c r="Q4938" t="n">
        <v>0</v>
      </c>
      <c r="R4938" s="2" t="inlineStr"/>
    </row>
    <row r="4939" ht="15" customHeight="1">
      <c r="A4939" t="inlineStr">
        <is>
          <t>A 40451-2021</t>
        </is>
      </c>
      <c r="B4939" s="1" t="n">
        <v>44419</v>
      </c>
      <c r="C4939" s="1" t="n">
        <v>45810</v>
      </c>
      <c r="D4939" t="inlineStr">
        <is>
          <t>VÄRMLANDS LÄN</t>
        </is>
      </c>
      <c r="E4939" t="inlineStr">
        <is>
          <t>SUNNE</t>
        </is>
      </c>
      <c r="G4939" t="n">
        <v>3.9</v>
      </c>
      <c r="H4939" t="n">
        <v>0</v>
      </c>
      <c r="I4939" t="n">
        <v>0</v>
      </c>
      <c r="J4939" t="n">
        <v>0</v>
      </c>
      <c r="K4939" t="n">
        <v>0</v>
      </c>
      <c r="L4939" t="n">
        <v>0</v>
      </c>
      <c r="M4939" t="n">
        <v>0</v>
      </c>
      <c r="N4939" t="n">
        <v>0</v>
      </c>
      <c r="O4939" t="n">
        <v>0</v>
      </c>
      <c r="P4939" t="n">
        <v>0</v>
      </c>
      <c r="Q4939" t="n">
        <v>0</v>
      </c>
      <c r="R4939" s="2" t="inlineStr"/>
    </row>
    <row r="4940" ht="15" customHeight="1">
      <c r="A4940" t="inlineStr">
        <is>
          <t>A 40455-2021</t>
        </is>
      </c>
      <c r="B4940" s="1" t="n">
        <v>44419</v>
      </c>
      <c r="C4940" s="1" t="n">
        <v>45810</v>
      </c>
      <c r="D4940" t="inlineStr">
        <is>
          <t>VÄRMLANDS LÄN</t>
        </is>
      </c>
      <c r="E4940" t="inlineStr">
        <is>
          <t>ARVIKA</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40590-2021</t>
        </is>
      </c>
      <c r="B4941" s="1" t="n">
        <v>44420</v>
      </c>
      <c r="C4941" s="1" t="n">
        <v>45810</v>
      </c>
      <c r="D4941" t="inlineStr">
        <is>
          <t>VÄRMLANDS LÄN</t>
        </is>
      </c>
      <c r="E4941" t="inlineStr">
        <is>
          <t>TORSBY</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40651-2021</t>
        </is>
      </c>
      <c r="B4942" s="1" t="n">
        <v>44420</v>
      </c>
      <c r="C4942" s="1" t="n">
        <v>45810</v>
      </c>
      <c r="D4942" t="inlineStr">
        <is>
          <t>VÄRMLANDS LÄN</t>
        </is>
      </c>
      <c r="E4942" t="inlineStr">
        <is>
          <t>HAGFORS</t>
        </is>
      </c>
      <c r="F4942" t="inlineStr">
        <is>
          <t>Bergvik skog väst AB</t>
        </is>
      </c>
      <c r="G4942" t="n">
        <v>28.9</v>
      </c>
      <c r="H4942" t="n">
        <v>0</v>
      </c>
      <c r="I4942" t="n">
        <v>0</v>
      </c>
      <c r="J4942" t="n">
        <v>0</v>
      </c>
      <c r="K4942" t="n">
        <v>0</v>
      </c>
      <c r="L4942" t="n">
        <v>0</v>
      </c>
      <c r="M4942" t="n">
        <v>0</v>
      </c>
      <c r="N4942" t="n">
        <v>0</v>
      </c>
      <c r="O4942" t="n">
        <v>0</v>
      </c>
      <c r="P4942" t="n">
        <v>0</v>
      </c>
      <c r="Q4942" t="n">
        <v>0</v>
      </c>
      <c r="R4942" s="2" t="inlineStr"/>
    </row>
    <row r="4943" ht="15" customHeight="1">
      <c r="A4943" t="inlineStr">
        <is>
          <t>A 40601-2021</t>
        </is>
      </c>
      <c r="B4943" s="1" t="n">
        <v>44420</v>
      </c>
      <c r="C4943" s="1" t="n">
        <v>45810</v>
      </c>
      <c r="D4943" t="inlineStr">
        <is>
          <t>VÄRMLANDS LÄN</t>
        </is>
      </c>
      <c r="E4943" t="inlineStr">
        <is>
          <t>HAGFORS</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40599-2021</t>
        </is>
      </c>
      <c r="B4944" s="1" t="n">
        <v>44420</v>
      </c>
      <c r="C4944" s="1" t="n">
        <v>45810</v>
      </c>
      <c r="D4944" t="inlineStr">
        <is>
          <t>VÄRMLANDS LÄN</t>
        </is>
      </c>
      <c r="E4944" t="inlineStr">
        <is>
          <t>SUNNE</t>
        </is>
      </c>
      <c r="G4944" t="n">
        <v>12.8</v>
      </c>
      <c r="H4944" t="n">
        <v>0</v>
      </c>
      <c r="I4944" t="n">
        <v>0</v>
      </c>
      <c r="J4944" t="n">
        <v>0</v>
      </c>
      <c r="K4944" t="n">
        <v>0</v>
      </c>
      <c r="L4944" t="n">
        <v>0</v>
      </c>
      <c r="M4944" t="n">
        <v>0</v>
      </c>
      <c r="N4944" t="n">
        <v>0</v>
      </c>
      <c r="O4944" t="n">
        <v>0</v>
      </c>
      <c r="P4944" t="n">
        <v>0</v>
      </c>
      <c r="Q4944" t="n">
        <v>0</v>
      </c>
      <c r="R4944" s="2" t="inlineStr"/>
    </row>
    <row r="4945" ht="15" customHeight="1">
      <c r="A4945" t="inlineStr">
        <is>
          <t>A 40688-2021</t>
        </is>
      </c>
      <c r="B4945" s="1" t="n">
        <v>44420</v>
      </c>
      <c r="C4945" s="1" t="n">
        <v>45810</v>
      </c>
      <c r="D4945" t="inlineStr">
        <is>
          <t>VÄRMLANDS LÄN</t>
        </is>
      </c>
      <c r="E4945" t="inlineStr">
        <is>
          <t>ARVIKA</t>
        </is>
      </c>
      <c r="F4945" t="inlineStr">
        <is>
          <t>Bergvik skog väst AB</t>
        </is>
      </c>
      <c r="G4945" t="n">
        <v>4.7</v>
      </c>
      <c r="H4945" t="n">
        <v>0</v>
      </c>
      <c r="I4945" t="n">
        <v>0</v>
      </c>
      <c r="J4945" t="n">
        <v>0</v>
      </c>
      <c r="K4945" t="n">
        <v>0</v>
      </c>
      <c r="L4945" t="n">
        <v>0</v>
      </c>
      <c r="M4945" t="n">
        <v>0</v>
      </c>
      <c r="N4945" t="n">
        <v>0</v>
      </c>
      <c r="O4945" t="n">
        <v>0</v>
      </c>
      <c r="P4945" t="n">
        <v>0</v>
      </c>
      <c r="Q4945" t="n">
        <v>0</v>
      </c>
      <c r="R4945" s="2" t="inlineStr"/>
    </row>
    <row r="4946" ht="15" customHeight="1">
      <c r="A4946" t="inlineStr">
        <is>
          <t>A 40678-2021</t>
        </is>
      </c>
      <c r="B4946" s="1" t="n">
        <v>44420</v>
      </c>
      <c r="C4946" s="1" t="n">
        <v>45810</v>
      </c>
      <c r="D4946" t="inlineStr">
        <is>
          <t>VÄRMLANDS LÄN</t>
        </is>
      </c>
      <c r="E4946" t="inlineStr">
        <is>
          <t>SUNNE</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40675-2021</t>
        </is>
      </c>
      <c r="B4947" s="1" t="n">
        <v>44420</v>
      </c>
      <c r="C4947" s="1" t="n">
        <v>45810</v>
      </c>
      <c r="D4947" t="inlineStr">
        <is>
          <t>VÄRMLANDS LÄN</t>
        </is>
      </c>
      <c r="E4947" t="inlineStr">
        <is>
          <t>HAGFORS</t>
        </is>
      </c>
      <c r="F4947" t="inlineStr">
        <is>
          <t>Bergvik skog väst AB</t>
        </is>
      </c>
      <c r="G4947" t="n">
        <v>4.5</v>
      </c>
      <c r="H4947" t="n">
        <v>0</v>
      </c>
      <c r="I4947" t="n">
        <v>0</v>
      </c>
      <c r="J4947" t="n">
        <v>0</v>
      </c>
      <c r="K4947" t="n">
        <v>0</v>
      </c>
      <c r="L4947" t="n">
        <v>0</v>
      </c>
      <c r="M4947" t="n">
        <v>0</v>
      </c>
      <c r="N4947" t="n">
        <v>0</v>
      </c>
      <c r="O4947" t="n">
        <v>0</v>
      </c>
      <c r="P4947" t="n">
        <v>0</v>
      </c>
      <c r="Q4947" t="n">
        <v>0</v>
      </c>
      <c r="R4947" s="2" t="inlineStr"/>
    </row>
    <row r="4948" ht="15" customHeight="1">
      <c r="A4948" t="inlineStr">
        <is>
          <t>A 40667-2021</t>
        </is>
      </c>
      <c r="B4948" s="1" t="n">
        <v>44420</v>
      </c>
      <c r="C4948" s="1" t="n">
        <v>45810</v>
      </c>
      <c r="D4948" t="inlineStr">
        <is>
          <t>VÄRMLANDS LÄN</t>
        </is>
      </c>
      <c r="E4948" t="inlineStr">
        <is>
          <t>EDA</t>
        </is>
      </c>
      <c r="G4948" t="n">
        <v>8.199999999999999</v>
      </c>
      <c r="H4948" t="n">
        <v>0</v>
      </c>
      <c r="I4948" t="n">
        <v>0</v>
      </c>
      <c r="J4948" t="n">
        <v>0</v>
      </c>
      <c r="K4948" t="n">
        <v>0</v>
      </c>
      <c r="L4948" t="n">
        <v>0</v>
      </c>
      <c r="M4948" t="n">
        <v>0</v>
      </c>
      <c r="N4948" t="n">
        <v>0</v>
      </c>
      <c r="O4948" t="n">
        <v>0</v>
      </c>
      <c r="P4948" t="n">
        <v>0</v>
      </c>
      <c r="Q4948" t="n">
        <v>0</v>
      </c>
      <c r="R4948" s="2" t="inlineStr"/>
    </row>
    <row r="4949" ht="15" customHeight="1">
      <c r="A4949" t="inlineStr">
        <is>
          <t>A 40743-2021</t>
        </is>
      </c>
      <c r="B4949" s="1" t="n">
        <v>44420</v>
      </c>
      <c r="C4949" s="1" t="n">
        <v>45810</v>
      </c>
      <c r="D4949" t="inlineStr">
        <is>
          <t>VÄRMLANDS LÄN</t>
        </is>
      </c>
      <c r="E4949" t="inlineStr">
        <is>
          <t>ARVIKA</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40832-2021</t>
        </is>
      </c>
      <c r="B4950" s="1" t="n">
        <v>44421</v>
      </c>
      <c r="C4950" s="1" t="n">
        <v>45810</v>
      </c>
      <c r="D4950" t="inlineStr">
        <is>
          <t>VÄRMLANDS LÄN</t>
        </is>
      </c>
      <c r="E4950" t="inlineStr">
        <is>
          <t>ÅRJÄNG</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40843-2021</t>
        </is>
      </c>
      <c r="B4951" s="1" t="n">
        <v>44421</v>
      </c>
      <c r="C4951" s="1" t="n">
        <v>45810</v>
      </c>
      <c r="D4951" t="inlineStr">
        <is>
          <t>VÄRMLANDS LÄN</t>
        </is>
      </c>
      <c r="E4951" t="inlineStr">
        <is>
          <t>HAGFORS</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40876-2021</t>
        </is>
      </c>
      <c r="B4952" s="1" t="n">
        <v>44421</v>
      </c>
      <c r="C4952" s="1" t="n">
        <v>45810</v>
      </c>
      <c r="D4952" t="inlineStr">
        <is>
          <t>VÄRMLANDS LÄN</t>
        </is>
      </c>
      <c r="E4952" t="inlineStr">
        <is>
          <t>TORSBY</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40893-2021</t>
        </is>
      </c>
      <c r="B4953" s="1" t="n">
        <v>44421</v>
      </c>
      <c r="C4953" s="1" t="n">
        <v>45810</v>
      </c>
      <c r="D4953" t="inlineStr">
        <is>
          <t>VÄRMLANDS LÄN</t>
        </is>
      </c>
      <c r="E4953" t="inlineStr">
        <is>
          <t>KARLSTAD</t>
        </is>
      </c>
      <c r="F4953" t="inlineStr">
        <is>
          <t>Bergvik skog väst AB</t>
        </is>
      </c>
      <c r="G4953" t="n">
        <v>6.6</v>
      </c>
      <c r="H4953" t="n">
        <v>0</v>
      </c>
      <c r="I4953" t="n">
        <v>0</v>
      </c>
      <c r="J4953" t="n">
        <v>0</v>
      </c>
      <c r="K4953" t="n">
        <v>0</v>
      </c>
      <c r="L4953" t="n">
        <v>0</v>
      </c>
      <c r="M4953" t="n">
        <v>0</v>
      </c>
      <c r="N4953" t="n">
        <v>0</v>
      </c>
      <c r="O4953" t="n">
        <v>0</v>
      </c>
      <c r="P4953" t="n">
        <v>0</v>
      </c>
      <c r="Q4953" t="n">
        <v>0</v>
      </c>
      <c r="R4953" s="2" t="inlineStr"/>
    </row>
    <row r="4954" ht="15" customHeight="1">
      <c r="A4954" t="inlineStr">
        <is>
          <t>A 40904-2021</t>
        </is>
      </c>
      <c r="B4954" s="1" t="n">
        <v>44421</v>
      </c>
      <c r="C4954" s="1" t="n">
        <v>45810</v>
      </c>
      <c r="D4954" t="inlineStr">
        <is>
          <t>VÄRMLANDS LÄN</t>
        </is>
      </c>
      <c r="E4954" t="inlineStr">
        <is>
          <t>SÄFFLE</t>
        </is>
      </c>
      <c r="G4954" t="n">
        <v>3</v>
      </c>
      <c r="H4954" t="n">
        <v>0</v>
      </c>
      <c r="I4954" t="n">
        <v>0</v>
      </c>
      <c r="J4954" t="n">
        <v>0</v>
      </c>
      <c r="K4954" t="n">
        <v>0</v>
      </c>
      <c r="L4954" t="n">
        <v>0</v>
      </c>
      <c r="M4954" t="n">
        <v>0</v>
      </c>
      <c r="N4954" t="n">
        <v>0</v>
      </c>
      <c r="O4954" t="n">
        <v>0</v>
      </c>
      <c r="P4954" t="n">
        <v>0</v>
      </c>
      <c r="Q4954" t="n">
        <v>0</v>
      </c>
      <c r="R4954" s="2" t="inlineStr"/>
    </row>
    <row r="4955" ht="15" customHeight="1">
      <c r="A4955" t="inlineStr">
        <is>
          <t>A 40953-2021</t>
        </is>
      </c>
      <c r="B4955" s="1" t="n">
        <v>44421</v>
      </c>
      <c r="C4955" s="1" t="n">
        <v>45810</v>
      </c>
      <c r="D4955" t="inlineStr">
        <is>
          <t>VÄRMLANDS LÄN</t>
        </is>
      </c>
      <c r="E4955" t="inlineStr">
        <is>
          <t>FILIPSTAD</t>
        </is>
      </c>
      <c r="F4955" t="inlineStr">
        <is>
          <t>Bergvik skog väst AB</t>
        </is>
      </c>
      <c r="G4955" t="n">
        <v>12.9</v>
      </c>
      <c r="H4955" t="n">
        <v>0</v>
      </c>
      <c r="I4955" t="n">
        <v>0</v>
      </c>
      <c r="J4955" t="n">
        <v>0</v>
      </c>
      <c r="K4955" t="n">
        <v>0</v>
      </c>
      <c r="L4955" t="n">
        <v>0</v>
      </c>
      <c r="M4955" t="n">
        <v>0</v>
      </c>
      <c r="N4955" t="n">
        <v>0</v>
      </c>
      <c r="O4955" t="n">
        <v>0</v>
      </c>
      <c r="P4955" t="n">
        <v>0</v>
      </c>
      <c r="Q4955" t="n">
        <v>0</v>
      </c>
      <c r="R4955" s="2" t="inlineStr"/>
    </row>
    <row r="4956" ht="15" customHeight="1">
      <c r="A4956" t="inlineStr">
        <is>
          <t>A 40820-2021</t>
        </is>
      </c>
      <c r="B4956" s="1" t="n">
        <v>44421</v>
      </c>
      <c r="C4956" s="1" t="n">
        <v>45810</v>
      </c>
      <c r="D4956" t="inlineStr">
        <is>
          <t>VÄRMLANDS LÄN</t>
        </is>
      </c>
      <c r="E4956" t="inlineStr">
        <is>
          <t>HAGFORS</t>
        </is>
      </c>
      <c r="G4956" t="n">
        <v>4.2</v>
      </c>
      <c r="H4956" t="n">
        <v>0</v>
      </c>
      <c r="I4956" t="n">
        <v>0</v>
      </c>
      <c r="J4956" t="n">
        <v>0</v>
      </c>
      <c r="K4956" t="n">
        <v>0</v>
      </c>
      <c r="L4956" t="n">
        <v>0</v>
      </c>
      <c r="M4956" t="n">
        <v>0</v>
      </c>
      <c r="N4956" t="n">
        <v>0</v>
      </c>
      <c r="O4956" t="n">
        <v>0</v>
      </c>
      <c r="P4956" t="n">
        <v>0</v>
      </c>
      <c r="Q4956" t="n">
        <v>0</v>
      </c>
      <c r="R4956" s="2" t="inlineStr"/>
    </row>
    <row r="4957" ht="15" customHeight="1">
      <c r="A4957" t="inlineStr">
        <is>
          <t>A 40829-2021</t>
        </is>
      </c>
      <c r="B4957" s="1" t="n">
        <v>44421</v>
      </c>
      <c r="C4957" s="1" t="n">
        <v>45810</v>
      </c>
      <c r="D4957" t="inlineStr">
        <is>
          <t>VÄRMLANDS LÄN</t>
        </is>
      </c>
      <c r="E4957" t="inlineStr">
        <is>
          <t>ÅRJÄNG</t>
        </is>
      </c>
      <c r="G4957" t="n">
        <v>0.4</v>
      </c>
      <c r="H4957" t="n">
        <v>0</v>
      </c>
      <c r="I4957" t="n">
        <v>0</v>
      </c>
      <c r="J4957" t="n">
        <v>0</v>
      </c>
      <c r="K4957" t="n">
        <v>0</v>
      </c>
      <c r="L4957" t="n">
        <v>0</v>
      </c>
      <c r="M4957" t="n">
        <v>0</v>
      </c>
      <c r="N4957" t="n">
        <v>0</v>
      </c>
      <c r="O4957" t="n">
        <v>0</v>
      </c>
      <c r="P4957" t="n">
        <v>0</v>
      </c>
      <c r="Q4957" t="n">
        <v>0</v>
      </c>
      <c r="R4957" s="2" t="inlineStr"/>
    </row>
    <row r="4958" ht="15" customHeight="1">
      <c r="A4958" t="inlineStr">
        <is>
          <t>A 40988-2021</t>
        </is>
      </c>
      <c r="B4958" s="1" t="n">
        <v>44421</v>
      </c>
      <c r="C4958" s="1" t="n">
        <v>45810</v>
      </c>
      <c r="D4958" t="inlineStr">
        <is>
          <t>VÄRMLANDS LÄN</t>
        </is>
      </c>
      <c r="E4958" t="inlineStr">
        <is>
          <t>KRISTINEHAMN</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41027-2021</t>
        </is>
      </c>
      <c r="B4959" s="1" t="n">
        <v>44421</v>
      </c>
      <c r="C4959" s="1" t="n">
        <v>45810</v>
      </c>
      <c r="D4959" t="inlineStr">
        <is>
          <t>VÄRMLANDS LÄN</t>
        </is>
      </c>
      <c r="E4959" t="inlineStr">
        <is>
          <t>EDA</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41135-2021</t>
        </is>
      </c>
      <c r="B4960" s="1" t="n">
        <v>44423</v>
      </c>
      <c r="C4960" s="1" t="n">
        <v>45810</v>
      </c>
      <c r="D4960" t="inlineStr">
        <is>
          <t>VÄRMLANDS LÄN</t>
        </is>
      </c>
      <c r="E4960" t="inlineStr">
        <is>
          <t>SUNNE</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41138-2021</t>
        </is>
      </c>
      <c r="B4961" s="1" t="n">
        <v>44423</v>
      </c>
      <c r="C4961" s="1" t="n">
        <v>45810</v>
      </c>
      <c r="D4961" t="inlineStr">
        <is>
          <t>VÄRMLANDS LÄN</t>
        </is>
      </c>
      <c r="E4961" t="inlineStr">
        <is>
          <t>SÄFFLE</t>
        </is>
      </c>
      <c r="G4961" t="n">
        <v>2.3</v>
      </c>
      <c r="H4961" t="n">
        <v>0</v>
      </c>
      <c r="I4961" t="n">
        <v>0</v>
      </c>
      <c r="J4961" t="n">
        <v>0</v>
      </c>
      <c r="K4961" t="n">
        <v>0</v>
      </c>
      <c r="L4961" t="n">
        <v>0</v>
      </c>
      <c r="M4961" t="n">
        <v>0</v>
      </c>
      <c r="N4961" t="n">
        <v>0</v>
      </c>
      <c r="O4961" t="n">
        <v>0</v>
      </c>
      <c r="P4961" t="n">
        <v>0</v>
      </c>
      <c r="Q4961" t="n">
        <v>0</v>
      </c>
      <c r="R4961" s="2" t="inlineStr"/>
    </row>
    <row r="4962" ht="15" customHeight="1">
      <c r="A4962" t="inlineStr">
        <is>
          <t>A 41223-2021</t>
        </is>
      </c>
      <c r="B4962" s="1" t="n">
        <v>44424</v>
      </c>
      <c r="C4962" s="1" t="n">
        <v>45810</v>
      </c>
      <c r="D4962" t="inlineStr">
        <is>
          <t>VÄRMLANDS LÄN</t>
        </is>
      </c>
      <c r="E4962" t="inlineStr">
        <is>
          <t>SUNNE</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41253-2021</t>
        </is>
      </c>
      <c r="B4963" s="1" t="n">
        <v>44424</v>
      </c>
      <c r="C4963" s="1" t="n">
        <v>45810</v>
      </c>
      <c r="D4963" t="inlineStr">
        <is>
          <t>VÄRMLANDS LÄN</t>
        </is>
      </c>
      <c r="E4963" t="inlineStr">
        <is>
          <t>TORSBY</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41320-2021</t>
        </is>
      </c>
      <c r="B4964" s="1" t="n">
        <v>44424</v>
      </c>
      <c r="C4964" s="1" t="n">
        <v>45810</v>
      </c>
      <c r="D4964" t="inlineStr">
        <is>
          <t>VÄRMLANDS LÄN</t>
        </is>
      </c>
      <c r="E4964" t="inlineStr">
        <is>
          <t>ARVIKA</t>
        </is>
      </c>
      <c r="G4964" t="n">
        <v>0.4</v>
      </c>
      <c r="H4964" t="n">
        <v>0</v>
      </c>
      <c r="I4964" t="n">
        <v>0</v>
      </c>
      <c r="J4964" t="n">
        <v>0</v>
      </c>
      <c r="K4964" t="n">
        <v>0</v>
      </c>
      <c r="L4964" t="n">
        <v>0</v>
      </c>
      <c r="M4964" t="n">
        <v>0</v>
      </c>
      <c r="N4964" t="n">
        <v>0</v>
      </c>
      <c r="O4964" t="n">
        <v>0</v>
      </c>
      <c r="P4964" t="n">
        <v>0</v>
      </c>
      <c r="Q4964" t="n">
        <v>0</v>
      </c>
      <c r="R4964" s="2" t="inlineStr"/>
    </row>
    <row r="4965" ht="15" customHeight="1">
      <c r="A4965" t="inlineStr">
        <is>
          <t>A 41325-2021</t>
        </is>
      </c>
      <c r="B4965" s="1" t="n">
        <v>44424</v>
      </c>
      <c r="C4965" s="1" t="n">
        <v>45810</v>
      </c>
      <c r="D4965" t="inlineStr">
        <is>
          <t>VÄRMLANDS LÄN</t>
        </is>
      </c>
      <c r="E4965" t="inlineStr">
        <is>
          <t>ARVIKA</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41342-2021</t>
        </is>
      </c>
      <c r="B4966" s="1" t="n">
        <v>44424</v>
      </c>
      <c r="C4966" s="1" t="n">
        <v>45810</v>
      </c>
      <c r="D4966" t="inlineStr">
        <is>
          <t>VÄRMLANDS LÄN</t>
        </is>
      </c>
      <c r="E4966" t="inlineStr">
        <is>
          <t>HAGFORS</t>
        </is>
      </c>
      <c r="F4966" t="inlineStr">
        <is>
          <t>Bergvik skog väst AB</t>
        </is>
      </c>
      <c r="G4966" t="n">
        <v>12.1</v>
      </c>
      <c r="H4966" t="n">
        <v>0</v>
      </c>
      <c r="I4966" t="n">
        <v>0</v>
      </c>
      <c r="J4966" t="n">
        <v>0</v>
      </c>
      <c r="K4966" t="n">
        <v>0</v>
      </c>
      <c r="L4966" t="n">
        <v>0</v>
      </c>
      <c r="M4966" t="n">
        <v>0</v>
      </c>
      <c r="N4966" t="n">
        <v>0</v>
      </c>
      <c r="O4966" t="n">
        <v>0</v>
      </c>
      <c r="P4966" t="n">
        <v>0</v>
      </c>
      <c r="Q4966" t="n">
        <v>0</v>
      </c>
      <c r="R4966" s="2" t="inlineStr"/>
    </row>
    <row r="4967" ht="15" customHeight="1">
      <c r="A4967" t="inlineStr">
        <is>
          <t>A 41301-2021</t>
        </is>
      </c>
      <c r="B4967" s="1" t="n">
        <v>44424</v>
      </c>
      <c r="C4967" s="1" t="n">
        <v>45810</v>
      </c>
      <c r="D4967" t="inlineStr">
        <is>
          <t>VÄRMLANDS LÄN</t>
        </is>
      </c>
      <c r="E4967" t="inlineStr">
        <is>
          <t>GRUMS</t>
        </is>
      </c>
      <c r="G4967" t="n">
        <v>2.2</v>
      </c>
      <c r="H4967" t="n">
        <v>0</v>
      </c>
      <c r="I4967" t="n">
        <v>0</v>
      </c>
      <c r="J4967" t="n">
        <v>0</v>
      </c>
      <c r="K4967" t="n">
        <v>0</v>
      </c>
      <c r="L4967" t="n">
        <v>0</v>
      </c>
      <c r="M4967" t="n">
        <v>0</v>
      </c>
      <c r="N4967" t="n">
        <v>0</v>
      </c>
      <c r="O4967" t="n">
        <v>0</v>
      </c>
      <c r="P4967" t="n">
        <v>0</v>
      </c>
      <c r="Q4967" t="n">
        <v>0</v>
      </c>
      <c r="R4967" s="2" t="inlineStr"/>
    </row>
    <row r="4968" ht="15" customHeight="1">
      <c r="A4968" t="inlineStr">
        <is>
          <t>A 41311-2021</t>
        </is>
      </c>
      <c r="B4968" s="1" t="n">
        <v>44424</v>
      </c>
      <c r="C4968" s="1" t="n">
        <v>45810</v>
      </c>
      <c r="D4968" t="inlineStr">
        <is>
          <t>VÄRMLANDS LÄN</t>
        </is>
      </c>
      <c r="E4968" t="inlineStr">
        <is>
          <t>ARVIKA</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41317-2021</t>
        </is>
      </c>
      <c r="B4969" s="1" t="n">
        <v>44424</v>
      </c>
      <c r="C4969" s="1" t="n">
        <v>45810</v>
      </c>
      <c r="D4969" t="inlineStr">
        <is>
          <t>VÄRMLANDS LÄN</t>
        </is>
      </c>
      <c r="E4969" t="inlineStr">
        <is>
          <t>ARVIKA</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41323-2021</t>
        </is>
      </c>
      <c r="B4970" s="1" t="n">
        <v>44424</v>
      </c>
      <c r="C4970" s="1" t="n">
        <v>45810</v>
      </c>
      <c r="D4970" t="inlineStr">
        <is>
          <t>VÄRMLANDS LÄN</t>
        </is>
      </c>
      <c r="E4970" t="inlineStr">
        <is>
          <t>GRUMS</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41329-2021</t>
        </is>
      </c>
      <c r="B4971" s="1" t="n">
        <v>44424</v>
      </c>
      <c r="C4971" s="1" t="n">
        <v>45810</v>
      </c>
      <c r="D4971" t="inlineStr">
        <is>
          <t>VÄRMLANDS LÄN</t>
        </is>
      </c>
      <c r="E4971" t="inlineStr">
        <is>
          <t>ARVIKA</t>
        </is>
      </c>
      <c r="G4971" t="n">
        <v>8.6</v>
      </c>
      <c r="H4971" t="n">
        <v>0</v>
      </c>
      <c r="I4971" t="n">
        <v>0</v>
      </c>
      <c r="J4971" t="n">
        <v>0</v>
      </c>
      <c r="K4971" t="n">
        <v>0</v>
      </c>
      <c r="L4971" t="n">
        <v>0</v>
      </c>
      <c r="M4971" t="n">
        <v>0</v>
      </c>
      <c r="N4971" t="n">
        <v>0</v>
      </c>
      <c r="O4971" t="n">
        <v>0</v>
      </c>
      <c r="P4971" t="n">
        <v>0</v>
      </c>
      <c r="Q4971" t="n">
        <v>0</v>
      </c>
      <c r="R4971" s="2" t="inlineStr"/>
    </row>
    <row r="4972" ht="15" customHeight="1">
      <c r="A4972" t="inlineStr">
        <is>
          <t>A 41297-2021</t>
        </is>
      </c>
      <c r="B4972" s="1" t="n">
        <v>44424</v>
      </c>
      <c r="C4972" s="1" t="n">
        <v>45810</v>
      </c>
      <c r="D4972" t="inlineStr">
        <is>
          <t>VÄRMLANDS LÄN</t>
        </is>
      </c>
      <c r="E4972" t="inlineStr">
        <is>
          <t>KRISTINEHAMN</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41382-2021</t>
        </is>
      </c>
      <c r="B4973" s="1" t="n">
        <v>44424</v>
      </c>
      <c r="C4973" s="1" t="n">
        <v>45810</v>
      </c>
      <c r="D4973" t="inlineStr">
        <is>
          <t>VÄRMLANDS LÄN</t>
        </is>
      </c>
      <c r="E4973" t="inlineStr">
        <is>
          <t>SUNNE</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41368-2021</t>
        </is>
      </c>
      <c r="B4974" s="1" t="n">
        <v>44424</v>
      </c>
      <c r="C4974" s="1" t="n">
        <v>45810</v>
      </c>
      <c r="D4974" t="inlineStr">
        <is>
          <t>VÄRMLANDS LÄN</t>
        </is>
      </c>
      <c r="E4974" t="inlineStr">
        <is>
          <t>HAGFORS</t>
        </is>
      </c>
      <c r="F4974" t="inlineStr">
        <is>
          <t>Bergvik skog väst AB</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41377-2021</t>
        </is>
      </c>
      <c r="B4975" s="1" t="n">
        <v>44424</v>
      </c>
      <c r="C4975" s="1" t="n">
        <v>45810</v>
      </c>
      <c r="D4975" t="inlineStr">
        <is>
          <t>VÄRMLANDS LÄN</t>
        </is>
      </c>
      <c r="E4975" t="inlineStr">
        <is>
          <t>TORSBY</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41450-2021</t>
        </is>
      </c>
      <c r="B4976" s="1" t="n">
        <v>44424</v>
      </c>
      <c r="C4976" s="1" t="n">
        <v>45810</v>
      </c>
      <c r="D4976" t="inlineStr">
        <is>
          <t>VÄRMLANDS LÄN</t>
        </is>
      </c>
      <c r="E4976" t="inlineStr">
        <is>
          <t>ARVIKA</t>
        </is>
      </c>
      <c r="G4976" t="n">
        <v>2.9</v>
      </c>
      <c r="H4976" t="n">
        <v>0</v>
      </c>
      <c r="I4976" t="n">
        <v>0</v>
      </c>
      <c r="J4976" t="n">
        <v>0</v>
      </c>
      <c r="K4976" t="n">
        <v>0</v>
      </c>
      <c r="L4976" t="n">
        <v>0</v>
      </c>
      <c r="M4976" t="n">
        <v>0</v>
      </c>
      <c r="N4976" t="n">
        <v>0</v>
      </c>
      <c r="O4976" t="n">
        <v>0</v>
      </c>
      <c r="P4976" t="n">
        <v>0</v>
      </c>
      <c r="Q4976" t="n">
        <v>0</v>
      </c>
      <c r="R4976" s="2" t="inlineStr"/>
    </row>
    <row r="4977" ht="15" customHeight="1">
      <c r="A4977" t="inlineStr">
        <is>
          <t>A 41551-2021</t>
        </is>
      </c>
      <c r="B4977" s="1" t="n">
        <v>44424</v>
      </c>
      <c r="C4977" s="1" t="n">
        <v>45810</v>
      </c>
      <c r="D4977" t="inlineStr">
        <is>
          <t>VÄRMLANDS LÄN</t>
        </is>
      </c>
      <c r="E4977" t="inlineStr">
        <is>
          <t>ARVIKA</t>
        </is>
      </c>
      <c r="G4977" t="n">
        <v>4.5</v>
      </c>
      <c r="H4977" t="n">
        <v>0</v>
      </c>
      <c r="I4977" t="n">
        <v>0</v>
      </c>
      <c r="J4977" t="n">
        <v>0</v>
      </c>
      <c r="K4977" t="n">
        <v>0</v>
      </c>
      <c r="L4977" t="n">
        <v>0</v>
      </c>
      <c r="M4977" t="n">
        <v>0</v>
      </c>
      <c r="N4977" t="n">
        <v>0</v>
      </c>
      <c r="O4977" t="n">
        <v>0</v>
      </c>
      <c r="P4977" t="n">
        <v>0</v>
      </c>
      <c r="Q4977" t="n">
        <v>0</v>
      </c>
      <c r="R4977" s="2" t="inlineStr"/>
    </row>
    <row r="4978" ht="15" customHeight="1">
      <c r="A4978" t="inlineStr">
        <is>
          <t>A 41511-2021</t>
        </is>
      </c>
      <c r="B4978" s="1" t="n">
        <v>44424</v>
      </c>
      <c r="C4978" s="1" t="n">
        <v>45810</v>
      </c>
      <c r="D4978" t="inlineStr">
        <is>
          <t>VÄRMLANDS LÄN</t>
        </is>
      </c>
      <c r="E4978" t="inlineStr">
        <is>
          <t>SÄFFLE</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41512-2021</t>
        </is>
      </c>
      <c r="B4979" s="1" t="n">
        <v>44424</v>
      </c>
      <c r="C4979" s="1" t="n">
        <v>45810</v>
      </c>
      <c r="D4979" t="inlineStr">
        <is>
          <t>VÄRMLANDS LÄN</t>
        </is>
      </c>
      <c r="E4979" t="inlineStr">
        <is>
          <t>SÄFFLE</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41416-2021</t>
        </is>
      </c>
      <c r="B4980" s="1" t="n">
        <v>44424</v>
      </c>
      <c r="C4980" s="1" t="n">
        <v>45810</v>
      </c>
      <c r="D4980" t="inlineStr">
        <is>
          <t>VÄRMLANDS LÄN</t>
        </is>
      </c>
      <c r="E4980" t="inlineStr">
        <is>
          <t>ÅRJÄNG</t>
        </is>
      </c>
      <c r="G4980" t="n">
        <v>10.4</v>
      </c>
      <c r="H4980" t="n">
        <v>0</v>
      </c>
      <c r="I4980" t="n">
        <v>0</v>
      </c>
      <c r="J4980" t="n">
        <v>0</v>
      </c>
      <c r="K4980" t="n">
        <v>0</v>
      </c>
      <c r="L4980" t="n">
        <v>0</v>
      </c>
      <c r="M4980" t="n">
        <v>0</v>
      </c>
      <c r="N4980" t="n">
        <v>0</v>
      </c>
      <c r="O4980" t="n">
        <v>0</v>
      </c>
      <c r="P4980" t="n">
        <v>0</v>
      </c>
      <c r="Q4980" t="n">
        <v>0</v>
      </c>
      <c r="R4980" s="2" t="inlineStr"/>
    </row>
    <row r="4981" ht="15" customHeight="1">
      <c r="A4981" t="inlineStr">
        <is>
          <t>A 41525-2021</t>
        </is>
      </c>
      <c r="B4981" s="1" t="n">
        <v>44425</v>
      </c>
      <c r="C4981" s="1" t="n">
        <v>45810</v>
      </c>
      <c r="D4981" t="inlineStr">
        <is>
          <t>VÄRMLANDS LÄN</t>
        </is>
      </c>
      <c r="E4981" t="inlineStr">
        <is>
          <t>SUNNE</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41661-2021</t>
        </is>
      </c>
      <c r="B4982" s="1" t="n">
        <v>44425</v>
      </c>
      <c r="C4982" s="1" t="n">
        <v>45810</v>
      </c>
      <c r="D4982" t="inlineStr">
        <is>
          <t>VÄRMLANDS LÄN</t>
        </is>
      </c>
      <c r="E4982" t="inlineStr">
        <is>
          <t>ARVIKA</t>
        </is>
      </c>
      <c r="G4982" t="n">
        <v>3.2</v>
      </c>
      <c r="H4982" t="n">
        <v>0</v>
      </c>
      <c r="I4982" t="n">
        <v>0</v>
      </c>
      <c r="J4982" t="n">
        <v>0</v>
      </c>
      <c r="K4982" t="n">
        <v>0</v>
      </c>
      <c r="L4982" t="n">
        <v>0</v>
      </c>
      <c r="M4982" t="n">
        <v>0</v>
      </c>
      <c r="N4982" t="n">
        <v>0</v>
      </c>
      <c r="O4982" t="n">
        <v>0</v>
      </c>
      <c r="P4982" t="n">
        <v>0</v>
      </c>
      <c r="Q4982" t="n">
        <v>0</v>
      </c>
      <c r="R4982" s="2" t="inlineStr"/>
    </row>
    <row r="4983" ht="15" customHeight="1">
      <c r="A4983" t="inlineStr">
        <is>
          <t>A 41519-2021</t>
        </is>
      </c>
      <c r="B4983" s="1" t="n">
        <v>44425</v>
      </c>
      <c r="C4983" s="1" t="n">
        <v>45810</v>
      </c>
      <c r="D4983" t="inlineStr">
        <is>
          <t>VÄRMLANDS LÄN</t>
        </is>
      </c>
      <c r="E4983" t="inlineStr">
        <is>
          <t>KARLSTAD</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41530-2021</t>
        </is>
      </c>
      <c r="B4984" s="1" t="n">
        <v>44425</v>
      </c>
      <c r="C4984" s="1" t="n">
        <v>45810</v>
      </c>
      <c r="D4984" t="inlineStr">
        <is>
          <t>VÄRMLANDS LÄN</t>
        </is>
      </c>
      <c r="E4984" t="inlineStr">
        <is>
          <t>STORFORS</t>
        </is>
      </c>
      <c r="F4984" t="inlineStr">
        <is>
          <t>Kyrkan</t>
        </is>
      </c>
      <c r="G4984" t="n">
        <v>2.4</v>
      </c>
      <c r="H4984" t="n">
        <v>0</v>
      </c>
      <c r="I4984" t="n">
        <v>0</v>
      </c>
      <c r="J4984" t="n">
        <v>0</v>
      </c>
      <c r="K4984" t="n">
        <v>0</v>
      </c>
      <c r="L4984" t="n">
        <v>0</v>
      </c>
      <c r="M4984" t="n">
        <v>0</v>
      </c>
      <c r="N4984" t="n">
        <v>0</v>
      </c>
      <c r="O4984" t="n">
        <v>0</v>
      </c>
      <c r="P4984" t="n">
        <v>0</v>
      </c>
      <c r="Q4984" t="n">
        <v>0</v>
      </c>
      <c r="R4984" s="2" t="inlineStr"/>
    </row>
    <row r="4985" ht="15" customHeight="1">
      <c r="A4985" t="inlineStr">
        <is>
          <t>A 41633-2021</t>
        </is>
      </c>
      <c r="B4985" s="1" t="n">
        <v>44425</v>
      </c>
      <c r="C4985" s="1" t="n">
        <v>45810</v>
      </c>
      <c r="D4985" t="inlineStr">
        <is>
          <t>VÄRMLANDS LÄN</t>
        </is>
      </c>
      <c r="E4985" t="inlineStr">
        <is>
          <t>TORSBY</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41671-2021</t>
        </is>
      </c>
      <c r="B4986" s="1" t="n">
        <v>44425</v>
      </c>
      <c r="C4986" s="1" t="n">
        <v>45810</v>
      </c>
      <c r="D4986" t="inlineStr">
        <is>
          <t>VÄRMLANDS LÄN</t>
        </is>
      </c>
      <c r="E4986" t="inlineStr">
        <is>
          <t>TORSBY</t>
        </is>
      </c>
      <c r="F4986" t="inlineStr">
        <is>
          <t>Övriga Aktiebolag</t>
        </is>
      </c>
      <c r="G4986" t="n">
        <v>10.1</v>
      </c>
      <c r="H4986" t="n">
        <v>0</v>
      </c>
      <c r="I4986" t="n">
        <v>0</v>
      </c>
      <c r="J4986" t="n">
        <v>0</v>
      </c>
      <c r="K4986" t="n">
        <v>0</v>
      </c>
      <c r="L4986" t="n">
        <v>0</v>
      </c>
      <c r="M4986" t="n">
        <v>0</v>
      </c>
      <c r="N4986" t="n">
        <v>0</v>
      </c>
      <c r="O4986" t="n">
        <v>0</v>
      </c>
      <c r="P4986" t="n">
        <v>0</v>
      </c>
      <c r="Q4986" t="n">
        <v>0</v>
      </c>
      <c r="R4986" s="2" t="inlineStr"/>
    </row>
    <row r="4987" ht="15" customHeight="1">
      <c r="A4987" t="inlineStr">
        <is>
          <t>A 41739-2021</t>
        </is>
      </c>
      <c r="B4987" s="1" t="n">
        <v>44425</v>
      </c>
      <c r="C4987" s="1" t="n">
        <v>45810</v>
      </c>
      <c r="D4987" t="inlineStr">
        <is>
          <t>VÄRMLANDS LÄN</t>
        </is>
      </c>
      <c r="E4987" t="inlineStr">
        <is>
          <t>SUNNE</t>
        </is>
      </c>
      <c r="G4987" t="n">
        <v>2.8</v>
      </c>
      <c r="H4987" t="n">
        <v>0</v>
      </c>
      <c r="I4987" t="n">
        <v>0</v>
      </c>
      <c r="J4987" t="n">
        <v>0</v>
      </c>
      <c r="K4987" t="n">
        <v>0</v>
      </c>
      <c r="L4987" t="n">
        <v>0</v>
      </c>
      <c r="M4987" t="n">
        <v>0</v>
      </c>
      <c r="N4987" t="n">
        <v>0</v>
      </c>
      <c r="O4987" t="n">
        <v>0</v>
      </c>
      <c r="P4987" t="n">
        <v>0</v>
      </c>
      <c r="Q4987" t="n">
        <v>0</v>
      </c>
      <c r="R4987" s="2" t="inlineStr"/>
    </row>
    <row r="4988" ht="15" customHeight="1">
      <c r="A4988" t="inlineStr">
        <is>
          <t>A 41647-2021</t>
        </is>
      </c>
      <c r="B4988" s="1" t="n">
        <v>44425</v>
      </c>
      <c r="C4988" s="1" t="n">
        <v>45810</v>
      </c>
      <c r="D4988" t="inlineStr">
        <is>
          <t>VÄRMLANDS LÄN</t>
        </is>
      </c>
      <c r="E4988" t="inlineStr">
        <is>
          <t>SÄFFLE</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41678-2021</t>
        </is>
      </c>
      <c r="B4989" s="1" t="n">
        <v>44425</v>
      </c>
      <c r="C4989" s="1" t="n">
        <v>45810</v>
      </c>
      <c r="D4989" t="inlineStr">
        <is>
          <t>VÄRMLANDS LÄN</t>
        </is>
      </c>
      <c r="E4989" t="inlineStr">
        <is>
          <t>TORSBY</t>
        </is>
      </c>
      <c r="G4989" t="n">
        <v>4.3</v>
      </c>
      <c r="H4989" t="n">
        <v>0</v>
      </c>
      <c r="I4989" t="n">
        <v>0</v>
      </c>
      <c r="J4989" t="n">
        <v>0</v>
      </c>
      <c r="K4989" t="n">
        <v>0</v>
      </c>
      <c r="L4989" t="n">
        <v>0</v>
      </c>
      <c r="M4989" t="n">
        <v>0</v>
      </c>
      <c r="N4989" t="n">
        <v>0</v>
      </c>
      <c r="O4989" t="n">
        <v>0</v>
      </c>
      <c r="P4989" t="n">
        <v>0</v>
      </c>
      <c r="Q4989" t="n">
        <v>0</v>
      </c>
      <c r="R4989" s="2" t="inlineStr"/>
    </row>
    <row r="4990" ht="15" customHeight="1">
      <c r="A4990" t="inlineStr">
        <is>
          <t>A 41808-2021</t>
        </is>
      </c>
      <c r="B4990" s="1" t="n">
        <v>44425</v>
      </c>
      <c r="C4990" s="1" t="n">
        <v>45810</v>
      </c>
      <c r="D4990" t="inlineStr">
        <is>
          <t>VÄRMLANDS LÄN</t>
        </is>
      </c>
      <c r="E4990" t="inlineStr">
        <is>
          <t>TORSBY</t>
        </is>
      </c>
      <c r="G4990" t="n">
        <v>2.7</v>
      </c>
      <c r="H4990" t="n">
        <v>0</v>
      </c>
      <c r="I4990" t="n">
        <v>0</v>
      </c>
      <c r="J4990" t="n">
        <v>0</v>
      </c>
      <c r="K4990" t="n">
        <v>0</v>
      </c>
      <c r="L4990" t="n">
        <v>0</v>
      </c>
      <c r="M4990" t="n">
        <v>0</v>
      </c>
      <c r="N4990" t="n">
        <v>0</v>
      </c>
      <c r="O4990" t="n">
        <v>0</v>
      </c>
      <c r="P4990" t="n">
        <v>0</v>
      </c>
      <c r="Q4990" t="n">
        <v>0</v>
      </c>
      <c r="R4990" s="2" t="inlineStr"/>
    </row>
    <row r="4991" ht="15" customHeight="1">
      <c r="A4991" t="inlineStr">
        <is>
          <t>A 41686-2021</t>
        </is>
      </c>
      <c r="B4991" s="1" t="n">
        <v>44425</v>
      </c>
      <c r="C4991" s="1" t="n">
        <v>45810</v>
      </c>
      <c r="D4991" t="inlineStr">
        <is>
          <t>VÄRMLANDS LÄN</t>
        </is>
      </c>
      <c r="E4991" t="inlineStr">
        <is>
          <t>ARVIKA</t>
        </is>
      </c>
      <c r="G4991" t="n">
        <v>4.4</v>
      </c>
      <c r="H4991" t="n">
        <v>0</v>
      </c>
      <c r="I4991" t="n">
        <v>0</v>
      </c>
      <c r="J4991" t="n">
        <v>0</v>
      </c>
      <c r="K4991" t="n">
        <v>0</v>
      </c>
      <c r="L4991" t="n">
        <v>0</v>
      </c>
      <c r="M4991" t="n">
        <v>0</v>
      </c>
      <c r="N4991" t="n">
        <v>0</v>
      </c>
      <c r="O4991" t="n">
        <v>0</v>
      </c>
      <c r="P4991" t="n">
        <v>0</v>
      </c>
      <c r="Q4991" t="n">
        <v>0</v>
      </c>
      <c r="R4991" s="2" t="inlineStr"/>
      <c r="U4991">
        <f>HYPERLINK("https://klasma.github.io/Logging_1784/knärot/A 41686-2021 karta knärot.png", "A 41686-2021")</f>
        <v/>
      </c>
      <c r="V4991">
        <f>HYPERLINK("https://klasma.github.io/Logging_1784/klagomål/A 41686-2021 FSC-klagomål.docx", "A 41686-2021")</f>
        <v/>
      </c>
      <c r="W4991">
        <f>HYPERLINK("https://klasma.github.io/Logging_1784/klagomålsmail/A 41686-2021 FSC-klagomål mail.docx", "A 41686-2021")</f>
        <v/>
      </c>
      <c r="X4991">
        <f>HYPERLINK("https://klasma.github.io/Logging_1784/tillsyn/A 41686-2021 tillsynsbegäran.docx", "A 41686-2021")</f>
        <v/>
      </c>
      <c r="Y4991">
        <f>HYPERLINK("https://klasma.github.io/Logging_1784/tillsynsmail/A 41686-2021 tillsynsbegäran mail.docx", "A 41686-2021")</f>
        <v/>
      </c>
    </row>
    <row r="4992" ht="15" customHeight="1">
      <c r="A4992" t="inlineStr">
        <is>
          <t>A 41776-2021</t>
        </is>
      </c>
      <c r="B4992" s="1" t="n">
        <v>44425</v>
      </c>
      <c r="C4992" s="1" t="n">
        <v>45810</v>
      </c>
      <c r="D4992" t="inlineStr">
        <is>
          <t>VÄRMLANDS LÄN</t>
        </is>
      </c>
      <c r="E4992" t="inlineStr">
        <is>
          <t>HAGFORS</t>
        </is>
      </c>
      <c r="F4992" t="inlineStr">
        <is>
          <t>Bergvik skog väst AB</t>
        </is>
      </c>
      <c r="G4992" t="n">
        <v>3.7</v>
      </c>
      <c r="H4992" t="n">
        <v>0</v>
      </c>
      <c r="I4992" t="n">
        <v>0</v>
      </c>
      <c r="J4992" t="n">
        <v>0</v>
      </c>
      <c r="K4992" t="n">
        <v>0</v>
      </c>
      <c r="L4992" t="n">
        <v>0</v>
      </c>
      <c r="M4992" t="n">
        <v>0</v>
      </c>
      <c r="N4992" t="n">
        <v>0</v>
      </c>
      <c r="O4992" t="n">
        <v>0</v>
      </c>
      <c r="P4992" t="n">
        <v>0</v>
      </c>
      <c r="Q4992" t="n">
        <v>0</v>
      </c>
      <c r="R4992" s="2" t="inlineStr"/>
    </row>
    <row r="4993" ht="15" customHeight="1">
      <c r="A4993" t="inlineStr">
        <is>
          <t>A 41810-2021</t>
        </is>
      </c>
      <c r="B4993" s="1" t="n">
        <v>44425</v>
      </c>
      <c r="C4993" s="1" t="n">
        <v>45810</v>
      </c>
      <c r="D4993" t="inlineStr">
        <is>
          <t>VÄRMLANDS LÄN</t>
        </is>
      </c>
      <c r="E4993" t="inlineStr">
        <is>
          <t>GRUMS</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41846-2021</t>
        </is>
      </c>
      <c r="B4994" s="1" t="n">
        <v>44425</v>
      </c>
      <c r="C4994" s="1" t="n">
        <v>45810</v>
      </c>
      <c r="D4994" t="inlineStr">
        <is>
          <t>VÄRMLANDS LÄN</t>
        </is>
      </c>
      <c r="E4994" t="inlineStr">
        <is>
          <t>FORSHAGA</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41974-2021</t>
        </is>
      </c>
      <c r="B4995" s="1" t="n">
        <v>44426</v>
      </c>
      <c r="C4995" s="1" t="n">
        <v>45810</v>
      </c>
      <c r="D4995" t="inlineStr">
        <is>
          <t>VÄRMLANDS LÄN</t>
        </is>
      </c>
      <c r="E4995" t="inlineStr">
        <is>
          <t>SUNNE</t>
        </is>
      </c>
      <c r="G4995" t="n">
        <v>4.7</v>
      </c>
      <c r="H4995" t="n">
        <v>0</v>
      </c>
      <c r="I4995" t="n">
        <v>0</v>
      </c>
      <c r="J4995" t="n">
        <v>0</v>
      </c>
      <c r="K4995" t="n">
        <v>0</v>
      </c>
      <c r="L4995" t="n">
        <v>0</v>
      </c>
      <c r="M4995" t="n">
        <v>0</v>
      </c>
      <c r="N4995" t="n">
        <v>0</v>
      </c>
      <c r="O4995" t="n">
        <v>0</v>
      </c>
      <c r="P4995" t="n">
        <v>0</v>
      </c>
      <c r="Q4995" t="n">
        <v>0</v>
      </c>
      <c r="R4995" s="2" t="inlineStr"/>
    </row>
    <row r="4996" ht="15" customHeight="1">
      <c r="A4996" t="inlineStr">
        <is>
          <t>A 41999-2021</t>
        </is>
      </c>
      <c r="B4996" s="1" t="n">
        <v>44426</v>
      </c>
      <c r="C4996" s="1" t="n">
        <v>45810</v>
      </c>
      <c r="D4996" t="inlineStr">
        <is>
          <t>VÄRMLANDS LÄN</t>
        </is>
      </c>
      <c r="E4996" t="inlineStr">
        <is>
          <t>HAGFORS</t>
        </is>
      </c>
      <c r="F4996" t="inlineStr">
        <is>
          <t>Bergvik skog väst AB</t>
        </is>
      </c>
      <c r="G4996" t="n">
        <v>42.4</v>
      </c>
      <c r="H4996" t="n">
        <v>0</v>
      </c>
      <c r="I4996" t="n">
        <v>0</v>
      </c>
      <c r="J4996" t="n">
        <v>0</v>
      </c>
      <c r="K4996" t="n">
        <v>0</v>
      </c>
      <c r="L4996" t="n">
        <v>0</v>
      </c>
      <c r="M4996" t="n">
        <v>0</v>
      </c>
      <c r="N4996" t="n">
        <v>0</v>
      </c>
      <c r="O4996" t="n">
        <v>0</v>
      </c>
      <c r="P4996" t="n">
        <v>0</v>
      </c>
      <c r="Q4996" t="n">
        <v>0</v>
      </c>
      <c r="R4996" s="2" t="inlineStr"/>
    </row>
    <row r="4997" ht="15" customHeight="1">
      <c r="A4997" t="inlineStr">
        <is>
          <t>A 41860-2021</t>
        </is>
      </c>
      <c r="B4997" s="1" t="n">
        <v>44426</v>
      </c>
      <c r="C4997" s="1" t="n">
        <v>45810</v>
      </c>
      <c r="D4997" t="inlineStr">
        <is>
          <t>VÄRMLANDS LÄN</t>
        </is>
      </c>
      <c r="E4997" t="inlineStr">
        <is>
          <t>ARVIKA</t>
        </is>
      </c>
      <c r="F4997" t="inlineStr">
        <is>
          <t>Bergvik skog väst AB</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41870-2021</t>
        </is>
      </c>
      <c r="B4998" s="1" t="n">
        <v>44426</v>
      </c>
      <c r="C4998" s="1" t="n">
        <v>45810</v>
      </c>
      <c r="D4998" t="inlineStr">
        <is>
          <t>VÄRMLANDS LÄN</t>
        </is>
      </c>
      <c r="E4998" t="inlineStr">
        <is>
          <t>ARVIKA</t>
        </is>
      </c>
      <c r="F4998" t="inlineStr">
        <is>
          <t>Bergvik skog väst AB</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41915-2021</t>
        </is>
      </c>
      <c r="B4999" s="1" t="n">
        <v>44426</v>
      </c>
      <c r="C4999" s="1" t="n">
        <v>45810</v>
      </c>
      <c r="D4999" t="inlineStr">
        <is>
          <t>VÄRMLANDS LÄN</t>
        </is>
      </c>
      <c r="E4999" t="inlineStr">
        <is>
          <t>SUNNE</t>
        </is>
      </c>
      <c r="G4999" t="n">
        <v>5.2</v>
      </c>
      <c r="H4999" t="n">
        <v>0</v>
      </c>
      <c r="I4999" t="n">
        <v>0</v>
      </c>
      <c r="J4999" t="n">
        <v>0</v>
      </c>
      <c r="K4999" t="n">
        <v>0</v>
      </c>
      <c r="L4999" t="n">
        <v>0</v>
      </c>
      <c r="M4999" t="n">
        <v>0</v>
      </c>
      <c r="N4999" t="n">
        <v>0</v>
      </c>
      <c r="O4999" t="n">
        <v>0</v>
      </c>
      <c r="P4999" t="n">
        <v>0</v>
      </c>
      <c r="Q4999" t="n">
        <v>0</v>
      </c>
      <c r="R4999" s="2" t="inlineStr"/>
    </row>
    <row r="5000" ht="15" customHeight="1">
      <c r="A5000" t="inlineStr">
        <is>
          <t>A 41982-2021</t>
        </is>
      </c>
      <c r="B5000" s="1" t="n">
        <v>44426</v>
      </c>
      <c r="C5000" s="1" t="n">
        <v>45810</v>
      </c>
      <c r="D5000" t="inlineStr">
        <is>
          <t>VÄRMLANDS LÄN</t>
        </is>
      </c>
      <c r="E5000" t="inlineStr">
        <is>
          <t>SUNNE</t>
        </is>
      </c>
      <c r="G5000" t="n">
        <v>0.3</v>
      </c>
      <c r="H5000" t="n">
        <v>0</v>
      </c>
      <c r="I5000" t="n">
        <v>0</v>
      </c>
      <c r="J5000" t="n">
        <v>0</v>
      </c>
      <c r="K5000" t="n">
        <v>0</v>
      </c>
      <c r="L5000" t="n">
        <v>0</v>
      </c>
      <c r="M5000" t="n">
        <v>0</v>
      </c>
      <c r="N5000" t="n">
        <v>0</v>
      </c>
      <c r="O5000" t="n">
        <v>0</v>
      </c>
      <c r="P5000" t="n">
        <v>0</v>
      </c>
      <c r="Q5000" t="n">
        <v>0</v>
      </c>
      <c r="R5000" s="2" t="inlineStr"/>
    </row>
    <row r="5001" ht="15" customHeight="1">
      <c r="A5001" t="inlineStr">
        <is>
          <t>A 42070-2021</t>
        </is>
      </c>
      <c r="B5001" s="1" t="n">
        <v>44426</v>
      </c>
      <c r="C5001" s="1" t="n">
        <v>45810</v>
      </c>
      <c r="D5001" t="inlineStr">
        <is>
          <t>VÄRMLANDS LÄN</t>
        </is>
      </c>
      <c r="E5001" t="inlineStr">
        <is>
          <t>ARVIKA</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41853-2021</t>
        </is>
      </c>
      <c r="B5002" s="1" t="n">
        <v>44426</v>
      </c>
      <c r="C5002" s="1" t="n">
        <v>45810</v>
      </c>
      <c r="D5002" t="inlineStr">
        <is>
          <t>VÄRMLANDS LÄN</t>
        </is>
      </c>
      <c r="E5002" t="inlineStr">
        <is>
          <t>STORFORS</t>
        </is>
      </c>
      <c r="G5002" t="n">
        <v>3.2</v>
      </c>
      <c r="H5002" t="n">
        <v>0</v>
      </c>
      <c r="I5002" t="n">
        <v>0</v>
      </c>
      <c r="J5002" t="n">
        <v>0</v>
      </c>
      <c r="K5002" t="n">
        <v>0</v>
      </c>
      <c r="L5002" t="n">
        <v>0</v>
      </c>
      <c r="M5002" t="n">
        <v>0</v>
      </c>
      <c r="N5002" t="n">
        <v>0</v>
      </c>
      <c r="O5002" t="n">
        <v>0</v>
      </c>
      <c r="P5002" t="n">
        <v>0</v>
      </c>
      <c r="Q5002" t="n">
        <v>0</v>
      </c>
      <c r="R5002" s="2" t="inlineStr"/>
    </row>
    <row r="5003" ht="15" customHeight="1">
      <c r="A5003" t="inlineStr">
        <is>
          <t>A 41866-2021</t>
        </is>
      </c>
      <c r="B5003" s="1" t="n">
        <v>44426</v>
      </c>
      <c r="C5003" s="1" t="n">
        <v>45810</v>
      </c>
      <c r="D5003" t="inlineStr">
        <is>
          <t>VÄRMLANDS LÄN</t>
        </is>
      </c>
      <c r="E5003" t="inlineStr">
        <is>
          <t>ARVIKA</t>
        </is>
      </c>
      <c r="F5003" t="inlineStr">
        <is>
          <t>Bergvik skog väst AB</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41987-2021</t>
        </is>
      </c>
      <c r="B5004" s="1" t="n">
        <v>44426</v>
      </c>
      <c r="C5004" s="1" t="n">
        <v>45810</v>
      </c>
      <c r="D5004" t="inlineStr">
        <is>
          <t>VÄRMLANDS LÄN</t>
        </is>
      </c>
      <c r="E5004" t="inlineStr">
        <is>
          <t>SUNNE</t>
        </is>
      </c>
      <c r="G5004" t="n">
        <v>0.3</v>
      </c>
      <c r="H5004" t="n">
        <v>0</v>
      </c>
      <c r="I5004" t="n">
        <v>0</v>
      </c>
      <c r="J5004" t="n">
        <v>0</v>
      </c>
      <c r="K5004" t="n">
        <v>0</v>
      </c>
      <c r="L5004" t="n">
        <v>0</v>
      </c>
      <c r="M5004" t="n">
        <v>0</v>
      </c>
      <c r="N5004" t="n">
        <v>0</v>
      </c>
      <c r="O5004" t="n">
        <v>0</v>
      </c>
      <c r="P5004" t="n">
        <v>0</v>
      </c>
      <c r="Q5004" t="n">
        <v>0</v>
      </c>
      <c r="R5004" s="2" t="inlineStr"/>
    </row>
    <row r="5005" ht="15" customHeight="1">
      <c r="A5005" t="inlineStr">
        <is>
          <t>A 42025-2021</t>
        </is>
      </c>
      <c r="B5005" s="1" t="n">
        <v>44426</v>
      </c>
      <c r="C5005" s="1" t="n">
        <v>45810</v>
      </c>
      <c r="D5005" t="inlineStr">
        <is>
          <t>VÄRMLANDS LÄN</t>
        </is>
      </c>
      <c r="E5005" t="inlineStr">
        <is>
          <t>EDA</t>
        </is>
      </c>
      <c r="F5005" t="inlineStr">
        <is>
          <t>Övriga Aktiebolag</t>
        </is>
      </c>
      <c r="G5005" t="n">
        <v>4</v>
      </c>
      <c r="H5005" t="n">
        <v>0</v>
      </c>
      <c r="I5005" t="n">
        <v>0</v>
      </c>
      <c r="J5005" t="n">
        <v>0</v>
      </c>
      <c r="K5005" t="n">
        <v>0</v>
      </c>
      <c r="L5005" t="n">
        <v>0</v>
      </c>
      <c r="M5005" t="n">
        <v>0</v>
      </c>
      <c r="N5005" t="n">
        <v>0</v>
      </c>
      <c r="O5005" t="n">
        <v>0</v>
      </c>
      <c r="P5005" t="n">
        <v>0</v>
      </c>
      <c r="Q5005" t="n">
        <v>0</v>
      </c>
      <c r="R5005" s="2" t="inlineStr"/>
    </row>
    <row r="5006" ht="15" customHeight="1">
      <c r="A5006" t="inlineStr">
        <is>
          <t>A 42053-2021</t>
        </is>
      </c>
      <c r="B5006" s="1" t="n">
        <v>44426</v>
      </c>
      <c r="C5006" s="1" t="n">
        <v>45810</v>
      </c>
      <c r="D5006" t="inlineStr">
        <is>
          <t>VÄRMLANDS LÄN</t>
        </is>
      </c>
      <c r="E5006" t="inlineStr">
        <is>
          <t>KARLSTAD</t>
        </is>
      </c>
      <c r="G5006" t="n">
        <v>2.8</v>
      </c>
      <c r="H5006" t="n">
        <v>0</v>
      </c>
      <c r="I5006" t="n">
        <v>0</v>
      </c>
      <c r="J5006" t="n">
        <v>0</v>
      </c>
      <c r="K5006" t="n">
        <v>0</v>
      </c>
      <c r="L5006" t="n">
        <v>0</v>
      </c>
      <c r="M5006" t="n">
        <v>0</v>
      </c>
      <c r="N5006" t="n">
        <v>0</v>
      </c>
      <c r="O5006" t="n">
        <v>0</v>
      </c>
      <c r="P5006" t="n">
        <v>0</v>
      </c>
      <c r="Q5006" t="n">
        <v>0</v>
      </c>
      <c r="R5006" s="2" t="inlineStr"/>
    </row>
    <row r="5007" ht="15" customHeight="1">
      <c r="A5007" t="inlineStr">
        <is>
          <t>A 42060-2021</t>
        </is>
      </c>
      <c r="B5007" s="1" t="n">
        <v>44426</v>
      </c>
      <c r="C5007" s="1" t="n">
        <v>45810</v>
      </c>
      <c r="D5007" t="inlineStr">
        <is>
          <t>VÄRMLANDS LÄN</t>
        </is>
      </c>
      <c r="E5007" t="inlineStr">
        <is>
          <t>KARLSTAD</t>
        </is>
      </c>
      <c r="G5007" t="n">
        <v>2.4</v>
      </c>
      <c r="H5007" t="n">
        <v>0</v>
      </c>
      <c r="I5007" t="n">
        <v>0</v>
      </c>
      <c r="J5007" t="n">
        <v>0</v>
      </c>
      <c r="K5007" t="n">
        <v>0</v>
      </c>
      <c r="L5007" t="n">
        <v>0</v>
      </c>
      <c r="M5007" t="n">
        <v>0</v>
      </c>
      <c r="N5007" t="n">
        <v>0</v>
      </c>
      <c r="O5007" t="n">
        <v>0</v>
      </c>
      <c r="P5007" t="n">
        <v>0</v>
      </c>
      <c r="Q5007" t="n">
        <v>0</v>
      </c>
      <c r="R5007" s="2" t="inlineStr"/>
    </row>
    <row r="5008" ht="15" customHeight="1">
      <c r="A5008" t="inlineStr">
        <is>
          <t>A 42044-2021</t>
        </is>
      </c>
      <c r="B5008" s="1" t="n">
        <v>44426</v>
      </c>
      <c r="C5008" s="1" t="n">
        <v>45810</v>
      </c>
      <c r="D5008" t="inlineStr">
        <is>
          <t>VÄRMLANDS LÄN</t>
        </is>
      </c>
      <c r="E5008" t="inlineStr">
        <is>
          <t>ARVIKA</t>
        </is>
      </c>
      <c r="G5008" t="n">
        <v>2.8</v>
      </c>
      <c r="H5008" t="n">
        <v>0</v>
      </c>
      <c r="I5008" t="n">
        <v>0</v>
      </c>
      <c r="J5008" t="n">
        <v>0</v>
      </c>
      <c r="K5008" t="n">
        <v>0</v>
      </c>
      <c r="L5008" t="n">
        <v>0</v>
      </c>
      <c r="M5008" t="n">
        <v>0</v>
      </c>
      <c r="N5008" t="n">
        <v>0</v>
      </c>
      <c r="O5008" t="n">
        <v>0</v>
      </c>
      <c r="P5008" t="n">
        <v>0</v>
      </c>
      <c r="Q5008" t="n">
        <v>0</v>
      </c>
      <c r="R5008" s="2" t="inlineStr"/>
    </row>
    <row r="5009" ht="15" customHeight="1">
      <c r="A5009" t="inlineStr">
        <is>
          <t>A 41867-2021</t>
        </is>
      </c>
      <c r="B5009" s="1" t="n">
        <v>44426</v>
      </c>
      <c r="C5009" s="1" t="n">
        <v>45810</v>
      </c>
      <c r="D5009" t="inlineStr">
        <is>
          <t>VÄRMLANDS LÄN</t>
        </is>
      </c>
      <c r="E5009" t="inlineStr">
        <is>
          <t>STORFORS</t>
        </is>
      </c>
      <c r="G5009" t="n">
        <v>2.2</v>
      </c>
      <c r="H5009" t="n">
        <v>0</v>
      </c>
      <c r="I5009" t="n">
        <v>0</v>
      </c>
      <c r="J5009" t="n">
        <v>0</v>
      </c>
      <c r="K5009" t="n">
        <v>0</v>
      </c>
      <c r="L5009" t="n">
        <v>0</v>
      </c>
      <c r="M5009" t="n">
        <v>0</v>
      </c>
      <c r="N5009" t="n">
        <v>0</v>
      </c>
      <c r="O5009" t="n">
        <v>0</v>
      </c>
      <c r="P5009" t="n">
        <v>0</v>
      </c>
      <c r="Q5009" t="n">
        <v>0</v>
      </c>
      <c r="R5009" s="2" t="inlineStr"/>
    </row>
    <row r="5010" ht="15" customHeight="1">
      <c r="A5010" t="inlineStr">
        <is>
          <t>A 41944-2021</t>
        </is>
      </c>
      <c r="B5010" s="1" t="n">
        <v>44426</v>
      </c>
      <c r="C5010" s="1" t="n">
        <v>45810</v>
      </c>
      <c r="D5010" t="inlineStr">
        <is>
          <t>VÄRMLANDS LÄN</t>
        </is>
      </c>
      <c r="E5010" t="inlineStr">
        <is>
          <t>KARLSTAD</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42064-2021</t>
        </is>
      </c>
      <c r="B5011" s="1" t="n">
        <v>44426</v>
      </c>
      <c r="C5011" s="1" t="n">
        <v>45810</v>
      </c>
      <c r="D5011" t="inlineStr">
        <is>
          <t>VÄRMLANDS LÄN</t>
        </is>
      </c>
      <c r="E5011" t="inlineStr">
        <is>
          <t>ARVIKA</t>
        </is>
      </c>
      <c r="G5011" t="n">
        <v>6.6</v>
      </c>
      <c r="H5011" t="n">
        <v>0</v>
      </c>
      <c r="I5011" t="n">
        <v>0</v>
      </c>
      <c r="J5011" t="n">
        <v>0</v>
      </c>
      <c r="K5011" t="n">
        <v>0</v>
      </c>
      <c r="L5011" t="n">
        <v>0</v>
      </c>
      <c r="M5011" t="n">
        <v>0</v>
      </c>
      <c r="N5011" t="n">
        <v>0</v>
      </c>
      <c r="O5011" t="n">
        <v>0</v>
      </c>
      <c r="P5011" t="n">
        <v>0</v>
      </c>
      <c r="Q5011" t="n">
        <v>0</v>
      </c>
      <c r="R5011" s="2" t="inlineStr"/>
    </row>
    <row r="5012" ht="15" customHeight="1">
      <c r="A5012" t="inlineStr">
        <is>
          <t>A 42205-2021</t>
        </is>
      </c>
      <c r="B5012" s="1" t="n">
        <v>44426</v>
      </c>
      <c r="C5012" s="1" t="n">
        <v>45810</v>
      </c>
      <c r="D5012" t="inlineStr">
        <is>
          <t>VÄRMLANDS LÄN</t>
        </is>
      </c>
      <c r="E5012" t="inlineStr">
        <is>
          <t>EDA</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42163-2021</t>
        </is>
      </c>
      <c r="B5013" s="1" t="n">
        <v>44426</v>
      </c>
      <c r="C5013" s="1" t="n">
        <v>45810</v>
      </c>
      <c r="D5013" t="inlineStr">
        <is>
          <t>VÄRMLANDS LÄN</t>
        </is>
      </c>
      <c r="E5013" t="inlineStr">
        <is>
          <t>ARVIKA</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42160-2021</t>
        </is>
      </c>
      <c r="B5014" s="1" t="n">
        <v>44426</v>
      </c>
      <c r="C5014" s="1" t="n">
        <v>45810</v>
      </c>
      <c r="D5014" t="inlineStr">
        <is>
          <t>VÄRMLANDS LÄN</t>
        </is>
      </c>
      <c r="E5014" t="inlineStr">
        <is>
          <t>SUNNE</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42166-2021</t>
        </is>
      </c>
      <c r="B5015" s="1" t="n">
        <v>44426</v>
      </c>
      <c r="C5015" s="1" t="n">
        <v>45810</v>
      </c>
      <c r="D5015" t="inlineStr">
        <is>
          <t>VÄRMLANDS LÄN</t>
        </is>
      </c>
      <c r="E5015" t="inlineStr">
        <is>
          <t>SUNNE</t>
        </is>
      </c>
      <c r="G5015" t="n">
        <v>8.800000000000001</v>
      </c>
      <c r="H5015" t="n">
        <v>0</v>
      </c>
      <c r="I5015" t="n">
        <v>0</v>
      </c>
      <c r="J5015" t="n">
        <v>0</v>
      </c>
      <c r="K5015" t="n">
        <v>0</v>
      </c>
      <c r="L5015" t="n">
        <v>0</v>
      </c>
      <c r="M5015" t="n">
        <v>0</v>
      </c>
      <c r="N5015" t="n">
        <v>0</v>
      </c>
      <c r="O5015" t="n">
        <v>0</v>
      </c>
      <c r="P5015" t="n">
        <v>0</v>
      </c>
      <c r="Q5015" t="n">
        <v>0</v>
      </c>
      <c r="R5015" s="2" t="inlineStr"/>
    </row>
    <row r="5016" ht="15" customHeight="1">
      <c r="A5016" t="inlineStr">
        <is>
          <t>A 42197-2021</t>
        </is>
      </c>
      <c r="B5016" s="1" t="n">
        <v>44426</v>
      </c>
      <c r="C5016" s="1" t="n">
        <v>45810</v>
      </c>
      <c r="D5016" t="inlineStr">
        <is>
          <t>VÄRMLANDS LÄN</t>
        </is>
      </c>
      <c r="E5016" t="inlineStr">
        <is>
          <t>EDA</t>
        </is>
      </c>
      <c r="G5016" t="n">
        <v>6.2</v>
      </c>
      <c r="H5016" t="n">
        <v>0</v>
      </c>
      <c r="I5016" t="n">
        <v>0</v>
      </c>
      <c r="J5016" t="n">
        <v>0</v>
      </c>
      <c r="K5016" t="n">
        <v>0</v>
      </c>
      <c r="L5016" t="n">
        <v>0</v>
      </c>
      <c r="M5016" t="n">
        <v>0</v>
      </c>
      <c r="N5016" t="n">
        <v>0</v>
      </c>
      <c r="O5016" t="n">
        <v>0</v>
      </c>
      <c r="P5016" t="n">
        <v>0</v>
      </c>
      <c r="Q5016" t="n">
        <v>0</v>
      </c>
      <c r="R5016" s="2" t="inlineStr"/>
    </row>
    <row r="5017" ht="15" customHeight="1">
      <c r="A5017" t="inlineStr">
        <is>
          <t>A 42266-2021</t>
        </is>
      </c>
      <c r="B5017" s="1" t="n">
        <v>44426</v>
      </c>
      <c r="C5017" s="1" t="n">
        <v>45810</v>
      </c>
      <c r="D5017" t="inlineStr">
        <is>
          <t>VÄRMLANDS LÄN</t>
        </is>
      </c>
      <c r="E5017" t="inlineStr">
        <is>
          <t>SUNNE</t>
        </is>
      </c>
      <c r="G5017" t="n">
        <v>18.8</v>
      </c>
      <c r="H5017" t="n">
        <v>0</v>
      </c>
      <c r="I5017" t="n">
        <v>0</v>
      </c>
      <c r="J5017" t="n">
        <v>0</v>
      </c>
      <c r="K5017" t="n">
        <v>0</v>
      </c>
      <c r="L5017" t="n">
        <v>0</v>
      </c>
      <c r="M5017" t="n">
        <v>0</v>
      </c>
      <c r="N5017" t="n">
        <v>0</v>
      </c>
      <c r="O5017" t="n">
        <v>0</v>
      </c>
      <c r="P5017" t="n">
        <v>0</v>
      </c>
      <c r="Q5017" t="n">
        <v>0</v>
      </c>
      <c r="R5017" s="2" t="inlineStr"/>
    </row>
    <row r="5018" ht="15" customHeight="1">
      <c r="A5018" t="inlineStr">
        <is>
          <t>A 42079-2021</t>
        </is>
      </c>
      <c r="B5018" s="1" t="n">
        <v>44426</v>
      </c>
      <c r="C5018" s="1" t="n">
        <v>45810</v>
      </c>
      <c r="D5018" t="inlineStr">
        <is>
          <t>VÄRMLANDS LÄN</t>
        </is>
      </c>
      <c r="E5018" t="inlineStr">
        <is>
          <t>MUNKFORS</t>
        </is>
      </c>
      <c r="F5018" t="inlineStr">
        <is>
          <t>Kyrkan</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42091-2021</t>
        </is>
      </c>
      <c r="B5019" s="1" t="n">
        <v>44426</v>
      </c>
      <c r="C5019" s="1" t="n">
        <v>45810</v>
      </c>
      <c r="D5019" t="inlineStr">
        <is>
          <t>VÄRMLANDS LÄN</t>
        </is>
      </c>
      <c r="E5019" t="inlineStr">
        <is>
          <t>SUNNE</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42220-2021</t>
        </is>
      </c>
      <c r="B5020" s="1" t="n">
        <v>44426</v>
      </c>
      <c r="C5020" s="1" t="n">
        <v>45810</v>
      </c>
      <c r="D5020" t="inlineStr">
        <is>
          <t>VÄRMLANDS LÄN</t>
        </is>
      </c>
      <c r="E5020" t="inlineStr">
        <is>
          <t>KRISTINEHAMN</t>
        </is>
      </c>
      <c r="G5020" t="n">
        <v>3.3</v>
      </c>
      <c r="H5020" t="n">
        <v>0</v>
      </c>
      <c r="I5020" t="n">
        <v>0</v>
      </c>
      <c r="J5020" t="n">
        <v>0</v>
      </c>
      <c r="K5020" t="n">
        <v>0</v>
      </c>
      <c r="L5020" t="n">
        <v>0</v>
      </c>
      <c r="M5020" t="n">
        <v>0</v>
      </c>
      <c r="N5020" t="n">
        <v>0</v>
      </c>
      <c r="O5020" t="n">
        <v>0</v>
      </c>
      <c r="P5020" t="n">
        <v>0</v>
      </c>
      <c r="Q5020" t="n">
        <v>0</v>
      </c>
      <c r="R5020" s="2" t="inlineStr"/>
    </row>
    <row r="5021" ht="15" customHeight="1">
      <c r="A5021" t="inlineStr">
        <is>
          <t>A 42171-2021</t>
        </is>
      </c>
      <c r="B5021" s="1" t="n">
        <v>44426</v>
      </c>
      <c r="C5021" s="1" t="n">
        <v>45810</v>
      </c>
      <c r="D5021" t="inlineStr">
        <is>
          <t>VÄRMLANDS LÄN</t>
        </is>
      </c>
      <c r="E5021" t="inlineStr">
        <is>
          <t>ARVIKA</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42200-2021</t>
        </is>
      </c>
      <c r="B5022" s="1" t="n">
        <v>44426</v>
      </c>
      <c r="C5022" s="1" t="n">
        <v>45810</v>
      </c>
      <c r="D5022" t="inlineStr">
        <is>
          <t>VÄRMLANDS LÄN</t>
        </is>
      </c>
      <c r="E5022" t="inlineStr">
        <is>
          <t>EDA</t>
        </is>
      </c>
      <c r="G5022" t="n">
        <v>4</v>
      </c>
      <c r="H5022" t="n">
        <v>0</v>
      </c>
      <c r="I5022" t="n">
        <v>0</v>
      </c>
      <c r="J5022" t="n">
        <v>0</v>
      </c>
      <c r="K5022" t="n">
        <v>0</v>
      </c>
      <c r="L5022" t="n">
        <v>0</v>
      </c>
      <c r="M5022" t="n">
        <v>0</v>
      </c>
      <c r="N5022" t="n">
        <v>0</v>
      </c>
      <c r="O5022" t="n">
        <v>0</v>
      </c>
      <c r="P5022" t="n">
        <v>0</v>
      </c>
      <c r="Q5022" t="n">
        <v>0</v>
      </c>
      <c r="R5022" s="2" t="inlineStr"/>
    </row>
    <row r="5023" ht="15" customHeight="1">
      <c r="A5023" t="inlineStr">
        <is>
          <t>A 42213-2021</t>
        </is>
      </c>
      <c r="B5023" s="1" t="n">
        <v>44426</v>
      </c>
      <c r="C5023" s="1" t="n">
        <v>45810</v>
      </c>
      <c r="D5023" t="inlineStr">
        <is>
          <t>VÄRMLANDS LÄN</t>
        </is>
      </c>
      <c r="E5023" t="inlineStr">
        <is>
          <t>SUNNE</t>
        </is>
      </c>
      <c r="F5023" t="inlineStr">
        <is>
          <t>Övriga Aktiebolag</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42283-2021</t>
        </is>
      </c>
      <c r="B5024" s="1" t="n">
        <v>44427</v>
      </c>
      <c r="C5024" s="1" t="n">
        <v>45810</v>
      </c>
      <c r="D5024" t="inlineStr">
        <is>
          <t>VÄRMLANDS LÄN</t>
        </is>
      </c>
      <c r="E5024" t="inlineStr">
        <is>
          <t>KARLSTAD</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42314-2021</t>
        </is>
      </c>
      <c r="B5025" s="1" t="n">
        <v>44427</v>
      </c>
      <c r="C5025" s="1" t="n">
        <v>45810</v>
      </c>
      <c r="D5025" t="inlineStr">
        <is>
          <t>VÄRMLANDS LÄN</t>
        </is>
      </c>
      <c r="E5025" t="inlineStr">
        <is>
          <t>ARVIKA</t>
        </is>
      </c>
      <c r="G5025" t="n">
        <v>3</v>
      </c>
      <c r="H5025" t="n">
        <v>0</v>
      </c>
      <c r="I5025" t="n">
        <v>0</v>
      </c>
      <c r="J5025" t="n">
        <v>0</v>
      </c>
      <c r="K5025" t="n">
        <v>0</v>
      </c>
      <c r="L5025" t="n">
        <v>0</v>
      </c>
      <c r="M5025" t="n">
        <v>0</v>
      </c>
      <c r="N5025" t="n">
        <v>0</v>
      </c>
      <c r="O5025" t="n">
        <v>0</v>
      </c>
      <c r="P5025" t="n">
        <v>0</v>
      </c>
      <c r="Q5025" t="n">
        <v>0</v>
      </c>
      <c r="R5025" s="2" t="inlineStr"/>
    </row>
    <row r="5026" ht="15" customHeight="1">
      <c r="A5026" t="inlineStr">
        <is>
          <t>A 42347-2021</t>
        </is>
      </c>
      <c r="B5026" s="1" t="n">
        <v>44427</v>
      </c>
      <c r="C5026" s="1" t="n">
        <v>45810</v>
      </c>
      <c r="D5026" t="inlineStr">
        <is>
          <t>VÄRMLANDS LÄN</t>
        </is>
      </c>
      <c r="E5026" t="inlineStr">
        <is>
          <t>TORSBY</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42413-2021</t>
        </is>
      </c>
      <c r="B5027" s="1" t="n">
        <v>44427</v>
      </c>
      <c r="C5027" s="1" t="n">
        <v>45810</v>
      </c>
      <c r="D5027" t="inlineStr">
        <is>
          <t>VÄRMLANDS LÄN</t>
        </is>
      </c>
      <c r="E5027" t="inlineStr">
        <is>
          <t>EDA</t>
        </is>
      </c>
      <c r="G5027" t="n">
        <v>5.4</v>
      </c>
      <c r="H5027" t="n">
        <v>0</v>
      </c>
      <c r="I5027" t="n">
        <v>0</v>
      </c>
      <c r="J5027" t="n">
        <v>0</v>
      </c>
      <c r="K5027" t="n">
        <v>0</v>
      </c>
      <c r="L5027" t="n">
        <v>0</v>
      </c>
      <c r="M5027" t="n">
        <v>0</v>
      </c>
      <c r="N5027" t="n">
        <v>0</v>
      </c>
      <c r="O5027" t="n">
        <v>0</v>
      </c>
      <c r="P5027" t="n">
        <v>0</v>
      </c>
      <c r="Q5027" t="n">
        <v>0</v>
      </c>
      <c r="R5027" s="2" t="inlineStr"/>
    </row>
    <row r="5028" ht="15" customHeight="1">
      <c r="A5028" t="inlineStr">
        <is>
          <t>A 42522-2021</t>
        </is>
      </c>
      <c r="B5028" s="1" t="n">
        <v>44427</v>
      </c>
      <c r="C5028" s="1" t="n">
        <v>45810</v>
      </c>
      <c r="D5028" t="inlineStr">
        <is>
          <t>VÄRMLANDS LÄN</t>
        </is>
      </c>
      <c r="E5028" t="inlineStr">
        <is>
          <t>KIL</t>
        </is>
      </c>
      <c r="G5028" t="n">
        <v>2.2</v>
      </c>
      <c r="H5028" t="n">
        <v>0</v>
      </c>
      <c r="I5028" t="n">
        <v>0</v>
      </c>
      <c r="J5028" t="n">
        <v>0</v>
      </c>
      <c r="K5028" t="n">
        <v>0</v>
      </c>
      <c r="L5028" t="n">
        <v>0</v>
      </c>
      <c r="M5028" t="n">
        <v>0</v>
      </c>
      <c r="N5028" t="n">
        <v>0</v>
      </c>
      <c r="O5028" t="n">
        <v>0</v>
      </c>
      <c r="P5028" t="n">
        <v>0</v>
      </c>
      <c r="Q5028" t="n">
        <v>0</v>
      </c>
      <c r="R5028" s="2" t="inlineStr"/>
    </row>
    <row r="5029" ht="15" customHeight="1">
      <c r="A5029" t="inlineStr">
        <is>
          <t>A 42475-2021</t>
        </is>
      </c>
      <c r="B5029" s="1" t="n">
        <v>44427</v>
      </c>
      <c r="C5029" s="1" t="n">
        <v>45810</v>
      </c>
      <c r="D5029" t="inlineStr">
        <is>
          <t>VÄRMLANDS LÄN</t>
        </is>
      </c>
      <c r="E5029" t="inlineStr">
        <is>
          <t>KIL</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42576-2021</t>
        </is>
      </c>
      <c r="B5030" s="1" t="n">
        <v>44428</v>
      </c>
      <c r="C5030" s="1" t="n">
        <v>45810</v>
      </c>
      <c r="D5030" t="inlineStr">
        <is>
          <t>VÄRMLANDS LÄN</t>
        </is>
      </c>
      <c r="E5030" t="inlineStr">
        <is>
          <t>ÅRJÄNG</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42593-2021</t>
        </is>
      </c>
      <c r="B5031" s="1" t="n">
        <v>44428</v>
      </c>
      <c r="C5031" s="1" t="n">
        <v>45810</v>
      </c>
      <c r="D5031" t="inlineStr">
        <is>
          <t>VÄRMLANDS LÄN</t>
        </is>
      </c>
      <c r="E5031" t="inlineStr">
        <is>
          <t>HAGFORS</t>
        </is>
      </c>
      <c r="F5031" t="inlineStr">
        <is>
          <t>Bergvik skog väst AB</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42615-2021</t>
        </is>
      </c>
      <c r="B5032" s="1" t="n">
        <v>44428</v>
      </c>
      <c r="C5032" s="1" t="n">
        <v>45810</v>
      </c>
      <c r="D5032" t="inlineStr">
        <is>
          <t>VÄRMLANDS LÄN</t>
        </is>
      </c>
      <c r="E5032" t="inlineStr">
        <is>
          <t>TORSBY</t>
        </is>
      </c>
      <c r="F5032" t="inlineStr">
        <is>
          <t>Bergvik skog väst AB</t>
        </is>
      </c>
      <c r="G5032" t="n">
        <v>37.2</v>
      </c>
      <c r="H5032" t="n">
        <v>0</v>
      </c>
      <c r="I5032" t="n">
        <v>0</v>
      </c>
      <c r="J5032" t="n">
        <v>0</v>
      </c>
      <c r="K5032" t="n">
        <v>0</v>
      </c>
      <c r="L5032" t="n">
        <v>0</v>
      </c>
      <c r="M5032" t="n">
        <v>0</v>
      </c>
      <c r="N5032" t="n">
        <v>0</v>
      </c>
      <c r="O5032" t="n">
        <v>0</v>
      </c>
      <c r="P5032" t="n">
        <v>0</v>
      </c>
      <c r="Q5032" t="n">
        <v>0</v>
      </c>
      <c r="R5032" s="2" t="inlineStr"/>
    </row>
    <row r="5033" ht="15" customHeight="1">
      <c r="A5033" t="inlineStr">
        <is>
          <t>A 42635-2021</t>
        </is>
      </c>
      <c r="B5033" s="1" t="n">
        <v>44428</v>
      </c>
      <c r="C5033" s="1" t="n">
        <v>45810</v>
      </c>
      <c r="D5033" t="inlineStr">
        <is>
          <t>VÄRMLANDS LÄN</t>
        </is>
      </c>
      <c r="E5033" t="inlineStr">
        <is>
          <t>SUNNE</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42646-2021</t>
        </is>
      </c>
      <c r="B5034" s="1" t="n">
        <v>44428</v>
      </c>
      <c r="C5034" s="1" t="n">
        <v>45810</v>
      </c>
      <c r="D5034" t="inlineStr">
        <is>
          <t>VÄRMLANDS LÄN</t>
        </is>
      </c>
      <c r="E5034" t="inlineStr">
        <is>
          <t>TORSBY</t>
        </is>
      </c>
      <c r="F5034" t="inlineStr">
        <is>
          <t>Bergvik skog väst AB</t>
        </is>
      </c>
      <c r="G5034" t="n">
        <v>21.4</v>
      </c>
      <c r="H5034" t="n">
        <v>0</v>
      </c>
      <c r="I5034" t="n">
        <v>0</v>
      </c>
      <c r="J5034" t="n">
        <v>0</v>
      </c>
      <c r="K5034" t="n">
        <v>0</v>
      </c>
      <c r="L5034" t="n">
        <v>0</v>
      </c>
      <c r="M5034" t="n">
        <v>0</v>
      </c>
      <c r="N5034" t="n">
        <v>0</v>
      </c>
      <c r="O5034" t="n">
        <v>0</v>
      </c>
      <c r="P5034" t="n">
        <v>0</v>
      </c>
      <c r="Q5034" t="n">
        <v>0</v>
      </c>
      <c r="R5034" s="2" t="inlineStr"/>
    </row>
    <row r="5035" ht="15" customHeight="1">
      <c r="A5035" t="inlineStr">
        <is>
          <t>A 42664-2021</t>
        </is>
      </c>
      <c r="B5035" s="1" t="n">
        <v>44428</v>
      </c>
      <c r="C5035" s="1" t="n">
        <v>45810</v>
      </c>
      <c r="D5035" t="inlineStr">
        <is>
          <t>VÄRMLANDS LÄN</t>
        </is>
      </c>
      <c r="E5035" t="inlineStr">
        <is>
          <t>KARLSTAD</t>
        </is>
      </c>
      <c r="G5035" t="n">
        <v>4.4</v>
      </c>
      <c r="H5035" t="n">
        <v>0</v>
      </c>
      <c r="I5035" t="n">
        <v>0</v>
      </c>
      <c r="J5035" t="n">
        <v>0</v>
      </c>
      <c r="K5035" t="n">
        <v>0</v>
      </c>
      <c r="L5035" t="n">
        <v>0</v>
      </c>
      <c r="M5035" t="n">
        <v>0</v>
      </c>
      <c r="N5035" t="n">
        <v>0</v>
      </c>
      <c r="O5035" t="n">
        <v>0</v>
      </c>
      <c r="P5035" t="n">
        <v>0</v>
      </c>
      <c r="Q5035" t="n">
        <v>0</v>
      </c>
      <c r="R5035" s="2" t="inlineStr"/>
    </row>
    <row r="5036" ht="15" customHeight="1">
      <c r="A5036" t="inlineStr">
        <is>
          <t>A 42725-2021</t>
        </is>
      </c>
      <c r="B5036" s="1" t="n">
        <v>44428</v>
      </c>
      <c r="C5036" s="1" t="n">
        <v>45810</v>
      </c>
      <c r="D5036" t="inlineStr">
        <is>
          <t>VÄRMLANDS LÄN</t>
        </is>
      </c>
      <c r="E5036" t="inlineStr">
        <is>
          <t>KARLSTAD</t>
        </is>
      </c>
      <c r="G5036" t="n">
        <v>4.5</v>
      </c>
      <c r="H5036" t="n">
        <v>0</v>
      </c>
      <c r="I5036" t="n">
        <v>0</v>
      </c>
      <c r="J5036" t="n">
        <v>0</v>
      </c>
      <c r="K5036" t="n">
        <v>0</v>
      </c>
      <c r="L5036" t="n">
        <v>0</v>
      </c>
      <c r="M5036" t="n">
        <v>0</v>
      </c>
      <c r="N5036" t="n">
        <v>0</v>
      </c>
      <c r="O5036" t="n">
        <v>0</v>
      </c>
      <c r="P5036" t="n">
        <v>0</v>
      </c>
      <c r="Q5036" t="n">
        <v>0</v>
      </c>
      <c r="R5036" s="2" t="inlineStr"/>
    </row>
    <row r="5037" ht="15" customHeight="1">
      <c r="A5037" t="inlineStr">
        <is>
          <t>A 42705-2021</t>
        </is>
      </c>
      <c r="B5037" s="1" t="n">
        <v>44428</v>
      </c>
      <c r="C5037" s="1" t="n">
        <v>45810</v>
      </c>
      <c r="D5037" t="inlineStr">
        <is>
          <t>VÄRMLANDS LÄN</t>
        </is>
      </c>
      <c r="E5037" t="inlineStr">
        <is>
          <t>SUNNE</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42734-2021</t>
        </is>
      </c>
      <c r="B5038" s="1" t="n">
        <v>44428</v>
      </c>
      <c r="C5038" s="1" t="n">
        <v>45810</v>
      </c>
      <c r="D5038" t="inlineStr">
        <is>
          <t>VÄRMLANDS LÄN</t>
        </is>
      </c>
      <c r="E5038" t="inlineStr">
        <is>
          <t>ARVIKA</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43052-2021</t>
        </is>
      </c>
      <c r="B5039" s="1" t="n">
        <v>44431</v>
      </c>
      <c r="C5039" s="1" t="n">
        <v>45810</v>
      </c>
      <c r="D5039" t="inlineStr">
        <is>
          <t>VÄRMLANDS LÄN</t>
        </is>
      </c>
      <c r="E5039" t="inlineStr">
        <is>
          <t>TORSBY</t>
        </is>
      </c>
      <c r="G5039" t="n">
        <v>25.1</v>
      </c>
      <c r="H5039" t="n">
        <v>0</v>
      </c>
      <c r="I5039" t="n">
        <v>0</v>
      </c>
      <c r="J5039" t="n">
        <v>0</v>
      </c>
      <c r="K5039" t="n">
        <v>0</v>
      </c>
      <c r="L5039" t="n">
        <v>0</v>
      </c>
      <c r="M5039" t="n">
        <v>0</v>
      </c>
      <c r="N5039" t="n">
        <v>0</v>
      </c>
      <c r="O5039" t="n">
        <v>0</v>
      </c>
      <c r="P5039" t="n">
        <v>0</v>
      </c>
      <c r="Q5039" t="n">
        <v>0</v>
      </c>
      <c r="R5039" s="2" t="inlineStr"/>
    </row>
    <row r="5040" ht="15" customHeight="1">
      <c r="A5040" t="inlineStr">
        <is>
          <t>A 43060-2021</t>
        </is>
      </c>
      <c r="B5040" s="1" t="n">
        <v>44431</v>
      </c>
      <c r="C5040" s="1" t="n">
        <v>45810</v>
      </c>
      <c r="D5040" t="inlineStr">
        <is>
          <t>VÄRMLANDS LÄN</t>
        </is>
      </c>
      <c r="E5040" t="inlineStr">
        <is>
          <t>TORSBY</t>
        </is>
      </c>
      <c r="G5040" t="n">
        <v>3.2</v>
      </c>
      <c r="H5040" t="n">
        <v>0</v>
      </c>
      <c r="I5040" t="n">
        <v>0</v>
      </c>
      <c r="J5040" t="n">
        <v>0</v>
      </c>
      <c r="K5040" t="n">
        <v>0</v>
      </c>
      <c r="L5040" t="n">
        <v>0</v>
      </c>
      <c r="M5040" t="n">
        <v>0</v>
      </c>
      <c r="N5040" t="n">
        <v>0</v>
      </c>
      <c r="O5040" t="n">
        <v>0</v>
      </c>
      <c r="P5040" t="n">
        <v>0</v>
      </c>
      <c r="Q5040" t="n">
        <v>0</v>
      </c>
      <c r="R5040" s="2" t="inlineStr"/>
    </row>
    <row r="5041" ht="15" customHeight="1">
      <c r="A5041" t="inlineStr">
        <is>
          <t>A 43027-2021</t>
        </is>
      </c>
      <c r="B5041" s="1" t="n">
        <v>44431</v>
      </c>
      <c r="C5041" s="1" t="n">
        <v>45810</v>
      </c>
      <c r="D5041" t="inlineStr">
        <is>
          <t>VÄRMLANDS LÄN</t>
        </is>
      </c>
      <c r="E5041" t="inlineStr">
        <is>
          <t>ÅRJÄNG</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42947-2021</t>
        </is>
      </c>
      <c r="B5042" s="1" t="n">
        <v>44431</v>
      </c>
      <c r="C5042" s="1" t="n">
        <v>45810</v>
      </c>
      <c r="D5042" t="inlineStr">
        <is>
          <t>VÄRMLANDS LÄN</t>
        </is>
      </c>
      <c r="E5042" t="inlineStr">
        <is>
          <t>KRISTINEHAMN</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42963-2021</t>
        </is>
      </c>
      <c r="B5043" s="1" t="n">
        <v>44431</v>
      </c>
      <c r="C5043" s="1" t="n">
        <v>45810</v>
      </c>
      <c r="D5043" t="inlineStr">
        <is>
          <t>VÄRMLANDS LÄN</t>
        </is>
      </c>
      <c r="E5043" t="inlineStr">
        <is>
          <t>ÅRJÄNG</t>
        </is>
      </c>
      <c r="G5043" t="n">
        <v>5.6</v>
      </c>
      <c r="H5043" t="n">
        <v>0</v>
      </c>
      <c r="I5043" t="n">
        <v>0</v>
      </c>
      <c r="J5043" t="n">
        <v>0</v>
      </c>
      <c r="K5043" t="n">
        <v>0</v>
      </c>
      <c r="L5043" t="n">
        <v>0</v>
      </c>
      <c r="M5043" t="n">
        <v>0</v>
      </c>
      <c r="N5043" t="n">
        <v>0</v>
      </c>
      <c r="O5043" t="n">
        <v>0</v>
      </c>
      <c r="P5043" t="n">
        <v>0</v>
      </c>
      <c r="Q5043" t="n">
        <v>0</v>
      </c>
      <c r="R5043" s="2" t="inlineStr"/>
    </row>
    <row r="5044" ht="15" customHeight="1">
      <c r="A5044" t="inlineStr">
        <is>
          <t>A 43029-2021</t>
        </is>
      </c>
      <c r="B5044" s="1" t="n">
        <v>44431</v>
      </c>
      <c r="C5044" s="1" t="n">
        <v>45810</v>
      </c>
      <c r="D5044" t="inlineStr">
        <is>
          <t>VÄRMLANDS LÄN</t>
        </is>
      </c>
      <c r="E5044" t="inlineStr">
        <is>
          <t>ÅRJÄNG</t>
        </is>
      </c>
      <c r="G5044" t="n">
        <v>5.5</v>
      </c>
      <c r="H5044" t="n">
        <v>0</v>
      </c>
      <c r="I5044" t="n">
        <v>0</v>
      </c>
      <c r="J5044" t="n">
        <v>0</v>
      </c>
      <c r="K5044" t="n">
        <v>0</v>
      </c>
      <c r="L5044" t="n">
        <v>0</v>
      </c>
      <c r="M5044" t="n">
        <v>0</v>
      </c>
      <c r="N5044" t="n">
        <v>0</v>
      </c>
      <c r="O5044" t="n">
        <v>0</v>
      </c>
      <c r="P5044" t="n">
        <v>0</v>
      </c>
      <c r="Q5044" t="n">
        <v>0</v>
      </c>
      <c r="R5044" s="2" t="inlineStr"/>
    </row>
    <row r="5045" ht="15" customHeight="1">
      <c r="A5045" t="inlineStr">
        <is>
          <t>A 43048-2021</t>
        </is>
      </c>
      <c r="B5045" s="1" t="n">
        <v>44431</v>
      </c>
      <c r="C5045" s="1" t="n">
        <v>45810</v>
      </c>
      <c r="D5045" t="inlineStr">
        <is>
          <t>VÄRMLANDS LÄN</t>
        </is>
      </c>
      <c r="E5045" t="inlineStr">
        <is>
          <t>SUNNE</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42901-2021</t>
        </is>
      </c>
      <c r="B5046" s="1" t="n">
        <v>44431</v>
      </c>
      <c r="C5046" s="1" t="n">
        <v>45810</v>
      </c>
      <c r="D5046" t="inlineStr">
        <is>
          <t>VÄRMLANDS LÄN</t>
        </is>
      </c>
      <c r="E5046" t="inlineStr">
        <is>
          <t>KARLSTAD</t>
        </is>
      </c>
      <c r="G5046" t="n">
        <v>5.5</v>
      </c>
      <c r="H5046" t="n">
        <v>0</v>
      </c>
      <c r="I5046" t="n">
        <v>0</v>
      </c>
      <c r="J5046" t="n">
        <v>0</v>
      </c>
      <c r="K5046" t="n">
        <v>0</v>
      </c>
      <c r="L5046" t="n">
        <v>0</v>
      </c>
      <c r="M5046" t="n">
        <v>0</v>
      </c>
      <c r="N5046" t="n">
        <v>0</v>
      </c>
      <c r="O5046" t="n">
        <v>0</v>
      </c>
      <c r="P5046" t="n">
        <v>0</v>
      </c>
      <c r="Q5046" t="n">
        <v>0</v>
      </c>
      <c r="R5046" s="2" t="inlineStr"/>
    </row>
    <row r="5047" ht="15" customHeight="1">
      <c r="A5047" t="inlineStr">
        <is>
          <t>A 42915-2021</t>
        </is>
      </c>
      <c r="B5047" s="1" t="n">
        <v>44431</v>
      </c>
      <c r="C5047" s="1" t="n">
        <v>45810</v>
      </c>
      <c r="D5047" t="inlineStr">
        <is>
          <t>VÄRMLANDS LÄN</t>
        </is>
      </c>
      <c r="E5047" t="inlineStr">
        <is>
          <t>ÅRJÄNG</t>
        </is>
      </c>
      <c r="G5047" t="n">
        <v>3</v>
      </c>
      <c r="H5047" t="n">
        <v>0</v>
      </c>
      <c r="I5047" t="n">
        <v>0</v>
      </c>
      <c r="J5047" t="n">
        <v>0</v>
      </c>
      <c r="K5047" t="n">
        <v>0</v>
      </c>
      <c r="L5047" t="n">
        <v>0</v>
      </c>
      <c r="M5047" t="n">
        <v>0</v>
      </c>
      <c r="N5047" t="n">
        <v>0</v>
      </c>
      <c r="O5047" t="n">
        <v>0</v>
      </c>
      <c r="P5047" t="n">
        <v>0</v>
      </c>
      <c r="Q5047" t="n">
        <v>0</v>
      </c>
      <c r="R5047" s="2" t="inlineStr"/>
    </row>
    <row r="5048" ht="15" customHeight="1">
      <c r="A5048" t="inlineStr">
        <is>
          <t>A 42956-2021</t>
        </is>
      </c>
      <c r="B5048" s="1" t="n">
        <v>44431</v>
      </c>
      <c r="C5048" s="1" t="n">
        <v>45810</v>
      </c>
      <c r="D5048" t="inlineStr">
        <is>
          <t>VÄRMLANDS LÄN</t>
        </is>
      </c>
      <c r="E5048" t="inlineStr">
        <is>
          <t>ÅRJÄNG</t>
        </is>
      </c>
      <c r="G5048" t="n">
        <v>4.2</v>
      </c>
      <c r="H5048" t="n">
        <v>0</v>
      </c>
      <c r="I5048" t="n">
        <v>0</v>
      </c>
      <c r="J5048" t="n">
        <v>0</v>
      </c>
      <c r="K5048" t="n">
        <v>0</v>
      </c>
      <c r="L5048" t="n">
        <v>0</v>
      </c>
      <c r="M5048" t="n">
        <v>0</v>
      </c>
      <c r="N5048" t="n">
        <v>0</v>
      </c>
      <c r="O5048" t="n">
        <v>0</v>
      </c>
      <c r="P5048" t="n">
        <v>0</v>
      </c>
      <c r="Q5048" t="n">
        <v>0</v>
      </c>
      <c r="R5048" s="2" t="inlineStr"/>
    </row>
    <row r="5049" ht="15" customHeight="1">
      <c r="A5049" t="inlineStr">
        <is>
          <t>A 42994-2021</t>
        </is>
      </c>
      <c r="B5049" s="1" t="n">
        <v>44431</v>
      </c>
      <c r="C5049" s="1" t="n">
        <v>45810</v>
      </c>
      <c r="D5049" t="inlineStr">
        <is>
          <t>VÄRMLANDS LÄN</t>
        </is>
      </c>
      <c r="E5049" t="inlineStr">
        <is>
          <t>SÄFFLE</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43034-2021</t>
        </is>
      </c>
      <c r="B5050" s="1" t="n">
        <v>44431</v>
      </c>
      <c r="C5050" s="1" t="n">
        <v>45810</v>
      </c>
      <c r="D5050" t="inlineStr">
        <is>
          <t>VÄRMLANDS LÄN</t>
        </is>
      </c>
      <c r="E5050" t="inlineStr">
        <is>
          <t>ÅRJÄNG</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43058-2021</t>
        </is>
      </c>
      <c r="B5051" s="1" t="n">
        <v>44431</v>
      </c>
      <c r="C5051" s="1" t="n">
        <v>45810</v>
      </c>
      <c r="D5051" t="inlineStr">
        <is>
          <t>VÄRMLANDS LÄN</t>
        </is>
      </c>
      <c r="E5051" t="inlineStr">
        <is>
          <t>SUNNE</t>
        </is>
      </c>
      <c r="G5051" t="n">
        <v>2.3</v>
      </c>
      <c r="H5051" t="n">
        <v>0</v>
      </c>
      <c r="I5051" t="n">
        <v>0</v>
      </c>
      <c r="J5051" t="n">
        <v>0</v>
      </c>
      <c r="K5051" t="n">
        <v>0</v>
      </c>
      <c r="L5051" t="n">
        <v>0</v>
      </c>
      <c r="M5051" t="n">
        <v>0</v>
      </c>
      <c r="N5051" t="n">
        <v>0</v>
      </c>
      <c r="O5051" t="n">
        <v>0</v>
      </c>
      <c r="P5051" t="n">
        <v>0</v>
      </c>
      <c r="Q5051" t="n">
        <v>0</v>
      </c>
      <c r="R5051" s="2" t="inlineStr"/>
    </row>
    <row r="5052" ht="15" customHeight="1">
      <c r="A5052" t="inlineStr">
        <is>
          <t>A 43113-2021</t>
        </is>
      </c>
      <c r="B5052" s="1" t="n">
        <v>44431</v>
      </c>
      <c r="C5052" s="1" t="n">
        <v>45810</v>
      </c>
      <c r="D5052" t="inlineStr">
        <is>
          <t>VÄRMLANDS LÄN</t>
        </is>
      </c>
      <c r="E5052" t="inlineStr">
        <is>
          <t>SUNNE</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43128-2021</t>
        </is>
      </c>
      <c r="B5053" s="1" t="n">
        <v>44431</v>
      </c>
      <c r="C5053" s="1" t="n">
        <v>45810</v>
      </c>
      <c r="D5053" t="inlineStr">
        <is>
          <t>VÄRMLANDS LÄN</t>
        </is>
      </c>
      <c r="E5053" t="inlineStr">
        <is>
          <t>TORSBY</t>
        </is>
      </c>
      <c r="G5053" t="n">
        <v>10.9</v>
      </c>
      <c r="H5053" t="n">
        <v>0</v>
      </c>
      <c r="I5053" t="n">
        <v>0</v>
      </c>
      <c r="J5053" t="n">
        <v>0</v>
      </c>
      <c r="K5053" t="n">
        <v>0</v>
      </c>
      <c r="L5053" t="n">
        <v>0</v>
      </c>
      <c r="M5053" t="n">
        <v>0</v>
      </c>
      <c r="N5053" t="n">
        <v>0</v>
      </c>
      <c r="O5053" t="n">
        <v>0</v>
      </c>
      <c r="P5053" t="n">
        <v>0</v>
      </c>
      <c r="Q5053" t="n">
        <v>0</v>
      </c>
      <c r="R5053" s="2" t="inlineStr"/>
    </row>
    <row r="5054" ht="15" customHeight="1">
      <c r="A5054" t="inlineStr">
        <is>
          <t>A 43136-2021</t>
        </is>
      </c>
      <c r="B5054" s="1" t="n">
        <v>44431</v>
      </c>
      <c r="C5054" s="1" t="n">
        <v>45810</v>
      </c>
      <c r="D5054" t="inlineStr">
        <is>
          <t>VÄRMLANDS LÄN</t>
        </is>
      </c>
      <c r="E5054" t="inlineStr">
        <is>
          <t>TORSBY</t>
        </is>
      </c>
      <c r="G5054" t="n">
        <v>14.4</v>
      </c>
      <c r="H5054" t="n">
        <v>0</v>
      </c>
      <c r="I5054" t="n">
        <v>0</v>
      </c>
      <c r="J5054" t="n">
        <v>0</v>
      </c>
      <c r="K5054" t="n">
        <v>0</v>
      </c>
      <c r="L5054" t="n">
        <v>0</v>
      </c>
      <c r="M5054" t="n">
        <v>0</v>
      </c>
      <c r="N5054" t="n">
        <v>0</v>
      </c>
      <c r="O5054" t="n">
        <v>0</v>
      </c>
      <c r="P5054" t="n">
        <v>0</v>
      </c>
      <c r="Q5054" t="n">
        <v>0</v>
      </c>
      <c r="R5054" s="2" t="inlineStr"/>
    </row>
    <row r="5055" ht="15" customHeight="1">
      <c r="A5055" t="inlineStr">
        <is>
          <t>A 43169-2021</t>
        </is>
      </c>
      <c r="B5055" s="1" t="n">
        <v>44431</v>
      </c>
      <c r="C5055" s="1" t="n">
        <v>45810</v>
      </c>
      <c r="D5055" t="inlineStr">
        <is>
          <t>VÄRMLANDS LÄN</t>
        </is>
      </c>
      <c r="E5055" t="inlineStr">
        <is>
          <t>TORSBY</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43095-2021</t>
        </is>
      </c>
      <c r="B5056" s="1" t="n">
        <v>44431</v>
      </c>
      <c r="C5056" s="1" t="n">
        <v>45810</v>
      </c>
      <c r="D5056" t="inlineStr">
        <is>
          <t>VÄRMLANDS LÄN</t>
        </is>
      </c>
      <c r="E5056" t="inlineStr">
        <is>
          <t>TORSBY</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43157-2021</t>
        </is>
      </c>
      <c r="B5057" s="1" t="n">
        <v>44431</v>
      </c>
      <c r="C5057" s="1" t="n">
        <v>45810</v>
      </c>
      <c r="D5057" t="inlineStr">
        <is>
          <t>VÄRMLANDS LÄN</t>
        </is>
      </c>
      <c r="E5057" t="inlineStr">
        <is>
          <t>TORSBY</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43127-2021</t>
        </is>
      </c>
      <c r="B5058" s="1" t="n">
        <v>44431</v>
      </c>
      <c r="C5058" s="1" t="n">
        <v>45810</v>
      </c>
      <c r="D5058" t="inlineStr">
        <is>
          <t>VÄRMLANDS LÄN</t>
        </is>
      </c>
      <c r="E5058" t="inlineStr">
        <is>
          <t>TORSBY</t>
        </is>
      </c>
      <c r="G5058" t="n">
        <v>23.3</v>
      </c>
      <c r="H5058" t="n">
        <v>0</v>
      </c>
      <c r="I5058" t="n">
        <v>0</v>
      </c>
      <c r="J5058" t="n">
        <v>0</v>
      </c>
      <c r="K5058" t="n">
        <v>0</v>
      </c>
      <c r="L5058" t="n">
        <v>0</v>
      </c>
      <c r="M5058" t="n">
        <v>0</v>
      </c>
      <c r="N5058" t="n">
        <v>0</v>
      </c>
      <c r="O5058" t="n">
        <v>0</v>
      </c>
      <c r="P5058" t="n">
        <v>0</v>
      </c>
      <c r="Q5058" t="n">
        <v>0</v>
      </c>
      <c r="R5058" s="2" t="inlineStr"/>
    </row>
    <row r="5059" ht="15" customHeight="1">
      <c r="A5059" t="inlineStr">
        <is>
          <t>A 43161-2021</t>
        </is>
      </c>
      <c r="B5059" s="1" t="n">
        <v>44431</v>
      </c>
      <c r="C5059" s="1" t="n">
        <v>45810</v>
      </c>
      <c r="D5059" t="inlineStr">
        <is>
          <t>VÄRMLANDS LÄN</t>
        </is>
      </c>
      <c r="E5059" t="inlineStr">
        <is>
          <t>TORSBY</t>
        </is>
      </c>
      <c r="G5059" t="n">
        <v>3.7</v>
      </c>
      <c r="H5059" t="n">
        <v>0</v>
      </c>
      <c r="I5059" t="n">
        <v>0</v>
      </c>
      <c r="J5059" t="n">
        <v>0</v>
      </c>
      <c r="K5059" t="n">
        <v>0</v>
      </c>
      <c r="L5059" t="n">
        <v>0</v>
      </c>
      <c r="M5059" t="n">
        <v>0</v>
      </c>
      <c r="N5059" t="n">
        <v>0</v>
      </c>
      <c r="O5059" t="n">
        <v>0</v>
      </c>
      <c r="P5059" t="n">
        <v>0</v>
      </c>
      <c r="Q5059" t="n">
        <v>0</v>
      </c>
      <c r="R5059" s="2" t="inlineStr"/>
    </row>
    <row r="5060" ht="15" customHeight="1">
      <c r="A5060" t="inlineStr">
        <is>
          <t>A 43283-2021</t>
        </is>
      </c>
      <c r="B5060" s="1" t="n">
        <v>44432</v>
      </c>
      <c r="C5060" s="1" t="n">
        <v>45810</v>
      </c>
      <c r="D5060" t="inlineStr">
        <is>
          <t>VÄRMLANDS LÄN</t>
        </is>
      </c>
      <c r="E5060" t="inlineStr">
        <is>
          <t>SUNNE</t>
        </is>
      </c>
      <c r="G5060" t="n">
        <v>2.2</v>
      </c>
      <c r="H5060" t="n">
        <v>0</v>
      </c>
      <c r="I5060" t="n">
        <v>0</v>
      </c>
      <c r="J5060" t="n">
        <v>0</v>
      </c>
      <c r="K5060" t="n">
        <v>0</v>
      </c>
      <c r="L5060" t="n">
        <v>0</v>
      </c>
      <c r="M5060" t="n">
        <v>0</v>
      </c>
      <c r="N5060" t="n">
        <v>0</v>
      </c>
      <c r="O5060" t="n">
        <v>0</v>
      </c>
      <c r="P5060" t="n">
        <v>0</v>
      </c>
      <c r="Q5060" t="n">
        <v>0</v>
      </c>
      <c r="R5060" s="2" t="inlineStr"/>
    </row>
    <row r="5061" ht="15" customHeight="1">
      <c r="A5061" t="inlineStr">
        <is>
          <t>A 43244-2021</t>
        </is>
      </c>
      <c r="B5061" s="1" t="n">
        <v>44432</v>
      </c>
      <c r="C5061" s="1" t="n">
        <v>45810</v>
      </c>
      <c r="D5061" t="inlineStr">
        <is>
          <t>VÄRMLANDS LÄN</t>
        </is>
      </c>
      <c r="E5061" t="inlineStr">
        <is>
          <t>GRUMS</t>
        </is>
      </c>
      <c r="G5061" t="n">
        <v>4.1</v>
      </c>
      <c r="H5061" t="n">
        <v>0</v>
      </c>
      <c r="I5061" t="n">
        <v>0</v>
      </c>
      <c r="J5061" t="n">
        <v>0</v>
      </c>
      <c r="K5061" t="n">
        <v>0</v>
      </c>
      <c r="L5061" t="n">
        <v>0</v>
      </c>
      <c r="M5061" t="n">
        <v>0</v>
      </c>
      <c r="N5061" t="n">
        <v>0</v>
      </c>
      <c r="O5061" t="n">
        <v>0</v>
      </c>
      <c r="P5061" t="n">
        <v>0</v>
      </c>
      <c r="Q5061" t="n">
        <v>0</v>
      </c>
      <c r="R5061" s="2" t="inlineStr"/>
    </row>
    <row r="5062" ht="15" customHeight="1">
      <c r="A5062" t="inlineStr">
        <is>
          <t>A 43347-2021</t>
        </is>
      </c>
      <c r="B5062" s="1" t="n">
        <v>44432</v>
      </c>
      <c r="C5062" s="1" t="n">
        <v>45810</v>
      </c>
      <c r="D5062" t="inlineStr">
        <is>
          <t>VÄRMLANDS LÄN</t>
        </is>
      </c>
      <c r="E5062" t="inlineStr">
        <is>
          <t>EDA</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43242-2021</t>
        </is>
      </c>
      <c r="B5063" s="1" t="n">
        <v>44432</v>
      </c>
      <c r="C5063" s="1" t="n">
        <v>45810</v>
      </c>
      <c r="D5063" t="inlineStr">
        <is>
          <t>VÄRMLANDS LÄN</t>
        </is>
      </c>
      <c r="E5063" t="inlineStr">
        <is>
          <t>GRUMS</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43263-2021</t>
        </is>
      </c>
      <c r="B5064" s="1" t="n">
        <v>44432</v>
      </c>
      <c r="C5064" s="1" t="n">
        <v>45810</v>
      </c>
      <c r="D5064" t="inlineStr">
        <is>
          <t>VÄRMLANDS LÄN</t>
        </is>
      </c>
      <c r="E5064" t="inlineStr">
        <is>
          <t>KARLSTAD</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43423-2021</t>
        </is>
      </c>
      <c r="B5065" s="1" t="n">
        <v>44432</v>
      </c>
      <c r="C5065" s="1" t="n">
        <v>45810</v>
      </c>
      <c r="D5065" t="inlineStr">
        <is>
          <t>VÄRMLANDS LÄN</t>
        </is>
      </c>
      <c r="E5065" t="inlineStr">
        <is>
          <t>EDA</t>
        </is>
      </c>
      <c r="G5065" t="n">
        <v>4</v>
      </c>
      <c r="H5065" t="n">
        <v>0</v>
      </c>
      <c r="I5065" t="n">
        <v>0</v>
      </c>
      <c r="J5065" t="n">
        <v>0</v>
      </c>
      <c r="K5065" t="n">
        <v>0</v>
      </c>
      <c r="L5065" t="n">
        <v>0</v>
      </c>
      <c r="M5065" t="n">
        <v>0</v>
      </c>
      <c r="N5065" t="n">
        <v>0</v>
      </c>
      <c r="O5065" t="n">
        <v>0</v>
      </c>
      <c r="P5065" t="n">
        <v>0</v>
      </c>
      <c r="Q5065" t="n">
        <v>0</v>
      </c>
      <c r="R5065" s="2" t="inlineStr"/>
    </row>
    <row r="5066" ht="15" customHeight="1">
      <c r="A5066" t="inlineStr">
        <is>
          <t>A 43461-2021</t>
        </is>
      </c>
      <c r="B5066" s="1" t="n">
        <v>44432</v>
      </c>
      <c r="C5066" s="1" t="n">
        <v>45810</v>
      </c>
      <c r="D5066" t="inlineStr">
        <is>
          <t>VÄRMLANDS LÄN</t>
        </is>
      </c>
      <c r="E5066" t="inlineStr">
        <is>
          <t>SUNNE</t>
        </is>
      </c>
      <c r="G5066" t="n">
        <v>2.5</v>
      </c>
      <c r="H5066" t="n">
        <v>0</v>
      </c>
      <c r="I5066" t="n">
        <v>0</v>
      </c>
      <c r="J5066" t="n">
        <v>0</v>
      </c>
      <c r="K5066" t="n">
        <v>0</v>
      </c>
      <c r="L5066" t="n">
        <v>0</v>
      </c>
      <c r="M5066" t="n">
        <v>0</v>
      </c>
      <c r="N5066" t="n">
        <v>0</v>
      </c>
      <c r="O5066" t="n">
        <v>0</v>
      </c>
      <c r="P5066" t="n">
        <v>0</v>
      </c>
      <c r="Q5066" t="n">
        <v>0</v>
      </c>
      <c r="R5066" s="2" t="inlineStr"/>
    </row>
    <row r="5067" ht="15" customHeight="1">
      <c r="A5067" t="inlineStr">
        <is>
          <t>A 43472-2021</t>
        </is>
      </c>
      <c r="B5067" s="1" t="n">
        <v>44432</v>
      </c>
      <c r="C5067" s="1" t="n">
        <v>45810</v>
      </c>
      <c r="D5067" t="inlineStr">
        <is>
          <t>VÄRMLANDS LÄN</t>
        </is>
      </c>
      <c r="E5067" t="inlineStr">
        <is>
          <t>SUNNE</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43473-2021</t>
        </is>
      </c>
      <c r="B5068" s="1" t="n">
        <v>44432</v>
      </c>
      <c r="C5068" s="1" t="n">
        <v>45810</v>
      </c>
      <c r="D5068" t="inlineStr">
        <is>
          <t>VÄRMLANDS LÄN</t>
        </is>
      </c>
      <c r="E5068" t="inlineStr">
        <is>
          <t>HAGFORS</t>
        </is>
      </c>
      <c r="G5068" t="n">
        <v>2.8</v>
      </c>
      <c r="H5068" t="n">
        <v>0</v>
      </c>
      <c r="I5068" t="n">
        <v>0</v>
      </c>
      <c r="J5068" t="n">
        <v>0</v>
      </c>
      <c r="K5068" t="n">
        <v>0</v>
      </c>
      <c r="L5068" t="n">
        <v>0</v>
      </c>
      <c r="M5068" t="n">
        <v>0</v>
      </c>
      <c r="N5068" t="n">
        <v>0</v>
      </c>
      <c r="O5068" t="n">
        <v>0</v>
      </c>
      <c r="P5068" t="n">
        <v>0</v>
      </c>
      <c r="Q5068" t="n">
        <v>0</v>
      </c>
      <c r="R5068" s="2" t="inlineStr"/>
    </row>
    <row r="5069" ht="15" customHeight="1">
      <c r="A5069" t="inlineStr">
        <is>
          <t>A 43578-2021</t>
        </is>
      </c>
      <c r="B5069" s="1" t="n">
        <v>44433</v>
      </c>
      <c r="C5069" s="1" t="n">
        <v>45810</v>
      </c>
      <c r="D5069" t="inlineStr">
        <is>
          <t>VÄRMLANDS LÄN</t>
        </is>
      </c>
      <c r="E5069" t="inlineStr">
        <is>
          <t>ÅRJÄNG</t>
        </is>
      </c>
      <c r="G5069" t="n">
        <v>6.3</v>
      </c>
      <c r="H5069" t="n">
        <v>0</v>
      </c>
      <c r="I5069" t="n">
        <v>0</v>
      </c>
      <c r="J5069" t="n">
        <v>0</v>
      </c>
      <c r="K5069" t="n">
        <v>0</v>
      </c>
      <c r="L5069" t="n">
        <v>0</v>
      </c>
      <c r="M5069" t="n">
        <v>0</v>
      </c>
      <c r="N5069" t="n">
        <v>0</v>
      </c>
      <c r="O5069" t="n">
        <v>0</v>
      </c>
      <c r="P5069" t="n">
        <v>0</v>
      </c>
      <c r="Q5069" t="n">
        <v>0</v>
      </c>
      <c r="R5069" s="2" t="inlineStr"/>
    </row>
    <row r="5070" ht="15" customHeight="1">
      <c r="A5070" t="inlineStr">
        <is>
          <t>A 43689-2021</t>
        </is>
      </c>
      <c r="B5070" s="1" t="n">
        <v>44433</v>
      </c>
      <c r="C5070" s="1" t="n">
        <v>45810</v>
      </c>
      <c r="D5070" t="inlineStr">
        <is>
          <t>VÄRMLANDS LÄN</t>
        </is>
      </c>
      <c r="E5070" t="inlineStr">
        <is>
          <t>EDA</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43631-2021</t>
        </is>
      </c>
      <c r="B5071" s="1" t="n">
        <v>44433</v>
      </c>
      <c r="C5071" s="1" t="n">
        <v>45810</v>
      </c>
      <c r="D5071" t="inlineStr">
        <is>
          <t>VÄRMLANDS LÄN</t>
        </is>
      </c>
      <c r="E5071" t="inlineStr">
        <is>
          <t>HAMMARÖ</t>
        </is>
      </c>
      <c r="F5071" t="inlineStr">
        <is>
          <t>Kommuner</t>
        </is>
      </c>
      <c r="G5071" t="n">
        <v>0.2</v>
      </c>
      <c r="H5071" t="n">
        <v>0</v>
      </c>
      <c r="I5071" t="n">
        <v>0</v>
      </c>
      <c r="J5071" t="n">
        <v>0</v>
      </c>
      <c r="K5071" t="n">
        <v>0</v>
      </c>
      <c r="L5071" t="n">
        <v>0</v>
      </c>
      <c r="M5071" t="n">
        <v>0</v>
      </c>
      <c r="N5071" t="n">
        <v>0</v>
      </c>
      <c r="O5071" t="n">
        <v>0</v>
      </c>
      <c r="P5071" t="n">
        <v>0</v>
      </c>
      <c r="Q5071" t="n">
        <v>0</v>
      </c>
      <c r="R5071" s="2" t="inlineStr"/>
    </row>
    <row r="5072" ht="15" customHeight="1">
      <c r="A5072" t="inlineStr">
        <is>
          <t>A 43643-2021</t>
        </is>
      </c>
      <c r="B5072" s="1" t="n">
        <v>44433</v>
      </c>
      <c r="C5072" s="1" t="n">
        <v>45810</v>
      </c>
      <c r="D5072" t="inlineStr">
        <is>
          <t>VÄRMLANDS LÄN</t>
        </is>
      </c>
      <c r="E5072" t="inlineStr">
        <is>
          <t>FILIPSTAD</t>
        </is>
      </c>
      <c r="G5072" t="n">
        <v>3.3</v>
      </c>
      <c r="H5072" t="n">
        <v>0</v>
      </c>
      <c r="I5072" t="n">
        <v>0</v>
      </c>
      <c r="J5072" t="n">
        <v>0</v>
      </c>
      <c r="K5072" t="n">
        <v>0</v>
      </c>
      <c r="L5072" t="n">
        <v>0</v>
      </c>
      <c r="M5072" t="n">
        <v>0</v>
      </c>
      <c r="N5072" t="n">
        <v>0</v>
      </c>
      <c r="O5072" t="n">
        <v>0</v>
      </c>
      <c r="P5072" t="n">
        <v>0</v>
      </c>
      <c r="Q5072" t="n">
        <v>0</v>
      </c>
      <c r="R5072" s="2" t="inlineStr"/>
    </row>
    <row r="5073" ht="15" customHeight="1">
      <c r="A5073" t="inlineStr">
        <is>
          <t>A 43656-2021</t>
        </is>
      </c>
      <c r="B5073" s="1" t="n">
        <v>44433</v>
      </c>
      <c r="C5073" s="1" t="n">
        <v>45810</v>
      </c>
      <c r="D5073" t="inlineStr">
        <is>
          <t>VÄRMLANDS LÄN</t>
        </is>
      </c>
      <c r="E5073" t="inlineStr">
        <is>
          <t>SUNNE</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43667-2021</t>
        </is>
      </c>
      <c r="B5074" s="1" t="n">
        <v>44433</v>
      </c>
      <c r="C5074" s="1" t="n">
        <v>45810</v>
      </c>
      <c r="D5074" t="inlineStr">
        <is>
          <t>VÄRMLANDS LÄN</t>
        </is>
      </c>
      <c r="E5074" t="inlineStr">
        <is>
          <t>KIL</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43542-2021</t>
        </is>
      </c>
      <c r="B5075" s="1" t="n">
        <v>44433</v>
      </c>
      <c r="C5075" s="1" t="n">
        <v>45810</v>
      </c>
      <c r="D5075" t="inlineStr">
        <is>
          <t>VÄRMLANDS LÄN</t>
        </is>
      </c>
      <c r="E5075" t="inlineStr">
        <is>
          <t>KARLSTAD</t>
        </is>
      </c>
      <c r="G5075" t="n">
        <v>5.3</v>
      </c>
      <c r="H5075" t="n">
        <v>0</v>
      </c>
      <c r="I5075" t="n">
        <v>0</v>
      </c>
      <c r="J5075" t="n">
        <v>0</v>
      </c>
      <c r="K5075" t="n">
        <v>0</v>
      </c>
      <c r="L5075" t="n">
        <v>0</v>
      </c>
      <c r="M5075" t="n">
        <v>0</v>
      </c>
      <c r="N5075" t="n">
        <v>0</v>
      </c>
      <c r="O5075" t="n">
        <v>0</v>
      </c>
      <c r="P5075" t="n">
        <v>0</v>
      </c>
      <c r="Q5075" t="n">
        <v>0</v>
      </c>
      <c r="R5075" s="2" t="inlineStr"/>
    </row>
    <row r="5076" ht="15" customHeight="1">
      <c r="A5076" t="inlineStr">
        <is>
          <t>A 43661-2021</t>
        </is>
      </c>
      <c r="B5076" s="1" t="n">
        <v>44433</v>
      </c>
      <c r="C5076" s="1" t="n">
        <v>45810</v>
      </c>
      <c r="D5076" t="inlineStr">
        <is>
          <t>VÄRMLANDS LÄN</t>
        </is>
      </c>
      <c r="E5076" t="inlineStr">
        <is>
          <t>KIL</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43736-2021</t>
        </is>
      </c>
      <c r="B5077" s="1" t="n">
        <v>44433</v>
      </c>
      <c r="C5077" s="1" t="n">
        <v>45810</v>
      </c>
      <c r="D5077" t="inlineStr">
        <is>
          <t>VÄRMLANDS LÄN</t>
        </is>
      </c>
      <c r="E5077" t="inlineStr">
        <is>
          <t>HAGFORS</t>
        </is>
      </c>
      <c r="F5077" t="inlineStr">
        <is>
          <t>Bergvik skog väst AB</t>
        </is>
      </c>
      <c r="G5077" t="n">
        <v>3.4</v>
      </c>
      <c r="H5077" t="n">
        <v>0</v>
      </c>
      <c r="I5077" t="n">
        <v>0</v>
      </c>
      <c r="J5077" t="n">
        <v>0</v>
      </c>
      <c r="K5077" t="n">
        <v>0</v>
      </c>
      <c r="L5077" t="n">
        <v>0</v>
      </c>
      <c r="M5077" t="n">
        <v>0</v>
      </c>
      <c r="N5077" t="n">
        <v>0</v>
      </c>
      <c r="O5077" t="n">
        <v>0</v>
      </c>
      <c r="P5077" t="n">
        <v>0</v>
      </c>
      <c r="Q5077" t="n">
        <v>0</v>
      </c>
      <c r="R5077" s="2" t="inlineStr"/>
    </row>
    <row r="5078" ht="15" customHeight="1">
      <c r="A5078" t="inlineStr">
        <is>
          <t>A 43816-2021</t>
        </is>
      </c>
      <c r="B5078" s="1" t="n">
        <v>44434</v>
      </c>
      <c r="C5078" s="1" t="n">
        <v>45810</v>
      </c>
      <c r="D5078" t="inlineStr">
        <is>
          <t>VÄRMLANDS LÄN</t>
        </is>
      </c>
      <c r="E5078" t="inlineStr">
        <is>
          <t>SÄFFLE</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43634-2021</t>
        </is>
      </c>
      <c r="B5079" s="1" t="n">
        <v>44433</v>
      </c>
      <c r="C5079" s="1" t="n">
        <v>45810</v>
      </c>
      <c r="D5079" t="inlineStr">
        <is>
          <t>VÄRMLANDS LÄN</t>
        </is>
      </c>
      <c r="E5079" t="inlineStr">
        <is>
          <t>FILIPSTAD</t>
        </is>
      </c>
      <c r="G5079" t="n">
        <v>4.6</v>
      </c>
      <c r="H5079" t="n">
        <v>0</v>
      </c>
      <c r="I5079" t="n">
        <v>0</v>
      </c>
      <c r="J5079" t="n">
        <v>0</v>
      </c>
      <c r="K5079" t="n">
        <v>0</v>
      </c>
      <c r="L5079" t="n">
        <v>0</v>
      </c>
      <c r="M5079" t="n">
        <v>0</v>
      </c>
      <c r="N5079" t="n">
        <v>0</v>
      </c>
      <c r="O5079" t="n">
        <v>0</v>
      </c>
      <c r="P5079" t="n">
        <v>0</v>
      </c>
      <c r="Q5079" t="n">
        <v>0</v>
      </c>
      <c r="R5079" s="2" t="inlineStr"/>
    </row>
    <row r="5080" ht="15" customHeight="1">
      <c r="A5080" t="inlineStr">
        <is>
          <t>A 43960-2021</t>
        </is>
      </c>
      <c r="B5080" s="1" t="n">
        <v>44434</v>
      </c>
      <c r="C5080" s="1" t="n">
        <v>45810</v>
      </c>
      <c r="D5080" t="inlineStr">
        <is>
          <t>VÄRMLANDS LÄN</t>
        </is>
      </c>
      <c r="E5080" t="inlineStr">
        <is>
          <t>GRUMS</t>
        </is>
      </c>
      <c r="G5080" t="n">
        <v>3.3</v>
      </c>
      <c r="H5080" t="n">
        <v>0</v>
      </c>
      <c r="I5080" t="n">
        <v>0</v>
      </c>
      <c r="J5080" t="n">
        <v>0</v>
      </c>
      <c r="K5080" t="n">
        <v>0</v>
      </c>
      <c r="L5080" t="n">
        <v>0</v>
      </c>
      <c r="M5080" t="n">
        <v>0</v>
      </c>
      <c r="N5080" t="n">
        <v>0</v>
      </c>
      <c r="O5080" t="n">
        <v>0</v>
      </c>
      <c r="P5080" t="n">
        <v>0</v>
      </c>
      <c r="Q5080" t="n">
        <v>0</v>
      </c>
      <c r="R5080" s="2" t="inlineStr"/>
    </row>
    <row r="5081" ht="15" customHeight="1">
      <c r="A5081" t="inlineStr">
        <is>
          <t>A 43982-2021</t>
        </is>
      </c>
      <c r="B5081" s="1" t="n">
        <v>44434</v>
      </c>
      <c r="C5081" s="1" t="n">
        <v>45810</v>
      </c>
      <c r="D5081" t="inlineStr">
        <is>
          <t>VÄRMLANDS LÄN</t>
        </is>
      </c>
      <c r="E5081" t="inlineStr">
        <is>
          <t>SÄFFLE</t>
        </is>
      </c>
      <c r="G5081" t="n">
        <v>1.9</v>
      </c>
      <c r="H5081" t="n">
        <v>0</v>
      </c>
      <c r="I5081" t="n">
        <v>0</v>
      </c>
      <c r="J5081" t="n">
        <v>0</v>
      </c>
      <c r="K5081" t="n">
        <v>0</v>
      </c>
      <c r="L5081" t="n">
        <v>0</v>
      </c>
      <c r="M5081" t="n">
        <v>0</v>
      </c>
      <c r="N5081" t="n">
        <v>0</v>
      </c>
      <c r="O5081" t="n">
        <v>0</v>
      </c>
      <c r="P5081" t="n">
        <v>0</v>
      </c>
      <c r="Q5081" t="n">
        <v>0</v>
      </c>
      <c r="R5081" s="2" t="inlineStr"/>
    </row>
    <row r="5082" ht="15" customHeight="1">
      <c r="A5082" t="inlineStr">
        <is>
          <t>A 43937-2021</t>
        </is>
      </c>
      <c r="B5082" s="1" t="n">
        <v>44434</v>
      </c>
      <c r="C5082" s="1" t="n">
        <v>45810</v>
      </c>
      <c r="D5082" t="inlineStr">
        <is>
          <t>VÄRMLANDS LÄN</t>
        </is>
      </c>
      <c r="E5082" t="inlineStr">
        <is>
          <t>SÄFFLE</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44018-2021</t>
        </is>
      </c>
      <c r="B5083" s="1" t="n">
        <v>44434</v>
      </c>
      <c r="C5083" s="1" t="n">
        <v>45810</v>
      </c>
      <c r="D5083" t="inlineStr">
        <is>
          <t>VÄRMLANDS LÄN</t>
        </is>
      </c>
      <c r="E5083" t="inlineStr">
        <is>
          <t>TORSBY</t>
        </is>
      </c>
      <c r="F5083" t="inlineStr">
        <is>
          <t>Bergvik skog väst AB</t>
        </is>
      </c>
      <c r="G5083" t="n">
        <v>2.7</v>
      </c>
      <c r="H5083" t="n">
        <v>0</v>
      </c>
      <c r="I5083" t="n">
        <v>0</v>
      </c>
      <c r="J5083" t="n">
        <v>0</v>
      </c>
      <c r="K5083" t="n">
        <v>0</v>
      </c>
      <c r="L5083" t="n">
        <v>0</v>
      </c>
      <c r="M5083" t="n">
        <v>0</v>
      </c>
      <c r="N5083" t="n">
        <v>0</v>
      </c>
      <c r="O5083" t="n">
        <v>0</v>
      </c>
      <c r="P5083" t="n">
        <v>0</v>
      </c>
      <c r="Q5083" t="n">
        <v>0</v>
      </c>
      <c r="R5083" s="2" t="inlineStr"/>
    </row>
    <row r="5084" ht="15" customHeight="1">
      <c r="A5084" t="inlineStr">
        <is>
          <t>A 44066-2021</t>
        </is>
      </c>
      <c r="B5084" s="1" t="n">
        <v>44434</v>
      </c>
      <c r="C5084" s="1" t="n">
        <v>45810</v>
      </c>
      <c r="D5084" t="inlineStr">
        <is>
          <t>VÄRMLANDS LÄN</t>
        </is>
      </c>
      <c r="E5084" t="inlineStr">
        <is>
          <t>SUNNE</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44059-2021</t>
        </is>
      </c>
      <c r="B5085" s="1" t="n">
        <v>44434</v>
      </c>
      <c r="C5085" s="1" t="n">
        <v>45810</v>
      </c>
      <c r="D5085" t="inlineStr">
        <is>
          <t>VÄRMLANDS LÄN</t>
        </is>
      </c>
      <c r="E5085" t="inlineStr">
        <is>
          <t>HAGFORS</t>
        </is>
      </c>
      <c r="F5085" t="inlineStr">
        <is>
          <t>Bergvik skog väst AB</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44067-2021</t>
        </is>
      </c>
      <c r="B5086" s="1" t="n">
        <v>44434</v>
      </c>
      <c r="C5086" s="1" t="n">
        <v>45810</v>
      </c>
      <c r="D5086" t="inlineStr">
        <is>
          <t>VÄRMLANDS LÄN</t>
        </is>
      </c>
      <c r="E5086" t="inlineStr">
        <is>
          <t>ARVIKA</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44087-2021</t>
        </is>
      </c>
      <c r="B5087" s="1" t="n">
        <v>44434</v>
      </c>
      <c r="C5087" s="1" t="n">
        <v>45810</v>
      </c>
      <c r="D5087" t="inlineStr">
        <is>
          <t>VÄRMLANDS LÄN</t>
        </is>
      </c>
      <c r="E5087" t="inlineStr">
        <is>
          <t>SUNNE</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44125-2021</t>
        </is>
      </c>
      <c r="B5088" s="1" t="n">
        <v>44434</v>
      </c>
      <c r="C5088" s="1" t="n">
        <v>45810</v>
      </c>
      <c r="D5088" t="inlineStr">
        <is>
          <t>VÄRMLANDS LÄN</t>
        </is>
      </c>
      <c r="E5088" t="inlineStr">
        <is>
          <t>HAGFORS</t>
        </is>
      </c>
      <c r="G5088" t="n">
        <v>4</v>
      </c>
      <c r="H5088" t="n">
        <v>0</v>
      </c>
      <c r="I5088" t="n">
        <v>0</v>
      </c>
      <c r="J5088" t="n">
        <v>0</v>
      </c>
      <c r="K5088" t="n">
        <v>0</v>
      </c>
      <c r="L5088" t="n">
        <v>0</v>
      </c>
      <c r="M5088" t="n">
        <v>0</v>
      </c>
      <c r="N5088" t="n">
        <v>0</v>
      </c>
      <c r="O5088" t="n">
        <v>0</v>
      </c>
      <c r="P5088" t="n">
        <v>0</v>
      </c>
      <c r="Q5088" t="n">
        <v>0</v>
      </c>
      <c r="R5088" s="2" t="inlineStr"/>
    </row>
    <row r="5089" ht="15" customHeight="1">
      <c r="A5089" t="inlineStr">
        <is>
          <t>A 44178-2021</t>
        </is>
      </c>
      <c r="B5089" s="1" t="n">
        <v>44434</v>
      </c>
      <c r="C5089" s="1" t="n">
        <v>45810</v>
      </c>
      <c r="D5089" t="inlineStr">
        <is>
          <t>VÄRMLANDS LÄN</t>
        </is>
      </c>
      <c r="E5089" t="inlineStr">
        <is>
          <t>FILIPSTAD</t>
        </is>
      </c>
      <c r="F5089" t="inlineStr">
        <is>
          <t>Bergvik skog väst AB</t>
        </is>
      </c>
      <c r="G5089" t="n">
        <v>2.3</v>
      </c>
      <c r="H5089" t="n">
        <v>0</v>
      </c>
      <c r="I5089" t="n">
        <v>0</v>
      </c>
      <c r="J5089" t="n">
        <v>0</v>
      </c>
      <c r="K5089" t="n">
        <v>0</v>
      </c>
      <c r="L5089" t="n">
        <v>0</v>
      </c>
      <c r="M5089" t="n">
        <v>0</v>
      </c>
      <c r="N5089" t="n">
        <v>0</v>
      </c>
      <c r="O5089" t="n">
        <v>0</v>
      </c>
      <c r="P5089" t="n">
        <v>0</v>
      </c>
      <c r="Q5089" t="n">
        <v>0</v>
      </c>
      <c r="R5089" s="2" t="inlineStr"/>
    </row>
    <row r="5090" ht="15" customHeight="1">
      <c r="A5090" t="inlineStr">
        <is>
          <t>A 44080-2021</t>
        </is>
      </c>
      <c r="B5090" s="1" t="n">
        <v>44434</v>
      </c>
      <c r="C5090" s="1" t="n">
        <v>45810</v>
      </c>
      <c r="D5090" t="inlineStr">
        <is>
          <t>VÄRMLANDS LÄN</t>
        </is>
      </c>
      <c r="E5090" t="inlineStr">
        <is>
          <t>SUNNE</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44331-2021</t>
        </is>
      </c>
      <c r="B5091" s="1" t="n">
        <v>44435</v>
      </c>
      <c r="C5091" s="1" t="n">
        <v>45810</v>
      </c>
      <c r="D5091" t="inlineStr">
        <is>
          <t>VÄRMLANDS LÄN</t>
        </is>
      </c>
      <c r="E5091" t="inlineStr">
        <is>
          <t>ARVIKA</t>
        </is>
      </c>
      <c r="G5091" t="n">
        <v>1.8</v>
      </c>
      <c r="H5091" t="n">
        <v>0</v>
      </c>
      <c r="I5091" t="n">
        <v>0</v>
      </c>
      <c r="J5091" t="n">
        <v>0</v>
      </c>
      <c r="K5091" t="n">
        <v>0</v>
      </c>
      <c r="L5091" t="n">
        <v>0</v>
      </c>
      <c r="M5091" t="n">
        <v>0</v>
      </c>
      <c r="N5091" t="n">
        <v>0</v>
      </c>
      <c r="O5091" t="n">
        <v>0</v>
      </c>
      <c r="P5091" t="n">
        <v>0</v>
      </c>
      <c r="Q5091" t="n">
        <v>0</v>
      </c>
      <c r="R5091" s="2" t="inlineStr"/>
    </row>
    <row r="5092" ht="15" customHeight="1">
      <c r="A5092" t="inlineStr">
        <is>
          <t>A 44418-2021</t>
        </is>
      </c>
      <c r="B5092" s="1" t="n">
        <v>44435</v>
      </c>
      <c r="C5092" s="1" t="n">
        <v>45810</v>
      </c>
      <c r="D5092" t="inlineStr">
        <is>
          <t>VÄRMLANDS LÄN</t>
        </is>
      </c>
      <c r="E5092" t="inlineStr">
        <is>
          <t>TORSBY</t>
        </is>
      </c>
      <c r="G5092" t="n">
        <v>7.5</v>
      </c>
      <c r="H5092" t="n">
        <v>0</v>
      </c>
      <c r="I5092" t="n">
        <v>0</v>
      </c>
      <c r="J5092" t="n">
        <v>0</v>
      </c>
      <c r="K5092" t="n">
        <v>0</v>
      </c>
      <c r="L5092" t="n">
        <v>0</v>
      </c>
      <c r="M5092" t="n">
        <v>0</v>
      </c>
      <c r="N5092" t="n">
        <v>0</v>
      </c>
      <c r="O5092" t="n">
        <v>0</v>
      </c>
      <c r="P5092" t="n">
        <v>0</v>
      </c>
      <c r="Q5092" t="n">
        <v>0</v>
      </c>
      <c r="R5092" s="2" t="inlineStr"/>
    </row>
    <row r="5093" ht="15" customHeight="1">
      <c r="A5093" t="inlineStr">
        <is>
          <t>A 44425-2021</t>
        </is>
      </c>
      <c r="B5093" s="1" t="n">
        <v>44435</v>
      </c>
      <c r="C5093" s="1" t="n">
        <v>45810</v>
      </c>
      <c r="D5093" t="inlineStr">
        <is>
          <t>VÄRMLANDS LÄN</t>
        </is>
      </c>
      <c r="E5093" t="inlineStr">
        <is>
          <t>ARVIKA</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44432-2021</t>
        </is>
      </c>
      <c r="B5094" s="1" t="n">
        <v>44435</v>
      </c>
      <c r="C5094" s="1" t="n">
        <v>45810</v>
      </c>
      <c r="D5094" t="inlineStr">
        <is>
          <t>VÄRMLANDS LÄN</t>
        </is>
      </c>
      <c r="E5094" t="inlineStr">
        <is>
          <t>ARVIKA</t>
        </is>
      </c>
      <c r="G5094" t="n">
        <v>4.5</v>
      </c>
      <c r="H5094" t="n">
        <v>0</v>
      </c>
      <c r="I5094" t="n">
        <v>0</v>
      </c>
      <c r="J5094" t="n">
        <v>0</v>
      </c>
      <c r="K5094" t="n">
        <v>0</v>
      </c>
      <c r="L5094" t="n">
        <v>0</v>
      </c>
      <c r="M5094" t="n">
        <v>0</v>
      </c>
      <c r="N5094" t="n">
        <v>0</v>
      </c>
      <c r="O5094" t="n">
        <v>0</v>
      </c>
      <c r="P5094" t="n">
        <v>0</v>
      </c>
      <c r="Q5094" t="n">
        <v>0</v>
      </c>
      <c r="R5094" s="2" t="inlineStr"/>
    </row>
    <row r="5095" ht="15" customHeight="1">
      <c r="A5095" t="inlineStr">
        <is>
          <t>A 44303-2021</t>
        </is>
      </c>
      <c r="B5095" s="1" t="n">
        <v>44435</v>
      </c>
      <c r="C5095" s="1" t="n">
        <v>45810</v>
      </c>
      <c r="D5095" t="inlineStr">
        <is>
          <t>VÄRMLANDS LÄN</t>
        </is>
      </c>
      <c r="E5095" t="inlineStr">
        <is>
          <t>SUNNE</t>
        </is>
      </c>
      <c r="G5095" t="n">
        <v>3.8</v>
      </c>
      <c r="H5095" t="n">
        <v>0</v>
      </c>
      <c r="I5095" t="n">
        <v>0</v>
      </c>
      <c r="J5095" t="n">
        <v>0</v>
      </c>
      <c r="K5095" t="n">
        <v>0</v>
      </c>
      <c r="L5095" t="n">
        <v>0</v>
      </c>
      <c r="M5095" t="n">
        <v>0</v>
      </c>
      <c r="N5095" t="n">
        <v>0</v>
      </c>
      <c r="O5095" t="n">
        <v>0</v>
      </c>
      <c r="P5095" t="n">
        <v>0</v>
      </c>
      <c r="Q5095" t="n">
        <v>0</v>
      </c>
      <c r="R5095" s="2" t="inlineStr"/>
    </row>
    <row r="5096" ht="15" customHeight="1">
      <c r="A5096" t="inlineStr">
        <is>
          <t>A 44384-2021</t>
        </is>
      </c>
      <c r="B5096" s="1" t="n">
        <v>44435</v>
      </c>
      <c r="C5096" s="1" t="n">
        <v>45810</v>
      </c>
      <c r="D5096" t="inlineStr">
        <is>
          <t>VÄRMLANDS LÄN</t>
        </is>
      </c>
      <c r="E5096" t="inlineStr">
        <is>
          <t>FILIPSTAD</t>
        </is>
      </c>
      <c r="G5096" t="n">
        <v>9</v>
      </c>
      <c r="H5096" t="n">
        <v>0</v>
      </c>
      <c r="I5096" t="n">
        <v>0</v>
      </c>
      <c r="J5096" t="n">
        <v>0</v>
      </c>
      <c r="K5096" t="n">
        <v>0</v>
      </c>
      <c r="L5096" t="n">
        <v>0</v>
      </c>
      <c r="M5096" t="n">
        <v>0</v>
      </c>
      <c r="N5096" t="n">
        <v>0</v>
      </c>
      <c r="O5096" t="n">
        <v>0</v>
      </c>
      <c r="P5096" t="n">
        <v>0</v>
      </c>
      <c r="Q5096" t="n">
        <v>0</v>
      </c>
      <c r="R5096" s="2" t="inlineStr"/>
    </row>
    <row r="5097" ht="15" customHeight="1">
      <c r="A5097" t="inlineStr">
        <is>
          <t>A 44401-2021</t>
        </is>
      </c>
      <c r="B5097" s="1" t="n">
        <v>44435</v>
      </c>
      <c r="C5097" s="1" t="n">
        <v>45810</v>
      </c>
      <c r="D5097" t="inlineStr">
        <is>
          <t>VÄRMLANDS LÄN</t>
        </is>
      </c>
      <c r="E5097" t="inlineStr">
        <is>
          <t>FILIPSTAD</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44420-2021</t>
        </is>
      </c>
      <c r="B5098" s="1" t="n">
        <v>44435</v>
      </c>
      <c r="C5098" s="1" t="n">
        <v>45810</v>
      </c>
      <c r="D5098" t="inlineStr">
        <is>
          <t>VÄRMLANDS LÄN</t>
        </is>
      </c>
      <c r="E5098" t="inlineStr">
        <is>
          <t>ARVIKA</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44324-2021</t>
        </is>
      </c>
      <c r="B5099" s="1" t="n">
        <v>44435</v>
      </c>
      <c r="C5099" s="1" t="n">
        <v>45810</v>
      </c>
      <c r="D5099" t="inlineStr">
        <is>
          <t>VÄRMLANDS LÄN</t>
        </is>
      </c>
      <c r="E5099" t="inlineStr">
        <is>
          <t>SÄFFLE</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44320-2021</t>
        </is>
      </c>
      <c r="B5100" s="1" t="n">
        <v>44435</v>
      </c>
      <c r="C5100" s="1" t="n">
        <v>45810</v>
      </c>
      <c r="D5100" t="inlineStr">
        <is>
          <t>VÄRMLANDS LÄN</t>
        </is>
      </c>
      <c r="E5100" t="inlineStr">
        <is>
          <t>SÄFFLE</t>
        </is>
      </c>
      <c r="G5100" t="n">
        <v>3.2</v>
      </c>
      <c r="H5100" t="n">
        <v>0</v>
      </c>
      <c r="I5100" t="n">
        <v>0</v>
      </c>
      <c r="J5100" t="n">
        <v>0</v>
      </c>
      <c r="K5100" t="n">
        <v>0</v>
      </c>
      <c r="L5100" t="n">
        <v>0</v>
      </c>
      <c r="M5100" t="n">
        <v>0</v>
      </c>
      <c r="N5100" t="n">
        <v>0</v>
      </c>
      <c r="O5100" t="n">
        <v>0</v>
      </c>
      <c r="P5100" t="n">
        <v>0</v>
      </c>
      <c r="Q5100" t="n">
        <v>0</v>
      </c>
      <c r="R5100" s="2" t="inlineStr"/>
    </row>
    <row r="5101" ht="15" customHeight="1">
      <c r="A5101" t="inlineStr">
        <is>
          <t>A 44417-2021</t>
        </is>
      </c>
      <c r="B5101" s="1" t="n">
        <v>44435</v>
      </c>
      <c r="C5101" s="1" t="n">
        <v>45810</v>
      </c>
      <c r="D5101" t="inlineStr">
        <is>
          <t>VÄRMLANDS LÄN</t>
        </is>
      </c>
      <c r="E5101" t="inlineStr">
        <is>
          <t>ÅRJÄNG</t>
        </is>
      </c>
      <c r="G5101" t="n">
        <v>32.2</v>
      </c>
      <c r="H5101" t="n">
        <v>0</v>
      </c>
      <c r="I5101" t="n">
        <v>0</v>
      </c>
      <c r="J5101" t="n">
        <v>0</v>
      </c>
      <c r="K5101" t="n">
        <v>0</v>
      </c>
      <c r="L5101" t="n">
        <v>0</v>
      </c>
      <c r="M5101" t="n">
        <v>0</v>
      </c>
      <c r="N5101" t="n">
        <v>0</v>
      </c>
      <c r="O5101" t="n">
        <v>0</v>
      </c>
      <c r="P5101" t="n">
        <v>0</v>
      </c>
      <c r="Q5101" t="n">
        <v>0</v>
      </c>
      <c r="R5101" s="2" t="inlineStr"/>
    </row>
    <row r="5102" ht="15" customHeight="1">
      <c r="A5102" t="inlineStr">
        <is>
          <t>A 44443-2021</t>
        </is>
      </c>
      <c r="B5102" s="1" t="n">
        <v>44435</v>
      </c>
      <c r="C5102" s="1" t="n">
        <v>45810</v>
      </c>
      <c r="D5102" t="inlineStr">
        <is>
          <t>VÄRMLANDS LÄN</t>
        </is>
      </c>
      <c r="E5102" t="inlineStr">
        <is>
          <t>ARVIKA</t>
        </is>
      </c>
      <c r="G5102" t="n">
        <v>16.7</v>
      </c>
      <c r="H5102" t="n">
        <v>0</v>
      </c>
      <c r="I5102" t="n">
        <v>0</v>
      </c>
      <c r="J5102" t="n">
        <v>0</v>
      </c>
      <c r="K5102" t="n">
        <v>0</v>
      </c>
      <c r="L5102" t="n">
        <v>0</v>
      </c>
      <c r="M5102" t="n">
        <v>0</v>
      </c>
      <c r="N5102" t="n">
        <v>0</v>
      </c>
      <c r="O5102" t="n">
        <v>0</v>
      </c>
      <c r="P5102" t="n">
        <v>0</v>
      </c>
      <c r="Q5102" t="n">
        <v>0</v>
      </c>
      <c r="R5102" s="2" t="inlineStr"/>
    </row>
    <row r="5103" ht="15" customHeight="1">
      <c r="A5103" t="inlineStr">
        <is>
          <t>A 44419-2021</t>
        </is>
      </c>
      <c r="B5103" s="1" t="n">
        <v>44435</v>
      </c>
      <c r="C5103" s="1" t="n">
        <v>45810</v>
      </c>
      <c r="D5103" t="inlineStr">
        <is>
          <t>VÄRMLANDS LÄN</t>
        </is>
      </c>
      <c r="E5103" t="inlineStr">
        <is>
          <t>ARVIKA</t>
        </is>
      </c>
      <c r="G5103" t="n">
        <v>4.3</v>
      </c>
      <c r="H5103" t="n">
        <v>0</v>
      </c>
      <c r="I5103" t="n">
        <v>0</v>
      </c>
      <c r="J5103" t="n">
        <v>0</v>
      </c>
      <c r="K5103" t="n">
        <v>0</v>
      </c>
      <c r="L5103" t="n">
        <v>0</v>
      </c>
      <c r="M5103" t="n">
        <v>0</v>
      </c>
      <c r="N5103" t="n">
        <v>0</v>
      </c>
      <c r="O5103" t="n">
        <v>0</v>
      </c>
      <c r="P5103" t="n">
        <v>0</v>
      </c>
      <c r="Q5103" t="n">
        <v>0</v>
      </c>
      <c r="R5103" s="2" t="inlineStr"/>
    </row>
    <row r="5104" ht="15" customHeight="1">
      <c r="A5104" t="inlineStr">
        <is>
          <t>A 44478-2021</t>
        </is>
      </c>
      <c r="B5104" s="1" t="n">
        <v>44435</v>
      </c>
      <c r="C5104" s="1" t="n">
        <v>45810</v>
      </c>
      <c r="D5104" t="inlineStr">
        <is>
          <t>VÄRMLANDS LÄN</t>
        </is>
      </c>
      <c r="E5104" t="inlineStr">
        <is>
          <t>SÄFFLE</t>
        </is>
      </c>
      <c r="F5104" t="inlineStr">
        <is>
          <t>Bergvik skog väst AB</t>
        </is>
      </c>
      <c r="G5104" t="n">
        <v>10.3</v>
      </c>
      <c r="H5104" t="n">
        <v>0</v>
      </c>
      <c r="I5104" t="n">
        <v>0</v>
      </c>
      <c r="J5104" t="n">
        <v>0</v>
      </c>
      <c r="K5104" t="n">
        <v>0</v>
      </c>
      <c r="L5104" t="n">
        <v>0</v>
      </c>
      <c r="M5104" t="n">
        <v>0</v>
      </c>
      <c r="N5104" t="n">
        <v>0</v>
      </c>
      <c r="O5104" t="n">
        <v>0</v>
      </c>
      <c r="P5104" t="n">
        <v>0</v>
      </c>
      <c r="Q5104" t="n">
        <v>0</v>
      </c>
      <c r="R5104" s="2" t="inlineStr"/>
    </row>
    <row r="5105" ht="15" customHeight="1">
      <c r="A5105" t="inlineStr">
        <is>
          <t>A 44539-2021</t>
        </is>
      </c>
      <c r="B5105" s="1" t="n">
        <v>44435</v>
      </c>
      <c r="C5105" s="1" t="n">
        <v>45810</v>
      </c>
      <c r="D5105" t="inlineStr">
        <is>
          <t>VÄRMLANDS LÄN</t>
        </is>
      </c>
      <c r="E5105" t="inlineStr">
        <is>
          <t>HAGFORS</t>
        </is>
      </c>
      <c r="F5105" t="inlineStr">
        <is>
          <t>Bergvik skog väst AB</t>
        </is>
      </c>
      <c r="G5105" t="n">
        <v>27.3</v>
      </c>
      <c r="H5105" t="n">
        <v>0</v>
      </c>
      <c r="I5105" t="n">
        <v>0</v>
      </c>
      <c r="J5105" t="n">
        <v>0</v>
      </c>
      <c r="K5105" t="n">
        <v>0</v>
      </c>
      <c r="L5105" t="n">
        <v>0</v>
      </c>
      <c r="M5105" t="n">
        <v>0</v>
      </c>
      <c r="N5105" t="n">
        <v>0</v>
      </c>
      <c r="O5105" t="n">
        <v>0</v>
      </c>
      <c r="P5105" t="n">
        <v>0</v>
      </c>
      <c r="Q5105" t="n">
        <v>0</v>
      </c>
      <c r="R5105" s="2" t="inlineStr"/>
    </row>
    <row r="5106" ht="15" customHeight="1">
      <c r="A5106" t="inlineStr">
        <is>
          <t>A 44497-2021</t>
        </is>
      </c>
      <c r="B5106" s="1" t="n">
        <v>44435</v>
      </c>
      <c r="C5106" s="1" t="n">
        <v>45810</v>
      </c>
      <c r="D5106" t="inlineStr">
        <is>
          <t>VÄRMLANDS LÄN</t>
        </is>
      </c>
      <c r="E5106" t="inlineStr">
        <is>
          <t>SUNNE</t>
        </is>
      </c>
      <c r="F5106" t="inlineStr">
        <is>
          <t>Kyrkan</t>
        </is>
      </c>
      <c r="G5106" t="n">
        <v>7.2</v>
      </c>
      <c r="H5106" t="n">
        <v>0</v>
      </c>
      <c r="I5106" t="n">
        <v>0</v>
      </c>
      <c r="J5106" t="n">
        <v>0</v>
      </c>
      <c r="K5106" t="n">
        <v>0</v>
      </c>
      <c r="L5106" t="n">
        <v>0</v>
      </c>
      <c r="M5106" t="n">
        <v>0</v>
      </c>
      <c r="N5106" t="n">
        <v>0</v>
      </c>
      <c r="O5106" t="n">
        <v>0</v>
      </c>
      <c r="P5106" t="n">
        <v>0</v>
      </c>
      <c r="Q5106" t="n">
        <v>0</v>
      </c>
      <c r="R5106" s="2" t="inlineStr"/>
    </row>
    <row r="5107" ht="15" customHeight="1">
      <c r="A5107" t="inlineStr">
        <is>
          <t>A 44490-2021</t>
        </is>
      </c>
      <c r="B5107" s="1" t="n">
        <v>44435</v>
      </c>
      <c r="C5107" s="1" t="n">
        <v>45810</v>
      </c>
      <c r="D5107" t="inlineStr">
        <is>
          <t>VÄRMLANDS LÄN</t>
        </is>
      </c>
      <c r="E5107" t="inlineStr">
        <is>
          <t>TORSBY</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44465-2021</t>
        </is>
      </c>
      <c r="B5108" s="1" t="n">
        <v>44435</v>
      </c>
      <c r="C5108" s="1" t="n">
        <v>45810</v>
      </c>
      <c r="D5108" t="inlineStr">
        <is>
          <t>VÄRMLANDS LÄN</t>
        </is>
      </c>
      <c r="E5108" t="inlineStr">
        <is>
          <t>SUNNE</t>
        </is>
      </c>
      <c r="F5108" t="inlineStr">
        <is>
          <t>Kommuner</t>
        </is>
      </c>
      <c r="G5108" t="n">
        <v>4.1</v>
      </c>
      <c r="H5108" t="n">
        <v>0</v>
      </c>
      <c r="I5108" t="n">
        <v>0</v>
      </c>
      <c r="J5108" t="n">
        <v>0</v>
      </c>
      <c r="K5108" t="n">
        <v>0</v>
      </c>
      <c r="L5108" t="n">
        <v>0</v>
      </c>
      <c r="M5108" t="n">
        <v>0</v>
      </c>
      <c r="N5108" t="n">
        <v>0</v>
      </c>
      <c r="O5108" t="n">
        <v>0</v>
      </c>
      <c r="P5108" t="n">
        <v>0</v>
      </c>
      <c r="Q5108" t="n">
        <v>0</v>
      </c>
      <c r="R5108" s="2" t="inlineStr"/>
    </row>
    <row r="5109" ht="15" customHeight="1">
      <c r="A5109" t="inlineStr">
        <is>
          <t>A 45716-2021</t>
        </is>
      </c>
      <c r="B5109" s="1" t="n">
        <v>44435</v>
      </c>
      <c r="C5109" s="1" t="n">
        <v>45810</v>
      </c>
      <c r="D5109" t="inlineStr">
        <is>
          <t>VÄRMLANDS LÄN</t>
        </is>
      </c>
      <c r="E5109" t="inlineStr">
        <is>
          <t>ARVIKA</t>
        </is>
      </c>
      <c r="G5109" t="n">
        <v>2.7</v>
      </c>
      <c r="H5109" t="n">
        <v>0</v>
      </c>
      <c r="I5109" t="n">
        <v>0</v>
      </c>
      <c r="J5109" t="n">
        <v>0</v>
      </c>
      <c r="K5109" t="n">
        <v>0</v>
      </c>
      <c r="L5109" t="n">
        <v>0</v>
      </c>
      <c r="M5109" t="n">
        <v>0</v>
      </c>
      <c r="N5109" t="n">
        <v>0</v>
      </c>
      <c r="O5109" t="n">
        <v>0</v>
      </c>
      <c r="P5109" t="n">
        <v>0</v>
      </c>
      <c r="Q5109" t="n">
        <v>0</v>
      </c>
      <c r="R5109" s="2" t="inlineStr"/>
    </row>
    <row r="5110" ht="15" customHeight="1">
      <c r="A5110" t="inlineStr">
        <is>
          <t>A 45740-2021</t>
        </is>
      </c>
      <c r="B5110" s="1" t="n">
        <v>44435</v>
      </c>
      <c r="C5110" s="1" t="n">
        <v>45810</v>
      </c>
      <c r="D5110" t="inlineStr">
        <is>
          <t>VÄRMLANDS LÄN</t>
        </is>
      </c>
      <c r="E5110" t="inlineStr">
        <is>
          <t>ARVIKA</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45756-2021</t>
        </is>
      </c>
      <c r="B5111" s="1" t="n">
        <v>44435</v>
      </c>
      <c r="C5111" s="1" t="n">
        <v>45810</v>
      </c>
      <c r="D5111" t="inlineStr">
        <is>
          <t>VÄRMLANDS LÄN</t>
        </is>
      </c>
      <c r="E5111" t="inlineStr">
        <is>
          <t>ARVIKA</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44647-2021</t>
        </is>
      </c>
      <c r="B5112" s="1" t="n">
        <v>44437</v>
      </c>
      <c r="C5112" s="1" t="n">
        <v>45810</v>
      </c>
      <c r="D5112" t="inlineStr">
        <is>
          <t>VÄRMLANDS LÄN</t>
        </is>
      </c>
      <c r="E5112" t="inlineStr">
        <is>
          <t>ÅRJÄNG</t>
        </is>
      </c>
      <c r="G5112" t="n">
        <v>3</v>
      </c>
      <c r="H5112" t="n">
        <v>0</v>
      </c>
      <c r="I5112" t="n">
        <v>0</v>
      </c>
      <c r="J5112" t="n">
        <v>0</v>
      </c>
      <c r="K5112" t="n">
        <v>0</v>
      </c>
      <c r="L5112" t="n">
        <v>0</v>
      </c>
      <c r="M5112" t="n">
        <v>0</v>
      </c>
      <c r="N5112" t="n">
        <v>0</v>
      </c>
      <c r="O5112" t="n">
        <v>0</v>
      </c>
      <c r="P5112" t="n">
        <v>0</v>
      </c>
      <c r="Q5112" t="n">
        <v>0</v>
      </c>
      <c r="R5112" s="2" t="inlineStr"/>
    </row>
    <row r="5113" ht="15" customHeight="1">
      <c r="A5113" t="inlineStr">
        <is>
          <t>A 44778-2021</t>
        </is>
      </c>
      <c r="B5113" s="1" t="n">
        <v>44438</v>
      </c>
      <c r="C5113" s="1" t="n">
        <v>45810</v>
      </c>
      <c r="D5113" t="inlineStr">
        <is>
          <t>VÄRMLANDS LÄN</t>
        </is>
      </c>
      <c r="E5113" t="inlineStr">
        <is>
          <t>SÄFFLE</t>
        </is>
      </c>
      <c r="G5113" t="n">
        <v>2.4</v>
      </c>
      <c r="H5113" t="n">
        <v>0</v>
      </c>
      <c r="I5113" t="n">
        <v>0</v>
      </c>
      <c r="J5113" t="n">
        <v>0</v>
      </c>
      <c r="K5113" t="n">
        <v>0</v>
      </c>
      <c r="L5113" t="n">
        <v>0</v>
      </c>
      <c r="M5113" t="n">
        <v>0</v>
      </c>
      <c r="N5113" t="n">
        <v>0</v>
      </c>
      <c r="O5113" t="n">
        <v>0</v>
      </c>
      <c r="P5113" t="n">
        <v>0</v>
      </c>
      <c r="Q5113" t="n">
        <v>0</v>
      </c>
      <c r="R5113" s="2" t="inlineStr"/>
    </row>
    <row r="5114" ht="15" customHeight="1">
      <c r="A5114" t="inlineStr">
        <is>
          <t>A 44792-2021</t>
        </is>
      </c>
      <c r="B5114" s="1" t="n">
        <v>44438</v>
      </c>
      <c r="C5114" s="1" t="n">
        <v>45810</v>
      </c>
      <c r="D5114" t="inlineStr">
        <is>
          <t>VÄRMLANDS LÄN</t>
        </is>
      </c>
      <c r="E5114" t="inlineStr">
        <is>
          <t>SUNNE</t>
        </is>
      </c>
      <c r="G5114" t="n">
        <v>2.1</v>
      </c>
      <c r="H5114" t="n">
        <v>0</v>
      </c>
      <c r="I5114" t="n">
        <v>0</v>
      </c>
      <c r="J5114" t="n">
        <v>0</v>
      </c>
      <c r="K5114" t="n">
        <v>0</v>
      </c>
      <c r="L5114" t="n">
        <v>0</v>
      </c>
      <c r="M5114" t="n">
        <v>0</v>
      </c>
      <c r="N5114" t="n">
        <v>0</v>
      </c>
      <c r="O5114" t="n">
        <v>0</v>
      </c>
      <c r="P5114" t="n">
        <v>0</v>
      </c>
      <c r="Q5114" t="n">
        <v>0</v>
      </c>
      <c r="R5114" s="2" t="inlineStr"/>
    </row>
    <row r="5115" ht="15" customHeight="1">
      <c r="A5115" t="inlineStr">
        <is>
          <t>A 44761-2021</t>
        </is>
      </c>
      <c r="B5115" s="1" t="n">
        <v>44438</v>
      </c>
      <c r="C5115" s="1" t="n">
        <v>45810</v>
      </c>
      <c r="D5115" t="inlineStr">
        <is>
          <t>VÄRMLANDS LÄN</t>
        </is>
      </c>
      <c r="E5115" t="inlineStr">
        <is>
          <t>TORSBY</t>
        </is>
      </c>
      <c r="G5115" t="n">
        <v>6.5</v>
      </c>
      <c r="H5115" t="n">
        <v>0</v>
      </c>
      <c r="I5115" t="n">
        <v>0</v>
      </c>
      <c r="J5115" t="n">
        <v>0</v>
      </c>
      <c r="K5115" t="n">
        <v>0</v>
      </c>
      <c r="L5115" t="n">
        <v>0</v>
      </c>
      <c r="M5115" t="n">
        <v>0</v>
      </c>
      <c r="N5115" t="n">
        <v>0</v>
      </c>
      <c r="O5115" t="n">
        <v>0</v>
      </c>
      <c r="P5115" t="n">
        <v>0</v>
      </c>
      <c r="Q5115" t="n">
        <v>0</v>
      </c>
      <c r="R5115" s="2" t="inlineStr"/>
    </row>
    <row r="5116" ht="15" customHeight="1">
      <c r="A5116" t="inlineStr">
        <is>
          <t>A 44796-2021</t>
        </is>
      </c>
      <c r="B5116" s="1" t="n">
        <v>44438</v>
      </c>
      <c r="C5116" s="1" t="n">
        <v>45810</v>
      </c>
      <c r="D5116" t="inlineStr">
        <is>
          <t>VÄRMLANDS LÄN</t>
        </is>
      </c>
      <c r="E5116" t="inlineStr">
        <is>
          <t>SUNNE</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44835-2021</t>
        </is>
      </c>
      <c r="B5117" s="1" t="n">
        <v>44438</v>
      </c>
      <c r="C5117" s="1" t="n">
        <v>45810</v>
      </c>
      <c r="D5117" t="inlineStr">
        <is>
          <t>VÄRMLANDS LÄN</t>
        </is>
      </c>
      <c r="E5117" t="inlineStr">
        <is>
          <t>EDA</t>
        </is>
      </c>
      <c r="G5117" t="n">
        <v>2.4</v>
      </c>
      <c r="H5117" t="n">
        <v>0</v>
      </c>
      <c r="I5117" t="n">
        <v>0</v>
      </c>
      <c r="J5117" t="n">
        <v>0</v>
      </c>
      <c r="K5117" t="n">
        <v>0</v>
      </c>
      <c r="L5117" t="n">
        <v>0</v>
      </c>
      <c r="M5117" t="n">
        <v>0</v>
      </c>
      <c r="N5117" t="n">
        <v>0</v>
      </c>
      <c r="O5117" t="n">
        <v>0</v>
      </c>
      <c r="P5117" t="n">
        <v>0</v>
      </c>
      <c r="Q5117" t="n">
        <v>0</v>
      </c>
      <c r="R5117" s="2" t="inlineStr"/>
    </row>
    <row r="5118" ht="15" customHeight="1">
      <c r="A5118" t="inlineStr">
        <is>
          <t>A 44824-2021</t>
        </is>
      </c>
      <c r="B5118" s="1" t="n">
        <v>44438</v>
      </c>
      <c r="C5118" s="1" t="n">
        <v>45810</v>
      </c>
      <c r="D5118" t="inlineStr">
        <is>
          <t>VÄRMLANDS LÄN</t>
        </is>
      </c>
      <c r="E5118" t="inlineStr">
        <is>
          <t>ARVIKA</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44898-2021</t>
        </is>
      </c>
      <c r="B5119" s="1" t="n">
        <v>44438</v>
      </c>
      <c r="C5119" s="1" t="n">
        <v>45810</v>
      </c>
      <c r="D5119" t="inlineStr">
        <is>
          <t>VÄRMLANDS LÄN</t>
        </is>
      </c>
      <c r="E5119" t="inlineStr">
        <is>
          <t>HAGFORS</t>
        </is>
      </c>
      <c r="F5119" t="inlineStr">
        <is>
          <t>Bergvik skog väst AB</t>
        </is>
      </c>
      <c r="G5119" t="n">
        <v>8.199999999999999</v>
      </c>
      <c r="H5119" t="n">
        <v>0</v>
      </c>
      <c r="I5119" t="n">
        <v>0</v>
      </c>
      <c r="J5119" t="n">
        <v>0</v>
      </c>
      <c r="K5119" t="n">
        <v>0</v>
      </c>
      <c r="L5119" t="n">
        <v>0</v>
      </c>
      <c r="M5119" t="n">
        <v>0</v>
      </c>
      <c r="N5119" t="n">
        <v>0</v>
      </c>
      <c r="O5119" t="n">
        <v>0</v>
      </c>
      <c r="P5119" t="n">
        <v>0</v>
      </c>
      <c r="Q5119" t="n">
        <v>0</v>
      </c>
      <c r="R5119" s="2" t="inlineStr"/>
    </row>
    <row r="5120" ht="15" customHeight="1">
      <c r="A5120" t="inlineStr">
        <is>
          <t>A 44921-2021</t>
        </is>
      </c>
      <c r="B5120" s="1" t="n">
        <v>44438</v>
      </c>
      <c r="C5120" s="1" t="n">
        <v>45810</v>
      </c>
      <c r="D5120" t="inlineStr">
        <is>
          <t>VÄRMLANDS LÄN</t>
        </is>
      </c>
      <c r="E5120" t="inlineStr">
        <is>
          <t>ÅRJÄNG</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44975-2021</t>
        </is>
      </c>
      <c r="B5121" s="1" t="n">
        <v>44438</v>
      </c>
      <c r="C5121" s="1" t="n">
        <v>45810</v>
      </c>
      <c r="D5121" t="inlineStr">
        <is>
          <t>VÄRMLANDS LÄN</t>
        </is>
      </c>
      <c r="E5121" t="inlineStr">
        <is>
          <t>ARVIKA</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44979-2021</t>
        </is>
      </c>
      <c r="B5122" s="1" t="n">
        <v>44438</v>
      </c>
      <c r="C5122" s="1" t="n">
        <v>45810</v>
      </c>
      <c r="D5122" t="inlineStr">
        <is>
          <t>VÄRMLANDS LÄN</t>
        </is>
      </c>
      <c r="E5122" t="inlineStr">
        <is>
          <t>TORSBY</t>
        </is>
      </c>
      <c r="F5122" t="inlineStr">
        <is>
          <t>Bergvik skog väst AB</t>
        </is>
      </c>
      <c r="G5122" t="n">
        <v>22.2</v>
      </c>
      <c r="H5122" t="n">
        <v>0</v>
      </c>
      <c r="I5122" t="n">
        <v>0</v>
      </c>
      <c r="J5122" t="n">
        <v>0</v>
      </c>
      <c r="K5122" t="n">
        <v>0</v>
      </c>
      <c r="L5122" t="n">
        <v>0</v>
      </c>
      <c r="M5122" t="n">
        <v>0</v>
      </c>
      <c r="N5122" t="n">
        <v>0</v>
      </c>
      <c r="O5122" t="n">
        <v>0</v>
      </c>
      <c r="P5122" t="n">
        <v>0</v>
      </c>
      <c r="Q5122" t="n">
        <v>0</v>
      </c>
      <c r="R5122" s="2" t="inlineStr"/>
    </row>
    <row r="5123" ht="15" customHeight="1">
      <c r="A5123" t="inlineStr">
        <is>
          <t>A 44904-2021</t>
        </is>
      </c>
      <c r="B5123" s="1" t="n">
        <v>44438</v>
      </c>
      <c r="C5123" s="1" t="n">
        <v>45810</v>
      </c>
      <c r="D5123" t="inlineStr">
        <is>
          <t>VÄRMLANDS LÄN</t>
        </is>
      </c>
      <c r="E5123" t="inlineStr">
        <is>
          <t>SUNNE</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44923-2021</t>
        </is>
      </c>
      <c r="B5124" s="1" t="n">
        <v>44438</v>
      </c>
      <c r="C5124" s="1" t="n">
        <v>45810</v>
      </c>
      <c r="D5124" t="inlineStr">
        <is>
          <t>VÄRMLANDS LÄN</t>
        </is>
      </c>
      <c r="E5124" t="inlineStr">
        <is>
          <t>TORSBY</t>
        </is>
      </c>
      <c r="G5124" t="n">
        <v>1.9</v>
      </c>
      <c r="H5124" t="n">
        <v>0</v>
      </c>
      <c r="I5124" t="n">
        <v>0</v>
      </c>
      <c r="J5124" t="n">
        <v>0</v>
      </c>
      <c r="K5124" t="n">
        <v>0</v>
      </c>
      <c r="L5124" t="n">
        <v>0</v>
      </c>
      <c r="M5124" t="n">
        <v>0</v>
      </c>
      <c r="N5124" t="n">
        <v>0</v>
      </c>
      <c r="O5124" t="n">
        <v>0</v>
      </c>
      <c r="P5124" t="n">
        <v>0</v>
      </c>
      <c r="Q5124" t="n">
        <v>0</v>
      </c>
      <c r="R5124" s="2" t="inlineStr"/>
    </row>
    <row r="5125" ht="15" customHeight="1">
      <c r="A5125" t="inlineStr">
        <is>
          <t>A 44974-2021</t>
        </is>
      </c>
      <c r="B5125" s="1" t="n">
        <v>44438</v>
      </c>
      <c r="C5125" s="1" t="n">
        <v>45810</v>
      </c>
      <c r="D5125" t="inlineStr">
        <is>
          <t>VÄRMLANDS LÄN</t>
        </is>
      </c>
      <c r="E5125" t="inlineStr">
        <is>
          <t>ARVIKA</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44896-2021</t>
        </is>
      </c>
      <c r="B5126" s="1" t="n">
        <v>44438</v>
      </c>
      <c r="C5126" s="1" t="n">
        <v>45810</v>
      </c>
      <c r="D5126" t="inlineStr">
        <is>
          <t>VÄRMLANDS LÄN</t>
        </is>
      </c>
      <c r="E5126" t="inlineStr">
        <is>
          <t>SUNNE</t>
        </is>
      </c>
      <c r="G5126" t="n">
        <v>4</v>
      </c>
      <c r="H5126" t="n">
        <v>0</v>
      </c>
      <c r="I5126" t="n">
        <v>0</v>
      </c>
      <c r="J5126" t="n">
        <v>0</v>
      </c>
      <c r="K5126" t="n">
        <v>0</v>
      </c>
      <c r="L5126" t="n">
        <v>0</v>
      </c>
      <c r="M5126" t="n">
        <v>0</v>
      </c>
      <c r="N5126" t="n">
        <v>0</v>
      </c>
      <c r="O5126" t="n">
        <v>0</v>
      </c>
      <c r="P5126" t="n">
        <v>0</v>
      </c>
      <c r="Q5126" t="n">
        <v>0</v>
      </c>
      <c r="R5126" s="2" t="inlineStr"/>
    </row>
    <row r="5127" ht="15" customHeight="1">
      <c r="A5127" t="inlineStr">
        <is>
          <t>A 45052-2021</t>
        </is>
      </c>
      <c r="B5127" s="1" t="n">
        <v>44439</v>
      </c>
      <c r="C5127" s="1" t="n">
        <v>45810</v>
      </c>
      <c r="D5127" t="inlineStr">
        <is>
          <t>VÄRMLANDS LÄN</t>
        </is>
      </c>
      <c r="E5127" t="inlineStr">
        <is>
          <t>GRUMS</t>
        </is>
      </c>
      <c r="G5127" t="n">
        <v>0</v>
      </c>
      <c r="H5127" t="n">
        <v>0</v>
      </c>
      <c r="I5127" t="n">
        <v>0</v>
      </c>
      <c r="J5127" t="n">
        <v>0</v>
      </c>
      <c r="K5127" t="n">
        <v>0</v>
      </c>
      <c r="L5127" t="n">
        <v>0</v>
      </c>
      <c r="M5127" t="n">
        <v>0</v>
      </c>
      <c r="N5127" t="n">
        <v>0</v>
      </c>
      <c r="O5127" t="n">
        <v>0</v>
      </c>
      <c r="P5127" t="n">
        <v>0</v>
      </c>
      <c r="Q5127" t="n">
        <v>0</v>
      </c>
      <c r="R5127" s="2" t="inlineStr"/>
    </row>
    <row r="5128" ht="15" customHeight="1">
      <c r="A5128" t="inlineStr">
        <is>
          <t>A 45139-2021</t>
        </is>
      </c>
      <c r="B5128" s="1" t="n">
        <v>44439</v>
      </c>
      <c r="C5128" s="1" t="n">
        <v>45810</v>
      </c>
      <c r="D5128" t="inlineStr">
        <is>
          <t>VÄRMLANDS LÄN</t>
        </is>
      </c>
      <c r="E5128" t="inlineStr">
        <is>
          <t>FILIPSTAD</t>
        </is>
      </c>
      <c r="F5128" t="inlineStr">
        <is>
          <t>Bergvik skog väst AB</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45149-2021</t>
        </is>
      </c>
      <c r="B5129" s="1" t="n">
        <v>44439</v>
      </c>
      <c r="C5129" s="1" t="n">
        <v>45810</v>
      </c>
      <c r="D5129" t="inlineStr">
        <is>
          <t>VÄRMLANDS LÄN</t>
        </is>
      </c>
      <c r="E5129" t="inlineStr">
        <is>
          <t>SÄFFLE</t>
        </is>
      </c>
      <c r="G5129" t="n">
        <v>3.7</v>
      </c>
      <c r="H5129" t="n">
        <v>0</v>
      </c>
      <c r="I5129" t="n">
        <v>0</v>
      </c>
      <c r="J5129" t="n">
        <v>0</v>
      </c>
      <c r="K5129" t="n">
        <v>0</v>
      </c>
      <c r="L5129" t="n">
        <v>0</v>
      </c>
      <c r="M5129" t="n">
        <v>0</v>
      </c>
      <c r="N5129" t="n">
        <v>0</v>
      </c>
      <c r="O5129" t="n">
        <v>0</v>
      </c>
      <c r="P5129" t="n">
        <v>0</v>
      </c>
      <c r="Q5129" t="n">
        <v>0</v>
      </c>
      <c r="R5129" s="2" t="inlineStr"/>
    </row>
    <row r="5130" ht="15" customHeight="1">
      <c r="A5130" t="inlineStr">
        <is>
          <t>A 45265-2021</t>
        </is>
      </c>
      <c r="B5130" s="1" t="n">
        <v>44439</v>
      </c>
      <c r="C5130" s="1" t="n">
        <v>45810</v>
      </c>
      <c r="D5130" t="inlineStr">
        <is>
          <t>VÄRMLANDS LÄN</t>
        </is>
      </c>
      <c r="E5130" t="inlineStr">
        <is>
          <t>SUNNE</t>
        </is>
      </c>
      <c r="G5130" t="n">
        <v>4.5</v>
      </c>
      <c r="H5130" t="n">
        <v>0</v>
      </c>
      <c r="I5130" t="n">
        <v>0</v>
      </c>
      <c r="J5130" t="n">
        <v>0</v>
      </c>
      <c r="K5130" t="n">
        <v>0</v>
      </c>
      <c r="L5130" t="n">
        <v>0</v>
      </c>
      <c r="M5130" t="n">
        <v>0</v>
      </c>
      <c r="N5130" t="n">
        <v>0</v>
      </c>
      <c r="O5130" t="n">
        <v>0</v>
      </c>
      <c r="P5130" t="n">
        <v>0</v>
      </c>
      <c r="Q5130" t="n">
        <v>0</v>
      </c>
      <c r="R5130" s="2" t="inlineStr"/>
    </row>
    <row r="5131" ht="15" customHeight="1">
      <c r="A5131" t="inlineStr">
        <is>
          <t>A 45291-2021</t>
        </is>
      </c>
      <c r="B5131" s="1" t="n">
        <v>44439</v>
      </c>
      <c r="C5131" s="1" t="n">
        <v>45810</v>
      </c>
      <c r="D5131" t="inlineStr">
        <is>
          <t>VÄRMLANDS LÄN</t>
        </is>
      </c>
      <c r="E5131" t="inlineStr">
        <is>
          <t>EDA</t>
        </is>
      </c>
      <c r="G5131" t="n">
        <v>6.2</v>
      </c>
      <c r="H5131" t="n">
        <v>0</v>
      </c>
      <c r="I5131" t="n">
        <v>0</v>
      </c>
      <c r="J5131" t="n">
        <v>0</v>
      </c>
      <c r="K5131" t="n">
        <v>0</v>
      </c>
      <c r="L5131" t="n">
        <v>0</v>
      </c>
      <c r="M5131" t="n">
        <v>0</v>
      </c>
      <c r="N5131" t="n">
        <v>0</v>
      </c>
      <c r="O5131" t="n">
        <v>0</v>
      </c>
      <c r="P5131" t="n">
        <v>0</v>
      </c>
      <c r="Q5131" t="n">
        <v>0</v>
      </c>
      <c r="R5131" s="2" t="inlineStr"/>
    </row>
    <row r="5132" ht="15" customHeight="1">
      <c r="A5132" t="inlineStr">
        <is>
          <t>A 45299-2021</t>
        </is>
      </c>
      <c r="B5132" s="1" t="n">
        <v>44439</v>
      </c>
      <c r="C5132" s="1" t="n">
        <v>45810</v>
      </c>
      <c r="D5132" t="inlineStr">
        <is>
          <t>VÄRMLANDS LÄN</t>
        </is>
      </c>
      <c r="E5132" t="inlineStr">
        <is>
          <t>SUNNE</t>
        </is>
      </c>
      <c r="G5132" t="n">
        <v>3.9</v>
      </c>
      <c r="H5132" t="n">
        <v>0</v>
      </c>
      <c r="I5132" t="n">
        <v>0</v>
      </c>
      <c r="J5132" t="n">
        <v>0</v>
      </c>
      <c r="K5132" t="n">
        <v>0</v>
      </c>
      <c r="L5132" t="n">
        <v>0</v>
      </c>
      <c r="M5132" t="n">
        <v>0</v>
      </c>
      <c r="N5132" t="n">
        <v>0</v>
      </c>
      <c r="O5132" t="n">
        <v>0</v>
      </c>
      <c r="P5132" t="n">
        <v>0</v>
      </c>
      <c r="Q5132" t="n">
        <v>0</v>
      </c>
      <c r="R5132" s="2" t="inlineStr"/>
    </row>
    <row r="5133" ht="15" customHeight="1">
      <c r="A5133" t="inlineStr">
        <is>
          <t>A 45218-2021</t>
        </is>
      </c>
      <c r="B5133" s="1" t="n">
        <v>44439</v>
      </c>
      <c r="C5133" s="1" t="n">
        <v>45810</v>
      </c>
      <c r="D5133" t="inlineStr">
        <is>
          <t>VÄRMLANDS LÄN</t>
        </is>
      </c>
      <c r="E5133" t="inlineStr">
        <is>
          <t>HAGFORS</t>
        </is>
      </c>
      <c r="F5133" t="inlineStr">
        <is>
          <t>Bergvik skog väst AB</t>
        </is>
      </c>
      <c r="G5133" t="n">
        <v>49.5</v>
      </c>
      <c r="H5133" t="n">
        <v>0</v>
      </c>
      <c r="I5133" t="n">
        <v>0</v>
      </c>
      <c r="J5133" t="n">
        <v>0</v>
      </c>
      <c r="K5133" t="n">
        <v>0</v>
      </c>
      <c r="L5133" t="n">
        <v>0</v>
      </c>
      <c r="M5133" t="n">
        <v>0</v>
      </c>
      <c r="N5133" t="n">
        <v>0</v>
      </c>
      <c r="O5133" t="n">
        <v>0</v>
      </c>
      <c r="P5133" t="n">
        <v>0</v>
      </c>
      <c r="Q5133" t="n">
        <v>0</v>
      </c>
      <c r="R5133" s="2" t="inlineStr"/>
    </row>
    <row r="5134" ht="15" customHeight="1">
      <c r="A5134" t="inlineStr">
        <is>
          <t>A 45293-2021</t>
        </is>
      </c>
      <c r="B5134" s="1" t="n">
        <v>44439</v>
      </c>
      <c r="C5134" s="1" t="n">
        <v>45810</v>
      </c>
      <c r="D5134" t="inlineStr">
        <is>
          <t>VÄRMLANDS LÄN</t>
        </is>
      </c>
      <c r="E5134" t="inlineStr">
        <is>
          <t>HAGFORS</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45294-2021</t>
        </is>
      </c>
      <c r="B5135" s="1" t="n">
        <v>44439</v>
      </c>
      <c r="C5135" s="1" t="n">
        <v>45810</v>
      </c>
      <c r="D5135" t="inlineStr">
        <is>
          <t>VÄRMLANDS LÄN</t>
        </is>
      </c>
      <c r="E5135" t="inlineStr">
        <is>
          <t>ARVIKA</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45312-2021</t>
        </is>
      </c>
      <c r="B5136" s="1" t="n">
        <v>44439</v>
      </c>
      <c r="C5136" s="1" t="n">
        <v>45810</v>
      </c>
      <c r="D5136" t="inlineStr">
        <is>
          <t>VÄRMLANDS LÄN</t>
        </is>
      </c>
      <c r="E5136" t="inlineStr">
        <is>
          <t>EDA</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45327-2021</t>
        </is>
      </c>
      <c r="B5137" s="1" t="n">
        <v>44439</v>
      </c>
      <c r="C5137" s="1" t="n">
        <v>45810</v>
      </c>
      <c r="D5137" t="inlineStr">
        <is>
          <t>VÄRMLANDS LÄN</t>
        </is>
      </c>
      <c r="E5137" t="inlineStr">
        <is>
          <t>SUNNE</t>
        </is>
      </c>
      <c r="G5137" t="n">
        <v>8</v>
      </c>
      <c r="H5137" t="n">
        <v>0</v>
      </c>
      <c r="I5137" t="n">
        <v>0</v>
      </c>
      <c r="J5137" t="n">
        <v>0</v>
      </c>
      <c r="K5137" t="n">
        <v>0</v>
      </c>
      <c r="L5137" t="n">
        <v>0</v>
      </c>
      <c r="M5137" t="n">
        <v>0</v>
      </c>
      <c r="N5137" t="n">
        <v>0</v>
      </c>
      <c r="O5137" t="n">
        <v>0</v>
      </c>
      <c r="P5137" t="n">
        <v>0</v>
      </c>
      <c r="Q5137" t="n">
        <v>0</v>
      </c>
      <c r="R5137" s="2" t="inlineStr"/>
    </row>
    <row r="5138" ht="15" customHeight="1">
      <c r="A5138" t="inlineStr">
        <is>
          <t>A 47292-2021</t>
        </is>
      </c>
      <c r="B5138" s="1" t="n">
        <v>44439</v>
      </c>
      <c r="C5138" s="1" t="n">
        <v>45810</v>
      </c>
      <c r="D5138" t="inlineStr">
        <is>
          <t>VÄRMLANDS LÄN</t>
        </is>
      </c>
      <c r="E5138" t="inlineStr">
        <is>
          <t>SÄFFLE</t>
        </is>
      </c>
      <c r="G5138" t="n">
        <v>3</v>
      </c>
      <c r="H5138" t="n">
        <v>0</v>
      </c>
      <c r="I5138" t="n">
        <v>0</v>
      </c>
      <c r="J5138" t="n">
        <v>0</v>
      </c>
      <c r="K5138" t="n">
        <v>0</v>
      </c>
      <c r="L5138" t="n">
        <v>0</v>
      </c>
      <c r="M5138" t="n">
        <v>0</v>
      </c>
      <c r="N5138" t="n">
        <v>0</v>
      </c>
      <c r="O5138" t="n">
        <v>0</v>
      </c>
      <c r="P5138" t="n">
        <v>0</v>
      </c>
      <c r="Q5138" t="n">
        <v>0</v>
      </c>
      <c r="R5138" s="2" t="inlineStr"/>
    </row>
    <row r="5139" ht="15" customHeight="1">
      <c r="A5139" t="inlineStr">
        <is>
          <t>A 45481-2021</t>
        </is>
      </c>
      <c r="B5139" s="1" t="n">
        <v>44440</v>
      </c>
      <c r="C5139" s="1" t="n">
        <v>45810</v>
      </c>
      <c r="D5139" t="inlineStr">
        <is>
          <t>VÄRMLANDS LÄN</t>
        </is>
      </c>
      <c r="E5139" t="inlineStr">
        <is>
          <t>KRISTINEHAMN</t>
        </is>
      </c>
      <c r="G5139" t="n">
        <v>0.3</v>
      </c>
      <c r="H5139" t="n">
        <v>0</v>
      </c>
      <c r="I5139" t="n">
        <v>0</v>
      </c>
      <c r="J5139" t="n">
        <v>0</v>
      </c>
      <c r="K5139" t="n">
        <v>0</v>
      </c>
      <c r="L5139" t="n">
        <v>0</v>
      </c>
      <c r="M5139" t="n">
        <v>0</v>
      </c>
      <c r="N5139" t="n">
        <v>0</v>
      </c>
      <c r="O5139" t="n">
        <v>0</v>
      </c>
      <c r="P5139" t="n">
        <v>0</v>
      </c>
      <c r="Q5139" t="n">
        <v>0</v>
      </c>
      <c r="R5139" s="2" t="inlineStr"/>
    </row>
    <row r="5140" ht="15" customHeight="1">
      <c r="A5140" t="inlineStr">
        <is>
          <t>A 45445-2021</t>
        </is>
      </c>
      <c r="B5140" s="1" t="n">
        <v>44440</v>
      </c>
      <c r="C5140" s="1" t="n">
        <v>45810</v>
      </c>
      <c r="D5140" t="inlineStr">
        <is>
          <t>VÄRMLANDS LÄN</t>
        </is>
      </c>
      <c r="E5140" t="inlineStr">
        <is>
          <t>TORSBY</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45447-2021</t>
        </is>
      </c>
      <c r="B5141" s="1" t="n">
        <v>44440</v>
      </c>
      <c r="C5141" s="1" t="n">
        <v>45810</v>
      </c>
      <c r="D5141" t="inlineStr">
        <is>
          <t>VÄRMLANDS LÄN</t>
        </is>
      </c>
      <c r="E5141" t="inlineStr">
        <is>
          <t>TORSBY</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45554-2021</t>
        </is>
      </c>
      <c r="B5142" s="1" t="n">
        <v>44440</v>
      </c>
      <c r="C5142" s="1" t="n">
        <v>45810</v>
      </c>
      <c r="D5142" t="inlineStr">
        <is>
          <t>VÄRMLANDS LÄN</t>
        </is>
      </c>
      <c r="E5142" t="inlineStr">
        <is>
          <t>SÄFFLE</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45690-2021</t>
        </is>
      </c>
      <c r="B5143" s="1" t="n">
        <v>44441</v>
      </c>
      <c r="C5143" s="1" t="n">
        <v>45810</v>
      </c>
      <c r="D5143" t="inlineStr">
        <is>
          <t>VÄRMLANDS LÄN</t>
        </is>
      </c>
      <c r="E5143" t="inlineStr">
        <is>
          <t>KRISTINEHAMN</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45736-2021</t>
        </is>
      </c>
      <c r="B5144" s="1" t="n">
        <v>44441</v>
      </c>
      <c r="C5144" s="1" t="n">
        <v>45810</v>
      </c>
      <c r="D5144" t="inlineStr">
        <is>
          <t>VÄRMLANDS LÄN</t>
        </is>
      </c>
      <c r="E5144" t="inlineStr">
        <is>
          <t>FORSHAGA</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45659-2021</t>
        </is>
      </c>
      <c r="B5145" s="1" t="n">
        <v>44441</v>
      </c>
      <c r="C5145" s="1" t="n">
        <v>45810</v>
      </c>
      <c r="D5145" t="inlineStr">
        <is>
          <t>VÄRMLANDS LÄN</t>
        </is>
      </c>
      <c r="E5145" t="inlineStr">
        <is>
          <t>KRISTINEHAMN</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45662-2021</t>
        </is>
      </c>
      <c r="B5146" s="1" t="n">
        <v>44441</v>
      </c>
      <c r="C5146" s="1" t="n">
        <v>45810</v>
      </c>
      <c r="D5146" t="inlineStr">
        <is>
          <t>VÄRMLANDS LÄN</t>
        </is>
      </c>
      <c r="E5146" t="inlineStr">
        <is>
          <t>KRISTINEHAMN</t>
        </is>
      </c>
      <c r="G5146" t="n">
        <v>3.6</v>
      </c>
      <c r="H5146" t="n">
        <v>0</v>
      </c>
      <c r="I5146" t="n">
        <v>0</v>
      </c>
      <c r="J5146" t="n">
        <v>0</v>
      </c>
      <c r="K5146" t="n">
        <v>0</v>
      </c>
      <c r="L5146" t="n">
        <v>0</v>
      </c>
      <c r="M5146" t="n">
        <v>0</v>
      </c>
      <c r="N5146" t="n">
        <v>0</v>
      </c>
      <c r="O5146" t="n">
        <v>0</v>
      </c>
      <c r="P5146" t="n">
        <v>0</v>
      </c>
      <c r="Q5146" t="n">
        <v>0</v>
      </c>
      <c r="R5146" s="2" t="inlineStr"/>
    </row>
    <row r="5147" ht="15" customHeight="1">
      <c r="A5147" t="inlineStr">
        <is>
          <t>A 45742-2021</t>
        </is>
      </c>
      <c r="B5147" s="1" t="n">
        <v>44441</v>
      </c>
      <c r="C5147" s="1" t="n">
        <v>45810</v>
      </c>
      <c r="D5147" t="inlineStr">
        <is>
          <t>VÄRMLANDS LÄN</t>
        </is>
      </c>
      <c r="E5147" t="inlineStr">
        <is>
          <t>FORSHAGA</t>
        </is>
      </c>
      <c r="G5147" t="n">
        <v>8.300000000000001</v>
      </c>
      <c r="H5147" t="n">
        <v>0</v>
      </c>
      <c r="I5147" t="n">
        <v>0</v>
      </c>
      <c r="J5147" t="n">
        <v>0</v>
      </c>
      <c r="K5147" t="n">
        <v>0</v>
      </c>
      <c r="L5147" t="n">
        <v>0</v>
      </c>
      <c r="M5147" t="n">
        <v>0</v>
      </c>
      <c r="N5147" t="n">
        <v>0</v>
      </c>
      <c r="O5147" t="n">
        <v>0</v>
      </c>
      <c r="P5147" t="n">
        <v>0</v>
      </c>
      <c r="Q5147" t="n">
        <v>0</v>
      </c>
      <c r="R5147" s="2" t="inlineStr"/>
    </row>
    <row r="5148" ht="15" customHeight="1">
      <c r="A5148" t="inlineStr">
        <is>
          <t>A 45738-2021</t>
        </is>
      </c>
      <c r="B5148" s="1" t="n">
        <v>44441</v>
      </c>
      <c r="C5148" s="1" t="n">
        <v>45810</v>
      </c>
      <c r="D5148" t="inlineStr">
        <is>
          <t>VÄRMLANDS LÄN</t>
        </is>
      </c>
      <c r="E5148" t="inlineStr">
        <is>
          <t>FORSHAGA</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45751-2021</t>
        </is>
      </c>
      <c r="B5149" s="1" t="n">
        <v>44441</v>
      </c>
      <c r="C5149" s="1" t="n">
        <v>45810</v>
      </c>
      <c r="D5149" t="inlineStr">
        <is>
          <t>VÄRMLANDS LÄN</t>
        </is>
      </c>
      <c r="E5149" t="inlineStr">
        <is>
          <t>FORSHAGA</t>
        </is>
      </c>
      <c r="G5149" t="n">
        <v>2.2</v>
      </c>
      <c r="H5149" t="n">
        <v>0</v>
      </c>
      <c r="I5149" t="n">
        <v>0</v>
      </c>
      <c r="J5149" t="n">
        <v>0</v>
      </c>
      <c r="K5149" t="n">
        <v>0</v>
      </c>
      <c r="L5149" t="n">
        <v>0</v>
      </c>
      <c r="M5149" t="n">
        <v>0</v>
      </c>
      <c r="N5149" t="n">
        <v>0</v>
      </c>
      <c r="O5149" t="n">
        <v>0</v>
      </c>
      <c r="P5149" t="n">
        <v>0</v>
      </c>
      <c r="Q5149" t="n">
        <v>0</v>
      </c>
      <c r="R5149" s="2" t="inlineStr"/>
    </row>
    <row r="5150" ht="15" customHeight="1">
      <c r="A5150" t="inlineStr">
        <is>
          <t>A 45937-2021</t>
        </is>
      </c>
      <c r="B5150" s="1" t="n">
        <v>44441</v>
      </c>
      <c r="C5150" s="1" t="n">
        <v>45810</v>
      </c>
      <c r="D5150" t="inlineStr">
        <is>
          <t>VÄRMLANDS LÄN</t>
        </is>
      </c>
      <c r="E5150" t="inlineStr">
        <is>
          <t>SUNNE</t>
        </is>
      </c>
      <c r="F5150" t="inlineStr">
        <is>
          <t>Kommuner</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45922-2021</t>
        </is>
      </c>
      <c r="B5151" s="1" t="n">
        <v>44441</v>
      </c>
      <c r="C5151" s="1" t="n">
        <v>45810</v>
      </c>
      <c r="D5151" t="inlineStr">
        <is>
          <t>VÄRMLANDS LÄN</t>
        </is>
      </c>
      <c r="E5151" t="inlineStr">
        <is>
          <t>SUNNE</t>
        </is>
      </c>
      <c r="F5151" t="inlineStr">
        <is>
          <t>Kommuner</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45960-2021</t>
        </is>
      </c>
      <c r="B5152" s="1" t="n">
        <v>44441</v>
      </c>
      <c r="C5152" s="1" t="n">
        <v>45810</v>
      </c>
      <c r="D5152" t="inlineStr">
        <is>
          <t>VÄRMLANDS LÄN</t>
        </is>
      </c>
      <c r="E5152" t="inlineStr">
        <is>
          <t>GRUMS</t>
        </is>
      </c>
      <c r="G5152" t="n">
        <v>13.6</v>
      </c>
      <c r="H5152" t="n">
        <v>0</v>
      </c>
      <c r="I5152" t="n">
        <v>0</v>
      </c>
      <c r="J5152" t="n">
        <v>0</v>
      </c>
      <c r="K5152" t="n">
        <v>0</v>
      </c>
      <c r="L5152" t="n">
        <v>0</v>
      </c>
      <c r="M5152" t="n">
        <v>0</v>
      </c>
      <c r="N5152" t="n">
        <v>0</v>
      </c>
      <c r="O5152" t="n">
        <v>0</v>
      </c>
      <c r="P5152" t="n">
        <v>0</v>
      </c>
      <c r="Q5152" t="n">
        <v>0</v>
      </c>
      <c r="R5152" s="2" t="inlineStr"/>
    </row>
    <row r="5153" ht="15" customHeight="1">
      <c r="A5153" t="inlineStr">
        <is>
          <t>A 45905-2021</t>
        </is>
      </c>
      <c r="B5153" s="1" t="n">
        <v>44441</v>
      </c>
      <c r="C5153" s="1" t="n">
        <v>45810</v>
      </c>
      <c r="D5153" t="inlineStr">
        <is>
          <t>VÄRMLANDS LÄN</t>
        </is>
      </c>
      <c r="E5153" t="inlineStr">
        <is>
          <t>KARLSTAD</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45962-2021</t>
        </is>
      </c>
      <c r="B5154" s="1" t="n">
        <v>44441</v>
      </c>
      <c r="C5154" s="1" t="n">
        <v>45810</v>
      </c>
      <c r="D5154" t="inlineStr">
        <is>
          <t>VÄRMLANDS LÄN</t>
        </is>
      </c>
      <c r="E5154" t="inlineStr">
        <is>
          <t>ÅRJÄNG</t>
        </is>
      </c>
      <c r="G5154" t="n">
        <v>4.3</v>
      </c>
      <c r="H5154" t="n">
        <v>0</v>
      </c>
      <c r="I5154" t="n">
        <v>0</v>
      </c>
      <c r="J5154" t="n">
        <v>0</v>
      </c>
      <c r="K5154" t="n">
        <v>0</v>
      </c>
      <c r="L5154" t="n">
        <v>0</v>
      </c>
      <c r="M5154" t="n">
        <v>0</v>
      </c>
      <c r="N5154" t="n">
        <v>0</v>
      </c>
      <c r="O5154" t="n">
        <v>0</v>
      </c>
      <c r="P5154" t="n">
        <v>0</v>
      </c>
      <c r="Q5154" t="n">
        <v>0</v>
      </c>
      <c r="R5154" s="2" t="inlineStr"/>
    </row>
    <row r="5155" ht="15" customHeight="1">
      <c r="A5155" t="inlineStr">
        <is>
          <t>A 46429-2021</t>
        </is>
      </c>
      <c r="B5155" s="1" t="n">
        <v>44441</v>
      </c>
      <c r="C5155" s="1" t="n">
        <v>45810</v>
      </c>
      <c r="D5155" t="inlineStr">
        <is>
          <t>VÄRMLANDS LÄN</t>
        </is>
      </c>
      <c r="E5155" t="inlineStr">
        <is>
          <t>MUNKFORS</t>
        </is>
      </c>
      <c r="G5155" t="n">
        <v>4.1</v>
      </c>
      <c r="H5155" t="n">
        <v>0</v>
      </c>
      <c r="I5155" t="n">
        <v>0</v>
      </c>
      <c r="J5155" t="n">
        <v>0</v>
      </c>
      <c r="K5155" t="n">
        <v>0</v>
      </c>
      <c r="L5155" t="n">
        <v>0</v>
      </c>
      <c r="M5155" t="n">
        <v>0</v>
      </c>
      <c r="N5155" t="n">
        <v>0</v>
      </c>
      <c r="O5155" t="n">
        <v>0</v>
      </c>
      <c r="P5155" t="n">
        <v>0</v>
      </c>
      <c r="Q5155" t="n">
        <v>0</v>
      </c>
      <c r="R5155" s="2" t="inlineStr"/>
    </row>
    <row r="5156" ht="15" customHeight="1">
      <c r="A5156" t="inlineStr">
        <is>
          <t>A 46090-2021</t>
        </is>
      </c>
      <c r="B5156" s="1" t="n">
        <v>44442</v>
      </c>
      <c r="C5156" s="1" t="n">
        <v>45810</v>
      </c>
      <c r="D5156" t="inlineStr">
        <is>
          <t>VÄRMLANDS LÄN</t>
        </is>
      </c>
      <c r="E5156" t="inlineStr">
        <is>
          <t>EDA</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46222-2021</t>
        </is>
      </c>
      <c r="B5157" s="1" t="n">
        <v>44442</v>
      </c>
      <c r="C5157" s="1" t="n">
        <v>45810</v>
      </c>
      <c r="D5157" t="inlineStr">
        <is>
          <t>VÄRMLANDS LÄN</t>
        </is>
      </c>
      <c r="E5157" t="inlineStr">
        <is>
          <t>KIL</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46250-2021</t>
        </is>
      </c>
      <c r="B5158" s="1" t="n">
        <v>44442</v>
      </c>
      <c r="C5158" s="1" t="n">
        <v>45810</v>
      </c>
      <c r="D5158" t="inlineStr">
        <is>
          <t>VÄRMLANDS LÄN</t>
        </is>
      </c>
      <c r="E5158" t="inlineStr">
        <is>
          <t>EDA</t>
        </is>
      </c>
      <c r="G5158" t="n">
        <v>3</v>
      </c>
      <c r="H5158" t="n">
        <v>0</v>
      </c>
      <c r="I5158" t="n">
        <v>0</v>
      </c>
      <c r="J5158" t="n">
        <v>0</v>
      </c>
      <c r="K5158" t="n">
        <v>0</v>
      </c>
      <c r="L5158" t="n">
        <v>0</v>
      </c>
      <c r="M5158" t="n">
        <v>0</v>
      </c>
      <c r="N5158" t="n">
        <v>0</v>
      </c>
      <c r="O5158" t="n">
        <v>0</v>
      </c>
      <c r="P5158" t="n">
        <v>0</v>
      </c>
      <c r="Q5158" t="n">
        <v>0</v>
      </c>
      <c r="R5158" s="2" t="inlineStr"/>
    </row>
    <row r="5159" ht="15" customHeight="1">
      <c r="A5159" t="inlineStr">
        <is>
          <t>A 46220-2021</t>
        </is>
      </c>
      <c r="B5159" s="1" t="n">
        <v>44442</v>
      </c>
      <c r="C5159" s="1" t="n">
        <v>45810</v>
      </c>
      <c r="D5159" t="inlineStr">
        <is>
          <t>VÄRMLANDS LÄN</t>
        </is>
      </c>
      <c r="E5159" t="inlineStr">
        <is>
          <t>KIL</t>
        </is>
      </c>
      <c r="G5159" t="n">
        <v>6.4</v>
      </c>
      <c r="H5159" t="n">
        <v>0</v>
      </c>
      <c r="I5159" t="n">
        <v>0</v>
      </c>
      <c r="J5159" t="n">
        <v>0</v>
      </c>
      <c r="K5159" t="n">
        <v>0</v>
      </c>
      <c r="L5159" t="n">
        <v>0</v>
      </c>
      <c r="M5159" t="n">
        <v>0</v>
      </c>
      <c r="N5159" t="n">
        <v>0</v>
      </c>
      <c r="O5159" t="n">
        <v>0</v>
      </c>
      <c r="P5159" t="n">
        <v>0</v>
      </c>
      <c r="Q5159" t="n">
        <v>0</v>
      </c>
      <c r="R5159" s="2" t="inlineStr"/>
    </row>
    <row r="5160" ht="15" customHeight="1">
      <c r="A5160" t="inlineStr">
        <is>
          <t>A 46248-2021</t>
        </is>
      </c>
      <c r="B5160" s="1" t="n">
        <v>44442</v>
      </c>
      <c r="C5160" s="1" t="n">
        <v>45810</v>
      </c>
      <c r="D5160" t="inlineStr">
        <is>
          <t>VÄRMLANDS LÄN</t>
        </is>
      </c>
      <c r="E5160" t="inlineStr">
        <is>
          <t>ÅRJÄNG</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46302-2021</t>
        </is>
      </c>
      <c r="B5161" s="1" t="n">
        <v>44442</v>
      </c>
      <c r="C5161" s="1" t="n">
        <v>45810</v>
      </c>
      <c r="D5161" t="inlineStr">
        <is>
          <t>VÄRMLANDS LÄN</t>
        </is>
      </c>
      <c r="E5161" t="inlineStr">
        <is>
          <t>TORSBY</t>
        </is>
      </c>
      <c r="F5161" t="inlineStr">
        <is>
          <t>Bergvik skog väst AB</t>
        </is>
      </c>
      <c r="G5161" t="n">
        <v>3.1</v>
      </c>
      <c r="H5161" t="n">
        <v>0</v>
      </c>
      <c r="I5161" t="n">
        <v>0</v>
      </c>
      <c r="J5161" t="n">
        <v>0</v>
      </c>
      <c r="K5161" t="n">
        <v>0</v>
      </c>
      <c r="L5161" t="n">
        <v>0</v>
      </c>
      <c r="M5161" t="n">
        <v>0</v>
      </c>
      <c r="N5161" t="n">
        <v>0</v>
      </c>
      <c r="O5161" t="n">
        <v>0</v>
      </c>
      <c r="P5161" t="n">
        <v>0</v>
      </c>
      <c r="Q5161" t="n">
        <v>0</v>
      </c>
      <c r="R5161" s="2" t="inlineStr"/>
    </row>
    <row r="5162" ht="15" customHeight="1">
      <c r="A5162" t="inlineStr">
        <is>
          <t>A 46297-2021</t>
        </is>
      </c>
      <c r="B5162" s="1" t="n">
        <v>44442</v>
      </c>
      <c r="C5162" s="1" t="n">
        <v>45810</v>
      </c>
      <c r="D5162" t="inlineStr">
        <is>
          <t>VÄRMLANDS LÄN</t>
        </is>
      </c>
      <c r="E5162" t="inlineStr">
        <is>
          <t>ARVIKA</t>
        </is>
      </c>
      <c r="F5162" t="inlineStr">
        <is>
          <t>Bergvik skog väst AB</t>
        </is>
      </c>
      <c r="G5162" t="n">
        <v>18.1</v>
      </c>
      <c r="H5162" t="n">
        <v>0</v>
      </c>
      <c r="I5162" t="n">
        <v>0</v>
      </c>
      <c r="J5162" t="n">
        <v>0</v>
      </c>
      <c r="K5162" t="n">
        <v>0</v>
      </c>
      <c r="L5162" t="n">
        <v>0</v>
      </c>
      <c r="M5162" t="n">
        <v>0</v>
      </c>
      <c r="N5162" t="n">
        <v>0</v>
      </c>
      <c r="O5162" t="n">
        <v>0</v>
      </c>
      <c r="P5162" t="n">
        <v>0</v>
      </c>
      <c r="Q5162" t="n">
        <v>0</v>
      </c>
      <c r="R5162" s="2" t="inlineStr"/>
    </row>
    <row r="5163" ht="15" customHeight="1">
      <c r="A5163" t="inlineStr">
        <is>
          <t>A 46511-2021</t>
        </is>
      </c>
      <c r="B5163" s="1" t="n">
        <v>44442</v>
      </c>
      <c r="C5163" s="1" t="n">
        <v>45810</v>
      </c>
      <c r="D5163" t="inlineStr">
        <is>
          <t>VÄRMLANDS LÄN</t>
        </is>
      </c>
      <c r="E5163" t="inlineStr">
        <is>
          <t>GRUMS</t>
        </is>
      </c>
      <c r="G5163" t="n">
        <v>5</v>
      </c>
      <c r="H5163" t="n">
        <v>0</v>
      </c>
      <c r="I5163" t="n">
        <v>0</v>
      </c>
      <c r="J5163" t="n">
        <v>0</v>
      </c>
      <c r="K5163" t="n">
        <v>0</v>
      </c>
      <c r="L5163" t="n">
        <v>0</v>
      </c>
      <c r="M5163" t="n">
        <v>0</v>
      </c>
      <c r="N5163" t="n">
        <v>0</v>
      </c>
      <c r="O5163" t="n">
        <v>0</v>
      </c>
      <c r="P5163" t="n">
        <v>0</v>
      </c>
      <c r="Q5163" t="n">
        <v>0</v>
      </c>
      <c r="R5163" s="2" t="inlineStr"/>
    </row>
    <row r="5164" ht="15" customHeight="1">
      <c r="A5164" t="inlineStr">
        <is>
          <t>A 46298-2021</t>
        </is>
      </c>
      <c r="B5164" s="1" t="n">
        <v>44442</v>
      </c>
      <c r="C5164" s="1" t="n">
        <v>45810</v>
      </c>
      <c r="D5164" t="inlineStr">
        <is>
          <t>VÄRMLANDS LÄN</t>
        </is>
      </c>
      <c r="E5164" t="inlineStr">
        <is>
          <t>SUNNE</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46096-2021</t>
        </is>
      </c>
      <c r="B5165" s="1" t="n">
        <v>44442</v>
      </c>
      <c r="C5165" s="1" t="n">
        <v>45810</v>
      </c>
      <c r="D5165" t="inlineStr">
        <is>
          <t>VÄRMLANDS LÄN</t>
        </is>
      </c>
      <c r="E5165" t="inlineStr">
        <is>
          <t>ÅRJÄNG</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46403-2021</t>
        </is>
      </c>
      <c r="B5166" s="1" t="n">
        <v>44443</v>
      </c>
      <c r="C5166" s="1" t="n">
        <v>45810</v>
      </c>
      <c r="D5166" t="inlineStr">
        <is>
          <t>VÄRMLANDS LÄN</t>
        </is>
      </c>
      <c r="E5166" t="inlineStr">
        <is>
          <t>SUNNE</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46503-2021</t>
        </is>
      </c>
      <c r="B5167" s="1" t="n">
        <v>44445</v>
      </c>
      <c r="C5167" s="1" t="n">
        <v>45810</v>
      </c>
      <c r="D5167" t="inlineStr">
        <is>
          <t>VÄRMLANDS LÄN</t>
        </is>
      </c>
      <c r="E5167" t="inlineStr">
        <is>
          <t>TORSBY</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46546-2021</t>
        </is>
      </c>
      <c r="B5168" s="1" t="n">
        <v>44445</v>
      </c>
      <c r="C5168" s="1" t="n">
        <v>45810</v>
      </c>
      <c r="D5168" t="inlineStr">
        <is>
          <t>VÄRMLANDS LÄN</t>
        </is>
      </c>
      <c r="E5168" t="inlineStr">
        <is>
          <t>FILIPSTAD</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46610-2021</t>
        </is>
      </c>
      <c r="B5169" s="1" t="n">
        <v>44445</v>
      </c>
      <c r="C5169" s="1" t="n">
        <v>45810</v>
      </c>
      <c r="D5169" t="inlineStr">
        <is>
          <t>VÄRMLANDS LÄN</t>
        </is>
      </c>
      <c r="E5169" t="inlineStr">
        <is>
          <t>TORSBY</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46476-2021</t>
        </is>
      </c>
      <c r="B5170" s="1" t="n">
        <v>44445</v>
      </c>
      <c r="C5170" s="1" t="n">
        <v>45810</v>
      </c>
      <c r="D5170" t="inlineStr">
        <is>
          <t>VÄRMLANDS LÄN</t>
        </is>
      </c>
      <c r="E5170" t="inlineStr">
        <is>
          <t>EDA</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46647-2021</t>
        </is>
      </c>
      <c r="B5171" s="1" t="n">
        <v>44445</v>
      </c>
      <c r="C5171" s="1" t="n">
        <v>45810</v>
      </c>
      <c r="D5171" t="inlineStr">
        <is>
          <t>VÄRMLANDS LÄN</t>
        </is>
      </c>
      <c r="E5171" t="inlineStr">
        <is>
          <t>ÅRJÄNG</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46644-2021</t>
        </is>
      </c>
      <c r="B5172" s="1" t="n">
        <v>44445</v>
      </c>
      <c r="C5172" s="1" t="n">
        <v>45810</v>
      </c>
      <c r="D5172" t="inlineStr">
        <is>
          <t>VÄRMLANDS LÄN</t>
        </is>
      </c>
      <c r="E5172" t="inlineStr">
        <is>
          <t>ÅRJÄNG</t>
        </is>
      </c>
      <c r="G5172" t="n">
        <v>3.8</v>
      </c>
      <c r="H5172" t="n">
        <v>0</v>
      </c>
      <c r="I5172" t="n">
        <v>0</v>
      </c>
      <c r="J5172" t="n">
        <v>0</v>
      </c>
      <c r="K5172" t="n">
        <v>0</v>
      </c>
      <c r="L5172" t="n">
        <v>0</v>
      </c>
      <c r="M5172" t="n">
        <v>0</v>
      </c>
      <c r="N5172" t="n">
        <v>0</v>
      </c>
      <c r="O5172" t="n">
        <v>0</v>
      </c>
      <c r="P5172" t="n">
        <v>0</v>
      </c>
      <c r="Q5172" t="n">
        <v>0</v>
      </c>
      <c r="R5172" s="2" t="inlineStr"/>
    </row>
    <row r="5173" ht="15" customHeight="1">
      <c r="A5173" t="inlineStr">
        <is>
          <t>A 46759-2021</t>
        </is>
      </c>
      <c r="B5173" s="1" t="n">
        <v>44445</v>
      </c>
      <c r="C5173" s="1" t="n">
        <v>45810</v>
      </c>
      <c r="D5173" t="inlineStr">
        <is>
          <t>VÄRMLANDS LÄN</t>
        </is>
      </c>
      <c r="E5173" t="inlineStr">
        <is>
          <t>EDA</t>
        </is>
      </c>
      <c r="G5173" t="n">
        <v>2.9</v>
      </c>
      <c r="H5173" t="n">
        <v>0</v>
      </c>
      <c r="I5173" t="n">
        <v>0</v>
      </c>
      <c r="J5173" t="n">
        <v>0</v>
      </c>
      <c r="K5173" t="n">
        <v>0</v>
      </c>
      <c r="L5173" t="n">
        <v>0</v>
      </c>
      <c r="M5173" t="n">
        <v>0</v>
      </c>
      <c r="N5173" t="n">
        <v>0</v>
      </c>
      <c r="O5173" t="n">
        <v>0</v>
      </c>
      <c r="P5173" t="n">
        <v>0</v>
      </c>
      <c r="Q5173" t="n">
        <v>0</v>
      </c>
      <c r="R5173" s="2" t="inlineStr"/>
    </row>
    <row r="5174" ht="15" customHeight="1">
      <c r="A5174" t="inlineStr">
        <is>
          <t>A 46701-2021</t>
        </is>
      </c>
      <c r="B5174" s="1" t="n">
        <v>44445</v>
      </c>
      <c r="C5174" s="1" t="n">
        <v>45810</v>
      </c>
      <c r="D5174" t="inlineStr">
        <is>
          <t>VÄRMLANDS LÄN</t>
        </is>
      </c>
      <c r="E5174" t="inlineStr">
        <is>
          <t>FORSHAGA</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46742-2021</t>
        </is>
      </c>
      <c r="B5175" s="1" t="n">
        <v>44445</v>
      </c>
      <c r="C5175" s="1" t="n">
        <v>45810</v>
      </c>
      <c r="D5175" t="inlineStr">
        <is>
          <t>VÄRMLANDS LÄN</t>
        </is>
      </c>
      <c r="E5175" t="inlineStr">
        <is>
          <t>SUNNE</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46765-2021</t>
        </is>
      </c>
      <c r="B5176" s="1" t="n">
        <v>44445</v>
      </c>
      <c r="C5176" s="1" t="n">
        <v>45810</v>
      </c>
      <c r="D5176" t="inlineStr">
        <is>
          <t>VÄRMLANDS LÄN</t>
        </is>
      </c>
      <c r="E5176" t="inlineStr">
        <is>
          <t>SÄFFLE</t>
        </is>
      </c>
      <c r="G5176" t="n">
        <v>2.9</v>
      </c>
      <c r="H5176" t="n">
        <v>0</v>
      </c>
      <c r="I5176" t="n">
        <v>0</v>
      </c>
      <c r="J5176" t="n">
        <v>0</v>
      </c>
      <c r="K5176" t="n">
        <v>0</v>
      </c>
      <c r="L5176" t="n">
        <v>0</v>
      </c>
      <c r="M5176" t="n">
        <v>0</v>
      </c>
      <c r="N5176" t="n">
        <v>0</v>
      </c>
      <c r="O5176" t="n">
        <v>0</v>
      </c>
      <c r="P5176" t="n">
        <v>0</v>
      </c>
      <c r="Q5176" t="n">
        <v>0</v>
      </c>
      <c r="R5176" s="2" t="inlineStr"/>
    </row>
    <row r="5177" ht="15" customHeight="1">
      <c r="A5177" t="inlineStr">
        <is>
          <t>A 46722-2021</t>
        </is>
      </c>
      <c r="B5177" s="1" t="n">
        <v>44445</v>
      </c>
      <c r="C5177" s="1" t="n">
        <v>45810</v>
      </c>
      <c r="D5177" t="inlineStr">
        <is>
          <t>VÄRMLANDS LÄN</t>
        </is>
      </c>
      <c r="E5177" t="inlineStr">
        <is>
          <t>EDA</t>
        </is>
      </c>
      <c r="G5177" t="n">
        <v>2.5</v>
      </c>
      <c r="H5177" t="n">
        <v>0</v>
      </c>
      <c r="I5177" t="n">
        <v>0</v>
      </c>
      <c r="J5177" t="n">
        <v>0</v>
      </c>
      <c r="K5177" t="n">
        <v>0</v>
      </c>
      <c r="L5177" t="n">
        <v>0</v>
      </c>
      <c r="M5177" t="n">
        <v>0</v>
      </c>
      <c r="N5177" t="n">
        <v>0</v>
      </c>
      <c r="O5177" t="n">
        <v>0</v>
      </c>
      <c r="P5177" t="n">
        <v>0</v>
      </c>
      <c r="Q5177" t="n">
        <v>0</v>
      </c>
      <c r="R5177" s="2" t="inlineStr"/>
    </row>
    <row r="5178" ht="15" customHeight="1">
      <c r="A5178" t="inlineStr">
        <is>
          <t>A 46774-2021</t>
        </is>
      </c>
      <c r="B5178" s="1" t="n">
        <v>44445</v>
      </c>
      <c r="C5178" s="1" t="n">
        <v>45810</v>
      </c>
      <c r="D5178" t="inlineStr">
        <is>
          <t>VÄRMLANDS LÄN</t>
        </is>
      </c>
      <c r="E5178" t="inlineStr">
        <is>
          <t>HAGFORS</t>
        </is>
      </c>
      <c r="G5178" t="n">
        <v>2.2</v>
      </c>
      <c r="H5178" t="n">
        <v>0</v>
      </c>
      <c r="I5178" t="n">
        <v>0</v>
      </c>
      <c r="J5178" t="n">
        <v>0</v>
      </c>
      <c r="K5178" t="n">
        <v>0</v>
      </c>
      <c r="L5178" t="n">
        <v>0</v>
      </c>
      <c r="M5178" t="n">
        <v>0</v>
      </c>
      <c r="N5178" t="n">
        <v>0</v>
      </c>
      <c r="O5178" t="n">
        <v>0</v>
      </c>
      <c r="P5178" t="n">
        <v>0</v>
      </c>
      <c r="Q5178" t="n">
        <v>0</v>
      </c>
      <c r="R5178" s="2" t="inlineStr"/>
    </row>
    <row r="5179" ht="15" customHeight="1">
      <c r="A5179" t="inlineStr">
        <is>
          <t>A 46840-2021</t>
        </is>
      </c>
      <c r="B5179" s="1" t="n">
        <v>44446</v>
      </c>
      <c r="C5179" s="1" t="n">
        <v>45810</v>
      </c>
      <c r="D5179" t="inlineStr">
        <is>
          <t>VÄRMLANDS LÄN</t>
        </is>
      </c>
      <c r="E5179" t="inlineStr">
        <is>
          <t>ARVIKA</t>
        </is>
      </c>
      <c r="F5179" t="inlineStr">
        <is>
          <t>Bergvik skog väst AB</t>
        </is>
      </c>
      <c r="G5179" t="n">
        <v>8.300000000000001</v>
      </c>
      <c r="H5179" t="n">
        <v>0</v>
      </c>
      <c r="I5179" t="n">
        <v>0</v>
      </c>
      <c r="J5179" t="n">
        <v>0</v>
      </c>
      <c r="K5179" t="n">
        <v>0</v>
      </c>
      <c r="L5179" t="n">
        <v>0</v>
      </c>
      <c r="M5179" t="n">
        <v>0</v>
      </c>
      <c r="N5179" t="n">
        <v>0</v>
      </c>
      <c r="O5179" t="n">
        <v>0</v>
      </c>
      <c r="P5179" t="n">
        <v>0</v>
      </c>
      <c r="Q5179" t="n">
        <v>0</v>
      </c>
      <c r="R5179" s="2" t="inlineStr"/>
    </row>
    <row r="5180" ht="15" customHeight="1">
      <c r="A5180" t="inlineStr">
        <is>
          <t>A 46795-2021</t>
        </is>
      </c>
      <c r="B5180" s="1" t="n">
        <v>44446</v>
      </c>
      <c r="C5180" s="1" t="n">
        <v>45810</v>
      </c>
      <c r="D5180" t="inlineStr">
        <is>
          <t>VÄRMLANDS LÄN</t>
        </is>
      </c>
      <c r="E5180" t="inlineStr">
        <is>
          <t>TORSBY</t>
        </is>
      </c>
      <c r="G5180" t="n">
        <v>6</v>
      </c>
      <c r="H5180" t="n">
        <v>0</v>
      </c>
      <c r="I5180" t="n">
        <v>0</v>
      </c>
      <c r="J5180" t="n">
        <v>0</v>
      </c>
      <c r="K5180" t="n">
        <v>0</v>
      </c>
      <c r="L5180" t="n">
        <v>0</v>
      </c>
      <c r="M5180" t="n">
        <v>0</v>
      </c>
      <c r="N5180" t="n">
        <v>0</v>
      </c>
      <c r="O5180" t="n">
        <v>0</v>
      </c>
      <c r="P5180" t="n">
        <v>0</v>
      </c>
      <c r="Q5180" t="n">
        <v>0</v>
      </c>
      <c r="R5180" s="2" t="inlineStr"/>
    </row>
    <row r="5181" ht="15" customHeight="1">
      <c r="A5181" t="inlineStr">
        <is>
          <t>A 46808-2021</t>
        </is>
      </c>
      <c r="B5181" s="1" t="n">
        <v>44446</v>
      </c>
      <c r="C5181" s="1" t="n">
        <v>45810</v>
      </c>
      <c r="D5181" t="inlineStr">
        <is>
          <t>VÄRMLANDS LÄN</t>
        </is>
      </c>
      <c r="E5181" t="inlineStr">
        <is>
          <t>KARLSTAD</t>
        </is>
      </c>
      <c r="G5181" t="n">
        <v>15.3</v>
      </c>
      <c r="H5181" t="n">
        <v>0</v>
      </c>
      <c r="I5181" t="n">
        <v>0</v>
      </c>
      <c r="J5181" t="n">
        <v>0</v>
      </c>
      <c r="K5181" t="n">
        <v>0</v>
      </c>
      <c r="L5181" t="n">
        <v>0</v>
      </c>
      <c r="M5181" t="n">
        <v>0</v>
      </c>
      <c r="N5181" t="n">
        <v>0</v>
      </c>
      <c r="O5181" t="n">
        <v>0</v>
      </c>
      <c r="P5181" t="n">
        <v>0</v>
      </c>
      <c r="Q5181" t="n">
        <v>0</v>
      </c>
      <c r="R5181" s="2" t="inlineStr"/>
    </row>
    <row r="5182" ht="15" customHeight="1">
      <c r="A5182" t="inlineStr">
        <is>
          <t>A 46934-2021</t>
        </is>
      </c>
      <c r="B5182" s="1" t="n">
        <v>44446</v>
      </c>
      <c r="C5182" s="1" t="n">
        <v>45810</v>
      </c>
      <c r="D5182" t="inlineStr">
        <is>
          <t>VÄRMLANDS LÄN</t>
        </is>
      </c>
      <c r="E5182" t="inlineStr">
        <is>
          <t>TORSBY</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46812-2021</t>
        </is>
      </c>
      <c r="B5183" s="1" t="n">
        <v>44446</v>
      </c>
      <c r="C5183" s="1" t="n">
        <v>45810</v>
      </c>
      <c r="D5183" t="inlineStr">
        <is>
          <t>VÄRMLANDS LÄN</t>
        </is>
      </c>
      <c r="E5183" t="inlineStr">
        <is>
          <t>KARLSTAD</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46861-2021</t>
        </is>
      </c>
      <c r="B5184" s="1" t="n">
        <v>44446</v>
      </c>
      <c r="C5184" s="1" t="n">
        <v>45810</v>
      </c>
      <c r="D5184" t="inlineStr">
        <is>
          <t>VÄRMLANDS LÄN</t>
        </is>
      </c>
      <c r="E5184" t="inlineStr">
        <is>
          <t>KRISTINEHAMN</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46880-2021</t>
        </is>
      </c>
      <c r="B5185" s="1" t="n">
        <v>44446</v>
      </c>
      <c r="C5185" s="1" t="n">
        <v>45810</v>
      </c>
      <c r="D5185" t="inlineStr">
        <is>
          <t>VÄRMLANDS LÄN</t>
        </is>
      </c>
      <c r="E5185" t="inlineStr">
        <is>
          <t>TORSBY</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46899-2021</t>
        </is>
      </c>
      <c r="B5186" s="1" t="n">
        <v>44446</v>
      </c>
      <c r="C5186" s="1" t="n">
        <v>45810</v>
      </c>
      <c r="D5186" t="inlineStr">
        <is>
          <t>VÄRMLANDS LÄN</t>
        </is>
      </c>
      <c r="E5186" t="inlineStr">
        <is>
          <t>SÄFFLE</t>
        </is>
      </c>
      <c r="G5186" t="n">
        <v>5.5</v>
      </c>
      <c r="H5186" t="n">
        <v>0</v>
      </c>
      <c r="I5186" t="n">
        <v>0</v>
      </c>
      <c r="J5186" t="n">
        <v>0</v>
      </c>
      <c r="K5186" t="n">
        <v>0</v>
      </c>
      <c r="L5186" t="n">
        <v>0</v>
      </c>
      <c r="M5186" t="n">
        <v>0</v>
      </c>
      <c r="N5186" t="n">
        <v>0</v>
      </c>
      <c r="O5186" t="n">
        <v>0</v>
      </c>
      <c r="P5186" t="n">
        <v>0</v>
      </c>
      <c r="Q5186" t="n">
        <v>0</v>
      </c>
      <c r="R5186" s="2" t="inlineStr"/>
    </row>
    <row r="5187" ht="15" customHeight="1">
      <c r="A5187" t="inlineStr">
        <is>
          <t>A 46814-2021</t>
        </is>
      </c>
      <c r="B5187" s="1" t="n">
        <v>44446</v>
      </c>
      <c r="C5187" s="1" t="n">
        <v>45810</v>
      </c>
      <c r="D5187" t="inlineStr">
        <is>
          <t>VÄRMLANDS LÄN</t>
        </is>
      </c>
      <c r="E5187" t="inlineStr">
        <is>
          <t>KARLSTAD</t>
        </is>
      </c>
      <c r="G5187" t="n">
        <v>5.7</v>
      </c>
      <c r="H5187" t="n">
        <v>0</v>
      </c>
      <c r="I5187" t="n">
        <v>0</v>
      </c>
      <c r="J5187" t="n">
        <v>0</v>
      </c>
      <c r="K5187" t="n">
        <v>0</v>
      </c>
      <c r="L5187" t="n">
        <v>0</v>
      </c>
      <c r="M5187" t="n">
        <v>0</v>
      </c>
      <c r="N5187" t="n">
        <v>0</v>
      </c>
      <c r="O5187" t="n">
        <v>0</v>
      </c>
      <c r="P5187" t="n">
        <v>0</v>
      </c>
      <c r="Q5187" t="n">
        <v>0</v>
      </c>
      <c r="R5187" s="2" t="inlineStr"/>
    </row>
    <row r="5188" ht="15" customHeight="1">
      <c r="A5188" t="inlineStr">
        <is>
          <t>A 47005-2021</t>
        </is>
      </c>
      <c r="B5188" s="1" t="n">
        <v>44446</v>
      </c>
      <c r="C5188" s="1" t="n">
        <v>45810</v>
      </c>
      <c r="D5188" t="inlineStr">
        <is>
          <t>VÄRMLANDS LÄN</t>
        </is>
      </c>
      <c r="E5188" t="inlineStr">
        <is>
          <t>ÅRJÄNG</t>
        </is>
      </c>
      <c r="G5188" t="n">
        <v>6.3</v>
      </c>
      <c r="H5188" t="n">
        <v>0</v>
      </c>
      <c r="I5188" t="n">
        <v>0</v>
      </c>
      <c r="J5188" t="n">
        <v>0</v>
      </c>
      <c r="K5188" t="n">
        <v>0</v>
      </c>
      <c r="L5188" t="n">
        <v>0</v>
      </c>
      <c r="M5188" t="n">
        <v>0</v>
      </c>
      <c r="N5188" t="n">
        <v>0</v>
      </c>
      <c r="O5188" t="n">
        <v>0</v>
      </c>
      <c r="P5188" t="n">
        <v>0</v>
      </c>
      <c r="Q5188" t="n">
        <v>0</v>
      </c>
      <c r="R5188" s="2" t="inlineStr"/>
    </row>
    <row r="5189" ht="15" customHeight="1">
      <c r="A5189" t="inlineStr">
        <is>
          <t>A 47035-2021</t>
        </is>
      </c>
      <c r="B5189" s="1" t="n">
        <v>44446</v>
      </c>
      <c r="C5189" s="1" t="n">
        <v>45810</v>
      </c>
      <c r="D5189" t="inlineStr">
        <is>
          <t>VÄRMLANDS LÄN</t>
        </is>
      </c>
      <c r="E5189" t="inlineStr">
        <is>
          <t>ÅRJÄNG</t>
        </is>
      </c>
      <c r="G5189" t="n">
        <v>2.6</v>
      </c>
      <c r="H5189" t="n">
        <v>0</v>
      </c>
      <c r="I5189" t="n">
        <v>0</v>
      </c>
      <c r="J5189" t="n">
        <v>0</v>
      </c>
      <c r="K5189" t="n">
        <v>0</v>
      </c>
      <c r="L5189" t="n">
        <v>0</v>
      </c>
      <c r="M5189" t="n">
        <v>0</v>
      </c>
      <c r="N5189" t="n">
        <v>0</v>
      </c>
      <c r="O5189" t="n">
        <v>0</v>
      </c>
      <c r="P5189" t="n">
        <v>0</v>
      </c>
      <c r="Q5189" t="n">
        <v>0</v>
      </c>
      <c r="R5189" s="2" t="inlineStr"/>
    </row>
    <row r="5190" ht="15" customHeight="1">
      <c r="A5190" t="inlineStr">
        <is>
          <t>A 46987-2021</t>
        </is>
      </c>
      <c r="B5190" s="1" t="n">
        <v>44446</v>
      </c>
      <c r="C5190" s="1" t="n">
        <v>45810</v>
      </c>
      <c r="D5190" t="inlineStr">
        <is>
          <t>VÄRMLANDS LÄN</t>
        </is>
      </c>
      <c r="E5190" t="inlineStr">
        <is>
          <t>ÅRJÄNG</t>
        </is>
      </c>
      <c r="G5190" t="n">
        <v>2.3</v>
      </c>
      <c r="H5190" t="n">
        <v>0</v>
      </c>
      <c r="I5190" t="n">
        <v>0</v>
      </c>
      <c r="J5190" t="n">
        <v>0</v>
      </c>
      <c r="K5190" t="n">
        <v>0</v>
      </c>
      <c r="L5190" t="n">
        <v>0</v>
      </c>
      <c r="M5190" t="n">
        <v>0</v>
      </c>
      <c r="N5190" t="n">
        <v>0</v>
      </c>
      <c r="O5190" t="n">
        <v>0</v>
      </c>
      <c r="P5190" t="n">
        <v>0</v>
      </c>
      <c r="Q5190" t="n">
        <v>0</v>
      </c>
      <c r="R5190" s="2" t="inlineStr"/>
    </row>
    <row r="5191" ht="15" customHeight="1">
      <c r="A5191" t="inlineStr">
        <is>
          <t>A 47015-2021</t>
        </is>
      </c>
      <c r="B5191" s="1" t="n">
        <v>44446</v>
      </c>
      <c r="C5191" s="1" t="n">
        <v>45810</v>
      </c>
      <c r="D5191" t="inlineStr">
        <is>
          <t>VÄRMLANDS LÄN</t>
        </is>
      </c>
      <c r="E5191" t="inlineStr">
        <is>
          <t>ÅRJÄNG</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47033-2021</t>
        </is>
      </c>
      <c r="B5192" s="1" t="n">
        <v>44446</v>
      </c>
      <c r="C5192" s="1" t="n">
        <v>45810</v>
      </c>
      <c r="D5192" t="inlineStr">
        <is>
          <t>VÄRMLANDS LÄN</t>
        </is>
      </c>
      <c r="E5192" t="inlineStr">
        <is>
          <t>ÅRJÄNG</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47041-2021</t>
        </is>
      </c>
      <c r="B5193" s="1" t="n">
        <v>44446</v>
      </c>
      <c r="C5193" s="1" t="n">
        <v>45810</v>
      </c>
      <c r="D5193" t="inlineStr">
        <is>
          <t>VÄRMLANDS LÄN</t>
        </is>
      </c>
      <c r="E5193" t="inlineStr">
        <is>
          <t>KARLSTAD</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46994-2021</t>
        </is>
      </c>
      <c r="B5194" s="1" t="n">
        <v>44446</v>
      </c>
      <c r="C5194" s="1" t="n">
        <v>45810</v>
      </c>
      <c r="D5194" t="inlineStr">
        <is>
          <t>VÄRMLANDS LÄN</t>
        </is>
      </c>
      <c r="E5194" t="inlineStr">
        <is>
          <t>ÅRJÄNG</t>
        </is>
      </c>
      <c r="G5194" t="n">
        <v>5.1</v>
      </c>
      <c r="H5194" t="n">
        <v>0</v>
      </c>
      <c r="I5194" t="n">
        <v>0</v>
      </c>
      <c r="J5194" t="n">
        <v>0</v>
      </c>
      <c r="K5194" t="n">
        <v>0</v>
      </c>
      <c r="L5194" t="n">
        <v>0</v>
      </c>
      <c r="M5194" t="n">
        <v>0</v>
      </c>
      <c r="N5194" t="n">
        <v>0</v>
      </c>
      <c r="O5194" t="n">
        <v>0</v>
      </c>
      <c r="P5194" t="n">
        <v>0</v>
      </c>
      <c r="Q5194" t="n">
        <v>0</v>
      </c>
      <c r="R5194" s="2" t="inlineStr"/>
    </row>
    <row r="5195" ht="15" customHeight="1">
      <c r="A5195" t="inlineStr">
        <is>
          <t>A 47011-2021</t>
        </is>
      </c>
      <c r="B5195" s="1" t="n">
        <v>44446</v>
      </c>
      <c r="C5195" s="1" t="n">
        <v>45810</v>
      </c>
      <c r="D5195" t="inlineStr">
        <is>
          <t>VÄRMLANDS LÄN</t>
        </is>
      </c>
      <c r="E5195" t="inlineStr">
        <is>
          <t>ÅRJÄNG</t>
        </is>
      </c>
      <c r="G5195" t="n">
        <v>5.3</v>
      </c>
      <c r="H5195" t="n">
        <v>0</v>
      </c>
      <c r="I5195" t="n">
        <v>0</v>
      </c>
      <c r="J5195" t="n">
        <v>0</v>
      </c>
      <c r="K5195" t="n">
        <v>0</v>
      </c>
      <c r="L5195" t="n">
        <v>0</v>
      </c>
      <c r="M5195" t="n">
        <v>0</v>
      </c>
      <c r="N5195" t="n">
        <v>0</v>
      </c>
      <c r="O5195" t="n">
        <v>0</v>
      </c>
      <c r="P5195" t="n">
        <v>0</v>
      </c>
      <c r="Q5195" t="n">
        <v>0</v>
      </c>
      <c r="R5195" s="2" t="inlineStr"/>
    </row>
    <row r="5196" ht="15" customHeight="1">
      <c r="A5196" t="inlineStr">
        <is>
          <t>A 47026-2021</t>
        </is>
      </c>
      <c r="B5196" s="1" t="n">
        <v>44446</v>
      </c>
      <c r="C5196" s="1" t="n">
        <v>45810</v>
      </c>
      <c r="D5196" t="inlineStr">
        <is>
          <t>VÄRMLANDS LÄN</t>
        </is>
      </c>
      <c r="E5196" t="inlineStr">
        <is>
          <t>ÅRJÄNG</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47055-2021</t>
        </is>
      </c>
      <c r="B5197" s="1" t="n">
        <v>44446</v>
      </c>
      <c r="C5197" s="1" t="n">
        <v>45810</v>
      </c>
      <c r="D5197" t="inlineStr">
        <is>
          <t>VÄRMLANDS LÄN</t>
        </is>
      </c>
      <c r="E5197" t="inlineStr">
        <is>
          <t>KARLSTAD</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47083-2021</t>
        </is>
      </c>
      <c r="B5198" s="1" t="n">
        <v>44446</v>
      </c>
      <c r="C5198" s="1" t="n">
        <v>45810</v>
      </c>
      <c r="D5198" t="inlineStr">
        <is>
          <t>VÄRMLANDS LÄN</t>
        </is>
      </c>
      <c r="E5198" t="inlineStr">
        <is>
          <t>TORSBY</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47134-2021</t>
        </is>
      </c>
      <c r="B5199" s="1" t="n">
        <v>44446</v>
      </c>
      <c r="C5199" s="1" t="n">
        <v>45810</v>
      </c>
      <c r="D5199" t="inlineStr">
        <is>
          <t>VÄRMLANDS LÄN</t>
        </is>
      </c>
      <c r="E5199" t="inlineStr">
        <is>
          <t>KARLSTAD</t>
        </is>
      </c>
      <c r="G5199" t="n">
        <v>5</v>
      </c>
      <c r="H5199" t="n">
        <v>0</v>
      </c>
      <c r="I5199" t="n">
        <v>0</v>
      </c>
      <c r="J5199" t="n">
        <v>0</v>
      </c>
      <c r="K5199" t="n">
        <v>0</v>
      </c>
      <c r="L5199" t="n">
        <v>0</v>
      </c>
      <c r="M5199" t="n">
        <v>0</v>
      </c>
      <c r="N5199" t="n">
        <v>0</v>
      </c>
      <c r="O5199" t="n">
        <v>0</v>
      </c>
      <c r="P5199" t="n">
        <v>0</v>
      </c>
      <c r="Q5199" t="n">
        <v>0</v>
      </c>
      <c r="R5199" s="2" t="inlineStr"/>
    </row>
    <row r="5200" ht="15" customHeight="1">
      <c r="A5200" t="inlineStr">
        <is>
          <t>A 47119-2021</t>
        </is>
      </c>
      <c r="B5200" s="1" t="n">
        <v>44446</v>
      </c>
      <c r="C5200" s="1" t="n">
        <v>45810</v>
      </c>
      <c r="D5200" t="inlineStr">
        <is>
          <t>VÄRMLANDS LÄN</t>
        </is>
      </c>
      <c r="E5200" t="inlineStr">
        <is>
          <t>ARVIKA</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47223-2021</t>
        </is>
      </c>
      <c r="B5201" s="1" t="n">
        <v>44446</v>
      </c>
      <c r="C5201" s="1" t="n">
        <v>45810</v>
      </c>
      <c r="D5201" t="inlineStr">
        <is>
          <t>VÄRMLANDS LÄN</t>
        </is>
      </c>
      <c r="E5201" t="inlineStr">
        <is>
          <t>ÅRJÄNG</t>
        </is>
      </c>
      <c r="G5201" t="n">
        <v>5.4</v>
      </c>
      <c r="H5201" t="n">
        <v>0</v>
      </c>
      <c r="I5201" t="n">
        <v>0</v>
      </c>
      <c r="J5201" t="n">
        <v>0</v>
      </c>
      <c r="K5201" t="n">
        <v>0</v>
      </c>
      <c r="L5201" t="n">
        <v>0</v>
      </c>
      <c r="M5201" t="n">
        <v>0</v>
      </c>
      <c r="N5201" t="n">
        <v>0</v>
      </c>
      <c r="O5201" t="n">
        <v>0</v>
      </c>
      <c r="P5201" t="n">
        <v>0</v>
      </c>
      <c r="Q5201" t="n">
        <v>0</v>
      </c>
      <c r="R5201" s="2" t="inlineStr"/>
    </row>
    <row r="5202" ht="15" customHeight="1">
      <c r="A5202" t="inlineStr">
        <is>
          <t>A 47231-2021</t>
        </is>
      </c>
      <c r="B5202" s="1" t="n">
        <v>44446</v>
      </c>
      <c r="C5202" s="1" t="n">
        <v>45810</v>
      </c>
      <c r="D5202" t="inlineStr">
        <is>
          <t>VÄRMLANDS LÄN</t>
        </is>
      </c>
      <c r="E5202" t="inlineStr">
        <is>
          <t>ÅRJÄNG</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47287-2021</t>
        </is>
      </c>
      <c r="B5203" s="1" t="n">
        <v>44446</v>
      </c>
      <c r="C5203" s="1" t="n">
        <v>45810</v>
      </c>
      <c r="D5203" t="inlineStr">
        <is>
          <t>VÄRMLANDS LÄN</t>
        </is>
      </c>
      <c r="E5203" t="inlineStr">
        <is>
          <t>ÅRJÄNG</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47013-2021</t>
        </is>
      </c>
      <c r="B5204" s="1" t="n">
        <v>44446</v>
      </c>
      <c r="C5204" s="1" t="n">
        <v>45810</v>
      </c>
      <c r="D5204" t="inlineStr">
        <is>
          <t>VÄRMLANDS LÄN</t>
        </is>
      </c>
      <c r="E5204" t="inlineStr">
        <is>
          <t>ÅRJÄNG</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47215-2021</t>
        </is>
      </c>
      <c r="B5205" s="1" t="n">
        <v>44446</v>
      </c>
      <c r="C5205" s="1" t="n">
        <v>45810</v>
      </c>
      <c r="D5205" t="inlineStr">
        <is>
          <t>VÄRMLANDS LÄN</t>
        </is>
      </c>
      <c r="E5205" t="inlineStr">
        <is>
          <t>ÅRJÄNG</t>
        </is>
      </c>
      <c r="G5205" t="n">
        <v>2.3</v>
      </c>
      <c r="H5205" t="n">
        <v>0</v>
      </c>
      <c r="I5205" t="n">
        <v>0</v>
      </c>
      <c r="J5205" t="n">
        <v>0</v>
      </c>
      <c r="K5205" t="n">
        <v>0</v>
      </c>
      <c r="L5205" t="n">
        <v>0</v>
      </c>
      <c r="M5205" t="n">
        <v>0</v>
      </c>
      <c r="N5205" t="n">
        <v>0</v>
      </c>
      <c r="O5205" t="n">
        <v>0</v>
      </c>
      <c r="P5205" t="n">
        <v>0</v>
      </c>
      <c r="Q5205" t="n">
        <v>0</v>
      </c>
      <c r="R5205" s="2" t="inlineStr"/>
    </row>
    <row r="5206" ht="15" customHeight="1">
      <c r="A5206" t="inlineStr">
        <is>
          <t>A 47230-2021</t>
        </is>
      </c>
      <c r="B5206" s="1" t="n">
        <v>44446</v>
      </c>
      <c r="C5206" s="1" t="n">
        <v>45810</v>
      </c>
      <c r="D5206" t="inlineStr">
        <is>
          <t>VÄRMLANDS LÄN</t>
        </is>
      </c>
      <c r="E5206" t="inlineStr">
        <is>
          <t>ÅRJÄNG</t>
        </is>
      </c>
      <c r="G5206" t="n">
        <v>6.2</v>
      </c>
      <c r="H5206" t="n">
        <v>0</v>
      </c>
      <c r="I5206" t="n">
        <v>0</v>
      </c>
      <c r="J5206" t="n">
        <v>0</v>
      </c>
      <c r="K5206" t="n">
        <v>0</v>
      </c>
      <c r="L5206" t="n">
        <v>0</v>
      </c>
      <c r="M5206" t="n">
        <v>0</v>
      </c>
      <c r="N5206" t="n">
        <v>0</v>
      </c>
      <c r="O5206" t="n">
        <v>0</v>
      </c>
      <c r="P5206" t="n">
        <v>0</v>
      </c>
      <c r="Q5206" t="n">
        <v>0</v>
      </c>
      <c r="R5206" s="2" t="inlineStr"/>
    </row>
    <row r="5207" ht="15" customHeight="1">
      <c r="A5207" t="inlineStr">
        <is>
          <t>A 47285-2021</t>
        </is>
      </c>
      <c r="B5207" s="1" t="n">
        <v>44446</v>
      </c>
      <c r="C5207" s="1" t="n">
        <v>45810</v>
      </c>
      <c r="D5207" t="inlineStr">
        <is>
          <t>VÄRMLANDS LÄN</t>
        </is>
      </c>
      <c r="E5207" t="inlineStr">
        <is>
          <t>KARLSTAD</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47235-2021</t>
        </is>
      </c>
      <c r="B5208" s="1" t="n">
        <v>44446</v>
      </c>
      <c r="C5208" s="1" t="n">
        <v>45810</v>
      </c>
      <c r="D5208" t="inlineStr">
        <is>
          <t>VÄRMLANDS LÄN</t>
        </is>
      </c>
      <c r="E5208" t="inlineStr">
        <is>
          <t>ÅRJÄNG</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47293-2021</t>
        </is>
      </c>
      <c r="B5209" s="1" t="n">
        <v>44446</v>
      </c>
      <c r="C5209" s="1" t="n">
        <v>45810</v>
      </c>
      <c r="D5209" t="inlineStr">
        <is>
          <t>VÄRMLANDS LÄN</t>
        </is>
      </c>
      <c r="E5209" t="inlineStr">
        <is>
          <t>ÅRJÄNG</t>
        </is>
      </c>
      <c r="G5209" t="n">
        <v>3</v>
      </c>
      <c r="H5209" t="n">
        <v>0</v>
      </c>
      <c r="I5209" t="n">
        <v>0</v>
      </c>
      <c r="J5209" t="n">
        <v>0</v>
      </c>
      <c r="K5209" t="n">
        <v>0</v>
      </c>
      <c r="L5209" t="n">
        <v>0</v>
      </c>
      <c r="M5209" t="n">
        <v>0</v>
      </c>
      <c r="N5209" t="n">
        <v>0</v>
      </c>
      <c r="O5209" t="n">
        <v>0</v>
      </c>
      <c r="P5209" t="n">
        <v>0</v>
      </c>
      <c r="Q5209" t="n">
        <v>0</v>
      </c>
      <c r="R5209" s="2" t="inlineStr"/>
    </row>
    <row r="5210" ht="15" customHeight="1">
      <c r="A5210" t="inlineStr">
        <is>
          <t>A 47098-2021</t>
        </is>
      </c>
      <c r="B5210" s="1" t="n">
        <v>44446</v>
      </c>
      <c r="C5210" s="1" t="n">
        <v>45810</v>
      </c>
      <c r="D5210" t="inlineStr">
        <is>
          <t>VÄRMLANDS LÄN</t>
        </is>
      </c>
      <c r="E5210" t="inlineStr">
        <is>
          <t>TORSBY</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47228-2021</t>
        </is>
      </c>
      <c r="B5211" s="1" t="n">
        <v>44446</v>
      </c>
      <c r="C5211" s="1" t="n">
        <v>45810</v>
      </c>
      <c r="D5211" t="inlineStr">
        <is>
          <t>VÄRMLANDS LÄN</t>
        </is>
      </c>
      <c r="E5211" t="inlineStr">
        <is>
          <t>ÅRJÄNG</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47242-2021</t>
        </is>
      </c>
      <c r="B5212" s="1" t="n">
        <v>44446</v>
      </c>
      <c r="C5212" s="1" t="n">
        <v>45810</v>
      </c>
      <c r="D5212" t="inlineStr">
        <is>
          <t>VÄRMLANDS LÄN</t>
        </is>
      </c>
      <c r="E5212" t="inlineStr">
        <is>
          <t>ÅRJÄNG</t>
        </is>
      </c>
      <c r="G5212" t="n">
        <v>6.8</v>
      </c>
      <c r="H5212" t="n">
        <v>0</v>
      </c>
      <c r="I5212" t="n">
        <v>0</v>
      </c>
      <c r="J5212" t="n">
        <v>0</v>
      </c>
      <c r="K5212" t="n">
        <v>0</v>
      </c>
      <c r="L5212" t="n">
        <v>0</v>
      </c>
      <c r="M5212" t="n">
        <v>0</v>
      </c>
      <c r="N5212" t="n">
        <v>0</v>
      </c>
      <c r="O5212" t="n">
        <v>0</v>
      </c>
      <c r="P5212" t="n">
        <v>0</v>
      </c>
      <c r="Q5212" t="n">
        <v>0</v>
      </c>
      <c r="R5212" s="2" t="inlineStr"/>
    </row>
    <row r="5213" ht="15" customHeight="1">
      <c r="A5213" t="inlineStr">
        <is>
          <t>A 47352-2021</t>
        </is>
      </c>
      <c r="B5213" s="1" t="n">
        <v>44447</v>
      </c>
      <c r="C5213" s="1" t="n">
        <v>45810</v>
      </c>
      <c r="D5213" t="inlineStr">
        <is>
          <t>VÄRMLANDS LÄN</t>
        </is>
      </c>
      <c r="E5213" t="inlineStr">
        <is>
          <t>KARLSTAD</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47271-2021</t>
        </is>
      </c>
      <c r="B5214" s="1" t="n">
        <v>44447</v>
      </c>
      <c r="C5214" s="1" t="n">
        <v>45810</v>
      </c>
      <c r="D5214" t="inlineStr">
        <is>
          <t>VÄRMLANDS LÄN</t>
        </is>
      </c>
      <c r="E5214" t="inlineStr">
        <is>
          <t>TORSBY</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47299-2021</t>
        </is>
      </c>
      <c r="B5215" s="1" t="n">
        <v>44447</v>
      </c>
      <c r="C5215" s="1" t="n">
        <v>45810</v>
      </c>
      <c r="D5215" t="inlineStr">
        <is>
          <t>VÄRMLANDS LÄN</t>
        </is>
      </c>
      <c r="E5215" t="inlineStr">
        <is>
          <t>TORSBY</t>
        </is>
      </c>
      <c r="F5215" t="inlineStr">
        <is>
          <t>Bergvik skog väst AB</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47266-2021</t>
        </is>
      </c>
      <c r="B5216" s="1" t="n">
        <v>44447</v>
      </c>
      <c r="C5216" s="1" t="n">
        <v>45810</v>
      </c>
      <c r="D5216" t="inlineStr">
        <is>
          <t>VÄRMLANDS LÄN</t>
        </is>
      </c>
      <c r="E5216" t="inlineStr">
        <is>
          <t>SUNNE</t>
        </is>
      </c>
      <c r="G5216" t="n">
        <v>2.4</v>
      </c>
      <c r="H5216" t="n">
        <v>0</v>
      </c>
      <c r="I5216" t="n">
        <v>0</v>
      </c>
      <c r="J5216" t="n">
        <v>0</v>
      </c>
      <c r="K5216" t="n">
        <v>0</v>
      </c>
      <c r="L5216" t="n">
        <v>0</v>
      </c>
      <c r="M5216" t="n">
        <v>0</v>
      </c>
      <c r="N5216" t="n">
        <v>0</v>
      </c>
      <c r="O5216" t="n">
        <v>0</v>
      </c>
      <c r="P5216" t="n">
        <v>0</v>
      </c>
      <c r="Q5216" t="n">
        <v>0</v>
      </c>
      <c r="R5216" s="2" t="inlineStr"/>
    </row>
    <row r="5217" ht="15" customHeight="1">
      <c r="A5217" t="inlineStr">
        <is>
          <t>A 47313-2021</t>
        </is>
      </c>
      <c r="B5217" s="1" t="n">
        <v>44447</v>
      </c>
      <c r="C5217" s="1" t="n">
        <v>45810</v>
      </c>
      <c r="D5217" t="inlineStr">
        <is>
          <t>VÄRMLANDS LÄN</t>
        </is>
      </c>
      <c r="E5217" t="inlineStr">
        <is>
          <t>SUNNE</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47355-2021</t>
        </is>
      </c>
      <c r="B5218" s="1" t="n">
        <v>44447</v>
      </c>
      <c r="C5218" s="1" t="n">
        <v>45810</v>
      </c>
      <c r="D5218" t="inlineStr">
        <is>
          <t>VÄRMLANDS LÄN</t>
        </is>
      </c>
      <c r="E5218" t="inlineStr">
        <is>
          <t>SUNNE</t>
        </is>
      </c>
      <c r="G5218" t="n">
        <v>2.4</v>
      </c>
      <c r="H5218" t="n">
        <v>0</v>
      </c>
      <c r="I5218" t="n">
        <v>0</v>
      </c>
      <c r="J5218" t="n">
        <v>0</v>
      </c>
      <c r="K5218" t="n">
        <v>0</v>
      </c>
      <c r="L5218" t="n">
        <v>0</v>
      </c>
      <c r="M5218" t="n">
        <v>0</v>
      </c>
      <c r="N5218" t="n">
        <v>0</v>
      </c>
      <c r="O5218" t="n">
        <v>0</v>
      </c>
      <c r="P5218" t="n">
        <v>0</v>
      </c>
      <c r="Q5218" t="n">
        <v>0</v>
      </c>
      <c r="R5218" s="2" t="inlineStr"/>
    </row>
    <row r="5219" ht="15" customHeight="1">
      <c r="A5219" t="inlineStr">
        <is>
          <t>A 47360-2021</t>
        </is>
      </c>
      <c r="B5219" s="1" t="n">
        <v>44447</v>
      </c>
      <c r="C5219" s="1" t="n">
        <v>45810</v>
      </c>
      <c r="D5219" t="inlineStr">
        <is>
          <t>VÄRMLANDS LÄN</t>
        </is>
      </c>
      <c r="E5219" t="inlineStr">
        <is>
          <t>ÅRJÄNG</t>
        </is>
      </c>
      <c r="G5219" t="n">
        <v>3.9</v>
      </c>
      <c r="H5219" t="n">
        <v>0</v>
      </c>
      <c r="I5219" t="n">
        <v>0</v>
      </c>
      <c r="J5219" t="n">
        <v>0</v>
      </c>
      <c r="K5219" t="n">
        <v>0</v>
      </c>
      <c r="L5219" t="n">
        <v>0</v>
      </c>
      <c r="M5219" t="n">
        <v>0</v>
      </c>
      <c r="N5219" t="n">
        <v>0</v>
      </c>
      <c r="O5219" t="n">
        <v>0</v>
      </c>
      <c r="P5219" t="n">
        <v>0</v>
      </c>
      <c r="Q5219" t="n">
        <v>0</v>
      </c>
      <c r="R5219" s="2" t="inlineStr"/>
    </row>
    <row r="5220" ht="15" customHeight="1">
      <c r="A5220" t="inlineStr">
        <is>
          <t>A 47431-2021</t>
        </is>
      </c>
      <c r="B5220" s="1" t="n">
        <v>44447</v>
      </c>
      <c r="C5220" s="1" t="n">
        <v>45810</v>
      </c>
      <c r="D5220" t="inlineStr">
        <is>
          <t>VÄRMLANDS LÄN</t>
        </is>
      </c>
      <c r="E5220" t="inlineStr">
        <is>
          <t>FORSHAGA</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47436-2021</t>
        </is>
      </c>
      <c r="B5221" s="1" t="n">
        <v>44447</v>
      </c>
      <c r="C5221" s="1" t="n">
        <v>45810</v>
      </c>
      <c r="D5221" t="inlineStr">
        <is>
          <t>VÄRMLANDS LÄN</t>
        </is>
      </c>
      <c r="E5221" t="inlineStr">
        <is>
          <t>FORSHAGA</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47653-2021</t>
        </is>
      </c>
      <c r="B5222" s="1" t="n">
        <v>44448</v>
      </c>
      <c r="C5222" s="1" t="n">
        <v>45810</v>
      </c>
      <c r="D5222" t="inlineStr">
        <is>
          <t>VÄRMLANDS LÄN</t>
        </is>
      </c>
      <c r="E5222" t="inlineStr">
        <is>
          <t>ÅRJÄNG</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47642-2021</t>
        </is>
      </c>
      <c r="B5223" s="1" t="n">
        <v>44448</v>
      </c>
      <c r="C5223" s="1" t="n">
        <v>45810</v>
      </c>
      <c r="D5223" t="inlineStr">
        <is>
          <t>VÄRMLANDS LÄN</t>
        </is>
      </c>
      <c r="E5223" t="inlineStr">
        <is>
          <t>ÅRJÄNG</t>
        </is>
      </c>
      <c r="G5223" t="n">
        <v>2.3</v>
      </c>
      <c r="H5223" t="n">
        <v>0</v>
      </c>
      <c r="I5223" t="n">
        <v>0</v>
      </c>
      <c r="J5223" t="n">
        <v>0</v>
      </c>
      <c r="K5223" t="n">
        <v>0</v>
      </c>
      <c r="L5223" t="n">
        <v>0</v>
      </c>
      <c r="M5223" t="n">
        <v>0</v>
      </c>
      <c r="N5223" t="n">
        <v>0</v>
      </c>
      <c r="O5223" t="n">
        <v>0</v>
      </c>
      <c r="P5223" t="n">
        <v>0</v>
      </c>
      <c r="Q5223" t="n">
        <v>0</v>
      </c>
      <c r="R5223" s="2" t="inlineStr"/>
    </row>
    <row r="5224" ht="15" customHeight="1">
      <c r="A5224" t="inlineStr">
        <is>
          <t>A 47602-2021</t>
        </is>
      </c>
      <c r="B5224" s="1" t="n">
        <v>44448</v>
      </c>
      <c r="C5224" s="1" t="n">
        <v>45810</v>
      </c>
      <c r="D5224" t="inlineStr">
        <is>
          <t>VÄRMLANDS LÄN</t>
        </is>
      </c>
      <c r="E5224" t="inlineStr">
        <is>
          <t>TORSBY</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47647-2021</t>
        </is>
      </c>
      <c r="B5225" s="1" t="n">
        <v>44448</v>
      </c>
      <c r="C5225" s="1" t="n">
        <v>45810</v>
      </c>
      <c r="D5225" t="inlineStr">
        <is>
          <t>VÄRMLANDS LÄN</t>
        </is>
      </c>
      <c r="E5225" t="inlineStr">
        <is>
          <t>ÅRJÄNG</t>
        </is>
      </c>
      <c r="G5225" t="n">
        <v>2.3</v>
      </c>
      <c r="H5225" t="n">
        <v>0</v>
      </c>
      <c r="I5225" t="n">
        <v>0</v>
      </c>
      <c r="J5225" t="n">
        <v>0</v>
      </c>
      <c r="K5225" t="n">
        <v>0</v>
      </c>
      <c r="L5225" t="n">
        <v>0</v>
      </c>
      <c r="M5225" t="n">
        <v>0</v>
      </c>
      <c r="N5225" t="n">
        <v>0</v>
      </c>
      <c r="O5225" t="n">
        <v>0</v>
      </c>
      <c r="P5225" t="n">
        <v>0</v>
      </c>
      <c r="Q5225" t="n">
        <v>0</v>
      </c>
      <c r="R5225" s="2" t="inlineStr"/>
    </row>
    <row r="5226" ht="15" customHeight="1">
      <c r="A5226" t="inlineStr">
        <is>
          <t>A 47673-2021</t>
        </is>
      </c>
      <c r="B5226" s="1" t="n">
        <v>44448</v>
      </c>
      <c r="C5226" s="1" t="n">
        <v>45810</v>
      </c>
      <c r="D5226" t="inlineStr">
        <is>
          <t>VÄRMLANDS LÄN</t>
        </is>
      </c>
      <c r="E5226" t="inlineStr">
        <is>
          <t>FILIPSTAD</t>
        </is>
      </c>
      <c r="F5226" t="inlineStr">
        <is>
          <t>Bergvik skog väst AB</t>
        </is>
      </c>
      <c r="G5226" t="n">
        <v>2.6</v>
      </c>
      <c r="H5226" t="n">
        <v>0</v>
      </c>
      <c r="I5226" t="n">
        <v>0</v>
      </c>
      <c r="J5226" t="n">
        <v>0</v>
      </c>
      <c r="K5226" t="n">
        <v>0</v>
      </c>
      <c r="L5226" t="n">
        <v>0</v>
      </c>
      <c r="M5226" t="n">
        <v>0</v>
      </c>
      <c r="N5226" t="n">
        <v>0</v>
      </c>
      <c r="O5226" t="n">
        <v>0</v>
      </c>
      <c r="P5226" t="n">
        <v>0</v>
      </c>
      <c r="Q5226" t="n">
        <v>0</v>
      </c>
      <c r="R5226" s="2" t="inlineStr"/>
    </row>
    <row r="5227" ht="15" customHeight="1">
      <c r="A5227" t="inlineStr">
        <is>
          <t>A 47724-2021</t>
        </is>
      </c>
      <c r="B5227" s="1" t="n">
        <v>44448</v>
      </c>
      <c r="C5227" s="1" t="n">
        <v>45810</v>
      </c>
      <c r="D5227" t="inlineStr">
        <is>
          <t>VÄRMLANDS LÄN</t>
        </is>
      </c>
      <c r="E5227" t="inlineStr">
        <is>
          <t>SUNNE</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47776-2021</t>
        </is>
      </c>
      <c r="B5228" s="1" t="n">
        <v>44448</v>
      </c>
      <c r="C5228" s="1" t="n">
        <v>45810</v>
      </c>
      <c r="D5228" t="inlineStr">
        <is>
          <t>VÄRMLANDS LÄN</t>
        </is>
      </c>
      <c r="E5228" t="inlineStr">
        <is>
          <t>SÄFFLE</t>
        </is>
      </c>
      <c r="G5228" t="n">
        <v>2.7</v>
      </c>
      <c r="H5228" t="n">
        <v>0</v>
      </c>
      <c r="I5228" t="n">
        <v>0</v>
      </c>
      <c r="J5228" t="n">
        <v>0</v>
      </c>
      <c r="K5228" t="n">
        <v>0</v>
      </c>
      <c r="L5228" t="n">
        <v>0</v>
      </c>
      <c r="M5228" t="n">
        <v>0</v>
      </c>
      <c r="N5228" t="n">
        <v>0</v>
      </c>
      <c r="O5228" t="n">
        <v>0</v>
      </c>
      <c r="P5228" t="n">
        <v>0</v>
      </c>
      <c r="Q5228" t="n">
        <v>0</v>
      </c>
      <c r="R5228" s="2" t="inlineStr"/>
    </row>
    <row r="5229" ht="15" customHeight="1">
      <c r="A5229" t="inlineStr">
        <is>
          <t>A 47777-2021</t>
        </is>
      </c>
      <c r="B5229" s="1" t="n">
        <v>44448</v>
      </c>
      <c r="C5229" s="1" t="n">
        <v>45810</v>
      </c>
      <c r="D5229" t="inlineStr">
        <is>
          <t>VÄRMLANDS LÄN</t>
        </is>
      </c>
      <c r="E5229" t="inlineStr">
        <is>
          <t>SÄFFLE</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47819-2021</t>
        </is>
      </c>
      <c r="B5230" s="1" t="n">
        <v>44448</v>
      </c>
      <c r="C5230" s="1" t="n">
        <v>45810</v>
      </c>
      <c r="D5230" t="inlineStr">
        <is>
          <t>VÄRMLANDS LÄN</t>
        </is>
      </c>
      <c r="E5230" t="inlineStr">
        <is>
          <t>SÄFFLE</t>
        </is>
      </c>
      <c r="G5230" t="n">
        <v>9.800000000000001</v>
      </c>
      <c r="H5230" t="n">
        <v>0</v>
      </c>
      <c r="I5230" t="n">
        <v>0</v>
      </c>
      <c r="J5230" t="n">
        <v>0</v>
      </c>
      <c r="K5230" t="n">
        <v>0</v>
      </c>
      <c r="L5230" t="n">
        <v>0</v>
      </c>
      <c r="M5230" t="n">
        <v>0</v>
      </c>
      <c r="N5230" t="n">
        <v>0</v>
      </c>
      <c r="O5230" t="n">
        <v>0</v>
      </c>
      <c r="P5230" t="n">
        <v>0</v>
      </c>
      <c r="Q5230" t="n">
        <v>0</v>
      </c>
      <c r="R5230" s="2" t="inlineStr"/>
    </row>
    <row r="5231" ht="15" customHeight="1">
      <c r="A5231" t="inlineStr">
        <is>
          <t>A 47952-2021</t>
        </is>
      </c>
      <c r="B5231" s="1" t="n">
        <v>44448</v>
      </c>
      <c r="C5231" s="1" t="n">
        <v>45810</v>
      </c>
      <c r="D5231" t="inlineStr">
        <is>
          <t>VÄRMLANDS LÄN</t>
        </is>
      </c>
      <c r="E5231" t="inlineStr">
        <is>
          <t>KRISTINEHAMN</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47950-2021</t>
        </is>
      </c>
      <c r="B5232" s="1" t="n">
        <v>44448</v>
      </c>
      <c r="C5232" s="1" t="n">
        <v>45810</v>
      </c>
      <c r="D5232" t="inlineStr">
        <is>
          <t>VÄRMLANDS LÄN</t>
        </is>
      </c>
      <c r="E5232" t="inlineStr">
        <is>
          <t>KRISTINEHAMN</t>
        </is>
      </c>
      <c r="G5232" t="n">
        <v>4.7</v>
      </c>
      <c r="H5232" t="n">
        <v>0</v>
      </c>
      <c r="I5232" t="n">
        <v>0</v>
      </c>
      <c r="J5232" t="n">
        <v>0</v>
      </c>
      <c r="K5232" t="n">
        <v>0</v>
      </c>
      <c r="L5232" t="n">
        <v>0</v>
      </c>
      <c r="M5232" t="n">
        <v>0</v>
      </c>
      <c r="N5232" t="n">
        <v>0</v>
      </c>
      <c r="O5232" t="n">
        <v>0</v>
      </c>
      <c r="P5232" t="n">
        <v>0</v>
      </c>
      <c r="Q5232" t="n">
        <v>0</v>
      </c>
      <c r="R5232" s="2" t="inlineStr"/>
    </row>
    <row r="5233" ht="15" customHeight="1">
      <c r="A5233" t="inlineStr">
        <is>
          <t>A 47951-2021</t>
        </is>
      </c>
      <c r="B5233" s="1" t="n">
        <v>44448</v>
      </c>
      <c r="C5233" s="1" t="n">
        <v>45810</v>
      </c>
      <c r="D5233" t="inlineStr">
        <is>
          <t>VÄRMLANDS LÄN</t>
        </is>
      </c>
      <c r="E5233" t="inlineStr">
        <is>
          <t>KRISTINEHAMN</t>
        </is>
      </c>
      <c r="G5233" t="n">
        <v>8.300000000000001</v>
      </c>
      <c r="H5233" t="n">
        <v>0</v>
      </c>
      <c r="I5233" t="n">
        <v>0</v>
      </c>
      <c r="J5233" t="n">
        <v>0</v>
      </c>
      <c r="K5233" t="n">
        <v>0</v>
      </c>
      <c r="L5233" t="n">
        <v>0</v>
      </c>
      <c r="M5233" t="n">
        <v>0</v>
      </c>
      <c r="N5233" t="n">
        <v>0</v>
      </c>
      <c r="O5233" t="n">
        <v>0</v>
      </c>
      <c r="P5233" t="n">
        <v>0</v>
      </c>
      <c r="Q5233" t="n">
        <v>0</v>
      </c>
      <c r="R5233" s="2" t="inlineStr"/>
    </row>
    <row r="5234" ht="15" customHeight="1">
      <c r="A5234" t="inlineStr">
        <is>
          <t>A 47949-2021</t>
        </is>
      </c>
      <c r="B5234" s="1" t="n">
        <v>44448</v>
      </c>
      <c r="C5234" s="1" t="n">
        <v>45810</v>
      </c>
      <c r="D5234" t="inlineStr">
        <is>
          <t>VÄRMLANDS LÄN</t>
        </is>
      </c>
      <c r="E5234" t="inlineStr">
        <is>
          <t>KRISTINEHAMN</t>
        </is>
      </c>
      <c r="G5234" t="n">
        <v>0.4</v>
      </c>
      <c r="H5234" t="n">
        <v>0</v>
      </c>
      <c r="I5234" t="n">
        <v>0</v>
      </c>
      <c r="J5234" t="n">
        <v>0</v>
      </c>
      <c r="K5234" t="n">
        <v>0</v>
      </c>
      <c r="L5234" t="n">
        <v>0</v>
      </c>
      <c r="M5234" t="n">
        <v>0</v>
      </c>
      <c r="N5234" t="n">
        <v>0</v>
      </c>
      <c r="O5234" t="n">
        <v>0</v>
      </c>
      <c r="P5234" t="n">
        <v>0</v>
      </c>
      <c r="Q5234" t="n">
        <v>0</v>
      </c>
      <c r="R5234" s="2" t="inlineStr"/>
    </row>
    <row r="5235" ht="15" customHeight="1">
      <c r="A5235" t="inlineStr">
        <is>
          <t>A 47959-2021</t>
        </is>
      </c>
      <c r="B5235" s="1" t="n">
        <v>44449</v>
      </c>
      <c r="C5235" s="1" t="n">
        <v>45810</v>
      </c>
      <c r="D5235" t="inlineStr">
        <is>
          <t>VÄRMLANDS LÄN</t>
        </is>
      </c>
      <c r="E5235" t="inlineStr">
        <is>
          <t>SUNNE</t>
        </is>
      </c>
      <c r="F5235" t="inlineStr">
        <is>
          <t>Kommuner</t>
        </is>
      </c>
      <c r="G5235" t="n">
        <v>2.6</v>
      </c>
      <c r="H5235" t="n">
        <v>0</v>
      </c>
      <c r="I5235" t="n">
        <v>0</v>
      </c>
      <c r="J5235" t="n">
        <v>0</v>
      </c>
      <c r="K5235" t="n">
        <v>0</v>
      </c>
      <c r="L5235" t="n">
        <v>0</v>
      </c>
      <c r="M5235" t="n">
        <v>0</v>
      </c>
      <c r="N5235" t="n">
        <v>0</v>
      </c>
      <c r="O5235" t="n">
        <v>0</v>
      </c>
      <c r="P5235" t="n">
        <v>0</v>
      </c>
      <c r="Q5235" t="n">
        <v>0</v>
      </c>
      <c r="R5235" s="2" t="inlineStr"/>
    </row>
    <row r="5236" ht="15" customHeight="1">
      <c r="A5236" t="inlineStr">
        <is>
          <t>A 47960-2021</t>
        </is>
      </c>
      <c r="B5236" s="1" t="n">
        <v>44449</v>
      </c>
      <c r="C5236" s="1" t="n">
        <v>45810</v>
      </c>
      <c r="D5236" t="inlineStr">
        <is>
          <t>VÄRMLANDS LÄN</t>
        </is>
      </c>
      <c r="E5236" t="inlineStr">
        <is>
          <t>SUNNE</t>
        </is>
      </c>
      <c r="G5236" t="n">
        <v>3.3</v>
      </c>
      <c r="H5236" t="n">
        <v>0</v>
      </c>
      <c r="I5236" t="n">
        <v>0</v>
      </c>
      <c r="J5236" t="n">
        <v>0</v>
      </c>
      <c r="K5236" t="n">
        <v>0</v>
      </c>
      <c r="L5236" t="n">
        <v>0</v>
      </c>
      <c r="M5236" t="n">
        <v>0</v>
      </c>
      <c r="N5236" t="n">
        <v>0</v>
      </c>
      <c r="O5236" t="n">
        <v>0</v>
      </c>
      <c r="P5236" t="n">
        <v>0</v>
      </c>
      <c r="Q5236" t="n">
        <v>0</v>
      </c>
      <c r="R5236" s="2" t="inlineStr"/>
    </row>
    <row r="5237" ht="15" customHeight="1">
      <c r="A5237" t="inlineStr">
        <is>
          <t>A 47958-2021</t>
        </is>
      </c>
      <c r="B5237" s="1" t="n">
        <v>44449</v>
      </c>
      <c r="C5237" s="1" t="n">
        <v>45810</v>
      </c>
      <c r="D5237" t="inlineStr">
        <is>
          <t>VÄRMLANDS LÄN</t>
        </is>
      </c>
      <c r="E5237" t="inlineStr">
        <is>
          <t>SUNNE</t>
        </is>
      </c>
      <c r="F5237" t="inlineStr">
        <is>
          <t>Kommuner</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47962-2021</t>
        </is>
      </c>
      <c r="B5238" s="1" t="n">
        <v>44449</v>
      </c>
      <c r="C5238" s="1" t="n">
        <v>45810</v>
      </c>
      <c r="D5238" t="inlineStr">
        <is>
          <t>VÄRMLANDS LÄN</t>
        </is>
      </c>
      <c r="E5238" t="inlineStr">
        <is>
          <t>SUNNE</t>
        </is>
      </c>
      <c r="G5238" t="n">
        <v>4.4</v>
      </c>
      <c r="H5238" t="n">
        <v>0</v>
      </c>
      <c r="I5238" t="n">
        <v>0</v>
      </c>
      <c r="J5238" t="n">
        <v>0</v>
      </c>
      <c r="K5238" t="n">
        <v>0</v>
      </c>
      <c r="L5238" t="n">
        <v>0</v>
      </c>
      <c r="M5238" t="n">
        <v>0</v>
      </c>
      <c r="N5238" t="n">
        <v>0</v>
      </c>
      <c r="O5238" t="n">
        <v>0</v>
      </c>
      <c r="P5238" t="n">
        <v>0</v>
      </c>
      <c r="Q5238" t="n">
        <v>0</v>
      </c>
      <c r="R5238" s="2" t="inlineStr"/>
    </row>
    <row r="5239" ht="15" customHeight="1">
      <c r="A5239" t="inlineStr">
        <is>
          <t>A 47956-2021</t>
        </is>
      </c>
      <c r="B5239" s="1" t="n">
        <v>44449</v>
      </c>
      <c r="C5239" s="1" t="n">
        <v>45810</v>
      </c>
      <c r="D5239" t="inlineStr">
        <is>
          <t>VÄRMLANDS LÄN</t>
        </is>
      </c>
      <c r="E5239" t="inlineStr">
        <is>
          <t>KARLSTAD</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47961-2021</t>
        </is>
      </c>
      <c r="B5240" s="1" t="n">
        <v>44449</v>
      </c>
      <c r="C5240" s="1" t="n">
        <v>45810</v>
      </c>
      <c r="D5240" t="inlineStr">
        <is>
          <t>VÄRMLANDS LÄN</t>
        </is>
      </c>
      <c r="E5240" t="inlineStr">
        <is>
          <t>SUNNE</t>
        </is>
      </c>
      <c r="G5240" t="n">
        <v>3.3</v>
      </c>
      <c r="H5240" t="n">
        <v>0</v>
      </c>
      <c r="I5240" t="n">
        <v>0</v>
      </c>
      <c r="J5240" t="n">
        <v>0</v>
      </c>
      <c r="K5240" t="n">
        <v>0</v>
      </c>
      <c r="L5240" t="n">
        <v>0</v>
      </c>
      <c r="M5240" t="n">
        <v>0</v>
      </c>
      <c r="N5240" t="n">
        <v>0</v>
      </c>
      <c r="O5240" t="n">
        <v>0</v>
      </c>
      <c r="P5240" t="n">
        <v>0</v>
      </c>
      <c r="Q5240" t="n">
        <v>0</v>
      </c>
      <c r="R5240" s="2" t="inlineStr"/>
    </row>
    <row r="5241" ht="15" customHeight="1">
      <c r="A5241" t="inlineStr">
        <is>
          <t>A 47968-2021</t>
        </is>
      </c>
      <c r="B5241" s="1" t="n">
        <v>44449</v>
      </c>
      <c r="C5241" s="1" t="n">
        <v>45810</v>
      </c>
      <c r="D5241" t="inlineStr">
        <is>
          <t>VÄRMLANDS LÄN</t>
        </is>
      </c>
      <c r="E5241" t="inlineStr">
        <is>
          <t>HAGFORS</t>
        </is>
      </c>
      <c r="G5241" t="n">
        <v>6.7</v>
      </c>
      <c r="H5241" t="n">
        <v>0</v>
      </c>
      <c r="I5241" t="n">
        <v>0</v>
      </c>
      <c r="J5241" t="n">
        <v>0</v>
      </c>
      <c r="K5241" t="n">
        <v>0</v>
      </c>
      <c r="L5241" t="n">
        <v>0</v>
      </c>
      <c r="M5241" t="n">
        <v>0</v>
      </c>
      <c r="N5241" t="n">
        <v>0</v>
      </c>
      <c r="O5241" t="n">
        <v>0</v>
      </c>
      <c r="P5241" t="n">
        <v>0</v>
      </c>
      <c r="Q5241" t="n">
        <v>0</v>
      </c>
      <c r="R5241" s="2" t="inlineStr"/>
    </row>
    <row r="5242" ht="15" customHeight="1">
      <c r="A5242" t="inlineStr">
        <is>
          <t>A 48029-2021</t>
        </is>
      </c>
      <c r="B5242" s="1" t="n">
        <v>44449</v>
      </c>
      <c r="C5242" s="1" t="n">
        <v>45810</v>
      </c>
      <c r="D5242" t="inlineStr">
        <is>
          <t>VÄRMLANDS LÄN</t>
        </is>
      </c>
      <c r="E5242" t="inlineStr">
        <is>
          <t>HAGFORS</t>
        </is>
      </c>
      <c r="G5242" t="n">
        <v>6.3</v>
      </c>
      <c r="H5242" t="n">
        <v>0</v>
      </c>
      <c r="I5242" t="n">
        <v>0</v>
      </c>
      <c r="J5242" t="n">
        <v>0</v>
      </c>
      <c r="K5242" t="n">
        <v>0</v>
      </c>
      <c r="L5242" t="n">
        <v>0</v>
      </c>
      <c r="M5242" t="n">
        <v>0</v>
      </c>
      <c r="N5242" t="n">
        <v>0</v>
      </c>
      <c r="O5242" t="n">
        <v>0</v>
      </c>
      <c r="P5242" t="n">
        <v>0</v>
      </c>
      <c r="Q5242" t="n">
        <v>0</v>
      </c>
      <c r="R5242" s="2" t="inlineStr"/>
    </row>
    <row r="5243" ht="15" customHeight="1">
      <c r="A5243" t="inlineStr">
        <is>
          <t>A 48101-2021</t>
        </is>
      </c>
      <c r="B5243" s="1" t="n">
        <v>44449</v>
      </c>
      <c r="C5243" s="1" t="n">
        <v>45810</v>
      </c>
      <c r="D5243" t="inlineStr">
        <is>
          <t>VÄRMLANDS LÄN</t>
        </is>
      </c>
      <c r="E5243" t="inlineStr">
        <is>
          <t>FILIPSTAD</t>
        </is>
      </c>
      <c r="F5243" t="inlineStr">
        <is>
          <t>Bergvik skog väst AB</t>
        </is>
      </c>
      <c r="G5243" t="n">
        <v>3</v>
      </c>
      <c r="H5243" t="n">
        <v>0</v>
      </c>
      <c r="I5243" t="n">
        <v>0</v>
      </c>
      <c r="J5243" t="n">
        <v>0</v>
      </c>
      <c r="K5243" t="n">
        <v>0</v>
      </c>
      <c r="L5243" t="n">
        <v>0</v>
      </c>
      <c r="M5243" t="n">
        <v>0</v>
      </c>
      <c r="N5243" t="n">
        <v>0</v>
      </c>
      <c r="O5243" t="n">
        <v>0</v>
      </c>
      <c r="P5243" t="n">
        <v>0</v>
      </c>
      <c r="Q5243" t="n">
        <v>0</v>
      </c>
      <c r="R5243" s="2" t="inlineStr"/>
    </row>
    <row r="5244" ht="15" customHeight="1">
      <c r="A5244" t="inlineStr">
        <is>
          <t>A 48159-2021</t>
        </is>
      </c>
      <c r="B5244" s="1" t="n">
        <v>44449</v>
      </c>
      <c r="C5244" s="1" t="n">
        <v>45810</v>
      </c>
      <c r="D5244" t="inlineStr">
        <is>
          <t>VÄRMLANDS LÄN</t>
        </is>
      </c>
      <c r="E5244" t="inlineStr">
        <is>
          <t>TORSBY</t>
        </is>
      </c>
      <c r="F5244" t="inlineStr">
        <is>
          <t>Bergvik skog väst AB</t>
        </is>
      </c>
      <c r="G5244" t="n">
        <v>3</v>
      </c>
      <c r="H5244" t="n">
        <v>0</v>
      </c>
      <c r="I5244" t="n">
        <v>0</v>
      </c>
      <c r="J5244" t="n">
        <v>0</v>
      </c>
      <c r="K5244" t="n">
        <v>0</v>
      </c>
      <c r="L5244" t="n">
        <v>0</v>
      </c>
      <c r="M5244" t="n">
        <v>0</v>
      </c>
      <c r="N5244" t="n">
        <v>0</v>
      </c>
      <c r="O5244" t="n">
        <v>0</v>
      </c>
      <c r="P5244" t="n">
        <v>0</v>
      </c>
      <c r="Q5244" t="n">
        <v>0</v>
      </c>
      <c r="R5244" s="2" t="inlineStr"/>
    </row>
    <row r="5245" ht="15" customHeight="1">
      <c r="A5245" t="inlineStr">
        <is>
          <t>A 48179-2021</t>
        </is>
      </c>
      <c r="B5245" s="1" t="n">
        <v>44449</v>
      </c>
      <c r="C5245" s="1" t="n">
        <v>45810</v>
      </c>
      <c r="D5245" t="inlineStr">
        <is>
          <t>VÄRMLANDS LÄN</t>
        </is>
      </c>
      <c r="E5245" t="inlineStr">
        <is>
          <t>SÄFFLE</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48188-2021</t>
        </is>
      </c>
      <c r="B5246" s="1" t="n">
        <v>44449</v>
      </c>
      <c r="C5246" s="1" t="n">
        <v>45810</v>
      </c>
      <c r="D5246" t="inlineStr">
        <is>
          <t>VÄRMLANDS LÄN</t>
        </is>
      </c>
      <c r="E5246" t="inlineStr">
        <is>
          <t>TORSBY</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48205-2021</t>
        </is>
      </c>
      <c r="B5247" s="1" t="n">
        <v>44449</v>
      </c>
      <c r="C5247" s="1" t="n">
        <v>45810</v>
      </c>
      <c r="D5247" t="inlineStr">
        <is>
          <t>VÄRMLANDS LÄN</t>
        </is>
      </c>
      <c r="E5247" t="inlineStr">
        <is>
          <t>KRISTINEHAMN</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48137-2021</t>
        </is>
      </c>
      <c r="B5248" s="1" t="n">
        <v>44449</v>
      </c>
      <c r="C5248" s="1" t="n">
        <v>45810</v>
      </c>
      <c r="D5248" t="inlineStr">
        <is>
          <t>VÄRMLANDS LÄN</t>
        </is>
      </c>
      <c r="E5248" t="inlineStr">
        <is>
          <t>SÄFFLE</t>
        </is>
      </c>
      <c r="G5248" t="n">
        <v>11.8</v>
      </c>
      <c r="H5248" t="n">
        <v>0</v>
      </c>
      <c r="I5248" t="n">
        <v>0</v>
      </c>
      <c r="J5248" t="n">
        <v>0</v>
      </c>
      <c r="K5248" t="n">
        <v>0</v>
      </c>
      <c r="L5248" t="n">
        <v>0</v>
      </c>
      <c r="M5248" t="n">
        <v>0</v>
      </c>
      <c r="N5248" t="n">
        <v>0</v>
      </c>
      <c r="O5248" t="n">
        <v>0</v>
      </c>
      <c r="P5248" t="n">
        <v>0</v>
      </c>
      <c r="Q5248" t="n">
        <v>0</v>
      </c>
      <c r="R5248" s="2" t="inlineStr"/>
    </row>
    <row r="5249" ht="15" customHeight="1">
      <c r="A5249" t="inlineStr">
        <is>
          <t>A 48237-2021</t>
        </is>
      </c>
      <c r="B5249" s="1" t="n">
        <v>44449</v>
      </c>
      <c r="C5249" s="1" t="n">
        <v>45810</v>
      </c>
      <c r="D5249" t="inlineStr">
        <is>
          <t>VÄRMLANDS LÄN</t>
        </is>
      </c>
      <c r="E5249" t="inlineStr">
        <is>
          <t>SUNNE</t>
        </is>
      </c>
      <c r="G5249" t="n">
        <v>0.1</v>
      </c>
      <c r="H5249" t="n">
        <v>0</v>
      </c>
      <c r="I5249" t="n">
        <v>0</v>
      </c>
      <c r="J5249" t="n">
        <v>0</v>
      </c>
      <c r="K5249" t="n">
        <v>0</v>
      </c>
      <c r="L5249" t="n">
        <v>0</v>
      </c>
      <c r="M5249" t="n">
        <v>0</v>
      </c>
      <c r="N5249" t="n">
        <v>0</v>
      </c>
      <c r="O5249" t="n">
        <v>0</v>
      </c>
      <c r="P5249" t="n">
        <v>0</v>
      </c>
      <c r="Q5249" t="n">
        <v>0</v>
      </c>
      <c r="R5249" s="2" t="inlineStr"/>
    </row>
    <row r="5250" ht="15" customHeight="1">
      <c r="A5250" t="inlineStr">
        <is>
          <t>A 48206-2021</t>
        </is>
      </c>
      <c r="B5250" s="1" t="n">
        <v>44449</v>
      </c>
      <c r="C5250" s="1" t="n">
        <v>45810</v>
      </c>
      <c r="D5250" t="inlineStr">
        <is>
          <t>VÄRMLANDS LÄN</t>
        </is>
      </c>
      <c r="E5250" t="inlineStr">
        <is>
          <t>KRISTINEHAMN</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48324-2021</t>
        </is>
      </c>
      <c r="B5251" s="1" t="n">
        <v>44450</v>
      </c>
      <c r="C5251" s="1" t="n">
        <v>45810</v>
      </c>
      <c r="D5251" t="inlineStr">
        <is>
          <t>VÄRMLANDS LÄN</t>
        </is>
      </c>
      <c r="E5251" t="inlineStr">
        <is>
          <t>TORSBY</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48309-2021</t>
        </is>
      </c>
      <c r="B5252" s="1" t="n">
        <v>44450</v>
      </c>
      <c r="C5252" s="1" t="n">
        <v>45810</v>
      </c>
      <c r="D5252" t="inlineStr">
        <is>
          <t>VÄRMLANDS LÄN</t>
        </is>
      </c>
      <c r="E5252" t="inlineStr">
        <is>
          <t>STORFORS</t>
        </is>
      </c>
      <c r="G5252" t="n">
        <v>3.8</v>
      </c>
      <c r="H5252" t="n">
        <v>0</v>
      </c>
      <c r="I5252" t="n">
        <v>0</v>
      </c>
      <c r="J5252" t="n">
        <v>0</v>
      </c>
      <c r="K5252" t="n">
        <v>0</v>
      </c>
      <c r="L5252" t="n">
        <v>0</v>
      </c>
      <c r="M5252" t="n">
        <v>0</v>
      </c>
      <c r="N5252" t="n">
        <v>0</v>
      </c>
      <c r="O5252" t="n">
        <v>0</v>
      </c>
      <c r="P5252" t="n">
        <v>0</v>
      </c>
      <c r="Q5252" t="n">
        <v>0</v>
      </c>
      <c r="R5252" s="2" t="inlineStr"/>
    </row>
    <row r="5253" ht="15" customHeight="1">
      <c r="A5253" t="inlineStr">
        <is>
          <t>A 48322-2021</t>
        </is>
      </c>
      <c r="B5253" s="1" t="n">
        <v>44450</v>
      </c>
      <c r="C5253" s="1" t="n">
        <v>45810</v>
      </c>
      <c r="D5253" t="inlineStr">
        <is>
          <t>VÄRMLANDS LÄN</t>
        </is>
      </c>
      <c r="E5253" t="inlineStr">
        <is>
          <t>SÄFFLE</t>
        </is>
      </c>
      <c r="G5253" t="n">
        <v>3.8</v>
      </c>
      <c r="H5253" t="n">
        <v>0</v>
      </c>
      <c r="I5253" t="n">
        <v>0</v>
      </c>
      <c r="J5253" t="n">
        <v>0</v>
      </c>
      <c r="K5253" t="n">
        <v>0</v>
      </c>
      <c r="L5253" t="n">
        <v>0</v>
      </c>
      <c r="M5253" t="n">
        <v>0</v>
      </c>
      <c r="N5253" t="n">
        <v>0</v>
      </c>
      <c r="O5253" t="n">
        <v>0</v>
      </c>
      <c r="P5253" t="n">
        <v>0</v>
      </c>
      <c r="Q5253" t="n">
        <v>0</v>
      </c>
      <c r="R5253" s="2" t="inlineStr"/>
    </row>
    <row r="5254" ht="15" customHeight="1">
      <c r="A5254" t="inlineStr">
        <is>
          <t>A 48334-2021</t>
        </is>
      </c>
      <c r="B5254" s="1" t="n">
        <v>44451</v>
      </c>
      <c r="C5254" s="1" t="n">
        <v>45810</v>
      </c>
      <c r="D5254" t="inlineStr">
        <is>
          <t>VÄRMLANDS LÄN</t>
        </is>
      </c>
      <c r="E5254" t="inlineStr">
        <is>
          <t>EDA</t>
        </is>
      </c>
      <c r="G5254" t="n">
        <v>12.4</v>
      </c>
      <c r="H5254" t="n">
        <v>0</v>
      </c>
      <c r="I5254" t="n">
        <v>0</v>
      </c>
      <c r="J5254" t="n">
        <v>0</v>
      </c>
      <c r="K5254" t="n">
        <v>0</v>
      </c>
      <c r="L5254" t="n">
        <v>0</v>
      </c>
      <c r="M5254" t="n">
        <v>0</v>
      </c>
      <c r="N5254" t="n">
        <v>0</v>
      </c>
      <c r="O5254" t="n">
        <v>0</v>
      </c>
      <c r="P5254" t="n">
        <v>0</v>
      </c>
      <c r="Q5254" t="n">
        <v>0</v>
      </c>
      <c r="R5254" s="2" t="inlineStr"/>
    </row>
    <row r="5255" ht="15" customHeight="1">
      <c r="A5255" t="inlineStr">
        <is>
          <t>A 48391-2021</t>
        </is>
      </c>
      <c r="B5255" s="1" t="n">
        <v>44452</v>
      </c>
      <c r="C5255" s="1" t="n">
        <v>45810</v>
      </c>
      <c r="D5255" t="inlineStr">
        <is>
          <t>VÄRMLANDS LÄN</t>
        </is>
      </c>
      <c r="E5255" t="inlineStr">
        <is>
          <t>ÅRJÄNG</t>
        </is>
      </c>
      <c r="G5255" t="n">
        <v>3.5</v>
      </c>
      <c r="H5255" t="n">
        <v>0</v>
      </c>
      <c r="I5255" t="n">
        <v>0</v>
      </c>
      <c r="J5255" t="n">
        <v>0</v>
      </c>
      <c r="K5255" t="n">
        <v>0</v>
      </c>
      <c r="L5255" t="n">
        <v>0</v>
      </c>
      <c r="M5255" t="n">
        <v>0</v>
      </c>
      <c r="N5255" t="n">
        <v>0</v>
      </c>
      <c r="O5255" t="n">
        <v>0</v>
      </c>
      <c r="P5255" t="n">
        <v>0</v>
      </c>
      <c r="Q5255" t="n">
        <v>0</v>
      </c>
      <c r="R5255" s="2" t="inlineStr"/>
    </row>
    <row r="5256" ht="15" customHeight="1">
      <c r="A5256" t="inlineStr">
        <is>
          <t>A 48389-2021</t>
        </is>
      </c>
      <c r="B5256" s="1" t="n">
        <v>44452</v>
      </c>
      <c r="C5256" s="1" t="n">
        <v>45810</v>
      </c>
      <c r="D5256" t="inlineStr">
        <is>
          <t>VÄRMLANDS LÄN</t>
        </is>
      </c>
      <c r="E5256" t="inlineStr">
        <is>
          <t>ÅRJÄNG</t>
        </is>
      </c>
      <c r="G5256" t="n">
        <v>2.4</v>
      </c>
      <c r="H5256" t="n">
        <v>0</v>
      </c>
      <c r="I5256" t="n">
        <v>0</v>
      </c>
      <c r="J5256" t="n">
        <v>0</v>
      </c>
      <c r="K5256" t="n">
        <v>0</v>
      </c>
      <c r="L5256" t="n">
        <v>0</v>
      </c>
      <c r="M5256" t="n">
        <v>0</v>
      </c>
      <c r="N5256" t="n">
        <v>0</v>
      </c>
      <c r="O5256" t="n">
        <v>0</v>
      </c>
      <c r="P5256" t="n">
        <v>0</v>
      </c>
      <c r="Q5256" t="n">
        <v>0</v>
      </c>
      <c r="R5256" s="2" t="inlineStr"/>
    </row>
    <row r="5257" ht="15" customHeight="1">
      <c r="A5257" t="inlineStr">
        <is>
          <t>A 48416-2021</t>
        </is>
      </c>
      <c r="B5257" s="1" t="n">
        <v>44452</v>
      </c>
      <c r="C5257" s="1" t="n">
        <v>45810</v>
      </c>
      <c r="D5257" t="inlineStr">
        <is>
          <t>VÄRMLANDS LÄN</t>
        </is>
      </c>
      <c r="E5257" t="inlineStr">
        <is>
          <t>KRISTINEHAMN</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48413-2021</t>
        </is>
      </c>
      <c r="B5258" s="1" t="n">
        <v>44452</v>
      </c>
      <c r="C5258" s="1" t="n">
        <v>45810</v>
      </c>
      <c r="D5258" t="inlineStr">
        <is>
          <t>VÄRMLANDS LÄN</t>
        </is>
      </c>
      <c r="E5258" t="inlineStr">
        <is>
          <t>EDA</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48422-2021</t>
        </is>
      </c>
      <c r="B5259" s="1" t="n">
        <v>44452</v>
      </c>
      <c r="C5259" s="1" t="n">
        <v>45810</v>
      </c>
      <c r="D5259" t="inlineStr">
        <is>
          <t>VÄRMLANDS LÄN</t>
        </is>
      </c>
      <c r="E5259" t="inlineStr">
        <is>
          <t>SUNNE</t>
        </is>
      </c>
      <c r="G5259" t="n">
        <v>3.3</v>
      </c>
      <c r="H5259" t="n">
        <v>0</v>
      </c>
      <c r="I5259" t="n">
        <v>0</v>
      </c>
      <c r="J5259" t="n">
        <v>0</v>
      </c>
      <c r="K5259" t="n">
        <v>0</v>
      </c>
      <c r="L5259" t="n">
        <v>0</v>
      </c>
      <c r="M5259" t="n">
        <v>0</v>
      </c>
      <c r="N5259" t="n">
        <v>0</v>
      </c>
      <c r="O5259" t="n">
        <v>0</v>
      </c>
      <c r="P5259" t="n">
        <v>0</v>
      </c>
      <c r="Q5259" t="n">
        <v>0</v>
      </c>
      <c r="R5259" s="2" t="inlineStr"/>
    </row>
    <row r="5260" ht="15" customHeight="1">
      <c r="A5260" t="inlineStr">
        <is>
          <t>A 48465-2021</t>
        </is>
      </c>
      <c r="B5260" s="1" t="n">
        <v>44452</v>
      </c>
      <c r="C5260" s="1" t="n">
        <v>45810</v>
      </c>
      <c r="D5260" t="inlineStr">
        <is>
          <t>VÄRMLANDS LÄN</t>
        </is>
      </c>
      <c r="E5260" t="inlineStr">
        <is>
          <t>FORSHAGA</t>
        </is>
      </c>
      <c r="G5260" t="n">
        <v>2.1</v>
      </c>
      <c r="H5260" t="n">
        <v>0</v>
      </c>
      <c r="I5260" t="n">
        <v>0</v>
      </c>
      <c r="J5260" t="n">
        <v>0</v>
      </c>
      <c r="K5260" t="n">
        <v>0</v>
      </c>
      <c r="L5260" t="n">
        <v>0</v>
      </c>
      <c r="M5260" t="n">
        <v>0</v>
      </c>
      <c r="N5260" t="n">
        <v>0</v>
      </c>
      <c r="O5260" t="n">
        <v>0</v>
      </c>
      <c r="P5260" t="n">
        <v>0</v>
      </c>
      <c r="Q5260" t="n">
        <v>0</v>
      </c>
      <c r="R5260" s="2" t="inlineStr"/>
    </row>
    <row r="5261" ht="15" customHeight="1">
      <c r="A5261" t="inlineStr">
        <is>
          <t>A 48588-2021</t>
        </is>
      </c>
      <c r="B5261" s="1" t="n">
        <v>44452</v>
      </c>
      <c r="C5261" s="1" t="n">
        <v>45810</v>
      </c>
      <c r="D5261" t="inlineStr">
        <is>
          <t>VÄRMLANDS LÄN</t>
        </is>
      </c>
      <c r="E5261" t="inlineStr">
        <is>
          <t>KARLSTAD</t>
        </is>
      </c>
      <c r="G5261" t="n">
        <v>7.3</v>
      </c>
      <c r="H5261" t="n">
        <v>0</v>
      </c>
      <c r="I5261" t="n">
        <v>0</v>
      </c>
      <c r="J5261" t="n">
        <v>0</v>
      </c>
      <c r="K5261" t="n">
        <v>0</v>
      </c>
      <c r="L5261" t="n">
        <v>0</v>
      </c>
      <c r="M5261" t="n">
        <v>0</v>
      </c>
      <c r="N5261" t="n">
        <v>0</v>
      </c>
      <c r="O5261" t="n">
        <v>0</v>
      </c>
      <c r="P5261" t="n">
        <v>0</v>
      </c>
      <c r="Q5261" t="n">
        <v>0</v>
      </c>
      <c r="R5261" s="2" t="inlineStr"/>
    </row>
    <row r="5262" ht="15" customHeight="1">
      <c r="A5262" t="inlineStr">
        <is>
          <t>A 48517-2021</t>
        </is>
      </c>
      <c r="B5262" s="1" t="n">
        <v>44452</v>
      </c>
      <c r="C5262" s="1" t="n">
        <v>45810</v>
      </c>
      <c r="D5262" t="inlineStr">
        <is>
          <t>VÄRMLANDS LÄN</t>
        </is>
      </c>
      <c r="E5262" t="inlineStr">
        <is>
          <t>GRUMS</t>
        </is>
      </c>
      <c r="G5262" t="n">
        <v>2.4</v>
      </c>
      <c r="H5262" t="n">
        <v>0</v>
      </c>
      <c r="I5262" t="n">
        <v>0</v>
      </c>
      <c r="J5262" t="n">
        <v>0</v>
      </c>
      <c r="K5262" t="n">
        <v>0</v>
      </c>
      <c r="L5262" t="n">
        <v>0</v>
      </c>
      <c r="M5262" t="n">
        <v>0</v>
      </c>
      <c r="N5262" t="n">
        <v>0</v>
      </c>
      <c r="O5262" t="n">
        <v>0</v>
      </c>
      <c r="P5262" t="n">
        <v>0</v>
      </c>
      <c r="Q5262" t="n">
        <v>0</v>
      </c>
      <c r="R5262" s="2" t="inlineStr"/>
    </row>
    <row r="5263" ht="15" customHeight="1">
      <c r="A5263" t="inlineStr">
        <is>
          <t>A 48577-2021</t>
        </is>
      </c>
      <c r="B5263" s="1" t="n">
        <v>44452</v>
      </c>
      <c r="C5263" s="1" t="n">
        <v>45810</v>
      </c>
      <c r="D5263" t="inlineStr">
        <is>
          <t>VÄRMLANDS LÄN</t>
        </is>
      </c>
      <c r="E5263" t="inlineStr">
        <is>
          <t>KARLSTAD</t>
        </is>
      </c>
      <c r="G5263" t="n">
        <v>0.4</v>
      </c>
      <c r="H5263" t="n">
        <v>0</v>
      </c>
      <c r="I5263" t="n">
        <v>0</v>
      </c>
      <c r="J5263" t="n">
        <v>0</v>
      </c>
      <c r="K5263" t="n">
        <v>0</v>
      </c>
      <c r="L5263" t="n">
        <v>0</v>
      </c>
      <c r="M5263" t="n">
        <v>0</v>
      </c>
      <c r="N5263" t="n">
        <v>0</v>
      </c>
      <c r="O5263" t="n">
        <v>0</v>
      </c>
      <c r="P5263" t="n">
        <v>0</v>
      </c>
      <c r="Q5263" t="n">
        <v>0</v>
      </c>
      <c r="R5263" s="2" t="inlineStr"/>
    </row>
    <row r="5264" ht="15" customHeight="1">
      <c r="A5264" t="inlineStr">
        <is>
          <t>A 48597-2021</t>
        </is>
      </c>
      <c r="B5264" s="1" t="n">
        <v>44452</v>
      </c>
      <c r="C5264" s="1" t="n">
        <v>45810</v>
      </c>
      <c r="D5264" t="inlineStr">
        <is>
          <t>VÄRMLANDS LÄN</t>
        </is>
      </c>
      <c r="E5264" t="inlineStr">
        <is>
          <t>KARLSTAD</t>
        </is>
      </c>
      <c r="G5264" t="n">
        <v>1.8</v>
      </c>
      <c r="H5264" t="n">
        <v>0</v>
      </c>
      <c r="I5264" t="n">
        <v>0</v>
      </c>
      <c r="J5264" t="n">
        <v>0</v>
      </c>
      <c r="K5264" t="n">
        <v>0</v>
      </c>
      <c r="L5264" t="n">
        <v>0</v>
      </c>
      <c r="M5264" t="n">
        <v>0</v>
      </c>
      <c r="N5264" t="n">
        <v>0</v>
      </c>
      <c r="O5264" t="n">
        <v>0</v>
      </c>
      <c r="P5264" t="n">
        <v>0</v>
      </c>
      <c r="Q5264" t="n">
        <v>0</v>
      </c>
      <c r="R5264" s="2" t="inlineStr"/>
    </row>
    <row r="5265" ht="15" customHeight="1">
      <c r="A5265" t="inlineStr">
        <is>
          <t>A 48635-2021</t>
        </is>
      </c>
      <c r="B5265" s="1" t="n">
        <v>44452</v>
      </c>
      <c r="C5265" s="1" t="n">
        <v>45810</v>
      </c>
      <c r="D5265" t="inlineStr">
        <is>
          <t>VÄRMLANDS LÄN</t>
        </is>
      </c>
      <c r="E5265" t="inlineStr">
        <is>
          <t>HAGFORS</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48712-2021</t>
        </is>
      </c>
      <c r="B5266" s="1" t="n">
        <v>44452</v>
      </c>
      <c r="C5266" s="1" t="n">
        <v>45810</v>
      </c>
      <c r="D5266" t="inlineStr">
        <is>
          <t>VÄRMLANDS LÄN</t>
        </is>
      </c>
      <c r="E5266" t="inlineStr">
        <is>
          <t>SUNNE</t>
        </is>
      </c>
      <c r="G5266" t="n">
        <v>3.7</v>
      </c>
      <c r="H5266" t="n">
        <v>0</v>
      </c>
      <c r="I5266" t="n">
        <v>0</v>
      </c>
      <c r="J5266" t="n">
        <v>0</v>
      </c>
      <c r="K5266" t="n">
        <v>0</v>
      </c>
      <c r="L5266" t="n">
        <v>0</v>
      </c>
      <c r="M5266" t="n">
        <v>0</v>
      </c>
      <c r="N5266" t="n">
        <v>0</v>
      </c>
      <c r="O5266" t="n">
        <v>0</v>
      </c>
      <c r="P5266" t="n">
        <v>0</v>
      </c>
      <c r="Q5266" t="n">
        <v>0</v>
      </c>
      <c r="R5266" s="2" t="inlineStr"/>
    </row>
    <row r="5267" ht="15" customHeight="1">
      <c r="A5267" t="inlineStr">
        <is>
          <t>A 48620-2021</t>
        </is>
      </c>
      <c r="B5267" s="1" t="n">
        <v>44452</v>
      </c>
      <c r="C5267" s="1" t="n">
        <v>45810</v>
      </c>
      <c r="D5267" t="inlineStr">
        <is>
          <t>VÄRMLANDS LÄN</t>
        </is>
      </c>
      <c r="E5267" t="inlineStr">
        <is>
          <t>KARLSTAD</t>
        </is>
      </c>
      <c r="G5267" t="n">
        <v>8.300000000000001</v>
      </c>
      <c r="H5267" t="n">
        <v>0</v>
      </c>
      <c r="I5267" t="n">
        <v>0</v>
      </c>
      <c r="J5267" t="n">
        <v>0</v>
      </c>
      <c r="K5267" t="n">
        <v>0</v>
      </c>
      <c r="L5267" t="n">
        <v>0</v>
      </c>
      <c r="M5267" t="n">
        <v>0</v>
      </c>
      <c r="N5267" t="n">
        <v>0</v>
      </c>
      <c r="O5267" t="n">
        <v>0</v>
      </c>
      <c r="P5267" t="n">
        <v>0</v>
      </c>
      <c r="Q5267" t="n">
        <v>0</v>
      </c>
      <c r="R5267" s="2" t="inlineStr"/>
    </row>
    <row r="5268" ht="15" customHeight="1">
      <c r="A5268" t="inlineStr">
        <is>
          <t>A 48657-2021</t>
        </is>
      </c>
      <c r="B5268" s="1" t="n">
        <v>44452</v>
      </c>
      <c r="C5268" s="1" t="n">
        <v>45810</v>
      </c>
      <c r="D5268" t="inlineStr">
        <is>
          <t>VÄRMLANDS LÄN</t>
        </is>
      </c>
      <c r="E5268" t="inlineStr">
        <is>
          <t>TORSBY</t>
        </is>
      </c>
      <c r="F5268" t="inlineStr">
        <is>
          <t>Bergvik skog väst AB</t>
        </is>
      </c>
      <c r="G5268" t="n">
        <v>7.8</v>
      </c>
      <c r="H5268" t="n">
        <v>0</v>
      </c>
      <c r="I5268" t="n">
        <v>0</v>
      </c>
      <c r="J5268" t="n">
        <v>0</v>
      </c>
      <c r="K5268" t="n">
        <v>0</v>
      </c>
      <c r="L5268" t="n">
        <v>0</v>
      </c>
      <c r="M5268" t="n">
        <v>0</v>
      </c>
      <c r="N5268" t="n">
        <v>0</v>
      </c>
      <c r="O5268" t="n">
        <v>0</v>
      </c>
      <c r="P5268" t="n">
        <v>0</v>
      </c>
      <c r="Q5268" t="n">
        <v>0</v>
      </c>
      <c r="R5268" s="2" t="inlineStr"/>
    </row>
    <row r="5269" ht="15" customHeight="1">
      <c r="A5269" t="inlineStr">
        <is>
          <t>A 48727-2021</t>
        </is>
      </c>
      <c r="B5269" s="1" t="n">
        <v>44452</v>
      </c>
      <c r="C5269" s="1" t="n">
        <v>45810</v>
      </c>
      <c r="D5269" t="inlineStr">
        <is>
          <t>VÄRMLANDS LÄN</t>
        </is>
      </c>
      <c r="E5269" t="inlineStr">
        <is>
          <t>ARVIKA</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48771-2021</t>
        </is>
      </c>
      <c r="B5270" s="1" t="n">
        <v>44452</v>
      </c>
      <c r="C5270" s="1" t="n">
        <v>45810</v>
      </c>
      <c r="D5270" t="inlineStr">
        <is>
          <t>VÄRMLANDS LÄN</t>
        </is>
      </c>
      <c r="E5270" t="inlineStr">
        <is>
          <t>TORSBY</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48604-2021</t>
        </is>
      </c>
      <c r="B5271" s="1" t="n">
        <v>44452</v>
      </c>
      <c r="C5271" s="1" t="n">
        <v>45810</v>
      </c>
      <c r="D5271" t="inlineStr">
        <is>
          <t>VÄRMLANDS LÄN</t>
        </is>
      </c>
      <c r="E5271" t="inlineStr">
        <is>
          <t>HAGFORS</t>
        </is>
      </c>
      <c r="G5271" t="n">
        <v>4.1</v>
      </c>
      <c r="H5271" t="n">
        <v>0</v>
      </c>
      <c r="I5271" t="n">
        <v>0</v>
      </c>
      <c r="J5271" t="n">
        <v>0</v>
      </c>
      <c r="K5271" t="n">
        <v>0</v>
      </c>
      <c r="L5271" t="n">
        <v>0</v>
      </c>
      <c r="M5271" t="n">
        <v>0</v>
      </c>
      <c r="N5271" t="n">
        <v>0</v>
      </c>
      <c r="O5271" t="n">
        <v>0</v>
      </c>
      <c r="P5271" t="n">
        <v>0</v>
      </c>
      <c r="Q5271" t="n">
        <v>0</v>
      </c>
      <c r="R5271" s="2" t="inlineStr"/>
    </row>
    <row r="5272" ht="15" customHeight="1">
      <c r="A5272" t="inlineStr">
        <is>
          <t>A 48633-2021</t>
        </is>
      </c>
      <c r="B5272" s="1" t="n">
        <v>44452</v>
      </c>
      <c r="C5272" s="1" t="n">
        <v>45810</v>
      </c>
      <c r="D5272" t="inlineStr">
        <is>
          <t>VÄRMLANDS LÄN</t>
        </is>
      </c>
      <c r="E5272" t="inlineStr">
        <is>
          <t>KARLSTAD</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48647-2021</t>
        </is>
      </c>
      <c r="B5273" s="1" t="n">
        <v>44452</v>
      </c>
      <c r="C5273" s="1" t="n">
        <v>45810</v>
      </c>
      <c r="D5273" t="inlineStr">
        <is>
          <t>VÄRMLANDS LÄN</t>
        </is>
      </c>
      <c r="E5273" t="inlineStr">
        <is>
          <t>SUNNE</t>
        </is>
      </c>
      <c r="G5273" t="n">
        <v>5</v>
      </c>
      <c r="H5273" t="n">
        <v>0</v>
      </c>
      <c r="I5273" t="n">
        <v>0</v>
      </c>
      <c r="J5273" t="n">
        <v>0</v>
      </c>
      <c r="K5273" t="n">
        <v>0</v>
      </c>
      <c r="L5273" t="n">
        <v>0</v>
      </c>
      <c r="M5273" t="n">
        <v>0</v>
      </c>
      <c r="N5273" t="n">
        <v>0</v>
      </c>
      <c r="O5273" t="n">
        <v>0</v>
      </c>
      <c r="P5273" t="n">
        <v>0</v>
      </c>
      <c r="Q5273" t="n">
        <v>0</v>
      </c>
      <c r="R5273" s="2" t="inlineStr"/>
    </row>
    <row r="5274" ht="15" customHeight="1">
      <c r="A5274" t="inlineStr">
        <is>
          <t>A 48742-2021</t>
        </is>
      </c>
      <c r="B5274" s="1" t="n">
        <v>44452</v>
      </c>
      <c r="C5274" s="1" t="n">
        <v>45810</v>
      </c>
      <c r="D5274" t="inlineStr">
        <is>
          <t>VÄRMLANDS LÄN</t>
        </is>
      </c>
      <c r="E5274" t="inlineStr">
        <is>
          <t>KIL</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48945-2021</t>
        </is>
      </c>
      <c r="B5275" s="1" t="n">
        <v>44453</v>
      </c>
      <c r="C5275" s="1" t="n">
        <v>45810</v>
      </c>
      <c r="D5275" t="inlineStr">
        <is>
          <t>VÄRMLANDS LÄN</t>
        </is>
      </c>
      <c r="E5275" t="inlineStr">
        <is>
          <t>SUNNE</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48995-2021</t>
        </is>
      </c>
      <c r="B5276" s="1" t="n">
        <v>44453</v>
      </c>
      <c r="C5276" s="1" t="n">
        <v>45810</v>
      </c>
      <c r="D5276" t="inlineStr">
        <is>
          <t>VÄRMLANDS LÄN</t>
        </is>
      </c>
      <c r="E5276" t="inlineStr">
        <is>
          <t>ARVIKA</t>
        </is>
      </c>
      <c r="G5276" t="n">
        <v>2.5</v>
      </c>
      <c r="H5276" t="n">
        <v>0</v>
      </c>
      <c r="I5276" t="n">
        <v>0</v>
      </c>
      <c r="J5276" t="n">
        <v>0</v>
      </c>
      <c r="K5276" t="n">
        <v>0</v>
      </c>
      <c r="L5276" t="n">
        <v>0</v>
      </c>
      <c r="M5276" t="n">
        <v>0</v>
      </c>
      <c r="N5276" t="n">
        <v>0</v>
      </c>
      <c r="O5276" t="n">
        <v>0</v>
      </c>
      <c r="P5276" t="n">
        <v>0</v>
      </c>
      <c r="Q5276" t="n">
        <v>0</v>
      </c>
      <c r="R5276" s="2" t="inlineStr"/>
    </row>
    <row r="5277" ht="15" customHeight="1">
      <c r="A5277" t="inlineStr">
        <is>
          <t>A 49008-2021</t>
        </is>
      </c>
      <c r="B5277" s="1" t="n">
        <v>44453</v>
      </c>
      <c r="C5277" s="1" t="n">
        <v>45810</v>
      </c>
      <c r="D5277" t="inlineStr">
        <is>
          <t>VÄRMLANDS LÄN</t>
        </is>
      </c>
      <c r="E5277" t="inlineStr">
        <is>
          <t>SUNNE</t>
        </is>
      </c>
      <c r="G5277" t="n">
        <v>3</v>
      </c>
      <c r="H5277" t="n">
        <v>0</v>
      </c>
      <c r="I5277" t="n">
        <v>0</v>
      </c>
      <c r="J5277" t="n">
        <v>0</v>
      </c>
      <c r="K5277" t="n">
        <v>0</v>
      </c>
      <c r="L5277" t="n">
        <v>0</v>
      </c>
      <c r="M5277" t="n">
        <v>0</v>
      </c>
      <c r="N5277" t="n">
        <v>0</v>
      </c>
      <c r="O5277" t="n">
        <v>0</v>
      </c>
      <c r="P5277" t="n">
        <v>0</v>
      </c>
      <c r="Q5277" t="n">
        <v>0</v>
      </c>
      <c r="R5277" s="2" t="inlineStr"/>
    </row>
    <row r="5278" ht="15" customHeight="1">
      <c r="A5278" t="inlineStr">
        <is>
          <t>A 49020-2021</t>
        </is>
      </c>
      <c r="B5278" s="1" t="n">
        <v>44453</v>
      </c>
      <c r="C5278" s="1" t="n">
        <v>45810</v>
      </c>
      <c r="D5278" t="inlineStr">
        <is>
          <t>VÄRMLANDS LÄN</t>
        </is>
      </c>
      <c r="E5278" t="inlineStr">
        <is>
          <t>SUNNE</t>
        </is>
      </c>
      <c r="G5278" t="n">
        <v>1.6</v>
      </c>
      <c r="H5278" t="n">
        <v>0</v>
      </c>
      <c r="I5278" t="n">
        <v>0</v>
      </c>
      <c r="J5278" t="n">
        <v>0</v>
      </c>
      <c r="K5278" t="n">
        <v>0</v>
      </c>
      <c r="L5278" t="n">
        <v>0</v>
      </c>
      <c r="M5278" t="n">
        <v>0</v>
      </c>
      <c r="N5278" t="n">
        <v>0</v>
      </c>
      <c r="O5278" t="n">
        <v>0</v>
      </c>
      <c r="P5278" t="n">
        <v>0</v>
      </c>
      <c r="Q5278" t="n">
        <v>0</v>
      </c>
      <c r="R5278" s="2" t="inlineStr"/>
    </row>
    <row r="5279" ht="15" customHeight="1">
      <c r="A5279" t="inlineStr">
        <is>
          <t>A 49015-2021</t>
        </is>
      </c>
      <c r="B5279" s="1" t="n">
        <v>44453</v>
      </c>
      <c r="C5279" s="1" t="n">
        <v>45810</v>
      </c>
      <c r="D5279" t="inlineStr">
        <is>
          <t>VÄRMLANDS LÄN</t>
        </is>
      </c>
      <c r="E5279" t="inlineStr">
        <is>
          <t>SUNNE</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48938-2021</t>
        </is>
      </c>
      <c r="B5280" s="1" t="n">
        <v>44453</v>
      </c>
      <c r="C5280" s="1" t="n">
        <v>45810</v>
      </c>
      <c r="D5280" t="inlineStr">
        <is>
          <t>VÄRMLANDS LÄN</t>
        </is>
      </c>
      <c r="E5280" t="inlineStr">
        <is>
          <t>KIL</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48946-2021</t>
        </is>
      </c>
      <c r="B5281" s="1" t="n">
        <v>44453</v>
      </c>
      <c r="C5281" s="1" t="n">
        <v>45810</v>
      </c>
      <c r="D5281" t="inlineStr">
        <is>
          <t>VÄRMLANDS LÄN</t>
        </is>
      </c>
      <c r="E5281" t="inlineStr">
        <is>
          <t>SÄFFLE</t>
        </is>
      </c>
      <c r="G5281" t="n">
        <v>3</v>
      </c>
      <c r="H5281" t="n">
        <v>0</v>
      </c>
      <c r="I5281" t="n">
        <v>0</v>
      </c>
      <c r="J5281" t="n">
        <v>0</v>
      </c>
      <c r="K5281" t="n">
        <v>0</v>
      </c>
      <c r="L5281" t="n">
        <v>0</v>
      </c>
      <c r="M5281" t="n">
        <v>0</v>
      </c>
      <c r="N5281" t="n">
        <v>0</v>
      </c>
      <c r="O5281" t="n">
        <v>0</v>
      </c>
      <c r="P5281" t="n">
        <v>0</v>
      </c>
      <c r="Q5281" t="n">
        <v>0</v>
      </c>
      <c r="R5281" s="2" t="inlineStr"/>
    </row>
    <row r="5282" ht="15" customHeight="1">
      <c r="A5282" t="inlineStr">
        <is>
          <t>A 48967-2021</t>
        </is>
      </c>
      <c r="B5282" s="1" t="n">
        <v>44453</v>
      </c>
      <c r="C5282" s="1" t="n">
        <v>45810</v>
      </c>
      <c r="D5282" t="inlineStr">
        <is>
          <t>VÄRMLANDS LÄN</t>
        </is>
      </c>
      <c r="E5282" t="inlineStr">
        <is>
          <t>STORFORS</t>
        </is>
      </c>
      <c r="F5282" t="inlineStr">
        <is>
          <t>Bergvik skog väst AB</t>
        </is>
      </c>
      <c r="G5282" t="n">
        <v>18.8</v>
      </c>
      <c r="H5282" t="n">
        <v>0</v>
      </c>
      <c r="I5282" t="n">
        <v>0</v>
      </c>
      <c r="J5282" t="n">
        <v>0</v>
      </c>
      <c r="K5282" t="n">
        <v>0</v>
      </c>
      <c r="L5282" t="n">
        <v>0</v>
      </c>
      <c r="M5282" t="n">
        <v>0</v>
      </c>
      <c r="N5282" t="n">
        <v>0</v>
      </c>
      <c r="O5282" t="n">
        <v>0</v>
      </c>
      <c r="P5282" t="n">
        <v>0</v>
      </c>
      <c r="Q5282" t="n">
        <v>0</v>
      </c>
      <c r="R5282" s="2" t="inlineStr"/>
    </row>
    <row r="5283" ht="15" customHeight="1">
      <c r="A5283" t="inlineStr">
        <is>
          <t>A 48994-2021</t>
        </is>
      </c>
      <c r="B5283" s="1" t="n">
        <v>44453</v>
      </c>
      <c r="C5283" s="1" t="n">
        <v>45810</v>
      </c>
      <c r="D5283" t="inlineStr">
        <is>
          <t>VÄRMLANDS LÄN</t>
        </is>
      </c>
      <c r="E5283" t="inlineStr">
        <is>
          <t>SUNNE</t>
        </is>
      </c>
      <c r="G5283" t="n">
        <v>7.4</v>
      </c>
      <c r="H5283" t="n">
        <v>0</v>
      </c>
      <c r="I5283" t="n">
        <v>0</v>
      </c>
      <c r="J5283" t="n">
        <v>0</v>
      </c>
      <c r="K5283" t="n">
        <v>0</v>
      </c>
      <c r="L5283" t="n">
        <v>0</v>
      </c>
      <c r="M5283" t="n">
        <v>0</v>
      </c>
      <c r="N5283" t="n">
        <v>0</v>
      </c>
      <c r="O5283" t="n">
        <v>0</v>
      </c>
      <c r="P5283" t="n">
        <v>0</v>
      </c>
      <c r="Q5283" t="n">
        <v>0</v>
      </c>
      <c r="R5283" s="2" t="inlineStr"/>
    </row>
    <row r="5284" ht="15" customHeight="1">
      <c r="A5284" t="inlineStr">
        <is>
          <t>A 49736-2021</t>
        </is>
      </c>
      <c r="B5284" s="1" t="n">
        <v>44453</v>
      </c>
      <c r="C5284" s="1" t="n">
        <v>45810</v>
      </c>
      <c r="D5284" t="inlineStr">
        <is>
          <t>VÄRMLANDS LÄN</t>
        </is>
      </c>
      <c r="E5284" t="inlineStr">
        <is>
          <t>FILIPSTAD</t>
        </is>
      </c>
      <c r="G5284" t="n">
        <v>3.1</v>
      </c>
      <c r="H5284" t="n">
        <v>0</v>
      </c>
      <c r="I5284" t="n">
        <v>0</v>
      </c>
      <c r="J5284" t="n">
        <v>0</v>
      </c>
      <c r="K5284" t="n">
        <v>0</v>
      </c>
      <c r="L5284" t="n">
        <v>0</v>
      </c>
      <c r="M5284" t="n">
        <v>0</v>
      </c>
      <c r="N5284" t="n">
        <v>0</v>
      </c>
      <c r="O5284" t="n">
        <v>0</v>
      </c>
      <c r="P5284" t="n">
        <v>0</v>
      </c>
      <c r="Q5284" t="n">
        <v>0</v>
      </c>
      <c r="R5284" s="2" t="inlineStr"/>
    </row>
    <row r="5285" ht="15" customHeight="1">
      <c r="A5285" t="inlineStr">
        <is>
          <t>A 49180-2021</t>
        </is>
      </c>
      <c r="B5285" s="1" t="n">
        <v>44454</v>
      </c>
      <c r="C5285" s="1" t="n">
        <v>45810</v>
      </c>
      <c r="D5285" t="inlineStr">
        <is>
          <t>VÄRMLANDS LÄN</t>
        </is>
      </c>
      <c r="E5285" t="inlineStr">
        <is>
          <t>ÅRJÄNG</t>
        </is>
      </c>
      <c r="G5285" t="n">
        <v>1.8</v>
      </c>
      <c r="H5285" t="n">
        <v>0</v>
      </c>
      <c r="I5285" t="n">
        <v>0</v>
      </c>
      <c r="J5285" t="n">
        <v>0</v>
      </c>
      <c r="K5285" t="n">
        <v>0</v>
      </c>
      <c r="L5285" t="n">
        <v>0</v>
      </c>
      <c r="M5285" t="n">
        <v>0</v>
      </c>
      <c r="N5285" t="n">
        <v>0</v>
      </c>
      <c r="O5285" t="n">
        <v>0</v>
      </c>
      <c r="P5285" t="n">
        <v>0</v>
      </c>
      <c r="Q5285" t="n">
        <v>0</v>
      </c>
      <c r="R5285" s="2" t="inlineStr"/>
    </row>
    <row r="5286" ht="15" customHeight="1">
      <c r="A5286" t="inlineStr">
        <is>
          <t>A 49338-2021</t>
        </is>
      </c>
      <c r="B5286" s="1" t="n">
        <v>44454</v>
      </c>
      <c r="C5286" s="1" t="n">
        <v>45810</v>
      </c>
      <c r="D5286" t="inlineStr">
        <is>
          <t>VÄRMLANDS LÄN</t>
        </is>
      </c>
      <c r="E5286" t="inlineStr">
        <is>
          <t>KRISTINEHAMN</t>
        </is>
      </c>
      <c r="G5286" t="n">
        <v>8.800000000000001</v>
      </c>
      <c r="H5286" t="n">
        <v>0</v>
      </c>
      <c r="I5286" t="n">
        <v>0</v>
      </c>
      <c r="J5286" t="n">
        <v>0</v>
      </c>
      <c r="K5286" t="n">
        <v>0</v>
      </c>
      <c r="L5286" t="n">
        <v>0</v>
      </c>
      <c r="M5286" t="n">
        <v>0</v>
      </c>
      <c r="N5286" t="n">
        <v>0</v>
      </c>
      <c r="O5286" t="n">
        <v>0</v>
      </c>
      <c r="P5286" t="n">
        <v>0</v>
      </c>
      <c r="Q5286" t="n">
        <v>0</v>
      </c>
      <c r="R5286" s="2" t="inlineStr"/>
    </row>
    <row r="5287" ht="15" customHeight="1">
      <c r="A5287" t="inlineStr">
        <is>
          <t>A 49192-2021</t>
        </is>
      </c>
      <c r="B5287" s="1" t="n">
        <v>44454</v>
      </c>
      <c r="C5287" s="1" t="n">
        <v>45810</v>
      </c>
      <c r="D5287" t="inlineStr">
        <is>
          <t>VÄRMLANDS LÄN</t>
        </is>
      </c>
      <c r="E5287" t="inlineStr">
        <is>
          <t>TORSBY</t>
        </is>
      </c>
      <c r="F5287" t="inlineStr">
        <is>
          <t>Bergvik skog väst AB</t>
        </is>
      </c>
      <c r="G5287" t="n">
        <v>2.3</v>
      </c>
      <c r="H5287" t="n">
        <v>0</v>
      </c>
      <c r="I5287" t="n">
        <v>0</v>
      </c>
      <c r="J5287" t="n">
        <v>0</v>
      </c>
      <c r="K5287" t="n">
        <v>0</v>
      </c>
      <c r="L5287" t="n">
        <v>0</v>
      </c>
      <c r="M5287" t="n">
        <v>0</v>
      </c>
      <c r="N5287" t="n">
        <v>0</v>
      </c>
      <c r="O5287" t="n">
        <v>0</v>
      </c>
      <c r="P5287" t="n">
        <v>0</v>
      </c>
      <c r="Q5287" t="n">
        <v>0</v>
      </c>
      <c r="R5287" s="2" t="inlineStr"/>
    </row>
    <row r="5288" ht="15" customHeight="1">
      <c r="A5288" t="inlineStr">
        <is>
          <t>A 49335-2021</t>
        </is>
      </c>
      <c r="B5288" s="1" t="n">
        <v>44454</v>
      </c>
      <c r="C5288" s="1" t="n">
        <v>45810</v>
      </c>
      <c r="D5288" t="inlineStr">
        <is>
          <t>VÄRMLANDS LÄN</t>
        </is>
      </c>
      <c r="E5288" t="inlineStr">
        <is>
          <t>KRISTINEHAMN</t>
        </is>
      </c>
      <c r="G5288" t="n">
        <v>3</v>
      </c>
      <c r="H5288" t="n">
        <v>0</v>
      </c>
      <c r="I5288" t="n">
        <v>0</v>
      </c>
      <c r="J5288" t="n">
        <v>0</v>
      </c>
      <c r="K5288" t="n">
        <v>0</v>
      </c>
      <c r="L5288" t="n">
        <v>0</v>
      </c>
      <c r="M5288" t="n">
        <v>0</v>
      </c>
      <c r="N5288" t="n">
        <v>0</v>
      </c>
      <c r="O5288" t="n">
        <v>0</v>
      </c>
      <c r="P5288" t="n">
        <v>0</v>
      </c>
      <c r="Q5288" t="n">
        <v>0</v>
      </c>
      <c r="R5288" s="2" t="inlineStr"/>
    </row>
    <row r="5289" ht="15" customHeight="1">
      <c r="A5289" t="inlineStr">
        <is>
          <t>A 49334-2021</t>
        </is>
      </c>
      <c r="B5289" s="1" t="n">
        <v>44454</v>
      </c>
      <c r="C5289" s="1" t="n">
        <v>45810</v>
      </c>
      <c r="D5289" t="inlineStr">
        <is>
          <t>VÄRMLANDS LÄN</t>
        </is>
      </c>
      <c r="E5289" t="inlineStr">
        <is>
          <t>SUNNE</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49348-2021</t>
        </is>
      </c>
      <c r="B5290" s="1" t="n">
        <v>44454</v>
      </c>
      <c r="C5290" s="1" t="n">
        <v>45810</v>
      </c>
      <c r="D5290" t="inlineStr">
        <is>
          <t>VÄRMLANDS LÄN</t>
        </is>
      </c>
      <c r="E5290" t="inlineStr">
        <is>
          <t>KRISTINEHAMN</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49364-2021</t>
        </is>
      </c>
      <c r="B5291" s="1" t="n">
        <v>44454</v>
      </c>
      <c r="C5291" s="1" t="n">
        <v>45810</v>
      </c>
      <c r="D5291" t="inlineStr">
        <is>
          <t>VÄRMLANDS LÄN</t>
        </is>
      </c>
      <c r="E5291" t="inlineStr">
        <is>
          <t>SUNNE</t>
        </is>
      </c>
      <c r="G5291" t="n">
        <v>3.2</v>
      </c>
      <c r="H5291" t="n">
        <v>0</v>
      </c>
      <c r="I5291" t="n">
        <v>0</v>
      </c>
      <c r="J5291" t="n">
        <v>0</v>
      </c>
      <c r="K5291" t="n">
        <v>0</v>
      </c>
      <c r="L5291" t="n">
        <v>0</v>
      </c>
      <c r="M5291" t="n">
        <v>0</v>
      </c>
      <c r="N5291" t="n">
        <v>0</v>
      </c>
      <c r="O5291" t="n">
        <v>0</v>
      </c>
      <c r="P5291" t="n">
        <v>0</v>
      </c>
      <c r="Q5291" t="n">
        <v>0</v>
      </c>
      <c r="R5291" s="2" t="inlineStr"/>
    </row>
    <row r="5292" ht="15" customHeight="1">
      <c r="A5292" t="inlineStr">
        <is>
          <t>A 49343-2021</t>
        </is>
      </c>
      <c r="B5292" s="1" t="n">
        <v>44454</v>
      </c>
      <c r="C5292" s="1" t="n">
        <v>45810</v>
      </c>
      <c r="D5292" t="inlineStr">
        <is>
          <t>VÄRMLANDS LÄN</t>
        </is>
      </c>
      <c r="E5292" t="inlineStr">
        <is>
          <t>KARLSTAD</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49460-2021</t>
        </is>
      </c>
      <c r="B5293" s="1" t="n">
        <v>44454</v>
      </c>
      <c r="C5293" s="1" t="n">
        <v>45810</v>
      </c>
      <c r="D5293" t="inlineStr">
        <is>
          <t>VÄRMLANDS LÄN</t>
        </is>
      </c>
      <c r="E5293" t="inlineStr">
        <is>
          <t>SÄFFLE</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49617-2021</t>
        </is>
      </c>
      <c r="B5294" s="1" t="n">
        <v>44454</v>
      </c>
      <c r="C5294" s="1" t="n">
        <v>45810</v>
      </c>
      <c r="D5294" t="inlineStr">
        <is>
          <t>VÄRMLANDS LÄN</t>
        </is>
      </c>
      <c r="E5294" t="inlineStr">
        <is>
          <t>FORSHAGA</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50009-2021</t>
        </is>
      </c>
      <c r="B5295" s="1" t="n">
        <v>44454</v>
      </c>
      <c r="C5295" s="1" t="n">
        <v>45810</v>
      </c>
      <c r="D5295" t="inlineStr">
        <is>
          <t>VÄRMLANDS LÄN</t>
        </is>
      </c>
      <c r="E5295" t="inlineStr">
        <is>
          <t>FILIPSTAD</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49999-2021</t>
        </is>
      </c>
      <c r="B5296" s="1" t="n">
        <v>44454</v>
      </c>
      <c r="C5296" s="1" t="n">
        <v>45810</v>
      </c>
      <c r="D5296" t="inlineStr">
        <is>
          <t>VÄRMLANDS LÄN</t>
        </is>
      </c>
      <c r="E5296" t="inlineStr">
        <is>
          <t>FILIPSTAD</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49714-2021</t>
        </is>
      </c>
      <c r="B5297" s="1" t="n">
        <v>44455</v>
      </c>
      <c r="C5297" s="1" t="n">
        <v>45810</v>
      </c>
      <c r="D5297" t="inlineStr">
        <is>
          <t>VÄRMLANDS LÄN</t>
        </is>
      </c>
      <c r="E5297" t="inlineStr">
        <is>
          <t>KRISTINEHAMN</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49744-2021</t>
        </is>
      </c>
      <c r="B5298" s="1" t="n">
        <v>44455</v>
      </c>
      <c r="C5298" s="1" t="n">
        <v>45810</v>
      </c>
      <c r="D5298" t="inlineStr">
        <is>
          <t>VÄRMLANDS LÄN</t>
        </is>
      </c>
      <c r="E5298" t="inlineStr">
        <is>
          <t>ARVIKA</t>
        </is>
      </c>
      <c r="F5298" t="inlineStr">
        <is>
          <t>Bergvik skog väst AB</t>
        </is>
      </c>
      <c r="G5298" t="n">
        <v>2.2</v>
      </c>
      <c r="H5298" t="n">
        <v>0</v>
      </c>
      <c r="I5298" t="n">
        <v>0</v>
      </c>
      <c r="J5298" t="n">
        <v>0</v>
      </c>
      <c r="K5298" t="n">
        <v>0</v>
      </c>
      <c r="L5298" t="n">
        <v>0</v>
      </c>
      <c r="M5298" t="n">
        <v>0</v>
      </c>
      <c r="N5298" t="n">
        <v>0</v>
      </c>
      <c r="O5298" t="n">
        <v>0</v>
      </c>
      <c r="P5298" t="n">
        <v>0</v>
      </c>
      <c r="Q5298" t="n">
        <v>0</v>
      </c>
      <c r="R5298" s="2" t="inlineStr"/>
    </row>
    <row r="5299" ht="15" customHeight="1">
      <c r="A5299" t="inlineStr">
        <is>
          <t>A 49546-2021</t>
        </is>
      </c>
      <c r="B5299" s="1" t="n">
        <v>44455</v>
      </c>
      <c r="C5299" s="1" t="n">
        <v>45810</v>
      </c>
      <c r="D5299" t="inlineStr">
        <is>
          <t>VÄRMLANDS LÄN</t>
        </is>
      </c>
      <c r="E5299" t="inlineStr">
        <is>
          <t>HAGFORS</t>
        </is>
      </c>
      <c r="F5299" t="inlineStr">
        <is>
          <t>Bergvik skog väst AB</t>
        </is>
      </c>
      <c r="G5299" t="n">
        <v>2.3</v>
      </c>
      <c r="H5299" t="n">
        <v>0</v>
      </c>
      <c r="I5299" t="n">
        <v>0</v>
      </c>
      <c r="J5299" t="n">
        <v>0</v>
      </c>
      <c r="K5299" t="n">
        <v>0</v>
      </c>
      <c r="L5299" t="n">
        <v>0</v>
      </c>
      <c r="M5299" t="n">
        <v>0</v>
      </c>
      <c r="N5299" t="n">
        <v>0</v>
      </c>
      <c r="O5299" t="n">
        <v>0</v>
      </c>
      <c r="P5299" t="n">
        <v>0</v>
      </c>
      <c r="Q5299" t="n">
        <v>0</v>
      </c>
      <c r="R5299" s="2" t="inlineStr"/>
    </row>
    <row r="5300" ht="15" customHeight="1">
      <c r="A5300" t="inlineStr">
        <is>
          <t>A 49641-2021</t>
        </is>
      </c>
      <c r="B5300" s="1" t="n">
        <v>44455</v>
      </c>
      <c r="C5300" s="1" t="n">
        <v>45810</v>
      </c>
      <c r="D5300" t="inlineStr">
        <is>
          <t>VÄRMLANDS LÄN</t>
        </is>
      </c>
      <c r="E5300" t="inlineStr">
        <is>
          <t>ÅRJÄNG</t>
        </is>
      </c>
      <c r="G5300" t="n">
        <v>3.2</v>
      </c>
      <c r="H5300" t="n">
        <v>0</v>
      </c>
      <c r="I5300" t="n">
        <v>0</v>
      </c>
      <c r="J5300" t="n">
        <v>0</v>
      </c>
      <c r="K5300" t="n">
        <v>0</v>
      </c>
      <c r="L5300" t="n">
        <v>0</v>
      </c>
      <c r="M5300" t="n">
        <v>0</v>
      </c>
      <c r="N5300" t="n">
        <v>0</v>
      </c>
      <c r="O5300" t="n">
        <v>0</v>
      </c>
      <c r="P5300" t="n">
        <v>0</v>
      </c>
      <c r="Q5300" t="n">
        <v>0</v>
      </c>
      <c r="R5300" s="2" t="inlineStr"/>
    </row>
    <row r="5301" ht="15" customHeight="1">
      <c r="A5301" t="inlineStr">
        <is>
          <t>A 49680-2021</t>
        </is>
      </c>
      <c r="B5301" s="1" t="n">
        <v>44455</v>
      </c>
      <c r="C5301" s="1" t="n">
        <v>45810</v>
      </c>
      <c r="D5301" t="inlineStr">
        <is>
          <t>VÄRMLANDS LÄN</t>
        </is>
      </c>
      <c r="E5301" t="inlineStr">
        <is>
          <t>ÅRJÄNG</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49759-2021</t>
        </is>
      </c>
      <c r="B5302" s="1" t="n">
        <v>44455</v>
      </c>
      <c r="C5302" s="1" t="n">
        <v>45810</v>
      </c>
      <c r="D5302" t="inlineStr">
        <is>
          <t>VÄRMLANDS LÄN</t>
        </is>
      </c>
      <c r="E5302" t="inlineStr">
        <is>
          <t>ARVIKA</t>
        </is>
      </c>
      <c r="F5302" t="inlineStr">
        <is>
          <t>Bergvik skog väst AB</t>
        </is>
      </c>
      <c r="G5302" t="n">
        <v>12.5</v>
      </c>
      <c r="H5302" t="n">
        <v>0</v>
      </c>
      <c r="I5302" t="n">
        <v>0</v>
      </c>
      <c r="J5302" t="n">
        <v>0</v>
      </c>
      <c r="K5302" t="n">
        <v>0</v>
      </c>
      <c r="L5302" t="n">
        <v>0</v>
      </c>
      <c r="M5302" t="n">
        <v>0</v>
      </c>
      <c r="N5302" t="n">
        <v>0</v>
      </c>
      <c r="O5302" t="n">
        <v>0</v>
      </c>
      <c r="P5302" t="n">
        <v>0</v>
      </c>
      <c r="Q5302" t="n">
        <v>0</v>
      </c>
      <c r="R5302" s="2" t="inlineStr"/>
    </row>
    <row r="5303" ht="15" customHeight="1">
      <c r="A5303" t="inlineStr">
        <is>
          <t>A 49673-2021</t>
        </is>
      </c>
      <c r="B5303" s="1" t="n">
        <v>44455</v>
      </c>
      <c r="C5303" s="1" t="n">
        <v>45810</v>
      </c>
      <c r="D5303" t="inlineStr">
        <is>
          <t>VÄRMLANDS LÄN</t>
        </is>
      </c>
      <c r="E5303" t="inlineStr">
        <is>
          <t>ARVIKA</t>
        </is>
      </c>
      <c r="F5303" t="inlineStr">
        <is>
          <t>Bergvik skog väst AB</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49713-2021</t>
        </is>
      </c>
      <c r="B5304" s="1" t="n">
        <v>44455</v>
      </c>
      <c r="C5304" s="1" t="n">
        <v>45810</v>
      </c>
      <c r="D5304" t="inlineStr">
        <is>
          <t>VÄRMLANDS LÄN</t>
        </is>
      </c>
      <c r="E5304" t="inlineStr">
        <is>
          <t>ARVIKA</t>
        </is>
      </c>
      <c r="F5304" t="inlineStr">
        <is>
          <t>Bergvik skog väst AB</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49887-2021</t>
        </is>
      </c>
      <c r="B5305" s="1" t="n">
        <v>44455</v>
      </c>
      <c r="C5305" s="1" t="n">
        <v>45810</v>
      </c>
      <c r="D5305" t="inlineStr">
        <is>
          <t>VÄRMLANDS LÄN</t>
        </is>
      </c>
      <c r="E5305" t="inlineStr">
        <is>
          <t>SUNNE</t>
        </is>
      </c>
      <c r="G5305" t="n">
        <v>1.4</v>
      </c>
      <c r="H5305" t="n">
        <v>0</v>
      </c>
      <c r="I5305" t="n">
        <v>0</v>
      </c>
      <c r="J5305" t="n">
        <v>0</v>
      </c>
      <c r="K5305" t="n">
        <v>0</v>
      </c>
      <c r="L5305" t="n">
        <v>0</v>
      </c>
      <c r="M5305" t="n">
        <v>0</v>
      </c>
      <c r="N5305" t="n">
        <v>0</v>
      </c>
      <c r="O5305" t="n">
        <v>0</v>
      </c>
      <c r="P5305" t="n">
        <v>0</v>
      </c>
      <c r="Q5305" t="n">
        <v>0</v>
      </c>
      <c r="R5305" s="2" t="inlineStr"/>
    </row>
    <row r="5306" ht="15" customHeight="1">
      <c r="A5306" t="inlineStr">
        <is>
          <t>A 49785-2021</t>
        </is>
      </c>
      <c r="B5306" s="1" t="n">
        <v>44455</v>
      </c>
      <c r="C5306" s="1" t="n">
        <v>45810</v>
      </c>
      <c r="D5306" t="inlineStr">
        <is>
          <t>VÄRMLANDS LÄN</t>
        </is>
      </c>
      <c r="E5306" t="inlineStr">
        <is>
          <t>ARVIKA</t>
        </is>
      </c>
      <c r="F5306" t="inlineStr">
        <is>
          <t>Bergvik skog väst AB</t>
        </is>
      </c>
      <c r="G5306" t="n">
        <v>2.6</v>
      </c>
      <c r="H5306" t="n">
        <v>0</v>
      </c>
      <c r="I5306" t="n">
        <v>0</v>
      </c>
      <c r="J5306" t="n">
        <v>0</v>
      </c>
      <c r="K5306" t="n">
        <v>0</v>
      </c>
      <c r="L5306" t="n">
        <v>0</v>
      </c>
      <c r="M5306" t="n">
        <v>0</v>
      </c>
      <c r="N5306" t="n">
        <v>0</v>
      </c>
      <c r="O5306" t="n">
        <v>0</v>
      </c>
      <c r="P5306" t="n">
        <v>0</v>
      </c>
      <c r="Q5306" t="n">
        <v>0</v>
      </c>
      <c r="R5306" s="2" t="inlineStr"/>
    </row>
    <row r="5307" ht="15" customHeight="1">
      <c r="A5307" t="inlineStr">
        <is>
          <t>A 50065-2021</t>
        </is>
      </c>
      <c r="B5307" s="1" t="n">
        <v>44455</v>
      </c>
      <c r="C5307" s="1" t="n">
        <v>45810</v>
      </c>
      <c r="D5307" t="inlineStr">
        <is>
          <t>VÄRMLANDS LÄN</t>
        </is>
      </c>
      <c r="E5307" t="inlineStr">
        <is>
          <t>SUNNE</t>
        </is>
      </c>
      <c r="G5307" t="n">
        <v>5.6</v>
      </c>
      <c r="H5307" t="n">
        <v>0</v>
      </c>
      <c r="I5307" t="n">
        <v>0</v>
      </c>
      <c r="J5307" t="n">
        <v>0</v>
      </c>
      <c r="K5307" t="n">
        <v>0</v>
      </c>
      <c r="L5307" t="n">
        <v>0</v>
      </c>
      <c r="M5307" t="n">
        <v>0</v>
      </c>
      <c r="N5307" t="n">
        <v>0</v>
      </c>
      <c r="O5307" t="n">
        <v>0</v>
      </c>
      <c r="P5307" t="n">
        <v>0</v>
      </c>
      <c r="Q5307" t="n">
        <v>0</v>
      </c>
      <c r="R5307" s="2" t="inlineStr"/>
    </row>
    <row r="5308" ht="15" customHeight="1">
      <c r="A5308" t="inlineStr">
        <is>
          <t>A 49829-2021</t>
        </is>
      </c>
      <c r="B5308" s="1" t="n">
        <v>44455</v>
      </c>
      <c r="C5308" s="1" t="n">
        <v>45810</v>
      </c>
      <c r="D5308" t="inlineStr">
        <is>
          <t>VÄRMLANDS LÄN</t>
        </is>
      </c>
      <c r="E5308" t="inlineStr">
        <is>
          <t>KIL</t>
        </is>
      </c>
      <c r="G5308" t="n">
        <v>2.7</v>
      </c>
      <c r="H5308" t="n">
        <v>0</v>
      </c>
      <c r="I5308" t="n">
        <v>0</v>
      </c>
      <c r="J5308" t="n">
        <v>0</v>
      </c>
      <c r="K5308" t="n">
        <v>0</v>
      </c>
      <c r="L5308" t="n">
        <v>0</v>
      </c>
      <c r="M5308" t="n">
        <v>0</v>
      </c>
      <c r="N5308" t="n">
        <v>0</v>
      </c>
      <c r="O5308" t="n">
        <v>0</v>
      </c>
      <c r="P5308" t="n">
        <v>0</v>
      </c>
      <c r="Q5308" t="n">
        <v>0</v>
      </c>
      <c r="R5308" s="2" t="inlineStr"/>
    </row>
    <row r="5309" ht="15" customHeight="1">
      <c r="A5309" t="inlineStr">
        <is>
          <t>A 49900-2021</t>
        </is>
      </c>
      <c r="B5309" s="1" t="n">
        <v>44455</v>
      </c>
      <c r="C5309" s="1" t="n">
        <v>45810</v>
      </c>
      <c r="D5309" t="inlineStr">
        <is>
          <t>VÄRMLANDS LÄN</t>
        </is>
      </c>
      <c r="E5309" t="inlineStr">
        <is>
          <t>TORSBY</t>
        </is>
      </c>
      <c r="G5309" t="n">
        <v>4.1</v>
      </c>
      <c r="H5309" t="n">
        <v>0</v>
      </c>
      <c r="I5309" t="n">
        <v>0</v>
      </c>
      <c r="J5309" t="n">
        <v>0</v>
      </c>
      <c r="K5309" t="n">
        <v>0</v>
      </c>
      <c r="L5309" t="n">
        <v>0</v>
      </c>
      <c r="M5309" t="n">
        <v>0</v>
      </c>
      <c r="N5309" t="n">
        <v>0</v>
      </c>
      <c r="O5309" t="n">
        <v>0</v>
      </c>
      <c r="P5309" t="n">
        <v>0</v>
      </c>
      <c r="Q5309" t="n">
        <v>0</v>
      </c>
      <c r="R5309" s="2" t="inlineStr"/>
    </row>
    <row r="5310" ht="15" customHeight="1">
      <c r="A5310" t="inlineStr">
        <is>
          <t>A 49932-2021</t>
        </is>
      </c>
      <c r="B5310" s="1" t="n">
        <v>44455</v>
      </c>
      <c r="C5310" s="1" t="n">
        <v>45810</v>
      </c>
      <c r="D5310" t="inlineStr">
        <is>
          <t>VÄRMLANDS LÄN</t>
        </is>
      </c>
      <c r="E5310" t="inlineStr">
        <is>
          <t>ÅRJÄNG</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49978-2021</t>
        </is>
      </c>
      <c r="B5311" s="1" t="n">
        <v>44456</v>
      </c>
      <c r="C5311" s="1" t="n">
        <v>45810</v>
      </c>
      <c r="D5311" t="inlineStr">
        <is>
          <t>VÄRMLANDS LÄN</t>
        </is>
      </c>
      <c r="E5311" t="inlineStr">
        <is>
          <t>SUNNE</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50063-2021</t>
        </is>
      </c>
      <c r="B5312" s="1" t="n">
        <v>44456</v>
      </c>
      <c r="C5312" s="1" t="n">
        <v>45810</v>
      </c>
      <c r="D5312" t="inlineStr">
        <is>
          <t>VÄRMLANDS LÄN</t>
        </is>
      </c>
      <c r="E5312" t="inlineStr">
        <is>
          <t>FILIPSTAD</t>
        </is>
      </c>
      <c r="F5312" t="inlineStr">
        <is>
          <t>Bergvik skog väst AB</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50100-2021</t>
        </is>
      </c>
      <c r="B5313" s="1" t="n">
        <v>44456</v>
      </c>
      <c r="C5313" s="1" t="n">
        <v>45810</v>
      </c>
      <c r="D5313" t="inlineStr">
        <is>
          <t>VÄRMLANDS LÄN</t>
        </is>
      </c>
      <c r="E5313" t="inlineStr">
        <is>
          <t>TORSBY</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50584-2021</t>
        </is>
      </c>
      <c r="B5314" s="1" t="n">
        <v>44456</v>
      </c>
      <c r="C5314" s="1" t="n">
        <v>45810</v>
      </c>
      <c r="D5314" t="inlineStr">
        <is>
          <t>VÄRMLANDS LÄN</t>
        </is>
      </c>
      <c r="E5314" t="inlineStr">
        <is>
          <t>SÄFFLE</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50350-2021</t>
        </is>
      </c>
      <c r="B5315" s="1" t="n">
        <v>44456</v>
      </c>
      <c r="C5315" s="1" t="n">
        <v>45810</v>
      </c>
      <c r="D5315" t="inlineStr">
        <is>
          <t>VÄRMLANDS LÄN</t>
        </is>
      </c>
      <c r="E5315" t="inlineStr">
        <is>
          <t>SUNNE</t>
        </is>
      </c>
      <c r="G5315" t="n">
        <v>5.9</v>
      </c>
      <c r="H5315" t="n">
        <v>0</v>
      </c>
      <c r="I5315" t="n">
        <v>0</v>
      </c>
      <c r="J5315" t="n">
        <v>0</v>
      </c>
      <c r="K5315" t="n">
        <v>0</v>
      </c>
      <c r="L5315" t="n">
        <v>0</v>
      </c>
      <c r="M5315" t="n">
        <v>0</v>
      </c>
      <c r="N5315" t="n">
        <v>0</v>
      </c>
      <c r="O5315" t="n">
        <v>0</v>
      </c>
      <c r="P5315" t="n">
        <v>0</v>
      </c>
      <c r="Q5315" t="n">
        <v>0</v>
      </c>
      <c r="R5315" s="2" t="inlineStr"/>
    </row>
    <row r="5316" ht="15" customHeight="1">
      <c r="A5316" t="inlineStr">
        <is>
          <t>A 50219-2021</t>
        </is>
      </c>
      <c r="B5316" s="1" t="n">
        <v>44457</v>
      </c>
      <c r="C5316" s="1" t="n">
        <v>45810</v>
      </c>
      <c r="D5316" t="inlineStr">
        <is>
          <t>VÄRMLANDS LÄN</t>
        </is>
      </c>
      <c r="E5316" t="inlineStr">
        <is>
          <t>ÅRJÄNG</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50229-2021</t>
        </is>
      </c>
      <c r="B5317" s="1" t="n">
        <v>44457</v>
      </c>
      <c r="C5317" s="1" t="n">
        <v>45810</v>
      </c>
      <c r="D5317" t="inlineStr">
        <is>
          <t>VÄRMLANDS LÄN</t>
        </is>
      </c>
      <c r="E5317" t="inlineStr">
        <is>
          <t>ARVIKA</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50223-2021</t>
        </is>
      </c>
      <c r="B5318" s="1" t="n">
        <v>44457</v>
      </c>
      <c r="C5318" s="1" t="n">
        <v>45810</v>
      </c>
      <c r="D5318" t="inlineStr">
        <is>
          <t>VÄRMLANDS LÄN</t>
        </is>
      </c>
      <c r="E5318" t="inlineStr">
        <is>
          <t>ÅRJÄNG</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50241-2021</t>
        </is>
      </c>
      <c r="B5319" s="1" t="n">
        <v>44458</v>
      </c>
      <c r="C5319" s="1" t="n">
        <v>45810</v>
      </c>
      <c r="D5319" t="inlineStr">
        <is>
          <t>VÄRMLANDS LÄN</t>
        </is>
      </c>
      <c r="E5319" t="inlineStr">
        <is>
          <t>SUNNE</t>
        </is>
      </c>
      <c r="G5319" t="n">
        <v>4.6</v>
      </c>
      <c r="H5319" t="n">
        <v>0</v>
      </c>
      <c r="I5319" t="n">
        <v>0</v>
      </c>
      <c r="J5319" t="n">
        <v>0</v>
      </c>
      <c r="K5319" t="n">
        <v>0</v>
      </c>
      <c r="L5319" t="n">
        <v>0</v>
      </c>
      <c r="M5319" t="n">
        <v>0</v>
      </c>
      <c r="N5319" t="n">
        <v>0</v>
      </c>
      <c r="O5319" t="n">
        <v>0</v>
      </c>
      <c r="P5319" t="n">
        <v>0</v>
      </c>
      <c r="Q5319" t="n">
        <v>0</v>
      </c>
      <c r="R5319" s="2" t="inlineStr"/>
    </row>
    <row r="5320" ht="15" customHeight="1">
      <c r="A5320" t="inlineStr">
        <is>
          <t>A 50254-2021</t>
        </is>
      </c>
      <c r="B5320" s="1" t="n">
        <v>44458</v>
      </c>
      <c r="C5320" s="1" t="n">
        <v>45810</v>
      </c>
      <c r="D5320" t="inlineStr">
        <is>
          <t>VÄRMLANDS LÄN</t>
        </is>
      </c>
      <c r="E5320" t="inlineStr">
        <is>
          <t>STORFORS</t>
        </is>
      </c>
      <c r="F5320" t="inlineStr">
        <is>
          <t>Bergvik skog väst AB</t>
        </is>
      </c>
      <c r="G5320" t="n">
        <v>4.4</v>
      </c>
      <c r="H5320" t="n">
        <v>0</v>
      </c>
      <c r="I5320" t="n">
        <v>0</v>
      </c>
      <c r="J5320" t="n">
        <v>0</v>
      </c>
      <c r="K5320" t="n">
        <v>0</v>
      </c>
      <c r="L5320" t="n">
        <v>0</v>
      </c>
      <c r="M5320" t="n">
        <v>0</v>
      </c>
      <c r="N5320" t="n">
        <v>0</v>
      </c>
      <c r="O5320" t="n">
        <v>0</v>
      </c>
      <c r="P5320" t="n">
        <v>0</v>
      </c>
      <c r="Q5320" t="n">
        <v>0</v>
      </c>
      <c r="R5320" s="2" t="inlineStr"/>
    </row>
    <row r="5321" ht="15" customHeight="1">
      <c r="A5321" t="inlineStr">
        <is>
          <t>A 50520-2021</t>
        </is>
      </c>
      <c r="B5321" s="1" t="n">
        <v>44458</v>
      </c>
      <c r="C5321" s="1" t="n">
        <v>45810</v>
      </c>
      <c r="D5321" t="inlineStr">
        <is>
          <t>VÄRMLANDS LÄN</t>
        </is>
      </c>
      <c r="E5321" t="inlineStr">
        <is>
          <t>ARVIKA</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50272-2021</t>
        </is>
      </c>
      <c r="B5322" s="1" t="n">
        <v>44459</v>
      </c>
      <c r="C5322" s="1" t="n">
        <v>45810</v>
      </c>
      <c r="D5322" t="inlineStr">
        <is>
          <t>VÄRMLANDS LÄN</t>
        </is>
      </c>
      <c r="E5322" t="inlineStr">
        <is>
          <t>HAGFORS</t>
        </is>
      </c>
      <c r="F5322" t="inlineStr">
        <is>
          <t>Bergvik skog väst AB</t>
        </is>
      </c>
      <c r="G5322" t="n">
        <v>10.8</v>
      </c>
      <c r="H5322" t="n">
        <v>0</v>
      </c>
      <c r="I5322" t="n">
        <v>0</v>
      </c>
      <c r="J5322" t="n">
        <v>0</v>
      </c>
      <c r="K5322" t="n">
        <v>0</v>
      </c>
      <c r="L5322" t="n">
        <v>0</v>
      </c>
      <c r="M5322" t="n">
        <v>0</v>
      </c>
      <c r="N5322" t="n">
        <v>0</v>
      </c>
      <c r="O5322" t="n">
        <v>0</v>
      </c>
      <c r="P5322" t="n">
        <v>0</v>
      </c>
      <c r="Q5322" t="n">
        <v>0</v>
      </c>
      <c r="R5322" s="2" t="inlineStr"/>
    </row>
    <row r="5323" ht="15" customHeight="1">
      <c r="A5323" t="inlineStr">
        <is>
          <t>A 50387-2021</t>
        </is>
      </c>
      <c r="B5323" s="1" t="n">
        <v>44459</v>
      </c>
      <c r="C5323" s="1" t="n">
        <v>45810</v>
      </c>
      <c r="D5323" t="inlineStr">
        <is>
          <t>VÄRMLANDS LÄN</t>
        </is>
      </c>
      <c r="E5323" t="inlineStr">
        <is>
          <t>ARVIKA</t>
        </is>
      </c>
      <c r="F5323" t="inlineStr">
        <is>
          <t>Bergvik skog väst AB</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50400-2021</t>
        </is>
      </c>
      <c r="B5324" s="1" t="n">
        <v>44459</v>
      </c>
      <c r="C5324" s="1" t="n">
        <v>45810</v>
      </c>
      <c r="D5324" t="inlineStr">
        <is>
          <t>VÄRMLANDS LÄN</t>
        </is>
      </c>
      <c r="E5324" t="inlineStr">
        <is>
          <t>KARLSTAD</t>
        </is>
      </c>
      <c r="G5324" t="n">
        <v>7.2</v>
      </c>
      <c r="H5324" t="n">
        <v>0</v>
      </c>
      <c r="I5324" t="n">
        <v>0</v>
      </c>
      <c r="J5324" t="n">
        <v>0</v>
      </c>
      <c r="K5324" t="n">
        <v>0</v>
      </c>
      <c r="L5324" t="n">
        <v>0</v>
      </c>
      <c r="M5324" t="n">
        <v>0</v>
      </c>
      <c r="N5324" t="n">
        <v>0</v>
      </c>
      <c r="O5324" t="n">
        <v>0</v>
      </c>
      <c r="P5324" t="n">
        <v>0</v>
      </c>
      <c r="Q5324" t="n">
        <v>0</v>
      </c>
      <c r="R5324" s="2" t="inlineStr"/>
    </row>
    <row r="5325" ht="15" customHeight="1">
      <c r="A5325" t="inlineStr">
        <is>
          <t>A 50557-2021</t>
        </is>
      </c>
      <c r="B5325" s="1" t="n">
        <v>44459</v>
      </c>
      <c r="C5325" s="1" t="n">
        <v>45810</v>
      </c>
      <c r="D5325" t="inlineStr">
        <is>
          <t>VÄRMLANDS LÄN</t>
        </is>
      </c>
      <c r="E5325" t="inlineStr">
        <is>
          <t>SUNNE</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50596-2021</t>
        </is>
      </c>
      <c r="B5326" s="1" t="n">
        <v>44459</v>
      </c>
      <c r="C5326" s="1" t="n">
        <v>45810</v>
      </c>
      <c r="D5326" t="inlineStr">
        <is>
          <t>VÄRMLANDS LÄN</t>
        </is>
      </c>
      <c r="E5326" t="inlineStr">
        <is>
          <t>TORSBY</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50549-2021</t>
        </is>
      </c>
      <c r="B5327" s="1" t="n">
        <v>44459</v>
      </c>
      <c r="C5327" s="1" t="n">
        <v>45810</v>
      </c>
      <c r="D5327" t="inlineStr">
        <is>
          <t>VÄRMLANDS LÄN</t>
        </is>
      </c>
      <c r="E5327" t="inlineStr">
        <is>
          <t>TORSBY</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50569-2021</t>
        </is>
      </c>
      <c r="B5328" s="1" t="n">
        <v>44459</v>
      </c>
      <c r="C5328" s="1" t="n">
        <v>45810</v>
      </c>
      <c r="D5328" t="inlineStr">
        <is>
          <t>VÄRMLANDS LÄN</t>
        </is>
      </c>
      <c r="E5328" t="inlineStr">
        <is>
          <t>ÅRJÄNG</t>
        </is>
      </c>
      <c r="G5328" t="n">
        <v>2.9</v>
      </c>
      <c r="H5328" t="n">
        <v>0</v>
      </c>
      <c r="I5328" t="n">
        <v>0</v>
      </c>
      <c r="J5328" t="n">
        <v>0</v>
      </c>
      <c r="K5328" t="n">
        <v>0</v>
      </c>
      <c r="L5328" t="n">
        <v>0</v>
      </c>
      <c r="M5328" t="n">
        <v>0</v>
      </c>
      <c r="N5328" t="n">
        <v>0</v>
      </c>
      <c r="O5328" t="n">
        <v>0</v>
      </c>
      <c r="P5328" t="n">
        <v>0</v>
      </c>
      <c r="Q5328" t="n">
        <v>0</v>
      </c>
      <c r="R5328" s="2" t="inlineStr"/>
    </row>
    <row r="5329" ht="15" customHeight="1">
      <c r="A5329" t="inlineStr">
        <is>
          <t>A 50553-2021</t>
        </is>
      </c>
      <c r="B5329" s="1" t="n">
        <v>44459</v>
      </c>
      <c r="C5329" s="1" t="n">
        <v>45810</v>
      </c>
      <c r="D5329" t="inlineStr">
        <is>
          <t>VÄRMLANDS LÄN</t>
        </is>
      </c>
      <c r="E5329" t="inlineStr">
        <is>
          <t>SUNNE</t>
        </is>
      </c>
      <c r="G5329" t="n">
        <v>3.7</v>
      </c>
      <c r="H5329" t="n">
        <v>0</v>
      </c>
      <c r="I5329" t="n">
        <v>0</v>
      </c>
      <c r="J5329" t="n">
        <v>0</v>
      </c>
      <c r="K5329" t="n">
        <v>0</v>
      </c>
      <c r="L5329" t="n">
        <v>0</v>
      </c>
      <c r="M5329" t="n">
        <v>0</v>
      </c>
      <c r="N5329" t="n">
        <v>0</v>
      </c>
      <c r="O5329" t="n">
        <v>0</v>
      </c>
      <c r="P5329" t="n">
        <v>0</v>
      </c>
      <c r="Q5329" t="n">
        <v>0</v>
      </c>
      <c r="R5329" s="2" t="inlineStr"/>
    </row>
    <row r="5330" ht="15" customHeight="1">
      <c r="A5330" t="inlineStr">
        <is>
          <t>A 50767-2021</t>
        </is>
      </c>
      <c r="B5330" s="1" t="n">
        <v>44459</v>
      </c>
      <c r="C5330" s="1" t="n">
        <v>45810</v>
      </c>
      <c r="D5330" t="inlineStr">
        <is>
          <t>VÄRMLANDS LÄN</t>
        </is>
      </c>
      <c r="E5330" t="inlineStr">
        <is>
          <t>ÅRJÄNG</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50858-2021</t>
        </is>
      </c>
      <c r="B5331" s="1" t="n">
        <v>44459</v>
      </c>
      <c r="C5331" s="1" t="n">
        <v>45810</v>
      </c>
      <c r="D5331" t="inlineStr">
        <is>
          <t>VÄRMLANDS LÄN</t>
        </is>
      </c>
      <c r="E5331" t="inlineStr">
        <is>
          <t>ÅRJÄNG</t>
        </is>
      </c>
      <c r="G5331" t="n">
        <v>7.2</v>
      </c>
      <c r="H5331" t="n">
        <v>0</v>
      </c>
      <c r="I5331" t="n">
        <v>0</v>
      </c>
      <c r="J5331" t="n">
        <v>0</v>
      </c>
      <c r="K5331" t="n">
        <v>0</v>
      </c>
      <c r="L5331" t="n">
        <v>0</v>
      </c>
      <c r="M5331" t="n">
        <v>0</v>
      </c>
      <c r="N5331" t="n">
        <v>0</v>
      </c>
      <c r="O5331" t="n">
        <v>0</v>
      </c>
      <c r="P5331" t="n">
        <v>0</v>
      </c>
      <c r="Q5331" t="n">
        <v>0</v>
      </c>
      <c r="R5331" s="2" t="inlineStr"/>
    </row>
    <row r="5332" ht="15" customHeight="1">
      <c r="A5332" t="inlineStr">
        <is>
          <t>A 51096-2021</t>
        </is>
      </c>
      <c r="B5332" s="1" t="n">
        <v>44459</v>
      </c>
      <c r="C5332" s="1" t="n">
        <v>45810</v>
      </c>
      <c r="D5332" t="inlineStr">
        <is>
          <t>VÄRMLANDS LÄN</t>
        </is>
      </c>
      <c r="E5332" t="inlineStr">
        <is>
          <t>KARLSTAD</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54425-2021</t>
        </is>
      </c>
      <c r="B5333" s="1" t="n">
        <v>44459</v>
      </c>
      <c r="C5333" s="1" t="n">
        <v>45810</v>
      </c>
      <c r="D5333" t="inlineStr">
        <is>
          <t>VÄRMLANDS LÄN</t>
        </is>
      </c>
      <c r="E5333" t="inlineStr">
        <is>
          <t>ÅRJÄNG</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54437-2021</t>
        </is>
      </c>
      <c r="B5334" s="1" t="n">
        <v>44459</v>
      </c>
      <c r="C5334" s="1" t="n">
        <v>45810</v>
      </c>
      <c r="D5334" t="inlineStr">
        <is>
          <t>VÄRMLANDS LÄN</t>
        </is>
      </c>
      <c r="E5334" t="inlineStr">
        <is>
          <t>ÅRJÄNG</t>
        </is>
      </c>
      <c r="G5334" t="n">
        <v>3.5</v>
      </c>
      <c r="H5334" t="n">
        <v>0</v>
      </c>
      <c r="I5334" t="n">
        <v>0</v>
      </c>
      <c r="J5334" t="n">
        <v>0</v>
      </c>
      <c r="K5334" t="n">
        <v>0</v>
      </c>
      <c r="L5334" t="n">
        <v>0</v>
      </c>
      <c r="M5334" t="n">
        <v>0</v>
      </c>
      <c r="N5334" t="n">
        <v>0</v>
      </c>
      <c r="O5334" t="n">
        <v>0</v>
      </c>
      <c r="P5334" t="n">
        <v>0</v>
      </c>
      <c r="Q5334" t="n">
        <v>0</v>
      </c>
      <c r="R5334" s="2" t="inlineStr"/>
    </row>
    <row r="5335" ht="15" customHeight="1">
      <c r="A5335" t="inlineStr">
        <is>
          <t>A 50829-2021</t>
        </is>
      </c>
      <c r="B5335" s="1" t="n">
        <v>44460</v>
      </c>
      <c r="C5335" s="1" t="n">
        <v>45810</v>
      </c>
      <c r="D5335" t="inlineStr">
        <is>
          <t>VÄRMLANDS LÄN</t>
        </is>
      </c>
      <c r="E5335" t="inlineStr">
        <is>
          <t>SUNNE</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50827-2021</t>
        </is>
      </c>
      <c r="B5336" s="1" t="n">
        <v>44460</v>
      </c>
      <c r="C5336" s="1" t="n">
        <v>45810</v>
      </c>
      <c r="D5336" t="inlineStr">
        <is>
          <t>VÄRMLANDS LÄN</t>
        </is>
      </c>
      <c r="E5336" t="inlineStr">
        <is>
          <t>SUNNE</t>
        </is>
      </c>
      <c r="G5336" t="n">
        <v>3.2</v>
      </c>
      <c r="H5336" t="n">
        <v>0</v>
      </c>
      <c r="I5336" t="n">
        <v>0</v>
      </c>
      <c r="J5336" t="n">
        <v>0</v>
      </c>
      <c r="K5336" t="n">
        <v>0</v>
      </c>
      <c r="L5336" t="n">
        <v>0</v>
      </c>
      <c r="M5336" t="n">
        <v>0</v>
      </c>
      <c r="N5336" t="n">
        <v>0</v>
      </c>
      <c r="O5336" t="n">
        <v>0</v>
      </c>
      <c r="P5336" t="n">
        <v>0</v>
      </c>
      <c r="Q5336" t="n">
        <v>0</v>
      </c>
      <c r="R5336" s="2" t="inlineStr"/>
    </row>
    <row r="5337" ht="15" customHeight="1">
      <c r="A5337" t="inlineStr">
        <is>
          <t>A 50954-2021</t>
        </is>
      </c>
      <c r="B5337" s="1" t="n">
        <v>44460</v>
      </c>
      <c r="C5337" s="1" t="n">
        <v>45810</v>
      </c>
      <c r="D5337" t="inlineStr">
        <is>
          <t>VÄRMLANDS LÄN</t>
        </is>
      </c>
      <c r="E5337" t="inlineStr">
        <is>
          <t>ARVIKA</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50988-2021</t>
        </is>
      </c>
      <c r="B5338" s="1" t="n">
        <v>44460</v>
      </c>
      <c r="C5338" s="1" t="n">
        <v>45810</v>
      </c>
      <c r="D5338" t="inlineStr">
        <is>
          <t>VÄRMLANDS LÄN</t>
        </is>
      </c>
      <c r="E5338" t="inlineStr">
        <is>
          <t>TORSBY</t>
        </is>
      </c>
      <c r="G5338" t="n">
        <v>14.3</v>
      </c>
      <c r="H5338" t="n">
        <v>0</v>
      </c>
      <c r="I5338" t="n">
        <v>0</v>
      </c>
      <c r="J5338" t="n">
        <v>0</v>
      </c>
      <c r="K5338" t="n">
        <v>0</v>
      </c>
      <c r="L5338" t="n">
        <v>0</v>
      </c>
      <c r="M5338" t="n">
        <v>0</v>
      </c>
      <c r="N5338" t="n">
        <v>0</v>
      </c>
      <c r="O5338" t="n">
        <v>0</v>
      </c>
      <c r="P5338" t="n">
        <v>0</v>
      </c>
      <c r="Q5338" t="n">
        <v>0</v>
      </c>
      <c r="R5338" s="2" t="inlineStr"/>
    </row>
    <row r="5339" ht="15" customHeight="1">
      <c r="A5339" t="inlineStr">
        <is>
          <t>A 50914-2021</t>
        </is>
      </c>
      <c r="B5339" s="1" t="n">
        <v>44460</v>
      </c>
      <c r="C5339" s="1" t="n">
        <v>45810</v>
      </c>
      <c r="D5339" t="inlineStr">
        <is>
          <t>VÄRMLANDS LÄN</t>
        </is>
      </c>
      <c r="E5339" t="inlineStr">
        <is>
          <t>FILIPSTAD</t>
        </is>
      </c>
      <c r="G5339" t="n">
        <v>2.3</v>
      </c>
      <c r="H5339" t="n">
        <v>0</v>
      </c>
      <c r="I5339" t="n">
        <v>0</v>
      </c>
      <c r="J5339" t="n">
        <v>0</v>
      </c>
      <c r="K5339" t="n">
        <v>0</v>
      </c>
      <c r="L5339" t="n">
        <v>0</v>
      </c>
      <c r="M5339" t="n">
        <v>0</v>
      </c>
      <c r="N5339" t="n">
        <v>0</v>
      </c>
      <c r="O5339" t="n">
        <v>0</v>
      </c>
      <c r="P5339" t="n">
        <v>0</v>
      </c>
      <c r="Q5339" t="n">
        <v>0</v>
      </c>
      <c r="R5339" s="2" t="inlineStr"/>
    </row>
    <row r="5340" ht="15" customHeight="1">
      <c r="A5340" t="inlineStr">
        <is>
          <t>A 51203-2021</t>
        </is>
      </c>
      <c r="B5340" s="1" t="n">
        <v>44460</v>
      </c>
      <c r="C5340" s="1" t="n">
        <v>45810</v>
      </c>
      <c r="D5340" t="inlineStr">
        <is>
          <t>VÄRMLANDS LÄN</t>
        </is>
      </c>
      <c r="E5340" t="inlineStr">
        <is>
          <t>GRUMS</t>
        </is>
      </c>
      <c r="F5340" t="inlineStr">
        <is>
          <t>Bergvik skog väst AB</t>
        </is>
      </c>
      <c r="G5340" t="n">
        <v>8</v>
      </c>
      <c r="H5340" t="n">
        <v>0</v>
      </c>
      <c r="I5340" t="n">
        <v>0</v>
      </c>
      <c r="J5340" t="n">
        <v>0</v>
      </c>
      <c r="K5340" t="n">
        <v>0</v>
      </c>
      <c r="L5340" t="n">
        <v>0</v>
      </c>
      <c r="M5340" t="n">
        <v>0</v>
      </c>
      <c r="N5340" t="n">
        <v>0</v>
      </c>
      <c r="O5340" t="n">
        <v>0</v>
      </c>
      <c r="P5340" t="n">
        <v>0</v>
      </c>
      <c r="Q5340" t="n">
        <v>0</v>
      </c>
      <c r="R5340" s="2" t="inlineStr"/>
    </row>
    <row r="5341" ht="15" customHeight="1">
      <c r="A5341" t="inlineStr">
        <is>
          <t>A 51505-2021</t>
        </is>
      </c>
      <c r="B5341" s="1" t="n">
        <v>44460</v>
      </c>
      <c r="C5341" s="1" t="n">
        <v>45810</v>
      </c>
      <c r="D5341" t="inlineStr">
        <is>
          <t>VÄRMLANDS LÄN</t>
        </is>
      </c>
      <c r="E5341" t="inlineStr">
        <is>
          <t>TORSBY</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51494-2021</t>
        </is>
      </c>
      <c r="B5342" s="1" t="n">
        <v>44460</v>
      </c>
      <c r="C5342" s="1" t="n">
        <v>45810</v>
      </c>
      <c r="D5342" t="inlineStr">
        <is>
          <t>VÄRMLANDS LÄN</t>
        </is>
      </c>
      <c r="E5342" t="inlineStr">
        <is>
          <t>TORSBY</t>
        </is>
      </c>
      <c r="G5342" t="n">
        <v>2.2</v>
      </c>
      <c r="H5342" t="n">
        <v>0</v>
      </c>
      <c r="I5342" t="n">
        <v>0</v>
      </c>
      <c r="J5342" t="n">
        <v>0</v>
      </c>
      <c r="K5342" t="n">
        <v>0</v>
      </c>
      <c r="L5342" t="n">
        <v>0</v>
      </c>
      <c r="M5342" t="n">
        <v>0</v>
      </c>
      <c r="N5342" t="n">
        <v>0</v>
      </c>
      <c r="O5342" t="n">
        <v>0</v>
      </c>
      <c r="P5342" t="n">
        <v>0</v>
      </c>
      <c r="Q5342" t="n">
        <v>0</v>
      </c>
      <c r="R5342" s="2" t="inlineStr"/>
    </row>
    <row r="5343" ht="15" customHeight="1">
      <c r="A5343" t="inlineStr">
        <is>
          <t>A 51510-2021</t>
        </is>
      </c>
      <c r="B5343" s="1" t="n">
        <v>44460</v>
      </c>
      <c r="C5343" s="1" t="n">
        <v>45810</v>
      </c>
      <c r="D5343" t="inlineStr">
        <is>
          <t>VÄRMLANDS LÄN</t>
        </is>
      </c>
      <c r="E5343" t="inlineStr">
        <is>
          <t>TORSBY</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51099-2021</t>
        </is>
      </c>
      <c r="B5344" s="1" t="n">
        <v>44461</v>
      </c>
      <c r="C5344" s="1" t="n">
        <v>45810</v>
      </c>
      <c r="D5344" t="inlineStr">
        <is>
          <t>VÄRMLANDS LÄN</t>
        </is>
      </c>
      <c r="E5344" t="inlineStr">
        <is>
          <t>TORSBY</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51194-2021</t>
        </is>
      </c>
      <c r="B5345" s="1" t="n">
        <v>44461</v>
      </c>
      <c r="C5345" s="1" t="n">
        <v>45810</v>
      </c>
      <c r="D5345" t="inlineStr">
        <is>
          <t>VÄRMLANDS LÄN</t>
        </is>
      </c>
      <c r="E5345" t="inlineStr">
        <is>
          <t>SUNNE</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51247-2021</t>
        </is>
      </c>
      <c r="B5346" s="1" t="n">
        <v>44461</v>
      </c>
      <c r="C5346" s="1" t="n">
        <v>45810</v>
      </c>
      <c r="D5346" t="inlineStr">
        <is>
          <t>VÄRMLANDS LÄN</t>
        </is>
      </c>
      <c r="E5346" t="inlineStr">
        <is>
          <t>TORSBY</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51174-2021</t>
        </is>
      </c>
      <c r="B5347" s="1" t="n">
        <v>44461</v>
      </c>
      <c r="C5347" s="1" t="n">
        <v>45810</v>
      </c>
      <c r="D5347" t="inlineStr">
        <is>
          <t>VÄRMLANDS LÄN</t>
        </is>
      </c>
      <c r="E5347" t="inlineStr">
        <is>
          <t>KIL</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51086-2021</t>
        </is>
      </c>
      <c r="B5348" s="1" t="n">
        <v>44461</v>
      </c>
      <c r="C5348" s="1" t="n">
        <v>45810</v>
      </c>
      <c r="D5348" t="inlineStr">
        <is>
          <t>VÄRMLANDS LÄN</t>
        </is>
      </c>
      <c r="E5348" t="inlineStr">
        <is>
          <t>KARLSTAD</t>
        </is>
      </c>
      <c r="G5348" t="n">
        <v>5.9</v>
      </c>
      <c r="H5348" t="n">
        <v>0</v>
      </c>
      <c r="I5348" t="n">
        <v>0</v>
      </c>
      <c r="J5348" t="n">
        <v>0</v>
      </c>
      <c r="K5348" t="n">
        <v>0</v>
      </c>
      <c r="L5348" t="n">
        <v>0</v>
      </c>
      <c r="M5348" t="n">
        <v>0</v>
      </c>
      <c r="N5348" t="n">
        <v>0</v>
      </c>
      <c r="O5348" t="n">
        <v>0</v>
      </c>
      <c r="P5348" t="n">
        <v>0</v>
      </c>
      <c r="Q5348" t="n">
        <v>0</v>
      </c>
      <c r="R5348" s="2" t="inlineStr"/>
    </row>
    <row r="5349" ht="15" customHeight="1">
      <c r="A5349" t="inlineStr">
        <is>
          <t>A 51105-2021</t>
        </is>
      </c>
      <c r="B5349" s="1" t="n">
        <v>44461</v>
      </c>
      <c r="C5349" s="1" t="n">
        <v>45810</v>
      </c>
      <c r="D5349" t="inlineStr">
        <is>
          <t>VÄRMLANDS LÄN</t>
        </is>
      </c>
      <c r="E5349" t="inlineStr">
        <is>
          <t>EDA</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51124-2021</t>
        </is>
      </c>
      <c r="B5350" s="1" t="n">
        <v>44461</v>
      </c>
      <c r="C5350" s="1" t="n">
        <v>45810</v>
      </c>
      <c r="D5350" t="inlineStr">
        <is>
          <t>VÄRMLANDS LÄN</t>
        </is>
      </c>
      <c r="E5350" t="inlineStr">
        <is>
          <t>FORSHAGA</t>
        </is>
      </c>
      <c r="G5350" t="n">
        <v>3.1</v>
      </c>
      <c r="H5350" t="n">
        <v>0</v>
      </c>
      <c r="I5350" t="n">
        <v>0</v>
      </c>
      <c r="J5350" t="n">
        <v>0</v>
      </c>
      <c r="K5350" t="n">
        <v>0</v>
      </c>
      <c r="L5350" t="n">
        <v>0</v>
      </c>
      <c r="M5350" t="n">
        <v>0</v>
      </c>
      <c r="N5350" t="n">
        <v>0</v>
      </c>
      <c r="O5350" t="n">
        <v>0</v>
      </c>
      <c r="P5350" t="n">
        <v>0</v>
      </c>
      <c r="Q5350" t="n">
        <v>0</v>
      </c>
      <c r="R5350" s="2" t="inlineStr"/>
    </row>
    <row r="5351" ht="15" customHeight="1">
      <c r="A5351" t="inlineStr">
        <is>
          <t>A 51266-2021</t>
        </is>
      </c>
      <c r="B5351" s="1" t="n">
        <v>44461</v>
      </c>
      <c r="C5351" s="1" t="n">
        <v>45810</v>
      </c>
      <c r="D5351" t="inlineStr">
        <is>
          <t>VÄRMLANDS LÄN</t>
        </is>
      </c>
      <c r="E5351" t="inlineStr">
        <is>
          <t>FILIPSTAD</t>
        </is>
      </c>
      <c r="G5351" t="n">
        <v>4.7</v>
      </c>
      <c r="H5351" t="n">
        <v>0</v>
      </c>
      <c r="I5351" t="n">
        <v>0</v>
      </c>
      <c r="J5351" t="n">
        <v>0</v>
      </c>
      <c r="K5351" t="n">
        <v>0</v>
      </c>
      <c r="L5351" t="n">
        <v>0</v>
      </c>
      <c r="M5351" t="n">
        <v>0</v>
      </c>
      <c r="N5351" t="n">
        <v>0</v>
      </c>
      <c r="O5351" t="n">
        <v>0</v>
      </c>
      <c r="P5351" t="n">
        <v>0</v>
      </c>
      <c r="Q5351" t="n">
        <v>0</v>
      </c>
      <c r="R5351" s="2" t="inlineStr"/>
    </row>
    <row r="5352" ht="15" customHeight="1">
      <c r="A5352" t="inlineStr">
        <is>
          <t>A 51314-2021</t>
        </is>
      </c>
      <c r="B5352" s="1" t="n">
        <v>44461</v>
      </c>
      <c r="C5352" s="1" t="n">
        <v>45810</v>
      </c>
      <c r="D5352" t="inlineStr">
        <is>
          <t>VÄRMLANDS LÄN</t>
        </is>
      </c>
      <c r="E5352" t="inlineStr">
        <is>
          <t>ARVIKA</t>
        </is>
      </c>
      <c r="G5352" t="n">
        <v>2.5</v>
      </c>
      <c r="H5352" t="n">
        <v>0</v>
      </c>
      <c r="I5352" t="n">
        <v>0</v>
      </c>
      <c r="J5352" t="n">
        <v>0</v>
      </c>
      <c r="K5352" t="n">
        <v>0</v>
      </c>
      <c r="L5352" t="n">
        <v>0</v>
      </c>
      <c r="M5352" t="n">
        <v>0</v>
      </c>
      <c r="N5352" t="n">
        <v>0</v>
      </c>
      <c r="O5352" t="n">
        <v>0</v>
      </c>
      <c r="P5352" t="n">
        <v>0</v>
      </c>
      <c r="Q5352" t="n">
        <v>0</v>
      </c>
      <c r="R5352" s="2" t="inlineStr"/>
    </row>
    <row r="5353" ht="15" customHeight="1">
      <c r="A5353" t="inlineStr">
        <is>
          <t>A 51420-2021</t>
        </is>
      </c>
      <c r="B5353" s="1" t="n">
        <v>44461</v>
      </c>
      <c r="C5353" s="1" t="n">
        <v>45810</v>
      </c>
      <c r="D5353" t="inlineStr">
        <is>
          <t>VÄRMLANDS LÄN</t>
        </is>
      </c>
      <c r="E5353" t="inlineStr">
        <is>
          <t>SUNNE</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51405-2021</t>
        </is>
      </c>
      <c r="B5354" s="1" t="n">
        <v>44461</v>
      </c>
      <c r="C5354" s="1" t="n">
        <v>45810</v>
      </c>
      <c r="D5354" t="inlineStr">
        <is>
          <t>VÄRMLANDS LÄN</t>
        </is>
      </c>
      <c r="E5354" t="inlineStr">
        <is>
          <t>SUNNE</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51372-2021</t>
        </is>
      </c>
      <c r="B5355" s="1" t="n">
        <v>44461</v>
      </c>
      <c r="C5355" s="1" t="n">
        <v>45810</v>
      </c>
      <c r="D5355" t="inlineStr">
        <is>
          <t>VÄRMLANDS LÄN</t>
        </is>
      </c>
      <c r="E5355" t="inlineStr">
        <is>
          <t>TORSBY</t>
        </is>
      </c>
      <c r="F5355" t="inlineStr">
        <is>
          <t>Bergvik skog väst AB</t>
        </is>
      </c>
      <c r="G5355" t="n">
        <v>2.3</v>
      </c>
      <c r="H5355" t="n">
        <v>0</v>
      </c>
      <c r="I5355" t="n">
        <v>0</v>
      </c>
      <c r="J5355" t="n">
        <v>0</v>
      </c>
      <c r="K5355" t="n">
        <v>0</v>
      </c>
      <c r="L5355" t="n">
        <v>0</v>
      </c>
      <c r="M5355" t="n">
        <v>0</v>
      </c>
      <c r="N5355" t="n">
        <v>0</v>
      </c>
      <c r="O5355" t="n">
        <v>0</v>
      </c>
      <c r="P5355" t="n">
        <v>0</v>
      </c>
      <c r="Q5355" t="n">
        <v>0</v>
      </c>
      <c r="R5355" s="2" t="inlineStr"/>
    </row>
    <row r="5356" ht="15" customHeight="1">
      <c r="A5356" t="inlineStr">
        <is>
          <t>A 51401-2021</t>
        </is>
      </c>
      <c r="B5356" s="1" t="n">
        <v>44461</v>
      </c>
      <c r="C5356" s="1" t="n">
        <v>45810</v>
      </c>
      <c r="D5356" t="inlineStr">
        <is>
          <t>VÄRMLANDS LÄN</t>
        </is>
      </c>
      <c r="E5356" t="inlineStr">
        <is>
          <t>SUNNE</t>
        </is>
      </c>
      <c r="G5356" t="n">
        <v>2.7</v>
      </c>
      <c r="H5356" t="n">
        <v>0</v>
      </c>
      <c r="I5356" t="n">
        <v>0</v>
      </c>
      <c r="J5356" t="n">
        <v>0</v>
      </c>
      <c r="K5356" t="n">
        <v>0</v>
      </c>
      <c r="L5356" t="n">
        <v>0</v>
      </c>
      <c r="M5356" t="n">
        <v>0</v>
      </c>
      <c r="N5356" t="n">
        <v>0</v>
      </c>
      <c r="O5356" t="n">
        <v>0</v>
      </c>
      <c r="P5356" t="n">
        <v>0</v>
      </c>
      <c r="Q5356" t="n">
        <v>0</v>
      </c>
      <c r="R5356" s="2" t="inlineStr"/>
    </row>
    <row r="5357" ht="15" customHeight="1">
      <c r="A5357" t="inlineStr">
        <is>
          <t>A 51608-2021</t>
        </is>
      </c>
      <c r="B5357" s="1" t="n">
        <v>44461</v>
      </c>
      <c r="C5357" s="1" t="n">
        <v>45810</v>
      </c>
      <c r="D5357" t="inlineStr">
        <is>
          <t>VÄRMLANDS LÄN</t>
        </is>
      </c>
      <c r="E5357" t="inlineStr">
        <is>
          <t>ARVIKA</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51514-2021</t>
        </is>
      </c>
      <c r="B5358" s="1" t="n">
        <v>44462</v>
      </c>
      <c r="C5358" s="1" t="n">
        <v>45810</v>
      </c>
      <c r="D5358" t="inlineStr">
        <is>
          <t>VÄRMLANDS LÄN</t>
        </is>
      </c>
      <c r="E5358" t="inlineStr">
        <is>
          <t>ARVIKA</t>
        </is>
      </c>
      <c r="G5358" t="n">
        <v>2.4</v>
      </c>
      <c r="H5358" t="n">
        <v>0</v>
      </c>
      <c r="I5358" t="n">
        <v>0</v>
      </c>
      <c r="J5358" t="n">
        <v>0</v>
      </c>
      <c r="K5358" t="n">
        <v>0</v>
      </c>
      <c r="L5358" t="n">
        <v>0</v>
      </c>
      <c r="M5358" t="n">
        <v>0</v>
      </c>
      <c r="N5358" t="n">
        <v>0</v>
      </c>
      <c r="O5358" t="n">
        <v>0</v>
      </c>
      <c r="P5358" t="n">
        <v>0</v>
      </c>
      <c r="Q5358" t="n">
        <v>0</v>
      </c>
      <c r="R5358" s="2" t="inlineStr"/>
    </row>
    <row r="5359" ht="15" customHeight="1">
      <c r="A5359" t="inlineStr">
        <is>
          <t>A 51790-2021</t>
        </is>
      </c>
      <c r="B5359" s="1" t="n">
        <v>44462</v>
      </c>
      <c r="C5359" s="1" t="n">
        <v>45810</v>
      </c>
      <c r="D5359" t="inlineStr">
        <is>
          <t>VÄRMLANDS LÄN</t>
        </is>
      </c>
      <c r="E5359" t="inlineStr">
        <is>
          <t>SUNNE</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51819-2021</t>
        </is>
      </c>
      <c r="B5360" s="1" t="n">
        <v>44462</v>
      </c>
      <c r="C5360" s="1" t="n">
        <v>45810</v>
      </c>
      <c r="D5360" t="inlineStr">
        <is>
          <t>VÄRMLANDS LÄN</t>
        </is>
      </c>
      <c r="E5360" t="inlineStr">
        <is>
          <t>TORSBY</t>
        </is>
      </c>
      <c r="F5360" t="inlineStr">
        <is>
          <t>Bergvik skog väst AB</t>
        </is>
      </c>
      <c r="G5360" t="n">
        <v>14.7</v>
      </c>
      <c r="H5360" t="n">
        <v>0</v>
      </c>
      <c r="I5360" t="n">
        <v>0</v>
      </c>
      <c r="J5360" t="n">
        <v>0</v>
      </c>
      <c r="K5360" t="n">
        <v>0</v>
      </c>
      <c r="L5360" t="n">
        <v>0</v>
      </c>
      <c r="M5360" t="n">
        <v>0</v>
      </c>
      <c r="N5360" t="n">
        <v>0</v>
      </c>
      <c r="O5360" t="n">
        <v>0</v>
      </c>
      <c r="P5360" t="n">
        <v>0</v>
      </c>
      <c r="Q5360" t="n">
        <v>0</v>
      </c>
      <c r="R5360" s="2" t="inlineStr"/>
    </row>
    <row r="5361" ht="15" customHeight="1">
      <c r="A5361" t="inlineStr">
        <is>
          <t>A 51849-2021</t>
        </is>
      </c>
      <c r="B5361" s="1" t="n">
        <v>44462</v>
      </c>
      <c r="C5361" s="1" t="n">
        <v>45810</v>
      </c>
      <c r="D5361" t="inlineStr">
        <is>
          <t>VÄRMLANDS LÄN</t>
        </is>
      </c>
      <c r="E5361" t="inlineStr">
        <is>
          <t>SUNNE</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51522-2021</t>
        </is>
      </c>
      <c r="B5362" s="1" t="n">
        <v>44462</v>
      </c>
      <c r="C5362" s="1" t="n">
        <v>45810</v>
      </c>
      <c r="D5362" t="inlineStr">
        <is>
          <t>VÄRMLANDS LÄN</t>
        </is>
      </c>
      <c r="E5362" t="inlineStr">
        <is>
          <t>TORSBY</t>
        </is>
      </c>
      <c r="G5362" t="n">
        <v>0.3</v>
      </c>
      <c r="H5362" t="n">
        <v>0</v>
      </c>
      <c r="I5362" t="n">
        <v>0</v>
      </c>
      <c r="J5362" t="n">
        <v>0</v>
      </c>
      <c r="K5362" t="n">
        <v>0</v>
      </c>
      <c r="L5362" t="n">
        <v>0</v>
      </c>
      <c r="M5362" t="n">
        <v>0</v>
      </c>
      <c r="N5362" t="n">
        <v>0</v>
      </c>
      <c r="O5362" t="n">
        <v>0</v>
      </c>
      <c r="P5362" t="n">
        <v>0</v>
      </c>
      <c r="Q5362" t="n">
        <v>0</v>
      </c>
      <c r="R5362" s="2" t="inlineStr"/>
    </row>
    <row r="5363" ht="15" customHeight="1">
      <c r="A5363" t="inlineStr">
        <is>
          <t>A 51786-2021</t>
        </is>
      </c>
      <c r="B5363" s="1" t="n">
        <v>44462</v>
      </c>
      <c r="C5363" s="1" t="n">
        <v>45810</v>
      </c>
      <c r="D5363" t="inlineStr">
        <is>
          <t>VÄRMLANDS LÄN</t>
        </is>
      </c>
      <c r="E5363" t="inlineStr">
        <is>
          <t>SUNNE</t>
        </is>
      </c>
      <c r="G5363" t="n">
        <v>3</v>
      </c>
      <c r="H5363" t="n">
        <v>0</v>
      </c>
      <c r="I5363" t="n">
        <v>0</v>
      </c>
      <c r="J5363" t="n">
        <v>0</v>
      </c>
      <c r="K5363" t="n">
        <v>0</v>
      </c>
      <c r="L5363" t="n">
        <v>0</v>
      </c>
      <c r="M5363" t="n">
        <v>0</v>
      </c>
      <c r="N5363" t="n">
        <v>0</v>
      </c>
      <c r="O5363" t="n">
        <v>0</v>
      </c>
      <c r="P5363" t="n">
        <v>0</v>
      </c>
      <c r="Q5363" t="n">
        <v>0</v>
      </c>
      <c r="R5363" s="2" t="inlineStr"/>
    </row>
    <row r="5364" ht="15" customHeight="1">
      <c r="A5364" t="inlineStr">
        <is>
          <t>A 51553-2021</t>
        </is>
      </c>
      <c r="B5364" s="1" t="n">
        <v>44462</v>
      </c>
      <c r="C5364" s="1" t="n">
        <v>45810</v>
      </c>
      <c r="D5364" t="inlineStr">
        <is>
          <t>VÄRMLANDS LÄN</t>
        </is>
      </c>
      <c r="E5364" t="inlineStr">
        <is>
          <t>ARVIKA</t>
        </is>
      </c>
      <c r="G5364" t="n">
        <v>0.2</v>
      </c>
      <c r="H5364" t="n">
        <v>0</v>
      </c>
      <c r="I5364" t="n">
        <v>0</v>
      </c>
      <c r="J5364" t="n">
        <v>0</v>
      </c>
      <c r="K5364" t="n">
        <v>0</v>
      </c>
      <c r="L5364" t="n">
        <v>0</v>
      </c>
      <c r="M5364" t="n">
        <v>0</v>
      </c>
      <c r="N5364" t="n">
        <v>0</v>
      </c>
      <c r="O5364" t="n">
        <v>0</v>
      </c>
      <c r="P5364" t="n">
        <v>0</v>
      </c>
      <c r="Q5364" t="n">
        <v>0</v>
      </c>
      <c r="R5364" s="2" t="inlineStr"/>
    </row>
    <row r="5365" ht="15" customHeight="1">
      <c r="A5365" t="inlineStr">
        <is>
          <t>A 51958-2021</t>
        </is>
      </c>
      <c r="B5365" s="1" t="n">
        <v>44462</v>
      </c>
      <c r="C5365" s="1" t="n">
        <v>45810</v>
      </c>
      <c r="D5365" t="inlineStr">
        <is>
          <t>VÄRMLANDS LÄN</t>
        </is>
      </c>
      <c r="E5365" t="inlineStr">
        <is>
          <t>KRISTINEHAMN</t>
        </is>
      </c>
      <c r="G5365" t="n">
        <v>0.4</v>
      </c>
      <c r="H5365" t="n">
        <v>0</v>
      </c>
      <c r="I5365" t="n">
        <v>0</v>
      </c>
      <c r="J5365" t="n">
        <v>0</v>
      </c>
      <c r="K5365" t="n">
        <v>0</v>
      </c>
      <c r="L5365" t="n">
        <v>0</v>
      </c>
      <c r="M5365" t="n">
        <v>0</v>
      </c>
      <c r="N5365" t="n">
        <v>0</v>
      </c>
      <c r="O5365" t="n">
        <v>0</v>
      </c>
      <c r="P5365" t="n">
        <v>0</v>
      </c>
      <c r="Q5365" t="n">
        <v>0</v>
      </c>
      <c r="R5365" s="2" t="inlineStr"/>
    </row>
    <row r="5366" ht="15" customHeight="1">
      <c r="A5366" t="inlineStr">
        <is>
          <t>A 52151-2021</t>
        </is>
      </c>
      <c r="B5366" s="1" t="n">
        <v>44462</v>
      </c>
      <c r="C5366" s="1" t="n">
        <v>45810</v>
      </c>
      <c r="D5366" t="inlineStr">
        <is>
          <t>VÄRMLANDS LÄN</t>
        </is>
      </c>
      <c r="E5366" t="inlineStr">
        <is>
          <t>SÄFFLE</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51875-2021</t>
        </is>
      </c>
      <c r="B5367" s="1" t="n">
        <v>44462</v>
      </c>
      <c r="C5367" s="1" t="n">
        <v>45810</v>
      </c>
      <c r="D5367" t="inlineStr">
        <is>
          <t>VÄRMLANDS LÄN</t>
        </is>
      </c>
      <c r="E5367" t="inlineStr">
        <is>
          <t>SUNNE</t>
        </is>
      </c>
      <c r="G5367" t="n">
        <v>2.9</v>
      </c>
      <c r="H5367" t="n">
        <v>0</v>
      </c>
      <c r="I5367" t="n">
        <v>0</v>
      </c>
      <c r="J5367" t="n">
        <v>0</v>
      </c>
      <c r="K5367" t="n">
        <v>0</v>
      </c>
      <c r="L5367" t="n">
        <v>0</v>
      </c>
      <c r="M5367" t="n">
        <v>0</v>
      </c>
      <c r="N5367" t="n">
        <v>0</v>
      </c>
      <c r="O5367" t="n">
        <v>0</v>
      </c>
      <c r="P5367" t="n">
        <v>0</v>
      </c>
      <c r="Q5367" t="n">
        <v>0</v>
      </c>
      <c r="R5367" s="2" t="inlineStr"/>
    </row>
    <row r="5368" ht="15" customHeight="1">
      <c r="A5368" t="inlineStr">
        <is>
          <t>A 52072-2021</t>
        </is>
      </c>
      <c r="B5368" s="1" t="n">
        <v>44463</v>
      </c>
      <c r="C5368" s="1" t="n">
        <v>45810</v>
      </c>
      <c r="D5368" t="inlineStr">
        <is>
          <t>VÄRMLANDS LÄN</t>
        </is>
      </c>
      <c r="E5368" t="inlineStr">
        <is>
          <t>HAGFORS</t>
        </is>
      </c>
      <c r="F5368" t="inlineStr">
        <is>
          <t>Bergvik skog väst AB</t>
        </is>
      </c>
      <c r="G5368" t="n">
        <v>6.3</v>
      </c>
      <c r="H5368" t="n">
        <v>0</v>
      </c>
      <c r="I5368" t="n">
        <v>0</v>
      </c>
      <c r="J5368" t="n">
        <v>0</v>
      </c>
      <c r="K5368" t="n">
        <v>0</v>
      </c>
      <c r="L5368" t="n">
        <v>0</v>
      </c>
      <c r="M5368" t="n">
        <v>0</v>
      </c>
      <c r="N5368" t="n">
        <v>0</v>
      </c>
      <c r="O5368" t="n">
        <v>0</v>
      </c>
      <c r="P5368" t="n">
        <v>0</v>
      </c>
      <c r="Q5368" t="n">
        <v>0</v>
      </c>
      <c r="R5368" s="2" t="inlineStr"/>
    </row>
    <row r="5369" ht="15" customHeight="1">
      <c r="A5369" t="inlineStr">
        <is>
          <t>A 52099-2021</t>
        </is>
      </c>
      <c r="B5369" s="1" t="n">
        <v>44463</v>
      </c>
      <c r="C5369" s="1" t="n">
        <v>45810</v>
      </c>
      <c r="D5369" t="inlineStr">
        <is>
          <t>VÄRMLANDS LÄN</t>
        </is>
      </c>
      <c r="E5369" t="inlineStr">
        <is>
          <t>SÄFFLE</t>
        </is>
      </c>
      <c r="G5369" t="n">
        <v>3.4</v>
      </c>
      <c r="H5369" t="n">
        <v>0</v>
      </c>
      <c r="I5369" t="n">
        <v>0</v>
      </c>
      <c r="J5369" t="n">
        <v>0</v>
      </c>
      <c r="K5369" t="n">
        <v>0</v>
      </c>
      <c r="L5369" t="n">
        <v>0</v>
      </c>
      <c r="M5369" t="n">
        <v>0</v>
      </c>
      <c r="N5369" t="n">
        <v>0</v>
      </c>
      <c r="O5369" t="n">
        <v>0</v>
      </c>
      <c r="P5369" t="n">
        <v>0</v>
      </c>
      <c r="Q5369" t="n">
        <v>0</v>
      </c>
      <c r="R5369" s="2" t="inlineStr"/>
    </row>
    <row r="5370" ht="15" customHeight="1">
      <c r="A5370" t="inlineStr">
        <is>
          <t>A 52149-2021</t>
        </is>
      </c>
      <c r="B5370" s="1" t="n">
        <v>44463</v>
      </c>
      <c r="C5370" s="1" t="n">
        <v>45810</v>
      </c>
      <c r="D5370" t="inlineStr">
        <is>
          <t>VÄRMLANDS LÄN</t>
        </is>
      </c>
      <c r="E5370" t="inlineStr">
        <is>
          <t>SUNNE</t>
        </is>
      </c>
      <c r="G5370" t="n">
        <v>2.3</v>
      </c>
      <c r="H5370" t="n">
        <v>0</v>
      </c>
      <c r="I5370" t="n">
        <v>0</v>
      </c>
      <c r="J5370" t="n">
        <v>0</v>
      </c>
      <c r="K5370" t="n">
        <v>0</v>
      </c>
      <c r="L5370" t="n">
        <v>0</v>
      </c>
      <c r="M5370" t="n">
        <v>0</v>
      </c>
      <c r="N5370" t="n">
        <v>0</v>
      </c>
      <c r="O5370" t="n">
        <v>0</v>
      </c>
      <c r="P5370" t="n">
        <v>0</v>
      </c>
      <c r="Q5370" t="n">
        <v>0</v>
      </c>
      <c r="R5370" s="2" t="inlineStr"/>
    </row>
    <row r="5371" ht="15" customHeight="1">
      <c r="A5371" t="inlineStr">
        <is>
          <t>A 52242-2021</t>
        </is>
      </c>
      <c r="B5371" s="1" t="n">
        <v>44463</v>
      </c>
      <c r="C5371" s="1" t="n">
        <v>45810</v>
      </c>
      <c r="D5371" t="inlineStr">
        <is>
          <t>VÄRMLANDS LÄN</t>
        </is>
      </c>
      <c r="E5371" t="inlineStr">
        <is>
          <t>ÅRJÄNG</t>
        </is>
      </c>
      <c r="F5371" t="inlineStr">
        <is>
          <t>Övriga Aktiebolag</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52121-2021</t>
        </is>
      </c>
      <c r="B5372" s="1" t="n">
        <v>44463</v>
      </c>
      <c r="C5372" s="1" t="n">
        <v>45810</v>
      </c>
      <c r="D5372" t="inlineStr">
        <is>
          <t>VÄRMLANDS LÄN</t>
        </is>
      </c>
      <c r="E5372" t="inlineStr">
        <is>
          <t>TORSBY</t>
        </is>
      </c>
      <c r="G5372" t="n">
        <v>0</v>
      </c>
      <c r="H5372" t="n">
        <v>0</v>
      </c>
      <c r="I5372" t="n">
        <v>0</v>
      </c>
      <c r="J5372" t="n">
        <v>0</v>
      </c>
      <c r="K5372" t="n">
        <v>0</v>
      </c>
      <c r="L5372" t="n">
        <v>0</v>
      </c>
      <c r="M5372" t="n">
        <v>0</v>
      </c>
      <c r="N5372" t="n">
        <v>0</v>
      </c>
      <c r="O5372" t="n">
        <v>0</v>
      </c>
      <c r="P5372" t="n">
        <v>0</v>
      </c>
      <c r="Q5372" t="n">
        <v>0</v>
      </c>
      <c r="R5372" s="2" t="inlineStr"/>
    </row>
    <row r="5373" ht="15" customHeight="1">
      <c r="A5373" t="inlineStr">
        <is>
          <t>A 52146-2021</t>
        </is>
      </c>
      <c r="B5373" s="1" t="n">
        <v>44463</v>
      </c>
      <c r="C5373" s="1" t="n">
        <v>45810</v>
      </c>
      <c r="D5373" t="inlineStr">
        <is>
          <t>VÄRMLANDS LÄN</t>
        </is>
      </c>
      <c r="E5373" t="inlineStr">
        <is>
          <t>SUNNE</t>
        </is>
      </c>
      <c r="G5373" t="n">
        <v>4.2</v>
      </c>
      <c r="H5373" t="n">
        <v>0</v>
      </c>
      <c r="I5373" t="n">
        <v>0</v>
      </c>
      <c r="J5373" t="n">
        <v>0</v>
      </c>
      <c r="K5373" t="n">
        <v>0</v>
      </c>
      <c r="L5373" t="n">
        <v>0</v>
      </c>
      <c r="M5373" t="n">
        <v>0</v>
      </c>
      <c r="N5373" t="n">
        <v>0</v>
      </c>
      <c r="O5373" t="n">
        <v>0</v>
      </c>
      <c r="P5373" t="n">
        <v>0</v>
      </c>
      <c r="Q5373" t="n">
        <v>0</v>
      </c>
      <c r="R5373" s="2" t="inlineStr"/>
    </row>
    <row r="5374" ht="15" customHeight="1">
      <c r="A5374" t="inlineStr">
        <is>
          <t>A 52257-2021</t>
        </is>
      </c>
      <c r="B5374" s="1" t="n">
        <v>44463</v>
      </c>
      <c r="C5374" s="1" t="n">
        <v>45810</v>
      </c>
      <c r="D5374" t="inlineStr">
        <is>
          <t>VÄRMLANDS LÄN</t>
        </is>
      </c>
      <c r="E5374" t="inlineStr">
        <is>
          <t>EDA</t>
        </is>
      </c>
      <c r="F5374" t="inlineStr">
        <is>
          <t>Bergvik skog väst AB</t>
        </is>
      </c>
      <c r="G5374" t="n">
        <v>9.6</v>
      </c>
      <c r="H5374" t="n">
        <v>0</v>
      </c>
      <c r="I5374" t="n">
        <v>0</v>
      </c>
      <c r="J5374" t="n">
        <v>0</v>
      </c>
      <c r="K5374" t="n">
        <v>0</v>
      </c>
      <c r="L5374" t="n">
        <v>0</v>
      </c>
      <c r="M5374" t="n">
        <v>0</v>
      </c>
      <c r="N5374" t="n">
        <v>0</v>
      </c>
      <c r="O5374" t="n">
        <v>0</v>
      </c>
      <c r="P5374" t="n">
        <v>0</v>
      </c>
      <c r="Q5374" t="n">
        <v>0</v>
      </c>
      <c r="R5374" s="2" t="inlineStr"/>
    </row>
    <row r="5375" ht="15" customHeight="1">
      <c r="A5375" t="inlineStr">
        <is>
          <t>A 52228-2021</t>
        </is>
      </c>
      <c r="B5375" s="1" t="n">
        <v>44463</v>
      </c>
      <c r="C5375" s="1" t="n">
        <v>45810</v>
      </c>
      <c r="D5375" t="inlineStr">
        <is>
          <t>VÄRMLANDS LÄN</t>
        </is>
      </c>
      <c r="E5375" t="inlineStr">
        <is>
          <t>HAGFORS</t>
        </is>
      </c>
      <c r="F5375" t="inlineStr">
        <is>
          <t>Bergvik skog väst AB</t>
        </is>
      </c>
      <c r="G5375" t="n">
        <v>36.9</v>
      </c>
      <c r="H5375" t="n">
        <v>0</v>
      </c>
      <c r="I5375" t="n">
        <v>0</v>
      </c>
      <c r="J5375" t="n">
        <v>0</v>
      </c>
      <c r="K5375" t="n">
        <v>0</v>
      </c>
      <c r="L5375" t="n">
        <v>0</v>
      </c>
      <c r="M5375" t="n">
        <v>0</v>
      </c>
      <c r="N5375" t="n">
        <v>0</v>
      </c>
      <c r="O5375" t="n">
        <v>0</v>
      </c>
      <c r="P5375" t="n">
        <v>0</v>
      </c>
      <c r="Q5375" t="n">
        <v>0</v>
      </c>
      <c r="R5375" s="2" t="inlineStr"/>
    </row>
    <row r="5376" ht="15" customHeight="1">
      <c r="A5376" t="inlineStr">
        <is>
          <t>A 52225-2021</t>
        </is>
      </c>
      <c r="B5376" s="1" t="n">
        <v>44463</v>
      </c>
      <c r="C5376" s="1" t="n">
        <v>45810</v>
      </c>
      <c r="D5376" t="inlineStr">
        <is>
          <t>VÄRMLANDS LÄN</t>
        </is>
      </c>
      <c r="E5376" t="inlineStr">
        <is>
          <t>SÄFFLE</t>
        </is>
      </c>
      <c r="G5376" t="n">
        <v>1.8</v>
      </c>
      <c r="H5376" t="n">
        <v>0</v>
      </c>
      <c r="I5376" t="n">
        <v>0</v>
      </c>
      <c r="J5376" t="n">
        <v>0</v>
      </c>
      <c r="K5376" t="n">
        <v>0</v>
      </c>
      <c r="L5376" t="n">
        <v>0</v>
      </c>
      <c r="M5376" t="n">
        <v>0</v>
      </c>
      <c r="N5376" t="n">
        <v>0</v>
      </c>
      <c r="O5376" t="n">
        <v>0</v>
      </c>
      <c r="P5376" t="n">
        <v>0</v>
      </c>
      <c r="Q5376" t="n">
        <v>0</v>
      </c>
      <c r="R5376" s="2" t="inlineStr"/>
    </row>
    <row r="5377" ht="15" customHeight="1">
      <c r="A5377" t="inlineStr">
        <is>
          <t>A 52357-2021</t>
        </is>
      </c>
      <c r="B5377" s="1" t="n">
        <v>44464</v>
      </c>
      <c r="C5377" s="1" t="n">
        <v>45810</v>
      </c>
      <c r="D5377" t="inlineStr">
        <is>
          <t>VÄRMLANDS LÄN</t>
        </is>
      </c>
      <c r="E5377" t="inlineStr">
        <is>
          <t>ARVIKA</t>
        </is>
      </c>
      <c r="G5377" t="n">
        <v>3.4</v>
      </c>
      <c r="H5377" t="n">
        <v>0</v>
      </c>
      <c r="I5377" t="n">
        <v>0</v>
      </c>
      <c r="J5377" t="n">
        <v>0</v>
      </c>
      <c r="K5377" t="n">
        <v>0</v>
      </c>
      <c r="L5377" t="n">
        <v>0</v>
      </c>
      <c r="M5377" t="n">
        <v>0</v>
      </c>
      <c r="N5377" t="n">
        <v>0</v>
      </c>
      <c r="O5377" t="n">
        <v>0</v>
      </c>
      <c r="P5377" t="n">
        <v>0</v>
      </c>
      <c r="Q5377" t="n">
        <v>0</v>
      </c>
      <c r="R5377" s="2" t="inlineStr"/>
    </row>
    <row r="5378" ht="15" customHeight="1">
      <c r="A5378" t="inlineStr">
        <is>
          <t>A 52371-2021</t>
        </is>
      </c>
      <c r="B5378" s="1" t="n">
        <v>44465</v>
      </c>
      <c r="C5378" s="1" t="n">
        <v>45810</v>
      </c>
      <c r="D5378" t="inlineStr">
        <is>
          <t>VÄRMLANDS LÄN</t>
        </is>
      </c>
      <c r="E5378" t="inlineStr">
        <is>
          <t>HAGFORS</t>
        </is>
      </c>
      <c r="G5378" t="n">
        <v>2.7</v>
      </c>
      <c r="H5378" t="n">
        <v>0</v>
      </c>
      <c r="I5378" t="n">
        <v>0</v>
      </c>
      <c r="J5378" t="n">
        <v>0</v>
      </c>
      <c r="K5378" t="n">
        <v>0</v>
      </c>
      <c r="L5378" t="n">
        <v>0</v>
      </c>
      <c r="M5378" t="n">
        <v>0</v>
      </c>
      <c r="N5378" t="n">
        <v>0</v>
      </c>
      <c r="O5378" t="n">
        <v>0</v>
      </c>
      <c r="P5378" t="n">
        <v>0</v>
      </c>
      <c r="Q5378" t="n">
        <v>0</v>
      </c>
      <c r="R5378" s="2" t="inlineStr"/>
    </row>
    <row r="5379" ht="15" customHeight="1">
      <c r="A5379" t="inlineStr">
        <is>
          <t>A 52378-2021</t>
        </is>
      </c>
      <c r="B5379" s="1" t="n">
        <v>44465</v>
      </c>
      <c r="C5379" s="1" t="n">
        <v>45810</v>
      </c>
      <c r="D5379" t="inlineStr">
        <is>
          <t>VÄRMLANDS LÄN</t>
        </is>
      </c>
      <c r="E5379" t="inlineStr">
        <is>
          <t>HAGFORS</t>
        </is>
      </c>
      <c r="G5379" t="n">
        <v>4.1</v>
      </c>
      <c r="H5379" t="n">
        <v>0</v>
      </c>
      <c r="I5379" t="n">
        <v>0</v>
      </c>
      <c r="J5379" t="n">
        <v>0</v>
      </c>
      <c r="K5379" t="n">
        <v>0</v>
      </c>
      <c r="L5379" t="n">
        <v>0</v>
      </c>
      <c r="M5379" t="n">
        <v>0</v>
      </c>
      <c r="N5379" t="n">
        <v>0</v>
      </c>
      <c r="O5379" t="n">
        <v>0</v>
      </c>
      <c r="P5379" t="n">
        <v>0</v>
      </c>
      <c r="Q5379" t="n">
        <v>0</v>
      </c>
      <c r="R5379" s="2" t="inlineStr"/>
    </row>
    <row r="5380" ht="15" customHeight="1">
      <c r="A5380" t="inlineStr">
        <is>
          <t>A 52384-2021</t>
        </is>
      </c>
      <c r="B5380" s="1" t="n">
        <v>44465</v>
      </c>
      <c r="C5380" s="1" t="n">
        <v>45810</v>
      </c>
      <c r="D5380" t="inlineStr">
        <is>
          <t>VÄRMLANDS LÄN</t>
        </is>
      </c>
      <c r="E5380" t="inlineStr">
        <is>
          <t>FILIPSTAD</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52624-2021</t>
        </is>
      </c>
      <c r="B5381" s="1" t="n">
        <v>44465</v>
      </c>
      <c r="C5381" s="1" t="n">
        <v>45810</v>
      </c>
      <c r="D5381" t="inlineStr">
        <is>
          <t>VÄRMLANDS LÄN</t>
        </is>
      </c>
      <c r="E5381" t="inlineStr">
        <is>
          <t>ARVIKA</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52373-2021</t>
        </is>
      </c>
      <c r="B5382" s="1" t="n">
        <v>44465</v>
      </c>
      <c r="C5382" s="1" t="n">
        <v>45810</v>
      </c>
      <c r="D5382" t="inlineStr">
        <is>
          <t>VÄRMLANDS LÄN</t>
        </is>
      </c>
      <c r="E5382" t="inlineStr">
        <is>
          <t>HAGFORS</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52379-2021</t>
        </is>
      </c>
      <c r="B5383" s="1" t="n">
        <v>44465</v>
      </c>
      <c r="C5383" s="1" t="n">
        <v>45810</v>
      </c>
      <c r="D5383" t="inlineStr">
        <is>
          <t>VÄRMLANDS LÄN</t>
        </is>
      </c>
      <c r="E5383" t="inlineStr">
        <is>
          <t>HAGFORS</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52520-2021</t>
        </is>
      </c>
      <c r="B5384" s="1" t="n">
        <v>44466</v>
      </c>
      <c r="C5384" s="1" t="n">
        <v>45810</v>
      </c>
      <c r="D5384" t="inlineStr">
        <is>
          <t>VÄRMLANDS LÄN</t>
        </is>
      </c>
      <c r="E5384" t="inlineStr">
        <is>
          <t>TORSBY</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52526-2021</t>
        </is>
      </c>
      <c r="B5385" s="1" t="n">
        <v>44466</v>
      </c>
      <c r="C5385" s="1" t="n">
        <v>45810</v>
      </c>
      <c r="D5385" t="inlineStr">
        <is>
          <t>VÄRMLANDS LÄN</t>
        </is>
      </c>
      <c r="E5385" t="inlineStr">
        <is>
          <t>KIL</t>
        </is>
      </c>
      <c r="G5385" t="n">
        <v>4.2</v>
      </c>
      <c r="H5385" t="n">
        <v>0</v>
      </c>
      <c r="I5385" t="n">
        <v>0</v>
      </c>
      <c r="J5385" t="n">
        <v>0</v>
      </c>
      <c r="K5385" t="n">
        <v>0</v>
      </c>
      <c r="L5385" t="n">
        <v>0</v>
      </c>
      <c r="M5385" t="n">
        <v>0</v>
      </c>
      <c r="N5385" t="n">
        <v>0</v>
      </c>
      <c r="O5385" t="n">
        <v>0</v>
      </c>
      <c r="P5385" t="n">
        <v>0</v>
      </c>
      <c r="Q5385" t="n">
        <v>0</v>
      </c>
      <c r="R5385" s="2" t="inlineStr"/>
    </row>
    <row r="5386" ht="15" customHeight="1">
      <c r="A5386" t="inlineStr">
        <is>
          <t>A 52677-2021</t>
        </is>
      </c>
      <c r="B5386" s="1" t="n">
        <v>44466</v>
      </c>
      <c r="C5386" s="1" t="n">
        <v>45810</v>
      </c>
      <c r="D5386" t="inlineStr">
        <is>
          <t>VÄRMLANDS LÄN</t>
        </is>
      </c>
      <c r="E5386" t="inlineStr">
        <is>
          <t>SUNNE</t>
        </is>
      </c>
      <c r="G5386" t="n">
        <v>1.9</v>
      </c>
      <c r="H5386" t="n">
        <v>0</v>
      </c>
      <c r="I5386" t="n">
        <v>0</v>
      </c>
      <c r="J5386" t="n">
        <v>0</v>
      </c>
      <c r="K5386" t="n">
        <v>0</v>
      </c>
      <c r="L5386" t="n">
        <v>0</v>
      </c>
      <c r="M5386" t="n">
        <v>0</v>
      </c>
      <c r="N5386" t="n">
        <v>0</v>
      </c>
      <c r="O5386" t="n">
        <v>0</v>
      </c>
      <c r="P5386" t="n">
        <v>0</v>
      </c>
      <c r="Q5386" t="n">
        <v>0</v>
      </c>
      <c r="R5386" s="2" t="inlineStr"/>
    </row>
    <row r="5387" ht="15" customHeight="1">
      <c r="A5387" t="inlineStr">
        <is>
          <t>A 52750-2021</t>
        </is>
      </c>
      <c r="B5387" s="1" t="n">
        <v>44466</v>
      </c>
      <c r="C5387" s="1" t="n">
        <v>45810</v>
      </c>
      <c r="D5387" t="inlineStr">
        <is>
          <t>VÄRMLANDS LÄN</t>
        </is>
      </c>
      <c r="E5387" t="inlineStr">
        <is>
          <t>KRISTINEHAMN</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53038-2021</t>
        </is>
      </c>
      <c r="B5388" s="1" t="n">
        <v>44466</v>
      </c>
      <c r="C5388" s="1" t="n">
        <v>45810</v>
      </c>
      <c r="D5388" t="inlineStr">
        <is>
          <t>VÄRMLANDS LÄN</t>
        </is>
      </c>
      <c r="E5388" t="inlineStr">
        <is>
          <t>SUNNE</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53143-2021</t>
        </is>
      </c>
      <c r="B5389" s="1" t="n">
        <v>44466</v>
      </c>
      <c r="C5389" s="1" t="n">
        <v>45810</v>
      </c>
      <c r="D5389" t="inlineStr">
        <is>
          <t>VÄRMLANDS LÄN</t>
        </is>
      </c>
      <c r="E5389" t="inlineStr">
        <is>
          <t>SÄFFLE</t>
        </is>
      </c>
      <c r="G5389" t="n">
        <v>4.7</v>
      </c>
      <c r="H5389" t="n">
        <v>0</v>
      </c>
      <c r="I5389" t="n">
        <v>0</v>
      </c>
      <c r="J5389" t="n">
        <v>0</v>
      </c>
      <c r="K5389" t="n">
        <v>0</v>
      </c>
      <c r="L5389" t="n">
        <v>0</v>
      </c>
      <c r="M5389" t="n">
        <v>0</v>
      </c>
      <c r="N5389" t="n">
        <v>0</v>
      </c>
      <c r="O5389" t="n">
        <v>0</v>
      </c>
      <c r="P5389" t="n">
        <v>0</v>
      </c>
      <c r="Q5389" t="n">
        <v>0</v>
      </c>
      <c r="R5389" s="2" t="inlineStr"/>
    </row>
    <row r="5390" ht="15" customHeight="1">
      <c r="A5390" t="inlineStr">
        <is>
          <t>A 52836-2021</t>
        </is>
      </c>
      <c r="B5390" s="1" t="n">
        <v>44466</v>
      </c>
      <c r="C5390" s="1" t="n">
        <v>45810</v>
      </c>
      <c r="D5390" t="inlineStr">
        <is>
          <t>VÄRMLANDS LÄN</t>
        </is>
      </c>
      <c r="E5390" t="inlineStr">
        <is>
          <t>KRISTINEHAMN</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52853-2021</t>
        </is>
      </c>
      <c r="B5391" s="1" t="n">
        <v>44466</v>
      </c>
      <c r="C5391" s="1" t="n">
        <v>45810</v>
      </c>
      <c r="D5391" t="inlineStr">
        <is>
          <t>VÄRMLANDS LÄN</t>
        </is>
      </c>
      <c r="E5391" t="inlineStr">
        <is>
          <t>KRISTINEHAMN</t>
        </is>
      </c>
      <c r="G5391" t="n">
        <v>2.5</v>
      </c>
      <c r="H5391" t="n">
        <v>0</v>
      </c>
      <c r="I5391" t="n">
        <v>0</v>
      </c>
      <c r="J5391" t="n">
        <v>0</v>
      </c>
      <c r="K5391" t="n">
        <v>0</v>
      </c>
      <c r="L5391" t="n">
        <v>0</v>
      </c>
      <c r="M5391" t="n">
        <v>0</v>
      </c>
      <c r="N5391" t="n">
        <v>0</v>
      </c>
      <c r="O5391" t="n">
        <v>0</v>
      </c>
      <c r="P5391" t="n">
        <v>0</v>
      </c>
      <c r="Q5391" t="n">
        <v>0</v>
      </c>
      <c r="R5391" s="2" t="inlineStr"/>
    </row>
    <row r="5392" ht="15" customHeight="1">
      <c r="A5392" t="inlineStr">
        <is>
          <t>A 52728-2021</t>
        </is>
      </c>
      <c r="B5392" s="1" t="n">
        <v>44467</v>
      </c>
      <c r="C5392" s="1" t="n">
        <v>45810</v>
      </c>
      <c r="D5392" t="inlineStr">
        <is>
          <t>VÄRMLANDS LÄN</t>
        </is>
      </c>
      <c r="E5392" t="inlineStr">
        <is>
          <t>TORSBY</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52809-2021</t>
        </is>
      </c>
      <c r="B5393" s="1" t="n">
        <v>44467</v>
      </c>
      <c r="C5393" s="1" t="n">
        <v>45810</v>
      </c>
      <c r="D5393" t="inlineStr">
        <is>
          <t>VÄRMLANDS LÄN</t>
        </is>
      </c>
      <c r="E5393" t="inlineStr">
        <is>
          <t>EDA</t>
        </is>
      </c>
      <c r="F5393" t="inlineStr">
        <is>
          <t>Övriga Aktiebolag</t>
        </is>
      </c>
      <c r="G5393" t="n">
        <v>11.5</v>
      </c>
      <c r="H5393" t="n">
        <v>0</v>
      </c>
      <c r="I5393" t="n">
        <v>0</v>
      </c>
      <c r="J5393" t="n">
        <v>0</v>
      </c>
      <c r="K5393" t="n">
        <v>0</v>
      </c>
      <c r="L5393" t="n">
        <v>0</v>
      </c>
      <c r="M5393" t="n">
        <v>0</v>
      </c>
      <c r="N5393" t="n">
        <v>0</v>
      </c>
      <c r="O5393" t="n">
        <v>0</v>
      </c>
      <c r="P5393" t="n">
        <v>0</v>
      </c>
      <c r="Q5393" t="n">
        <v>0</v>
      </c>
      <c r="R5393" s="2" t="inlineStr"/>
    </row>
    <row r="5394" ht="15" customHeight="1">
      <c r="A5394" t="inlineStr">
        <is>
          <t>A 52848-2021</t>
        </is>
      </c>
      <c r="B5394" s="1" t="n">
        <v>44467</v>
      </c>
      <c r="C5394" s="1" t="n">
        <v>45810</v>
      </c>
      <c r="D5394" t="inlineStr">
        <is>
          <t>VÄRMLANDS LÄN</t>
        </is>
      </c>
      <c r="E5394" t="inlineStr">
        <is>
          <t>GRUMS</t>
        </is>
      </c>
      <c r="G5394" t="n">
        <v>3</v>
      </c>
      <c r="H5394" t="n">
        <v>0</v>
      </c>
      <c r="I5394" t="n">
        <v>0</v>
      </c>
      <c r="J5394" t="n">
        <v>0</v>
      </c>
      <c r="K5394" t="n">
        <v>0</v>
      </c>
      <c r="L5394" t="n">
        <v>0</v>
      </c>
      <c r="M5394" t="n">
        <v>0</v>
      </c>
      <c r="N5394" t="n">
        <v>0</v>
      </c>
      <c r="O5394" t="n">
        <v>0</v>
      </c>
      <c r="P5394" t="n">
        <v>0</v>
      </c>
      <c r="Q5394" t="n">
        <v>0</v>
      </c>
      <c r="R5394" s="2" t="inlineStr"/>
    </row>
    <row r="5395" ht="15" customHeight="1">
      <c r="A5395" t="inlineStr">
        <is>
          <t>A 52789-2021</t>
        </is>
      </c>
      <c r="B5395" s="1" t="n">
        <v>44467</v>
      </c>
      <c r="C5395" s="1" t="n">
        <v>45810</v>
      </c>
      <c r="D5395" t="inlineStr">
        <is>
          <t>VÄRMLANDS LÄN</t>
        </is>
      </c>
      <c r="E5395" t="inlineStr">
        <is>
          <t>KARLSTAD</t>
        </is>
      </c>
      <c r="F5395" t="inlineStr">
        <is>
          <t>Övriga statliga verk och myndigheter</t>
        </is>
      </c>
      <c r="G5395" t="n">
        <v>6</v>
      </c>
      <c r="H5395" t="n">
        <v>0</v>
      </c>
      <c r="I5395" t="n">
        <v>0</v>
      </c>
      <c r="J5395" t="n">
        <v>0</v>
      </c>
      <c r="K5395" t="n">
        <v>0</v>
      </c>
      <c r="L5395" t="n">
        <v>0</v>
      </c>
      <c r="M5395" t="n">
        <v>0</v>
      </c>
      <c r="N5395" t="n">
        <v>0</v>
      </c>
      <c r="O5395" t="n">
        <v>0</v>
      </c>
      <c r="P5395" t="n">
        <v>0</v>
      </c>
      <c r="Q5395" t="n">
        <v>0</v>
      </c>
      <c r="R5395" s="2" t="inlineStr"/>
    </row>
    <row r="5396" ht="15" customHeight="1">
      <c r="A5396" t="inlineStr">
        <is>
          <t>A 52800-2021</t>
        </is>
      </c>
      <c r="B5396" s="1" t="n">
        <v>44467</v>
      </c>
      <c r="C5396" s="1" t="n">
        <v>45810</v>
      </c>
      <c r="D5396" t="inlineStr">
        <is>
          <t>VÄRMLANDS LÄN</t>
        </is>
      </c>
      <c r="E5396" t="inlineStr">
        <is>
          <t>ARVIKA</t>
        </is>
      </c>
      <c r="G5396" t="n">
        <v>5.1</v>
      </c>
      <c r="H5396" t="n">
        <v>0</v>
      </c>
      <c r="I5396" t="n">
        <v>0</v>
      </c>
      <c r="J5396" t="n">
        <v>0</v>
      </c>
      <c r="K5396" t="n">
        <v>0</v>
      </c>
      <c r="L5396" t="n">
        <v>0</v>
      </c>
      <c r="M5396" t="n">
        <v>0</v>
      </c>
      <c r="N5396" t="n">
        <v>0</v>
      </c>
      <c r="O5396" t="n">
        <v>0</v>
      </c>
      <c r="P5396" t="n">
        <v>0</v>
      </c>
      <c r="Q5396" t="n">
        <v>0</v>
      </c>
      <c r="R5396" s="2" t="inlineStr"/>
    </row>
    <row r="5397" ht="15" customHeight="1">
      <c r="A5397" t="inlineStr">
        <is>
          <t>A 52842-2021</t>
        </is>
      </c>
      <c r="B5397" s="1" t="n">
        <v>44467</v>
      </c>
      <c r="C5397" s="1" t="n">
        <v>45810</v>
      </c>
      <c r="D5397" t="inlineStr">
        <is>
          <t>VÄRMLANDS LÄN</t>
        </is>
      </c>
      <c r="E5397" t="inlineStr">
        <is>
          <t>GRUMS</t>
        </is>
      </c>
      <c r="G5397" t="n">
        <v>3</v>
      </c>
      <c r="H5397" t="n">
        <v>0</v>
      </c>
      <c r="I5397" t="n">
        <v>0</v>
      </c>
      <c r="J5397" t="n">
        <v>0</v>
      </c>
      <c r="K5397" t="n">
        <v>0</v>
      </c>
      <c r="L5397" t="n">
        <v>0</v>
      </c>
      <c r="M5397" t="n">
        <v>0</v>
      </c>
      <c r="N5397" t="n">
        <v>0</v>
      </c>
      <c r="O5397" t="n">
        <v>0</v>
      </c>
      <c r="P5397" t="n">
        <v>0</v>
      </c>
      <c r="Q5397" t="n">
        <v>0</v>
      </c>
      <c r="R5397" s="2" t="inlineStr"/>
    </row>
    <row r="5398" ht="15" customHeight="1">
      <c r="A5398" t="inlineStr">
        <is>
          <t>A 52900-2021</t>
        </is>
      </c>
      <c r="B5398" s="1" t="n">
        <v>44467</v>
      </c>
      <c r="C5398" s="1" t="n">
        <v>45810</v>
      </c>
      <c r="D5398" t="inlineStr">
        <is>
          <t>VÄRMLANDS LÄN</t>
        </is>
      </c>
      <c r="E5398" t="inlineStr">
        <is>
          <t>TORSBY</t>
        </is>
      </c>
      <c r="G5398" t="n">
        <v>3.8</v>
      </c>
      <c r="H5398" t="n">
        <v>0</v>
      </c>
      <c r="I5398" t="n">
        <v>0</v>
      </c>
      <c r="J5398" t="n">
        <v>0</v>
      </c>
      <c r="K5398" t="n">
        <v>0</v>
      </c>
      <c r="L5398" t="n">
        <v>0</v>
      </c>
      <c r="M5398" t="n">
        <v>0</v>
      </c>
      <c r="N5398" t="n">
        <v>0</v>
      </c>
      <c r="O5398" t="n">
        <v>0</v>
      </c>
      <c r="P5398" t="n">
        <v>0</v>
      </c>
      <c r="Q5398" t="n">
        <v>0</v>
      </c>
      <c r="R5398" s="2" t="inlineStr"/>
    </row>
    <row r="5399" ht="15" customHeight="1">
      <c r="A5399" t="inlineStr">
        <is>
          <t>A 52977-2021</t>
        </is>
      </c>
      <c r="B5399" s="1" t="n">
        <v>44467</v>
      </c>
      <c r="C5399" s="1" t="n">
        <v>45810</v>
      </c>
      <c r="D5399" t="inlineStr">
        <is>
          <t>VÄRMLANDS LÄN</t>
        </is>
      </c>
      <c r="E5399" t="inlineStr">
        <is>
          <t>FILIPSTAD</t>
        </is>
      </c>
      <c r="G5399" t="n">
        <v>4.3</v>
      </c>
      <c r="H5399" t="n">
        <v>0</v>
      </c>
      <c r="I5399" t="n">
        <v>0</v>
      </c>
      <c r="J5399" t="n">
        <v>0</v>
      </c>
      <c r="K5399" t="n">
        <v>0</v>
      </c>
      <c r="L5399" t="n">
        <v>0</v>
      </c>
      <c r="M5399" t="n">
        <v>0</v>
      </c>
      <c r="N5399" t="n">
        <v>0</v>
      </c>
      <c r="O5399" t="n">
        <v>0</v>
      </c>
      <c r="P5399" t="n">
        <v>0</v>
      </c>
      <c r="Q5399" t="n">
        <v>0</v>
      </c>
      <c r="R5399" s="2" t="inlineStr"/>
    </row>
    <row r="5400" ht="15" customHeight="1">
      <c r="A5400" t="inlineStr">
        <is>
          <t>A 52875-2021</t>
        </is>
      </c>
      <c r="B5400" s="1" t="n">
        <v>44467</v>
      </c>
      <c r="C5400" s="1" t="n">
        <v>45810</v>
      </c>
      <c r="D5400" t="inlineStr">
        <is>
          <t>VÄRMLANDS LÄN</t>
        </is>
      </c>
      <c r="E5400" t="inlineStr">
        <is>
          <t>GRUMS</t>
        </is>
      </c>
      <c r="G5400" t="n">
        <v>2.3</v>
      </c>
      <c r="H5400" t="n">
        <v>0</v>
      </c>
      <c r="I5400" t="n">
        <v>0</v>
      </c>
      <c r="J5400" t="n">
        <v>0</v>
      </c>
      <c r="K5400" t="n">
        <v>0</v>
      </c>
      <c r="L5400" t="n">
        <v>0</v>
      </c>
      <c r="M5400" t="n">
        <v>0</v>
      </c>
      <c r="N5400" t="n">
        <v>0</v>
      </c>
      <c r="O5400" t="n">
        <v>0</v>
      </c>
      <c r="P5400" t="n">
        <v>0</v>
      </c>
      <c r="Q5400" t="n">
        <v>0</v>
      </c>
      <c r="R5400" s="2" t="inlineStr"/>
    </row>
    <row r="5401" ht="15" customHeight="1">
      <c r="A5401" t="inlineStr">
        <is>
          <t>A 52986-2021</t>
        </is>
      </c>
      <c r="B5401" s="1" t="n">
        <v>44467</v>
      </c>
      <c r="C5401" s="1" t="n">
        <v>45810</v>
      </c>
      <c r="D5401" t="inlineStr">
        <is>
          <t>VÄRMLANDS LÄN</t>
        </is>
      </c>
      <c r="E5401" t="inlineStr">
        <is>
          <t>FILIPSTAD</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53093-2021</t>
        </is>
      </c>
      <c r="B5402" s="1" t="n">
        <v>44467</v>
      </c>
      <c r="C5402" s="1" t="n">
        <v>45810</v>
      </c>
      <c r="D5402" t="inlineStr">
        <is>
          <t>VÄRMLANDS LÄN</t>
        </is>
      </c>
      <c r="E5402" t="inlineStr">
        <is>
          <t>SUNNE</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52992-2021</t>
        </is>
      </c>
      <c r="B5403" s="1" t="n">
        <v>44467</v>
      </c>
      <c r="C5403" s="1" t="n">
        <v>45810</v>
      </c>
      <c r="D5403" t="inlineStr">
        <is>
          <t>VÄRMLANDS LÄN</t>
        </is>
      </c>
      <c r="E5403" t="inlineStr">
        <is>
          <t>FILIPSTAD</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53052-2021</t>
        </is>
      </c>
      <c r="B5404" s="1" t="n">
        <v>44467</v>
      </c>
      <c r="C5404" s="1" t="n">
        <v>45810</v>
      </c>
      <c r="D5404" t="inlineStr">
        <is>
          <t>VÄRMLANDS LÄN</t>
        </is>
      </c>
      <c r="E5404" t="inlineStr">
        <is>
          <t>ÅRJÄNG</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52730-2021</t>
        </is>
      </c>
      <c r="B5405" s="1" t="n">
        <v>44467</v>
      </c>
      <c r="C5405" s="1" t="n">
        <v>45810</v>
      </c>
      <c r="D5405" t="inlineStr">
        <is>
          <t>VÄRMLANDS LÄN</t>
        </is>
      </c>
      <c r="E5405" t="inlineStr">
        <is>
          <t>ÅRJÄNG</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53096-2021</t>
        </is>
      </c>
      <c r="B5406" s="1" t="n">
        <v>44467</v>
      </c>
      <c r="C5406" s="1" t="n">
        <v>45810</v>
      </c>
      <c r="D5406" t="inlineStr">
        <is>
          <t>VÄRMLANDS LÄN</t>
        </is>
      </c>
      <c r="E5406" t="inlineStr">
        <is>
          <t>SÄFFLE</t>
        </is>
      </c>
      <c r="G5406" t="n">
        <v>1.8</v>
      </c>
      <c r="H5406" t="n">
        <v>0</v>
      </c>
      <c r="I5406" t="n">
        <v>0</v>
      </c>
      <c r="J5406" t="n">
        <v>0</v>
      </c>
      <c r="K5406" t="n">
        <v>0</v>
      </c>
      <c r="L5406" t="n">
        <v>0</v>
      </c>
      <c r="M5406" t="n">
        <v>0</v>
      </c>
      <c r="N5406" t="n">
        <v>0</v>
      </c>
      <c r="O5406" t="n">
        <v>0</v>
      </c>
      <c r="P5406" t="n">
        <v>0</v>
      </c>
      <c r="Q5406" t="n">
        <v>0</v>
      </c>
      <c r="R5406" s="2" t="inlineStr"/>
    </row>
    <row r="5407" ht="15" customHeight="1">
      <c r="A5407" t="inlineStr">
        <is>
          <t>A 52981-2021</t>
        </is>
      </c>
      <c r="B5407" s="1" t="n">
        <v>44467</v>
      </c>
      <c r="C5407" s="1" t="n">
        <v>45810</v>
      </c>
      <c r="D5407" t="inlineStr">
        <is>
          <t>VÄRMLANDS LÄN</t>
        </is>
      </c>
      <c r="E5407" t="inlineStr">
        <is>
          <t>FILIPSTAD</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52994-2021</t>
        </is>
      </c>
      <c r="B5408" s="1" t="n">
        <v>44467</v>
      </c>
      <c r="C5408" s="1" t="n">
        <v>45810</v>
      </c>
      <c r="D5408" t="inlineStr">
        <is>
          <t>VÄRMLANDS LÄN</t>
        </is>
      </c>
      <c r="E5408" t="inlineStr">
        <is>
          <t>SUNNE</t>
        </is>
      </c>
      <c r="G5408" t="n">
        <v>4.2</v>
      </c>
      <c r="H5408" t="n">
        <v>0</v>
      </c>
      <c r="I5408" t="n">
        <v>0</v>
      </c>
      <c r="J5408" t="n">
        <v>0</v>
      </c>
      <c r="K5408" t="n">
        <v>0</v>
      </c>
      <c r="L5408" t="n">
        <v>0</v>
      </c>
      <c r="M5408" t="n">
        <v>0</v>
      </c>
      <c r="N5408" t="n">
        <v>0</v>
      </c>
      <c r="O5408" t="n">
        <v>0</v>
      </c>
      <c r="P5408" t="n">
        <v>0</v>
      </c>
      <c r="Q5408" t="n">
        <v>0</v>
      </c>
      <c r="R5408" s="2" t="inlineStr"/>
    </row>
    <row r="5409" ht="15" customHeight="1">
      <c r="A5409" t="inlineStr">
        <is>
          <t>A 53100-2021</t>
        </is>
      </c>
      <c r="B5409" s="1" t="n">
        <v>44467</v>
      </c>
      <c r="C5409" s="1" t="n">
        <v>45810</v>
      </c>
      <c r="D5409" t="inlineStr">
        <is>
          <t>VÄRMLANDS LÄN</t>
        </is>
      </c>
      <c r="E5409" t="inlineStr">
        <is>
          <t>KIL</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53303-2021</t>
        </is>
      </c>
      <c r="B5410" s="1" t="n">
        <v>44467</v>
      </c>
      <c r="C5410" s="1" t="n">
        <v>45810</v>
      </c>
      <c r="D5410" t="inlineStr">
        <is>
          <t>VÄRMLANDS LÄN</t>
        </is>
      </c>
      <c r="E5410" t="inlineStr">
        <is>
          <t>SÄFFLE</t>
        </is>
      </c>
      <c r="G5410" t="n">
        <v>5.6</v>
      </c>
      <c r="H5410" t="n">
        <v>0</v>
      </c>
      <c r="I5410" t="n">
        <v>0</v>
      </c>
      <c r="J5410" t="n">
        <v>0</v>
      </c>
      <c r="K5410" t="n">
        <v>0</v>
      </c>
      <c r="L5410" t="n">
        <v>0</v>
      </c>
      <c r="M5410" t="n">
        <v>0</v>
      </c>
      <c r="N5410" t="n">
        <v>0</v>
      </c>
      <c r="O5410" t="n">
        <v>0</v>
      </c>
      <c r="P5410" t="n">
        <v>0</v>
      </c>
      <c r="Q5410" t="n">
        <v>0</v>
      </c>
      <c r="R5410" s="2" t="inlineStr"/>
    </row>
    <row r="5411" ht="15" customHeight="1">
      <c r="A5411" t="inlineStr">
        <is>
          <t>A 53174-2021</t>
        </is>
      </c>
      <c r="B5411" s="1" t="n">
        <v>44468</v>
      </c>
      <c r="C5411" s="1" t="n">
        <v>45810</v>
      </c>
      <c r="D5411" t="inlineStr">
        <is>
          <t>VÄRMLANDS LÄN</t>
        </is>
      </c>
      <c r="E5411" t="inlineStr">
        <is>
          <t>SÄFFLE</t>
        </is>
      </c>
      <c r="G5411" t="n">
        <v>2.3</v>
      </c>
      <c r="H5411" t="n">
        <v>0</v>
      </c>
      <c r="I5411" t="n">
        <v>0</v>
      </c>
      <c r="J5411" t="n">
        <v>0</v>
      </c>
      <c r="K5411" t="n">
        <v>0</v>
      </c>
      <c r="L5411" t="n">
        <v>0</v>
      </c>
      <c r="M5411" t="n">
        <v>0</v>
      </c>
      <c r="N5411" t="n">
        <v>0</v>
      </c>
      <c r="O5411" t="n">
        <v>0</v>
      </c>
      <c r="P5411" t="n">
        <v>0</v>
      </c>
      <c r="Q5411" t="n">
        <v>0</v>
      </c>
      <c r="R5411" s="2" t="inlineStr"/>
    </row>
    <row r="5412" ht="15" customHeight="1">
      <c r="A5412" t="inlineStr">
        <is>
          <t>A 53209-2021</t>
        </is>
      </c>
      <c r="B5412" s="1" t="n">
        <v>44468</v>
      </c>
      <c r="C5412" s="1" t="n">
        <v>45810</v>
      </c>
      <c r="D5412" t="inlineStr">
        <is>
          <t>VÄRMLANDS LÄN</t>
        </is>
      </c>
      <c r="E5412" t="inlineStr">
        <is>
          <t>GRUMS</t>
        </is>
      </c>
      <c r="G5412" t="n">
        <v>11.6</v>
      </c>
      <c r="H5412" t="n">
        <v>0</v>
      </c>
      <c r="I5412" t="n">
        <v>0</v>
      </c>
      <c r="J5412" t="n">
        <v>0</v>
      </c>
      <c r="K5412" t="n">
        <v>0</v>
      </c>
      <c r="L5412" t="n">
        <v>0</v>
      </c>
      <c r="M5412" t="n">
        <v>0</v>
      </c>
      <c r="N5412" t="n">
        <v>0</v>
      </c>
      <c r="O5412" t="n">
        <v>0</v>
      </c>
      <c r="P5412" t="n">
        <v>0</v>
      </c>
      <c r="Q5412" t="n">
        <v>0</v>
      </c>
      <c r="R5412" s="2" t="inlineStr"/>
    </row>
    <row r="5413" ht="15" customHeight="1">
      <c r="A5413" t="inlineStr">
        <is>
          <t>A 53300-2021</t>
        </is>
      </c>
      <c r="B5413" s="1" t="n">
        <v>44468</v>
      </c>
      <c r="C5413" s="1" t="n">
        <v>45810</v>
      </c>
      <c r="D5413" t="inlineStr">
        <is>
          <t>VÄRMLANDS LÄN</t>
        </is>
      </c>
      <c r="E5413" t="inlineStr">
        <is>
          <t>KRISTINEHAMN</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53239-2021</t>
        </is>
      </c>
      <c r="B5414" s="1" t="n">
        <v>44468</v>
      </c>
      <c r="C5414" s="1" t="n">
        <v>45810</v>
      </c>
      <c r="D5414" t="inlineStr">
        <is>
          <t>VÄRMLANDS LÄN</t>
        </is>
      </c>
      <c r="E5414" t="inlineStr">
        <is>
          <t>SÄFFLE</t>
        </is>
      </c>
      <c r="G5414" t="n">
        <v>3.4</v>
      </c>
      <c r="H5414" t="n">
        <v>0</v>
      </c>
      <c r="I5414" t="n">
        <v>0</v>
      </c>
      <c r="J5414" t="n">
        <v>0</v>
      </c>
      <c r="K5414" t="n">
        <v>0</v>
      </c>
      <c r="L5414" t="n">
        <v>0</v>
      </c>
      <c r="M5414" t="n">
        <v>0</v>
      </c>
      <c r="N5414" t="n">
        <v>0</v>
      </c>
      <c r="O5414" t="n">
        <v>0</v>
      </c>
      <c r="P5414" t="n">
        <v>0</v>
      </c>
      <c r="Q5414" t="n">
        <v>0</v>
      </c>
      <c r="R5414" s="2" t="inlineStr"/>
    </row>
    <row r="5415" ht="15" customHeight="1">
      <c r="A5415" t="inlineStr">
        <is>
          <t>A 53387-2021</t>
        </is>
      </c>
      <c r="B5415" s="1" t="n">
        <v>44468</v>
      </c>
      <c r="C5415" s="1" t="n">
        <v>45810</v>
      </c>
      <c r="D5415" t="inlineStr">
        <is>
          <t>VÄRMLANDS LÄN</t>
        </is>
      </c>
      <c r="E5415" t="inlineStr">
        <is>
          <t>SUNNE</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53390-2021</t>
        </is>
      </c>
      <c r="B5416" s="1" t="n">
        <v>44468</v>
      </c>
      <c r="C5416" s="1" t="n">
        <v>45810</v>
      </c>
      <c r="D5416" t="inlineStr">
        <is>
          <t>VÄRMLANDS LÄN</t>
        </is>
      </c>
      <c r="E5416" t="inlineStr">
        <is>
          <t>ARVIKA</t>
        </is>
      </c>
      <c r="G5416" t="n">
        <v>2.5</v>
      </c>
      <c r="H5416" t="n">
        <v>0</v>
      </c>
      <c r="I5416" t="n">
        <v>0</v>
      </c>
      <c r="J5416" t="n">
        <v>0</v>
      </c>
      <c r="K5416" t="n">
        <v>0</v>
      </c>
      <c r="L5416" t="n">
        <v>0</v>
      </c>
      <c r="M5416" t="n">
        <v>0</v>
      </c>
      <c r="N5416" t="n">
        <v>0</v>
      </c>
      <c r="O5416" t="n">
        <v>0</v>
      </c>
      <c r="P5416" t="n">
        <v>0</v>
      </c>
      <c r="Q5416" t="n">
        <v>0</v>
      </c>
      <c r="R5416" s="2" t="inlineStr"/>
    </row>
    <row r="5417" ht="15" customHeight="1">
      <c r="A5417" t="inlineStr">
        <is>
          <t>A 53486-2021</t>
        </is>
      </c>
      <c r="B5417" s="1" t="n">
        <v>44468</v>
      </c>
      <c r="C5417" s="1" t="n">
        <v>45810</v>
      </c>
      <c r="D5417" t="inlineStr">
        <is>
          <t>VÄRMLANDS LÄN</t>
        </is>
      </c>
      <c r="E5417" t="inlineStr">
        <is>
          <t>KARLSTAD</t>
        </is>
      </c>
      <c r="G5417" t="n">
        <v>1.4</v>
      </c>
      <c r="H5417" t="n">
        <v>0</v>
      </c>
      <c r="I5417" t="n">
        <v>0</v>
      </c>
      <c r="J5417" t="n">
        <v>0</v>
      </c>
      <c r="K5417" t="n">
        <v>0</v>
      </c>
      <c r="L5417" t="n">
        <v>0</v>
      </c>
      <c r="M5417" t="n">
        <v>0</v>
      </c>
      <c r="N5417" t="n">
        <v>0</v>
      </c>
      <c r="O5417" t="n">
        <v>0</v>
      </c>
      <c r="P5417" t="n">
        <v>0</v>
      </c>
      <c r="Q5417" t="n">
        <v>0</v>
      </c>
      <c r="R5417" s="2" t="inlineStr"/>
    </row>
    <row r="5418" ht="15" customHeight="1">
      <c r="A5418" t="inlineStr">
        <is>
          <t>A 53495-2021</t>
        </is>
      </c>
      <c r="B5418" s="1" t="n">
        <v>44468</v>
      </c>
      <c r="C5418" s="1" t="n">
        <v>45810</v>
      </c>
      <c r="D5418" t="inlineStr">
        <is>
          <t>VÄRMLANDS LÄN</t>
        </is>
      </c>
      <c r="E5418" t="inlineStr">
        <is>
          <t>SUNNE</t>
        </is>
      </c>
      <c r="F5418" t="inlineStr">
        <is>
          <t>Övriga statliga verk och myndigheter</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53398-2021</t>
        </is>
      </c>
      <c r="B5419" s="1" t="n">
        <v>44468</v>
      </c>
      <c r="C5419" s="1" t="n">
        <v>45810</v>
      </c>
      <c r="D5419" t="inlineStr">
        <is>
          <t>VÄRMLANDS LÄN</t>
        </is>
      </c>
      <c r="E5419" t="inlineStr">
        <is>
          <t>STORFORS</t>
        </is>
      </c>
      <c r="F5419" t="inlineStr">
        <is>
          <t>Naturvårdsverket</t>
        </is>
      </c>
      <c r="G5419" t="n">
        <v>3.5</v>
      </c>
      <c r="H5419" t="n">
        <v>0</v>
      </c>
      <c r="I5419" t="n">
        <v>0</v>
      </c>
      <c r="J5419" t="n">
        <v>0</v>
      </c>
      <c r="K5419" t="n">
        <v>0</v>
      </c>
      <c r="L5419" t="n">
        <v>0</v>
      </c>
      <c r="M5419" t="n">
        <v>0</v>
      </c>
      <c r="N5419" t="n">
        <v>0</v>
      </c>
      <c r="O5419" t="n">
        <v>0</v>
      </c>
      <c r="P5419" t="n">
        <v>0</v>
      </c>
      <c r="Q5419" t="n">
        <v>0</v>
      </c>
      <c r="R5419" s="2" t="inlineStr"/>
    </row>
    <row r="5420" ht="15" customHeight="1">
      <c r="A5420" t="inlineStr">
        <is>
          <t>A 53416-2021</t>
        </is>
      </c>
      <c r="B5420" s="1" t="n">
        <v>44468</v>
      </c>
      <c r="C5420" s="1" t="n">
        <v>45810</v>
      </c>
      <c r="D5420" t="inlineStr">
        <is>
          <t>VÄRMLANDS LÄN</t>
        </is>
      </c>
      <c r="E5420" t="inlineStr">
        <is>
          <t>ÅRJÄNG</t>
        </is>
      </c>
      <c r="G5420" t="n">
        <v>18.8</v>
      </c>
      <c r="H5420" t="n">
        <v>0</v>
      </c>
      <c r="I5420" t="n">
        <v>0</v>
      </c>
      <c r="J5420" t="n">
        <v>0</v>
      </c>
      <c r="K5420" t="n">
        <v>0</v>
      </c>
      <c r="L5420" t="n">
        <v>0</v>
      </c>
      <c r="M5420" t="n">
        <v>0</v>
      </c>
      <c r="N5420" t="n">
        <v>0</v>
      </c>
      <c r="O5420" t="n">
        <v>0</v>
      </c>
      <c r="P5420" t="n">
        <v>0</v>
      </c>
      <c r="Q5420" t="n">
        <v>0</v>
      </c>
      <c r="R5420" s="2" t="inlineStr"/>
    </row>
    <row r="5421" ht="15" customHeight="1">
      <c r="A5421" t="inlineStr">
        <is>
          <t>A 53468-2021</t>
        </is>
      </c>
      <c r="B5421" s="1" t="n">
        <v>44468</v>
      </c>
      <c r="C5421" s="1" t="n">
        <v>45810</v>
      </c>
      <c r="D5421" t="inlineStr">
        <is>
          <t>VÄRMLANDS LÄN</t>
        </is>
      </c>
      <c r="E5421" t="inlineStr">
        <is>
          <t>ÅRJÄNG</t>
        </is>
      </c>
      <c r="G5421" t="n">
        <v>2.1</v>
      </c>
      <c r="H5421" t="n">
        <v>0</v>
      </c>
      <c r="I5421" t="n">
        <v>0</v>
      </c>
      <c r="J5421" t="n">
        <v>0</v>
      </c>
      <c r="K5421" t="n">
        <v>0</v>
      </c>
      <c r="L5421" t="n">
        <v>0</v>
      </c>
      <c r="M5421" t="n">
        <v>0</v>
      </c>
      <c r="N5421" t="n">
        <v>0</v>
      </c>
      <c r="O5421" t="n">
        <v>0</v>
      </c>
      <c r="P5421" t="n">
        <v>0</v>
      </c>
      <c r="Q5421" t="n">
        <v>0</v>
      </c>
      <c r="R5421" s="2" t="inlineStr"/>
    </row>
    <row r="5422" ht="15" customHeight="1">
      <c r="A5422" t="inlineStr">
        <is>
          <t>A 53629-2021</t>
        </is>
      </c>
      <c r="B5422" s="1" t="n">
        <v>44469</v>
      </c>
      <c r="C5422" s="1" t="n">
        <v>45810</v>
      </c>
      <c r="D5422" t="inlineStr">
        <is>
          <t>VÄRMLANDS LÄN</t>
        </is>
      </c>
      <c r="E5422" t="inlineStr">
        <is>
          <t>SUNNE</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53705-2021</t>
        </is>
      </c>
      <c r="B5423" s="1" t="n">
        <v>44469</v>
      </c>
      <c r="C5423" s="1" t="n">
        <v>45810</v>
      </c>
      <c r="D5423" t="inlineStr">
        <is>
          <t>VÄRMLANDS LÄN</t>
        </is>
      </c>
      <c r="E5423" t="inlineStr">
        <is>
          <t>TORSBY</t>
        </is>
      </c>
      <c r="F5423" t="inlineStr">
        <is>
          <t>Kyrkan</t>
        </is>
      </c>
      <c r="G5423" t="n">
        <v>12.4</v>
      </c>
      <c r="H5423" t="n">
        <v>0</v>
      </c>
      <c r="I5423" t="n">
        <v>0</v>
      </c>
      <c r="J5423" t="n">
        <v>0</v>
      </c>
      <c r="K5423" t="n">
        <v>0</v>
      </c>
      <c r="L5423" t="n">
        <v>0</v>
      </c>
      <c r="M5423" t="n">
        <v>0</v>
      </c>
      <c r="N5423" t="n">
        <v>0</v>
      </c>
      <c r="O5423" t="n">
        <v>0</v>
      </c>
      <c r="P5423" t="n">
        <v>0</v>
      </c>
      <c r="Q5423" t="n">
        <v>0</v>
      </c>
      <c r="R5423" s="2" t="inlineStr"/>
    </row>
    <row r="5424" ht="15" customHeight="1">
      <c r="A5424" t="inlineStr">
        <is>
          <t>A 53726-2021</t>
        </is>
      </c>
      <c r="B5424" s="1" t="n">
        <v>44469</v>
      </c>
      <c r="C5424" s="1" t="n">
        <v>45810</v>
      </c>
      <c r="D5424" t="inlineStr">
        <is>
          <t>VÄRMLANDS LÄN</t>
        </is>
      </c>
      <c r="E5424" t="inlineStr">
        <is>
          <t>ÅRJÄNG</t>
        </is>
      </c>
      <c r="G5424" t="n">
        <v>3.2</v>
      </c>
      <c r="H5424" t="n">
        <v>0</v>
      </c>
      <c r="I5424" t="n">
        <v>0</v>
      </c>
      <c r="J5424" t="n">
        <v>0</v>
      </c>
      <c r="K5424" t="n">
        <v>0</v>
      </c>
      <c r="L5424" t="n">
        <v>0</v>
      </c>
      <c r="M5424" t="n">
        <v>0</v>
      </c>
      <c r="N5424" t="n">
        <v>0</v>
      </c>
      <c r="O5424" t="n">
        <v>0</v>
      </c>
      <c r="P5424" t="n">
        <v>0</v>
      </c>
      <c r="Q5424" t="n">
        <v>0</v>
      </c>
      <c r="R5424" s="2" t="inlineStr"/>
    </row>
    <row r="5425" ht="15" customHeight="1">
      <c r="A5425" t="inlineStr">
        <is>
          <t>A 53749-2021</t>
        </is>
      </c>
      <c r="B5425" s="1" t="n">
        <v>44469</v>
      </c>
      <c r="C5425" s="1" t="n">
        <v>45810</v>
      </c>
      <c r="D5425" t="inlineStr">
        <is>
          <t>VÄRMLANDS LÄN</t>
        </is>
      </c>
      <c r="E5425" t="inlineStr">
        <is>
          <t>SUNNE</t>
        </is>
      </c>
      <c r="F5425" t="inlineStr">
        <is>
          <t>Kyrkan</t>
        </is>
      </c>
      <c r="G5425" t="n">
        <v>4</v>
      </c>
      <c r="H5425" t="n">
        <v>0</v>
      </c>
      <c r="I5425" t="n">
        <v>0</v>
      </c>
      <c r="J5425" t="n">
        <v>0</v>
      </c>
      <c r="K5425" t="n">
        <v>0</v>
      </c>
      <c r="L5425" t="n">
        <v>0</v>
      </c>
      <c r="M5425" t="n">
        <v>0</v>
      </c>
      <c r="N5425" t="n">
        <v>0</v>
      </c>
      <c r="O5425" t="n">
        <v>0</v>
      </c>
      <c r="P5425" t="n">
        <v>0</v>
      </c>
      <c r="Q5425" t="n">
        <v>0</v>
      </c>
      <c r="R5425" s="2" t="inlineStr"/>
    </row>
    <row r="5426" ht="15" customHeight="1">
      <c r="A5426" t="inlineStr">
        <is>
          <t>A 53722-2021</t>
        </is>
      </c>
      <c r="B5426" s="1" t="n">
        <v>44469</v>
      </c>
      <c r="C5426" s="1" t="n">
        <v>45810</v>
      </c>
      <c r="D5426" t="inlineStr">
        <is>
          <t>VÄRMLANDS LÄN</t>
        </is>
      </c>
      <c r="E5426" t="inlineStr">
        <is>
          <t>ÅRJÄNG</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53637-2021</t>
        </is>
      </c>
      <c r="B5427" s="1" t="n">
        <v>44469</v>
      </c>
      <c r="C5427" s="1" t="n">
        <v>45810</v>
      </c>
      <c r="D5427" t="inlineStr">
        <is>
          <t>VÄRMLANDS LÄN</t>
        </is>
      </c>
      <c r="E5427" t="inlineStr">
        <is>
          <t>ÅRJÄNG</t>
        </is>
      </c>
      <c r="G5427" t="n">
        <v>2.7</v>
      </c>
      <c r="H5427" t="n">
        <v>0</v>
      </c>
      <c r="I5427" t="n">
        <v>0</v>
      </c>
      <c r="J5427" t="n">
        <v>0</v>
      </c>
      <c r="K5427" t="n">
        <v>0</v>
      </c>
      <c r="L5427" t="n">
        <v>0</v>
      </c>
      <c r="M5427" t="n">
        <v>0</v>
      </c>
      <c r="N5427" t="n">
        <v>0</v>
      </c>
      <c r="O5427" t="n">
        <v>0</v>
      </c>
      <c r="P5427" t="n">
        <v>0</v>
      </c>
      <c r="Q5427" t="n">
        <v>0</v>
      </c>
      <c r="R5427" s="2" t="inlineStr"/>
    </row>
    <row r="5428" ht="15" customHeight="1">
      <c r="A5428" t="inlineStr">
        <is>
          <t>A 53747-2021</t>
        </is>
      </c>
      <c r="B5428" s="1" t="n">
        <v>44469</v>
      </c>
      <c r="C5428" s="1" t="n">
        <v>45810</v>
      </c>
      <c r="D5428" t="inlineStr">
        <is>
          <t>VÄRMLANDS LÄN</t>
        </is>
      </c>
      <c r="E5428" t="inlineStr">
        <is>
          <t>ÅRJÄNG</t>
        </is>
      </c>
      <c r="G5428" t="n">
        <v>11.3</v>
      </c>
      <c r="H5428" t="n">
        <v>0</v>
      </c>
      <c r="I5428" t="n">
        <v>0</v>
      </c>
      <c r="J5428" t="n">
        <v>0</v>
      </c>
      <c r="K5428" t="n">
        <v>0</v>
      </c>
      <c r="L5428" t="n">
        <v>0</v>
      </c>
      <c r="M5428" t="n">
        <v>0</v>
      </c>
      <c r="N5428" t="n">
        <v>0</v>
      </c>
      <c r="O5428" t="n">
        <v>0</v>
      </c>
      <c r="P5428" t="n">
        <v>0</v>
      </c>
      <c r="Q5428" t="n">
        <v>0</v>
      </c>
      <c r="R5428" s="2" t="inlineStr"/>
    </row>
    <row r="5429" ht="15" customHeight="1">
      <c r="A5429" t="inlineStr">
        <is>
          <t>A 53757-2021</t>
        </is>
      </c>
      <c r="B5429" s="1" t="n">
        <v>44469</v>
      </c>
      <c r="C5429" s="1" t="n">
        <v>45810</v>
      </c>
      <c r="D5429" t="inlineStr">
        <is>
          <t>VÄRMLANDS LÄN</t>
        </is>
      </c>
      <c r="E5429" t="inlineStr">
        <is>
          <t>HAGFORS</t>
        </is>
      </c>
      <c r="F5429" t="inlineStr">
        <is>
          <t>Kyrkan</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53739-2021</t>
        </is>
      </c>
      <c r="B5430" s="1" t="n">
        <v>44469</v>
      </c>
      <c r="C5430" s="1" t="n">
        <v>45810</v>
      </c>
      <c r="D5430" t="inlineStr">
        <is>
          <t>VÄRMLANDS LÄN</t>
        </is>
      </c>
      <c r="E5430" t="inlineStr">
        <is>
          <t>ÅRJÄNG</t>
        </is>
      </c>
      <c r="G5430" t="n">
        <v>15.9</v>
      </c>
      <c r="H5430" t="n">
        <v>0</v>
      </c>
      <c r="I5430" t="n">
        <v>0</v>
      </c>
      <c r="J5430" t="n">
        <v>0</v>
      </c>
      <c r="K5430" t="n">
        <v>0</v>
      </c>
      <c r="L5430" t="n">
        <v>0</v>
      </c>
      <c r="M5430" t="n">
        <v>0</v>
      </c>
      <c r="N5430" t="n">
        <v>0</v>
      </c>
      <c r="O5430" t="n">
        <v>0</v>
      </c>
      <c r="P5430" t="n">
        <v>0</v>
      </c>
      <c r="Q5430" t="n">
        <v>0</v>
      </c>
      <c r="R5430" s="2" t="inlineStr"/>
    </row>
    <row r="5431" ht="15" customHeight="1">
      <c r="A5431" t="inlineStr">
        <is>
          <t>A 53753-2021</t>
        </is>
      </c>
      <c r="B5431" s="1" t="n">
        <v>44469</v>
      </c>
      <c r="C5431" s="1" t="n">
        <v>45810</v>
      </c>
      <c r="D5431" t="inlineStr">
        <is>
          <t>VÄRMLANDS LÄN</t>
        </is>
      </c>
      <c r="E5431" t="inlineStr">
        <is>
          <t>ÅRJÄNG</t>
        </is>
      </c>
      <c r="G5431" t="n">
        <v>17.2</v>
      </c>
      <c r="H5431" t="n">
        <v>0</v>
      </c>
      <c r="I5431" t="n">
        <v>0</v>
      </c>
      <c r="J5431" t="n">
        <v>0</v>
      </c>
      <c r="K5431" t="n">
        <v>0</v>
      </c>
      <c r="L5431" t="n">
        <v>0</v>
      </c>
      <c r="M5431" t="n">
        <v>0</v>
      </c>
      <c r="N5431" t="n">
        <v>0</v>
      </c>
      <c r="O5431" t="n">
        <v>0</v>
      </c>
      <c r="P5431" t="n">
        <v>0</v>
      </c>
      <c r="Q5431" t="n">
        <v>0</v>
      </c>
      <c r="R5431" s="2" t="inlineStr"/>
    </row>
    <row r="5432" ht="15" customHeight="1">
      <c r="A5432" t="inlineStr">
        <is>
          <t>A 53765-2021</t>
        </is>
      </c>
      <c r="B5432" s="1" t="n">
        <v>44469</v>
      </c>
      <c r="C5432" s="1" t="n">
        <v>45810</v>
      </c>
      <c r="D5432" t="inlineStr">
        <is>
          <t>VÄRMLANDS LÄN</t>
        </is>
      </c>
      <c r="E5432" t="inlineStr">
        <is>
          <t>EDA</t>
        </is>
      </c>
      <c r="G5432" t="n">
        <v>6</v>
      </c>
      <c r="H5432" t="n">
        <v>0</v>
      </c>
      <c r="I5432" t="n">
        <v>0</v>
      </c>
      <c r="J5432" t="n">
        <v>0</v>
      </c>
      <c r="K5432" t="n">
        <v>0</v>
      </c>
      <c r="L5432" t="n">
        <v>0</v>
      </c>
      <c r="M5432" t="n">
        <v>0</v>
      </c>
      <c r="N5432" t="n">
        <v>0</v>
      </c>
      <c r="O5432" t="n">
        <v>0</v>
      </c>
      <c r="P5432" t="n">
        <v>0</v>
      </c>
      <c r="Q5432" t="n">
        <v>0</v>
      </c>
      <c r="R5432" s="2" t="inlineStr"/>
    </row>
    <row r="5433" ht="15" customHeight="1">
      <c r="A5433" t="inlineStr">
        <is>
          <t>A 53824-2021</t>
        </is>
      </c>
      <c r="B5433" s="1" t="n">
        <v>44469</v>
      </c>
      <c r="C5433" s="1" t="n">
        <v>45810</v>
      </c>
      <c r="D5433" t="inlineStr">
        <is>
          <t>VÄRMLANDS LÄN</t>
        </is>
      </c>
      <c r="E5433" t="inlineStr">
        <is>
          <t>HAGFORS</t>
        </is>
      </c>
      <c r="F5433" t="inlineStr">
        <is>
          <t>Bergvik skog väst AB</t>
        </is>
      </c>
      <c r="G5433" t="n">
        <v>4.4</v>
      </c>
      <c r="H5433" t="n">
        <v>0</v>
      </c>
      <c r="I5433" t="n">
        <v>0</v>
      </c>
      <c r="J5433" t="n">
        <v>0</v>
      </c>
      <c r="K5433" t="n">
        <v>0</v>
      </c>
      <c r="L5433" t="n">
        <v>0</v>
      </c>
      <c r="M5433" t="n">
        <v>0</v>
      </c>
      <c r="N5433" t="n">
        <v>0</v>
      </c>
      <c r="O5433" t="n">
        <v>0</v>
      </c>
      <c r="P5433" t="n">
        <v>0</v>
      </c>
      <c r="Q5433" t="n">
        <v>0</v>
      </c>
      <c r="R5433" s="2" t="inlineStr"/>
    </row>
    <row r="5434" ht="15" customHeight="1">
      <c r="A5434" t="inlineStr">
        <is>
          <t>A 53978-2021</t>
        </is>
      </c>
      <c r="B5434" s="1" t="n">
        <v>44470</v>
      </c>
      <c r="C5434" s="1" t="n">
        <v>45810</v>
      </c>
      <c r="D5434" t="inlineStr">
        <is>
          <t>VÄRMLANDS LÄN</t>
        </is>
      </c>
      <c r="E5434" t="inlineStr">
        <is>
          <t>EDA</t>
        </is>
      </c>
      <c r="G5434" t="n">
        <v>3</v>
      </c>
      <c r="H5434" t="n">
        <v>0</v>
      </c>
      <c r="I5434" t="n">
        <v>0</v>
      </c>
      <c r="J5434" t="n">
        <v>0</v>
      </c>
      <c r="K5434" t="n">
        <v>0</v>
      </c>
      <c r="L5434" t="n">
        <v>0</v>
      </c>
      <c r="M5434" t="n">
        <v>0</v>
      </c>
      <c r="N5434" t="n">
        <v>0</v>
      </c>
      <c r="O5434" t="n">
        <v>0</v>
      </c>
      <c r="P5434" t="n">
        <v>0</v>
      </c>
      <c r="Q5434" t="n">
        <v>0</v>
      </c>
      <c r="R5434" s="2" t="inlineStr"/>
    </row>
    <row r="5435" ht="15" customHeight="1">
      <c r="A5435" t="inlineStr">
        <is>
          <t>A 53972-2021</t>
        </is>
      </c>
      <c r="B5435" s="1" t="n">
        <v>44470</v>
      </c>
      <c r="C5435" s="1" t="n">
        <v>45810</v>
      </c>
      <c r="D5435" t="inlineStr">
        <is>
          <t>VÄRMLANDS LÄN</t>
        </is>
      </c>
      <c r="E5435" t="inlineStr">
        <is>
          <t>EDA</t>
        </is>
      </c>
      <c r="G5435" t="n">
        <v>10.5</v>
      </c>
      <c r="H5435" t="n">
        <v>0</v>
      </c>
      <c r="I5435" t="n">
        <v>0</v>
      </c>
      <c r="J5435" t="n">
        <v>0</v>
      </c>
      <c r="K5435" t="n">
        <v>0</v>
      </c>
      <c r="L5435" t="n">
        <v>0</v>
      </c>
      <c r="M5435" t="n">
        <v>0</v>
      </c>
      <c r="N5435" t="n">
        <v>0</v>
      </c>
      <c r="O5435" t="n">
        <v>0</v>
      </c>
      <c r="P5435" t="n">
        <v>0</v>
      </c>
      <c r="Q5435" t="n">
        <v>0</v>
      </c>
      <c r="R5435" s="2" t="inlineStr"/>
    </row>
    <row r="5436" ht="15" customHeight="1">
      <c r="A5436" t="inlineStr">
        <is>
          <t>A 54029-2021</t>
        </is>
      </c>
      <c r="B5436" s="1" t="n">
        <v>44470</v>
      </c>
      <c r="C5436" s="1" t="n">
        <v>45810</v>
      </c>
      <c r="D5436" t="inlineStr">
        <is>
          <t>VÄRMLANDS LÄN</t>
        </is>
      </c>
      <c r="E5436" t="inlineStr">
        <is>
          <t>TORSBY</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54008-2021</t>
        </is>
      </c>
      <c r="B5437" s="1" t="n">
        <v>44470</v>
      </c>
      <c r="C5437" s="1" t="n">
        <v>45810</v>
      </c>
      <c r="D5437" t="inlineStr">
        <is>
          <t>VÄRMLANDS LÄN</t>
        </is>
      </c>
      <c r="E5437" t="inlineStr">
        <is>
          <t>FILIPSTAD</t>
        </is>
      </c>
      <c r="G5437" t="n">
        <v>2.1</v>
      </c>
      <c r="H5437" t="n">
        <v>0</v>
      </c>
      <c r="I5437" t="n">
        <v>0</v>
      </c>
      <c r="J5437" t="n">
        <v>0</v>
      </c>
      <c r="K5437" t="n">
        <v>0</v>
      </c>
      <c r="L5437" t="n">
        <v>0</v>
      </c>
      <c r="M5437" t="n">
        <v>0</v>
      </c>
      <c r="N5437" t="n">
        <v>0</v>
      </c>
      <c r="O5437" t="n">
        <v>0</v>
      </c>
      <c r="P5437" t="n">
        <v>0</v>
      </c>
      <c r="Q5437" t="n">
        <v>0</v>
      </c>
      <c r="R5437" s="2" t="inlineStr"/>
    </row>
    <row r="5438" ht="15" customHeight="1">
      <c r="A5438" t="inlineStr">
        <is>
          <t>A 54033-2021</t>
        </is>
      </c>
      <c r="B5438" s="1" t="n">
        <v>44470</v>
      </c>
      <c r="C5438" s="1" t="n">
        <v>45810</v>
      </c>
      <c r="D5438" t="inlineStr">
        <is>
          <t>VÄRMLANDS LÄN</t>
        </is>
      </c>
      <c r="E5438" t="inlineStr">
        <is>
          <t>TORSBY</t>
        </is>
      </c>
      <c r="G5438" t="n">
        <v>6</v>
      </c>
      <c r="H5438" t="n">
        <v>0</v>
      </c>
      <c r="I5438" t="n">
        <v>0</v>
      </c>
      <c r="J5438" t="n">
        <v>0</v>
      </c>
      <c r="K5438" t="n">
        <v>0</v>
      </c>
      <c r="L5438" t="n">
        <v>0</v>
      </c>
      <c r="M5438" t="n">
        <v>0</v>
      </c>
      <c r="N5438" t="n">
        <v>0</v>
      </c>
      <c r="O5438" t="n">
        <v>0</v>
      </c>
      <c r="P5438" t="n">
        <v>0</v>
      </c>
      <c r="Q5438" t="n">
        <v>0</v>
      </c>
      <c r="R5438" s="2" t="inlineStr"/>
    </row>
    <row r="5439" ht="15" customHeight="1">
      <c r="A5439" t="inlineStr">
        <is>
          <t>A 54140-2021</t>
        </is>
      </c>
      <c r="B5439" s="1" t="n">
        <v>44470</v>
      </c>
      <c r="C5439" s="1" t="n">
        <v>45810</v>
      </c>
      <c r="D5439" t="inlineStr">
        <is>
          <t>VÄRMLANDS LÄN</t>
        </is>
      </c>
      <c r="E5439" t="inlineStr">
        <is>
          <t>KRISTINEHAMN</t>
        </is>
      </c>
      <c r="F5439" t="inlineStr">
        <is>
          <t>Sveaskog</t>
        </is>
      </c>
      <c r="G5439" t="n">
        <v>4</v>
      </c>
      <c r="H5439" t="n">
        <v>0</v>
      </c>
      <c r="I5439" t="n">
        <v>0</v>
      </c>
      <c r="J5439" t="n">
        <v>0</v>
      </c>
      <c r="K5439" t="n">
        <v>0</v>
      </c>
      <c r="L5439" t="n">
        <v>0</v>
      </c>
      <c r="M5439" t="n">
        <v>0</v>
      </c>
      <c r="N5439" t="n">
        <v>0</v>
      </c>
      <c r="O5439" t="n">
        <v>0</v>
      </c>
      <c r="P5439" t="n">
        <v>0</v>
      </c>
      <c r="Q5439" t="n">
        <v>0</v>
      </c>
      <c r="R5439" s="2" t="inlineStr"/>
    </row>
    <row r="5440" ht="15" customHeight="1">
      <c r="A5440" t="inlineStr">
        <is>
          <t>A 54189-2021</t>
        </is>
      </c>
      <c r="B5440" s="1" t="n">
        <v>44470</v>
      </c>
      <c r="C5440" s="1" t="n">
        <v>45810</v>
      </c>
      <c r="D5440" t="inlineStr">
        <is>
          <t>VÄRMLANDS LÄN</t>
        </is>
      </c>
      <c r="E5440" t="inlineStr">
        <is>
          <t>FORSHAGA</t>
        </is>
      </c>
      <c r="F5440" t="inlineStr">
        <is>
          <t>Bergvik skog väst AB</t>
        </is>
      </c>
      <c r="G5440" t="n">
        <v>24.8</v>
      </c>
      <c r="H5440" t="n">
        <v>0</v>
      </c>
      <c r="I5440" t="n">
        <v>0</v>
      </c>
      <c r="J5440" t="n">
        <v>0</v>
      </c>
      <c r="K5440" t="n">
        <v>0</v>
      </c>
      <c r="L5440" t="n">
        <v>0</v>
      </c>
      <c r="M5440" t="n">
        <v>0</v>
      </c>
      <c r="N5440" t="n">
        <v>0</v>
      </c>
      <c r="O5440" t="n">
        <v>0</v>
      </c>
      <c r="P5440" t="n">
        <v>0</v>
      </c>
      <c r="Q5440" t="n">
        <v>0</v>
      </c>
      <c r="R5440" s="2" t="inlineStr"/>
    </row>
    <row r="5441" ht="15" customHeight="1">
      <c r="A5441" t="inlineStr">
        <is>
          <t>A 54261-2021</t>
        </is>
      </c>
      <c r="B5441" s="1" t="n">
        <v>44470</v>
      </c>
      <c r="C5441" s="1" t="n">
        <v>45810</v>
      </c>
      <c r="D5441" t="inlineStr">
        <is>
          <t>VÄRMLANDS LÄN</t>
        </is>
      </c>
      <c r="E5441" t="inlineStr">
        <is>
          <t>ARVIKA</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54186-2021</t>
        </is>
      </c>
      <c r="B5442" s="1" t="n">
        <v>44470</v>
      </c>
      <c r="C5442" s="1" t="n">
        <v>45810</v>
      </c>
      <c r="D5442" t="inlineStr">
        <is>
          <t>VÄRMLANDS LÄN</t>
        </is>
      </c>
      <c r="E5442" t="inlineStr">
        <is>
          <t>SUNNE</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54211-2021</t>
        </is>
      </c>
      <c r="B5443" s="1" t="n">
        <v>44470</v>
      </c>
      <c r="C5443" s="1" t="n">
        <v>45810</v>
      </c>
      <c r="D5443" t="inlineStr">
        <is>
          <t>VÄRMLANDS LÄN</t>
        </is>
      </c>
      <c r="E5443" t="inlineStr">
        <is>
          <t>ARVIKA</t>
        </is>
      </c>
      <c r="G5443" t="n">
        <v>4.7</v>
      </c>
      <c r="H5443" t="n">
        <v>0</v>
      </c>
      <c r="I5443" t="n">
        <v>0</v>
      </c>
      <c r="J5443" t="n">
        <v>0</v>
      </c>
      <c r="K5443" t="n">
        <v>0</v>
      </c>
      <c r="L5443" t="n">
        <v>0</v>
      </c>
      <c r="M5443" t="n">
        <v>0</v>
      </c>
      <c r="N5443" t="n">
        <v>0</v>
      </c>
      <c r="O5443" t="n">
        <v>0</v>
      </c>
      <c r="P5443" t="n">
        <v>0</v>
      </c>
      <c r="Q5443" t="n">
        <v>0</v>
      </c>
      <c r="R5443" s="2" t="inlineStr"/>
    </row>
    <row r="5444" ht="15" customHeight="1">
      <c r="A5444" t="inlineStr">
        <is>
          <t>A 54247-2021</t>
        </is>
      </c>
      <c r="B5444" s="1" t="n">
        <v>44470</v>
      </c>
      <c r="C5444" s="1" t="n">
        <v>45810</v>
      </c>
      <c r="D5444" t="inlineStr">
        <is>
          <t>VÄRMLANDS LÄN</t>
        </is>
      </c>
      <c r="E5444" t="inlineStr">
        <is>
          <t>FILIPSTAD</t>
        </is>
      </c>
      <c r="F5444" t="inlineStr">
        <is>
          <t>Bergvik skog väst AB</t>
        </is>
      </c>
      <c r="G5444" t="n">
        <v>7</v>
      </c>
      <c r="H5444" t="n">
        <v>0</v>
      </c>
      <c r="I5444" t="n">
        <v>0</v>
      </c>
      <c r="J5444" t="n">
        <v>0</v>
      </c>
      <c r="K5444" t="n">
        <v>0</v>
      </c>
      <c r="L5444" t="n">
        <v>0</v>
      </c>
      <c r="M5444" t="n">
        <v>0</v>
      </c>
      <c r="N5444" t="n">
        <v>0</v>
      </c>
      <c r="O5444" t="n">
        <v>0</v>
      </c>
      <c r="P5444" t="n">
        <v>0</v>
      </c>
      <c r="Q5444" t="n">
        <v>0</v>
      </c>
      <c r="R5444" s="2" t="inlineStr"/>
    </row>
    <row r="5445" ht="15" customHeight="1">
      <c r="A5445" t="inlineStr">
        <is>
          <t>A 54335-2021</t>
        </is>
      </c>
      <c r="B5445" s="1" t="n">
        <v>44473</v>
      </c>
      <c r="C5445" s="1" t="n">
        <v>45810</v>
      </c>
      <c r="D5445" t="inlineStr">
        <is>
          <t>VÄRMLANDS LÄN</t>
        </is>
      </c>
      <c r="E5445" t="inlineStr">
        <is>
          <t>ÅRJÄNG</t>
        </is>
      </c>
      <c r="G5445" t="n">
        <v>5.5</v>
      </c>
      <c r="H5445" t="n">
        <v>0</v>
      </c>
      <c r="I5445" t="n">
        <v>0</v>
      </c>
      <c r="J5445" t="n">
        <v>0</v>
      </c>
      <c r="K5445" t="n">
        <v>0</v>
      </c>
      <c r="L5445" t="n">
        <v>0</v>
      </c>
      <c r="M5445" t="n">
        <v>0</v>
      </c>
      <c r="N5445" t="n">
        <v>0</v>
      </c>
      <c r="O5445" t="n">
        <v>0</v>
      </c>
      <c r="P5445" t="n">
        <v>0</v>
      </c>
      <c r="Q5445" t="n">
        <v>0</v>
      </c>
      <c r="R5445" s="2" t="inlineStr"/>
    </row>
    <row r="5446" ht="15" customHeight="1">
      <c r="A5446" t="inlineStr">
        <is>
          <t>A 54430-2021</t>
        </is>
      </c>
      <c r="B5446" s="1" t="n">
        <v>44473</v>
      </c>
      <c r="C5446" s="1" t="n">
        <v>45810</v>
      </c>
      <c r="D5446" t="inlineStr">
        <is>
          <t>VÄRMLANDS LÄN</t>
        </is>
      </c>
      <c r="E5446" t="inlineStr">
        <is>
          <t>SÄFFLE</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54581-2021</t>
        </is>
      </c>
      <c r="B5447" s="1" t="n">
        <v>44473</v>
      </c>
      <c r="C5447" s="1" t="n">
        <v>45810</v>
      </c>
      <c r="D5447" t="inlineStr">
        <is>
          <t>VÄRMLANDS LÄN</t>
        </is>
      </c>
      <c r="E5447" t="inlineStr">
        <is>
          <t>ÅRJÄNG</t>
        </is>
      </c>
      <c r="G5447" t="n">
        <v>0.9</v>
      </c>
      <c r="H5447" t="n">
        <v>0</v>
      </c>
      <c r="I5447" t="n">
        <v>0</v>
      </c>
      <c r="J5447" t="n">
        <v>0</v>
      </c>
      <c r="K5447" t="n">
        <v>0</v>
      </c>
      <c r="L5447" t="n">
        <v>0</v>
      </c>
      <c r="M5447" t="n">
        <v>0</v>
      </c>
      <c r="N5447" t="n">
        <v>0</v>
      </c>
      <c r="O5447" t="n">
        <v>0</v>
      </c>
      <c r="P5447" t="n">
        <v>0</v>
      </c>
      <c r="Q5447" t="n">
        <v>0</v>
      </c>
      <c r="R5447" s="2" t="inlineStr"/>
    </row>
    <row r="5448" ht="15" customHeight="1">
      <c r="A5448" t="inlineStr">
        <is>
          <t>A 54603-2021</t>
        </is>
      </c>
      <c r="B5448" s="1" t="n">
        <v>44473</v>
      </c>
      <c r="C5448" s="1" t="n">
        <v>45810</v>
      </c>
      <c r="D5448" t="inlineStr">
        <is>
          <t>VÄRMLANDS LÄN</t>
        </is>
      </c>
      <c r="E5448" t="inlineStr">
        <is>
          <t>KRISTINEHAMN</t>
        </is>
      </c>
      <c r="G5448" t="n">
        <v>0.4</v>
      </c>
      <c r="H5448" t="n">
        <v>0</v>
      </c>
      <c r="I5448" t="n">
        <v>0</v>
      </c>
      <c r="J5448" t="n">
        <v>0</v>
      </c>
      <c r="K5448" t="n">
        <v>0</v>
      </c>
      <c r="L5448" t="n">
        <v>0</v>
      </c>
      <c r="M5448" t="n">
        <v>0</v>
      </c>
      <c r="N5448" t="n">
        <v>0</v>
      </c>
      <c r="O5448" t="n">
        <v>0</v>
      </c>
      <c r="P5448" t="n">
        <v>0</v>
      </c>
      <c r="Q5448" t="n">
        <v>0</v>
      </c>
      <c r="R5448" s="2" t="inlineStr"/>
    </row>
    <row r="5449" ht="15" customHeight="1">
      <c r="A5449" t="inlineStr">
        <is>
          <t>A 54606-2021</t>
        </is>
      </c>
      <c r="B5449" s="1" t="n">
        <v>44473</v>
      </c>
      <c r="C5449" s="1" t="n">
        <v>45810</v>
      </c>
      <c r="D5449" t="inlineStr">
        <is>
          <t>VÄRMLANDS LÄN</t>
        </is>
      </c>
      <c r="E5449" t="inlineStr">
        <is>
          <t>KRISTINEHAMN</t>
        </is>
      </c>
      <c r="G5449" t="n">
        <v>0.4</v>
      </c>
      <c r="H5449" t="n">
        <v>0</v>
      </c>
      <c r="I5449" t="n">
        <v>0</v>
      </c>
      <c r="J5449" t="n">
        <v>0</v>
      </c>
      <c r="K5449" t="n">
        <v>0</v>
      </c>
      <c r="L5449" t="n">
        <v>0</v>
      </c>
      <c r="M5449" t="n">
        <v>0</v>
      </c>
      <c r="N5449" t="n">
        <v>0</v>
      </c>
      <c r="O5449" t="n">
        <v>0</v>
      </c>
      <c r="P5449" t="n">
        <v>0</v>
      </c>
      <c r="Q5449" t="n">
        <v>0</v>
      </c>
      <c r="R5449" s="2" t="inlineStr"/>
    </row>
    <row r="5450" ht="15" customHeight="1">
      <c r="A5450" t="inlineStr">
        <is>
          <t>A 54677-2021</t>
        </is>
      </c>
      <c r="B5450" s="1" t="n">
        <v>44473</v>
      </c>
      <c r="C5450" s="1" t="n">
        <v>45810</v>
      </c>
      <c r="D5450" t="inlineStr">
        <is>
          <t>VÄRMLANDS LÄN</t>
        </is>
      </c>
      <c r="E5450" t="inlineStr">
        <is>
          <t>ARVIKA</t>
        </is>
      </c>
      <c r="F5450" t="inlineStr">
        <is>
          <t>Bergvik skog väst AB</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54692-2021</t>
        </is>
      </c>
      <c r="B5451" s="1" t="n">
        <v>44473</v>
      </c>
      <c r="C5451" s="1" t="n">
        <v>45810</v>
      </c>
      <c r="D5451" t="inlineStr">
        <is>
          <t>VÄRMLANDS LÄN</t>
        </is>
      </c>
      <c r="E5451" t="inlineStr">
        <is>
          <t>SÄFFLE</t>
        </is>
      </c>
      <c r="F5451" t="inlineStr">
        <is>
          <t>Bergvik skog väst AB</t>
        </is>
      </c>
      <c r="G5451" t="n">
        <v>30.3</v>
      </c>
      <c r="H5451" t="n">
        <v>0</v>
      </c>
      <c r="I5451" t="n">
        <v>0</v>
      </c>
      <c r="J5451" t="n">
        <v>0</v>
      </c>
      <c r="K5451" t="n">
        <v>0</v>
      </c>
      <c r="L5451" t="n">
        <v>0</v>
      </c>
      <c r="M5451" t="n">
        <v>0</v>
      </c>
      <c r="N5451" t="n">
        <v>0</v>
      </c>
      <c r="O5451" t="n">
        <v>0</v>
      </c>
      <c r="P5451" t="n">
        <v>0</v>
      </c>
      <c r="Q5451" t="n">
        <v>0</v>
      </c>
      <c r="R5451" s="2" t="inlineStr"/>
    </row>
    <row r="5452" ht="15" customHeight="1">
      <c r="A5452" t="inlineStr">
        <is>
          <t>A 54999-2021</t>
        </is>
      </c>
      <c r="B5452" s="1" t="n">
        <v>44473</v>
      </c>
      <c r="C5452" s="1" t="n">
        <v>45810</v>
      </c>
      <c r="D5452" t="inlineStr">
        <is>
          <t>VÄRMLANDS LÄN</t>
        </is>
      </c>
      <c r="E5452" t="inlineStr">
        <is>
          <t>SUNNE</t>
        </is>
      </c>
      <c r="G5452" t="n">
        <v>4.6</v>
      </c>
      <c r="H5452" t="n">
        <v>0</v>
      </c>
      <c r="I5452" t="n">
        <v>0</v>
      </c>
      <c r="J5452" t="n">
        <v>0</v>
      </c>
      <c r="K5452" t="n">
        <v>0</v>
      </c>
      <c r="L5452" t="n">
        <v>0</v>
      </c>
      <c r="M5452" t="n">
        <v>0</v>
      </c>
      <c r="N5452" t="n">
        <v>0</v>
      </c>
      <c r="O5452" t="n">
        <v>0</v>
      </c>
      <c r="P5452" t="n">
        <v>0</v>
      </c>
      <c r="Q5452" t="n">
        <v>0</v>
      </c>
      <c r="R5452" s="2" t="inlineStr"/>
    </row>
    <row r="5453" ht="15" customHeight="1">
      <c r="A5453" t="inlineStr">
        <is>
          <t>A 55011-2021</t>
        </is>
      </c>
      <c r="B5453" s="1" t="n">
        <v>44474</v>
      </c>
      <c r="C5453" s="1" t="n">
        <v>45810</v>
      </c>
      <c r="D5453" t="inlineStr">
        <is>
          <t>VÄRMLANDS LÄN</t>
        </is>
      </c>
      <c r="E5453" t="inlineStr">
        <is>
          <t>EDA</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55059-2021</t>
        </is>
      </c>
      <c r="B5454" s="1" t="n">
        <v>44474</v>
      </c>
      <c r="C5454" s="1" t="n">
        <v>45810</v>
      </c>
      <c r="D5454" t="inlineStr">
        <is>
          <t>VÄRMLANDS LÄN</t>
        </is>
      </c>
      <c r="E5454" t="inlineStr">
        <is>
          <t>KIL</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55003-2021</t>
        </is>
      </c>
      <c r="B5455" s="1" t="n">
        <v>44474</v>
      </c>
      <c r="C5455" s="1" t="n">
        <v>45810</v>
      </c>
      <c r="D5455" t="inlineStr">
        <is>
          <t>VÄRMLANDS LÄN</t>
        </is>
      </c>
      <c r="E5455" t="inlineStr">
        <is>
          <t>KRISTINEHAMN</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55070-2021</t>
        </is>
      </c>
      <c r="B5456" s="1" t="n">
        <v>44474</v>
      </c>
      <c r="C5456" s="1" t="n">
        <v>45810</v>
      </c>
      <c r="D5456" t="inlineStr">
        <is>
          <t>VÄRMLANDS LÄN</t>
        </is>
      </c>
      <c r="E5456" t="inlineStr">
        <is>
          <t>KIL</t>
        </is>
      </c>
      <c r="G5456" t="n">
        <v>2.2</v>
      </c>
      <c r="H5456" t="n">
        <v>0</v>
      </c>
      <c r="I5456" t="n">
        <v>0</v>
      </c>
      <c r="J5456" t="n">
        <v>0</v>
      </c>
      <c r="K5456" t="n">
        <v>0</v>
      </c>
      <c r="L5456" t="n">
        <v>0</v>
      </c>
      <c r="M5456" t="n">
        <v>0</v>
      </c>
      <c r="N5456" t="n">
        <v>0</v>
      </c>
      <c r="O5456" t="n">
        <v>0</v>
      </c>
      <c r="P5456" t="n">
        <v>0</v>
      </c>
      <c r="Q5456" t="n">
        <v>0</v>
      </c>
      <c r="R5456" s="2" t="inlineStr"/>
    </row>
    <row r="5457" ht="15" customHeight="1">
      <c r="A5457" t="inlineStr">
        <is>
          <t>A 55111-2021</t>
        </is>
      </c>
      <c r="B5457" s="1" t="n">
        <v>44474</v>
      </c>
      <c r="C5457" s="1" t="n">
        <v>45810</v>
      </c>
      <c r="D5457" t="inlineStr">
        <is>
          <t>VÄRMLANDS LÄN</t>
        </is>
      </c>
      <c r="E5457" t="inlineStr">
        <is>
          <t>KARLSTAD</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54849-2021</t>
        </is>
      </c>
      <c r="B5458" s="1" t="n">
        <v>44474</v>
      </c>
      <c r="C5458" s="1" t="n">
        <v>45810</v>
      </c>
      <c r="D5458" t="inlineStr">
        <is>
          <t>VÄRMLANDS LÄN</t>
        </is>
      </c>
      <c r="E5458" t="inlineStr">
        <is>
          <t>EDA</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54865-2021</t>
        </is>
      </c>
      <c r="B5459" s="1" t="n">
        <v>44474</v>
      </c>
      <c r="C5459" s="1" t="n">
        <v>45810</v>
      </c>
      <c r="D5459" t="inlineStr">
        <is>
          <t>VÄRMLANDS LÄN</t>
        </is>
      </c>
      <c r="E5459" t="inlineStr">
        <is>
          <t>SUNNE</t>
        </is>
      </c>
      <c r="G5459" t="n">
        <v>15.2</v>
      </c>
      <c r="H5459" t="n">
        <v>0</v>
      </c>
      <c r="I5459" t="n">
        <v>0</v>
      </c>
      <c r="J5459" t="n">
        <v>0</v>
      </c>
      <c r="K5459" t="n">
        <v>0</v>
      </c>
      <c r="L5459" t="n">
        <v>0</v>
      </c>
      <c r="M5459" t="n">
        <v>0</v>
      </c>
      <c r="N5459" t="n">
        <v>0</v>
      </c>
      <c r="O5459" t="n">
        <v>0</v>
      </c>
      <c r="P5459" t="n">
        <v>0</v>
      </c>
      <c r="Q5459" t="n">
        <v>0</v>
      </c>
      <c r="R5459" s="2" t="inlineStr"/>
    </row>
    <row r="5460" ht="15" customHeight="1">
      <c r="A5460" t="inlineStr">
        <is>
          <t>A 55110-2021</t>
        </is>
      </c>
      <c r="B5460" s="1" t="n">
        <v>44474</v>
      </c>
      <c r="C5460" s="1" t="n">
        <v>45810</v>
      </c>
      <c r="D5460" t="inlineStr">
        <is>
          <t>VÄRMLANDS LÄN</t>
        </is>
      </c>
      <c r="E5460" t="inlineStr">
        <is>
          <t>KARLSTAD</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54905-2021</t>
        </is>
      </c>
      <c r="B5461" s="1" t="n">
        <v>44474</v>
      </c>
      <c r="C5461" s="1" t="n">
        <v>45810</v>
      </c>
      <c r="D5461" t="inlineStr">
        <is>
          <t>VÄRMLANDS LÄN</t>
        </is>
      </c>
      <c r="E5461" t="inlineStr">
        <is>
          <t>SUNNE</t>
        </is>
      </c>
      <c r="G5461" t="n">
        <v>4.7</v>
      </c>
      <c r="H5461" t="n">
        <v>0</v>
      </c>
      <c r="I5461" t="n">
        <v>0</v>
      </c>
      <c r="J5461" t="n">
        <v>0</v>
      </c>
      <c r="K5461" t="n">
        <v>0</v>
      </c>
      <c r="L5461" t="n">
        <v>0</v>
      </c>
      <c r="M5461" t="n">
        <v>0</v>
      </c>
      <c r="N5461" t="n">
        <v>0</v>
      </c>
      <c r="O5461" t="n">
        <v>0</v>
      </c>
      <c r="P5461" t="n">
        <v>0</v>
      </c>
      <c r="Q5461" t="n">
        <v>0</v>
      </c>
      <c r="R5461" s="2" t="inlineStr"/>
    </row>
    <row r="5462" ht="15" customHeight="1">
      <c r="A5462" t="inlineStr">
        <is>
          <t>A 55256-2021</t>
        </is>
      </c>
      <c r="B5462" s="1" t="n">
        <v>44475</v>
      </c>
      <c r="C5462" s="1" t="n">
        <v>45810</v>
      </c>
      <c r="D5462" t="inlineStr">
        <is>
          <t>VÄRMLANDS LÄN</t>
        </is>
      </c>
      <c r="E5462" t="inlineStr">
        <is>
          <t>KARLSTAD</t>
        </is>
      </c>
      <c r="F5462" t="inlineStr">
        <is>
          <t>Kommuner</t>
        </is>
      </c>
      <c r="G5462" t="n">
        <v>3.9</v>
      </c>
      <c r="H5462" t="n">
        <v>0</v>
      </c>
      <c r="I5462" t="n">
        <v>0</v>
      </c>
      <c r="J5462" t="n">
        <v>0</v>
      </c>
      <c r="K5462" t="n">
        <v>0</v>
      </c>
      <c r="L5462" t="n">
        <v>0</v>
      </c>
      <c r="M5462" t="n">
        <v>0</v>
      </c>
      <c r="N5462" t="n">
        <v>0</v>
      </c>
      <c r="O5462" t="n">
        <v>0</v>
      </c>
      <c r="P5462" t="n">
        <v>0</v>
      </c>
      <c r="Q5462" t="n">
        <v>0</v>
      </c>
      <c r="R5462" s="2" t="inlineStr"/>
    </row>
    <row r="5463" ht="15" customHeight="1">
      <c r="A5463" t="inlineStr">
        <is>
          <t>A 55277-2021</t>
        </is>
      </c>
      <c r="B5463" s="1" t="n">
        <v>44475</v>
      </c>
      <c r="C5463" s="1" t="n">
        <v>45810</v>
      </c>
      <c r="D5463" t="inlineStr">
        <is>
          <t>VÄRMLANDS LÄN</t>
        </is>
      </c>
      <c r="E5463" t="inlineStr">
        <is>
          <t>KARLSTAD</t>
        </is>
      </c>
      <c r="F5463" t="inlineStr">
        <is>
          <t>Kommuner</t>
        </is>
      </c>
      <c r="G5463" t="n">
        <v>3.7</v>
      </c>
      <c r="H5463" t="n">
        <v>0</v>
      </c>
      <c r="I5463" t="n">
        <v>0</v>
      </c>
      <c r="J5463" t="n">
        <v>0</v>
      </c>
      <c r="K5463" t="n">
        <v>0</v>
      </c>
      <c r="L5463" t="n">
        <v>0</v>
      </c>
      <c r="M5463" t="n">
        <v>0</v>
      </c>
      <c r="N5463" t="n">
        <v>0</v>
      </c>
      <c r="O5463" t="n">
        <v>0</v>
      </c>
      <c r="P5463" t="n">
        <v>0</v>
      </c>
      <c r="Q5463" t="n">
        <v>0</v>
      </c>
      <c r="R5463" s="2" t="inlineStr"/>
    </row>
    <row r="5464" ht="15" customHeight="1">
      <c r="A5464" t="inlineStr">
        <is>
          <t>A 55423-2021</t>
        </is>
      </c>
      <c r="B5464" s="1" t="n">
        <v>44475</v>
      </c>
      <c r="C5464" s="1" t="n">
        <v>45810</v>
      </c>
      <c r="D5464" t="inlineStr">
        <is>
          <t>VÄRMLANDS LÄN</t>
        </is>
      </c>
      <c r="E5464" t="inlineStr">
        <is>
          <t>SUNNE</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55430-2021</t>
        </is>
      </c>
      <c r="B5465" s="1" t="n">
        <v>44475</v>
      </c>
      <c r="C5465" s="1" t="n">
        <v>45810</v>
      </c>
      <c r="D5465" t="inlineStr">
        <is>
          <t>VÄRMLANDS LÄN</t>
        </is>
      </c>
      <c r="E5465" t="inlineStr">
        <is>
          <t>SUNNE</t>
        </is>
      </c>
      <c r="G5465" t="n">
        <v>2.4</v>
      </c>
      <c r="H5465" t="n">
        <v>0</v>
      </c>
      <c r="I5465" t="n">
        <v>0</v>
      </c>
      <c r="J5465" t="n">
        <v>0</v>
      </c>
      <c r="K5465" t="n">
        <v>0</v>
      </c>
      <c r="L5465" t="n">
        <v>0</v>
      </c>
      <c r="M5465" t="n">
        <v>0</v>
      </c>
      <c r="N5465" t="n">
        <v>0</v>
      </c>
      <c r="O5465" t="n">
        <v>0</v>
      </c>
      <c r="P5465" t="n">
        <v>0</v>
      </c>
      <c r="Q5465" t="n">
        <v>0</v>
      </c>
      <c r="R5465" s="2" t="inlineStr"/>
    </row>
    <row r="5466" ht="15" customHeight="1">
      <c r="A5466" t="inlineStr">
        <is>
          <t>A 55515-2021</t>
        </is>
      </c>
      <c r="B5466" s="1" t="n">
        <v>44475</v>
      </c>
      <c r="C5466" s="1" t="n">
        <v>45810</v>
      </c>
      <c r="D5466" t="inlineStr">
        <is>
          <t>VÄRMLANDS LÄN</t>
        </is>
      </c>
      <c r="E5466" t="inlineStr">
        <is>
          <t>ARVIKA</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55548-2021</t>
        </is>
      </c>
      <c r="B5467" s="1" t="n">
        <v>44475</v>
      </c>
      <c r="C5467" s="1" t="n">
        <v>45810</v>
      </c>
      <c r="D5467" t="inlineStr">
        <is>
          <t>VÄRMLANDS LÄN</t>
        </is>
      </c>
      <c r="E5467" t="inlineStr">
        <is>
          <t>FILIPSTAD</t>
        </is>
      </c>
      <c r="F5467" t="inlineStr">
        <is>
          <t>Bergvik skog väst AB</t>
        </is>
      </c>
      <c r="G5467" t="n">
        <v>8.5</v>
      </c>
      <c r="H5467" t="n">
        <v>0</v>
      </c>
      <c r="I5467" t="n">
        <v>0</v>
      </c>
      <c r="J5467" t="n">
        <v>0</v>
      </c>
      <c r="K5467" t="n">
        <v>0</v>
      </c>
      <c r="L5467" t="n">
        <v>0</v>
      </c>
      <c r="M5467" t="n">
        <v>0</v>
      </c>
      <c r="N5467" t="n">
        <v>0</v>
      </c>
      <c r="O5467" t="n">
        <v>0</v>
      </c>
      <c r="P5467" t="n">
        <v>0</v>
      </c>
      <c r="Q5467" t="n">
        <v>0</v>
      </c>
      <c r="R5467" s="2" t="inlineStr"/>
    </row>
    <row r="5468" ht="15" customHeight="1">
      <c r="A5468" t="inlineStr">
        <is>
          <t>A 55518-2021</t>
        </is>
      </c>
      <c r="B5468" s="1" t="n">
        <v>44475</v>
      </c>
      <c r="C5468" s="1" t="n">
        <v>45810</v>
      </c>
      <c r="D5468" t="inlineStr">
        <is>
          <t>VÄRMLANDS LÄN</t>
        </is>
      </c>
      <c r="E5468" t="inlineStr">
        <is>
          <t>ARVIKA</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55564-2021</t>
        </is>
      </c>
      <c r="B5469" s="1" t="n">
        <v>44475</v>
      </c>
      <c r="C5469" s="1" t="n">
        <v>45810</v>
      </c>
      <c r="D5469" t="inlineStr">
        <is>
          <t>VÄRMLANDS LÄN</t>
        </is>
      </c>
      <c r="E5469" t="inlineStr">
        <is>
          <t>KARLSTAD</t>
        </is>
      </c>
      <c r="F5469" t="inlineStr">
        <is>
          <t>Övriga statliga verk och myndigheter</t>
        </is>
      </c>
      <c r="G5469" t="n">
        <v>11.2</v>
      </c>
      <c r="H5469" t="n">
        <v>0</v>
      </c>
      <c r="I5469" t="n">
        <v>0</v>
      </c>
      <c r="J5469" t="n">
        <v>0</v>
      </c>
      <c r="K5469" t="n">
        <v>0</v>
      </c>
      <c r="L5469" t="n">
        <v>0</v>
      </c>
      <c r="M5469" t="n">
        <v>0</v>
      </c>
      <c r="N5469" t="n">
        <v>0</v>
      </c>
      <c r="O5469" t="n">
        <v>0</v>
      </c>
      <c r="P5469" t="n">
        <v>0</v>
      </c>
      <c r="Q5469" t="n">
        <v>0</v>
      </c>
      <c r="R5469" s="2" t="inlineStr"/>
    </row>
    <row r="5470" ht="15" customHeight="1">
      <c r="A5470" t="inlineStr">
        <is>
          <t>A 57431-2021</t>
        </is>
      </c>
      <c r="B5470" s="1" t="n">
        <v>44475</v>
      </c>
      <c r="C5470" s="1" t="n">
        <v>45810</v>
      </c>
      <c r="D5470" t="inlineStr">
        <is>
          <t>VÄRMLANDS LÄN</t>
        </is>
      </c>
      <c r="E5470" t="inlineStr">
        <is>
          <t>SÄFFLE</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55642-2021</t>
        </is>
      </c>
      <c r="B5471" s="1" t="n">
        <v>44476</v>
      </c>
      <c r="C5471" s="1" t="n">
        <v>45810</v>
      </c>
      <c r="D5471" t="inlineStr">
        <is>
          <t>VÄRMLANDS LÄN</t>
        </is>
      </c>
      <c r="E5471" t="inlineStr">
        <is>
          <t>EDA</t>
        </is>
      </c>
      <c r="F5471" t="inlineStr">
        <is>
          <t>Kommuner</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55668-2021</t>
        </is>
      </c>
      <c r="B5472" s="1" t="n">
        <v>44476</v>
      </c>
      <c r="C5472" s="1" t="n">
        <v>45810</v>
      </c>
      <c r="D5472" t="inlineStr">
        <is>
          <t>VÄRMLANDS LÄN</t>
        </is>
      </c>
      <c r="E5472" t="inlineStr">
        <is>
          <t>EDA</t>
        </is>
      </c>
      <c r="F5472" t="inlineStr">
        <is>
          <t>Kommuner</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55651-2021</t>
        </is>
      </c>
      <c r="B5473" s="1" t="n">
        <v>44476</v>
      </c>
      <c r="C5473" s="1" t="n">
        <v>45810</v>
      </c>
      <c r="D5473" t="inlineStr">
        <is>
          <t>VÄRMLANDS LÄN</t>
        </is>
      </c>
      <c r="E5473" t="inlineStr">
        <is>
          <t>EDA</t>
        </is>
      </c>
      <c r="F5473" t="inlineStr">
        <is>
          <t>Kommuner</t>
        </is>
      </c>
      <c r="G5473" t="n">
        <v>4.2</v>
      </c>
      <c r="H5473" t="n">
        <v>0</v>
      </c>
      <c r="I5473" t="n">
        <v>0</v>
      </c>
      <c r="J5473" t="n">
        <v>0</v>
      </c>
      <c r="K5473" t="n">
        <v>0</v>
      </c>
      <c r="L5473" t="n">
        <v>0</v>
      </c>
      <c r="M5473" t="n">
        <v>0</v>
      </c>
      <c r="N5473" t="n">
        <v>0</v>
      </c>
      <c r="O5473" t="n">
        <v>0</v>
      </c>
      <c r="P5473" t="n">
        <v>0</v>
      </c>
      <c r="Q5473" t="n">
        <v>0</v>
      </c>
      <c r="R5473" s="2" t="inlineStr"/>
    </row>
    <row r="5474" ht="15" customHeight="1">
      <c r="A5474" t="inlineStr">
        <is>
          <t>A 55664-2021</t>
        </is>
      </c>
      <c r="B5474" s="1" t="n">
        <v>44476</v>
      </c>
      <c r="C5474" s="1" t="n">
        <v>45810</v>
      </c>
      <c r="D5474" t="inlineStr">
        <is>
          <t>VÄRMLANDS LÄN</t>
        </is>
      </c>
      <c r="E5474" t="inlineStr">
        <is>
          <t>MUNKFORS</t>
        </is>
      </c>
      <c r="G5474" t="n">
        <v>6.7</v>
      </c>
      <c r="H5474" t="n">
        <v>0</v>
      </c>
      <c r="I5474" t="n">
        <v>0</v>
      </c>
      <c r="J5474" t="n">
        <v>0</v>
      </c>
      <c r="K5474" t="n">
        <v>0</v>
      </c>
      <c r="L5474" t="n">
        <v>0</v>
      </c>
      <c r="M5474" t="n">
        <v>0</v>
      </c>
      <c r="N5474" t="n">
        <v>0</v>
      </c>
      <c r="O5474" t="n">
        <v>0</v>
      </c>
      <c r="P5474" t="n">
        <v>0</v>
      </c>
      <c r="Q5474" t="n">
        <v>0</v>
      </c>
      <c r="R5474" s="2" t="inlineStr"/>
    </row>
    <row r="5475" ht="15" customHeight="1">
      <c r="A5475" t="inlineStr">
        <is>
          <t>A 55784-2021</t>
        </is>
      </c>
      <c r="B5475" s="1" t="n">
        <v>44476</v>
      </c>
      <c r="C5475" s="1" t="n">
        <v>45810</v>
      </c>
      <c r="D5475" t="inlineStr">
        <is>
          <t>VÄRMLANDS LÄN</t>
        </is>
      </c>
      <c r="E5475" t="inlineStr">
        <is>
          <t>ÅRJÄNG</t>
        </is>
      </c>
      <c r="G5475" t="n">
        <v>3</v>
      </c>
      <c r="H5475" t="n">
        <v>0</v>
      </c>
      <c r="I5475" t="n">
        <v>0</v>
      </c>
      <c r="J5475" t="n">
        <v>0</v>
      </c>
      <c r="K5475" t="n">
        <v>0</v>
      </c>
      <c r="L5475" t="n">
        <v>0</v>
      </c>
      <c r="M5475" t="n">
        <v>0</v>
      </c>
      <c r="N5475" t="n">
        <v>0</v>
      </c>
      <c r="O5475" t="n">
        <v>0</v>
      </c>
      <c r="P5475" t="n">
        <v>0</v>
      </c>
      <c r="Q5475" t="n">
        <v>0</v>
      </c>
      <c r="R5475" s="2" t="inlineStr"/>
    </row>
    <row r="5476" ht="15" customHeight="1">
      <c r="A5476" t="inlineStr">
        <is>
          <t>A 55791-2021</t>
        </is>
      </c>
      <c r="B5476" s="1" t="n">
        <v>44476</v>
      </c>
      <c r="C5476" s="1" t="n">
        <v>45810</v>
      </c>
      <c r="D5476" t="inlineStr">
        <is>
          <t>VÄRMLANDS LÄN</t>
        </is>
      </c>
      <c r="E5476" t="inlineStr">
        <is>
          <t>ARVIKA</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55794-2021</t>
        </is>
      </c>
      <c r="B5477" s="1" t="n">
        <v>44476</v>
      </c>
      <c r="C5477" s="1" t="n">
        <v>45810</v>
      </c>
      <c r="D5477" t="inlineStr">
        <is>
          <t>VÄRMLANDS LÄN</t>
        </is>
      </c>
      <c r="E5477" t="inlineStr">
        <is>
          <t>TORSBY</t>
        </is>
      </c>
      <c r="G5477" t="n">
        <v>2.2</v>
      </c>
      <c r="H5477" t="n">
        <v>0</v>
      </c>
      <c r="I5477" t="n">
        <v>0</v>
      </c>
      <c r="J5477" t="n">
        <v>0</v>
      </c>
      <c r="K5477" t="n">
        <v>0</v>
      </c>
      <c r="L5477" t="n">
        <v>0</v>
      </c>
      <c r="M5477" t="n">
        <v>0</v>
      </c>
      <c r="N5477" t="n">
        <v>0</v>
      </c>
      <c r="O5477" t="n">
        <v>0</v>
      </c>
      <c r="P5477" t="n">
        <v>0</v>
      </c>
      <c r="Q5477" t="n">
        <v>0</v>
      </c>
      <c r="R5477" s="2" t="inlineStr"/>
    </row>
    <row r="5478" ht="15" customHeight="1">
      <c r="A5478" t="inlineStr">
        <is>
          <t>A 55811-2021</t>
        </is>
      </c>
      <c r="B5478" s="1" t="n">
        <v>44476</v>
      </c>
      <c r="C5478" s="1" t="n">
        <v>45810</v>
      </c>
      <c r="D5478" t="inlineStr">
        <is>
          <t>VÄRMLANDS LÄN</t>
        </is>
      </c>
      <c r="E5478" t="inlineStr">
        <is>
          <t>TORSBY</t>
        </is>
      </c>
      <c r="G5478" t="n">
        <v>3.7</v>
      </c>
      <c r="H5478" t="n">
        <v>0</v>
      </c>
      <c r="I5478" t="n">
        <v>0</v>
      </c>
      <c r="J5478" t="n">
        <v>0</v>
      </c>
      <c r="K5478" t="n">
        <v>0</v>
      </c>
      <c r="L5478" t="n">
        <v>0</v>
      </c>
      <c r="M5478" t="n">
        <v>0</v>
      </c>
      <c r="N5478" t="n">
        <v>0</v>
      </c>
      <c r="O5478" t="n">
        <v>0</v>
      </c>
      <c r="P5478" t="n">
        <v>0</v>
      </c>
      <c r="Q5478" t="n">
        <v>0</v>
      </c>
      <c r="R5478" s="2" t="inlineStr"/>
    </row>
    <row r="5479" ht="15" customHeight="1">
      <c r="A5479" t="inlineStr">
        <is>
          <t>A 55902-2021</t>
        </is>
      </c>
      <c r="B5479" s="1" t="n">
        <v>44476</v>
      </c>
      <c r="C5479" s="1" t="n">
        <v>45810</v>
      </c>
      <c r="D5479" t="inlineStr">
        <is>
          <t>VÄRMLANDS LÄN</t>
        </is>
      </c>
      <c r="E5479" t="inlineStr">
        <is>
          <t>ARVIKA</t>
        </is>
      </c>
      <c r="G5479" t="n">
        <v>4.6</v>
      </c>
      <c r="H5479" t="n">
        <v>0</v>
      </c>
      <c r="I5479" t="n">
        <v>0</v>
      </c>
      <c r="J5479" t="n">
        <v>0</v>
      </c>
      <c r="K5479" t="n">
        <v>0</v>
      </c>
      <c r="L5479" t="n">
        <v>0</v>
      </c>
      <c r="M5479" t="n">
        <v>0</v>
      </c>
      <c r="N5479" t="n">
        <v>0</v>
      </c>
      <c r="O5479" t="n">
        <v>0</v>
      </c>
      <c r="P5479" t="n">
        <v>0</v>
      </c>
      <c r="Q5479" t="n">
        <v>0</v>
      </c>
      <c r="R5479" s="2" t="inlineStr"/>
    </row>
    <row r="5480" ht="15" customHeight="1">
      <c r="A5480" t="inlineStr">
        <is>
          <t>A 55989-2021</t>
        </is>
      </c>
      <c r="B5480" s="1" t="n">
        <v>44477</v>
      </c>
      <c r="C5480" s="1" t="n">
        <v>45810</v>
      </c>
      <c r="D5480" t="inlineStr">
        <is>
          <t>VÄRMLANDS LÄN</t>
        </is>
      </c>
      <c r="E5480" t="inlineStr">
        <is>
          <t>EDA</t>
        </is>
      </c>
      <c r="G5480" t="n">
        <v>0.5</v>
      </c>
      <c r="H5480" t="n">
        <v>0</v>
      </c>
      <c r="I5480" t="n">
        <v>0</v>
      </c>
      <c r="J5480" t="n">
        <v>0</v>
      </c>
      <c r="K5480" t="n">
        <v>0</v>
      </c>
      <c r="L5480" t="n">
        <v>0</v>
      </c>
      <c r="M5480" t="n">
        <v>0</v>
      </c>
      <c r="N5480" t="n">
        <v>0</v>
      </c>
      <c r="O5480" t="n">
        <v>0</v>
      </c>
      <c r="P5480" t="n">
        <v>0</v>
      </c>
      <c r="Q5480" t="n">
        <v>0</v>
      </c>
      <c r="R5480" s="2" t="inlineStr"/>
    </row>
    <row r="5481" ht="15" customHeight="1">
      <c r="A5481" t="inlineStr">
        <is>
          <t>A 56102-2021</t>
        </is>
      </c>
      <c r="B5481" s="1" t="n">
        <v>44477</v>
      </c>
      <c r="C5481" s="1" t="n">
        <v>45810</v>
      </c>
      <c r="D5481" t="inlineStr">
        <is>
          <t>VÄRMLANDS LÄN</t>
        </is>
      </c>
      <c r="E5481" t="inlineStr">
        <is>
          <t>TORSBY</t>
        </is>
      </c>
      <c r="G5481" t="n">
        <v>4.6</v>
      </c>
      <c r="H5481" t="n">
        <v>0</v>
      </c>
      <c r="I5481" t="n">
        <v>0</v>
      </c>
      <c r="J5481" t="n">
        <v>0</v>
      </c>
      <c r="K5481" t="n">
        <v>0</v>
      </c>
      <c r="L5481" t="n">
        <v>0</v>
      </c>
      <c r="M5481" t="n">
        <v>0</v>
      </c>
      <c r="N5481" t="n">
        <v>0</v>
      </c>
      <c r="O5481" t="n">
        <v>0</v>
      </c>
      <c r="P5481" t="n">
        <v>0</v>
      </c>
      <c r="Q5481" t="n">
        <v>0</v>
      </c>
      <c r="R5481" s="2" t="inlineStr"/>
    </row>
    <row r="5482" ht="15" customHeight="1">
      <c r="A5482" t="inlineStr">
        <is>
          <t>A 56037-2021</t>
        </is>
      </c>
      <c r="B5482" s="1" t="n">
        <v>44477</v>
      </c>
      <c r="C5482" s="1" t="n">
        <v>45810</v>
      </c>
      <c r="D5482" t="inlineStr">
        <is>
          <t>VÄRMLANDS LÄN</t>
        </is>
      </c>
      <c r="E5482" t="inlineStr">
        <is>
          <t>TORSBY</t>
        </is>
      </c>
      <c r="F5482" t="inlineStr">
        <is>
          <t>Bergvik skog väst AB</t>
        </is>
      </c>
      <c r="G5482" t="n">
        <v>1.5</v>
      </c>
      <c r="H5482" t="n">
        <v>0</v>
      </c>
      <c r="I5482" t="n">
        <v>0</v>
      </c>
      <c r="J5482" t="n">
        <v>0</v>
      </c>
      <c r="K5482" t="n">
        <v>0</v>
      </c>
      <c r="L5482" t="n">
        <v>0</v>
      </c>
      <c r="M5482" t="n">
        <v>0</v>
      </c>
      <c r="N5482" t="n">
        <v>0</v>
      </c>
      <c r="O5482" t="n">
        <v>0</v>
      </c>
      <c r="P5482" t="n">
        <v>0</v>
      </c>
      <c r="Q5482" t="n">
        <v>0</v>
      </c>
      <c r="R5482" s="2" t="inlineStr"/>
    </row>
    <row r="5483" ht="15" customHeight="1">
      <c r="A5483" t="inlineStr">
        <is>
          <t>A 56062-2021</t>
        </is>
      </c>
      <c r="B5483" s="1" t="n">
        <v>44477</v>
      </c>
      <c r="C5483" s="1" t="n">
        <v>45810</v>
      </c>
      <c r="D5483" t="inlineStr">
        <is>
          <t>VÄRMLANDS LÄN</t>
        </is>
      </c>
      <c r="E5483" t="inlineStr">
        <is>
          <t>TORSBY</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56254-2021</t>
        </is>
      </c>
      <c r="B5484" s="1" t="n">
        <v>44479</v>
      </c>
      <c r="C5484" s="1" t="n">
        <v>45810</v>
      </c>
      <c r="D5484" t="inlineStr">
        <is>
          <t>VÄRMLANDS LÄN</t>
        </is>
      </c>
      <c r="E5484" t="inlineStr">
        <is>
          <t>HAGFORS</t>
        </is>
      </c>
      <c r="F5484" t="inlineStr">
        <is>
          <t>Bergvik skog väst AB</t>
        </is>
      </c>
      <c r="G5484" t="n">
        <v>16.1</v>
      </c>
      <c r="H5484" t="n">
        <v>0</v>
      </c>
      <c r="I5484" t="n">
        <v>0</v>
      </c>
      <c r="J5484" t="n">
        <v>0</v>
      </c>
      <c r="K5484" t="n">
        <v>0</v>
      </c>
      <c r="L5484" t="n">
        <v>0</v>
      </c>
      <c r="M5484" t="n">
        <v>0</v>
      </c>
      <c r="N5484" t="n">
        <v>0</v>
      </c>
      <c r="O5484" t="n">
        <v>0</v>
      </c>
      <c r="P5484" t="n">
        <v>0</v>
      </c>
      <c r="Q5484" t="n">
        <v>0</v>
      </c>
      <c r="R5484" s="2" t="inlineStr"/>
    </row>
    <row r="5485" ht="15" customHeight="1">
      <c r="A5485" t="inlineStr">
        <is>
          <t>A 56272-2021</t>
        </is>
      </c>
      <c r="B5485" s="1" t="n">
        <v>44479</v>
      </c>
      <c r="C5485" s="1" t="n">
        <v>45810</v>
      </c>
      <c r="D5485" t="inlineStr">
        <is>
          <t>VÄRMLANDS LÄN</t>
        </is>
      </c>
      <c r="E5485" t="inlineStr">
        <is>
          <t>EDA</t>
        </is>
      </c>
      <c r="G5485" t="n">
        <v>2.5</v>
      </c>
      <c r="H5485" t="n">
        <v>0</v>
      </c>
      <c r="I5485" t="n">
        <v>0</v>
      </c>
      <c r="J5485" t="n">
        <v>0</v>
      </c>
      <c r="K5485" t="n">
        <v>0</v>
      </c>
      <c r="L5485" t="n">
        <v>0</v>
      </c>
      <c r="M5485" t="n">
        <v>0</v>
      </c>
      <c r="N5485" t="n">
        <v>0</v>
      </c>
      <c r="O5485" t="n">
        <v>0</v>
      </c>
      <c r="P5485" t="n">
        <v>0</v>
      </c>
      <c r="Q5485" t="n">
        <v>0</v>
      </c>
      <c r="R5485" s="2" t="inlineStr"/>
    </row>
    <row r="5486" ht="15" customHeight="1">
      <c r="A5486" t="inlineStr">
        <is>
          <t>A 56273-2021</t>
        </is>
      </c>
      <c r="B5486" s="1" t="n">
        <v>44479</v>
      </c>
      <c r="C5486" s="1" t="n">
        <v>45810</v>
      </c>
      <c r="D5486" t="inlineStr">
        <is>
          <t>VÄRMLANDS LÄN</t>
        </is>
      </c>
      <c r="E5486" t="inlineStr">
        <is>
          <t>EDA</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56522-2021</t>
        </is>
      </c>
      <c r="B5487" s="1" t="n">
        <v>44480</v>
      </c>
      <c r="C5487" s="1" t="n">
        <v>45810</v>
      </c>
      <c r="D5487" t="inlineStr">
        <is>
          <t>VÄRMLANDS LÄN</t>
        </is>
      </c>
      <c r="E5487" t="inlineStr">
        <is>
          <t>KRISTINEHAMN</t>
        </is>
      </c>
      <c r="G5487" t="n">
        <v>3.2</v>
      </c>
      <c r="H5487" t="n">
        <v>0</v>
      </c>
      <c r="I5487" t="n">
        <v>0</v>
      </c>
      <c r="J5487" t="n">
        <v>0</v>
      </c>
      <c r="K5487" t="n">
        <v>0</v>
      </c>
      <c r="L5487" t="n">
        <v>0</v>
      </c>
      <c r="M5487" t="n">
        <v>0</v>
      </c>
      <c r="N5487" t="n">
        <v>0</v>
      </c>
      <c r="O5487" t="n">
        <v>0</v>
      </c>
      <c r="P5487" t="n">
        <v>0</v>
      </c>
      <c r="Q5487" t="n">
        <v>0</v>
      </c>
      <c r="R5487" s="2" t="inlineStr"/>
    </row>
    <row r="5488" ht="15" customHeight="1">
      <c r="A5488" t="inlineStr">
        <is>
          <t>A 56311-2021</t>
        </is>
      </c>
      <c r="B5488" s="1" t="n">
        <v>44480</v>
      </c>
      <c r="C5488" s="1" t="n">
        <v>45810</v>
      </c>
      <c r="D5488" t="inlineStr">
        <is>
          <t>VÄRMLANDS LÄN</t>
        </is>
      </c>
      <c r="E5488" t="inlineStr">
        <is>
          <t>ÅRJÄNG</t>
        </is>
      </c>
      <c r="G5488" t="n">
        <v>0.4</v>
      </c>
      <c r="H5488" t="n">
        <v>0</v>
      </c>
      <c r="I5488" t="n">
        <v>0</v>
      </c>
      <c r="J5488" t="n">
        <v>0</v>
      </c>
      <c r="K5488" t="n">
        <v>0</v>
      </c>
      <c r="L5488" t="n">
        <v>0</v>
      </c>
      <c r="M5488" t="n">
        <v>0</v>
      </c>
      <c r="N5488" t="n">
        <v>0</v>
      </c>
      <c r="O5488" t="n">
        <v>0</v>
      </c>
      <c r="P5488" t="n">
        <v>0</v>
      </c>
      <c r="Q5488" t="n">
        <v>0</v>
      </c>
      <c r="R5488" s="2" t="inlineStr"/>
    </row>
    <row r="5489" ht="15" customHeight="1">
      <c r="A5489" t="inlineStr">
        <is>
          <t>A 56532-2021</t>
        </is>
      </c>
      <c r="B5489" s="1" t="n">
        <v>44480</v>
      </c>
      <c r="C5489" s="1" t="n">
        <v>45810</v>
      </c>
      <c r="D5489" t="inlineStr">
        <is>
          <t>VÄRMLANDS LÄN</t>
        </is>
      </c>
      <c r="E5489" t="inlineStr">
        <is>
          <t>FORSHAGA</t>
        </is>
      </c>
      <c r="G5489" t="n">
        <v>0.3</v>
      </c>
      <c r="H5489" t="n">
        <v>0</v>
      </c>
      <c r="I5489" t="n">
        <v>0</v>
      </c>
      <c r="J5489" t="n">
        <v>0</v>
      </c>
      <c r="K5489" t="n">
        <v>0</v>
      </c>
      <c r="L5489" t="n">
        <v>0</v>
      </c>
      <c r="M5489" t="n">
        <v>0</v>
      </c>
      <c r="N5489" t="n">
        <v>0</v>
      </c>
      <c r="O5489" t="n">
        <v>0</v>
      </c>
      <c r="P5489" t="n">
        <v>0</v>
      </c>
      <c r="Q5489" t="n">
        <v>0</v>
      </c>
      <c r="R5489" s="2" t="inlineStr"/>
    </row>
    <row r="5490" ht="15" customHeight="1">
      <c r="A5490" t="inlineStr">
        <is>
          <t>A 56559-2021</t>
        </is>
      </c>
      <c r="B5490" s="1" t="n">
        <v>44480</v>
      </c>
      <c r="C5490" s="1" t="n">
        <v>45810</v>
      </c>
      <c r="D5490" t="inlineStr">
        <is>
          <t>VÄRMLANDS LÄN</t>
        </is>
      </c>
      <c r="E5490" t="inlineStr">
        <is>
          <t>ÅRJÄNG</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56583-2021</t>
        </is>
      </c>
      <c r="B5491" s="1" t="n">
        <v>44480</v>
      </c>
      <c r="C5491" s="1" t="n">
        <v>45810</v>
      </c>
      <c r="D5491" t="inlineStr">
        <is>
          <t>VÄRMLANDS LÄN</t>
        </is>
      </c>
      <c r="E5491" t="inlineStr">
        <is>
          <t>ÅRJÄNG</t>
        </is>
      </c>
      <c r="G5491" t="n">
        <v>3.6</v>
      </c>
      <c r="H5491" t="n">
        <v>0</v>
      </c>
      <c r="I5491" t="n">
        <v>0</v>
      </c>
      <c r="J5491" t="n">
        <v>0</v>
      </c>
      <c r="K5491" t="n">
        <v>0</v>
      </c>
      <c r="L5491" t="n">
        <v>0</v>
      </c>
      <c r="M5491" t="n">
        <v>0</v>
      </c>
      <c r="N5491" t="n">
        <v>0</v>
      </c>
      <c r="O5491" t="n">
        <v>0</v>
      </c>
      <c r="P5491" t="n">
        <v>0</v>
      </c>
      <c r="Q5491" t="n">
        <v>0</v>
      </c>
      <c r="R5491" s="2" t="inlineStr"/>
    </row>
    <row r="5492" ht="15" customHeight="1">
      <c r="A5492" t="inlineStr">
        <is>
          <t>A 56697-2021</t>
        </is>
      </c>
      <c r="B5492" s="1" t="n">
        <v>44480</v>
      </c>
      <c r="C5492" s="1" t="n">
        <v>45810</v>
      </c>
      <c r="D5492" t="inlineStr">
        <is>
          <t>VÄRMLANDS LÄN</t>
        </is>
      </c>
      <c r="E5492" t="inlineStr">
        <is>
          <t>SÄFFLE</t>
        </is>
      </c>
      <c r="G5492" t="n">
        <v>10.2</v>
      </c>
      <c r="H5492" t="n">
        <v>0</v>
      </c>
      <c r="I5492" t="n">
        <v>0</v>
      </c>
      <c r="J5492" t="n">
        <v>0</v>
      </c>
      <c r="K5492" t="n">
        <v>0</v>
      </c>
      <c r="L5492" t="n">
        <v>0</v>
      </c>
      <c r="M5492" t="n">
        <v>0</v>
      </c>
      <c r="N5492" t="n">
        <v>0</v>
      </c>
      <c r="O5492" t="n">
        <v>0</v>
      </c>
      <c r="P5492" t="n">
        <v>0</v>
      </c>
      <c r="Q5492" t="n">
        <v>0</v>
      </c>
      <c r="R5492" s="2" t="inlineStr"/>
    </row>
    <row r="5493" ht="15" customHeight="1">
      <c r="A5493" t="inlineStr">
        <is>
          <t>A 56765-2021</t>
        </is>
      </c>
      <c r="B5493" s="1" t="n">
        <v>44481</v>
      </c>
      <c r="C5493" s="1" t="n">
        <v>45810</v>
      </c>
      <c r="D5493" t="inlineStr">
        <is>
          <t>VÄRMLANDS LÄN</t>
        </is>
      </c>
      <c r="E5493" t="inlineStr">
        <is>
          <t>KIL</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56682-2021</t>
        </is>
      </c>
      <c r="B5494" s="1" t="n">
        <v>44481</v>
      </c>
      <c r="C5494" s="1" t="n">
        <v>45810</v>
      </c>
      <c r="D5494" t="inlineStr">
        <is>
          <t>VÄRMLANDS LÄN</t>
        </is>
      </c>
      <c r="E5494" t="inlineStr">
        <is>
          <t>ÅRJÄNG</t>
        </is>
      </c>
      <c r="G5494" t="n">
        <v>2.5</v>
      </c>
      <c r="H5494" t="n">
        <v>0</v>
      </c>
      <c r="I5494" t="n">
        <v>0</v>
      </c>
      <c r="J5494" t="n">
        <v>0</v>
      </c>
      <c r="K5494" t="n">
        <v>0</v>
      </c>
      <c r="L5494" t="n">
        <v>0</v>
      </c>
      <c r="M5494" t="n">
        <v>0</v>
      </c>
      <c r="N5494" t="n">
        <v>0</v>
      </c>
      <c r="O5494" t="n">
        <v>0</v>
      </c>
      <c r="P5494" t="n">
        <v>0</v>
      </c>
      <c r="Q5494" t="n">
        <v>0</v>
      </c>
      <c r="R5494" s="2" t="inlineStr"/>
    </row>
    <row r="5495" ht="15" customHeight="1">
      <c r="A5495" t="inlineStr">
        <is>
          <t>A 56835-2021</t>
        </is>
      </c>
      <c r="B5495" s="1" t="n">
        <v>44481</v>
      </c>
      <c r="C5495" s="1" t="n">
        <v>45810</v>
      </c>
      <c r="D5495" t="inlineStr">
        <is>
          <t>VÄRMLANDS LÄN</t>
        </is>
      </c>
      <c r="E5495" t="inlineStr">
        <is>
          <t>HAMMARÖ</t>
        </is>
      </c>
      <c r="F5495" t="inlineStr">
        <is>
          <t>Kommuner</t>
        </is>
      </c>
      <c r="G5495" t="n">
        <v>18.8</v>
      </c>
      <c r="H5495" t="n">
        <v>0</v>
      </c>
      <c r="I5495" t="n">
        <v>0</v>
      </c>
      <c r="J5495" t="n">
        <v>0</v>
      </c>
      <c r="K5495" t="n">
        <v>0</v>
      </c>
      <c r="L5495" t="n">
        <v>0</v>
      </c>
      <c r="M5495" t="n">
        <v>0</v>
      </c>
      <c r="N5495" t="n">
        <v>0</v>
      </c>
      <c r="O5495" t="n">
        <v>0</v>
      </c>
      <c r="P5495" t="n">
        <v>0</v>
      </c>
      <c r="Q5495" t="n">
        <v>0</v>
      </c>
      <c r="R5495" s="2" t="inlineStr"/>
    </row>
    <row r="5496" ht="15" customHeight="1">
      <c r="A5496" t="inlineStr">
        <is>
          <t>A 56762-2021</t>
        </is>
      </c>
      <c r="B5496" s="1" t="n">
        <v>44481</v>
      </c>
      <c r="C5496" s="1" t="n">
        <v>45810</v>
      </c>
      <c r="D5496" t="inlineStr">
        <is>
          <t>VÄRMLANDS LÄN</t>
        </is>
      </c>
      <c r="E5496" t="inlineStr">
        <is>
          <t>KIL</t>
        </is>
      </c>
      <c r="G5496" t="n">
        <v>1.6</v>
      </c>
      <c r="H5496" t="n">
        <v>0</v>
      </c>
      <c r="I5496" t="n">
        <v>0</v>
      </c>
      <c r="J5496" t="n">
        <v>0</v>
      </c>
      <c r="K5496" t="n">
        <v>0</v>
      </c>
      <c r="L5496" t="n">
        <v>0</v>
      </c>
      <c r="M5496" t="n">
        <v>0</v>
      </c>
      <c r="N5496" t="n">
        <v>0</v>
      </c>
      <c r="O5496" t="n">
        <v>0</v>
      </c>
      <c r="P5496" t="n">
        <v>0</v>
      </c>
      <c r="Q5496" t="n">
        <v>0</v>
      </c>
      <c r="R5496" s="2" t="inlineStr"/>
    </row>
    <row r="5497" ht="15" customHeight="1">
      <c r="A5497" t="inlineStr">
        <is>
          <t>A 56886-2021</t>
        </is>
      </c>
      <c r="B5497" s="1" t="n">
        <v>44481</v>
      </c>
      <c r="C5497" s="1" t="n">
        <v>45810</v>
      </c>
      <c r="D5497" t="inlineStr">
        <is>
          <t>VÄRMLANDS LÄN</t>
        </is>
      </c>
      <c r="E5497" t="inlineStr">
        <is>
          <t>SUNNE</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56928-2021</t>
        </is>
      </c>
      <c r="B5498" s="1" t="n">
        <v>44482</v>
      </c>
      <c r="C5498" s="1" t="n">
        <v>45810</v>
      </c>
      <c r="D5498" t="inlineStr">
        <is>
          <t>VÄRMLANDS LÄN</t>
        </is>
      </c>
      <c r="E5498" t="inlineStr">
        <is>
          <t>KARLSTAD</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57065-2021</t>
        </is>
      </c>
      <c r="B5499" s="1" t="n">
        <v>44482</v>
      </c>
      <c r="C5499" s="1" t="n">
        <v>45810</v>
      </c>
      <c r="D5499" t="inlineStr">
        <is>
          <t>VÄRMLANDS LÄN</t>
        </is>
      </c>
      <c r="E5499" t="inlineStr">
        <is>
          <t>KIL</t>
        </is>
      </c>
      <c r="G5499" t="n">
        <v>2.4</v>
      </c>
      <c r="H5499" t="n">
        <v>0</v>
      </c>
      <c r="I5499" t="n">
        <v>0</v>
      </c>
      <c r="J5499" t="n">
        <v>0</v>
      </c>
      <c r="K5499" t="n">
        <v>0</v>
      </c>
      <c r="L5499" t="n">
        <v>0</v>
      </c>
      <c r="M5499" t="n">
        <v>0</v>
      </c>
      <c r="N5499" t="n">
        <v>0</v>
      </c>
      <c r="O5499" t="n">
        <v>0</v>
      </c>
      <c r="P5499" t="n">
        <v>0</v>
      </c>
      <c r="Q5499" t="n">
        <v>0</v>
      </c>
      <c r="R5499" s="2" t="inlineStr"/>
    </row>
    <row r="5500" ht="15" customHeight="1">
      <c r="A5500" t="inlineStr">
        <is>
          <t>A 57090-2021</t>
        </is>
      </c>
      <c r="B5500" s="1" t="n">
        <v>44482</v>
      </c>
      <c r="C5500" s="1" t="n">
        <v>45810</v>
      </c>
      <c r="D5500" t="inlineStr">
        <is>
          <t>VÄRMLANDS LÄN</t>
        </is>
      </c>
      <c r="E5500" t="inlineStr">
        <is>
          <t>FILIPSTAD</t>
        </is>
      </c>
      <c r="G5500" t="n">
        <v>1.9</v>
      </c>
      <c r="H5500" t="n">
        <v>0</v>
      </c>
      <c r="I5500" t="n">
        <v>0</v>
      </c>
      <c r="J5500" t="n">
        <v>0</v>
      </c>
      <c r="K5500" t="n">
        <v>0</v>
      </c>
      <c r="L5500" t="n">
        <v>0</v>
      </c>
      <c r="M5500" t="n">
        <v>0</v>
      </c>
      <c r="N5500" t="n">
        <v>0</v>
      </c>
      <c r="O5500" t="n">
        <v>0</v>
      </c>
      <c r="P5500" t="n">
        <v>0</v>
      </c>
      <c r="Q5500" t="n">
        <v>0</v>
      </c>
      <c r="R5500" s="2" t="inlineStr"/>
    </row>
    <row r="5501" ht="15" customHeight="1">
      <c r="A5501" t="inlineStr">
        <is>
          <t>A 56981-2021</t>
        </is>
      </c>
      <c r="B5501" s="1" t="n">
        <v>44482</v>
      </c>
      <c r="C5501" s="1" t="n">
        <v>45810</v>
      </c>
      <c r="D5501" t="inlineStr">
        <is>
          <t>VÄRMLANDS LÄN</t>
        </is>
      </c>
      <c r="E5501" t="inlineStr">
        <is>
          <t>TORSBY</t>
        </is>
      </c>
      <c r="G5501" t="n">
        <v>2.2</v>
      </c>
      <c r="H5501" t="n">
        <v>0</v>
      </c>
      <c r="I5501" t="n">
        <v>0</v>
      </c>
      <c r="J5501" t="n">
        <v>0</v>
      </c>
      <c r="K5501" t="n">
        <v>0</v>
      </c>
      <c r="L5501" t="n">
        <v>0</v>
      </c>
      <c r="M5501" t="n">
        <v>0</v>
      </c>
      <c r="N5501" t="n">
        <v>0</v>
      </c>
      <c r="O5501" t="n">
        <v>0</v>
      </c>
      <c r="P5501" t="n">
        <v>0</v>
      </c>
      <c r="Q5501" t="n">
        <v>0</v>
      </c>
      <c r="R5501" s="2" t="inlineStr"/>
    </row>
    <row r="5502" ht="15" customHeight="1">
      <c r="A5502" t="inlineStr">
        <is>
          <t>A 56993-2021</t>
        </is>
      </c>
      <c r="B5502" s="1" t="n">
        <v>44482</v>
      </c>
      <c r="C5502" s="1" t="n">
        <v>45810</v>
      </c>
      <c r="D5502" t="inlineStr">
        <is>
          <t>VÄRMLANDS LÄN</t>
        </is>
      </c>
      <c r="E5502" t="inlineStr">
        <is>
          <t>ÅRJÄNG</t>
        </is>
      </c>
      <c r="G5502" t="n">
        <v>3.8</v>
      </c>
      <c r="H5502" t="n">
        <v>0</v>
      </c>
      <c r="I5502" t="n">
        <v>0</v>
      </c>
      <c r="J5502" t="n">
        <v>0</v>
      </c>
      <c r="K5502" t="n">
        <v>0</v>
      </c>
      <c r="L5502" t="n">
        <v>0</v>
      </c>
      <c r="M5502" t="n">
        <v>0</v>
      </c>
      <c r="N5502" t="n">
        <v>0</v>
      </c>
      <c r="O5502" t="n">
        <v>0</v>
      </c>
      <c r="P5502" t="n">
        <v>0</v>
      </c>
      <c r="Q5502" t="n">
        <v>0</v>
      </c>
      <c r="R5502" s="2" t="inlineStr"/>
    </row>
    <row r="5503" ht="15" customHeight="1">
      <c r="A5503" t="inlineStr">
        <is>
          <t>A 57069-2021</t>
        </is>
      </c>
      <c r="B5503" s="1" t="n">
        <v>44482</v>
      </c>
      <c r="C5503" s="1" t="n">
        <v>45810</v>
      </c>
      <c r="D5503" t="inlineStr">
        <is>
          <t>VÄRMLANDS LÄN</t>
        </is>
      </c>
      <c r="E5503" t="inlineStr">
        <is>
          <t>KIL</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57087-2021</t>
        </is>
      </c>
      <c r="B5504" s="1" t="n">
        <v>44482</v>
      </c>
      <c r="C5504" s="1" t="n">
        <v>45810</v>
      </c>
      <c r="D5504" t="inlineStr">
        <is>
          <t>VÄRMLANDS LÄN</t>
        </is>
      </c>
      <c r="E5504" t="inlineStr">
        <is>
          <t>FILIPSTAD</t>
        </is>
      </c>
      <c r="G5504" t="n">
        <v>4.4</v>
      </c>
      <c r="H5504" t="n">
        <v>0</v>
      </c>
      <c r="I5504" t="n">
        <v>0</v>
      </c>
      <c r="J5504" t="n">
        <v>0</v>
      </c>
      <c r="K5504" t="n">
        <v>0</v>
      </c>
      <c r="L5504" t="n">
        <v>0</v>
      </c>
      <c r="M5504" t="n">
        <v>0</v>
      </c>
      <c r="N5504" t="n">
        <v>0</v>
      </c>
      <c r="O5504" t="n">
        <v>0</v>
      </c>
      <c r="P5504" t="n">
        <v>0</v>
      </c>
      <c r="Q5504" t="n">
        <v>0</v>
      </c>
      <c r="R5504" s="2" t="inlineStr"/>
    </row>
    <row r="5505" ht="15" customHeight="1">
      <c r="A5505" t="inlineStr">
        <is>
          <t>A 57253-2021</t>
        </is>
      </c>
      <c r="B5505" s="1" t="n">
        <v>44482</v>
      </c>
      <c r="C5505" s="1" t="n">
        <v>45810</v>
      </c>
      <c r="D5505" t="inlineStr">
        <is>
          <t>VÄRMLANDS LÄN</t>
        </is>
      </c>
      <c r="E5505" t="inlineStr">
        <is>
          <t>EDA</t>
        </is>
      </c>
      <c r="G5505" t="n">
        <v>2.7</v>
      </c>
      <c r="H5505" t="n">
        <v>0</v>
      </c>
      <c r="I5505" t="n">
        <v>0</v>
      </c>
      <c r="J5505" t="n">
        <v>0</v>
      </c>
      <c r="K5505" t="n">
        <v>0</v>
      </c>
      <c r="L5505" t="n">
        <v>0</v>
      </c>
      <c r="M5505" t="n">
        <v>0</v>
      </c>
      <c r="N5505" t="n">
        <v>0</v>
      </c>
      <c r="O5505" t="n">
        <v>0</v>
      </c>
      <c r="P5505" t="n">
        <v>0</v>
      </c>
      <c r="Q5505" t="n">
        <v>0</v>
      </c>
      <c r="R5505" s="2" t="inlineStr"/>
    </row>
    <row r="5506" ht="15" customHeight="1">
      <c r="A5506" t="inlineStr">
        <is>
          <t>A 57287-2021</t>
        </is>
      </c>
      <c r="B5506" s="1" t="n">
        <v>44482</v>
      </c>
      <c r="C5506" s="1" t="n">
        <v>45810</v>
      </c>
      <c r="D5506" t="inlineStr">
        <is>
          <t>VÄRMLANDS LÄN</t>
        </is>
      </c>
      <c r="E5506" t="inlineStr">
        <is>
          <t>TORSBY</t>
        </is>
      </c>
      <c r="G5506" t="n">
        <v>2.7</v>
      </c>
      <c r="H5506" t="n">
        <v>0</v>
      </c>
      <c r="I5506" t="n">
        <v>0</v>
      </c>
      <c r="J5506" t="n">
        <v>0</v>
      </c>
      <c r="K5506" t="n">
        <v>0</v>
      </c>
      <c r="L5506" t="n">
        <v>0</v>
      </c>
      <c r="M5506" t="n">
        <v>0</v>
      </c>
      <c r="N5506" t="n">
        <v>0</v>
      </c>
      <c r="O5506" t="n">
        <v>0</v>
      </c>
      <c r="P5506" t="n">
        <v>0</v>
      </c>
      <c r="Q5506" t="n">
        <v>0</v>
      </c>
      <c r="R5506" s="2" t="inlineStr"/>
    </row>
    <row r="5507" ht="15" customHeight="1">
      <c r="A5507" t="inlineStr">
        <is>
          <t>A 57237-2021</t>
        </is>
      </c>
      <c r="B5507" s="1" t="n">
        <v>44482</v>
      </c>
      <c r="C5507" s="1" t="n">
        <v>45810</v>
      </c>
      <c r="D5507" t="inlineStr">
        <is>
          <t>VÄRMLANDS LÄN</t>
        </is>
      </c>
      <c r="E5507" t="inlineStr">
        <is>
          <t>KARLSTAD</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57316-2021</t>
        </is>
      </c>
      <c r="B5508" s="1" t="n">
        <v>44483</v>
      </c>
      <c r="C5508" s="1" t="n">
        <v>45810</v>
      </c>
      <c r="D5508" t="inlineStr">
        <is>
          <t>VÄRMLANDS LÄN</t>
        </is>
      </c>
      <c r="E5508" t="inlineStr">
        <is>
          <t>SUNNE</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57356-2021</t>
        </is>
      </c>
      <c r="B5509" s="1" t="n">
        <v>44483</v>
      </c>
      <c r="C5509" s="1" t="n">
        <v>45810</v>
      </c>
      <c r="D5509" t="inlineStr">
        <is>
          <t>VÄRMLANDS LÄN</t>
        </is>
      </c>
      <c r="E5509" t="inlineStr">
        <is>
          <t>EDA</t>
        </is>
      </c>
      <c r="G5509" t="n">
        <v>6.6</v>
      </c>
      <c r="H5509" t="n">
        <v>0</v>
      </c>
      <c r="I5509" t="n">
        <v>0</v>
      </c>
      <c r="J5509" t="n">
        <v>0</v>
      </c>
      <c r="K5509" t="n">
        <v>0</v>
      </c>
      <c r="L5509" t="n">
        <v>0</v>
      </c>
      <c r="M5509" t="n">
        <v>0</v>
      </c>
      <c r="N5509" t="n">
        <v>0</v>
      </c>
      <c r="O5509" t="n">
        <v>0</v>
      </c>
      <c r="P5509" t="n">
        <v>0</v>
      </c>
      <c r="Q5509" t="n">
        <v>0</v>
      </c>
      <c r="R5509" s="2" t="inlineStr"/>
    </row>
    <row r="5510" ht="15" customHeight="1">
      <c r="A5510" t="inlineStr">
        <is>
          <t>A 57391-2021</t>
        </is>
      </c>
      <c r="B5510" s="1" t="n">
        <v>44483</v>
      </c>
      <c r="C5510" s="1" t="n">
        <v>45810</v>
      </c>
      <c r="D5510" t="inlineStr">
        <is>
          <t>VÄRMLANDS LÄN</t>
        </is>
      </c>
      <c r="E5510" t="inlineStr">
        <is>
          <t>KARLSTAD</t>
        </is>
      </c>
      <c r="F5510" t="inlineStr">
        <is>
          <t>Kommuner</t>
        </is>
      </c>
      <c r="G5510" t="n">
        <v>2.8</v>
      </c>
      <c r="H5510" t="n">
        <v>0</v>
      </c>
      <c r="I5510" t="n">
        <v>0</v>
      </c>
      <c r="J5510" t="n">
        <v>0</v>
      </c>
      <c r="K5510" t="n">
        <v>0</v>
      </c>
      <c r="L5510" t="n">
        <v>0</v>
      </c>
      <c r="M5510" t="n">
        <v>0</v>
      </c>
      <c r="N5510" t="n">
        <v>0</v>
      </c>
      <c r="O5510" t="n">
        <v>0</v>
      </c>
      <c r="P5510" t="n">
        <v>0</v>
      </c>
      <c r="Q5510" t="n">
        <v>0</v>
      </c>
      <c r="R5510" s="2" t="inlineStr"/>
    </row>
    <row r="5511" ht="15" customHeight="1">
      <c r="A5511" t="inlineStr">
        <is>
          <t>A 57314-2021</t>
        </is>
      </c>
      <c r="B5511" s="1" t="n">
        <v>44483</v>
      </c>
      <c r="C5511" s="1" t="n">
        <v>45810</v>
      </c>
      <c r="D5511" t="inlineStr">
        <is>
          <t>VÄRMLANDS LÄN</t>
        </is>
      </c>
      <c r="E5511" t="inlineStr">
        <is>
          <t>KIL</t>
        </is>
      </c>
      <c r="G5511" t="n">
        <v>2</v>
      </c>
      <c r="H5511" t="n">
        <v>0</v>
      </c>
      <c r="I5511" t="n">
        <v>0</v>
      </c>
      <c r="J5511" t="n">
        <v>0</v>
      </c>
      <c r="K5511" t="n">
        <v>0</v>
      </c>
      <c r="L5511" t="n">
        <v>0</v>
      </c>
      <c r="M5511" t="n">
        <v>0</v>
      </c>
      <c r="N5511" t="n">
        <v>0</v>
      </c>
      <c r="O5511" t="n">
        <v>0</v>
      </c>
      <c r="P5511" t="n">
        <v>0</v>
      </c>
      <c r="Q5511" t="n">
        <v>0</v>
      </c>
      <c r="R5511" s="2" t="inlineStr"/>
    </row>
    <row r="5512" ht="15" customHeight="1">
      <c r="A5512" t="inlineStr">
        <is>
          <t>A 57382-2021</t>
        </is>
      </c>
      <c r="B5512" s="1" t="n">
        <v>44483</v>
      </c>
      <c r="C5512" s="1" t="n">
        <v>45810</v>
      </c>
      <c r="D5512" t="inlineStr">
        <is>
          <t>VÄRMLANDS LÄN</t>
        </is>
      </c>
      <c r="E5512" t="inlineStr">
        <is>
          <t>SUNNE</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57469-2021</t>
        </is>
      </c>
      <c r="B5513" s="1" t="n">
        <v>44483</v>
      </c>
      <c r="C5513" s="1" t="n">
        <v>45810</v>
      </c>
      <c r="D5513" t="inlineStr">
        <is>
          <t>VÄRMLANDS LÄN</t>
        </is>
      </c>
      <c r="E5513" t="inlineStr">
        <is>
          <t>KARLSTAD</t>
        </is>
      </c>
      <c r="F5513" t="inlineStr">
        <is>
          <t>Kommuner</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57476-2021</t>
        </is>
      </c>
      <c r="B5514" s="1" t="n">
        <v>44483</v>
      </c>
      <c r="C5514" s="1" t="n">
        <v>45810</v>
      </c>
      <c r="D5514" t="inlineStr">
        <is>
          <t>VÄRMLANDS LÄN</t>
        </is>
      </c>
      <c r="E5514" t="inlineStr">
        <is>
          <t>KARLSTAD</t>
        </is>
      </c>
      <c r="F5514" t="inlineStr">
        <is>
          <t>Kommuner</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57453-2021</t>
        </is>
      </c>
      <c r="B5515" s="1" t="n">
        <v>44483</v>
      </c>
      <c r="C5515" s="1" t="n">
        <v>45810</v>
      </c>
      <c r="D5515" t="inlineStr">
        <is>
          <t>VÄRMLANDS LÄN</t>
        </is>
      </c>
      <c r="E5515" t="inlineStr">
        <is>
          <t>KARLSTAD</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57506-2021</t>
        </is>
      </c>
      <c r="B5516" s="1" t="n">
        <v>44483</v>
      </c>
      <c r="C5516" s="1" t="n">
        <v>45810</v>
      </c>
      <c r="D5516" t="inlineStr">
        <is>
          <t>VÄRMLANDS LÄN</t>
        </is>
      </c>
      <c r="E5516" t="inlineStr">
        <is>
          <t>FORSHAGA</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57833-2021</t>
        </is>
      </c>
      <c r="B5517" s="1" t="n">
        <v>44484</v>
      </c>
      <c r="C5517" s="1" t="n">
        <v>45810</v>
      </c>
      <c r="D5517" t="inlineStr">
        <is>
          <t>VÄRMLANDS LÄN</t>
        </is>
      </c>
      <c r="E5517" t="inlineStr">
        <is>
          <t>ÅRJÄNG</t>
        </is>
      </c>
      <c r="G5517" t="n">
        <v>8.300000000000001</v>
      </c>
      <c r="H5517" t="n">
        <v>0</v>
      </c>
      <c r="I5517" t="n">
        <v>0</v>
      </c>
      <c r="J5517" t="n">
        <v>0</v>
      </c>
      <c r="K5517" t="n">
        <v>0</v>
      </c>
      <c r="L5517" t="n">
        <v>0</v>
      </c>
      <c r="M5517" t="n">
        <v>0</v>
      </c>
      <c r="N5517" t="n">
        <v>0</v>
      </c>
      <c r="O5517" t="n">
        <v>0</v>
      </c>
      <c r="P5517" t="n">
        <v>0</v>
      </c>
      <c r="Q5517" t="n">
        <v>0</v>
      </c>
      <c r="R5517" s="2" t="inlineStr"/>
    </row>
    <row r="5518" ht="15" customHeight="1">
      <c r="A5518" t="inlineStr">
        <is>
          <t>A 57743-2021</t>
        </is>
      </c>
      <c r="B5518" s="1" t="n">
        <v>44484</v>
      </c>
      <c r="C5518" s="1" t="n">
        <v>45810</v>
      </c>
      <c r="D5518" t="inlineStr">
        <is>
          <t>VÄRMLANDS LÄN</t>
        </is>
      </c>
      <c r="E5518" t="inlineStr">
        <is>
          <t>KIL</t>
        </is>
      </c>
      <c r="G5518" t="n">
        <v>3.1</v>
      </c>
      <c r="H5518" t="n">
        <v>0</v>
      </c>
      <c r="I5518" t="n">
        <v>0</v>
      </c>
      <c r="J5518" t="n">
        <v>0</v>
      </c>
      <c r="K5518" t="n">
        <v>0</v>
      </c>
      <c r="L5518" t="n">
        <v>0</v>
      </c>
      <c r="M5518" t="n">
        <v>0</v>
      </c>
      <c r="N5518" t="n">
        <v>0</v>
      </c>
      <c r="O5518" t="n">
        <v>0</v>
      </c>
      <c r="P5518" t="n">
        <v>0</v>
      </c>
      <c r="Q5518" t="n">
        <v>0</v>
      </c>
      <c r="R5518" s="2" t="inlineStr"/>
    </row>
    <row r="5519" ht="15" customHeight="1">
      <c r="A5519" t="inlineStr">
        <is>
          <t>A 57734-2021</t>
        </is>
      </c>
      <c r="B5519" s="1" t="n">
        <v>44484</v>
      </c>
      <c r="C5519" s="1" t="n">
        <v>45810</v>
      </c>
      <c r="D5519" t="inlineStr">
        <is>
          <t>VÄRMLANDS LÄN</t>
        </is>
      </c>
      <c r="E5519" t="inlineStr">
        <is>
          <t>STORFORS</t>
        </is>
      </c>
      <c r="F5519" t="inlineStr">
        <is>
          <t>Naturvårdsverket</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57780-2021</t>
        </is>
      </c>
      <c r="B5520" s="1" t="n">
        <v>44484</v>
      </c>
      <c r="C5520" s="1" t="n">
        <v>45810</v>
      </c>
      <c r="D5520" t="inlineStr">
        <is>
          <t>VÄRMLANDS LÄN</t>
        </is>
      </c>
      <c r="E5520" t="inlineStr">
        <is>
          <t>KARLSTAD</t>
        </is>
      </c>
      <c r="F5520" t="inlineStr">
        <is>
          <t>Kommuner</t>
        </is>
      </c>
      <c r="G5520" t="n">
        <v>2.5</v>
      </c>
      <c r="H5520" t="n">
        <v>0</v>
      </c>
      <c r="I5520" t="n">
        <v>0</v>
      </c>
      <c r="J5520" t="n">
        <v>0</v>
      </c>
      <c r="K5520" t="n">
        <v>0</v>
      </c>
      <c r="L5520" t="n">
        <v>0</v>
      </c>
      <c r="M5520" t="n">
        <v>0</v>
      </c>
      <c r="N5520" t="n">
        <v>0</v>
      </c>
      <c r="O5520" t="n">
        <v>0</v>
      </c>
      <c r="P5520" t="n">
        <v>0</v>
      </c>
      <c r="Q5520" t="n">
        <v>0</v>
      </c>
      <c r="R5520" s="2" t="inlineStr"/>
    </row>
    <row r="5521" ht="15" customHeight="1">
      <c r="A5521" t="inlineStr">
        <is>
          <t>A 58070-2021</t>
        </is>
      </c>
      <c r="B5521" s="1" t="n">
        <v>44487</v>
      </c>
      <c r="C5521" s="1" t="n">
        <v>45810</v>
      </c>
      <c r="D5521" t="inlineStr">
        <is>
          <t>VÄRMLANDS LÄN</t>
        </is>
      </c>
      <c r="E5521" t="inlineStr">
        <is>
          <t>SÄFFLE</t>
        </is>
      </c>
      <c r="G5521" t="n">
        <v>4</v>
      </c>
      <c r="H5521" t="n">
        <v>0</v>
      </c>
      <c r="I5521" t="n">
        <v>0</v>
      </c>
      <c r="J5521" t="n">
        <v>0</v>
      </c>
      <c r="K5521" t="n">
        <v>0</v>
      </c>
      <c r="L5521" t="n">
        <v>0</v>
      </c>
      <c r="M5521" t="n">
        <v>0</v>
      </c>
      <c r="N5521" t="n">
        <v>0</v>
      </c>
      <c r="O5521" t="n">
        <v>0</v>
      </c>
      <c r="P5521" t="n">
        <v>0</v>
      </c>
      <c r="Q5521" t="n">
        <v>0</v>
      </c>
      <c r="R5521" s="2" t="inlineStr"/>
    </row>
    <row r="5522" ht="15" customHeight="1">
      <c r="A5522" t="inlineStr">
        <is>
          <t>A 58091-2021</t>
        </is>
      </c>
      <c r="B5522" s="1" t="n">
        <v>44487</v>
      </c>
      <c r="C5522" s="1" t="n">
        <v>45810</v>
      </c>
      <c r="D5522" t="inlineStr">
        <is>
          <t>VÄRMLANDS LÄN</t>
        </is>
      </c>
      <c r="E5522" t="inlineStr">
        <is>
          <t>SÄFFLE</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57967-2021</t>
        </is>
      </c>
      <c r="B5523" s="1" t="n">
        <v>44487</v>
      </c>
      <c r="C5523" s="1" t="n">
        <v>45810</v>
      </c>
      <c r="D5523" t="inlineStr">
        <is>
          <t>VÄRMLANDS LÄN</t>
        </is>
      </c>
      <c r="E5523" t="inlineStr">
        <is>
          <t>KIL</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58105-2021</t>
        </is>
      </c>
      <c r="B5524" s="1" t="n">
        <v>44487</v>
      </c>
      <c r="C5524" s="1" t="n">
        <v>45810</v>
      </c>
      <c r="D5524" t="inlineStr">
        <is>
          <t>VÄRMLANDS LÄN</t>
        </is>
      </c>
      <c r="E5524" t="inlineStr">
        <is>
          <t>SÄFFLE</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58152-2021</t>
        </is>
      </c>
      <c r="B5525" s="1" t="n">
        <v>44487</v>
      </c>
      <c r="C5525" s="1" t="n">
        <v>45810</v>
      </c>
      <c r="D5525" t="inlineStr">
        <is>
          <t>VÄRMLANDS LÄN</t>
        </is>
      </c>
      <c r="E5525" t="inlineStr">
        <is>
          <t>ARVIKA</t>
        </is>
      </c>
      <c r="F5525" t="inlineStr">
        <is>
          <t>Bergvik skog väst AB</t>
        </is>
      </c>
      <c r="G5525" t="n">
        <v>8.1</v>
      </c>
      <c r="H5525" t="n">
        <v>0</v>
      </c>
      <c r="I5525" t="n">
        <v>0</v>
      </c>
      <c r="J5525" t="n">
        <v>0</v>
      </c>
      <c r="K5525" t="n">
        <v>0</v>
      </c>
      <c r="L5525" t="n">
        <v>0</v>
      </c>
      <c r="M5525" t="n">
        <v>0</v>
      </c>
      <c r="N5525" t="n">
        <v>0</v>
      </c>
      <c r="O5525" t="n">
        <v>0</v>
      </c>
      <c r="P5525" t="n">
        <v>0</v>
      </c>
      <c r="Q5525" t="n">
        <v>0</v>
      </c>
      <c r="R5525" s="2" t="inlineStr"/>
    </row>
    <row r="5526" ht="15" customHeight="1">
      <c r="A5526" t="inlineStr">
        <is>
          <t>A 58062-2021</t>
        </is>
      </c>
      <c r="B5526" s="1" t="n">
        <v>44487</v>
      </c>
      <c r="C5526" s="1" t="n">
        <v>45810</v>
      </c>
      <c r="D5526" t="inlineStr">
        <is>
          <t>VÄRMLANDS LÄN</t>
        </is>
      </c>
      <c r="E5526" t="inlineStr">
        <is>
          <t>TORSBY</t>
        </is>
      </c>
      <c r="G5526" t="n">
        <v>6</v>
      </c>
      <c r="H5526" t="n">
        <v>0</v>
      </c>
      <c r="I5526" t="n">
        <v>0</v>
      </c>
      <c r="J5526" t="n">
        <v>0</v>
      </c>
      <c r="K5526" t="n">
        <v>0</v>
      </c>
      <c r="L5526" t="n">
        <v>0</v>
      </c>
      <c r="M5526" t="n">
        <v>0</v>
      </c>
      <c r="N5526" t="n">
        <v>0</v>
      </c>
      <c r="O5526" t="n">
        <v>0</v>
      </c>
      <c r="P5526" t="n">
        <v>0</v>
      </c>
      <c r="Q5526" t="n">
        <v>0</v>
      </c>
      <c r="R5526" s="2" t="inlineStr"/>
    </row>
    <row r="5527" ht="15" customHeight="1">
      <c r="A5527" t="inlineStr">
        <is>
          <t>A 58460-2021</t>
        </is>
      </c>
      <c r="B5527" s="1" t="n">
        <v>44488</v>
      </c>
      <c r="C5527" s="1" t="n">
        <v>45810</v>
      </c>
      <c r="D5527" t="inlineStr">
        <is>
          <t>VÄRMLANDS LÄN</t>
        </is>
      </c>
      <c r="E5527" t="inlineStr">
        <is>
          <t>SÄFFLE</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58292-2021</t>
        </is>
      </c>
      <c r="B5528" s="1" t="n">
        <v>44488</v>
      </c>
      <c r="C5528" s="1" t="n">
        <v>45810</v>
      </c>
      <c r="D5528" t="inlineStr">
        <is>
          <t>VÄRMLANDS LÄN</t>
        </is>
      </c>
      <c r="E5528" t="inlineStr">
        <is>
          <t>FORSHAGA</t>
        </is>
      </c>
      <c r="G5528" t="n">
        <v>2.5</v>
      </c>
      <c r="H5528" t="n">
        <v>0</v>
      </c>
      <c r="I5528" t="n">
        <v>0</v>
      </c>
      <c r="J5528" t="n">
        <v>0</v>
      </c>
      <c r="K5528" t="n">
        <v>0</v>
      </c>
      <c r="L5528" t="n">
        <v>0</v>
      </c>
      <c r="M5528" t="n">
        <v>0</v>
      </c>
      <c r="N5528" t="n">
        <v>0</v>
      </c>
      <c r="O5528" t="n">
        <v>0</v>
      </c>
      <c r="P5528" t="n">
        <v>0</v>
      </c>
      <c r="Q5528" t="n">
        <v>0</v>
      </c>
      <c r="R5528" s="2" t="inlineStr"/>
    </row>
    <row r="5529" ht="15" customHeight="1">
      <c r="A5529" t="inlineStr">
        <is>
          <t>A 58367-2021</t>
        </is>
      </c>
      <c r="B5529" s="1" t="n">
        <v>44488</v>
      </c>
      <c r="C5529" s="1" t="n">
        <v>45810</v>
      </c>
      <c r="D5529" t="inlineStr">
        <is>
          <t>VÄRMLANDS LÄN</t>
        </is>
      </c>
      <c r="E5529" t="inlineStr">
        <is>
          <t>SUNNE</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58288-2021</t>
        </is>
      </c>
      <c r="B5530" s="1" t="n">
        <v>44488</v>
      </c>
      <c r="C5530" s="1" t="n">
        <v>45810</v>
      </c>
      <c r="D5530" t="inlineStr">
        <is>
          <t>VÄRMLANDS LÄN</t>
        </is>
      </c>
      <c r="E5530" t="inlineStr">
        <is>
          <t>ARVIKA</t>
        </is>
      </c>
      <c r="G5530" t="n">
        <v>1.7</v>
      </c>
      <c r="H5530" t="n">
        <v>0</v>
      </c>
      <c r="I5530" t="n">
        <v>0</v>
      </c>
      <c r="J5530" t="n">
        <v>0</v>
      </c>
      <c r="K5530" t="n">
        <v>0</v>
      </c>
      <c r="L5530" t="n">
        <v>0</v>
      </c>
      <c r="M5530" t="n">
        <v>0</v>
      </c>
      <c r="N5530" t="n">
        <v>0</v>
      </c>
      <c r="O5530" t="n">
        <v>0</v>
      </c>
      <c r="P5530" t="n">
        <v>0</v>
      </c>
      <c r="Q5530" t="n">
        <v>0</v>
      </c>
      <c r="R5530" s="2" t="inlineStr"/>
    </row>
    <row r="5531" ht="15" customHeight="1">
      <c r="A5531" t="inlineStr">
        <is>
          <t>A 58383-2021</t>
        </is>
      </c>
      <c r="B5531" s="1" t="n">
        <v>44488</v>
      </c>
      <c r="C5531" s="1" t="n">
        <v>45810</v>
      </c>
      <c r="D5531" t="inlineStr">
        <is>
          <t>VÄRMLANDS LÄN</t>
        </is>
      </c>
      <c r="E5531" t="inlineStr">
        <is>
          <t>SÄFFLE</t>
        </is>
      </c>
      <c r="G5531" t="n">
        <v>2.3</v>
      </c>
      <c r="H5531" t="n">
        <v>0</v>
      </c>
      <c r="I5531" t="n">
        <v>0</v>
      </c>
      <c r="J5531" t="n">
        <v>0</v>
      </c>
      <c r="K5531" t="n">
        <v>0</v>
      </c>
      <c r="L5531" t="n">
        <v>0</v>
      </c>
      <c r="M5531" t="n">
        <v>0</v>
      </c>
      <c r="N5531" t="n">
        <v>0</v>
      </c>
      <c r="O5531" t="n">
        <v>0</v>
      </c>
      <c r="P5531" t="n">
        <v>0</v>
      </c>
      <c r="Q5531" t="n">
        <v>0</v>
      </c>
      <c r="R5531" s="2" t="inlineStr"/>
    </row>
    <row r="5532" ht="15" customHeight="1">
      <c r="A5532" t="inlineStr">
        <is>
          <t>A 58479-2021</t>
        </is>
      </c>
      <c r="B5532" s="1" t="n">
        <v>44488</v>
      </c>
      <c r="C5532" s="1" t="n">
        <v>45810</v>
      </c>
      <c r="D5532" t="inlineStr">
        <is>
          <t>VÄRMLANDS LÄN</t>
        </is>
      </c>
      <c r="E5532" t="inlineStr">
        <is>
          <t>TORSBY</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58493-2021</t>
        </is>
      </c>
      <c r="B5533" s="1" t="n">
        <v>44488</v>
      </c>
      <c r="C5533" s="1" t="n">
        <v>45810</v>
      </c>
      <c r="D5533" t="inlineStr">
        <is>
          <t>VÄRMLANDS LÄN</t>
        </is>
      </c>
      <c r="E5533" t="inlineStr">
        <is>
          <t>HAGFORS</t>
        </is>
      </c>
      <c r="F5533" t="inlineStr">
        <is>
          <t>Bergvik skog väst AB</t>
        </is>
      </c>
      <c r="G5533" t="n">
        <v>5.1</v>
      </c>
      <c r="H5533" t="n">
        <v>0</v>
      </c>
      <c r="I5533" t="n">
        <v>0</v>
      </c>
      <c r="J5533" t="n">
        <v>0</v>
      </c>
      <c r="K5533" t="n">
        <v>0</v>
      </c>
      <c r="L5533" t="n">
        <v>0</v>
      </c>
      <c r="M5533" t="n">
        <v>0</v>
      </c>
      <c r="N5533" t="n">
        <v>0</v>
      </c>
      <c r="O5533" t="n">
        <v>0</v>
      </c>
      <c r="P5533" t="n">
        <v>0</v>
      </c>
      <c r="Q5533" t="n">
        <v>0</v>
      </c>
      <c r="R5533" s="2" t="inlineStr"/>
    </row>
    <row r="5534" ht="15" customHeight="1">
      <c r="A5534" t="inlineStr">
        <is>
          <t>A 58501-2021</t>
        </is>
      </c>
      <c r="B5534" s="1" t="n">
        <v>44488</v>
      </c>
      <c r="C5534" s="1" t="n">
        <v>45810</v>
      </c>
      <c r="D5534" t="inlineStr">
        <is>
          <t>VÄRMLANDS LÄN</t>
        </is>
      </c>
      <c r="E5534" t="inlineStr">
        <is>
          <t>KARLSTAD</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58507-2021</t>
        </is>
      </c>
      <c r="B5535" s="1" t="n">
        <v>44488</v>
      </c>
      <c r="C5535" s="1" t="n">
        <v>45810</v>
      </c>
      <c r="D5535" t="inlineStr">
        <is>
          <t>VÄRMLANDS LÄN</t>
        </is>
      </c>
      <c r="E5535" t="inlineStr">
        <is>
          <t>KARLSTAD</t>
        </is>
      </c>
      <c r="G5535" t="n">
        <v>4.3</v>
      </c>
      <c r="H5535" t="n">
        <v>0</v>
      </c>
      <c r="I5535" t="n">
        <v>0</v>
      </c>
      <c r="J5535" t="n">
        <v>0</v>
      </c>
      <c r="K5535" t="n">
        <v>0</v>
      </c>
      <c r="L5535" t="n">
        <v>0</v>
      </c>
      <c r="M5535" t="n">
        <v>0</v>
      </c>
      <c r="N5535" t="n">
        <v>0</v>
      </c>
      <c r="O5535" t="n">
        <v>0</v>
      </c>
      <c r="P5535" t="n">
        <v>0</v>
      </c>
      <c r="Q5535" t="n">
        <v>0</v>
      </c>
      <c r="R5535" s="2" t="inlineStr"/>
    </row>
    <row r="5536" ht="15" customHeight="1">
      <c r="A5536" t="inlineStr">
        <is>
          <t>A 58476-2021</t>
        </is>
      </c>
      <c r="B5536" s="1" t="n">
        <v>44488</v>
      </c>
      <c r="C5536" s="1" t="n">
        <v>45810</v>
      </c>
      <c r="D5536" t="inlineStr">
        <is>
          <t>VÄRMLANDS LÄN</t>
        </is>
      </c>
      <c r="E5536" t="inlineStr">
        <is>
          <t>TORSBY</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58543-2021</t>
        </is>
      </c>
      <c r="B5537" s="1" t="n">
        <v>44488</v>
      </c>
      <c r="C5537" s="1" t="n">
        <v>45810</v>
      </c>
      <c r="D5537" t="inlineStr">
        <is>
          <t>VÄRMLANDS LÄN</t>
        </is>
      </c>
      <c r="E5537" t="inlineStr">
        <is>
          <t>TORSBY</t>
        </is>
      </c>
      <c r="F5537" t="inlineStr">
        <is>
          <t>Bergvik skog väst AB</t>
        </is>
      </c>
      <c r="G5537" t="n">
        <v>7.1</v>
      </c>
      <c r="H5537" t="n">
        <v>0</v>
      </c>
      <c r="I5537" t="n">
        <v>0</v>
      </c>
      <c r="J5537" t="n">
        <v>0</v>
      </c>
      <c r="K5537" t="n">
        <v>0</v>
      </c>
      <c r="L5537" t="n">
        <v>0</v>
      </c>
      <c r="M5537" t="n">
        <v>0</v>
      </c>
      <c r="N5537" t="n">
        <v>0</v>
      </c>
      <c r="O5537" t="n">
        <v>0</v>
      </c>
      <c r="P5537" t="n">
        <v>0</v>
      </c>
      <c r="Q5537" t="n">
        <v>0</v>
      </c>
      <c r="R5537" s="2" t="inlineStr"/>
    </row>
    <row r="5538" ht="15" customHeight="1">
      <c r="A5538" t="inlineStr">
        <is>
          <t>A 58627-2021</t>
        </is>
      </c>
      <c r="B5538" s="1" t="n">
        <v>44489</v>
      </c>
      <c r="C5538" s="1" t="n">
        <v>45810</v>
      </c>
      <c r="D5538" t="inlineStr">
        <is>
          <t>VÄRMLANDS LÄN</t>
        </is>
      </c>
      <c r="E5538" t="inlineStr">
        <is>
          <t>SUNNE</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58630-2021</t>
        </is>
      </c>
      <c r="B5539" s="1" t="n">
        <v>44489</v>
      </c>
      <c r="C5539" s="1" t="n">
        <v>45810</v>
      </c>
      <c r="D5539" t="inlineStr">
        <is>
          <t>VÄRMLANDS LÄN</t>
        </is>
      </c>
      <c r="E5539" t="inlineStr">
        <is>
          <t>SUNNE</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58714-2021</t>
        </is>
      </c>
      <c r="B5540" s="1" t="n">
        <v>44489</v>
      </c>
      <c r="C5540" s="1" t="n">
        <v>45810</v>
      </c>
      <c r="D5540" t="inlineStr">
        <is>
          <t>VÄRMLANDS LÄN</t>
        </is>
      </c>
      <c r="E5540" t="inlineStr">
        <is>
          <t>FORSHAGA</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58679-2021</t>
        </is>
      </c>
      <c r="B5541" s="1" t="n">
        <v>44489</v>
      </c>
      <c r="C5541" s="1" t="n">
        <v>45810</v>
      </c>
      <c r="D5541" t="inlineStr">
        <is>
          <t>VÄRMLANDS LÄN</t>
        </is>
      </c>
      <c r="E5541" t="inlineStr">
        <is>
          <t>KIL</t>
        </is>
      </c>
      <c r="G5541" t="n">
        <v>5.1</v>
      </c>
      <c r="H5541" t="n">
        <v>0</v>
      </c>
      <c r="I5541" t="n">
        <v>0</v>
      </c>
      <c r="J5541" t="n">
        <v>0</v>
      </c>
      <c r="K5541" t="n">
        <v>0</v>
      </c>
      <c r="L5541" t="n">
        <v>0</v>
      </c>
      <c r="M5541" t="n">
        <v>0</v>
      </c>
      <c r="N5541" t="n">
        <v>0</v>
      </c>
      <c r="O5541" t="n">
        <v>0</v>
      </c>
      <c r="P5541" t="n">
        <v>0</v>
      </c>
      <c r="Q5541" t="n">
        <v>0</v>
      </c>
      <c r="R5541" s="2" t="inlineStr"/>
    </row>
    <row r="5542" ht="15" customHeight="1">
      <c r="A5542" t="inlineStr">
        <is>
          <t>A 58616-2021</t>
        </is>
      </c>
      <c r="B5542" s="1" t="n">
        <v>44489</v>
      </c>
      <c r="C5542" s="1" t="n">
        <v>45810</v>
      </c>
      <c r="D5542" t="inlineStr">
        <is>
          <t>VÄRMLANDS LÄN</t>
        </is>
      </c>
      <c r="E5542" t="inlineStr">
        <is>
          <t>KRISTINEHAMN</t>
        </is>
      </c>
      <c r="G5542" t="n">
        <v>6.8</v>
      </c>
      <c r="H5542" t="n">
        <v>0</v>
      </c>
      <c r="I5542" t="n">
        <v>0</v>
      </c>
      <c r="J5542" t="n">
        <v>0</v>
      </c>
      <c r="K5542" t="n">
        <v>0</v>
      </c>
      <c r="L5542" t="n">
        <v>0</v>
      </c>
      <c r="M5542" t="n">
        <v>0</v>
      </c>
      <c r="N5542" t="n">
        <v>0</v>
      </c>
      <c r="O5542" t="n">
        <v>0</v>
      </c>
      <c r="P5542" t="n">
        <v>0</v>
      </c>
      <c r="Q5542" t="n">
        <v>0</v>
      </c>
      <c r="R5542" s="2" t="inlineStr"/>
    </row>
    <row r="5543" ht="15" customHeight="1">
      <c r="A5543" t="inlineStr">
        <is>
          <t>A 58878-2021</t>
        </is>
      </c>
      <c r="B5543" s="1" t="n">
        <v>44489</v>
      </c>
      <c r="C5543" s="1" t="n">
        <v>45810</v>
      </c>
      <c r="D5543" t="inlineStr">
        <is>
          <t>VÄRMLANDS LÄN</t>
        </is>
      </c>
      <c r="E5543" t="inlineStr">
        <is>
          <t>SÄFFLE</t>
        </is>
      </c>
      <c r="G5543" t="n">
        <v>6.6</v>
      </c>
      <c r="H5543" t="n">
        <v>0</v>
      </c>
      <c r="I5543" t="n">
        <v>0</v>
      </c>
      <c r="J5543" t="n">
        <v>0</v>
      </c>
      <c r="K5543" t="n">
        <v>0</v>
      </c>
      <c r="L5543" t="n">
        <v>0</v>
      </c>
      <c r="M5543" t="n">
        <v>0</v>
      </c>
      <c r="N5543" t="n">
        <v>0</v>
      </c>
      <c r="O5543" t="n">
        <v>0</v>
      </c>
      <c r="P5543" t="n">
        <v>0</v>
      </c>
      <c r="Q5543" t="n">
        <v>0</v>
      </c>
      <c r="R5543" s="2" t="inlineStr"/>
    </row>
    <row r="5544" ht="15" customHeight="1">
      <c r="A5544" t="inlineStr">
        <is>
          <t>A 58728-2021</t>
        </is>
      </c>
      <c r="B5544" s="1" t="n">
        <v>44489</v>
      </c>
      <c r="C5544" s="1" t="n">
        <v>45810</v>
      </c>
      <c r="D5544" t="inlineStr">
        <is>
          <t>VÄRMLANDS LÄN</t>
        </is>
      </c>
      <c r="E5544" t="inlineStr">
        <is>
          <t>TORSBY</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58757-2021</t>
        </is>
      </c>
      <c r="B5545" s="1" t="n">
        <v>44489</v>
      </c>
      <c r="C5545" s="1" t="n">
        <v>45810</v>
      </c>
      <c r="D5545" t="inlineStr">
        <is>
          <t>VÄRMLANDS LÄN</t>
        </is>
      </c>
      <c r="E5545" t="inlineStr">
        <is>
          <t>SUNNE</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59084-2021</t>
        </is>
      </c>
      <c r="B5546" s="1" t="n">
        <v>44490</v>
      </c>
      <c r="C5546" s="1" t="n">
        <v>45810</v>
      </c>
      <c r="D5546" t="inlineStr">
        <is>
          <t>VÄRMLANDS LÄN</t>
        </is>
      </c>
      <c r="E5546" t="inlineStr">
        <is>
          <t>STORFORS</t>
        </is>
      </c>
      <c r="F5546" t="inlineStr">
        <is>
          <t>Naturvårdsverket</t>
        </is>
      </c>
      <c r="G5546" t="n">
        <v>2.5</v>
      </c>
      <c r="H5546" t="n">
        <v>0</v>
      </c>
      <c r="I5546" t="n">
        <v>0</v>
      </c>
      <c r="J5546" t="n">
        <v>0</v>
      </c>
      <c r="K5546" t="n">
        <v>0</v>
      </c>
      <c r="L5546" t="n">
        <v>0</v>
      </c>
      <c r="M5546" t="n">
        <v>0</v>
      </c>
      <c r="N5546" t="n">
        <v>0</v>
      </c>
      <c r="O5546" t="n">
        <v>0</v>
      </c>
      <c r="P5546" t="n">
        <v>0</v>
      </c>
      <c r="Q5546" t="n">
        <v>0</v>
      </c>
      <c r="R5546" s="2" t="inlineStr"/>
    </row>
    <row r="5547" ht="15" customHeight="1">
      <c r="A5547" t="inlineStr">
        <is>
          <t>A 59009-2021</t>
        </is>
      </c>
      <c r="B5547" s="1" t="n">
        <v>44490</v>
      </c>
      <c r="C5547" s="1" t="n">
        <v>45810</v>
      </c>
      <c r="D5547" t="inlineStr">
        <is>
          <t>VÄRMLANDS LÄN</t>
        </is>
      </c>
      <c r="E5547" t="inlineStr">
        <is>
          <t>ÅRJÄNG</t>
        </is>
      </c>
      <c r="G5547" t="n">
        <v>3</v>
      </c>
      <c r="H5547" t="n">
        <v>0</v>
      </c>
      <c r="I5547" t="n">
        <v>0</v>
      </c>
      <c r="J5547" t="n">
        <v>0</v>
      </c>
      <c r="K5547" t="n">
        <v>0</v>
      </c>
      <c r="L5547" t="n">
        <v>0</v>
      </c>
      <c r="M5547" t="n">
        <v>0</v>
      </c>
      <c r="N5547" t="n">
        <v>0</v>
      </c>
      <c r="O5547" t="n">
        <v>0</v>
      </c>
      <c r="P5547" t="n">
        <v>0</v>
      </c>
      <c r="Q5547" t="n">
        <v>0</v>
      </c>
      <c r="R5547" s="2" t="inlineStr"/>
    </row>
    <row r="5548" ht="15" customHeight="1">
      <c r="A5548" t="inlineStr">
        <is>
          <t>A 59143-2021</t>
        </is>
      </c>
      <c r="B5548" s="1" t="n">
        <v>44490</v>
      </c>
      <c r="C5548" s="1" t="n">
        <v>45810</v>
      </c>
      <c r="D5548" t="inlineStr">
        <is>
          <t>VÄRMLANDS LÄN</t>
        </is>
      </c>
      <c r="E5548" t="inlineStr">
        <is>
          <t>ÅRJÄNG</t>
        </is>
      </c>
      <c r="G5548" t="n">
        <v>0.4</v>
      </c>
      <c r="H5548" t="n">
        <v>0</v>
      </c>
      <c r="I5548" t="n">
        <v>0</v>
      </c>
      <c r="J5548" t="n">
        <v>0</v>
      </c>
      <c r="K5548" t="n">
        <v>0</v>
      </c>
      <c r="L5548" t="n">
        <v>0</v>
      </c>
      <c r="M5548" t="n">
        <v>0</v>
      </c>
      <c r="N5548" t="n">
        <v>0</v>
      </c>
      <c r="O5548" t="n">
        <v>0</v>
      </c>
      <c r="P5548" t="n">
        <v>0</v>
      </c>
      <c r="Q5548" t="n">
        <v>0</v>
      </c>
      <c r="R5548" s="2" t="inlineStr"/>
    </row>
    <row r="5549" ht="15" customHeight="1">
      <c r="A5549" t="inlineStr">
        <is>
          <t>A 59144-2021</t>
        </is>
      </c>
      <c r="B5549" s="1" t="n">
        <v>44490</v>
      </c>
      <c r="C5549" s="1" t="n">
        <v>45810</v>
      </c>
      <c r="D5549" t="inlineStr">
        <is>
          <t>VÄRMLANDS LÄN</t>
        </is>
      </c>
      <c r="E5549" t="inlineStr">
        <is>
          <t>KRISTINEHAMN</t>
        </is>
      </c>
      <c r="G5549" t="n">
        <v>3.3</v>
      </c>
      <c r="H5549" t="n">
        <v>0</v>
      </c>
      <c r="I5549" t="n">
        <v>0</v>
      </c>
      <c r="J5549" t="n">
        <v>0</v>
      </c>
      <c r="K5549" t="n">
        <v>0</v>
      </c>
      <c r="L5549" t="n">
        <v>0</v>
      </c>
      <c r="M5549" t="n">
        <v>0</v>
      </c>
      <c r="N5549" t="n">
        <v>0</v>
      </c>
      <c r="O5549" t="n">
        <v>0</v>
      </c>
      <c r="P5549" t="n">
        <v>0</v>
      </c>
      <c r="Q5549" t="n">
        <v>0</v>
      </c>
      <c r="R5549" s="2" t="inlineStr"/>
    </row>
    <row r="5550" ht="15" customHeight="1">
      <c r="A5550" t="inlineStr">
        <is>
          <t>A 59195-2021</t>
        </is>
      </c>
      <c r="B5550" s="1" t="n">
        <v>44490</v>
      </c>
      <c r="C5550" s="1" t="n">
        <v>45810</v>
      </c>
      <c r="D5550" t="inlineStr">
        <is>
          <t>VÄRMLANDS LÄN</t>
        </is>
      </c>
      <c r="E5550" t="inlineStr">
        <is>
          <t>ARVIKA</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59224-2021</t>
        </is>
      </c>
      <c r="B5551" s="1" t="n">
        <v>44490</v>
      </c>
      <c r="C5551" s="1" t="n">
        <v>45810</v>
      </c>
      <c r="D5551" t="inlineStr">
        <is>
          <t>VÄRMLANDS LÄN</t>
        </is>
      </c>
      <c r="E5551" t="inlineStr">
        <is>
          <t>SÄFFLE</t>
        </is>
      </c>
      <c r="G5551" t="n">
        <v>2.8</v>
      </c>
      <c r="H5551" t="n">
        <v>0</v>
      </c>
      <c r="I5551" t="n">
        <v>0</v>
      </c>
      <c r="J5551" t="n">
        <v>0</v>
      </c>
      <c r="K5551" t="n">
        <v>0</v>
      </c>
      <c r="L5551" t="n">
        <v>0</v>
      </c>
      <c r="M5551" t="n">
        <v>0</v>
      </c>
      <c r="N5551" t="n">
        <v>0</v>
      </c>
      <c r="O5551" t="n">
        <v>0</v>
      </c>
      <c r="P5551" t="n">
        <v>0</v>
      </c>
      <c r="Q5551" t="n">
        <v>0</v>
      </c>
      <c r="R5551" s="2" t="inlineStr"/>
    </row>
    <row r="5552" ht="15" customHeight="1">
      <c r="A5552" t="inlineStr">
        <is>
          <t>A 59255-2021</t>
        </is>
      </c>
      <c r="B5552" s="1" t="n">
        <v>44490</v>
      </c>
      <c r="C5552" s="1" t="n">
        <v>45810</v>
      </c>
      <c r="D5552" t="inlineStr">
        <is>
          <t>VÄRMLANDS LÄN</t>
        </is>
      </c>
      <c r="E5552" t="inlineStr">
        <is>
          <t>SÄFFLE</t>
        </is>
      </c>
      <c r="G5552" t="n">
        <v>14.6</v>
      </c>
      <c r="H5552" t="n">
        <v>0</v>
      </c>
      <c r="I5552" t="n">
        <v>0</v>
      </c>
      <c r="J5552" t="n">
        <v>0</v>
      </c>
      <c r="K5552" t="n">
        <v>0</v>
      </c>
      <c r="L5552" t="n">
        <v>0</v>
      </c>
      <c r="M5552" t="n">
        <v>0</v>
      </c>
      <c r="N5552" t="n">
        <v>0</v>
      </c>
      <c r="O5552" t="n">
        <v>0</v>
      </c>
      <c r="P5552" t="n">
        <v>0</v>
      </c>
      <c r="Q5552" t="n">
        <v>0</v>
      </c>
      <c r="R5552" s="2" t="inlineStr"/>
    </row>
    <row r="5553" ht="15" customHeight="1">
      <c r="A5553" t="inlineStr">
        <is>
          <t>A 59370-2021</t>
        </is>
      </c>
      <c r="B5553" s="1" t="n">
        <v>44491</v>
      </c>
      <c r="C5553" s="1" t="n">
        <v>45810</v>
      </c>
      <c r="D5553" t="inlineStr">
        <is>
          <t>VÄRMLANDS LÄN</t>
        </is>
      </c>
      <c r="E5553" t="inlineStr">
        <is>
          <t>EDA</t>
        </is>
      </c>
      <c r="G5553" t="n">
        <v>2.4</v>
      </c>
      <c r="H5553" t="n">
        <v>0</v>
      </c>
      <c r="I5553" t="n">
        <v>0</v>
      </c>
      <c r="J5553" t="n">
        <v>0</v>
      </c>
      <c r="K5553" t="n">
        <v>0</v>
      </c>
      <c r="L5553" t="n">
        <v>0</v>
      </c>
      <c r="M5553" t="n">
        <v>0</v>
      </c>
      <c r="N5553" t="n">
        <v>0</v>
      </c>
      <c r="O5553" t="n">
        <v>0</v>
      </c>
      <c r="P5553" t="n">
        <v>0</v>
      </c>
      <c r="Q5553" t="n">
        <v>0</v>
      </c>
      <c r="R5553" s="2" t="inlineStr"/>
    </row>
    <row r="5554" ht="15" customHeight="1">
      <c r="A5554" t="inlineStr">
        <is>
          <t>A 59341-2021</t>
        </is>
      </c>
      <c r="B5554" s="1" t="n">
        <v>44491</v>
      </c>
      <c r="C5554" s="1" t="n">
        <v>45810</v>
      </c>
      <c r="D5554" t="inlineStr">
        <is>
          <t>VÄRMLANDS LÄN</t>
        </is>
      </c>
      <c r="E5554" t="inlineStr">
        <is>
          <t>ÅRJÄNG</t>
        </is>
      </c>
      <c r="G5554" t="n">
        <v>0.4</v>
      </c>
      <c r="H5554" t="n">
        <v>0</v>
      </c>
      <c r="I5554" t="n">
        <v>0</v>
      </c>
      <c r="J5554" t="n">
        <v>0</v>
      </c>
      <c r="K5554" t="n">
        <v>0</v>
      </c>
      <c r="L5554" t="n">
        <v>0</v>
      </c>
      <c r="M5554" t="n">
        <v>0</v>
      </c>
      <c r="N5554" t="n">
        <v>0</v>
      </c>
      <c r="O5554" t="n">
        <v>0</v>
      </c>
      <c r="P5554" t="n">
        <v>0</v>
      </c>
      <c r="Q5554" t="n">
        <v>0</v>
      </c>
      <c r="R5554" s="2" t="inlineStr"/>
    </row>
    <row r="5555" ht="15" customHeight="1">
      <c r="A5555" t="inlineStr">
        <is>
          <t>A 59375-2021</t>
        </is>
      </c>
      <c r="B5555" s="1" t="n">
        <v>44491</v>
      </c>
      <c r="C5555" s="1" t="n">
        <v>45810</v>
      </c>
      <c r="D5555" t="inlineStr">
        <is>
          <t>VÄRMLANDS LÄN</t>
        </is>
      </c>
      <c r="E5555" t="inlineStr">
        <is>
          <t>EDA</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59425-2021</t>
        </is>
      </c>
      <c r="B5556" s="1" t="n">
        <v>44491</v>
      </c>
      <c r="C5556" s="1" t="n">
        <v>45810</v>
      </c>
      <c r="D5556" t="inlineStr">
        <is>
          <t>VÄRMLANDS LÄN</t>
        </is>
      </c>
      <c r="E5556" t="inlineStr">
        <is>
          <t>TORSBY</t>
        </is>
      </c>
      <c r="F5556" t="inlineStr">
        <is>
          <t>Bergvik skog väst AB</t>
        </is>
      </c>
      <c r="G5556" t="n">
        <v>14.9</v>
      </c>
      <c r="H5556" t="n">
        <v>0</v>
      </c>
      <c r="I5556" t="n">
        <v>0</v>
      </c>
      <c r="J5556" t="n">
        <v>0</v>
      </c>
      <c r="K5556" t="n">
        <v>0</v>
      </c>
      <c r="L5556" t="n">
        <v>0</v>
      </c>
      <c r="M5556" t="n">
        <v>0</v>
      </c>
      <c r="N5556" t="n">
        <v>0</v>
      </c>
      <c r="O5556" t="n">
        <v>0</v>
      </c>
      <c r="P5556" t="n">
        <v>0</v>
      </c>
      <c r="Q5556" t="n">
        <v>0</v>
      </c>
      <c r="R5556" s="2" t="inlineStr"/>
    </row>
    <row r="5557" ht="15" customHeight="1">
      <c r="A5557" t="inlineStr">
        <is>
          <t>A 59453-2021</t>
        </is>
      </c>
      <c r="B5557" s="1" t="n">
        <v>44491</v>
      </c>
      <c r="C5557" s="1" t="n">
        <v>45810</v>
      </c>
      <c r="D5557" t="inlineStr">
        <is>
          <t>VÄRMLANDS LÄN</t>
        </is>
      </c>
      <c r="E5557" t="inlineStr">
        <is>
          <t>ÅRJÄNG</t>
        </is>
      </c>
      <c r="G5557" t="n">
        <v>2.3</v>
      </c>
      <c r="H5557" t="n">
        <v>0</v>
      </c>
      <c r="I5557" t="n">
        <v>0</v>
      </c>
      <c r="J5557" t="n">
        <v>0</v>
      </c>
      <c r="K5557" t="n">
        <v>0</v>
      </c>
      <c r="L5557" t="n">
        <v>0</v>
      </c>
      <c r="M5557" t="n">
        <v>0</v>
      </c>
      <c r="N5557" t="n">
        <v>0</v>
      </c>
      <c r="O5557" t="n">
        <v>0</v>
      </c>
      <c r="P5557" t="n">
        <v>0</v>
      </c>
      <c r="Q5557" t="n">
        <v>0</v>
      </c>
      <c r="R5557" s="2" t="inlineStr"/>
    </row>
    <row r="5558" ht="15" customHeight="1">
      <c r="A5558" t="inlineStr">
        <is>
          <t>A 59508-2021</t>
        </is>
      </c>
      <c r="B5558" s="1" t="n">
        <v>44491</v>
      </c>
      <c r="C5558" s="1" t="n">
        <v>45810</v>
      </c>
      <c r="D5558" t="inlineStr">
        <is>
          <t>VÄRMLANDS LÄN</t>
        </is>
      </c>
      <c r="E5558" t="inlineStr">
        <is>
          <t>HAGFORS</t>
        </is>
      </c>
      <c r="F5558" t="inlineStr">
        <is>
          <t>Bergvik skog väst AB</t>
        </is>
      </c>
      <c r="G5558" t="n">
        <v>19.7</v>
      </c>
      <c r="H5558" t="n">
        <v>0</v>
      </c>
      <c r="I5558" t="n">
        <v>0</v>
      </c>
      <c r="J5558" t="n">
        <v>0</v>
      </c>
      <c r="K5558" t="n">
        <v>0</v>
      </c>
      <c r="L5558" t="n">
        <v>0</v>
      </c>
      <c r="M5558" t="n">
        <v>0</v>
      </c>
      <c r="N5558" t="n">
        <v>0</v>
      </c>
      <c r="O5558" t="n">
        <v>0</v>
      </c>
      <c r="P5558" t="n">
        <v>0</v>
      </c>
      <c r="Q5558" t="n">
        <v>0</v>
      </c>
      <c r="R5558" s="2" t="inlineStr"/>
    </row>
    <row r="5559" ht="15" customHeight="1">
      <c r="A5559" t="inlineStr">
        <is>
          <t>A 59466-2021</t>
        </is>
      </c>
      <c r="B5559" s="1" t="n">
        <v>44491</v>
      </c>
      <c r="C5559" s="1" t="n">
        <v>45810</v>
      </c>
      <c r="D5559" t="inlineStr">
        <is>
          <t>VÄRMLANDS LÄN</t>
        </is>
      </c>
      <c r="E5559" t="inlineStr">
        <is>
          <t>ÅRJÄNG</t>
        </is>
      </c>
      <c r="G5559" t="n">
        <v>2.7</v>
      </c>
      <c r="H5559" t="n">
        <v>0</v>
      </c>
      <c r="I5559" t="n">
        <v>0</v>
      </c>
      <c r="J5559" t="n">
        <v>0</v>
      </c>
      <c r="K5559" t="n">
        <v>0</v>
      </c>
      <c r="L5559" t="n">
        <v>0</v>
      </c>
      <c r="M5559" t="n">
        <v>0</v>
      </c>
      <c r="N5559" t="n">
        <v>0</v>
      </c>
      <c r="O5559" t="n">
        <v>0</v>
      </c>
      <c r="P5559" t="n">
        <v>0</v>
      </c>
      <c r="Q5559" t="n">
        <v>0</v>
      </c>
      <c r="R5559" s="2" t="inlineStr"/>
    </row>
    <row r="5560" ht="15" customHeight="1">
      <c r="A5560" t="inlineStr">
        <is>
          <t>A 59531-2021</t>
        </is>
      </c>
      <c r="B5560" s="1" t="n">
        <v>44491</v>
      </c>
      <c r="C5560" s="1" t="n">
        <v>45810</v>
      </c>
      <c r="D5560" t="inlineStr">
        <is>
          <t>VÄRMLANDS LÄN</t>
        </is>
      </c>
      <c r="E5560" t="inlineStr">
        <is>
          <t>HAGFORS</t>
        </is>
      </c>
      <c r="G5560" t="n">
        <v>4.4</v>
      </c>
      <c r="H5560" t="n">
        <v>0</v>
      </c>
      <c r="I5560" t="n">
        <v>0</v>
      </c>
      <c r="J5560" t="n">
        <v>0</v>
      </c>
      <c r="K5560" t="n">
        <v>0</v>
      </c>
      <c r="L5560" t="n">
        <v>0</v>
      </c>
      <c r="M5560" t="n">
        <v>0</v>
      </c>
      <c r="N5560" t="n">
        <v>0</v>
      </c>
      <c r="O5560" t="n">
        <v>0</v>
      </c>
      <c r="P5560" t="n">
        <v>0</v>
      </c>
      <c r="Q5560" t="n">
        <v>0</v>
      </c>
      <c r="R5560" s="2" t="inlineStr"/>
    </row>
    <row r="5561" ht="15" customHeight="1">
      <c r="A5561" t="inlineStr">
        <is>
          <t>A 59535-2021</t>
        </is>
      </c>
      <c r="B5561" s="1" t="n">
        <v>44491</v>
      </c>
      <c r="C5561" s="1" t="n">
        <v>45810</v>
      </c>
      <c r="D5561" t="inlineStr">
        <is>
          <t>VÄRMLANDS LÄN</t>
        </is>
      </c>
      <c r="E5561" t="inlineStr">
        <is>
          <t>HAGFORS</t>
        </is>
      </c>
      <c r="G5561" t="n">
        <v>3.3</v>
      </c>
      <c r="H5561" t="n">
        <v>0</v>
      </c>
      <c r="I5561" t="n">
        <v>0</v>
      </c>
      <c r="J5561" t="n">
        <v>0</v>
      </c>
      <c r="K5561" t="n">
        <v>0</v>
      </c>
      <c r="L5561" t="n">
        <v>0</v>
      </c>
      <c r="M5561" t="n">
        <v>0</v>
      </c>
      <c r="N5561" t="n">
        <v>0</v>
      </c>
      <c r="O5561" t="n">
        <v>0</v>
      </c>
      <c r="P5561" t="n">
        <v>0</v>
      </c>
      <c r="Q5561" t="n">
        <v>0</v>
      </c>
      <c r="R5561" s="2" t="inlineStr"/>
    </row>
    <row r="5562" ht="15" customHeight="1">
      <c r="A5562" t="inlineStr">
        <is>
          <t>A 59510-2021</t>
        </is>
      </c>
      <c r="B5562" s="1" t="n">
        <v>44491</v>
      </c>
      <c r="C5562" s="1" t="n">
        <v>45810</v>
      </c>
      <c r="D5562" t="inlineStr">
        <is>
          <t>VÄRMLANDS LÄN</t>
        </is>
      </c>
      <c r="E5562" t="inlineStr">
        <is>
          <t>SÄFFLE</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59627-2021</t>
        </is>
      </c>
      <c r="B5563" s="1" t="n">
        <v>44491</v>
      </c>
      <c r="C5563" s="1" t="n">
        <v>45810</v>
      </c>
      <c r="D5563" t="inlineStr">
        <is>
          <t>VÄRMLANDS LÄN</t>
        </is>
      </c>
      <c r="E5563" t="inlineStr">
        <is>
          <t>KARLSTAD</t>
        </is>
      </c>
      <c r="G5563" t="n">
        <v>3.4</v>
      </c>
      <c r="H5563" t="n">
        <v>0</v>
      </c>
      <c r="I5563" t="n">
        <v>0</v>
      </c>
      <c r="J5563" t="n">
        <v>0</v>
      </c>
      <c r="K5563" t="n">
        <v>0</v>
      </c>
      <c r="L5563" t="n">
        <v>0</v>
      </c>
      <c r="M5563" t="n">
        <v>0</v>
      </c>
      <c r="N5563" t="n">
        <v>0</v>
      </c>
      <c r="O5563" t="n">
        <v>0</v>
      </c>
      <c r="P5563" t="n">
        <v>0</v>
      </c>
      <c r="Q5563" t="n">
        <v>0</v>
      </c>
      <c r="R5563" s="2" t="inlineStr"/>
    </row>
    <row r="5564" ht="15" customHeight="1">
      <c r="A5564" t="inlineStr">
        <is>
          <t>A 59626-2021</t>
        </is>
      </c>
      <c r="B5564" s="1" t="n">
        <v>44491</v>
      </c>
      <c r="C5564" s="1" t="n">
        <v>45810</v>
      </c>
      <c r="D5564" t="inlineStr">
        <is>
          <t>VÄRMLANDS LÄN</t>
        </is>
      </c>
      <c r="E5564" t="inlineStr">
        <is>
          <t>KARLSTAD</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59639-2021</t>
        </is>
      </c>
      <c r="B5565" s="1" t="n">
        <v>44493</v>
      </c>
      <c r="C5565" s="1" t="n">
        <v>45810</v>
      </c>
      <c r="D5565" t="inlineStr">
        <is>
          <t>VÄRMLANDS LÄN</t>
        </is>
      </c>
      <c r="E5565" t="inlineStr">
        <is>
          <t>KARLSTAD</t>
        </is>
      </c>
      <c r="G5565" t="n">
        <v>4.1</v>
      </c>
      <c r="H5565" t="n">
        <v>0</v>
      </c>
      <c r="I5565" t="n">
        <v>0</v>
      </c>
      <c r="J5565" t="n">
        <v>0</v>
      </c>
      <c r="K5565" t="n">
        <v>0</v>
      </c>
      <c r="L5565" t="n">
        <v>0</v>
      </c>
      <c r="M5565" t="n">
        <v>0</v>
      </c>
      <c r="N5565" t="n">
        <v>0</v>
      </c>
      <c r="O5565" t="n">
        <v>0</v>
      </c>
      <c r="P5565" t="n">
        <v>0</v>
      </c>
      <c r="Q5565" t="n">
        <v>0</v>
      </c>
      <c r="R5565" s="2" t="inlineStr"/>
    </row>
    <row r="5566" ht="15" customHeight="1">
      <c r="A5566" t="inlineStr">
        <is>
          <t>A 59886-2021</t>
        </is>
      </c>
      <c r="B5566" s="1" t="n">
        <v>44493</v>
      </c>
      <c r="C5566" s="1" t="n">
        <v>45810</v>
      </c>
      <c r="D5566" t="inlineStr">
        <is>
          <t>VÄRMLANDS LÄN</t>
        </is>
      </c>
      <c r="E5566" t="inlineStr">
        <is>
          <t>ARVIKA</t>
        </is>
      </c>
      <c r="G5566" t="n">
        <v>3</v>
      </c>
      <c r="H5566" t="n">
        <v>0</v>
      </c>
      <c r="I5566" t="n">
        <v>0</v>
      </c>
      <c r="J5566" t="n">
        <v>0</v>
      </c>
      <c r="K5566" t="n">
        <v>0</v>
      </c>
      <c r="L5566" t="n">
        <v>0</v>
      </c>
      <c r="M5566" t="n">
        <v>0</v>
      </c>
      <c r="N5566" t="n">
        <v>0</v>
      </c>
      <c r="O5566" t="n">
        <v>0</v>
      </c>
      <c r="P5566" t="n">
        <v>0</v>
      </c>
      <c r="Q5566" t="n">
        <v>0</v>
      </c>
      <c r="R5566" s="2" t="inlineStr"/>
    </row>
    <row r="5567" ht="15" customHeight="1">
      <c r="A5567" t="inlineStr">
        <is>
          <t>A 59641-2021</t>
        </is>
      </c>
      <c r="B5567" s="1" t="n">
        <v>44493</v>
      </c>
      <c r="C5567" s="1" t="n">
        <v>45810</v>
      </c>
      <c r="D5567" t="inlineStr">
        <is>
          <t>VÄRMLANDS LÄN</t>
        </is>
      </c>
      <c r="E5567" t="inlineStr">
        <is>
          <t>KARLSTAD</t>
        </is>
      </c>
      <c r="G5567" t="n">
        <v>1.9</v>
      </c>
      <c r="H5567" t="n">
        <v>0</v>
      </c>
      <c r="I5567" t="n">
        <v>0</v>
      </c>
      <c r="J5567" t="n">
        <v>0</v>
      </c>
      <c r="K5567" t="n">
        <v>0</v>
      </c>
      <c r="L5567" t="n">
        <v>0</v>
      </c>
      <c r="M5567" t="n">
        <v>0</v>
      </c>
      <c r="N5567" t="n">
        <v>0</v>
      </c>
      <c r="O5567" t="n">
        <v>0</v>
      </c>
      <c r="P5567" t="n">
        <v>0</v>
      </c>
      <c r="Q5567" t="n">
        <v>0</v>
      </c>
      <c r="R5567" s="2" t="inlineStr"/>
    </row>
    <row r="5568" ht="15" customHeight="1">
      <c r="A5568" t="inlineStr">
        <is>
          <t>A 59760-2021</t>
        </is>
      </c>
      <c r="B5568" s="1" t="n">
        <v>44494</v>
      </c>
      <c r="C5568" s="1" t="n">
        <v>45810</v>
      </c>
      <c r="D5568" t="inlineStr">
        <is>
          <t>VÄRMLANDS LÄN</t>
        </is>
      </c>
      <c r="E5568" t="inlineStr">
        <is>
          <t>GRUMS</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59834-2021</t>
        </is>
      </c>
      <c r="B5569" s="1" t="n">
        <v>44494</v>
      </c>
      <c r="C5569" s="1" t="n">
        <v>45810</v>
      </c>
      <c r="D5569" t="inlineStr">
        <is>
          <t>VÄRMLANDS LÄN</t>
        </is>
      </c>
      <c r="E5569" t="inlineStr">
        <is>
          <t>SÄFFLE</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59805-2021</t>
        </is>
      </c>
      <c r="B5570" s="1" t="n">
        <v>44494</v>
      </c>
      <c r="C5570" s="1" t="n">
        <v>45810</v>
      </c>
      <c r="D5570" t="inlineStr">
        <is>
          <t>VÄRMLANDS LÄN</t>
        </is>
      </c>
      <c r="E5570" t="inlineStr">
        <is>
          <t>EDA</t>
        </is>
      </c>
      <c r="G5570" t="n">
        <v>8.699999999999999</v>
      </c>
      <c r="H5570" t="n">
        <v>0</v>
      </c>
      <c r="I5570" t="n">
        <v>0</v>
      </c>
      <c r="J5570" t="n">
        <v>0</v>
      </c>
      <c r="K5570" t="n">
        <v>0</v>
      </c>
      <c r="L5570" t="n">
        <v>0</v>
      </c>
      <c r="M5570" t="n">
        <v>0</v>
      </c>
      <c r="N5570" t="n">
        <v>0</v>
      </c>
      <c r="O5570" t="n">
        <v>0</v>
      </c>
      <c r="P5570" t="n">
        <v>0</v>
      </c>
      <c r="Q5570" t="n">
        <v>0</v>
      </c>
      <c r="R5570" s="2" t="inlineStr"/>
    </row>
    <row r="5571" ht="15" customHeight="1">
      <c r="A5571" t="inlineStr">
        <is>
          <t>A 59815-2021</t>
        </is>
      </c>
      <c r="B5571" s="1" t="n">
        <v>44494</v>
      </c>
      <c r="C5571" s="1" t="n">
        <v>45810</v>
      </c>
      <c r="D5571" t="inlineStr">
        <is>
          <t>VÄRMLANDS LÄN</t>
        </is>
      </c>
      <c r="E5571" t="inlineStr">
        <is>
          <t>EDA</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59746-2021</t>
        </is>
      </c>
      <c r="B5572" s="1" t="n">
        <v>44494</v>
      </c>
      <c r="C5572" s="1" t="n">
        <v>45810</v>
      </c>
      <c r="D5572" t="inlineStr">
        <is>
          <t>VÄRMLANDS LÄN</t>
        </is>
      </c>
      <c r="E5572" t="inlineStr">
        <is>
          <t>GRUMS</t>
        </is>
      </c>
      <c r="G5572" t="n">
        <v>1.6</v>
      </c>
      <c r="H5572" t="n">
        <v>0</v>
      </c>
      <c r="I5572" t="n">
        <v>0</v>
      </c>
      <c r="J5572" t="n">
        <v>0</v>
      </c>
      <c r="K5572" t="n">
        <v>0</v>
      </c>
      <c r="L5572" t="n">
        <v>0</v>
      </c>
      <c r="M5572" t="n">
        <v>0</v>
      </c>
      <c r="N5572" t="n">
        <v>0</v>
      </c>
      <c r="O5572" t="n">
        <v>0</v>
      </c>
      <c r="P5572" t="n">
        <v>0</v>
      </c>
      <c r="Q5572" t="n">
        <v>0</v>
      </c>
      <c r="R5572" s="2" t="inlineStr"/>
    </row>
    <row r="5573" ht="15" customHeight="1">
      <c r="A5573" t="inlineStr">
        <is>
          <t>A 59954-2021</t>
        </is>
      </c>
      <c r="B5573" s="1" t="n">
        <v>44494</v>
      </c>
      <c r="C5573" s="1" t="n">
        <v>45810</v>
      </c>
      <c r="D5573" t="inlineStr">
        <is>
          <t>VÄRMLANDS LÄN</t>
        </is>
      </c>
      <c r="E5573" t="inlineStr">
        <is>
          <t>FILIPSTAD</t>
        </is>
      </c>
      <c r="G5573" t="n">
        <v>3.1</v>
      </c>
      <c r="H5573" t="n">
        <v>0</v>
      </c>
      <c r="I5573" t="n">
        <v>0</v>
      </c>
      <c r="J5573" t="n">
        <v>0</v>
      </c>
      <c r="K5573" t="n">
        <v>0</v>
      </c>
      <c r="L5573" t="n">
        <v>0</v>
      </c>
      <c r="M5573" t="n">
        <v>0</v>
      </c>
      <c r="N5573" t="n">
        <v>0</v>
      </c>
      <c r="O5573" t="n">
        <v>0</v>
      </c>
      <c r="P5573" t="n">
        <v>0</v>
      </c>
      <c r="Q5573" t="n">
        <v>0</v>
      </c>
      <c r="R5573" s="2" t="inlineStr"/>
    </row>
    <row r="5574" ht="15" customHeight="1">
      <c r="A5574" t="inlineStr">
        <is>
          <t>A 59863-2021</t>
        </is>
      </c>
      <c r="B5574" s="1" t="n">
        <v>44494</v>
      </c>
      <c r="C5574" s="1" t="n">
        <v>45810</v>
      </c>
      <c r="D5574" t="inlineStr">
        <is>
          <t>VÄRMLANDS LÄN</t>
        </is>
      </c>
      <c r="E5574" t="inlineStr">
        <is>
          <t>GRUMS</t>
        </is>
      </c>
      <c r="G5574" t="n">
        <v>2.6</v>
      </c>
      <c r="H5574" t="n">
        <v>0</v>
      </c>
      <c r="I5574" t="n">
        <v>0</v>
      </c>
      <c r="J5574" t="n">
        <v>0</v>
      </c>
      <c r="K5574" t="n">
        <v>0</v>
      </c>
      <c r="L5574" t="n">
        <v>0</v>
      </c>
      <c r="M5574" t="n">
        <v>0</v>
      </c>
      <c r="N5574" t="n">
        <v>0</v>
      </c>
      <c r="O5574" t="n">
        <v>0</v>
      </c>
      <c r="P5574" t="n">
        <v>0</v>
      </c>
      <c r="Q5574" t="n">
        <v>0</v>
      </c>
      <c r="R5574" s="2" t="inlineStr"/>
    </row>
    <row r="5575" ht="15" customHeight="1">
      <c r="A5575" t="inlineStr">
        <is>
          <t>A 60183-2021</t>
        </is>
      </c>
      <c r="B5575" s="1" t="n">
        <v>44495</v>
      </c>
      <c r="C5575" s="1" t="n">
        <v>45810</v>
      </c>
      <c r="D5575" t="inlineStr">
        <is>
          <t>VÄRMLANDS LÄN</t>
        </is>
      </c>
      <c r="E5575" t="inlineStr">
        <is>
          <t>ARVIKA</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60097-2021</t>
        </is>
      </c>
      <c r="B5576" s="1" t="n">
        <v>44495</v>
      </c>
      <c r="C5576" s="1" t="n">
        <v>45810</v>
      </c>
      <c r="D5576" t="inlineStr">
        <is>
          <t>VÄRMLANDS LÄN</t>
        </is>
      </c>
      <c r="E5576" t="inlineStr">
        <is>
          <t>ÅRJÄNG</t>
        </is>
      </c>
      <c r="G5576" t="n">
        <v>6.5</v>
      </c>
      <c r="H5576" t="n">
        <v>0</v>
      </c>
      <c r="I5576" t="n">
        <v>0</v>
      </c>
      <c r="J5576" t="n">
        <v>0</v>
      </c>
      <c r="K5576" t="n">
        <v>0</v>
      </c>
      <c r="L5576" t="n">
        <v>0</v>
      </c>
      <c r="M5576" t="n">
        <v>0</v>
      </c>
      <c r="N5576" t="n">
        <v>0</v>
      </c>
      <c r="O5576" t="n">
        <v>0</v>
      </c>
      <c r="P5576" t="n">
        <v>0</v>
      </c>
      <c r="Q5576" t="n">
        <v>0</v>
      </c>
      <c r="R5576" s="2" t="inlineStr"/>
    </row>
    <row r="5577" ht="15" customHeight="1">
      <c r="A5577" t="inlineStr">
        <is>
          <t>A 60289-2021</t>
        </is>
      </c>
      <c r="B5577" s="1" t="n">
        <v>44495</v>
      </c>
      <c r="C5577" s="1" t="n">
        <v>45810</v>
      </c>
      <c r="D5577" t="inlineStr">
        <is>
          <t>VÄRMLANDS LÄN</t>
        </is>
      </c>
      <c r="E5577" t="inlineStr">
        <is>
          <t>KARLSTAD</t>
        </is>
      </c>
      <c r="G5577" t="n">
        <v>6</v>
      </c>
      <c r="H5577" t="n">
        <v>0</v>
      </c>
      <c r="I5577" t="n">
        <v>0</v>
      </c>
      <c r="J5577" t="n">
        <v>0</v>
      </c>
      <c r="K5577" t="n">
        <v>0</v>
      </c>
      <c r="L5577" t="n">
        <v>0</v>
      </c>
      <c r="M5577" t="n">
        <v>0</v>
      </c>
      <c r="N5577" t="n">
        <v>0</v>
      </c>
      <c r="O5577" t="n">
        <v>0</v>
      </c>
      <c r="P5577" t="n">
        <v>0</v>
      </c>
      <c r="Q5577" t="n">
        <v>0</v>
      </c>
      <c r="R5577" s="2" t="inlineStr"/>
    </row>
    <row r="5578" ht="15" customHeight="1">
      <c r="A5578" t="inlineStr">
        <is>
          <t>A 61109-2021</t>
        </is>
      </c>
      <c r="B5578" s="1" t="n">
        <v>44495</v>
      </c>
      <c r="C5578" s="1" t="n">
        <v>45810</v>
      </c>
      <c r="D5578" t="inlineStr">
        <is>
          <t>VÄRMLANDS LÄN</t>
        </is>
      </c>
      <c r="E5578" t="inlineStr">
        <is>
          <t>KARLSTAD</t>
        </is>
      </c>
      <c r="G5578" t="n">
        <v>12.6</v>
      </c>
      <c r="H5578" t="n">
        <v>0</v>
      </c>
      <c r="I5578" t="n">
        <v>0</v>
      </c>
      <c r="J5578" t="n">
        <v>0</v>
      </c>
      <c r="K5578" t="n">
        <v>0</v>
      </c>
      <c r="L5578" t="n">
        <v>0</v>
      </c>
      <c r="M5578" t="n">
        <v>0</v>
      </c>
      <c r="N5578" t="n">
        <v>0</v>
      </c>
      <c r="O5578" t="n">
        <v>0</v>
      </c>
      <c r="P5578" t="n">
        <v>0</v>
      </c>
      <c r="Q5578" t="n">
        <v>0</v>
      </c>
      <c r="R5578" s="2" t="inlineStr"/>
    </row>
    <row r="5579" ht="15" customHeight="1">
      <c r="A5579" t="inlineStr">
        <is>
          <t>A 60508-2021</t>
        </is>
      </c>
      <c r="B5579" s="1" t="n">
        <v>44496</v>
      </c>
      <c r="C5579" s="1" t="n">
        <v>45810</v>
      </c>
      <c r="D5579" t="inlineStr">
        <is>
          <t>VÄRMLANDS LÄN</t>
        </is>
      </c>
      <c r="E5579" t="inlineStr">
        <is>
          <t>ARVIKA</t>
        </is>
      </c>
      <c r="F5579" t="inlineStr">
        <is>
          <t>Bergvik skog väst AB</t>
        </is>
      </c>
      <c r="G5579" t="n">
        <v>3.6</v>
      </c>
      <c r="H5579" t="n">
        <v>0</v>
      </c>
      <c r="I5579" t="n">
        <v>0</v>
      </c>
      <c r="J5579" t="n">
        <v>0</v>
      </c>
      <c r="K5579" t="n">
        <v>0</v>
      </c>
      <c r="L5579" t="n">
        <v>0</v>
      </c>
      <c r="M5579" t="n">
        <v>0</v>
      </c>
      <c r="N5579" t="n">
        <v>0</v>
      </c>
      <c r="O5579" t="n">
        <v>0</v>
      </c>
      <c r="P5579" t="n">
        <v>0</v>
      </c>
      <c r="Q5579" t="n">
        <v>0</v>
      </c>
      <c r="R5579" s="2" t="inlineStr"/>
    </row>
    <row r="5580" ht="15" customHeight="1">
      <c r="A5580" t="inlineStr">
        <is>
          <t>A 60374-2021</t>
        </is>
      </c>
      <c r="B5580" s="1" t="n">
        <v>44496</v>
      </c>
      <c r="C5580" s="1" t="n">
        <v>45810</v>
      </c>
      <c r="D5580" t="inlineStr">
        <is>
          <t>VÄRMLANDS LÄN</t>
        </is>
      </c>
      <c r="E5580" t="inlineStr">
        <is>
          <t>FILIPSTAD</t>
        </is>
      </c>
      <c r="G5580" t="n">
        <v>6.2</v>
      </c>
      <c r="H5580" t="n">
        <v>0</v>
      </c>
      <c r="I5580" t="n">
        <v>0</v>
      </c>
      <c r="J5580" t="n">
        <v>0</v>
      </c>
      <c r="K5580" t="n">
        <v>0</v>
      </c>
      <c r="L5580" t="n">
        <v>0</v>
      </c>
      <c r="M5580" t="n">
        <v>0</v>
      </c>
      <c r="N5580" t="n">
        <v>0</v>
      </c>
      <c r="O5580" t="n">
        <v>0</v>
      </c>
      <c r="P5580" t="n">
        <v>0</v>
      </c>
      <c r="Q5580" t="n">
        <v>0</v>
      </c>
      <c r="R5580" s="2" t="inlineStr"/>
    </row>
    <row r="5581" ht="15" customHeight="1">
      <c r="A5581" t="inlineStr">
        <is>
          <t>A 60428-2021</t>
        </is>
      </c>
      <c r="B5581" s="1" t="n">
        <v>44496</v>
      </c>
      <c r="C5581" s="1" t="n">
        <v>45810</v>
      </c>
      <c r="D5581" t="inlineStr">
        <is>
          <t>VÄRMLANDS LÄN</t>
        </is>
      </c>
      <c r="E5581" t="inlineStr">
        <is>
          <t>TORSBY</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60377-2021</t>
        </is>
      </c>
      <c r="B5582" s="1" t="n">
        <v>44496</v>
      </c>
      <c r="C5582" s="1" t="n">
        <v>45810</v>
      </c>
      <c r="D5582" t="inlineStr">
        <is>
          <t>VÄRMLANDS LÄN</t>
        </is>
      </c>
      <c r="E5582" t="inlineStr">
        <is>
          <t>FILIPSTAD</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60430-2021</t>
        </is>
      </c>
      <c r="B5583" s="1" t="n">
        <v>44496</v>
      </c>
      <c r="C5583" s="1" t="n">
        <v>45810</v>
      </c>
      <c r="D5583" t="inlineStr">
        <is>
          <t>VÄRMLANDS LÄN</t>
        </is>
      </c>
      <c r="E5583" t="inlineStr">
        <is>
          <t>TORSBY</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60502-2021</t>
        </is>
      </c>
      <c r="B5584" s="1" t="n">
        <v>44496</v>
      </c>
      <c r="C5584" s="1" t="n">
        <v>45810</v>
      </c>
      <c r="D5584" t="inlineStr">
        <is>
          <t>VÄRMLANDS LÄN</t>
        </is>
      </c>
      <c r="E5584" t="inlineStr">
        <is>
          <t>ARVIKA</t>
        </is>
      </c>
      <c r="G5584" t="n">
        <v>2.9</v>
      </c>
      <c r="H5584" t="n">
        <v>0</v>
      </c>
      <c r="I5584" t="n">
        <v>0</v>
      </c>
      <c r="J5584" t="n">
        <v>0</v>
      </c>
      <c r="K5584" t="n">
        <v>0</v>
      </c>
      <c r="L5584" t="n">
        <v>0</v>
      </c>
      <c r="M5584" t="n">
        <v>0</v>
      </c>
      <c r="N5584" t="n">
        <v>0</v>
      </c>
      <c r="O5584" t="n">
        <v>0</v>
      </c>
      <c r="P5584" t="n">
        <v>0</v>
      </c>
      <c r="Q5584" t="n">
        <v>0</v>
      </c>
      <c r="R5584" s="2" t="inlineStr"/>
    </row>
    <row r="5585" ht="15" customHeight="1">
      <c r="A5585" t="inlineStr">
        <is>
          <t>A 60698-2021</t>
        </is>
      </c>
      <c r="B5585" s="1" t="n">
        <v>44496</v>
      </c>
      <c r="C5585" s="1" t="n">
        <v>45810</v>
      </c>
      <c r="D5585" t="inlineStr">
        <is>
          <t>VÄRMLANDS LÄN</t>
        </is>
      </c>
      <c r="E5585" t="inlineStr">
        <is>
          <t>TORSBY</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60715-2021</t>
        </is>
      </c>
      <c r="B5586" s="1" t="n">
        <v>44496</v>
      </c>
      <c r="C5586" s="1" t="n">
        <v>45810</v>
      </c>
      <c r="D5586" t="inlineStr">
        <is>
          <t>VÄRMLANDS LÄN</t>
        </is>
      </c>
      <c r="E5586" t="inlineStr">
        <is>
          <t>ÅRJÄNG</t>
        </is>
      </c>
      <c r="G5586" t="n">
        <v>7.4</v>
      </c>
      <c r="H5586" t="n">
        <v>0</v>
      </c>
      <c r="I5586" t="n">
        <v>0</v>
      </c>
      <c r="J5586" t="n">
        <v>0</v>
      </c>
      <c r="K5586" t="n">
        <v>0</v>
      </c>
      <c r="L5586" t="n">
        <v>0</v>
      </c>
      <c r="M5586" t="n">
        <v>0</v>
      </c>
      <c r="N5586" t="n">
        <v>0</v>
      </c>
      <c r="O5586" t="n">
        <v>0</v>
      </c>
      <c r="P5586" t="n">
        <v>0</v>
      </c>
      <c r="Q5586" t="n">
        <v>0</v>
      </c>
      <c r="R5586" s="2" t="inlineStr"/>
    </row>
    <row r="5587" ht="15" customHeight="1">
      <c r="A5587" t="inlineStr">
        <is>
          <t>A 60682-2021</t>
        </is>
      </c>
      <c r="B5587" s="1" t="n">
        <v>44496</v>
      </c>
      <c r="C5587" s="1" t="n">
        <v>45810</v>
      </c>
      <c r="D5587" t="inlineStr">
        <is>
          <t>VÄRMLANDS LÄN</t>
        </is>
      </c>
      <c r="E5587" t="inlineStr">
        <is>
          <t>ÅRJÄNG</t>
        </is>
      </c>
      <c r="G5587" t="n">
        <v>15.7</v>
      </c>
      <c r="H5587" t="n">
        <v>0</v>
      </c>
      <c r="I5587" t="n">
        <v>0</v>
      </c>
      <c r="J5587" t="n">
        <v>0</v>
      </c>
      <c r="K5587" t="n">
        <v>0</v>
      </c>
      <c r="L5587" t="n">
        <v>0</v>
      </c>
      <c r="M5587" t="n">
        <v>0</v>
      </c>
      <c r="N5587" t="n">
        <v>0</v>
      </c>
      <c r="O5587" t="n">
        <v>0</v>
      </c>
      <c r="P5587" t="n">
        <v>0</v>
      </c>
      <c r="Q5587" t="n">
        <v>0</v>
      </c>
      <c r="R5587" s="2" t="inlineStr"/>
    </row>
    <row r="5588" ht="15" customHeight="1">
      <c r="A5588" t="inlineStr">
        <is>
          <t>A 60713-2021</t>
        </is>
      </c>
      <c r="B5588" s="1" t="n">
        <v>44496</v>
      </c>
      <c r="C5588" s="1" t="n">
        <v>45810</v>
      </c>
      <c r="D5588" t="inlineStr">
        <is>
          <t>VÄRMLANDS LÄN</t>
        </is>
      </c>
      <c r="E5588" t="inlineStr">
        <is>
          <t>ÅRJÄNG</t>
        </is>
      </c>
      <c r="G5588" t="n">
        <v>9.199999999999999</v>
      </c>
      <c r="H5588" t="n">
        <v>0</v>
      </c>
      <c r="I5588" t="n">
        <v>0</v>
      </c>
      <c r="J5588" t="n">
        <v>0</v>
      </c>
      <c r="K5588" t="n">
        <v>0</v>
      </c>
      <c r="L5588" t="n">
        <v>0</v>
      </c>
      <c r="M5588" t="n">
        <v>0</v>
      </c>
      <c r="N5588" t="n">
        <v>0</v>
      </c>
      <c r="O5588" t="n">
        <v>0</v>
      </c>
      <c r="P5588" t="n">
        <v>0</v>
      </c>
      <c r="Q5588" t="n">
        <v>0</v>
      </c>
      <c r="R5588" s="2" t="inlineStr"/>
    </row>
    <row r="5589" ht="15" customHeight="1">
      <c r="A5589" t="inlineStr">
        <is>
          <t>A 61252-2021</t>
        </is>
      </c>
      <c r="B5589" s="1" t="n">
        <v>44496</v>
      </c>
      <c r="C5589" s="1" t="n">
        <v>45810</v>
      </c>
      <c r="D5589" t="inlineStr">
        <is>
          <t>VÄRMLANDS LÄN</t>
        </is>
      </c>
      <c r="E5589" t="inlineStr">
        <is>
          <t>ÅRJÄNG</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61231-2021</t>
        </is>
      </c>
      <c r="B5590" s="1" t="n">
        <v>44496</v>
      </c>
      <c r="C5590" s="1" t="n">
        <v>45810</v>
      </c>
      <c r="D5590" t="inlineStr">
        <is>
          <t>VÄRMLANDS LÄN</t>
        </is>
      </c>
      <c r="E5590" t="inlineStr">
        <is>
          <t>TORSBY</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60842-2021</t>
        </is>
      </c>
      <c r="B5591" s="1" t="n">
        <v>44496</v>
      </c>
      <c r="C5591" s="1" t="n">
        <v>45810</v>
      </c>
      <c r="D5591" t="inlineStr">
        <is>
          <t>VÄRMLANDS LÄN</t>
        </is>
      </c>
      <c r="E5591" t="inlineStr">
        <is>
          <t>ARVIKA</t>
        </is>
      </c>
      <c r="G5591" t="n">
        <v>2.7</v>
      </c>
      <c r="H5591" t="n">
        <v>0</v>
      </c>
      <c r="I5591" t="n">
        <v>0</v>
      </c>
      <c r="J5591" t="n">
        <v>0</v>
      </c>
      <c r="K5591" t="n">
        <v>0</v>
      </c>
      <c r="L5591" t="n">
        <v>0</v>
      </c>
      <c r="M5591" t="n">
        <v>0</v>
      </c>
      <c r="N5591" t="n">
        <v>0</v>
      </c>
      <c r="O5591" t="n">
        <v>0</v>
      </c>
      <c r="P5591" t="n">
        <v>0</v>
      </c>
      <c r="Q5591" t="n">
        <v>0</v>
      </c>
      <c r="R5591" s="2" t="inlineStr"/>
    </row>
    <row r="5592" ht="15" customHeight="1">
      <c r="A5592" t="inlineStr">
        <is>
          <t>A 61240-2021</t>
        </is>
      </c>
      <c r="B5592" s="1" t="n">
        <v>44496</v>
      </c>
      <c r="C5592" s="1" t="n">
        <v>45810</v>
      </c>
      <c r="D5592" t="inlineStr">
        <is>
          <t>VÄRMLANDS LÄN</t>
        </is>
      </c>
      <c r="E5592" t="inlineStr">
        <is>
          <t>ÅRJÄNG</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61254-2021</t>
        </is>
      </c>
      <c r="B5593" s="1" t="n">
        <v>44496</v>
      </c>
      <c r="C5593" s="1" t="n">
        <v>45810</v>
      </c>
      <c r="D5593" t="inlineStr">
        <is>
          <t>VÄRMLANDS LÄN</t>
        </is>
      </c>
      <c r="E5593" t="inlineStr">
        <is>
          <t>ÅRJÄNG</t>
        </is>
      </c>
      <c r="G5593" t="n">
        <v>4</v>
      </c>
      <c r="H5593" t="n">
        <v>0</v>
      </c>
      <c r="I5593" t="n">
        <v>0</v>
      </c>
      <c r="J5593" t="n">
        <v>0</v>
      </c>
      <c r="K5593" t="n">
        <v>0</v>
      </c>
      <c r="L5593" t="n">
        <v>0</v>
      </c>
      <c r="M5593" t="n">
        <v>0</v>
      </c>
      <c r="N5593" t="n">
        <v>0</v>
      </c>
      <c r="O5593" t="n">
        <v>0</v>
      </c>
      <c r="P5593" t="n">
        <v>0</v>
      </c>
      <c r="Q5593" t="n">
        <v>0</v>
      </c>
      <c r="R5593" s="2" t="inlineStr"/>
    </row>
    <row r="5594" ht="15" customHeight="1">
      <c r="A5594" t="inlineStr">
        <is>
          <t>A 63627-2021</t>
        </is>
      </c>
      <c r="B5594" s="1" t="n">
        <v>44496</v>
      </c>
      <c r="C5594" s="1" t="n">
        <v>45810</v>
      </c>
      <c r="D5594" t="inlineStr">
        <is>
          <t>VÄRMLANDS LÄN</t>
        </is>
      </c>
      <c r="E5594" t="inlineStr">
        <is>
          <t>ARVIKA</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61158-2021</t>
        </is>
      </c>
      <c r="B5595" s="1" t="n">
        <v>44497</v>
      </c>
      <c r="C5595" s="1" t="n">
        <v>45810</v>
      </c>
      <c r="D5595" t="inlineStr">
        <is>
          <t>VÄRMLANDS LÄN</t>
        </is>
      </c>
      <c r="E5595" t="inlineStr">
        <is>
          <t>ÅRJÄNG</t>
        </is>
      </c>
      <c r="G5595" t="n">
        <v>4.1</v>
      </c>
      <c r="H5595" t="n">
        <v>0</v>
      </c>
      <c r="I5595" t="n">
        <v>0</v>
      </c>
      <c r="J5595" t="n">
        <v>0</v>
      </c>
      <c r="K5595" t="n">
        <v>0</v>
      </c>
      <c r="L5595" t="n">
        <v>0</v>
      </c>
      <c r="M5595" t="n">
        <v>0</v>
      </c>
      <c r="N5595" t="n">
        <v>0</v>
      </c>
      <c r="O5595" t="n">
        <v>0</v>
      </c>
      <c r="P5595" t="n">
        <v>0</v>
      </c>
      <c r="Q5595" t="n">
        <v>0</v>
      </c>
      <c r="R5595" s="2" t="inlineStr"/>
    </row>
    <row r="5596" ht="15" customHeight="1">
      <c r="A5596" t="inlineStr">
        <is>
          <t>A 61034-2021</t>
        </is>
      </c>
      <c r="B5596" s="1" t="n">
        <v>44497</v>
      </c>
      <c r="C5596" s="1" t="n">
        <v>45810</v>
      </c>
      <c r="D5596" t="inlineStr">
        <is>
          <t>VÄRMLANDS LÄN</t>
        </is>
      </c>
      <c r="E5596" t="inlineStr">
        <is>
          <t>KRISTINEHAMN</t>
        </is>
      </c>
      <c r="G5596" t="n">
        <v>2.6</v>
      </c>
      <c r="H5596" t="n">
        <v>0</v>
      </c>
      <c r="I5596" t="n">
        <v>0</v>
      </c>
      <c r="J5596" t="n">
        <v>0</v>
      </c>
      <c r="K5596" t="n">
        <v>0</v>
      </c>
      <c r="L5596" t="n">
        <v>0</v>
      </c>
      <c r="M5596" t="n">
        <v>0</v>
      </c>
      <c r="N5596" t="n">
        <v>0</v>
      </c>
      <c r="O5596" t="n">
        <v>0</v>
      </c>
      <c r="P5596" t="n">
        <v>0</v>
      </c>
      <c r="Q5596" t="n">
        <v>0</v>
      </c>
      <c r="R5596" s="2" t="inlineStr"/>
    </row>
    <row r="5597" ht="15" customHeight="1">
      <c r="A5597" t="inlineStr">
        <is>
          <t>A 61126-2021</t>
        </is>
      </c>
      <c r="B5597" s="1" t="n">
        <v>44497</v>
      </c>
      <c r="C5597" s="1" t="n">
        <v>45810</v>
      </c>
      <c r="D5597" t="inlineStr">
        <is>
          <t>VÄRMLANDS LÄN</t>
        </is>
      </c>
      <c r="E5597" t="inlineStr">
        <is>
          <t>ÅRJÄNG</t>
        </is>
      </c>
      <c r="G5597" t="n">
        <v>9.6</v>
      </c>
      <c r="H5597" t="n">
        <v>0</v>
      </c>
      <c r="I5597" t="n">
        <v>0</v>
      </c>
      <c r="J5597" t="n">
        <v>0</v>
      </c>
      <c r="K5597" t="n">
        <v>0</v>
      </c>
      <c r="L5597" t="n">
        <v>0</v>
      </c>
      <c r="M5597" t="n">
        <v>0</v>
      </c>
      <c r="N5597" t="n">
        <v>0</v>
      </c>
      <c r="O5597" t="n">
        <v>0</v>
      </c>
      <c r="P5597" t="n">
        <v>0</v>
      </c>
      <c r="Q5597" t="n">
        <v>0</v>
      </c>
      <c r="R5597" s="2" t="inlineStr"/>
    </row>
    <row r="5598" ht="15" customHeight="1">
      <c r="A5598" t="inlineStr">
        <is>
          <t>A 61154-2021</t>
        </is>
      </c>
      <c r="B5598" s="1" t="n">
        <v>44497</v>
      </c>
      <c r="C5598" s="1" t="n">
        <v>45810</v>
      </c>
      <c r="D5598" t="inlineStr">
        <is>
          <t>VÄRMLANDS LÄN</t>
        </is>
      </c>
      <c r="E5598" t="inlineStr">
        <is>
          <t>ÅRJÄNG</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61036-2021</t>
        </is>
      </c>
      <c r="B5599" s="1" t="n">
        <v>44497</v>
      </c>
      <c r="C5599" s="1" t="n">
        <v>45810</v>
      </c>
      <c r="D5599" t="inlineStr">
        <is>
          <t>VÄRMLANDS LÄN</t>
        </is>
      </c>
      <c r="E5599" t="inlineStr">
        <is>
          <t>KRISTINEHAMN</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61114-2021</t>
        </is>
      </c>
      <c r="B5600" s="1" t="n">
        <v>44497</v>
      </c>
      <c r="C5600" s="1" t="n">
        <v>45810</v>
      </c>
      <c r="D5600" t="inlineStr">
        <is>
          <t>VÄRMLANDS LÄN</t>
        </is>
      </c>
      <c r="E5600" t="inlineStr">
        <is>
          <t>ÅRJÄNG</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60942-2021</t>
        </is>
      </c>
      <c r="B5601" s="1" t="n">
        <v>44497</v>
      </c>
      <c r="C5601" s="1" t="n">
        <v>45810</v>
      </c>
      <c r="D5601" t="inlineStr">
        <is>
          <t>VÄRMLANDS LÄN</t>
        </is>
      </c>
      <c r="E5601" t="inlineStr">
        <is>
          <t>ARVIKA</t>
        </is>
      </c>
      <c r="F5601" t="inlineStr">
        <is>
          <t>Kyrkan</t>
        </is>
      </c>
      <c r="G5601" t="n">
        <v>3.1</v>
      </c>
      <c r="H5601" t="n">
        <v>0</v>
      </c>
      <c r="I5601" t="n">
        <v>0</v>
      </c>
      <c r="J5601" t="n">
        <v>0</v>
      </c>
      <c r="K5601" t="n">
        <v>0</v>
      </c>
      <c r="L5601" t="n">
        <v>0</v>
      </c>
      <c r="M5601" t="n">
        <v>0</v>
      </c>
      <c r="N5601" t="n">
        <v>0</v>
      </c>
      <c r="O5601" t="n">
        <v>0</v>
      </c>
      <c r="P5601" t="n">
        <v>0</v>
      </c>
      <c r="Q5601" t="n">
        <v>0</v>
      </c>
      <c r="R5601" s="2" t="inlineStr"/>
    </row>
    <row r="5602" ht="15" customHeight="1">
      <c r="A5602" t="inlineStr">
        <is>
          <t>A 60933-2021</t>
        </is>
      </c>
      <c r="B5602" s="1" t="n">
        <v>44497</v>
      </c>
      <c r="C5602" s="1" t="n">
        <v>45810</v>
      </c>
      <c r="D5602" t="inlineStr">
        <is>
          <t>VÄRMLANDS LÄN</t>
        </is>
      </c>
      <c r="E5602" t="inlineStr">
        <is>
          <t>SUNNE</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60930-2021</t>
        </is>
      </c>
      <c r="B5603" s="1" t="n">
        <v>44497</v>
      </c>
      <c r="C5603" s="1" t="n">
        <v>45810</v>
      </c>
      <c r="D5603" t="inlineStr">
        <is>
          <t>VÄRMLANDS LÄN</t>
        </is>
      </c>
      <c r="E5603" t="inlineStr">
        <is>
          <t>ÅRJÄNG</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61133-2021</t>
        </is>
      </c>
      <c r="B5604" s="1" t="n">
        <v>44498</v>
      </c>
      <c r="C5604" s="1" t="n">
        <v>45810</v>
      </c>
      <c r="D5604" t="inlineStr">
        <is>
          <t>VÄRMLANDS LÄN</t>
        </is>
      </c>
      <c r="E5604" t="inlineStr">
        <is>
          <t>KRISTINEHAMN</t>
        </is>
      </c>
      <c r="F5604" t="inlineStr">
        <is>
          <t>Naturvårdsverket</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61099-2021</t>
        </is>
      </c>
      <c r="B5605" s="1" t="n">
        <v>44498</v>
      </c>
      <c r="C5605" s="1" t="n">
        <v>45810</v>
      </c>
      <c r="D5605" t="inlineStr">
        <is>
          <t>VÄRMLANDS LÄN</t>
        </is>
      </c>
      <c r="E5605" t="inlineStr">
        <is>
          <t>KARLSTAD</t>
        </is>
      </c>
      <c r="G5605" t="n">
        <v>4.9</v>
      </c>
      <c r="H5605" t="n">
        <v>0</v>
      </c>
      <c r="I5605" t="n">
        <v>0</v>
      </c>
      <c r="J5605" t="n">
        <v>0</v>
      </c>
      <c r="K5605" t="n">
        <v>0</v>
      </c>
      <c r="L5605" t="n">
        <v>0</v>
      </c>
      <c r="M5605" t="n">
        <v>0</v>
      </c>
      <c r="N5605" t="n">
        <v>0</v>
      </c>
      <c r="O5605" t="n">
        <v>0</v>
      </c>
      <c r="P5605" t="n">
        <v>0</v>
      </c>
      <c r="Q5605" t="n">
        <v>0</v>
      </c>
      <c r="R5605" s="2" t="inlineStr"/>
    </row>
    <row r="5606" ht="15" customHeight="1">
      <c r="A5606" t="inlineStr">
        <is>
          <t>A 61143-2021</t>
        </is>
      </c>
      <c r="B5606" s="1" t="n">
        <v>44498</v>
      </c>
      <c r="C5606" s="1" t="n">
        <v>45810</v>
      </c>
      <c r="D5606" t="inlineStr">
        <is>
          <t>VÄRMLANDS LÄN</t>
        </is>
      </c>
      <c r="E5606" t="inlineStr">
        <is>
          <t>ÅRJÄNG</t>
        </is>
      </c>
      <c r="F5606" t="inlineStr">
        <is>
          <t>Bergvik skog väst AB</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61121-2021</t>
        </is>
      </c>
      <c r="B5607" s="1" t="n">
        <v>44498</v>
      </c>
      <c r="C5607" s="1" t="n">
        <v>45810</v>
      </c>
      <c r="D5607" t="inlineStr">
        <is>
          <t>VÄRMLANDS LÄN</t>
        </is>
      </c>
      <c r="E5607" t="inlineStr">
        <is>
          <t>ÅRJÄNG</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61105-2021</t>
        </is>
      </c>
      <c r="B5608" s="1" t="n">
        <v>44498</v>
      </c>
      <c r="C5608" s="1" t="n">
        <v>45810</v>
      </c>
      <c r="D5608" t="inlineStr">
        <is>
          <t>VÄRMLANDS LÄN</t>
        </is>
      </c>
      <c r="E5608" t="inlineStr">
        <is>
          <t>KARLSTAD</t>
        </is>
      </c>
      <c r="G5608" t="n">
        <v>3.9</v>
      </c>
      <c r="H5608" t="n">
        <v>0</v>
      </c>
      <c r="I5608" t="n">
        <v>0</v>
      </c>
      <c r="J5608" t="n">
        <v>0</v>
      </c>
      <c r="K5608" t="n">
        <v>0</v>
      </c>
      <c r="L5608" t="n">
        <v>0</v>
      </c>
      <c r="M5608" t="n">
        <v>0</v>
      </c>
      <c r="N5608" t="n">
        <v>0</v>
      </c>
      <c r="O5608" t="n">
        <v>0</v>
      </c>
      <c r="P5608" t="n">
        <v>0</v>
      </c>
      <c r="Q5608" t="n">
        <v>0</v>
      </c>
      <c r="R5608" s="2" t="inlineStr"/>
    </row>
    <row r="5609" ht="15" customHeight="1">
      <c r="A5609" t="inlineStr">
        <is>
          <t>A 61129-2021</t>
        </is>
      </c>
      <c r="B5609" s="1" t="n">
        <v>44498</v>
      </c>
      <c r="C5609" s="1" t="n">
        <v>45810</v>
      </c>
      <c r="D5609" t="inlineStr">
        <is>
          <t>VÄRMLANDS LÄN</t>
        </is>
      </c>
      <c r="E5609" t="inlineStr">
        <is>
          <t>ÅRJÄNG</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61160-2021</t>
        </is>
      </c>
      <c r="B5610" s="1" t="n">
        <v>44498</v>
      </c>
      <c r="C5610" s="1" t="n">
        <v>45810</v>
      </c>
      <c r="D5610" t="inlineStr">
        <is>
          <t>VÄRMLANDS LÄN</t>
        </is>
      </c>
      <c r="E5610" t="inlineStr">
        <is>
          <t>HAGFORS</t>
        </is>
      </c>
      <c r="F5610" t="inlineStr">
        <is>
          <t>Bergvik skog väst AB</t>
        </is>
      </c>
      <c r="G5610" t="n">
        <v>5</v>
      </c>
      <c r="H5610" t="n">
        <v>0</v>
      </c>
      <c r="I5610" t="n">
        <v>0</v>
      </c>
      <c r="J5610" t="n">
        <v>0</v>
      </c>
      <c r="K5610" t="n">
        <v>0</v>
      </c>
      <c r="L5610" t="n">
        <v>0</v>
      </c>
      <c r="M5610" t="n">
        <v>0</v>
      </c>
      <c r="N5610" t="n">
        <v>0</v>
      </c>
      <c r="O5610" t="n">
        <v>0</v>
      </c>
      <c r="P5610" t="n">
        <v>0</v>
      </c>
      <c r="Q5610" t="n">
        <v>0</v>
      </c>
      <c r="R5610" s="2" t="inlineStr"/>
    </row>
    <row r="5611" ht="15" customHeight="1">
      <c r="A5611" t="inlineStr">
        <is>
          <t>A 61272-2021</t>
        </is>
      </c>
      <c r="B5611" s="1" t="n">
        <v>44498</v>
      </c>
      <c r="C5611" s="1" t="n">
        <v>45810</v>
      </c>
      <c r="D5611" t="inlineStr">
        <is>
          <t>VÄRMLANDS LÄN</t>
        </is>
      </c>
      <c r="E5611" t="inlineStr">
        <is>
          <t>SUNNE</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61330-2021</t>
        </is>
      </c>
      <c r="B5612" s="1" t="n">
        <v>44498</v>
      </c>
      <c r="C5612" s="1" t="n">
        <v>45810</v>
      </c>
      <c r="D5612" t="inlineStr">
        <is>
          <t>VÄRMLANDS LÄN</t>
        </is>
      </c>
      <c r="E5612" t="inlineStr">
        <is>
          <t>ÅRJÄNG</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61306-2021</t>
        </is>
      </c>
      <c r="B5613" s="1" t="n">
        <v>44498</v>
      </c>
      <c r="C5613" s="1" t="n">
        <v>45810</v>
      </c>
      <c r="D5613" t="inlineStr">
        <is>
          <t>VÄRMLANDS LÄN</t>
        </is>
      </c>
      <c r="E5613" t="inlineStr">
        <is>
          <t>GRUMS</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61327-2021</t>
        </is>
      </c>
      <c r="B5614" s="1" t="n">
        <v>44498</v>
      </c>
      <c r="C5614" s="1" t="n">
        <v>45810</v>
      </c>
      <c r="D5614" t="inlineStr">
        <is>
          <t>VÄRMLANDS LÄN</t>
        </is>
      </c>
      <c r="E5614" t="inlineStr">
        <is>
          <t>GRUMS</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61359-2021</t>
        </is>
      </c>
      <c r="B5615" s="1" t="n">
        <v>44499</v>
      </c>
      <c r="C5615" s="1" t="n">
        <v>45810</v>
      </c>
      <c r="D5615" t="inlineStr">
        <is>
          <t>VÄRMLANDS LÄN</t>
        </is>
      </c>
      <c r="E5615" t="inlineStr">
        <is>
          <t>HAGFORS</t>
        </is>
      </c>
      <c r="G5615" t="n">
        <v>7</v>
      </c>
      <c r="H5615" t="n">
        <v>0</v>
      </c>
      <c r="I5615" t="n">
        <v>0</v>
      </c>
      <c r="J5615" t="n">
        <v>0</v>
      </c>
      <c r="K5615" t="n">
        <v>0</v>
      </c>
      <c r="L5615" t="n">
        <v>0</v>
      </c>
      <c r="M5615" t="n">
        <v>0</v>
      </c>
      <c r="N5615" t="n">
        <v>0</v>
      </c>
      <c r="O5615" t="n">
        <v>0</v>
      </c>
      <c r="P5615" t="n">
        <v>0</v>
      </c>
      <c r="Q5615" t="n">
        <v>0</v>
      </c>
      <c r="R5615" s="2" t="inlineStr"/>
    </row>
    <row r="5616" ht="15" customHeight="1">
      <c r="A5616" t="inlineStr">
        <is>
          <t>A 61373-2021</t>
        </is>
      </c>
      <c r="B5616" s="1" t="n">
        <v>44499</v>
      </c>
      <c r="C5616" s="1" t="n">
        <v>45810</v>
      </c>
      <c r="D5616" t="inlineStr">
        <is>
          <t>VÄRMLANDS LÄN</t>
        </is>
      </c>
      <c r="E5616" t="inlineStr">
        <is>
          <t>SUNNE</t>
        </is>
      </c>
      <c r="G5616" t="n">
        <v>0.4</v>
      </c>
      <c r="H5616" t="n">
        <v>0</v>
      </c>
      <c r="I5616" t="n">
        <v>0</v>
      </c>
      <c r="J5616" t="n">
        <v>0</v>
      </c>
      <c r="K5616" t="n">
        <v>0</v>
      </c>
      <c r="L5616" t="n">
        <v>0</v>
      </c>
      <c r="M5616" t="n">
        <v>0</v>
      </c>
      <c r="N5616" t="n">
        <v>0</v>
      </c>
      <c r="O5616" t="n">
        <v>0</v>
      </c>
      <c r="P5616" t="n">
        <v>0</v>
      </c>
      <c r="Q5616" t="n">
        <v>0</v>
      </c>
      <c r="R5616" s="2" t="inlineStr"/>
    </row>
    <row r="5617" ht="15" customHeight="1">
      <c r="A5617" t="inlineStr">
        <is>
          <t>A 61638-2021</t>
        </is>
      </c>
      <c r="B5617" s="1" t="n">
        <v>44501</v>
      </c>
      <c r="C5617" s="1" t="n">
        <v>45810</v>
      </c>
      <c r="D5617" t="inlineStr">
        <is>
          <t>VÄRMLANDS LÄN</t>
        </is>
      </c>
      <c r="E5617" t="inlineStr">
        <is>
          <t>KIL</t>
        </is>
      </c>
      <c r="G5617" t="n">
        <v>1.9</v>
      </c>
      <c r="H5617" t="n">
        <v>0</v>
      </c>
      <c r="I5617" t="n">
        <v>0</v>
      </c>
      <c r="J5617" t="n">
        <v>0</v>
      </c>
      <c r="K5617" t="n">
        <v>0</v>
      </c>
      <c r="L5617" t="n">
        <v>0</v>
      </c>
      <c r="M5617" t="n">
        <v>0</v>
      </c>
      <c r="N5617" t="n">
        <v>0</v>
      </c>
      <c r="O5617" t="n">
        <v>0</v>
      </c>
      <c r="P5617" t="n">
        <v>0</v>
      </c>
      <c r="Q5617" t="n">
        <v>0</v>
      </c>
      <c r="R5617" s="2" t="inlineStr"/>
    </row>
    <row r="5618" ht="15" customHeight="1">
      <c r="A5618" t="inlineStr">
        <is>
          <t>A 61493-2021</t>
        </is>
      </c>
      <c r="B5618" s="1" t="n">
        <v>44501</v>
      </c>
      <c r="C5618" s="1" t="n">
        <v>45810</v>
      </c>
      <c r="D5618" t="inlineStr">
        <is>
          <t>VÄRMLANDS LÄN</t>
        </is>
      </c>
      <c r="E5618" t="inlineStr">
        <is>
          <t>KIL</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61673-2021</t>
        </is>
      </c>
      <c r="B5619" s="1" t="n">
        <v>44501</v>
      </c>
      <c r="C5619" s="1" t="n">
        <v>45810</v>
      </c>
      <c r="D5619" t="inlineStr">
        <is>
          <t>VÄRMLANDS LÄN</t>
        </is>
      </c>
      <c r="E5619" t="inlineStr">
        <is>
          <t>FILIPSTAD</t>
        </is>
      </c>
      <c r="F5619" t="inlineStr">
        <is>
          <t>Bergvik skog väst AB</t>
        </is>
      </c>
      <c r="G5619" t="n">
        <v>14.1</v>
      </c>
      <c r="H5619" t="n">
        <v>0</v>
      </c>
      <c r="I5619" t="n">
        <v>0</v>
      </c>
      <c r="J5619" t="n">
        <v>0</v>
      </c>
      <c r="K5619" t="n">
        <v>0</v>
      </c>
      <c r="L5619" t="n">
        <v>0</v>
      </c>
      <c r="M5619" t="n">
        <v>0</v>
      </c>
      <c r="N5619" t="n">
        <v>0</v>
      </c>
      <c r="O5619" t="n">
        <v>0</v>
      </c>
      <c r="P5619" t="n">
        <v>0</v>
      </c>
      <c r="Q5619" t="n">
        <v>0</v>
      </c>
      <c r="R5619" s="2" t="inlineStr"/>
    </row>
    <row r="5620" ht="15" customHeight="1">
      <c r="A5620" t="inlineStr">
        <is>
          <t>A 61514-2021</t>
        </is>
      </c>
      <c r="B5620" s="1" t="n">
        <v>44501</v>
      </c>
      <c r="C5620" s="1" t="n">
        <v>45810</v>
      </c>
      <c r="D5620" t="inlineStr">
        <is>
          <t>VÄRMLANDS LÄN</t>
        </is>
      </c>
      <c r="E5620" t="inlineStr">
        <is>
          <t>KARLSTAD</t>
        </is>
      </c>
      <c r="G5620" t="n">
        <v>2.2</v>
      </c>
      <c r="H5620" t="n">
        <v>0</v>
      </c>
      <c r="I5620" t="n">
        <v>0</v>
      </c>
      <c r="J5620" t="n">
        <v>0</v>
      </c>
      <c r="K5620" t="n">
        <v>0</v>
      </c>
      <c r="L5620" t="n">
        <v>0</v>
      </c>
      <c r="M5620" t="n">
        <v>0</v>
      </c>
      <c r="N5620" t="n">
        <v>0</v>
      </c>
      <c r="O5620" t="n">
        <v>0</v>
      </c>
      <c r="P5620" t="n">
        <v>0</v>
      </c>
      <c r="Q5620" t="n">
        <v>0</v>
      </c>
      <c r="R5620" s="2" t="inlineStr"/>
    </row>
    <row r="5621" ht="15" customHeight="1">
      <c r="A5621" t="inlineStr">
        <is>
          <t>A 61520-2021</t>
        </is>
      </c>
      <c r="B5621" s="1" t="n">
        <v>44501</v>
      </c>
      <c r="C5621" s="1" t="n">
        <v>45810</v>
      </c>
      <c r="D5621" t="inlineStr">
        <is>
          <t>VÄRMLANDS LÄN</t>
        </is>
      </c>
      <c r="E5621" t="inlineStr">
        <is>
          <t>ARVIKA</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61707-2021</t>
        </is>
      </c>
      <c r="B5622" s="1" t="n">
        <v>44501</v>
      </c>
      <c r="C5622" s="1" t="n">
        <v>45810</v>
      </c>
      <c r="D5622" t="inlineStr">
        <is>
          <t>VÄRMLANDS LÄN</t>
        </is>
      </c>
      <c r="E5622" t="inlineStr">
        <is>
          <t>KRISTINEHAMN</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61768-2021</t>
        </is>
      </c>
      <c r="B5623" s="1" t="n">
        <v>44501</v>
      </c>
      <c r="C5623" s="1" t="n">
        <v>45810</v>
      </c>
      <c r="D5623" t="inlineStr">
        <is>
          <t>VÄRMLANDS LÄN</t>
        </is>
      </c>
      <c r="E5623" t="inlineStr">
        <is>
          <t>KRISTINEHAMN</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61812-2021</t>
        </is>
      </c>
      <c r="B5624" s="1" t="n">
        <v>44501</v>
      </c>
      <c r="C5624" s="1" t="n">
        <v>45810</v>
      </c>
      <c r="D5624" t="inlineStr">
        <is>
          <t>VÄRMLANDS LÄN</t>
        </is>
      </c>
      <c r="E5624" t="inlineStr">
        <is>
          <t>TORSBY</t>
        </is>
      </c>
      <c r="G5624" t="n">
        <v>5.3</v>
      </c>
      <c r="H5624" t="n">
        <v>0</v>
      </c>
      <c r="I5624" t="n">
        <v>0</v>
      </c>
      <c r="J5624" t="n">
        <v>0</v>
      </c>
      <c r="K5624" t="n">
        <v>0</v>
      </c>
      <c r="L5624" t="n">
        <v>0</v>
      </c>
      <c r="M5624" t="n">
        <v>0</v>
      </c>
      <c r="N5624" t="n">
        <v>0</v>
      </c>
      <c r="O5624" t="n">
        <v>0</v>
      </c>
      <c r="P5624" t="n">
        <v>0</v>
      </c>
      <c r="Q5624" t="n">
        <v>0</v>
      </c>
      <c r="R5624" s="2" t="inlineStr"/>
    </row>
    <row r="5625" ht="15" customHeight="1">
      <c r="A5625" t="inlineStr">
        <is>
          <t>A 61677-2021</t>
        </is>
      </c>
      <c r="B5625" s="1" t="n">
        <v>44501</v>
      </c>
      <c r="C5625" s="1" t="n">
        <v>45810</v>
      </c>
      <c r="D5625" t="inlineStr">
        <is>
          <t>VÄRMLANDS LÄN</t>
        </is>
      </c>
      <c r="E5625" t="inlineStr">
        <is>
          <t>SÄFFLE</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61764-2021</t>
        </is>
      </c>
      <c r="B5626" s="1" t="n">
        <v>44501</v>
      </c>
      <c r="C5626" s="1" t="n">
        <v>45810</v>
      </c>
      <c r="D5626" t="inlineStr">
        <is>
          <t>VÄRMLANDS LÄN</t>
        </is>
      </c>
      <c r="E5626" t="inlineStr">
        <is>
          <t>HAGFORS</t>
        </is>
      </c>
      <c r="F5626" t="inlineStr">
        <is>
          <t>Bergvik skog väst AB</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61663-2021</t>
        </is>
      </c>
      <c r="B5627" s="1" t="n">
        <v>44501</v>
      </c>
      <c r="C5627" s="1" t="n">
        <v>45810</v>
      </c>
      <c r="D5627" t="inlineStr">
        <is>
          <t>VÄRMLANDS LÄN</t>
        </is>
      </c>
      <c r="E5627" t="inlineStr">
        <is>
          <t>ARVIKA</t>
        </is>
      </c>
      <c r="G5627" t="n">
        <v>4.5</v>
      </c>
      <c r="H5627" t="n">
        <v>0</v>
      </c>
      <c r="I5627" t="n">
        <v>0</v>
      </c>
      <c r="J5627" t="n">
        <v>0</v>
      </c>
      <c r="K5627" t="n">
        <v>0</v>
      </c>
      <c r="L5627" t="n">
        <v>0</v>
      </c>
      <c r="M5627" t="n">
        <v>0</v>
      </c>
      <c r="N5627" t="n">
        <v>0</v>
      </c>
      <c r="O5627" t="n">
        <v>0</v>
      </c>
      <c r="P5627" t="n">
        <v>0</v>
      </c>
      <c r="Q5627" t="n">
        <v>0</v>
      </c>
      <c r="R5627" s="2" t="inlineStr"/>
    </row>
    <row r="5628" ht="15" customHeight="1">
      <c r="A5628" t="inlineStr">
        <is>
          <t>A 61809-2021</t>
        </is>
      </c>
      <c r="B5628" s="1" t="n">
        <v>44501</v>
      </c>
      <c r="C5628" s="1" t="n">
        <v>45810</v>
      </c>
      <c r="D5628" t="inlineStr">
        <is>
          <t>VÄRMLANDS LÄN</t>
        </is>
      </c>
      <c r="E5628" t="inlineStr">
        <is>
          <t>TORSBY</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61836-2021</t>
        </is>
      </c>
      <c r="B5629" s="1" t="n">
        <v>44501</v>
      </c>
      <c r="C5629" s="1" t="n">
        <v>45810</v>
      </c>
      <c r="D5629" t="inlineStr">
        <is>
          <t>VÄRMLANDS LÄN</t>
        </is>
      </c>
      <c r="E5629" t="inlineStr">
        <is>
          <t>KARLSTAD</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61835-2021</t>
        </is>
      </c>
      <c r="B5630" s="1" t="n">
        <v>44501</v>
      </c>
      <c r="C5630" s="1" t="n">
        <v>45810</v>
      </c>
      <c r="D5630" t="inlineStr">
        <is>
          <t>VÄRMLANDS LÄN</t>
        </is>
      </c>
      <c r="E5630" t="inlineStr">
        <is>
          <t>ARVIKA</t>
        </is>
      </c>
      <c r="G5630" t="n">
        <v>0.1</v>
      </c>
      <c r="H5630" t="n">
        <v>0</v>
      </c>
      <c r="I5630" t="n">
        <v>0</v>
      </c>
      <c r="J5630" t="n">
        <v>0</v>
      </c>
      <c r="K5630" t="n">
        <v>0</v>
      </c>
      <c r="L5630" t="n">
        <v>0</v>
      </c>
      <c r="M5630" t="n">
        <v>0</v>
      </c>
      <c r="N5630" t="n">
        <v>0</v>
      </c>
      <c r="O5630" t="n">
        <v>0</v>
      </c>
      <c r="P5630" t="n">
        <v>0</v>
      </c>
      <c r="Q5630" t="n">
        <v>0</v>
      </c>
      <c r="R5630" s="2" t="inlineStr"/>
    </row>
    <row r="5631" ht="15" customHeight="1">
      <c r="A5631" t="inlineStr">
        <is>
          <t>A 62310-2021</t>
        </is>
      </c>
      <c r="B5631" s="1" t="n">
        <v>44501</v>
      </c>
      <c r="C5631" s="1" t="n">
        <v>45810</v>
      </c>
      <c r="D5631" t="inlineStr">
        <is>
          <t>VÄRMLANDS LÄN</t>
        </is>
      </c>
      <c r="E5631" t="inlineStr">
        <is>
          <t>SUNNE</t>
        </is>
      </c>
      <c r="G5631" t="n">
        <v>8.800000000000001</v>
      </c>
      <c r="H5631" t="n">
        <v>0</v>
      </c>
      <c r="I5631" t="n">
        <v>0</v>
      </c>
      <c r="J5631" t="n">
        <v>0</v>
      </c>
      <c r="K5631" t="n">
        <v>0</v>
      </c>
      <c r="L5631" t="n">
        <v>0</v>
      </c>
      <c r="M5631" t="n">
        <v>0</v>
      </c>
      <c r="N5631" t="n">
        <v>0</v>
      </c>
      <c r="O5631" t="n">
        <v>0</v>
      </c>
      <c r="P5631" t="n">
        <v>0</v>
      </c>
      <c r="Q5631" t="n">
        <v>0</v>
      </c>
      <c r="R5631" s="2" t="inlineStr"/>
    </row>
    <row r="5632" ht="15" customHeight="1">
      <c r="A5632" t="inlineStr">
        <is>
          <t>A 62334-2021</t>
        </is>
      </c>
      <c r="B5632" s="1" t="n">
        <v>44501</v>
      </c>
      <c r="C5632" s="1" t="n">
        <v>45810</v>
      </c>
      <c r="D5632" t="inlineStr">
        <is>
          <t>VÄRMLANDS LÄN</t>
        </is>
      </c>
      <c r="E5632" t="inlineStr">
        <is>
          <t>SUNNE</t>
        </is>
      </c>
      <c r="G5632" t="n">
        <v>2.3</v>
      </c>
      <c r="H5632" t="n">
        <v>0</v>
      </c>
      <c r="I5632" t="n">
        <v>0</v>
      </c>
      <c r="J5632" t="n">
        <v>0</v>
      </c>
      <c r="K5632" t="n">
        <v>0</v>
      </c>
      <c r="L5632" t="n">
        <v>0</v>
      </c>
      <c r="M5632" t="n">
        <v>0</v>
      </c>
      <c r="N5632" t="n">
        <v>0</v>
      </c>
      <c r="O5632" t="n">
        <v>0</v>
      </c>
      <c r="P5632" t="n">
        <v>0</v>
      </c>
      <c r="Q5632" t="n">
        <v>0</v>
      </c>
      <c r="R5632" s="2" t="inlineStr"/>
    </row>
    <row r="5633" ht="15" customHeight="1">
      <c r="A5633" t="inlineStr">
        <is>
          <t>A 61834-2021</t>
        </is>
      </c>
      <c r="B5633" s="1" t="n">
        <v>44501</v>
      </c>
      <c r="C5633" s="1" t="n">
        <v>45810</v>
      </c>
      <c r="D5633" t="inlineStr">
        <is>
          <t>VÄRMLANDS LÄN</t>
        </is>
      </c>
      <c r="E5633" t="inlineStr">
        <is>
          <t>ARVIKA</t>
        </is>
      </c>
      <c r="G5633" t="n">
        <v>0.7</v>
      </c>
      <c r="H5633" t="n">
        <v>0</v>
      </c>
      <c r="I5633" t="n">
        <v>0</v>
      </c>
      <c r="J5633" t="n">
        <v>0</v>
      </c>
      <c r="K5633" t="n">
        <v>0</v>
      </c>
      <c r="L5633" t="n">
        <v>0</v>
      </c>
      <c r="M5633" t="n">
        <v>0</v>
      </c>
      <c r="N5633" t="n">
        <v>0</v>
      </c>
      <c r="O5633" t="n">
        <v>0</v>
      </c>
      <c r="P5633" t="n">
        <v>0</v>
      </c>
      <c r="Q5633" t="n">
        <v>0</v>
      </c>
      <c r="R5633" s="2" t="inlineStr"/>
    </row>
    <row r="5634" ht="15" customHeight="1">
      <c r="A5634" t="inlineStr">
        <is>
          <t>A 61902-2021</t>
        </is>
      </c>
      <c r="B5634" s="1" t="n">
        <v>44502</v>
      </c>
      <c r="C5634" s="1" t="n">
        <v>45810</v>
      </c>
      <c r="D5634" t="inlineStr">
        <is>
          <t>VÄRMLANDS LÄN</t>
        </is>
      </c>
      <c r="E5634" t="inlineStr">
        <is>
          <t>HAGFORS</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62045-2021</t>
        </is>
      </c>
      <c r="B5635" s="1" t="n">
        <v>44502</v>
      </c>
      <c r="C5635" s="1" t="n">
        <v>45810</v>
      </c>
      <c r="D5635" t="inlineStr">
        <is>
          <t>VÄRMLANDS LÄN</t>
        </is>
      </c>
      <c r="E5635" t="inlineStr">
        <is>
          <t>TORSBY</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62072-2021</t>
        </is>
      </c>
      <c r="B5636" s="1" t="n">
        <v>44502</v>
      </c>
      <c r="C5636" s="1" t="n">
        <v>45810</v>
      </c>
      <c r="D5636" t="inlineStr">
        <is>
          <t>VÄRMLANDS LÄN</t>
        </is>
      </c>
      <c r="E5636" t="inlineStr">
        <is>
          <t>EDA</t>
        </is>
      </c>
      <c r="G5636" t="n">
        <v>2</v>
      </c>
      <c r="H5636" t="n">
        <v>0</v>
      </c>
      <c r="I5636" t="n">
        <v>0</v>
      </c>
      <c r="J5636" t="n">
        <v>0</v>
      </c>
      <c r="K5636" t="n">
        <v>0</v>
      </c>
      <c r="L5636" t="n">
        <v>0</v>
      </c>
      <c r="M5636" t="n">
        <v>0</v>
      </c>
      <c r="N5636" t="n">
        <v>0</v>
      </c>
      <c r="O5636" t="n">
        <v>0</v>
      </c>
      <c r="P5636" t="n">
        <v>0</v>
      </c>
      <c r="Q5636" t="n">
        <v>0</v>
      </c>
      <c r="R5636" s="2" t="inlineStr"/>
    </row>
    <row r="5637" ht="15" customHeight="1">
      <c r="A5637" t="inlineStr">
        <is>
          <t>A 62039-2021</t>
        </is>
      </c>
      <c r="B5637" s="1" t="n">
        <v>44502</v>
      </c>
      <c r="C5637" s="1" t="n">
        <v>45810</v>
      </c>
      <c r="D5637" t="inlineStr">
        <is>
          <t>VÄRMLANDS LÄN</t>
        </is>
      </c>
      <c r="E5637" t="inlineStr">
        <is>
          <t>TORSBY</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62139-2021</t>
        </is>
      </c>
      <c r="B5638" s="1" t="n">
        <v>44502</v>
      </c>
      <c r="C5638" s="1" t="n">
        <v>45810</v>
      </c>
      <c r="D5638" t="inlineStr">
        <is>
          <t>VÄRMLANDS LÄN</t>
        </is>
      </c>
      <c r="E5638" t="inlineStr">
        <is>
          <t>KRISTINEHAMN</t>
        </is>
      </c>
      <c r="G5638" t="n">
        <v>5.5</v>
      </c>
      <c r="H5638" t="n">
        <v>0</v>
      </c>
      <c r="I5638" t="n">
        <v>0</v>
      </c>
      <c r="J5638" t="n">
        <v>0</v>
      </c>
      <c r="K5638" t="n">
        <v>0</v>
      </c>
      <c r="L5638" t="n">
        <v>0</v>
      </c>
      <c r="M5638" t="n">
        <v>0</v>
      </c>
      <c r="N5638" t="n">
        <v>0</v>
      </c>
      <c r="O5638" t="n">
        <v>0</v>
      </c>
      <c r="P5638" t="n">
        <v>0</v>
      </c>
      <c r="Q5638" t="n">
        <v>0</v>
      </c>
      <c r="R5638" s="2" t="inlineStr"/>
    </row>
    <row r="5639" ht="15" customHeight="1">
      <c r="A5639" t="inlineStr">
        <is>
          <t>A 62135-2021</t>
        </is>
      </c>
      <c r="B5639" s="1" t="n">
        <v>44502</v>
      </c>
      <c r="C5639" s="1" t="n">
        <v>45810</v>
      </c>
      <c r="D5639" t="inlineStr">
        <is>
          <t>VÄRMLANDS LÄN</t>
        </is>
      </c>
      <c r="E5639" t="inlineStr">
        <is>
          <t>KIL</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62110-2021</t>
        </is>
      </c>
      <c r="B5640" s="1" t="n">
        <v>44502</v>
      </c>
      <c r="C5640" s="1" t="n">
        <v>45810</v>
      </c>
      <c r="D5640" t="inlineStr">
        <is>
          <t>VÄRMLANDS LÄN</t>
        </is>
      </c>
      <c r="E5640" t="inlineStr">
        <is>
          <t>ÅRJÄNG</t>
        </is>
      </c>
      <c r="G5640" t="n">
        <v>2.8</v>
      </c>
      <c r="H5640" t="n">
        <v>0</v>
      </c>
      <c r="I5640" t="n">
        <v>0</v>
      </c>
      <c r="J5640" t="n">
        <v>0</v>
      </c>
      <c r="K5640" t="n">
        <v>0</v>
      </c>
      <c r="L5640" t="n">
        <v>0</v>
      </c>
      <c r="M5640" t="n">
        <v>0</v>
      </c>
      <c r="N5640" t="n">
        <v>0</v>
      </c>
      <c r="O5640" t="n">
        <v>0</v>
      </c>
      <c r="P5640" t="n">
        <v>0</v>
      </c>
      <c r="Q5640" t="n">
        <v>0</v>
      </c>
      <c r="R5640" s="2" t="inlineStr"/>
    </row>
    <row r="5641" ht="15" customHeight="1">
      <c r="A5641" t="inlineStr">
        <is>
          <t>A 62576-2021</t>
        </is>
      </c>
      <c r="B5641" s="1" t="n">
        <v>44502</v>
      </c>
      <c r="C5641" s="1" t="n">
        <v>45810</v>
      </c>
      <c r="D5641" t="inlineStr">
        <is>
          <t>VÄRMLANDS LÄN</t>
        </is>
      </c>
      <c r="E5641" t="inlineStr">
        <is>
          <t>TORSBY</t>
        </is>
      </c>
      <c r="G5641" t="n">
        <v>3.3</v>
      </c>
      <c r="H5641" t="n">
        <v>0</v>
      </c>
      <c r="I5641" t="n">
        <v>0</v>
      </c>
      <c r="J5641" t="n">
        <v>0</v>
      </c>
      <c r="K5641" t="n">
        <v>0</v>
      </c>
      <c r="L5641" t="n">
        <v>0</v>
      </c>
      <c r="M5641" t="n">
        <v>0</v>
      </c>
      <c r="N5641" t="n">
        <v>0</v>
      </c>
      <c r="O5641" t="n">
        <v>0</v>
      </c>
      <c r="P5641" t="n">
        <v>0</v>
      </c>
      <c r="Q5641" t="n">
        <v>0</v>
      </c>
      <c r="R5641" s="2" t="inlineStr"/>
    </row>
    <row r="5642" ht="15" customHeight="1">
      <c r="A5642" t="inlineStr">
        <is>
          <t>A 62313-2021</t>
        </is>
      </c>
      <c r="B5642" s="1" t="n">
        <v>44503</v>
      </c>
      <c r="C5642" s="1" t="n">
        <v>45810</v>
      </c>
      <c r="D5642" t="inlineStr">
        <is>
          <t>VÄRMLANDS LÄN</t>
        </is>
      </c>
      <c r="E5642" t="inlineStr">
        <is>
          <t>FILIPSTAD</t>
        </is>
      </c>
      <c r="F5642" t="inlineStr">
        <is>
          <t>Bergvik skog väst AB</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62591-2021</t>
        </is>
      </c>
      <c r="B5643" s="1" t="n">
        <v>44503</v>
      </c>
      <c r="C5643" s="1" t="n">
        <v>45810</v>
      </c>
      <c r="D5643" t="inlineStr">
        <is>
          <t>VÄRMLANDS LÄN</t>
        </is>
      </c>
      <c r="E5643" t="inlineStr">
        <is>
          <t>EDA</t>
        </is>
      </c>
      <c r="G5643" t="n">
        <v>2.9</v>
      </c>
      <c r="H5643" t="n">
        <v>0</v>
      </c>
      <c r="I5643" t="n">
        <v>0</v>
      </c>
      <c r="J5643" t="n">
        <v>0</v>
      </c>
      <c r="K5643" t="n">
        <v>0</v>
      </c>
      <c r="L5643" t="n">
        <v>0</v>
      </c>
      <c r="M5643" t="n">
        <v>0</v>
      </c>
      <c r="N5643" t="n">
        <v>0</v>
      </c>
      <c r="O5643" t="n">
        <v>0</v>
      </c>
      <c r="P5643" t="n">
        <v>0</v>
      </c>
      <c r="Q5643" t="n">
        <v>0</v>
      </c>
      <c r="R5643" s="2" t="inlineStr"/>
    </row>
    <row r="5644" ht="15" customHeight="1">
      <c r="A5644" t="inlineStr">
        <is>
          <t>A 62603-2021</t>
        </is>
      </c>
      <c r="B5644" s="1" t="n">
        <v>44503</v>
      </c>
      <c r="C5644" s="1" t="n">
        <v>45810</v>
      </c>
      <c r="D5644" t="inlineStr">
        <is>
          <t>VÄRMLANDS LÄN</t>
        </is>
      </c>
      <c r="E5644" t="inlineStr">
        <is>
          <t>ARVIKA</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62225-2021</t>
        </is>
      </c>
      <c r="B5645" s="1" t="n">
        <v>44503</v>
      </c>
      <c r="C5645" s="1" t="n">
        <v>45810</v>
      </c>
      <c r="D5645" t="inlineStr">
        <is>
          <t>VÄRMLANDS LÄN</t>
        </is>
      </c>
      <c r="E5645" t="inlineStr">
        <is>
          <t>KARLSTAD</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62357-2021</t>
        </is>
      </c>
      <c r="B5646" s="1" t="n">
        <v>44503</v>
      </c>
      <c r="C5646" s="1" t="n">
        <v>45810</v>
      </c>
      <c r="D5646" t="inlineStr">
        <is>
          <t>VÄRMLANDS LÄN</t>
        </is>
      </c>
      <c r="E5646" t="inlineStr">
        <is>
          <t>ÅRJÄNG</t>
        </is>
      </c>
      <c r="G5646" t="n">
        <v>1.9</v>
      </c>
      <c r="H5646" t="n">
        <v>0</v>
      </c>
      <c r="I5646" t="n">
        <v>0</v>
      </c>
      <c r="J5646" t="n">
        <v>0</v>
      </c>
      <c r="K5646" t="n">
        <v>0</v>
      </c>
      <c r="L5646" t="n">
        <v>0</v>
      </c>
      <c r="M5646" t="n">
        <v>0</v>
      </c>
      <c r="N5646" t="n">
        <v>0</v>
      </c>
      <c r="O5646" t="n">
        <v>0</v>
      </c>
      <c r="P5646" t="n">
        <v>0</v>
      </c>
      <c r="Q5646" t="n">
        <v>0</v>
      </c>
      <c r="R5646" s="2" t="inlineStr"/>
    </row>
    <row r="5647" ht="15" customHeight="1">
      <c r="A5647" t="inlineStr">
        <is>
          <t>A 62546-2021</t>
        </is>
      </c>
      <c r="B5647" s="1" t="n">
        <v>44503</v>
      </c>
      <c r="C5647" s="1" t="n">
        <v>45810</v>
      </c>
      <c r="D5647" t="inlineStr">
        <is>
          <t>VÄRMLANDS LÄN</t>
        </is>
      </c>
      <c r="E5647" t="inlineStr">
        <is>
          <t>KARLSTAD</t>
        </is>
      </c>
      <c r="G5647" t="n">
        <v>5.1</v>
      </c>
      <c r="H5647" t="n">
        <v>0</v>
      </c>
      <c r="I5647" t="n">
        <v>0</v>
      </c>
      <c r="J5647" t="n">
        <v>0</v>
      </c>
      <c r="K5647" t="n">
        <v>0</v>
      </c>
      <c r="L5647" t="n">
        <v>0</v>
      </c>
      <c r="M5647" t="n">
        <v>0</v>
      </c>
      <c r="N5647" t="n">
        <v>0</v>
      </c>
      <c r="O5647" t="n">
        <v>0</v>
      </c>
      <c r="P5647" t="n">
        <v>0</v>
      </c>
      <c r="Q5647" t="n">
        <v>0</v>
      </c>
      <c r="R5647" s="2" t="inlineStr"/>
    </row>
    <row r="5648" ht="15" customHeight="1">
      <c r="A5648" t="inlineStr">
        <is>
          <t>A 62289-2021</t>
        </is>
      </c>
      <c r="B5648" s="1" t="n">
        <v>44503</v>
      </c>
      <c r="C5648" s="1" t="n">
        <v>45810</v>
      </c>
      <c r="D5648" t="inlineStr">
        <is>
          <t>VÄRMLANDS LÄN</t>
        </is>
      </c>
      <c r="E5648" t="inlineStr">
        <is>
          <t>ÅRJÄNG</t>
        </is>
      </c>
      <c r="G5648" t="n">
        <v>0.3</v>
      </c>
      <c r="H5648" t="n">
        <v>0</v>
      </c>
      <c r="I5648" t="n">
        <v>0</v>
      </c>
      <c r="J5648" t="n">
        <v>0</v>
      </c>
      <c r="K5648" t="n">
        <v>0</v>
      </c>
      <c r="L5648" t="n">
        <v>0</v>
      </c>
      <c r="M5648" t="n">
        <v>0</v>
      </c>
      <c r="N5648" t="n">
        <v>0</v>
      </c>
      <c r="O5648" t="n">
        <v>0</v>
      </c>
      <c r="P5648" t="n">
        <v>0</v>
      </c>
      <c r="Q5648" t="n">
        <v>0</v>
      </c>
      <c r="R5648" s="2" t="inlineStr"/>
    </row>
    <row r="5649" ht="15" customHeight="1">
      <c r="A5649" t="inlineStr">
        <is>
          <t>A 62626-2021</t>
        </is>
      </c>
      <c r="B5649" s="1" t="n">
        <v>44503</v>
      </c>
      <c r="C5649" s="1" t="n">
        <v>45810</v>
      </c>
      <c r="D5649" t="inlineStr">
        <is>
          <t>VÄRMLANDS LÄN</t>
        </is>
      </c>
      <c r="E5649" t="inlineStr">
        <is>
          <t>SUNNE</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62845-2021</t>
        </is>
      </c>
      <c r="B5650" s="1" t="n">
        <v>44504</v>
      </c>
      <c r="C5650" s="1" t="n">
        <v>45810</v>
      </c>
      <c r="D5650" t="inlineStr">
        <is>
          <t>VÄRMLANDS LÄN</t>
        </is>
      </c>
      <c r="E5650" t="inlineStr">
        <is>
          <t>TORSBY</t>
        </is>
      </c>
      <c r="G5650" t="n">
        <v>4.3</v>
      </c>
      <c r="H5650" t="n">
        <v>0</v>
      </c>
      <c r="I5650" t="n">
        <v>0</v>
      </c>
      <c r="J5650" t="n">
        <v>0</v>
      </c>
      <c r="K5650" t="n">
        <v>0</v>
      </c>
      <c r="L5650" t="n">
        <v>0</v>
      </c>
      <c r="M5650" t="n">
        <v>0</v>
      </c>
      <c r="N5650" t="n">
        <v>0</v>
      </c>
      <c r="O5650" t="n">
        <v>0</v>
      </c>
      <c r="P5650" t="n">
        <v>0</v>
      </c>
      <c r="Q5650" t="n">
        <v>0</v>
      </c>
      <c r="R5650" s="2" t="inlineStr"/>
    </row>
    <row r="5651" ht="15" customHeight="1">
      <c r="A5651" t="inlineStr">
        <is>
          <t>A 62900-2021</t>
        </is>
      </c>
      <c r="B5651" s="1" t="n">
        <v>44504</v>
      </c>
      <c r="C5651" s="1" t="n">
        <v>45810</v>
      </c>
      <c r="D5651" t="inlineStr">
        <is>
          <t>VÄRMLANDS LÄN</t>
        </is>
      </c>
      <c r="E5651" t="inlineStr">
        <is>
          <t>ÅRJÄNG</t>
        </is>
      </c>
      <c r="G5651" t="n">
        <v>2.6</v>
      </c>
      <c r="H5651" t="n">
        <v>0</v>
      </c>
      <c r="I5651" t="n">
        <v>0</v>
      </c>
      <c r="J5651" t="n">
        <v>0</v>
      </c>
      <c r="K5651" t="n">
        <v>0</v>
      </c>
      <c r="L5651" t="n">
        <v>0</v>
      </c>
      <c r="M5651" t="n">
        <v>0</v>
      </c>
      <c r="N5651" t="n">
        <v>0</v>
      </c>
      <c r="O5651" t="n">
        <v>0</v>
      </c>
      <c r="P5651" t="n">
        <v>0</v>
      </c>
      <c r="Q5651" t="n">
        <v>0</v>
      </c>
      <c r="R5651" s="2" t="inlineStr"/>
    </row>
    <row r="5652" ht="15" customHeight="1">
      <c r="A5652" t="inlineStr">
        <is>
          <t>A 62901-2021</t>
        </is>
      </c>
      <c r="B5652" s="1" t="n">
        <v>44504</v>
      </c>
      <c r="C5652" s="1" t="n">
        <v>45810</v>
      </c>
      <c r="D5652" t="inlineStr">
        <is>
          <t>VÄRMLANDS LÄN</t>
        </is>
      </c>
      <c r="E5652" t="inlineStr">
        <is>
          <t>ÅRJÄNG</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63551-2021</t>
        </is>
      </c>
      <c r="B5653" s="1" t="n">
        <v>44504</v>
      </c>
      <c r="C5653" s="1" t="n">
        <v>45810</v>
      </c>
      <c r="D5653" t="inlineStr">
        <is>
          <t>VÄRMLANDS LÄN</t>
        </is>
      </c>
      <c r="E5653" t="inlineStr">
        <is>
          <t>KRISTINEHAMN</t>
        </is>
      </c>
      <c r="G5653" t="n">
        <v>2.8</v>
      </c>
      <c r="H5653" t="n">
        <v>0</v>
      </c>
      <c r="I5653" t="n">
        <v>0</v>
      </c>
      <c r="J5653" t="n">
        <v>0</v>
      </c>
      <c r="K5653" t="n">
        <v>0</v>
      </c>
      <c r="L5653" t="n">
        <v>0</v>
      </c>
      <c r="M5653" t="n">
        <v>0</v>
      </c>
      <c r="N5653" t="n">
        <v>0</v>
      </c>
      <c r="O5653" t="n">
        <v>0</v>
      </c>
      <c r="P5653" t="n">
        <v>0</v>
      </c>
      <c r="Q5653" t="n">
        <v>0</v>
      </c>
      <c r="R5653" s="2" t="inlineStr"/>
    </row>
    <row r="5654" ht="15" customHeight="1">
      <c r="A5654" t="inlineStr">
        <is>
          <t>A 62924-2021</t>
        </is>
      </c>
      <c r="B5654" s="1" t="n">
        <v>44504</v>
      </c>
      <c r="C5654" s="1" t="n">
        <v>45810</v>
      </c>
      <c r="D5654" t="inlineStr">
        <is>
          <t>VÄRMLANDS LÄN</t>
        </is>
      </c>
      <c r="E5654" t="inlineStr">
        <is>
          <t>KRISTINEHAMN</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62984-2021</t>
        </is>
      </c>
      <c r="B5655" s="1" t="n">
        <v>44505</v>
      </c>
      <c r="C5655" s="1" t="n">
        <v>45810</v>
      </c>
      <c r="D5655" t="inlineStr">
        <is>
          <t>VÄRMLANDS LÄN</t>
        </is>
      </c>
      <c r="E5655" t="inlineStr">
        <is>
          <t>ÅRJÄNG</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62965-2021</t>
        </is>
      </c>
      <c r="B5656" s="1" t="n">
        <v>44505</v>
      </c>
      <c r="C5656" s="1" t="n">
        <v>45810</v>
      </c>
      <c r="D5656" t="inlineStr">
        <is>
          <t>VÄRMLANDS LÄN</t>
        </is>
      </c>
      <c r="E5656" t="inlineStr">
        <is>
          <t>SUNNE</t>
        </is>
      </c>
      <c r="G5656" t="n">
        <v>16.3</v>
      </c>
      <c r="H5656" t="n">
        <v>0</v>
      </c>
      <c r="I5656" t="n">
        <v>0</v>
      </c>
      <c r="J5656" t="n">
        <v>0</v>
      </c>
      <c r="K5656" t="n">
        <v>0</v>
      </c>
      <c r="L5656" t="n">
        <v>0</v>
      </c>
      <c r="M5656" t="n">
        <v>0</v>
      </c>
      <c r="N5656" t="n">
        <v>0</v>
      </c>
      <c r="O5656" t="n">
        <v>0</v>
      </c>
      <c r="P5656" t="n">
        <v>0</v>
      </c>
      <c r="Q5656" t="n">
        <v>0</v>
      </c>
      <c r="R5656" s="2" t="inlineStr"/>
    </row>
    <row r="5657" ht="15" customHeight="1">
      <c r="A5657" t="inlineStr">
        <is>
          <t>A 63112-2021</t>
        </is>
      </c>
      <c r="B5657" s="1" t="n">
        <v>44505</v>
      </c>
      <c r="C5657" s="1" t="n">
        <v>45810</v>
      </c>
      <c r="D5657" t="inlineStr">
        <is>
          <t>VÄRMLANDS LÄN</t>
        </is>
      </c>
      <c r="E5657" t="inlineStr">
        <is>
          <t>SÄFFLE</t>
        </is>
      </c>
      <c r="G5657" t="n">
        <v>2.3</v>
      </c>
      <c r="H5657" t="n">
        <v>0</v>
      </c>
      <c r="I5657" t="n">
        <v>0</v>
      </c>
      <c r="J5657" t="n">
        <v>0</v>
      </c>
      <c r="K5657" t="n">
        <v>0</v>
      </c>
      <c r="L5657" t="n">
        <v>0</v>
      </c>
      <c r="M5657" t="n">
        <v>0</v>
      </c>
      <c r="N5657" t="n">
        <v>0</v>
      </c>
      <c r="O5657" t="n">
        <v>0</v>
      </c>
      <c r="P5657" t="n">
        <v>0</v>
      </c>
      <c r="Q5657" t="n">
        <v>0</v>
      </c>
      <c r="R5657" s="2" t="inlineStr"/>
    </row>
    <row r="5658" ht="15" customHeight="1">
      <c r="A5658" t="inlineStr">
        <is>
          <t>A 63119-2021</t>
        </is>
      </c>
      <c r="B5658" s="1" t="n">
        <v>44505</v>
      </c>
      <c r="C5658" s="1" t="n">
        <v>45810</v>
      </c>
      <c r="D5658" t="inlineStr">
        <is>
          <t>VÄRMLANDS LÄN</t>
        </is>
      </c>
      <c r="E5658" t="inlineStr">
        <is>
          <t>EDA</t>
        </is>
      </c>
      <c r="G5658" t="n">
        <v>3.4</v>
      </c>
      <c r="H5658" t="n">
        <v>0</v>
      </c>
      <c r="I5658" t="n">
        <v>0</v>
      </c>
      <c r="J5658" t="n">
        <v>0</v>
      </c>
      <c r="K5658" t="n">
        <v>0</v>
      </c>
      <c r="L5658" t="n">
        <v>0</v>
      </c>
      <c r="M5658" t="n">
        <v>0</v>
      </c>
      <c r="N5658" t="n">
        <v>0</v>
      </c>
      <c r="O5658" t="n">
        <v>0</v>
      </c>
      <c r="P5658" t="n">
        <v>0</v>
      </c>
      <c r="Q5658" t="n">
        <v>0</v>
      </c>
      <c r="R5658" s="2" t="inlineStr"/>
    </row>
    <row r="5659" ht="15" customHeight="1">
      <c r="A5659" t="inlineStr">
        <is>
          <t>A 63140-2021</t>
        </is>
      </c>
      <c r="B5659" s="1" t="n">
        <v>44505</v>
      </c>
      <c r="C5659" s="1" t="n">
        <v>45810</v>
      </c>
      <c r="D5659" t="inlineStr">
        <is>
          <t>VÄRMLANDS LÄN</t>
        </is>
      </c>
      <c r="E5659" t="inlineStr">
        <is>
          <t>FILIPSTAD</t>
        </is>
      </c>
      <c r="G5659" t="n">
        <v>11.5</v>
      </c>
      <c r="H5659" t="n">
        <v>0</v>
      </c>
      <c r="I5659" t="n">
        <v>0</v>
      </c>
      <c r="J5659" t="n">
        <v>0</v>
      </c>
      <c r="K5659" t="n">
        <v>0</v>
      </c>
      <c r="L5659" t="n">
        <v>0</v>
      </c>
      <c r="M5659" t="n">
        <v>0</v>
      </c>
      <c r="N5659" t="n">
        <v>0</v>
      </c>
      <c r="O5659" t="n">
        <v>0</v>
      </c>
      <c r="P5659" t="n">
        <v>0</v>
      </c>
      <c r="Q5659" t="n">
        <v>0</v>
      </c>
      <c r="R5659" s="2" t="inlineStr"/>
    </row>
    <row r="5660" ht="15" customHeight="1">
      <c r="A5660" t="inlineStr">
        <is>
          <t>A 63042-2021</t>
        </is>
      </c>
      <c r="B5660" s="1" t="n">
        <v>44505</v>
      </c>
      <c r="C5660" s="1" t="n">
        <v>45810</v>
      </c>
      <c r="D5660" t="inlineStr">
        <is>
          <t>VÄRMLANDS LÄN</t>
        </is>
      </c>
      <c r="E5660" t="inlineStr">
        <is>
          <t>SUNNE</t>
        </is>
      </c>
      <c r="G5660" t="n">
        <v>6</v>
      </c>
      <c r="H5660" t="n">
        <v>0</v>
      </c>
      <c r="I5660" t="n">
        <v>0</v>
      </c>
      <c r="J5660" t="n">
        <v>0</v>
      </c>
      <c r="K5660" t="n">
        <v>0</v>
      </c>
      <c r="L5660" t="n">
        <v>0</v>
      </c>
      <c r="M5660" t="n">
        <v>0</v>
      </c>
      <c r="N5660" t="n">
        <v>0</v>
      </c>
      <c r="O5660" t="n">
        <v>0</v>
      </c>
      <c r="P5660" t="n">
        <v>0</v>
      </c>
      <c r="Q5660" t="n">
        <v>0</v>
      </c>
      <c r="R5660" s="2" t="inlineStr"/>
    </row>
    <row r="5661" ht="15" customHeight="1">
      <c r="A5661" t="inlineStr">
        <is>
          <t>A 63111-2021</t>
        </is>
      </c>
      <c r="B5661" s="1" t="n">
        <v>44505</v>
      </c>
      <c r="C5661" s="1" t="n">
        <v>45810</v>
      </c>
      <c r="D5661" t="inlineStr">
        <is>
          <t>VÄRMLANDS LÄN</t>
        </is>
      </c>
      <c r="E5661" t="inlineStr">
        <is>
          <t>SÄFFLE</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63122-2021</t>
        </is>
      </c>
      <c r="B5662" s="1" t="n">
        <v>44505</v>
      </c>
      <c r="C5662" s="1" t="n">
        <v>45810</v>
      </c>
      <c r="D5662" t="inlineStr">
        <is>
          <t>VÄRMLANDS LÄN</t>
        </is>
      </c>
      <c r="E5662" t="inlineStr">
        <is>
          <t>EDA</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63144-2021</t>
        </is>
      </c>
      <c r="B5663" s="1" t="n">
        <v>44505</v>
      </c>
      <c r="C5663" s="1" t="n">
        <v>45810</v>
      </c>
      <c r="D5663" t="inlineStr">
        <is>
          <t>VÄRMLANDS LÄN</t>
        </is>
      </c>
      <c r="E5663" t="inlineStr">
        <is>
          <t>FILIPSTAD</t>
        </is>
      </c>
      <c r="G5663" t="n">
        <v>24.3</v>
      </c>
      <c r="H5663" t="n">
        <v>0</v>
      </c>
      <c r="I5663" t="n">
        <v>0</v>
      </c>
      <c r="J5663" t="n">
        <v>0</v>
      </c>
      <c r="K5663" t="n">
        <v>0</v>
      </c>
      <c r="L5663" t="n">
        <v>0</v>
      </c>
      <c r="M5663" t="n">
        <v>0</v>
      </c>
      <c r="N5663" t="n">
        <v>0</v>
      </c>
      <c r="O5663" t="n">
        <v>0</v>
      </c>
      <c r="P5663" t="n">
        <v>0</v>
      </c>
      <c r="Q5663" t="n">
        <v>0</v>
      </c>
      <c r="R5663" s="2" t="inlineStr"/>
    </row>
    <row r="5664" ht="15" customHeight="1">
      <c r="A5664" t="inlineStr">
        <is>
          <t>A 63714-2021</t>
        </is>
      </c>
      <c r="B5664" s="1" t="n">
        <v>44505</v>
      </c>
      <c r="C5664" s="1" t="n">
        <v>45810</v>
      </c>
      <c r="D5664" t="inlineStr">
        <is>
          <t>VÄRMLANDS LÄN</t>
        </is>
      </c>
      <c r="E5664" t="inlineStr">
        <is>
          <t>FILIPSTAD</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63199-2021</t>
        </is>
      </c>
      <c r="B5665" s="1" t="n">
        <v>44507</v>
      </c>
      <c r="C5665" s="1" t="n">
        <v>45810</v>
      </c>
      <c r="D5665" t="inlineStr">
        <is>
          <t>VÄRMLANDS LÄN</t>
        </is>
      </c>
      <c r="E5665" t="inlineStr">
        <is>
          <t>ÅRJÄNG</t>
        </is>
      </c>
      <c r="G5665" t="n">
        <v>5.5</v>
      </c>
      <c r="H5665" t="n">
        <v>0</v>
      </c>
      <c r="I5665" t="n">
        <v>0</v>
      </c>
      <c r="J5665" t="n">
        <v>0</v>
      </c>
      <c r="K5665" t="n">
        <v>0</v>
      </c>
      <c r="L5665" t="n">
        <v>0</v>
      </c>
      <c r="M5665" t="n">
        <v>0</v>
      </c>
      <c r="N5665" t="n">
        <v>0</v>
      </c>
      <c r="O5665" t="n">
        <v>0</v>
      </c>
      <c r="P5665" t="n">
        <v>0</v>
      </c>
      <c r="Q5665" t="n">
        <v>0</v>
      </c>
      <c r="R5665" s="2" t="inlineStr"/>
    </row>
    <row r="5666" ht="15" customHeight="1">
      <c r="A5666" t="inlineStr">
        <is>
          <t>A 63205-2021</t>
        </is>
      </c>
      <c r="B5666" s="1" t="n">
        <v>44507</v>
      </c>
      <c r="C5666" s="1" t="n">
        <v>45810</v>
      </c>
      <c r="D5666" t="inlineStr">
        <is>
          <t>VÄRMLANDS LÄN</t>
        </is>
      </c>
      <c r="E5666" t="inlineStr">
        <is>
          <t>ÅRJÄNG</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63203-2021</t>
        </is>
      </c>
      <c r="B5667" s="1" t="n">
        <v>44507</v>
      </c>
      <c r="C5667" s="1" t="n">
        <v>45810</v>
      </c>
      <c r="D5667" t="inlineStr">
        <is>
          <t>VÄRMLANDS LÄN</t>
        </is>
      </c>
      <c r="E5667" t="inlineStr">
        <is>
          <t>ÅRJÄNG</t>
        </is>
      </c>
      <c r="G5667" t="n">
        <v>2.8</v>
      </c>
      <c r="H5667" t="n">
        <v>0</v>
      </c>
      <c r="I5667" t="n">
        <v>0</v>
      </c>
      <c r="J5667" t="n">
        <v>0</v>
      </c>
      <c r="K5667" t="n">
        <v>0</v>
      </c>
      <c r="L5667" t="n">
        <v>0</v>
      </c>
      <c r="M5667" t="n">
        <v>0</v>
      </c>
      <c r="N5667" t="n">
        <v>0</v>
      </c>
      <c r="O5667" t="n">
        <v>0</v>
      </c>
      <c r="P5667" t="n">
        <v>0</v>
      </c>
      <c r="Q5667" t="n">
        <v>0</v>
      </c>
      <c r="R5667" s="2" t="inlineStr"/>
    </row>
    <row r="5668" ht="15" customHeight="1">
      <c r="A5668" t="inlineStr">
        <is>
          <t>A 63251-2021</t>
        </is>
      </c>
      <c r="B5668" s="1" t="n">
        <v>44508</v>
      </c>
      <c r="C5668" s="1" t="n">
        <v>45810</v>
      </c>
      <c r="D5668" t="inlineStr">
        <is>
          <t>VÄRMLANDS LÄN</t>
        </is>
      </c>
      <c r="E5668" t="inlineStr">
        <is>
          <t>TORSBY</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63369-2021</t>
        </is>
      </c>
      <c r="B5669" s="1" t="n">
        <v>44508</v>
      </c>
      <c r="C5669" s="1" t="n">
        <v>45810</v>
      </c>
      <c r="D5669" t="inlineStr">
        <is>
          <t>VÄRMLANDS LÄN</t>
        </is>
      </c>
      <c r="E5669" t="inlineStr">
        <is>
          <t>GRUMS</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63356-2021</t>
        </is>
      </c>
      <c r="B5670" s="1" t="n">
        <v>44508</v>
      </c>
      <c r="C5670" s="1" t="n">
        <v>45810</v>
      </c>
      <c r="D5670" t="inlineStr">
        <is>
          <t>VÄRMLANDS LÄN</t>
        </is>
      </c>
      <c r="E5670" t="inlineStr">
        <is>
          <t>SUNNE</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63482-2021</t>
        </is>
      </c>
      <c r="B5671" s="1" t="n">
        <v>44508</v>
      </c>
      <c r="C5671" s="1" t="n">
        <v>45810</v>
      </c>
      <c r="D5671" t="inlineStr">
        <is>
          <t>VÄRMLANDS LÄN</t>
        </is>
      </c>
      <c r="E5671" t="inlineStr">
        <is>
          <t>FILIPSTAD</t>
        </is>
      </c>
      <c r="G5671" t="n">
        <v>2.1</v>
      </c>
      <c r="H5671" t="n">
        <v>0</v>
      </c>
      <c r="I5671" t="n">
        <v>0</v>
      </c>
      <c r="J5671" t="n">
        <v>0</v>
      </c>
      <c r="K5671" t="n">
        <v>0</v>
      </c>
      <c r="L5671" t="n">
        <v>0</v>
      </c>
      <c r="M5671" t="n">
        <v>0</v>
      </c>
      <c r="N5671" t="n">
        <v>0</v>
      </c>
      <c r="O5671" t="n">
        <v>0</v>
      </c>
      <c r="P5671" t="n">
        <v>0</v>
      </c>
      <c r="Q5671" t="n">
        <v>0</v>
      </c>
      <c r="R5671" s="2" t="inlineStr"/>
    </row>
    <row r="5672" ht="15" customHeight="1">
      <c r="A5672" t="inlineStr">
        <is>
          <t>A 63520-2021</t>
        </is>
      </c>
      <c r="B5672" s="1" t="n">
        <v>44508</v>
      </c>
      <c r="C5672" s="1" t="n">
        <v>45810</v>
      </c>
      <c r="D5672" t="inlineStr">
        <is>
          <t>VÄRMLANDS LÄN</t>
        </is>
      </c>
      <c r="E5672" t="inlineStr">
        <is>
          <t>SÄFFLE</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63574-2021</t>
        </is>
      </c>
      <c r="B5673" s="1" t="n">
        <v>44508</v>
      </c>
      <c r="C5673" s="1" t="n">
        <v>45810</v>
      </c>
      <c r="D5673" t="inlineStr">
        <is>
          <t>VÄRMLANDS LÄN</t>
        </is>
      </c>
      <c r="E5673" t="inlineStr">
        <is>
          <t>SUNNE</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63828-2021</t>
        </is>
      </c>
      <c r="B5674" s="1" t="n">
        <v>44508</v>
      </c>
      <c r="C5674" s="1" t="n">
        <v>45810</v>
      </c>
      <c r="D5674" t="inlineStr">
        <is>
          <t>VÄRMLANDS LÄN</t>
        </is>
      </c>
      <c r="E5674" t="inlineStr">
        <is>
          <t>ARVIKA</t>
        </is>
      </c>
      <c r="G5674" t="n">
        <v>1.7</v>
      </c>
      <c r="H5674" t="n">
        <v>0</v>
      </c>
      <c r="I5674" t="n">
        <v>0</v>
      </c>
      <c r="J5674" t="n">
        <v>0</v>
      </c>
      <c r="K5674" t="n">
        <v>0</v>
      </c>
      <c r="L5674" t="n">
        <v>0</v>
      </c>
      <c r="M5674" t="n">
        <v>0</v>
      </c>
      <c r="N5674" t="n">
        <v>0</v>
      </c>
      <c r="O5674" t="n">
        <v>0</v>
      </c>
      <c r="P5674" t="n">
        <v>0</v>
      </c>
      <c r="Q5674" t="n">
        <v>0</v>
      </c>
      <c r="R5674" s="2" t="inlineStr"/>
    </row>
    <row r="5675" ht="15" customHeight="1">
      <c r="A5675" t="inlineStr">
        <is>
          <t>A 63527-2021</t>
        </is>
      </c>
      <c r="B5675" s="1" t="n">
        <v>44508</v>
      </c>
      <c r="C5675" s="1" t="n">
        <v>45810</v>
      </c>
      <c r="D5675" t="inlineStr">
        <is>
          <t>VÄRMLANDS LÄN</t>
        </is>
      </c>
      <c r="E5675" t="inlineStr">
        <is>
          <t>TORSBY</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63847-2021</t>
        </is>
      </c>
      <c r="B5676" s="1" t="n">
        <v>44508</v>
      </c>
      <c r="C5676" s="1" t="n">
        <v>45810</v>
      </c>
      <c r="D5676" t="inlineStr">
        <is>
          <t>VÄRMLANDS LÄN</t>
        </is>
      </c>
      <c r="E5676" t="inlineStr">
        <is>
          <t>ARVIKA</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63739-2021</t>
        </is>
      </c>
      <c r="B5677" s="1" t="n">
        <v>44509</v>
      </c>
      <c r="C5677" s="1" t="n">
        <v>45810</v>
      </c>
      <c r="D5677" t="inlineStr">
        <is>
          <t>VÄRMLANDS LÄN</t>
        </is>
      </c>
      <c r="E5677" t="inlineStr">
        <is>
          <t>FORSHAGA</t>
        </is>
      </c>
      <c r="G5677" t="n">
        <v>4.1</v>
      </c>
      <c r="H5677" t="n">
        <v>0</v>
      </c>
      <c r="I5677" t="n">
        <v>0</v>
      </c>
      <c r="J5677" t="n">
        <v>0</v>
      </c>
      <c r="K5677" t="n">
        <v>0</v>
      </c>
      <c r="L5677" t="n">
        <v>0</v>
      </c>
      <c r="M5677" t="n">
        <v>0</v>
      </c>
      <c r="N5677" t="n">
        <v>0</v>
      </c>
      <c r="O5677" t="n">
        <v>0</v>
      </c>
      <c r="P5677" t="n">
        <v>0</v>
      </c>
      <c r="Q5677" t="n">
        <v>0</v>
      </c>
      <c r="R5677" s="2" t="inlineStr"/>
    </row>
    <row r="5678" ht="15" customHeight="1">
      <c r="A5678" t="inlineStr">
        <is>
          <t>A 63617-2021</t>
        </is>
      </c>
      <c r="B5678" s="1" t="n">
        <v>44509</v>
      </c>
      <c r="C5678" s="1" t="n">
        <v>45810</v>
      </c>
      <c r="D5678" t="inlineStr">
        <is>
          <t>VÄRMLANDS LÄN</t>
        </is>
      </c>
      <c r="E5678" t="inlineStr">
        <is>
          <t>SÄFFLE</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63673-2021</t>
        </is>
      </c>
      <c r="B5679" s="1" t="n">
        <v>44509</v>
      </c>
      <c r="C5679" s="1" t="n">
        <v>45810</v>
      </c>
      <c r="D5679" t="inlineStr">
        <is>
          <t>VÄRMLANDS LÄN</t>
        </is>
      </c>
      <c r="E5679" t="inlineStr">
        <is>
          <t>SÄFFLE</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63745-2021</t>
        </is>
      </c>
      <c r="B5680" s="1" t="n">
        <v>44509</v>
      </c>
      <c r="C5680" s="1" t="n">
        <v>45810</v>
      </c>
      <c r="D5680" t="inlineStr">
        <is>
          <t>VÄRMLANDS LÄN</t>
        </is>
      </c>
      <c r="E5680" t="inlineStr">
        <is>
          <t>SÄFFLE</t>
        </is>
      </c>
      <c r="G5680" t="n">
        <v>1.9</v>
      </c>
      <c r="H5680" t="n">
        <v>0</v>
      </c>
      <c r="I5680" t="n">
        <v>0</v>
      </c>
      <c r="J5680" t="n">
        <v>0</v>
      </c>
      <c r="K5680" t="n">
        <v>0</v>
      </c>
      <c r="L5680" t="n">
        <v>0</v>
      </c>
      <c r="M5680" t="n">
        <v>0</v>
      </c>
      <c r="N5680" t="n">
        <v>0</v>
      </c>
      <c r="O5680" t="n">
        <v>0</v>
      </c>
      <c r="P5680" t="n">
        <v>0</v>
      </c>
      <c r="Q5680" t="n">
        <v>0</v>
      </c>
      <c r="R5680" s="2" t="inlineStr"/>
    </row>
    <row r="5681" ht="15" customHeight="1">
      <c r="A5681" t="inlineStr">
        <is>
          <t>A 63766-2021</t>
        </is>
      </c>
      <c r="B5681" s="1" t="n">
        <v>44509</v>
      </c>
      <c r="C5681" s="1" t="n">
        <v>45810</v>
      </c>
      <c r="D5681" t="inlineStr">
        <is>
          <t>VÄRMLANDS LÄN</t>
        </is>
      </c>
      <c r="E5681" t="inlineStr">
        <is>
          <t>FILIPSTAD</t>
        </is>
      </c>
      <c r="G5681" t="n">
        <v>6.9</v>
      </c>
      <c r="H5681" t="n">
        <v>0</v>
      </c>
      <c r="I5681" t="n">
        <v>0</v>
      </c>
      <c r="J5681" t="n">
        <v>0</v>
      </c>
      <c r="K5681" t="n">
        <v>0</v>
      </c>
      <c r="L5681" t="n">
        <v>0</v>
      </c>
      <c r="M5681" t="n">
        <v>0</v>
      </c>
      <c r="N5681" t="n">
        <v>0</v>
      </c>
      <c r="O5681" t="n">
        <v>0</v>
      </c>
      <c r="P5681" t="n">
        <v>0</v>
      </c>
      <c r="Q5681" t="n">
        <v>0</v>
      </c>
      <c r="R5681" s="2" t="inlineStr"/>
    </row>
    <row r="5682" ht="15" customHeight="1">
      <c r="A5682" t="inlineStr">
        <is>
          <t>A 63787-2021</t>
        </is>
      </c>
      <c r="B5682" s="1" t="n">
        <v>44509</v>
      </c>
      <c r="C5682" s="1" t="n">
        <v>45810</v>
      </c>
      <c r="D5682" t="inlineStr">
        <is>
          <t>VÄRMLANDS LÄN</t>
        </is>
      </c>
      <c r="E5682" t="inlineStr">
        <is>
          <t>SÄFFLE</t>
        </is>
      </c>
      <c r="G5682" t="n">
        <v>4.9</v>
      </c>
      <c r="H5682" t="n">
        <v>0</v>
      </c>
      <c r="I5682" t="n">
        <v>0</v>
      </c>
      <c r="J5682" t="n">
        <v>0</v>
      </c>
      <c r="K5682" t="n">
        <v>0</v>
      </c>
      <c r="L5682" t="n">
        <v>0</v>
      </c>
      <c r="M5682" t="n">
        <v>0</v>
      </c>
      <c r="N5682" t="n">
        <v>0</v>
      </c>
      <c r="O5682" t="n">
        <v>0</v>
      </c>
      <c r="P5682" t="n">
        <v>0</v>
      </c>
      <c r="Q5682" t="n">
        <v>0</v>
      </c>
      <c r="R5682" s="2" t="inlineStr"/>
    </row>
    <row r="5683" ht="15" customHeight="1">
      <c r="A5683" t="inlineStr">
        <is>
          <t>A 63881-2021</t>
        </is>
      </c>
      <c r="B5683" s="1" t="n">
        <v>44509</v>
      </c>
      <c r="C5683" s="1" t="n">
        <v>45810</v>
      </c>
      <c r="D5683" t="inlineStr">
        <is>
          <t>VÄRMLANDS LÄN</t>
        </is>
      </c>
      <c r="E5683" t="inlineStr">
        <is>
          <t>ÅRJÄNG</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63858-2021</t>
        </is>
      </c>
      <c r="B5684" s="1" t="n">
        <v>44509</v>
      </c>
      <c r="C5684" s="1" t="n">
        <v>45810</v>
      </c>
      <c r="D5684" t="inlineStr">
        <is>
          <t>VÄRMLANDS LÄN</t>
        </is>
      </c>
      <c r="E5684" t="inlineStr">
        <is>
          <t>SÄFFLE</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63919-2021</t>
        </is>
      </c>
      <c r="B5685" s="1" t="n">
        <v>44509</v>
      </c>
      <c r="C5685" s="1" t="n">
        <v>45810</v>
      </c>
      <c r="D5685" t="inlineStr">
        <is>
          <t>VÄRMLANDS LÄN</t>
        </is>
      </c>
      <c r="E5685" t="inlineStr">
        <is>
          <t>GRUMS</t>
        </is>
      </c>
      <c r="G5685" t="n">
        <v>5.2</v>
      </c>
      <c r="H5685" t="n">
        <v>0</v>
      </c>
      <c r="I5685" t="n">
        <v>0</v>
      </c>
      <c r="J5685" t="n">
        <v>0</v>
      </c>
      <c r="K5685" t="n">
        <v>0</v>
      </c>
      <c r="L5685" t="n">
        <v>0</v>
      </c>
      <c r="M5685" t="n">
        <v>0</v>
      </c>
      <c r="N5685" t="n">
        <v>0</v>
      </c>
      <c r="O5685" t="n">
        <v>0</v>
      </c>
      <c r="P5685" t="n">
        <v>0</v>
      </c>
      <c r="Q5685" t="n">
        <v>0</v>
      </c>
      <c r="R5685" s="2" t="inlineStr"/>
    </row>
    <row r="5686" ht="15" customHeight="1">
      <c r="A5686" t="inlineStr">
        <is>
          <t>A 63962-2021</t>
        </is>
      </c>
      <c r="B5686" s="1" t="n">
        <v>44509</v>
      </c>
      <c r="C5686" s="1" t="n">
        <v>45810</v>
      </c>
      <c r="D5686" t="inlineStr">
        <is>
          <t>VÄRMLANDS LÄN</t>
        </is>
      </c>
      <c r="E5686" t="inlineStr">
        <is>
          <t>GRUMS</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63796-2021</t>
        </is>
      </c>
      <c r="B5687" s="1" t="n">
        <v>44509</v>
      </c>
      <c r="C5687" s="1" t="n">
        <v>45810</v>
      </c>
      <c r="D5687" t="inlineStr">
        <is>
          <t>VÄRMLANDS LÄN</t>
        </is>
      </c>
      <c r="E5687" t="inlineStr">
        <is>
          <t>ÅRJÄNG</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63885-2021</t>
        </is>
      </c>
      <c r="B5688" s="1" t="n">
        <v>44509</v>
      </c>
      <c r="C5688" s="1" t="n">
        <v>45810</v>
      </c>
      <c r="D5688" t="inlineStr">
        <is>
          <t>VÄRMLANDS LÄN</t>
        </is>
      </c>
      <c r="E5688" t="inlineStr">
        <is>
          <t>ÅRJÄNG</t>
        </is>
      </c>
      <c r="G5688" t="n">
        <v>8</v>
      </c>
      <c r="H5688" t="n">
        <v>0</v>
      </c>
      <c r="I5688" t="n">
        <v>0</v>
      </c>
      <c r="J5688" t="n">
        <v>0</v>
      </c>
      <c r="K5688" t="n">
        <v>0</v>
      </c>
      <c r="L5688" t="n">
        <v>0</v>
      </c>
      <c r="M5688" t="n">
        <v>0</v>
      </c>
      <c r="N5688" t="n">
        <v>0</v>
      </c>
      <c r="O5688" t="n">
        <v>0</v>
      </c>
      <c r="P5688" t="n">
        <v>0</v>
      </c>
      <c r="Q5688" t="n">
        <v>0</v>
      </c>
      <c r="R5688" s="2" t="inlineStr"/>
    </row>
    <row r="5689" ht="15" customHeight="1">
      <c r="A5689" t="inlineStr">
        <is>
          <t>A 64061-2021</t>
        </is>
      </c>
      <c r="B5689" s="1" t="n">
        <v>44509</v>
      </c>
      <c r="C5689" s="1" t="n">
        <v>45810</v>
      </c>
      <c r="D5689" t="inlineStr">
        <is>
          <t>VÄRMLANDS LÄN</t>
        </is>
      </c>
      <c r="E5689" t="inlineStr">
        <is>
          <t>SÄFFLE</t>
        </is>
      </c>
      <c r="F5689" t="inlineStr">
        <is>
          <t>Bergvik skog väst AB</t>
        </is>
      </c>
      <c r="G5689" t="n">
        <v>12.6</v>
      </c>
      <c r="H5689" t="n">
        <v>0</v>
      </c>
      <c r="I5689" t="n">
        <v>0</v>
      </c>
      <c r="J5689" t="n">
        <v>0</v>
      </c>
      <c r="K5689" t="n">
        <v>0</v>
      </c>
      <c r="L5689" t="n">
        <v>0</v>
      </c>
      <c r="M5689" t="n">
        <v>0</v>
      </c>
      <c r="N5689" t="n">
        <v>0</v>
      </c>
      <c r="O5689" t="n">
        <v>0</v>
      </c>
      <c r="P5689" t="n">
        <v>0</v>
      </c>
      <c r="Q5689" t="n">
        <v>0</v>
      </c>
      <c r="R5689" s="2" t="inlineStr"/>
    </row>
    <row r="5690" ht="15" customHeight="1">
      <c r="A5690" t="inlineStr">
        <is>
          <t>A 63922-2021</t>
        </is>
      </c>
      <c r="B5690" s="1" t="n">
        <v>44509</v>
      </c>
      <c r="C5690" s="1" t="n">
        <v>45810</v>
      </c>
      <c r="D5690" t="inlineStr">
        <is>
          <t>VÄRMLANDS LÄN</t>
        </is>
      </c>
      <c r="E5690" t="inlineStr">
        <is>
          <t>FORSHAGA</t>
        </is>
      </c>
      <c r="F5690" t="inlineStr">
        <is>
          <t>Bergvik skog väst AB</t>
        </is>
      </c>
      <c r="G5690" t="n">
        <v>0.4</v>
      </c>
      <c r="H5690" t="n">
        <v>0</v>
      </c>
      <c r="I5690" t="n">
        <v>0</v>
      </c>
      <c r="J5690" t="n">
        <v>0</v>
      </c>
      <c r="K5690" t="n">
        <v>0</v>
      </c>
      <c r="L5690" t="n">
        <v>0</v>
      </c>
      <c r="M5690" t="n">
        <v>0</v>
      </c>
      <c r="N5690" t="n">
        <v>0</v>
      </c>
      <c r="O5690" t="n">
        <v>0</v>
      </c>
      <c r="P5690" t="n">
        <v>0</v>
      </c>
      <c r="Q5690" t="n">
        <v>0</v>
      </c>
      <c r="R5690" s="2" t="inlineStr"/>
    </row>
    <row r="5691" ht="15" customHeight="1">
      <c r="A5691" t="inlineStr">
        <is>
          <t>A 63964-2021</t>
        </is>
      </c>
      <c r="B5691" s="1" t="n">
        <v>44509</v>
      </c>
      <c r="C5691" s="1" t="n">
        <v>45810</v>
      </c>
      <c r="D5691" t="inlineStr">
        <is>
          <t>VÄRMLANDS LÄN</t>
        </is>
      </c>
      <c r="E5691" t="inlineStr">
        <is>
          <t>GRUMS</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63899-2021</t>
        </is>
      </c>
      <c r="B5692" s="1" t="n">
        <v>44509</v>
      </c>
      <c r="C5692" s="1" t="n">
        <v>45810</v>
      </c>
      <c r="D5692" t="inlineStr">
        <is>
          <t>VÄRMLANDS LÄN</t>
        </is>
      </c>
      <c r="E5692" t="inlineStr">
        <is>
          <t>SUNNE</t>
        </is>
      </c>
      <c r="F5692" t="inlineStr">
        <is>
          <t>Bergvik skog väst AB</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63914-2021</t>
        </is>
      </c>
      <c r="B5693" s="1" t="n">
        <v>44509</v>
      </c>
      <c r="C5693" s="1" t="n">
        <v>45810</v>
      </c>
      <c r="D5693" t="inlineStr">
        <is>
          <t>VÄRMLANDS LÄN</t>
        </is>
      </c>
      <c r="E5693" t="inlineStr">
        <is>
          <t>SÄFFLE</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63963-2021</t>
        </is>
      </c>
      <c r="B5694" s="1" t="n">
        <v>44509</v>
      </c>
      <c r="C5694" s="1" t="n">
        <v>45810</v>
      </c>
      <c r="D5694" t="inlineStr">
        <is>
          <t>VÄRMLANDS LÄN</t>
        </is>
      </c>
      <c r="E5694" t="inlineStr">
        <is>
          <t>GRUMS</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64048-2021</t>
        </is>
      </c>
      <c r="B5695" s="1" t="n">
        <v>44510</v>
      </c>
      <c r="C5695" s="1" t="n">
        <v>45810</v>
      </c>
      <c r="D5695" t="inlineStr">
        <is>
          <t>VÄRMLANDS LÄN</t>
        </is>
      </c>
      <c r="E5695" t="inlineStr">
        <is>
          <t>HAGFORS</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64051-2021</t>
        </is>
      </c>
      <c r="B5696" s="1" t="n">
        <v>44510</v>
      </c>
      <c r="C5696" s="1" t="n">
        <v>45810</v>
      </c>
      <c r="D5696" t="inlineStr">
        <is>
          <t>VÄRMLANDS LÄN</t>
        </is>
      </c>
      <c r="E5696" t="inlineStr">
        <is>
          <t>HAGFORS</t>
        </is>
      </c>
      <c r="G5696" t="n">
        <v>1.7</v>
      </c>
      <c r="H5696" t="n">
        <v>0</v>
      </c>
      <c r="I5696" t="n">
        <v>0</v>
      </c>
      <c r="J5696" t="n">
        <v>0</v>
      </c>
      <c r="K5696" t="n">
        <v>0</v>
      </c>
      <c r="L5696" t="n">
        <v>0</v>
      </c>
      <c r="M5696" t="n">
        <v>0</v>
      </c>
      <c r="N5696" t="n">
        <v>0</v>
      </c>
      <c r="O5696" t="n">
        <v>0</v>
      </c>
      <c r="P5696" t="n">
        <v>0</v>
      </c>
      <c r="Q5696" t="n">
        <v>0</v>
      </c>
      <c r="R5696" s="2" t="inlineStr"/>
    </row>
    <row r="5697" ht="15" customHeight="1">
      <c r="A5697" t="inlineStr">
        <is>
          <t>A 64082-2021</t>
        </is>
      </c>
      <c r="B5697" s="1" t="n">
        <v>44510</v>
      </c>
      <c r="C5697" s="1" t="n">
        <v>45810</v>
      </c>
      <c r="D5697" t="inlineStr">
        <is>
          <t>VÄRMLANDS LÄN</t>
        </is>
      </c>
      <c r="E5697" t="inlineStr">
        <is>
          <t>ÅRJÄNG</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64193-2021</t>
        </is>
      </c>
      <c r="B5698" s="1" t="n">
        <v>44510</v>
      </c>
      <c r="C5698" s="1" t="n">
        <v>45810</v>
      </c>
      <c r="D5698" t="inlineStr">
        <is>
          <t>VÄRMLANDS LÄN</t>
        </is>
      </c>
      <c r="E5698" t="inlineStr">
        <is>
          <t>KIL</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64202-2021</t>
        </is>
      </c>
      <c r="B5699" s="1" t="n">
        <v>44510</v>
      </c>
      <c r="C5699" s="1" t="n">
        <v>45810</v>
      </c>
      <c r="D5699" t="inlineStr">
        <is>
          <t>VÄRMLANDS LÄN</t>
        </is>
      </c>
      <c r="E5699" t="inlineStr">
        <is>
          <t>EDA</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64331-2021</t>
        </is>
      </c>
      <c r="B5700" s="1" t="n">
        <v>44510</v>
      </c>
      <c r="C5700" s="1" t="n">
        <v>45810</v>
      </c>
      <c r="D5700" t="inlineStr">
        <is>
          <t>VÄRMLANDS LÄN</t>
        </is>
      </c>
      <c r="E5700" t="inlineStr">
        <is>
          <t>ARVIKA</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64333-2021</t>
        </is>
      </c>
      <c r="B5701" s="1" t="n">
        <v>44510</v>
      </c>
      <c r="C5701" s="1" t="n">
        <v>45810</v>
      </c>
      <c r="D5701" t="inlineStr">
        <is>
          <t>VÄRMLANDS LÄN</t>
        </is>
      </c>
      <c r="E5701" t="inlineStr">
        <is>
          <t>ARVIKA</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64508-2021</t>
        </is>
      </c>
      <c r="B5702" s="1" t="n">
        <v>44511</v>
      </c>
      <c r="C5702" s="1" t="n">
        <v>45810</v>
      </c>
      <c r="D5702" t="inlineStr">
        <is>
          <t>VÄRMLANDS LÄN</t>
        </is>
      </c>
      <c r="E5702" t="inlineStr">
        <is>
          <t>KIL</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64442-2021</t>
        </is>
      </c>
      <c r="B5703" s="1" t="n">
        <v>44511</v>
      </c>
      <c r="C5703" s="1" t="n">
        <v>45810</v>
      </c>
      <c r="D5703" t="inlineStr">
        <is>
          <t>VÄRMLANDS LÄN</t>
        </is>
      </c>
      <c r="E5703" t="inlineStr">
        <is>
          <t>SÄFFLE</t>
        </is>
      </c>
      <c r="G5703" t="n">
        <v>5</v>
      </c>
      <c r="H5703" t="n">
        <v>0</v>
      </c>
      <c r="I5703" t="n">
        <v>0</v>
      </c>
      <c r="J5703" t="n">
        <v>0</v>
      </c>
      <c r="K5703" t="n">
        <v>0</v>
      </c>
      <c r="L5703" t="n">
        <v>0</v>
      </c>
      <c r="M5703" t="n">
        <v>0</v>
      </c>
      <c r="N5703" t="n">
        <v>0</v>
      </c>
      <c r="O5703" t="n">
        <v>0</v>
      </c>
      <c r="P5703" t="n">
        <v>0</v>
      </c>
      <c r="Q5703" t="n">
        <v>0</v>
      </c>
      <c r="R5703" s="2" t="inlineStr"/>
    </row>
    <row r="5704" ht="15" customHeight="1">
      <c r="A5704" t="inlineStr">
        <is>
          <t>A 64531-2021</t>
        </is>
      </c>
      <c r="B5704" s="1" t="n">
        <v>44511</v>
      </c>
      <c r="C5704" s="1" t="n">
        <v>45810</v>
      </c>
      <c r="D5704" t="inlineStr">
        <is>
          <t>VÄRMLANDS LÄN</t>
        </is>
      </c>
      <c r="E5704" t="inlineStr">
        <is>
          <t>KIL</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64547-2021</t>
        </is>
      </c>
      <c r="B5705" s="1" t="n">
        <v>44511</v>
      </c>
      <c r="C5705" s="1" t="n">
        <v>45810</v>
      </c>
      <c r="D5705" t="inlineStr">
        <is>
          <t>VÄRMLANDS LÄN</t>
        </is>
      </c>
      <c r="E5705" t="inlineStr">
        <is>
          <t>KIL</t>
        </is>
      </c>
      <c r="G5705" t="n">
        <v>0.3</v>
      </c>
      <c r="H5705" t="n">
        <v>0</v>
      </c>
      <c r="I5705" t="n">
        <v>0</v>
      </c>
      <c r="J5705" t="n">
        <v>0</v>
      </c>
      <c r="K5705" t="n">
        <v>0</v>
      </c>
      <c r="L5705" t="n">
        <v>0</v>
      </c>
      <c r="M5705" t="n">
        <v>0</v>
      </c>
      <c r="N5705" t="n">
        <v>0</v>
      </c>
      <c r="O5705" t="n">
        <v>0</v>
      </c>
      <c r="P5705" t="n">
        <v>0</v>
      </c>
      <c r="Q5705" t="n">
        <v>0</v>
      </c>
      <c r="R5705" s="2" t="inlineStr"/>
    </row>
    <row r="5706" ht="15" customHeight="1">
      <c r="A5706" t="inlineStr">
        <is>
          <t>A 64585-2021</t>
        </is>
      </c>
      <c r="B5706" s="1" t="n">
        <v>44511</v>
      </c>
      <c r="C5706" s="1" t="n">
        <v>45810</v>
      </c>
      <c r="D5706" t="inlineStr">
        <is>
          <t>VÄRMLANDS LÄN</t>
        </is>
      </c>
      <c r="E5706" t="inlineStr">
        <is>
          <t>ARVIKA</t>
        </is>
      </c>
      <c r="G5706" t="n">
        <v>6.4</v>
      </c>
      <c r="H5706" t="n">
        <v>0</v>
      </c>
      <c r="I5706" t="n">
        <v>0</v>
      </c>
      <c r="J5706" t="n">
        <v>0</v>
      </c>
      <c r="K5706" t="n">
        <v>0</v>
      </c>
      <c r="L5706" t="n">
        <v>0</v>
      </c>
      <c r="M5706" t="n">
        <v>0</v>
      </c>
      <c r="N5706" t="n">
        <v>0</v>
      </c>
      <c r="O5706" t="n">
        <v>0</v>
      </c>
      <c r="P5706" t="n">
        <v>0</v>
      </c>
      <c r="Q5706" t="n">
        <v>0</v>
      </c>
      <c r="R5706" s="2" t="inlineStr"/>
    </row>
    <row r="5707" ht="15" customHeight="1">
      <c r="A5707" t="inlineStr">
        <is>
          <t>A 64518-2021</t>
        </is>
      </c>
      <c r="B5707" s="1" t="n">
        <v>44511</v>
      </c>
      <c r="C5707" s="1" t="n">
        <v>45810</v>
      </c>
      <c r="D5707" t="inlineStr">
        <is>
          <t>VÄRMLANDS LÄN</t>
        </is>
      </c>
      <c r="E5707" t="inlineStr">
        <is>
          <t>KIL</t>
        </is>
      </c>
      <c r="G5707" t="n">
        <v>2.1</v>
      </c>
      <c r="H5707" t="n">
        <v>0</v>
      </c>
      <c r="I5707" t="n">
        <v>0</v>
      </c>
      <c r="J5707" t="n">
        <v>0</v>
      </c>
      <c r="K5707" t="n">
        <v>0</v>
      </c>
      <c r="L5707" t="n">
        <v>0</v>
      </c>
      <c r="M5707" t="n">
        <v>0</v>
      </c>
      <c r="N5707" t="n">
        <v>0</v>
      </c>
      <c r="O5707" t="n">
        <v>0</v>
      </c>
      <c r="P5707" t="n">
        <v>0</v>
      </c>
      <c r="Q5707" t="n">
        <v>0</v>
      </c>
      <c r="R5707" s="2" t="inlineStr"/>
    </row>
    <row r="5708" ht="15" customHeight="1">
      <c r="A5708" t="inlineStr">
        <is>
          <t>A 64526-2021</t>
        </is>
      </c>
      <c r="B5708" s="1" t="n">
        <v>44511</v>
      </c>
      <c r="C5708" s="1" t="n">
        <v>45810</v>
      </c>
      <c r="D5708" t="inlineStr">
        <is>
          <t>VÄRMLANDS LÄN</t>
        </is>
      </c>
      <c r="E5708" t="inlineStr">
        <is>
          <t>FILIPSTAD</t>
        </is>
      </c>
      <c r="G5708" t="n">
        <v>4</v>
      </c>
      <c r="H5708" t="n">
        <v>0</v>
      </c>
      <c r="I5708" t="n">
        <v>0</v>
      </c>
      <c r="J5708" t="n">
        <v>0</v>
      </c>
      <c r="K5708" t="n">
        <v>0</v>
      </c>
      <c r="L5708" t="n">
        <v>0</v>
      </c>
      <c r="M5708" t="n">
        <v>0</v>
      </c>
      <c r="N5708" t="n">
        <v>0</v>
      </c>
      <c r="O5708" t="n">
        <v>0</v>
      </c>
      <c r="P5708" t="n">
        <v>0</v>
      </c>
      <c r="Q5708" t="n">
        <v>0</v>
      </c>
      <c r="R5708" s="2" t="inlineStr"/>
    </row>
    <row r="5709" ht="15" customHeight="1">
      <c r="A5709" t="inlineStr">
        <is>
          <t>A 64543-2021</t>
        </is>
      </c>
      <c r="B5709" s="1" t="n">
        <v>44511</v>
      </c>
      <c r="C5709" s="1" t="n">
        <v>45810</v>
      </c>
      <c r="D5709" t="inlineStr">
        <is>
          <t>VÄRMLANDS LÄN</t>
        </is>
      </c>
      <c r="E5709" t="inlineStr">
        <is>
          <t>KIL</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64553-2021</t>
        </is>
      </c>
      <c r="B5710" s="1" t="n">
        <v>44511</v>
      </c>
      <c r="C5710" s="1" t="n">
        <v>45810</v>
      </c>
      <c r="D5710" t="inlineStr">
        <is>
          <t>VÄRMLANDS LÄN</t>
        </is>
      </c>
      <c r="E5710" t="inlineStr">
        <is>
          <t>KIL</t>
        </is>
      </c>
      <c r="G5710" t="n">
        <v>0.2</v>
      </c>
      <c r="H5710" t="n">
        <v>0</v>
      </c>
      <c r="I5710" t="n">
        <v>0</v>
      </c>
      <c r="J5710" t="n">
        <v>0</v>
      </c>
      <c r="K5710" t="n">
        <v>0</v>
      </c>
      <c r="L5710" t="n">
        <v>0</v>
      </c>
      <c r="M5710" t="n">
        <v>0</v>
      </c>
      <c r="N5710" t="n">
        <v>0</v>
      </c>
      <c r="O5710" t="n">
        <v>0</v>
      </c>
      <c r="P5710" t="n">
        <v>0</v>
      </c>
      <c r="Q5710" t="n">
        <v>0</v>
      </c>
      <c r="R5710" s="2" t="inlineStr"/>
    </row>
    <row r="5711" ht="15" customHeight="1">
      <c r="A5711" t="inlineStr">
        <is>
          <t>A 64576-2021</t>
        </is>
      </c>
      <c r="B5711" s="1" t="n">
        <v>44511</v>
      </c>
      <c r="C5711" s="1" t="n">
        <v>45810</v>
      </c>
      <c r="D5711" t="inlineStr">
        <is>
          <t>VÄRMLANDS LÄN</t>
        </is>
      </c>
      <c r="E5711" t="inlineStr">
        <is>
          <t>ARVIKA</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64589-2021</t>
        </is>
      </c>
      <c r="B5712" s="1" t="n">
        <v>44511</v>
      </c>
      <c r="C5712" s="1" t="n">
        <v>45810</v>
      </c>
      <c r="D5712" t="inlineStr">
        <is>
          <t>VÄRMLANDS LÄN</t>
        </is>
      </c>
      <c r="E5712" t="inlineStr">
        <is>
          <t>ARVIKA</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64524-2021</t>
        </is>
      </c>
      <c r="B5713" s="1" t="n">
        <v>44511</v>
      </c>
      <c r="C5713" s="1" t="n">
        <v>45810</v>
      </c>
      <c r="D5713" t="inlineStr">
        <is>
          <t>VÄRMLANDS LÄN</t>
        </is>
      </c>
      <c r="E5713" t="inlineStr">
        <is>
          <t>KIL</t>
        </is>
      </c>
      <c r="G5713" t="n">
        <v>3</v>
      </c>
      <c r="H5713" t="n">
        <v>0</v>
      </c>
      <c r="I5713" t="n">
        <v>0</v>
      </c>
      <c r="J5713" t="n">
        <v>0</v>
      </c>
      <c r="K5713" t="n">
        <v>0</v>
      </c>
      <c r="L5713" t="n">
        <v>0</v>
      </c>
      <c r="M5713" t="n">
        <v>0</v>
      </c>
      <c r="N5713" t="n">
        <v>0</v>
      </c>
      <c r="O5713" t="n">
        <v>0</v>
      </c>
      <c r="P5713" t="n">
        <v>0</v>
      </c>
      <c r="Q5713" t="n">
        <v>0</v>
      </c>
      <c r="R5713" s="2" t="inlineStr"/>
    </row>
    <row r="5714" ht="15" customHeight="1">
      <c r="A5714" t="inlineStr">
        <is>
          <t>A 64578-2021</t>
        </is>
      </c>
      <c r="B5714" s="1" t="n">
        <v>44511</v>
      </c>
      <c r="C5714" s="1" t="n">
        <v>45810</v>
      </c>
      <c r="D5714" t="inlineStr">
        <is>
          <t>VÄRMLANDS LÄN</t>
        </is>
      </c>
      <c r="E5714" t="inlineStr">
        <is>
          <t>ARVIKA</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64552-2021</t>
        </is>
      </c>
      <c r="B5715" s="1" t="n">
        <v>44511</v>
      </c>
      <c r="C5715" s="1" t="n">
        <v>45810</v>
      </c>
      <c r="D5715" t="inlineStr">
        <is>
          <t>VÄRMLANDS LÄN</t>
        </is>
      </c>
      <c r="E5715" t="inlineStr">
        <is>
          <t>KIL</t>
        </is>
      </c>
      <c r="G5715" t="n">
        <v>0.3</v>
      </c>
      <c r="H5715" t="n">
        <v>0</v>
      </c>
      <c r="I5715" t="n">
        <v>0</v>
      </c>
      <c r="J5715" t="n">
        <v>0</v>
      </c>
      <c r="K5715" t="n">
        <v>0</v>
      </c>
      <c r="L5715" t="n">
        <v>0</v>
      </c>
      <c r="M5715" t="n">
        <v>0</v>
      </c>
      <c r="N5715" t="n">
        <v>0</v>
      </c>
      <c r="O5715" t="n">
        <v>0</v>
      </c>
      <c r="P5715" t="n">
        <v>0</v>
      </c>
      <c r="Q5715" t="n">
        <v>0</v>
      </c>
      <c r="R5715" s="2" t="inlineStr"/>
    </row>
    <row r="5716" ht="15" customHeight="1">
      <c r="A5716" t="inlineStr">
        <is>
          <t>A 64559-2021</t>
        </is>
      </c>
      <c r="B5716" s="1" t="n">
        <v>44511</v>
      </c>
      <c r="C5716" s="1" t="n">
        <v>45810</v>
      </c>
      <c r="D5716" t="inlineStr">
        <is>
          <t>VÄRMLANDS LÄN</t>
        </is>
      </c>
      <c r="E5716" t="inlineStr">
        <is>
          <t>KIL</t>
        </is>
      </c>
      <c r="G5716" t="n">
        <v>0.4</v>
      </c>
      <c r="H5716" t="n">
        <v>0</v>
      </c>
      <c r="I5716" t="n">
        <v>0</v>
      </c>
      <c r="J5716" t="n">
        <v>0</v>
      </c>
      <c r="K5716" t="n">
        <v>0</v>
      </c>
      <c r="L5716" t="n">
        <v>0</v>
      </c>
      <c r="M5716" t="n">
        <v>0</v>
      </c>
      <c r="N5716" t="n">
        <v>0</v>
      </c>
      <c r="O5716" t="n">
        <v>0</v>
      </c>
      <c r="P5716" t="n">
        <v>0</v>
      </c>
      <c r="Q5716" t="n">
        <v>0</v>
      </c>
      <c r="R5716" s="2" t="inlineStr"/>
    </row>
    <row r="5717" ht="15" customHeight="1">
      <c r="A5717" t="inlineStr">
        <is>
          <t>A 64587-2021</t>
        </is>
      </c>
      <c r="B5717" s="1" t="n">
        <v>44511</v>
      </c>
      <c r="C5717" s="1" t="n">
        <v>45810</v>
      </c>
      <c r="D5717" t="inlineStr">
        <is>
          <t>VÄRMLANDS LÄN</t>
        </is>
      </c>
      <c r="E5717" t="inlineStr">
        <is>
          <t>ARVIKA</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64785-2021</t>
        </is>
      </c>
      <c r="B5718" s="1" t="n">
        <v>44512</v>
      </c>
      <c r="C5718" s="1" t="n">
        <v>45810</v>
      </c>
      <c r="D5718" t="inlineStr">
        <is>
          <t>VÄRMLANDS LÄN</t>
        </is>
      </c>
      <c r="E5718" t="inlineStr">
        <is>
          <t>ÅRJÄNG</t>
        </is>
      </c>
      <c r="G5718" t="n">
        <v>9.6</v>
      </c>
      <c r="H5718" t="n">
        <v>0</v>
      </c>
      <c r="I5718" t="n">
        <v>0</v>
      </c>
      <c r="J5718" t="n">
        <v>0</v>
      </c>
      <c r="K5718" t="n">
        <v>0</v>
      </c>
      <c r="L5718" t="n">
        <v>0</v>
      </c>
      <c r="M5718" t="n">
        <v>0</v>
      </c>
      <c r="N5718" t="n">
        <v>0</v>
      </c>
      <c r="O5718" t="n">
        <v>0</v>
      </c>
      <c r="P5718" t="n">
        <v>0</v>
      </c>
      <c r="Q5718" t="n">
        <v>0</v>
      </c>
      <c r="R5718" s="2" t="inlineStr"/>
    </row>
    <row r="5719" ht="15" customHeight="1">
      <c r="A5719" t="inlineStr">
        <is>
          <t>A 64805-2021</t>
        </is>
      </c>
      <c r="B5719" s="1" t="n">
        <v>44512</v>
      </c>
      <c r="C5719" s="1" t="n">
        <v>45810</v>
      </c>
      <c r="D5719" t="inlineStr">
        <is>
          <t>VÄRMLANDS LÄN</t>
        </is>
      </c>
      <c r="E5719" t="inlineStr">
        <is>
          <t>SÄFFLE</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64815-2021</t>
        </is>
      </c>
      <c r="B5720" s="1" t="n">
        <v>44512</v>
      </c>
      <c r="C5720" s="1" t="n">
        <v>45810</v>
      </c>
      <c r="D5720" t="inlineStr">
        <is>
          <t>VÄRMLANDS LÄN</t>
        </is>
      </c>
      <c r="E5720" t="inlineStr">
        <is>
          <t>STORFORS</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64780-2021</t>
        </is>
      </c>
      <c r="B5721" s="1" t="n">
        <v>44512</v>
      </c>
      <c r="C5721" s="1" t="n">
        <v>45810</v>
      </c>
      <c r="D5721" t="inlineStr">
        <is>
          <t>VÄRMLANDS LÄN</t>
        </is>
      </c>
      <c r="E5721" t="inlineStr">
        <is>
          <t>TORSBY</t>
        </is>
      </c>
      <c r="G5721" t="n">
        <v>2</v>
      </c>
      <c r="H5721" t="n">
        <v>0</v>
      </c>
      <c r="I5721" t="n">
        <v>0</v>
      </c>
      <c r="J5721" t="n">
        <v>0</v>
      </c>
      <c r="K5721" t="n">
        <v>0</v>
      </c>
      <c r="L5721" t="n">
        <v>0</v>
      </c>
      <c r="M5721" t="n">
        <v>0</v>
      </c>
      <c r="N5721" t="n">
        <v>0</v>
      </c>
      <c r="O5721" t="n">
        <v>0</v>
      </c>
      <c r="P5721" t="n">
        <v>0</v>
      </c>
      <c r="Q5721" t="n">
        <v>0</v>
      </c>
      <c r="R5721" s="2" t="inlineStr"/>
    </row>
    <row r="5722" ht="15" customHeight="1">
      <c r="A5722" t="inlineStr">
        <is>
          <t>A 64801-2021</t>
        </is>
      </c>
      <c r="B5722" s="1" t="n">
        <v>44512</v>
      </c>
      <c r="C5722" s="1" t="n">
        <v>45810</v>
      </c>
      <c r="D5722" t="inlineStr">
        <is>
          <t>VÄRMLANDS LÄN</t>
        </is>
      </c>
      <c r="E5722" t="inlineStr">
        <is>
          <t>SÄFFLE</t>
        </is>
      </c>
      <c r="G5722" t="n">
        <v>5.5</v>
      </c>
      <c r="H5722" t="n">
        <v>0</v>
      </c>
      <c r="I5722" t="n">
        <v>0</v>
      </c>
      <c r="J5722" t="n">
        <v>0</v>
      </c>
      <c r="K5722" t="n">
        <v>0</v>
      </c>
      <c r="L5722" t="n">
        <v>0</v>
      </c>
      <c r="M5722" t="n">
        <v>0</v>
      </c>
      <c r="N5722" t="n">
        <v>0</v>
      </c>
      <c r="O5722" t="n">
        <v>0</v>
      </c>
      <c r="P5722" t="n">
        <v>0</v>
      </c>
      <c r="Q5722" t="n">
        <v>0</v>
      </c>
      <c r="R5722" s="2" t="inlineStr"/>
    </row>
    <row r="5723" ht="15" customHeight="1">
      <c r="A5723" t="inlineStr">
        <is>
          <t>A 64673-2021</t>
        </is>
      </c>
      <c r="B5723" s="1" t="n">
        <v>44512</v>
      </c>
      <c r="C5723" s="1" t="n">
        <v>45810</v>
      </c>
      <c r="D5723" t="inlineStr">
        <is>
          <t>VÄRMLANDS LÄN</t>
        </is>
      </c>
      <c r="E5723" t="inlineStr">
        <is>
          <t>STORFORS</t>
        </is>
      </c>
      <c r="F5723" t="inlineStr">
        <is>
          <t>Bergvik skog väst AB</t>
        </is>
      </c>
      <c r="G5723" t="n">
        <v>1.9</v>
      </c>
      <c r="H5723" t="n">
        <v>0</v>
      </c>
      <c r="I5723" t="n">
        <v>0</v>
      </c>
      <c r="J5723" t="n">
        <v>0</v>
      </c>
      <c r="K5723" t="n">
        <v>0</v>
      </c>
      <c r="L5723" t="n">
        <v>0</v>
      </c>
      <c r="M5723" t="n">
        <v>0</v>
      </c>
      <c r="N5723" t="n">
        <v>0</v>
      </c>
      <c r="O5723" t="n">
        <v>0</v>
      </c>
      <c r="P5723" t="n">
        <v>0</v>
      </c>
      <c r="Q5723" t="n">
        <v>0</v>
      </c>
      <c r="R5723" s="2" t="inlineStr"/>
    </row>
    <row r="5724" ht="15" customHeight="1">
      <c r="A5724" t="inlineStr">
        <is>
          <t>A 64803-2021</t>
        </is>
      </c>
      <c r="B5724" s="1" t="n">
        <v>44512</v>
      </c>
      <c r="C5724" s="1" t="n">
        <v>45810</v>
      </c>
      <c r="D5724" t="inlineStr">
        <is>
          <t>VÄRMLANDS LÄN</t>
        </is>
      </c>
      <c r="E5724" t="inlineStr">
        <is>
          <t>SÄFFLE</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64814-2021</t>
        </is>
      </c>
      <c r="B5725" s="1" t="n">
        <v>44512</v>
      </c>
      <c r="C5725" s="1" t="n">
        <v>45810</v>
      </c>
      <c r="D5725" t="inlineStr">
        <is>
          <t>VÄRMLANDS LÄN</t>
        </is>
      </c>
      <c r="E5725" t="inlineStr">
        <is>
          <t>STORFORS</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64664-2021</t>
        </is>
      </c>
      <c r="B5726" s="1" t="n">
        <v>44512</v>
      </c>
      <c r="C5726" s="1" t="n">
        <v>45810</v>
      </c>
      <c r="D5726" t="inlineStr">
        <is>
          <t>VÄRMLANDS LÄN</t>
        </is>
      </c>
      <c r="E5726" t="inlineStr">
        <is>
          <t>ARVIKA</t>
        </is>
      </c>
      <c r="G5726" t="n">
        <v>6.1</v>
      </c>
      <c r="H5726" t="n">
        <v>0</v>
      </c>
      <c r="I5726" t="n">
        <v>0</v>
      </c>
      <c r="J5726" t="n">
        <v>0</v>
      </c>
      <c r="K5726" t="n">
        <v>0</v>
      </c>
      <c r="L5726" t="n">
        <v>0</v>
      </c>
      <c r="M5726" t="n">
        <v>0</v>
      </c>
      <c r="N5726" t="n">
        <v>0</v>
      </c>
      <c r="O5726" t="n">
        <v>0</v>
      </c>
      <c r="P5726" t="n">
        <v>0</v>
      </c>
      <c r="Q5726" t="n">
        <v>0</v>
      </c>
      <c r="R5726" s="2" t="inlineStr"/>
    </row>
    <row r="5727" ht="15" customHeight="1">
      <c r="A5727" t="inlineStr">
        <is>
          <t>A 64798-2021</t>
        </is>
      </c>
      <c r="B5727" s="1" t="n">
        <v>44512</v>
      </c>
      <c r="C5727" s="1" t="n">
        <v>45810</v>
      </c>
      <c r="D5727" t="inlineStr">
        <is>
          <t>VÄRMLANDS LÄN</t>
        </is>
      </c>
      <c r="E5727" t="inlineStr">
        <is>
          <t>SÄFFLE</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64902-2021</t>
        </is>
      </c>
      <c r="B5728" s="1" t="n">
        <v>44512</v>
      </c>
      <c r="C5728" s="1" t="n">
        <v>45810</v>
      </c>
      <c r="D5728" t="inlineStr">
        <is>
          <t>VÄRMLANDS LÄN</t>
        </is>
      </c>
      <c r="E5728" t="inlineStr">
        <is>
          <t>TORSBY</t>
        </is>
      </c>
      <c r="G5728" t="n">
        <v>6.1</v>
      </c>
      <c r="H5728" t="n">
        <v>0</v>
      </c>
      <c r="I5728" t="n">
        <v>0</v>
      </c>
      <c r="J5728" t="n">
        <v>0</v>
      </c>
      <c r="K5728" t="n">
        <v>0</v>
      </c>
      <c r="L5728" t="n">
        <v>0</v>
      </c>
      <c r="M5728" t="n">
        <v>0</v>
      </c>
      <c r="N5728" t="n">
        <v>0</v>
      </c>
      <c r="O5728" t="n">
        <v>0</v>
      </c>
      <c r="P5728" t="n">
        <v>0</v>
      </c>
      <c r="Q5728" t="n">
        <v>0</v>
      </c>
      <c r="R5728" s="2" t="inlineStr"/>
    </row>
    <row r="5729" ht="15" customHeight="1">
      <c r="A5729" t="inlineStr">
        <is>
          <t>A 65013-2021</t>
        </is>
      </c>
      <c r="B5729" s="1" t="n">
        <v>44514</v>
      </c>
      <c r="C5729" s="1" t="n">
        <v>45810</v>
      </c>
      <c r="D5729" t="inlineStr">
        <is>
          <t>VÄRMLANDS LÄN</t>
        </is>
      </c>
      <c r="E5729" t="inlineStr">
        <is>
          <t>SUNNE</t>
        </is>
      </c>
      <c r="G5729" t="n">
        <v>2.3</v>
      </c>
      <c r="H5729" t="n">
        <v>0</v>
      </c>
      <c r="I5729" t="n">
        <v>0</v>
      </c>
      <c r="J5729" t="n">
        <v>0</v>
      </c>
      <c r="K5729" t="n">
        <v>0</v>
      </c>
      <c r="L5729" t="n">
        <v>0</v>
      </c>
      <c r="M5729" t="n">
        <v>0</v>
      </c>
      <c r="N5729" t="n">
        <v>0</v>
      </c>
      <c r="O5729" t="n">
        <v>0</v>
      </c>
      <c r="P5729" t="n">
        <v>0</v>
      </c>
      <c r="Q5729" t="n">
        <v>0</v>
      </c>
      <c r="R5729" s="2" t="inlineStr"/>
    </row>
    <row r="5730" ht="15" customHeight="1">
      <c r="A5730" t="inlineStr">
        <is>
          <t>A 65102-2021</t>
        </is>
      </c>
      <c r="B5730" s="1" t="n">
        <v>44514</v>
      </c>
      <c r="C5730" s="1" t="n">
        <v>45810</v>
      </c>
      <c r="D5730" t="inlineStr">
        <is>
          <t>VÄRMLANDS LÄN</t>
        </is>
      </c>
      <c r="E5730" t="inlineStr">
        <is>
          <t>ARVIKA</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65012-2021</t>
        </is>
      </c>
      <c r="B5731" s="1" t="n">
        <v>44515</v>
      </c>
      <c r="C5731" s="1" t="n">
        <v>45810</v>
      </c>
      <c r="D5731" t="inlineStr">
        <is>
          <t>VÄRMLANDS LÄN</t>
        </is>
      </c>
      <c r="E5731" t="inlineStr">
        <is>
          <t>SUNNE</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65060-2021</t>
        </is>
      </c>
      <c r="B5732" s="1" t="n">
        <v>44515</v>
      </c>
      <c r="C5732" s="1" t="n">
        <v>45810</v>
      </c>
      <c r="D5732" t="inlineStr">
        <is>
          <t>VÄRMLANDS LÄN</t>
        </is>
      </c>
      <c r="E5732" t="inlineStr">
        <is>
          <t>EDA</t>
        </is>
      </c>
      <c r="F5732" t="inlineStr">
        <is>
          <t>Bergvik skog väst AB</t>
        </is>
      </c>
      <c r="G5732" t="n">
        <v>11.5</v>
      </c>
      <c r="H5732" t="n">
        <v>0</v>
      </c>
      <c r="I5732" t="n">
        <v>0</v>
      </c>
      <c r="J5732" t="n">
        <v>0</v>
      </c>
      <c r="K5732" t="n">
        <v>0</v>
      </c>
      <c r="L5732" t="n">
        <v>0</v>
      </c>
      <c r="M5732" t="n">
        <v>0</v>
      </c>
      <c r="N5732" t="n">
        <v>0</v>
      </c>
      <c r="O5732" t="n">
        <v>0</v>
      </c>
      <c r="P5732" t="n">
        <v>0</v>
      </c>
      <c r="Q5732" t="n">
        <v>0</v>
      </c>
      <c r="R5732" s="2" t="inlineStr"/>
    </row>
    <row r="5733" ht="15" customHeight="1">
      <c r="A5733" t="inlineStr">
        <is>
          <t>A 65174-2021</t>
        </is>
      </c>
      <c r="B5733" s="1" t="n">
        <v>44515</v>
      </c>
      <c r="C5733" s="1" t="n">
        <v>45810</v>
      </c>
      <c r="D5733" t="inlineStr">
        <is>
          <t>VÄRMLANDS LÄN</t>
        </is>
      </c>
      <c r="E5733" t="inlineStr">
        <is>
          <t>FILIPSTAD</t>
        </is>
      </c>
      <c r="G5733" t="n">
        <v>8</v>
      </c>
      <c r="H5733" t="n">
        <v>0</v>
      </c>
      <c r="I5733" t="n">
        <v>0</v>
      </c>
      <c r="J5733" t="n">
        <v>0</v>
      </c>
      <c r="K5733" t="n">
        <v>0</v>
      </c>
      <c r="L5733" t="n">
        <v>0</v>
      </c>
      <c r="M5733" t="n">
        <v>0</v>
      </c>
      <c r="N5733" t="n">
        <v>0</v>
      </c>
      <c r="O5733" t="n">
        <v>0</v>
      </c>
      <c r="P5733" t="n">
        <v>0</v>
      </c>
      <c r="Q5733" t="n">
        <v>0</v>
      </c>
      <c r="R5733" s="2" t="inlineStr"/>
    </row>
    <row r="5734" ht="15" customHeight="1">
      <c r="A5734" t="inlineStr">
        <is>
          <t>A 65183-2021</t>
        </is>
      </c>
      <c r="B5734" s="1" t="n">
        <v>44515</v>
      </c>
      <c r="C5734" s="1" t="n">
        <v>45810</v>
      </c>
      <c r="D5734" t="inlineStr">
        <is>
          <t>VÄRMLANDS LÄN</t>
        </is>
      </c>
      <c r="E5734" t="inlineStr">
        <is>
          <t>FILIPSTAD</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65208-2021</t>
        </is>
      </c>
      <c r="B5735" s="1" t="n">
        <v>44515</v>
      </c>
      <c r="C5735" s="1" t="n">
        <v>45810</v>
      </c>
      <c r="D5735" t="inlineStr">
        <is>
          <t>VÄRMLANDS LÄN</t>
        </is>
      </c>
      <c r="E5735" t="inlineStr">
        <is>
          <t>ARVIKA</t>
        </is>
      </c>
      <c r="F5735" t="inlineStr">
        <is>
          <t>Bergvik skog väst AB</t>
        </is>
      </c>
      <c r="G5735" t="n">
        <v>9.199999999999999</v>
      </c>
      <c r="H5735" t="n">
        <v>0</v>
      </c>
      <c r="I5735" t="n">
        <v>0</v>
      </c>
      <c r="J5735" t="n">
        <v>0</v>
      </c>
      <c r="K5735" t="n">
        <v>0</v>
      </c>
      <c r="L5735" t="n">
        <v>0</v>
      </c>
      <c r="M5735" t="n">
        <v>0</v>
      </c>
      <c r="N5735" t="n">
        <v>0</v>
      </c>
      <c r="O5735" t="n">
        <v>0</v>
      </c>
      <c r="P5735" t="n">
        <v>0</v>
      </c>
      <c r="Q5735" t="n">
        <v>0</v>
      </c>
      <c r="R5735" s="2" t="inlineStr"/>
    </row>
    <row r="5736" ht="15" customHeight="1">
      <c r="A5736" t="inlineStr">
        <is>
          <t>A 65271-2021</t>
        </is>
      </c>
      <c r="B5736" s="1" t="n">
        <v>44515</v>
      </c>
      <c r="C5736" s="1" t="n">
        <v>45810</v>
      </c>
      <c r="D5736" t="inlineStr">
        <is>
          <t>VÄRMLANDS LÄN</t>
        </is>
      </c>
      <c r="E5736" t="inlineStr">
        <is>
          <t>KIL</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65074-2021</t>
        </is>
      </c>
      <c r="B5737" s="1" t="n">
        <v>44515</v>
      </c>
      <c r="C5737" s="1" t="n">
        <v>45810</v>
      </c>
      <c r="D5737" t="inlineStr">
        <is>
          <t>VÄRMLANDS LÄN</t>
        </is>
      </c>
      <c r="E5737" t="inlineStr">
        <is>
          <t>SUNNE</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65167-2021</t>
        </is>
      </c>
      <c r="B5738" s="1" t="n">
        <v>44515</v>
      </c>
      <c r="C5738" s="1" t="n">
        <v>45810</v>
      </c>
      <c r="D5738" t="inlineStr">
        <is>
          <t>VÄRMLANDS LÄN</t>
        </is>
      </c>
      <c r="E5738" t="inlineStr">
        <is>
          <t>FILIPSTAD</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65015-2021</t>
        </is>
      </c>
      <c r="B5739" s="1" t="n">
        <v>44515</v>
      </c>
      <c r="C5739" s="1" t="n">
        <v>45810</v>
      </c>
      <c r="D5739" t="inlineStr">
        <is>
          <t>VÄRMLANDS LÄN</t>
        </is>
      </c>
      <c r="E5739" t="inlineStr">
        <is>
          <t>KARLSTAD</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65182-2021</t>
        </is>
      </c>
      <c r="B5740" s="1" t="n">
        <v>44515</v>
      </c>
      <c r="C5740" s="1" t="n">
        <v>45810</v>
      </c>
      <c r="D5740" t="inlineStr">
        <is>
          <t>VÄRMLANDS LÄN</t>
        </is>
      </c>
      <c r="E5740" t="inlineStr">
        <is>
          <t>TORSBY</t>
        </is>
      </c>
      <c r="G5740" t="n">
        <v>5.9</v>
      </c>
      <c r="H5740" t="n">
        <v>0</v>
      </c>
      <c r="I5740" t="n">
        <v>0</v>
      </c>
      <c r="J5740" t="n">
        <v>0</v>
      </c>
      <c r="K5740" t="n">
        <v>0</v>
      </c>
      <c r="L5740" t="n">
        <v>0</v>
      </c>
      <c r="M5740" t="n">
        <v>0</v>
      </c>
      <c r="N5740" t="n">
        <v>0</v>
      </c>
      <c r="O5740" t="n">
        <v>0</v>
      </c>
      <c r="P5740" t="n">
        <v>0</v>
      </c>
      <c r="Q5740" t="n">
        <v>0</v>
      </c>
      <c r="R5740" s="2" t="inlineStr"/>
    </row>
    <row r="5741" ht="15" customHeight="1">
      <c r="A5741" t="inlineStr">
        <is>
          <t>A 65284-2021</t>
        </is>
      </c>
      <c r="B5741" s="1" t="n">
        <v>44515</v>
      </c>
      <c r="C5741" s="1" t="n">
        <v>45810</v>
      </c>
      <c r="D5741" t="inlineStr">
        <is>
          <t>VÄRMLANDS LÄN</t>
        </is>
      </c>
      <c r="E5741" t="inlineStr">
        <is>
          <t>ARVIKA</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65299-2021</t>
        </is>
      </c>
      <c r="B5742" s="1" t="n">
        <v>44515</v>
      </c>
      <c r="C5742" s="1" t="n">
        <v>45810</v>
      </c>
      <c r="D5742" t="inlineStr">
        <is>
          <t>VÄRMLANDS LÄN</t>
        </is>
      </c>
      <c r="E5742" t="inlineStr">
        <is>
          <t>HAGFORS</t>
        </is>
      </c>
      <c r="G5742" t="n">
        <v>6.4</v>
      </c>
      <c r="H5742" t="n">
        <v>0</v>
      </c>
      <c r="I5742" t="n">
        <v>0</v>
      </c>
      <c r="J5742" t="n">
        <v>0</v>
      </c>
      <c r="K5742" t="n">
        <v>0</v>
      </c>
      <c r="L5742" t="n">
        <v>0</v>
      </c>
      <c r="M5742" t="n">
        <v>0</v>
      </c>
      <c r="N5742" t="n">
        <v>0</v>
      </c>
      <c r="O5742" t="n">
        <v>0</v>
      </c>
      <c r="P5742" t="n">
        <v>0</v>
      </c>
      <c r="Q5742" t="n">
        <v>0</v>
      </c>
      <c r="R5742" s="2" t="inlineStr"/>
    </row>
    <row r="5743" ht="15" customHeight="1">
      <c r="A5743" t="inlineStr">
        <is>
          <t>A 65358-2021</t>
        </is>
      </c>
      <c r="B5743" s="1" t="n">
        <v>44515</v>
      </c>
      <c r="C5743" s="1" t="n">
        <v>45810</v>
      </c>
      <c r="D5743" t="inlineStr">
        <is>
          <t>VÄRMLANDS LÄN</t>
        </is>
      </c>
      <c r="E5743" t="inlineStr">
        <is>
          <t>ARVIKA</t>
        </is>
      </c>
      <c r="F5743" t="inlineStr">
        <is>
          <t>Bergvik skog väst AB</t>
        </is>
      </c>
      <c r="G5743" t="n">
        <v>23</v>
      </c>
      <c r="H5743" t="n">
        <v>0</v>
      </c>
      <c r="I5743" t="n">
        <v>0</v>
      </c>
      <c r="J5743" t="n">
        <v>0</v>
      </c>
      <c r="K5743" t="n">
        <v>0</v>
      </c>
      <c r="L5743" t="n">
        <v>0</v>
      </c>
      <c r="M5743" t="n">
        <v>0</v>
      </c>
      <c r="N5743" t="n">
        <v>0</v>
      </c>
      <c r="O5743" t="n">
        <v>0</v>
      </c>
      <c r="P5743" t="n">
        <v>0</v>
      </c>
      <c r="Q5743" t="n">
        <v>0</v>
      </c>
      <c r="R5743" s="2" t="inlineStr"/>
    </row>
    <row r="5744" ht="15" customHeight="1">
      <c r="A5744" t="inlineStr">
        <is>
          <t>A 65273-2021</t>
        </is>
      </c>
      <c r="B5744" s="1" t="n">
        <v>44515</v>
      </c>
      <c r="C5744" s="1" t="n">
        <v>45810</v>
      </c>
      <c r="D5744" t="inlineStr">
        <is>
          <t>VÄRMLANDS LÄN</t>
        </is>
      </c>
      <c r="E5744" t="inlineStr">
        <is>
          <t>EDA</t>
        </is>
      </c>
      <c r="G5744" t="n">
        <v>2.1</v>
      </c>
      <c r="H5744" t="n">
        <v>0</v>
      </c>
      <c r="I5744" t="n">
        <v>0</v>
      </c>
      <c r="J5744" t="n">
        <v>0</v>
      </c>
      <c r="K5744" t="n">
        <v>0</v>
      </c>
      <c r="L5744" t="n">
        <v>0</v>
      </c>
      <c r="M5744" t="n">
        <v>0</v>
      </c>
      <c r="N5744" t="n">
        <v>0</v>
      </c>
      <c r="O5744" t="n">
        <v>0</v>
      </c>
      <c r="P5744" t="n">
        <v>0</v>
      </c>
      <c r="Q5744" t="n">
        <v>0</v>
      </c>
      <c r="R5744" s="2" t="inlineStr"/>
    </row>
    <row r="5745" ht="15" customHeight="1">
      <c r="A5745" t="inlineStr">
        <is>
          <t>A 65295-2021</t>
        </is>
      </c>
      <c r="B5745" s="1" t="n">
        <v>44515</v>
      </c>
      <c r="C5745" s="1" t="n">
        <v>45810</v>
      </c>
      <c r="D5745" t="inlineStr">
        <is>
          <t>VÄRMLANDS LÄN</t>
        </is>
      </c>
      <c r="E5745" t="inlineStr">
        <is>
          <t>HAGFORS</t>
        </is>
      </c>
      <c r="G5745" t="n">
        <v>2.7</v>
      </c>
      <c r="H5745" t="n">
        <v>0</v>
      </c>
      <c r="I5745" t="n">
        <v>0</v>
      </c>
      <c r="J5745" t="n">
        <v>0</v>
      </c>
      <c r="K5745" t="n">
        <v>0</v>
      </c>
      <c r="L5745" t="n">
        <v>0</v>
      </c>
      <c r="M5745" t="n">
        <v>0</v>
      </c>
      <c r="N5745" t="n">
        <v>0</v>
      </c>
      <c r="O5745" t="n">
        <v>0</v>
      </c>
      <c r="P5745" t="n">
        <v>0</v>
      </c>
      <c r="Q5745" t="n">
        <v>0</v>
      </c>
      <c r="R5745" s="2" t="inlineStr"/>
    </row>
    <row r="5746" ht="15" customHeight="1">
      <c r="A5746" t="inlineStr">
        <is>
          <t>A 65301-2021</t>
        </is>
      </c>
      <c r="B5746" s="1" t="n">
        <v>44515</v>
      </c>
      <c r="C5746" s="1" t="n">
        <v>45810</v>
      </c>
      <c r="D5746" t="inlineStr">
        <is>
          <t>VÄRMLANDS LÄN</t>
        </is>
      </c>
      <c r="E5746" t="inlineStr">
        <is>
          <t>TORSBY</t>
        </is>
      </c>
      <c r="G5746" t="n">
        <v>2.9</v>
      </c>
      <c r="H5746" t="n">
        <v>0</v>
      </c>
      <c r="I5746" t="n">
        <v>0</v>
      </c>
      <c r="J5746" t="n">
        <v>0</v>
      </c>
      <c r="K5746" t="n">
        <v>0</v>
      </c>
      <c r="L5746" t="n">
        <v>0</v>
      </c>
      <c r="M5746" t="n">
        <v>0</v>
      </c>
      <c r="N5746" t="n">
        <v>0</v>
      </c>
      <c r="O5746" t="n">
        <v>0</v>
      </c>
      <c r="P5746" t="n">
        <v>0</v>
      </c>
      <c r="Q5746" t="n">
        <v>0</v>
      </c>
      <c r="R5746" s="2" t="inlineStr"/>
    </row>
    <row r="5747" ht="15" customHeight="1">
      <c r="A5747" t="inlineStr">
        <is>
          <t>A 65354-2021</t>
        </is>
      </c>
      <c r="B5747" s="1" t="n">
        <v>44515</v>
      </c>
      <c r="C5747" s="1" t="n">
        <v>45810</v>
      </c>
      <c r="D5747" t="inlineStr">
        <is>
          <t>VÄRMLANDS LÄN</t>
        </is>
      </c>
      <c r="E5747" t="inlineStr">
        <is>
          <t>FILIPSTAD</t>
        </is>
      </c>
      <c r="F5747" t="inlineStr">
        <is>
          <t>Bergvik skog väst AB</t>
        </is>
      </c>
      <c r="G5747" t="n">
        <v>32</v>
      </c>
      <c r="H5747" t="n">
        <v>0</v>
      </c>
      <c r="I5747" t="n">
        <v>0</v>
      </c>
      <c r="J5747" t="n">
        <v>0</v>
      </c>
      <c r="K5747" t="n">
        <v>0</v>
      </c>
      <c r="L5747" t="n">
        <v>0</v>
      </c>
      <c r="M5747" t="n">
        <v>0</v>
      </c>
      <c r="N5747" t="n">
        <v>0</v>
      </c>
      <c r="O5747" t="n">
        <v>0</v>
      </c>
      <c r="P5747" t="n">
        <v>0</v>
      </c>
      <c r="Q5747" t="n">
        <v>0</v>
      </c>
      <c r="R5747" s="2" t="inlineStr"/>
    </row>
    <row r="5748" ht="15" customHeight="1">
      <c r="A5748" t="inlineStr">
        <is>
          <t>A 65298-2021</t>
        </is>
      </c>
      <c r="B5748" s="1" t="n">
        <v>44515</v>
      </c>
      <c r="C5748" s="1" t="n">
        <v>45810</v>
      </c>
      <c r="D5748" t="inlineStr">
        <is>
          <t>VÄRMLANDS LÄN</t>
        </is>
      </c>
      <c r="E5748" t="inlineStr">
        <is>
          <t>FILIPSTAD</t>
        </is>
      </c>
      <c r="F5748" t="inlineStr">
        <is>
          <t>Bergvik skog väst AB</t>
        </is>
      </c>
      <c r="G5748" t="n">
        <v>3.5</v>
      </c>
      <c r="H5748" t="n">
        <v>0</v>
      </c>
      <c r="I5748" t="n">
        <v>0</v>
      </c>
      <c r="J5748" t="n">
        <v>0</v>
      </c>
      <c r="K5748" t="n">
        <v>0</v>
      </c>
      <c r="L5748" t="n">
        <v>0</v>
      </c>
      <c r="M5748" t="n">
        <v>0</v>
      </c>
      <c r="N5748" t="n">
        <v>0</v>
      </c>
      <c r="O5748" t="n">
        <v>0</v>
      </c>
      <c r="P5748" t="n">
        <v>0</v>
      </c>
      <c r="Q5748" t="n">
        <v>0</v>
      </c>
      <c r="R5748" s="2" t="inlineStr"/>
    </row>
    <row r="5749" ht="15" customHeight="1">
      <c r="A5749" t="inlineStr">
        <is>
          <t>A 65357-2021</t>
        </is>
      </c>
      <c r="B5749" s="1" t="n">
        <v>44515</v>
      </c>
      <c r="C5749" s="1" t="n">
        <v>45810</v>
      </c>
      <c r="D5749" t="inlineStr">
        <is>
          <t>VÄRMLANDS LÄN</t>
        </is>
      </c>
      <c r="E5749" t="inlineStr">
        <is>
          <t>ARVIKA</t>
        </is>
      </c>
      <c r="F5749" t="inlineStr">
        <is>
          <t>Bergvik skog väst AB</t>
        </is>
      </c>
      <c r="G5749" t="n">
        <v>2.4</v>
      </c>
      <c r="H5749" t="n">
        <v>0</v>
      </c>
      <c r="I5749" t="n">
        <v>0</v>
      </c>
      <c r="J5749" t="n">
        <v>0</v>
      </c>
      <c r="K5749" t="n">
        <v>0</v>
      </c>
      <c r="L5749" t="n">
        <v>0</v>
      </c>
      <c r="M5749" t="n">
        <v>0</v>
      </c>
      <c r="N5749" t="n">
        <v>0</v>
      </c>
      <c r="O5749" t="n">
        <v>0</v>
      </c>
      <c r="P5749" t="n">
        <v>0</v>
      </c>
      <c r="Q5749" t="n">
        <v>0</v>
      </c>
      <c r="R5749" s="2" t="inlineStr"/>
    </row>
    <row r="5750" ht="15" customHeight="1">
      <c r="A5750" t="inlineStr">
        <is>
          <t>A 65476-2021</t>
        </is>
      </c>
      <c r="B5750" s="1" t="n">
        <v>44516</v>
      </c>
      <c r="C5750" s="1" t="n">
        <v>45810</v>
      </c>
      <c r="D5750" t="inlineStr">
        <is>
          <t>VÄRMLANDS LÄN</t>
        </is>
      </c>
      <c r="E5750" t="inlineStr">
        <is>
          <t>ÅRJÄNG</t>
        </is>
      </c>
      <c r="F5750" t="inlineStr">
        <is>
          <t>Kyrkan</t>
        </is>
      </c>
      <c r="G5750" t="n">
        <v>3.4</v>
      </c>
      <c r="H5750" t="n">
        <v>0</v>
      </c>
      <c r="I5750" t="n">
        <v>0</v>
      </c>
      <c r="J5750" t="n">
        <v>0</v>
      </c>
      <c r="K5750" t="n">
        <v>0</v>
      </c>
      <c r="L5750" t="n">
        <v>0</v>
      </c>
      <c r="M5750" t="n">
        <v>0</v>
      </c>
      <c r="N5750" t="n">
        <v>0</v>
      </c>
      <c r="O5750" t="n">
        <v>0</v>
      </c>
      <c r="P5750" t="n">
        <v>0</v>
      </c>
      <c r="Q5750" t="n">
        <v>0</v>
      </c>
      <c r="R5750" s="2" t="inlineStr"/>
    </row>
    <row r="5751" ht="15" customHeight="1">
      <c r="A5751" t="inlineStr">
        <is>
          <t>A 65537-2021</t>
        </is>
      </c>
      <c r="B5751" s="1" t="n">
        <v>44516</v>
      </c>
      <c r="C5751" s="1" t="n">
        <v>45810</v>
      </c>
      <c r="D5751" t="inlineStr">
        <is>
          <t>VÄRMLANDS LÄN</t>
        </is>
      </c>
      <c r="E5751" t="inlineStr">
        <is>
          <t>TORSBY</t>
        </is>
      </c>
      <c r="G5751" t="n">
        <v>2.8</v>
      </c>
      <c r="H5751" t="n">
        <v>0</v>
      </c>
      <c r="I5751" t="n">
        <v>0</v>
      </c>
      <c r="J5751" t="n">
        <v>0</v>
      </c>
      <c r="K5751" t="n">
        <v>0</v>
      </c>
      <c r="L5751" t="n">
        <v>0</v>
      </c>
      <c r="M5751" t="n">
        <v>0</v>
      </c>
      <c r="N5751" t="n">
        <v>0</v>
      </c>
      <c r="O5751" t="n">
        <v>0</v>
      </c>
      <c r="P5751" t="n">
        <v>0</v>
      </c>
      <c r="Q5751" t="n">
        <v>0</v>
      </c>
      <c r="R5751" s="2" t="inlineStr"/>
    </row>
    <row r="5752" ht="15" customHeight="1">
      <c r="A5752" t="inlineStr">
        <is>
          <t>A 65551-2021</t>
        </is>
      </c>
      <c r="B5752" s="1" t="n">
        <v>44516</v>
      </c>
      <c r="C5752" s="1" t="n">
        <v>45810</v>
      </c>
      <c r="D5752" t="inlineStr">
        <is>
          <t>VÄRMLANDS LÄN</t>
        </is>
      </c>
      <c r="E5752" t="inlineStr">
        <is>
          <t>HAGFORS</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65565-2021</t>
        </is>
      </c>
      <c r="B5753" s="1" t="n">
        <v>44516</v>
      </c>
      <c r="C5753" s="1" t="n">
        <v>45810</v>
      </c>
      <c r="D5753" t="inlineStr">
        <is>
          <t>VÄRMLANDS LÄN</t>
        </is>
      </c>
      <c r="E5753" t="inlineStr">
        <is>
          <t>HAGFORS</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65556-2021</t>
        </is>
      </c>
      <c r="B5754" s="1" t="n">
        <v>44516</v>
      </c>
      <c r="C5754" s="1" t="n">
        <v>45810</v>
      </c>
      <c r="D5754" t="inlineStr">
        <is>
          <t>VÄRMLANDS LÄN</t>
        </is>
      </c>
      <c r="E5754" t="inlineStr">
        <is>
          <t>HAGFORS</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65630-2021</t>
        </is>
      </c>
      <c r="B5755" s="1" t="n">
        <v>44516</v>
      </c>
      <c r="C5755" s="1" t="n">
        <v>45810</v>
      </c>
      <c r="D5755" t="inlineStr">
        <is>
          <t>VÄRMLANDS LÄN</t>
        </is>
      </c>
      <c r="E5755" t="inlineStr">
        <is>
          <t>KARLSTAD</t>
        </is>
      </c>
      <c r="G5755" t="n">
        <v>2.1</v>
      </c>
      <c r="H5755" t="n">
        <v>0</v>
      </c>
      <c r="I5755" t="n">
        <v>0</v>
      </c>
      <c r="J5755" t="n">
        <v>0</v>
      </c>
      <c r="K5755" t="n">
        <v>0</v>
      </c>
      <c r="L5755" t="n">
        <v>0</v>
      </c>
      <c r="M5755" t="n">
        <v>0</v>
      </c>
      <c r="N5755" t="n">
        <v>0</v>
      </c>
      <c r="O5755" t="n">
        <v>0</v>
      </c>
      <c r="P5755" t="n">
        <v>0</v>
      </c>
      <c r="Q5755" t="n">
        <v>0</v>
      </c>
      <c r="R5755" s="2" t="inlineStr"/>
    </row>
    <row r="5756" ht="15" customHeight="1">
      <c r="A5756" t="inlineStr">
        <is>
          <t>A 65754-2021</t>
        </is>
      </c>
      <c r="B5756" s="1" t="n">
        <v>44516</v>
      </c>
      <c r="C5756" s="1" t="n">
        <v>45810</v>
      </c>
      <c r="D5756" t="inlineStr">
        <is>
          <t>VÄRMLANDS LÄN</t>
        </is>
      </c>
      <c r="E5756" t="inlineStr">
        <is>
          <t>MUNKFORS</t>
        </is>
      </c>
      <c r="G5756" t="n">
        <v>3</v>
      </c>
      <c r="H5756" t="n">
        <v>0</v>
      </c>
      <c r="I5756" t="n">
        <v>0</v>
      </c>
      <c r="J5756" t="n">
        <v>0</v>
      </c>
      <c r="K5756" t="n">
        <v>0</v>
      </c>
      <c r="L5756" t="n">
        <v>0</v>
      </c>
      <c r="M5756" t="n">
        <v>0</v>
      </c>
      <c r="N5756" t="n">
        <v>0</v>
      </c>
      <c r="O5756" t="n">
        <v>0</v>
      </c>
      <c r="P5756" t="n">
        <v>0</v>
      </c>
      <c r="Q5756" t="n">
        <v>0</v>
      </c>
      <c r="R5756" s="2" t="inlineStr"/>
    </row>
    <row r="5757" ht="15" customHeight="1">
      <c r="A5757" t="inlineStr">
        <is>
          <t>A 65625-2021</t>
        </is>
      </c>
      <c r="B5757" s="1" t="n">
        <v>44516</v>
      </c>
      <c r="C5757" s="1" t="n">
        <v>45810</v>
      </c>
      <c r="D5757" t="inlineStr">
        <is>
          <t>VÄRMLANDS LÄN</t>
        </is>
      </c>
      <c r="E5757" t="inlineStr">
        <is>
          <t>KARLSTAD</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65679-2021</t>
        </is>
      </c>
      <c r="B5758" s="1" t="n">
        <v>44516</v>
      </c>
      <c r="C5758" s="1" t="n">
        <v>45810</v>
      </c>
      <c r="D5758" t="inlineStr">
        <is>
          <t>VÄRMLANDS LÄN</t>
        </is>
      </c>
      <c r="E5758" t="inlineStr">
        <is>
          <t>GRUMS</t>
        </is>
      </c>
      <c r="G5758" t="n">
        <v>5.7</v>
      </c>
      <c r="H5758" t="n">
        <v>0</v>
      </c>
      <c r="I5758" t="n">
        <v>0</v>
      </c>
      <c r="J5758" t="n">
        <v>0</v>
      </c>
      <c r="K5758" t="n">
        <v>0</v>
      </c>
      <c r="L5758" t="n">
        <v>0</v>
      </c>
      <c r="M5758" t="n">
        <v>0</v>
      </c>
      <c r="N5758" t="n">
        <v>0</v>
      </c>
      <c r="O5758" t="n">
        <v>0</v>
      </c>
      <c r="P5758" t="n">
        <v>0</v>
      </c>
      <c r="Q5758" t="n">
        <v>0</v>
      </c>
      <c r="R5758" s="2" t="inlineStr"/>
    </row>
    <row r="5759" ht="15" customHeight="1">
      <c r="A5759" t="inlineStr">
        <is>
          <t>A 65713-2021</t>
        </is>
      </c>
      <c r="B5759" s="1" t="n">
        <v>44516</v>
      </c>
      <c r="C5759" s="1" t="n">
        <v>45810</v>
      </c>
      <c r="D5759" t="inlineStr">
        <is>
          <t>VÄRMLANDS LÄN</t>
        </is>
      </c>
      <c r="E5759" t="inlineStr">
        <is>
          <t>TORSBY</t>
        </is>
      </c>
      <c r="G5759" t="n">
        <v>7</v>
      </c>
      <c r="H5759" t="n">
        <v>0</v>
      </c>
      <c r="I5759" t="n">
        <v>0</v>
      </c>
      <c r="J5759" t="n">
        <v>0</v>
      </c>
      <c r="K5759" t="n">
        <v>0</v>
      </c>
      <c r="L5759" t="n">
        <v>0</v>
      </c>
      <c r="M5759" t="n">
        <v>0</v>
      </c>
      <c r="N5759" t="n">
        <v>0</v>
      </c>
      <c r="O5759" t="n">
        <v>0</v>
      </c>
      <c r="P5759" t="n">
        <v>0</v>
      </c>
      <c r="Q5759" t="n">
        <v>0</v>
      </c>
      <c r="R5759" s="2" t="inlineStr"/>
    </row>
    <row r="5760" ht="15" customHeight="1">
      <c r="A5760" t="inlineStr">
        <is>
          <t>A 65705-2021</t>
        </is>
      </c>
      <c r="B5760" s="1" t="n">
        <v>44516</v>
      </c>
      <c r="C5760" s="1" t="n">
        <v>45810</v>
      </c>
      <c r="D5760" t="inlineStr">
        <is>
          <t>VÄRMLANDS LÄN</t>
        </is>
      </c>
      <c r="E5760" t="inlineStr">
        <is>
          <t>TORSBY</t>
        </is>
      </c>
      <c r="G5760" t="n">
        <v>4.5</v>
      </c>
      <c r="H5760" t="n">
        <v>0</v>
      </c>
      <c r="I5760" t="n">
        <v>0</v>
      </c>
      <c r="J5760" t="n">
        <v>0</v>
      </c>
      <c r="K5760" t="n">
        <v>0</v>
      </c>
      <c r="L5760" t="n">
        <v>0</v>
      </c>
      <c r="M5760" t="n">
        <v>0</v>
      </c>
      <c r="N5760" t="n">
        <v>0</v>
      </c>
      <c r="O5760" t="n">
        <v>0</v>
      </c>
      <c r="P5760" t="n">
        <v>0</v>
      </c>
      <c r="Q5760" t="n">
        <v>0</v>
      </c>
      <c r="R5760" s="2" t="inlineStr"/>
    </row>
    <row r="5761" ht="15" customHeight="1">
      <c r="A5761" t="inlineStr">
        <is>
          <t>A 65837-2021</t>
        </is>
      </c>
      <c r="B5761" s="1" t="n">
        <v>44517</v>
      </c>
      <c r="C5761" s="1" t="n">
        <v>45810</v>
      </c>
      <c r="D5761" t="inlineStr">
        <is>
          <t>VÄRMLANDS LÄN</t>
        </is>
      </c>
      <c r="E5761" t="inlineStr">
        <is>
          <t>ÅRJÄNG</t>
        </is>
      </c>
      <c r="G5761" t="n">
        <v>6.8</v>
      </c>
      <c r="H5761" t="n">
        <v>0</v>
      </c>
      <c r="I5761" t="n">
        <v>0</v>
      </c>
      <c r="J5761" t="n">
        <v>0</v>
      </c>
      <c r="K5761" t="n">
        <v>0</v>
      </c>
      <c r="L5761" t="n">
        <v>0</v>
      </c>
      <c r="M5761" t="n">
        <v>0</v>
      </c>
      <c r="N5761" t="n">
        <v>0</v>
      </c>
      <c r="O5761" t="n">
        <v>0</v>
      </c>
      <c r="P5761" t="n">
        <v>0</v>
      </c>
      <c r="Q5761" t="n">
        <v>0</v>
      </c>
      <c r="R5761" s="2" t="inlineStr"/>
    </row>
    <row r="5762" ht="15" customHeight="1">
      <c r="A5762" t="inlineStr">
        <is>
          <t>A 65854-2021</t>
        </is>
      </c>
      <c r="B5762" s="1" t="n">
        <v>44517</v>
      </c>
      <c r="C5762" s="1" t="n">
        <v>45810</v>
      </c>
      <c r="D5762" t="inlineStr">
        <is>
          <t>VÄRMLANDS LÄN</t>
        </is>
      </c>
      <c r="E5762" t="inlineStr">
        <is>
          <t>ÅRJÄNG</t>
        </is>
      </c>
      <c r="G5762" t="n">
        <v>11.1</v>
      </c>
      <c r="H5762" t="n">
        <v>0</v>
      </c>
      <c r="I5762" t="n">
        <v>0</v>
      </c>
      <c r="J5762" t="n">
        <v>0</v>
      </c>
      <c r="K5762" t="n">
        <v>0</v>
      </c>
      <c r="L5762" t="n">
        <v>0</v>
      </c>
      <c r="M5762" t="n">
        <v>0</v>
      </c>
      <c r="N5762" t="n">
        <v>0</v>
      </c>
      <c r="O5762" t="n">
        <v>0</v>
      </c>
      <c r="P5762" t="n">
        <v>0</v>
      </c>
      <c r="Q5762" t="n">
        <v>0</v>
      </c>
      <c r="R5762" s="2" t="inlineStr"/>
    </row>
    <row r="5763" ht="15" customHeight="1">
      <c r="A5763" t="inlineStr">
        <is>
          <t>A 65844-2021</t>
        </is>
      </c>
      <c r="B5763" s="1" t="n">
        <v>44517</v>
      </c>
      <c r="C5763" s="1" t="n">
        <v>45810</v>
      </c>
      <c r="D5763" t="inlineStr">
        <is>
          <t>VÄRMLANDS LÄN</t>
        </is>
      </c>
      <c r="E5763" t="inlineStr">
        <is>
          <t>ÅRJÄNG</t>
        </is>
      </c>
      <c r="G5763" t="n">
        <v>4.6</v>
      </c>
      <c r="H5763" t="n">
        <v>0</v>
      </c>
      <c r="I5763" t="n">
        <v>0</v>
      </c>
      <c r="J5763" t="n">
        <v>0</v>
      </c>
      <c r="K5763" t="n">
        <v>0</v>
      </c>
      <c r="L5763" t="n">
        <v>0</v>
      </c>
      <c r="M5763" t="n">
        <v>0</v>
      </c>
      <c r="N5763" t="n">
        <v>0</v>
      </c>
      <c r="O5763" t="n">
        <v>0</v>
      </c>
      <c r="P5763" t="n">
        <v>0</v>
      </c>
      <c r="Q5763" t="n">
        <v>0</v>
      </c>
      <c r="R5763" s="2" t="inlineStr"/>
    </row>
    <row r="5764" ht="15" customHeight="1">
      <c r="A5764" t="inlineStr">
        <is>
          <t>A 65900-2021</t>
        </is>
      </c>
      <c r="B5764" s="1" t="n">
        <v>44517</v>
      </c>
      <c r="C5764" s="1" t="n">
        <v>45810</v>
      </c>
      <c r="D5764" t="inlineStr">
        <is>
          <t>VÄRMLANDS LÄN</t>
        </is>
      </c>
      <c r="E5764" t="inlineStr">
        <is>
          <t>KIL</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65915-2021</t>
        </is>
      </c>
      <c r="B5765" s="1" t="n">
        <v>44517</v>
      </c>
      <c r="C5765" s="1" t="n">
        <v>45810</v>
      </c>
      <c r="D5765" t="inlineStr">
        <is>
          <t>VÄRMLANDS LÄN</t>
        </is>
      </c>
      <c r="E5765" t="inlineStr">
        <is>
          <t>FORSHAGA</t>
        </is>
      </c>
      <c r="G5765" t="n">
        <v>17.2</v>
      </c>
      <c r="H5765" t="n">
        <v>0</v>
      </c>
      <c r="I5765" t="n">
        <v>0</v>
      </c>
      <c r="J5765" t="n">
        <v>0</v>
      </c>
      <c r="K5765" t="n">
        <v>0</v>
      </c>
      <c r="L5765" t="n">
        <v>0</v>
      </c>
      <c r="M5765" t="n">
        <v>0</v>
      </c>
      <c r="N5765" t="n">
        <v>0</v>
      </c>
      <c r="O5765" t="n">
        <v>0</v>
      </c>
      <c r="P5765" t="n">
        <v>0</v>
      </c>
      <c r="Q5765" t="n">
        <v>0</v>
      </c>
      <c r="R5765" s="2" t="inlineStr"/>
    </row>
    <row r="5766" ht="15" customHeight="1">
      <c r="A5766" t="inlineStr">
        <is>
          <t>A 65849-2021</t>
        </is>
      </c>
      <c r="B5766" s="1" t="n">
        <v>44517</v>
      </c>
      <c r="C5766" s="1" t="n">
        <v>45810</v>
      </c>
      <c r="D5766" t="inlineStr">
        <is>
          <t>VÄRMLANDS LÄN</t>
        </is>
      </c>
      <c r="E5766" t="inlineStr">
        <is>
          <t>ÅRJÄNG</t>
        </is>
      </c>
      <c r="G5766" t="n">
        <v>3.3</v>
      </c>
      <c r="H5766" t="n">
        <v>0</v>
      </c>
      <c r="I5766" t="n">
        <v>0</v>
      </c>
      <c r="J5766" t="n">
        <v>0</v>
      </c>
      <c r="K5766" t="n">
        <v>0</v>
      </c>
      <c r="L5766" t="n">
        <v>0</v>
      </c>
      <c r="M5766" t="n">
        <v>0</v>
      </c>
      <c r="N5766" t="n">
        <v>0</v>
      </c>
      <c r="O5766" t="n">
        <v>0</v>
      </c>
      <c r="P5766" t="n">
        <v>0</v>
      </c>
      <c r="Q5766" t="n">
        <v>0</v>
      </c>
      <c r="R5766" s="2" t="inlineStr"/>
    </row>
    <row r="5767" ht="15" customHeight="1">
      <c r="A5767" t="inlineStr">
        <is>
          <t>A 65891-2021</t>
        </is>
      </c>
      <c r="B5767" s="1" t="n">
        <v>44517</v>
      </c>
      <c r="C5767" s="1" t="n">
        <v>45810</v>
      </c>
      <c r="D5767" t="inlineStr">
        <is>
          <t>VÄRMLANDS LÄN</t>
        </is>
      </c>
      <c r="E5767" t="inlineStr">
        <is>
          <t>KIL</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65910-2021</t>
        </is>
      </c>
      <c r="B5768" s="1" t="n">
        <v>44517</v>
      </c>
      <c r="C5768" s="1" t="n">
        <v>45810</v>
      </c>
      <c r="D5768" t="inlineStr">
        <is>
          <t>VÄRMLANDS LÄN</t>
        </is>
      </c>
      <c r="E5768" t="inlineStr">
        <is>
          <t>SUNNE</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65862-2021</t>
        </is>
      </c>
      <c r="B5769" s="1" t="n">
        <v>44517</v>
      </c>
      <c r="C5769" s="1" t="n">
        <v>45810</v>
      </c>
      <c r="D5769" t="inlineStr">
        <is>
          <t>VÄRMLANDS LÄN</t>
        </is>
      </c>
      <c r="E5769" t="inlineStr">
        <is>
          <t>ÅRJÄNG</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65904-2021</t>
        </is>
      </c>
      <c r="B5770" s="1" t="n">
        <v>44517</v>
      </c>
      <c r="C5770" s="1" t="n">
        <v>45810</v>
      </c>
      <c r="D5770" t="inlineStr">
        <is>
          <t>VÄRMLANDS LÄN</t>
        </is>
      </c>
      <c r="E5770" t="inlineStr">
        <is>
          <t>KIL</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65959-2021</t>
        </is>
      </c>
      <c r="B5771" s="1" t="n">
        <v>44517</v>
      </c>
      <c r="C5771" s="1" t="n">
        <v>45810</v>
      </c>
      <c r="D5771" t="inlineStr">
        <is>
          <t>VÄRMLANDS LÄN</t>
        </is>
      </c>
      <c r="E5771" t="inlineStr">
        <is>
          <t>TORSBY</t>
        </is>
      </c>
      <c r="G5771" t="n">
        <v>3.3</v>
      </c>
      <c r="H5771" t="n">
        <v>0</v>
      </c>
      <c r="I5771" t="n">
        <v>0</v>
      </c>
      <c r="J5771" t="n">
        <v>0</v>
      </c>
      <c r="K5771" t="n">
        <v>0</v>
      </c>
      <c r="L5771" t="n">
        <v>0</v>
      </c>
      <c r="M5771" t="n">
        <v>0</v>
      </c>
      <c r="N5771" t="n">
        <v>0</v>
      </c>
      <c r="O5771" t="n">
        <v>0</v>
      </c>
      <c r="P5771" t="n">
        <v>0</v>
      </c>
      <c r="Q5771" t="n">
        <v>0</v>
      </c>
      <c r="R5771" s="2" t="inlineStr"/>
    </row>
    <row r="5772" ht="15" customHeight="1">
      <c r="A5772" t="inlineStr">
        <is>
          <t>A 65950-2021</t>
        </is>
      </c>
      <c r="B5772" s="1" t="n">
        <v>44517</v>
      </c>
      <c r="C5772" s="1" t="n">
        <v>45810</v>
      </c>
      <c r="D5772" t="inlineStr">
        <is>
          <t>VÄRMLANDS LÄN</t>
        </is>
      </c>
      <c r="E5772" t="inlineStr">
        <is>
          <t>ARVIKA</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65979-2021</t>
        </is>
      </c>
      <c r="B5773" s="1" t="n">
        <v>44517</v>
      </c>
      <c r="C5773" s="1" t="n">
        <v>45810</v>
      </c>
      <c r="D5773" t="inlineStr">
        <is>
          <t>VÄRMLANDS LÄN</t>
        </is>
      </c>
      <c r="E5773" t="inlineStr">
        <is>
          <t>ÅRJÄNG</t>
        </is>
      </c>
      <c r="G5773" t="n">
        <v>5.1</v>
      </c>
      <c r="H5773" t="n">
        <v>0</v>
      </c>
      <c r="I5773" t="n">
        <v>0</v>
      </c>
      <c r="J5773" t="n">
        <v>0</v>
      </c>
      <c r="K5773" t="n">
        <v>0</v>
      </c>
      <c r="L5773" t="n">
        <v>0</v>
      </c>
      <c r="M5773" t="n">
        <v>0</v>
      </c>
      <c r="N5773" t="n">
        <v>0</v>
      </c>
      <c r="O5773" t="n">
        <v>0</v>
      </c>
      <c r="P5773" t="n">
        <v>0</v>
      </c>
      <c r="Q5773" t="n">
        <v>0</v>
      </c>
      <c r="R5773" s="2" t="inlineStr"/>
    </row>
    <row r="5774" ht="15" customHeight="1">
      <c r="A5774" t="inlineStr">
        <is>
          <t>A 65998-2021</t>
        </is>
      </c>
      <c r="B5774" s="1" t="n">
        <v>44517</v>
      </c>
      <c r="C5774" s="1" t="n">
        <v>45810</v>
      </c>
      <c r="D5774" t="inlineStr">
        <is>
          <t>VÄRMLANDS LÄN</t>
        </is>
      </c>
      <c r="E5774" t="inlineStr">
        <is>
          <t>TORSBY</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66035-2021</t>
        </is>
      </c>
      <c r="B5775" s="1" t="n">
        <v>44517</v>
      </c>
      <c r="C5775" s="1" t="n">
        <v>45810</v>
      </c>
      <c r="D5775" t="inlineStr">
        <is>
          <t>VÄRMLANDS LÄN</t>
        </is>
      </c>
      <c r="E5775" t="inlineStr">
        <is>
          <t>FORSHAGA</t>
        </is>
      </c>
      <c r="F5775" t="inlineStr">
        <is>
          <t>Bergvik skog väst AB</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66056-2021</t>
        </is>
      </c>
      <c r="B5776" s="1" t="n">
        <v>44517</v>
      </c>
      <c r="C5776" s="1" t="n">
        <v>45810</v>
      </c>
      <c r="D5776" t="inlineStr">
        <is>
          <t>VÄRMLANDS LÄN</t>
        </is>
      </c>
      <c r="E5776" t="inlineStr">
        <is>
          <t>GRUMS</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66103-2021</t>
        </is>
      </c>
      <c r="B5777" s="1" t="n">
        <v>44517</v>
      </c>
      <c r="C5777" s="1" t="n">
        <v>45810</v>
      </c>
      <c r="D5777" t="inlineStr">
        <is>
          <t>VÄRMLANDS LÄN</t>
        </is>
      </c>
      <c r="E5777" t="inlineStr">
        <is>
          <t>TORSBY</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66090-2021</t>
        </is>
      </c>
      <c r="B5778" s="1" t="n">
        <v>44517</v>
      </c>
      <c r="C5778" s="1" t="n">
        <v>45810</v>
      </c>
      <c r="D5778" t="inlineStr">
        <is>
          <t>VÄRMLANDS LÄN</t>
        </is>
      </c>
      <c r="E5778" t="inlineStr">
        <is>
          <t>SUNNE</t>
        </is>
      </c>
      <c r="G5778" t="n">
        <v>2.3</v>
      </c>
      <c r="H5778" t="n">
        <v>0</v>
      </c>
      <c r="I5778" t="n">
        <v>0</v>
      </c>
      <c r="J5778" t="n">
        <v>0</v>
      </c>
      <c r="K5778" t="n">
        <v>0</v>
      </c>
      <c r="L5778" t="n">
        <v>0</v>
      </c>
      <c r="M5778" t="n">
        <v>0</v>
      </c>
      <c r="N5778" t="n">
        <v>0</v>
      </c>
      <c r="O5778" t="n">
        <v>0</v>
      </c>
      <c r="P5778" t="n">
        <v>0</v>
      </c>
      <c r="Q5778" t="n">
        <v>0</v>
      </c>
      <c r="R5778" s="2" t="inlineStr"/>
    </row>
    <row r="5779" ht="15" customHeight="1">
      <c r="A5779" t="inlineStr">
        <is>
          <t>A 66019-2021</t>
        </is>
      </c>
      <c r="B5779" s="1" t="n">
        <v>44517</v>
      </c>
      <c r="C5779" s="1" t="n">
        <v>45810</v>
      </c>
      <c r="D5779" t="inlineStr">
        <is>
          <t>VÄRMLANDS LÄN</t>
        </is>
      </c>
      <c r="E5779" t="inlineStr">
        <is>
          <t>HAGFORS</t>
        </is>
      </c>
      <c r="F5779" t="inlineStr">
        <is>
          <t>Bergvik skog väst AB</t>
        </is>
      </c>
      <c r="G5779" t="n">
        <v>5.8</v>
      </c>
      <c r="H5779" t="n">
        <v>0</v>
      </c>
      <c r="I5779" t="n">
        <v>0</v>
      </c>
      <c r="J5779" t="n">
        <v>0</v>
      </c>
      <c r="K5779" t="n">
        <v>0</v>
      </c>
      <c r="L5779" t="n">
        <v>0</v>
      </c>
      <c r="M5779" t="n">
        <v>0</v>
      </c>
      <c r="N5779" t="n">
        <v>0</v>
      </c>
      <c r="O5779" t="n">
        <v>0</v>
      </c>
      <c r="P5779" t="n">
        <v>0</v>
      </c>
      <c r="Q5779" t="n">
        <v>0</v>
      </c>
      <c r="R5779" s="2" t="inlineStr"/>
    </row>
    <row r="5780" ht="15" customHeight="1">
      <c r="A5780" t="inlineStr">
        <is>
          <t>A 66039-2021</t>
        </is>
      </c>
      <c r="B5780" s="1" t="n">
        <v>44517</v>
      </c>
      <c r="C5780" s="1" t="n">
        <v>45810</v>
      </c>
      <c r="D5780" t="inlineStr">
        <is>
          <t>VÄRMLANDS LÄN</t>
        </is>
      </c>
      <c r="E5780" t="inlineStr">
        <is>
          <t>EDA</t>
        </is>
      </c>
      <c r="G5780" t="n">
        <v>2.4</v>
      </c>
      <c r="H5780" t="n">
        <v>0</v>
      </c>
      <c r="I5780" t="n">
        <v>0</v>
      </c>
      <c r="J5780" t="n">
        <v>0</v>
      </c>
      <c r="K5780" t="n">
        <v>0</v>
      </c>
      <c r="L5780" t="n">
        <v>0</v>
      </c>
      <c r="M5780" t="n">
        <v>0</v>
      </c>
      <c r="N5780" t="n">
        <v>0</v>
      </c>
      <c r="O5780" t="n">
        <v>0</v>
      </c>
      <c r="P5780" t="n">
        <v>0</v>
      </c>
      <c r="Q5780" t="n">
        <v>0</v>
      </c>
      <c r="R5780" s="2" t="inlineStr"/>
    </row>
    <row r="5781" ht="15" customHeight="1">
      <c r="A5781" t="inlineStr">
        <is>
          <t>A 66111-2021</t>
        </is>
      </c>
      <c r="B5781" s="1" t="n">
        <v>44517</v>
      </c>
      <c r="C5781" s="1" t="n">
        <v>45810</v>
      </c>
      <c r="D5781" t="inlineStr">
        <is>
          <t>VÄRMLANDS LÄN</t>
        </is>
      </c>
      <c r="E5781" t="inlineStr">
        <is>
          <t>FORSHAGA</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66034-2021</t>
        </is>
      </c>
      <c r="B5782" s="1" t="n">
        <v>44517</v>
      </c>
      <c r="C5782" s="1" t="n">
        <v>45810</v>
      </c>
      <c r="D5782" t="inlineStr">
        <is>
          <t>VÄRMLANDS LÄN</t>
        </is>
      </c>
      <c r="E5782" t="inlineStr">
        <is>
          <t>EDA</t>
        </is>
      </c>
      <c r="G5782" t="n">
        <v>3.7</v>
      </c>
      <c r="H5782" t="n">
        <v>0</v>
      </c>
      <c r="I5782" t="n">
        <v>0</v>
      </c>
      <c r="J5782" t="n">
        <v>0</v>
      </c>
      <c r="K5782" t="n">
        <v>0</v>
      </c>
      <c r="L5782" t="n">
        <v>0</v>
      </c>
      <c r="M5782" t="n">
        <v>0</v>
      </c>
      <c r="N5782" t="n">
        <v>0</v>
      </c>
      <c r="O5782" t="n">
        <v>0</v>
      </c>
      <c r="P5782" t="n">
        <v>0</v>
      </c>
      <c r="Q5782" t="n">
        <v>0</v>
      </c>
      <c r="R5782" s="2" t="inlineStr"/>
    </row>
    <row r="5783" ht="15" customHeight="1">
      <c r="A5783" t="inlineStr">
        <is>
          <t>A 66133-2021</t>
        </is>
      </c>
      <c r="B5783" s="1" t="n">
        <v>44517</v>
      </c>
      <c r="C5783" s="1" t="n">
        <v>45810</v>
      </c>
      <c r="D5783" t="inlineStr">
        <is>
          <t>VÄRMLANDS LÄN</t>
        </is>
      </c>
      <c r="E5783" t="inlineStr">
        <is>
          <t>TORSBY</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66226-2021</t>
        </is>
      </c>
      <c r="B5784" s="1" t="n">
        <v>44518</v>
      </c>
      <c r="C5784" s="1" t="n">
        <v>45810</v>
      </c>
      <c r="D5784" t="inlineStr">
        <is>
          <t>VÄRMLANDS LÄN</t>
        </is>
      </c>
      <c r="E5784" t="inlineStr">
        <is>
          <t>ARVIKA</t>
        </is>
      </c>
      <c r="G5784" t="n">
        <v>4.9</v>
      </c>
      <c r="H5784" t="n">
        <v>0</v>
      </c>
      <c r="I5784" t="n">
        <v>0</v>
      </c>
      <c r="J5784" t="n">
        <v>0</v>
      </c>
      <c r="K5784" t="n">
        <v>0</v>
      </c>
      <c r="L5784" t="n">
        <v>0</v>
      </c>
      <c r="M5784" t="n">
        <v>0</v>
      </c>
      <c r="N5784" t="n">
        <v>0</v>
      </c>
      <c r="O5784" t="n">
        <v>0</v>
      </c>
      <c r="P5784" t="n">
        <v>0</v>
      </c>
      <c r="Q5784" t="n">
        <v>0</v>
      </c>
      <c r="R5784" s="2" t="inlineStr"/>
    </row>
    <row r="5785" ht="15" customHeight="1">
      <c r="A5785" t="inlineStr">
        <is>
          <t>A 66222-2021</t>
        </is>
      </c>
      <c r="B5785" s="1" t="n">
        <v>44518</v>
      </c>
      <c r="C5785" s="1" t="n">
        <v>45810</v>
      </c>
      <c r="D5785" t="inlineStr">
        <is>
          <t>VÄRMLANDS LÄN</t>
        </is>
      </c>
      <c r="E5785" t="inlineStr">
        <is>
          <t>EDA</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66327-2021</t>
        </is>
      </c>
      <c r="B5786" s="1" t="n">
        <v>44518</v>
      </c>
      <c r="C5786" s="1" t="n">
        <v>45810</v>
      </c>
      <c r="D5786" t="inlineStr">
        <is>
          <t>VÄRMLANDS LÄN</t>
        </is>
      </c>
      <c r="E5786" t="inlineStr">
        <is>
          <t>KARLSTAD</t>
        </is>
      </c>
      <c r="G5786" t="n">
        <v>1.8</v>
      </c>
      <c r="H5786" t="n">
        <v>0</v>
      </c>
      <c r="I5786" t="n">
        <v>0</v>
      </c>
      <c r="J5786" t="n">
        <v>0</v>
      </c>
      <c r="K5786" t="n">
        <v>0</v>
      </c>
      <c r="L5786" t="n">
        <v>0</v>
      </c>
      <c r="M5786" t="n">
        <v>0</v>
      </c>
      <c r="N5786" t="n">
        <v>0</v>
      </c>
      <c r="O5786" t="n">
        <v>0</v>
      </c>
      <c r="P5786" t="n">
        <v>0</v>
      </c>
      <c r="Q5786" t="n">
        <v>0</v>
      </c>
      <c r="R5786" s="2" t="inlineStr"/>
    </row>
    <row r="5787" ht="15" customHeight="1">
      <c r="A5787" t="inlineStr">
        <is>
          <t>A 66322-2021</t>
        </is>
      </c>
      <c r="B5787" s="1" t="n">
        <v>44518</v>
      </c>
      <c r="C5787" s="1" t="n">
        <v>45810</v>
      </c>
      <c r="D5787" t="inlineStr">
        <is>
          <t>VÄRMLANDS LÄN</t>
        </is>
      </c>
      <c r="E5787" t="inlineStr">
        <is>
          <t>KARLSTAD</t>
        </is>
      </c>
      <c r="G5787" t="n">
        <v>3.5</v>
      </c>
      <c r="H5787" t="n">
        <v>0</v>
      </c>
      <c r="I5787" t="n">
        <v>0</v>
      </c>
      <c r="J5787" t="n">
        <v>0</v>
      </c>
      <c r="K5787" t="n">
        <v>0</v>
      </c>
      <c r="L5787" t="n">
        <v>0</v>
      </c>
      <c r="M5787" t="n">
        <v>0</v>
      </c>
      <c r="N5787" t="n">
        <v>0</v>
      </c>
      <c r="O5787" t="n">
        <v>0</v>
      </c>
      <c r="P5787" t="n">
        <v>0</v>
      </c>
      <c r="Q5787" t="n">
        <v>0</v>
      </c>
      <c r="R5787" s="2" t="inlineStr"/>
    </row>
    <row r="5788" ht="15" customHeight="1">
      <c r="A5788" t="inlineStr">
        <is>
          <t>A 66323-2021</t>
        </is>
      </c>
      <c r="B5788" s="1" t="n">
        <v>44518</v>
      </c>
      <c r="C5788" s="1" t="n">
        <v>45810</v>
      </c>
      <c r="D5788" t="inlineStr">
        <is>
          <t>VÄRMLANDS LÄN</t>
        </is>
      </c>
      <c r="E5788" t="inlineStr">
        <is>
          <t>KARLSTAD</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66329-2021</t>
        </is>
      </c>
      <c r="B5789" s="1" t="n">
        <v>44518</v>
      </c>
      <c r="C5789" s="1" t="n">
        <v>45810</v>
      </c>
      <c r="D5789" t="inlineStr">
        <is>
          <t>VÄRMLANDS LÄN</t>
        </is>
      </c>
      <c r="E5789" t="inlineStr">
        <is>
          <t>KARLSTAD</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66385-2021</t>
        </is>
      </c>
      <c r="B5790" s="1" t="n">
        <v>44518</v>
      </c>
      <c r="C5790" s="1" t="n">
        <v>45810</v>
      </c>
      <c r="D5790" t="inlineStr">
        <is>
          <t>VÄRMLANDS LÄN</t>
        </is>
      </c>
      <c r="E5790" t="inlineStr">
        <is>
          <t>SÄFFLE</t>
        </is>
      </c>
      <c r="G5790" t="n">
        <v>3.2</v>
      </c>
      <c r="H5790" t="n">
        <v>0</v>
      </c>
      <c r="I5790" t="n">
        <v>0</v>
      </c>
      <c r="J5790" t="n">
        <v>0</v>
      </c>
      <c r="K5790" t="n">
        <v>0</v>
      </c>
      <c r="L5790" t="n">
        <v>0</v>
      </c>
      <c r="M5790" t="n">
        <v>0</v>
      </c>
      <c r="N5790" t="n">
        <v>0</v>
      </c>
      <c r="O5790" t="n">
        <v>0</v>
      </c>
      <c r="P5790" t="n">
        <v>0</v>
      </c>
      <c r="Q5790" t="n">
        <v>0</v>
      </c>
      <c r="R5790" s="2" t="inlineStr"/>
    </row>
    <row r="5791" ht="15" customHeight="1">
      <c r="A5791" t="inlineStr">
        <is>
          <t>A 66442-2021</t>
        </is>
      </c>
      <c r="B5791" s="1" t="n">
        <v>44518</v>
      </c>
      <c r="C5791" s="1" t="n">
        <v>45810</v>
      </c>
      <c r="D5791" t="inlineStr">
        <is>
          <t>VÄRMLANDS LÄN</t>
        </is>
      </c>
      <c r="E5791" t="inlineStr">
        <is>
          <t>KRISTINEHAMN</t>
        </is>
      </c>
      <c r="G5791" t="n">
        <v>1.7</v>
      </c>
      <c r="H5791" t="n">
        <v>0</v>
      </c>
      <c r="I5791" t="n">
        <v>0</v>
      </c>
      <c r="J5791" t="n">
        <v>0</v>
      </c>
      <c r="K5791" t="n">
        <v>0</v>
      </c>
      <c r="L5791" t="n">
        <v>0</v>
      </c>
      <c r="M5791" t="n">
        <v>0</v>
      </c>
      <c r="N5791" t="n">
        <v>0</v>
      </c>
      <c r="O5791" t="n">
        <v>0</v>
      </c>
      <c r="P5791" t="n">
        <v>0</v>
      </c>
      <c r="Q5791" t="n">
        <v>0</v>
      </c>
      <c r="R5791" s="2" t="inlineStr"/>
    </row>
    <row r="5792" ht="15" customHeight="1">
      <c r="A5792" t="inlineStr">
        <is>
          <t>A 66438-2021</t>
        </is>
      </c>
      <c r="B5792" s="1" t="n">
        <v>44518</v>
      </c>
      <c r="C5792" s="1" t="n">
        <v>45810</v>
      </c>
      <c r="D5792" t="inlineStr">
        <is>
          <t>VÄRMLANDS LÄN</t>
        </is>
      </c>
      <c r="E5792" t="inlineStr">
        <is>
          <t>KRISTINEHAMN</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66376-2021</t>
        </is>
      </c>
      <c r="B5793" s="1" t="n">
        <v>44518</v>
      </c>
      <c r="C5793" s="1" t="n">
        <v>45810</v>
      </c>
      <c r="D5793" t="inlineStr">
        <is>
          <t>VÄRMLANDS LÄN</t>
        </is>
      </c>
      <c r="E5793" t="inlineStr">
        <is>
          <t>FILIPSTAD</t>
        </is>
      </c>
      <c r="F5793" t="inlineStr">
        <is>
          <t>Bergvik skog väst AB</t>
        </is>
      </c>
      <c r="G5793" t="n">
        <v>9.800000000000001</v>
      </c>
      <c r="H5793" t="n">
        <v>0</v>
      </c>
      <c r="I5793" t="n">
        <v>0</v>
      </c>
      <c r="J5793" t="n">
        <v>0</v>
      </c>
      <c r="K5793" t="n">
        <v>0</v>
      </c>
      <c r="L5793" t="n">
        <v>0</v>
      </c>
      <c r="M5793" t="n">
        <v>0</v>
      </c>
      <c r="N5793" t="n">
        <v>0</v>
      </c>
      <c r="O5793" t="n">
        <v>0</v>
      </c>
      <c r="P5793" t="n">
        <v>0</v>
      </c>
      <c r="Q5793" t="n">
        <v>0</v>
      </c>
      <c r="R5793" s="2" t="inlineStr"/>
    </row>
    <row r="5794" ht="15" customHeight="1">
      <c r="A5794" t="inlineStr">
        <is>
          <t>A 66439-2021</t>
        </is>
      </c>
      <c r="B5794" s="1" t="n">
        <v>44518</v>
      </c>
      <c r="C5794" s="1" t="n">
        <v>45810</v>
      </c>
      <c r="D5794" t="inlineStr">
        <is>
          <t>VÄRMLANDS LÄN</t>
        </is>
      </c>
      <c r="E5794" t="inlineStr">
        <is>
          <t>KRISTINEHAMN</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66553-2021</t>
        </is>
      </c>
      <c r="B5795" s="1" t="n">
        <v>44519</v>
      </c>
      <c r="C5795" s="1" t="n">
        <v>45810</v>
      </c>
      <c r="D5795" t="inlineStr">
        <is>
          <t>VÄRMLANDS LÄN</t>
        </is>
      </c>
      <c r="E5795" t="inlineStr">
        <is>
          <t>ARVIKA</t>
        </is>
      </c>
      <c r="G5795" t="n">
        <v>3</v>
      </c>
      <c r="H5795" t="n">
        <v>0</v>
      </c>
      <c r="I5795" t="n">
        <v>0</v>
      </c>
      <c r="J5795" t="n">
        <v>0</v>
      </c>
      <c r="K5795" t="n">
        <v>0</v>
      </c>
      <c r="L5795" t="n">
        <v>0</v>
      </c>
      <c r="M5795" t="n">
        <v>0</v>
      </c>
      <c r="N5795" t="n">
        <v>0</v>
      </c>
      <c r="O5795" t="n">
        <v>0</v>
      </c>
      <c r="P5795" t="n">
        <v>0</v>
      </c>
      <c r="Q5795" t="n">
        <v>0</v>
      </c>
      <c r="R5795" s="2" t="inlineStr"/>
    </row>
    <row r="5796" ht="15" customHeight="1">
      <c r="A5796" t="inlineStr">
        <is>
          <t>A 66635-2021</t>
        </is>
      </c>
      <c r="B5796" s="1" t="n">
        <v>44519</v>
      </c>
      <c r="C5796" s="1" t="n">
        <v>45810</v>
      </c>
      <c r="D5796" t="inlineStr">
        <is>
          <t>VÄRMLANDS LÄN</t>
        </is>
      </c>
      <c r="E5796" t="inlineStr">
        <is>
          <t>KARLSTAD</t>
        </is>
      </c>
      <c r="G5796" t="n">
        <v>2.2</v>
      </c>
      <c r="H5796" t="n">
        <v>0</v>
      </c>
      <c r="I5796" t="n">
        <v>0</v>
      </c>
      <c r="J5796" t="n">
        <v>0</v>
      </c>
      <c r="K5796" t="n">
        <v>0</v>
      </c>
      <c r="L5796" t="n">
        <v>0</v>
      </c>
      <c r="M5796" t="n">
        <v>0</v>
      </c>
      <c r="N5796" t="n">
        <v>0</v>
      </c>
      <c r="O5796" t="n">
        <v>0</v>
      </c>
      <c r="P5796" t="n">
        <v>0</v>
      </c>
      <c r="Q5796" t="n">
        <v>0</v>
      </c>
      <c r="R5796" s="2" t="inlineStr"/>
    </row>
    <row r="5797" ht="15" customHeight="1">
      <c r="A5797" t="inlineStr">
        <is>
          <t>A 66642-2021</t>
        </is>
      </c>
      <c r="B5797" s="1" t="n">
        <v>44519</v>
      </c>
      <c r="C5797" s="1" t="n">
        <v>45810</v>
      </c>
      <c r="D5797" t="inlineStr">
        <is>
          <t>VÄRMLANDS LÄN</t>
        </is>
      </c>
      <c r="E5797" t="inlineStr">
        <is>
          <t>KARLSTAD</t>
        </is>
      </c>
      <c r="G5797" t="n">
        <v>18.2</v>
      </c>
      <c r="H5797" t="n">
        <v>0</v>
      </c>
      <c r="I5797" t="n">
        <v>0</v>
      </c>
      <c r="J5797" t="n">
        <v>0</v>
      </c>
      <c r="K5797" t="n">
        <v>0</v>
      </c>
      <c r="L5797" t="n">
        <v>0</v>
      </c>
      <c r="M5797" t="n">
        <v>0</v>
      </c>
      <c r="N5797" t="n">
        <v>0</v>
      </c>
      <c r="O5797" t="n">
        <v>0</v>
      </c>
      <c r="P5797" t="n">
        <v>0</v>
      </c>
      <c r="Q5797" t="n">
        <v>0</v>
      </c>
      <c r="R5797" s="2" t="inlineStr"/>
    </row>
    <row r="5798" ht="15" customHeight="1">
      <c r="A5798" t="inlineStr">
        <is>
          <t>A 66599-2021</t>
        </is>
      </c>
      <c r="B5798" s="1" t="n">
        <v>44519</v>
      </c>
      <c r="C5798" s="1" t="n">
        <v>45810</v>
      </c>
      <c r="D5798" t="inlineStr">
        <is>
          <t>VÄRMLANDS LÄN</t>
        </is>
      </c>
      <c r="E5798" t="inlineStr">
        <is>
          <t>ÅRJÄNG</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66667-2021</t>
        </is>
      </c>
      <c r="B5799" s="1" t="n">
        <v>44519</v>
      </c>
      <c r="C5799" s="1" t="n">
        <v>45810</v>
      </c>
      <c r="D5799" t="inlineStr">
        <is>
          <t>VÄRMLANDS LÄN</t>
        </is>
      </c>
      <c r="E5799" t="inlineStr">
        <is>
          <t>ARVIKA</t>
        </is>
      </c>
      <c r="F5799" t="inlineStr">
        <is>
          <t>Bergvik skog väst AB</t>
        </is>
      </c>
      <c r="G5799" t="n">
        <v>5.6</v>
      </c>
      <c r="H5799" t="n">
        <v>0</v>
      </c>
      <c r="I5799" t="n">
        <v>0</v>
      </c>
      <c r="J5799" t="n">
        <v>0</v>
      </c>
      <c r="K5799" t="n">
        <v>0</v>
      </c>
      <c r="L5799" t="n">
        <v>0</v>
      </c>
      <c r="M5799" t="n">
        <v>0</v>
      </c>
      <c r="N5799" t="n">
        <v>0</v>
      </c>
      <c r="O5799" t="n">
        <v>0</v>
      </c>
      <c r="P5799" t="n">
        <v>0</v>
      </c>
      <c r="Q5799" t="n">
        <v>0</v>
      </c>
      <c r="R5799" s="2" t="inlineStr"/>
    </row>
    <row r="5800" ht="15" customHeight="1">
      <c r="A5800" t="inlineStr">
        <is>
          <t>A 66919-2021</t>
        </is>
      </c>
      <c r="B5800" s="1" t="n">
        <v>44519</v>
      </c>
      <c r="C5800" s="1" t="n">
        <v>45810</v>
      </c>
      <c r="D5800" t="inlineStr">
        <is>
          <t>VÄRMLANDS LÄN</t>
        </is>
      </c>
      <c r="E5800" t="inlineStr">
        <is>
          <t>GRUMS</t>
        </is>
      </c>
      <c r="G5800" t="n">
        <v>3.9</v>
      </c>
      <c r="H5800" t="n">
        <v>0</v>
      </c>
      <c r="I5800" t="n">
        <v>0</v>
      </c>
      <c r="J5800" t="n">
        <v>0</v>
      </c>
      <c r="K5800" t="n">
        <v>0</v>
      </c>
      <c r="L5800" t="n">
        <v>0</v>
      </c>
      <c r="M5800" t="n">
        <v>0</v>
      </c>
      <c r="N5800" t="n">
        <v>0</v>
      </c>
      <c r="O5800" t="n">
        <v>0</v>
      </c>
      <c r="P5800" t="n">
        <v>0</v>
      </c>
      <c r="Q5800" t="n">
        <v>0</v>
      </c>
      <c r="R5800" s="2" t="inlineStr"/>
    </row>
    <row r="5801" ht="15" customHeight="1">
      <c r="A5801" t="inlineStr">
        <is>
          <t>A 66898-2021</t>
        </is>
      </c>
      <c r="B5801" s="1" t="n">
        <v>44522</v>
      </c>
      <c r="C5801" s="1" t="n">
        <v>45810</v>
      </c>
      <c r="D5801" t="inlineStr">
        <is>
          <t>VÄRMLANDS LÄN</t>
        </is>
      </c>
      <c r="E5801" t="inlineStr">
        <is>
          <t>ÅRJÄNG</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66883-2021</t>
        </is>
      </c>
      <c r="B5802" s="1" t="n">
        <v>44522</v>
      </c>
      <c r="C5802" s="1" t="n">
        <v>45810</v>
      </c>
      <c r="D5802" t="inlineStr">
        <is>
          <t>VÄRMLANDS LÄN</t>
        </is>
      </c>
      <c r="E5802" t="inlineStr">
        <is>
          <t>ÅRJÄNG</t>
        </is>
      </c>
      <c r="G5802" t="n">
        <v>14.9</v>
      </c>
      <c r="H5802" t="n">
        <v>0</v>
      </c>
      <c r="I5802" t="n">
        <v>0</v>
      </c>
      <c r="J5802" t="n">
        <v>0</v>
      </c>
      <c r="K5802" t="n">
        <v>0</v>
      </c>
      <c r="L5802" t="n">
        <v>0</v>
      </c>
      <c r="M5802" t="n">
        <v>0</v>
      </c>
      <c r="N5802" t="n">
        <v>0</v>
      </c>
      <c r="O5802" t="n">
        <v>0</v>
      </c>
      <c r="P5802" t="n">
        <v>0</v>
      </c>
      <c r="Q5802" t="n">
        <v>0</v>
      </c>
      <c r="R5802" s="2" t="inlineStr"/>
    </row>
    <row r="5803" ht="15" customHeight="1">
      <c r="A5803" t="inlineStr">
        <is>
          <t>A 66903-2021</t>
        </is>
      </c>
      <c r="B5803" s="1" t="n">
        <v>44522</v>
      </c>
      <c r="C5803" s="1" t="n">
        <v>45810</v>
      </c>
      <c r="D5803" t="inlineStr">
        <is>
          <t>VÄRMLANDS LÄN</t>
        </is>
      </c>
      <c r="E5803" t="inlineStr">
        <is>
          <t>ÅRJÄNG</t>
        </is>
      </c>
      <c r="G5803" t="n">
        <v>4.6</v>
      </c>
      <c r="H5803" t="n">
        <v>0</v>
      </c>
      <c r="I5803" t="n">
        <v>0</v>
      </c>
      <c r="J5803" t="n">
        <v>0</v>
      </c>
      <c r="K5803" t="n">
        <v>0</v>
      </c>
      <c r="L5803" t="n">
        <v>0</v>
      </c>
      <c r="M5803" t="n">
        <v>0</v>
      </c>
      <c r="N5803" t="n">
        <v>0</v>
      </c>
      <c r="O5803" t="n">
        <v>0</v>
      </c>
      <c r="P5803" t="n">
        <v>0</v>
      </c>
      <c r="Q5803" t="n">
        <v>0</v>
      </c>
      <c r="R5803" s="2" t="inlineStr"/>
    </row>
    <row r="5804" ht="15" customHeight="1">
      <c r="A5804" t="inlineStr">
        <is>
          <t>A 66846-2021</t>
        </is>
      </c>
      <c r="B5804" s="1" t="n">
        <v>44522</v>
      </c>
      <c r="C5804" s="1" t="n">
        <v>45810</v>
      </c>
      <c r="D5804" t="inlineStr">
        <is>
          <t>VÄRMLANDS LÄN</t>
        </is>
      </c>
      <c r="E5804" t="inlineStr">
        <is>
          <t>ÅRJÄNG</t>
        </is>
      </c>
      <c r="G5804" t="n">
        <v>8.4</v>
      </c>
      <c r="H5804" t="n">
        <v>0</v>
      </c>
      <c r="I5804" t="n">
        <v>0</v>
      </c>
      <c r="J5804" t="n">
        <v>0</v>
      </c>
      <c r="K5804" t="n">
        <v>0</v>
      </c>
      <c r="L5804" t="n">
        <v>0</v>
      </c>
      <c r="M5804" t="n">
        <v>0</v>
      </c>
      <c r="N5804" t="n">
        <v>0</v>
      </c>
      <c r="O5804" t="n">
        <v>0</v>
      </c>
      <c r="P5804" t="n">
        <v>0</v>
      </c>
      <c r="Q5804" t="n">
        <v>0</v>
      </c>
      <c r="R5804" s="2" t="inlineStr"/>
    </row>
    <row r="5805" ht="15" customHeight="1">
      <c r="A5805" t="inlineStr">
        <is>
          <t>A 66892-2021</t>
        </is>
      </c>
      <c r="B5805" s="1" t="n">
        <v>44522</v>
      </c>
      <c r="C5805" s="1" t="n">
        <v>45810</v>
      </c>
      <c r="D5805" t="inlineStr">
        <is>
          <t>VÄRMLANDS LÄN</t>
        </is>
      </c>
      <c r="E5805" t="inlineStr">
        <is>
          <t>ÅRJÄNG</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66809-2021</t>
        </is>
      </c>
      <c r="B5806" s="1" t="n">
        <v>44522</v>
      </c>
      <c r="C5806" s="1" t="n">
        <v>45810</v>
      </c>
      <c r="D5806" t="inlineStr">
        <is>
          <t>VÄRMLANDS LÄN</t>
        </is>
      </c>
      <c r="E5806" t="inlineStr">
        <is>
          <t>KIL</t>
        </is>
      </c>
      <c r="G5806" t="n">
        <v>13.7</v>
      </c>
      <c r="H5806" t="n">
        <v>0</v>
      </c>
      <c r="I5806" t="n">
        <v>0</v>
      </c>
      <c r="J5806" t="n">
        <v>0</v>
      </c>
      <c r="K5806" t="n">
        <v>0</v>
      </c>
      <c r="L5806" t="n">
        <v>0</v>
      </c>
      <c r="M5806" t="n">
        <v>0</v>
      </c>
      <c r="N5806" t="n">
        <v>0</v>
      </c>
      <c r="O5806" t="n">
        <v>0</v>
      </c>
      <c r="P5806" t="n">
        <v>0</v>
      </c>
      <c r="Q5806" t="n">
        <v>0</v>
      </c>
      <c r="R5806" s="2" t="inlineStr"/>
    </row>
    <row r="5807" ht="15" customHeight="1">
      <c r="A5807" t="inlineStr">
        <is>
          <t>A 66910-2021</t>
        </is>
      </c>
      <c r="B5807" s="1" t="n">
        <v>44522</v>
      </c>
      <c r="C5807" s="1" t="n">
        <v>45810</v>
      </c>
      <c r="D5807" t="inlineStr">
        <is>
          <t>VÄRMLANDS LÄN</t>
        </is>
      </c>
      <c r="E5807" t="inlineStr">
        <is>
          <t>ÅRJÄNG</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66978-2021</t>
        </is>
      </c>
      <c r="B5808" s="1" t="n">
        <v>44522</v>
      </c>
      <c r="C5808" s="1" t="n">
        <v>45810</v>
      </c>
      <c r="D5808" t="inlineStr">
        <is>
          <t>VÄRMLANDS LÄN</t>
        </is>
      </c>
      <c r="E5808" t="inlineStr">
        <is>
          <t>TORSBY</t>
        </is>
      </c>
      <c r="F5808" t="inlineStr">
        <is>
          <t>Kommuner</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67006-2021</t>
        </is>
      </c>
      <c r="B5809" s="1" t="n">
        <v>44522</v>
      </c>
      <c r="C5809" s="1" t="n">
        <v>45810</v>
      </c>
      <c r="D5809" t="inlineStr">
        <is>
          <t>VÄRMLANDS LÄN</t>
        </is>
      </c>
      <c r="E5809" t="inlineStr">
        <is>
          <t>TORSBY</t>
        </is>
      </c>
      <c r="F5809" t="inlineStr">
        <is>
          <t>Kommuner</t>
        </is>
      </c>
      <c r="G5809" t="n">
        <v>4.4</v>
      </c>
      <c r="H5809" t="n">
        <v>0</v>
      </c>
      <c r="I5809" t="n">
        <v>0</v>
      </c>
      <c r="J5809" t="n">
        <v>0</v>
      </c>
      <c r="K5809" t="n">
        <v>0</v>
      </c>
      <c r="L5809" t="n">
        <v>0</v>
      </c>
      <c r="M5809" t="n">
        <v>0</v>
      </c>
      <c r="N5809" t="n">
        <v>0</v>
      </c>
      <c r="O5809" t="n">
        <v>0</v>
      </c>
      <c r="P5809" t="n">
        <v>0</v>
      </c>
      <c r="Q5809" t="n">
        <v>0</v>
      </c>
      <c r="R5809" s="2" t="inlineStr"/>
    </row>
    <row r="5810" ht="15" customHeight="1">
      <c r="A5810" t="inlineStr">
        <is>
          <t>A 67015-2021</t>
        </is>
      </c>
      <c r="B5810" s="1" t="n">
        <v>44522</v>
      </c>
      <c r="C5810" s="1" t="n">
        <v>45810</v>
      </c>
      <c r="D5810" t="inlineStr">
        <is>
          <t>VÄRMLANDS LÄN</t>
        </is>
      </c>
      <c r="E5810" t="inlineStr">
        <is>
          <t>ÅRJÄNG</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67023-2021</t>
        </is>
      </c>
      <c r="B5811" s="1" t="n">
        <v>44522</v>
      </c>
      <c r="C5811" s="1" t="n">
        <v>45810</v>
      </c>
      <c r="D5811" t="inlineStr">
        <is>
          <t>VÄRMLANDS LÄN</t>
        </is>
      </c>
      <c r="E5811" t="inlineStr">
        <is>
          <t>ÅRJÄNG</t>
        </is>
      </c>
      <c r="G5811" t="n">
        <v>4.7</v>
      </c>
      <c r="H5811" t="n">
        <v>0</v>
      </c>
      <c r="I5811" t="n">
        <v>0</v>
      </c>
      <c r="J5811" t="n">
        <v>0</v>
      </c>
      <c r="K5811" t="n">
        <v>0</v>
      </c>
      <c r="L5811" t="n">
        <v>0</v>
      </c>
      <c r="M5811" t="n">
        <v>0</v>
      </c>
      <c r="N5811" t="n">
        <v>0</v>
      </c>
      <c r="O5811" t="n">
        <v>0</v>
      </c>
      <c r="P5811" t="n">
        <v>0</v>
      </c>
      <c r="Q5811" t="n">
        <v>0</v>
      </c>
      <c r="R5811" s="2" t="inlineStr"/>
    </row>
    <row r="5812" ht="15" customHeight="1">
      <c r="A5812" t="inlineStr">
        <is>
          <t>A 67170-2021</t>
        </is>
      </c>
      <c r="B5812" s="1" t="n">
        <v>44523</v>
      </c>
      <c r="C5812" s="1" t="n">
        <v>45810</v>
      </c>
      <c r="D5812" t="inlineStr">
        <is>
          <t>VÄRMLANDS LÄN</t>
        </is>
      </c>
      <c r="E5812" t="inlineStr">
        <is>
          <t>SÄFFLE</t>
        </is>
      </c>
      <c r="G5812" t="n">
        <v>18.9</v>
      </c>
      <c r="H5812" t="n">
        <v>0</v>
      </c>
      <c r="I5812" t="n">
        <v>0</v>
      </c>
      <c r="J5812" t="n">
        <v>0</v>
      </c>
      <c r="K5812" t="n">
        <v>0</v>
      </c>
      <c r="L5812" t="n">
        <v>0</v>
      </c>
      <c r="M5812" t="n">
        <v>0</v>
      </c>
      <c r="N5812" t="n">
        <v>0</v>
      </c>
      <c r="O5812" t="n">
        <v>0</v>
      </c>
      <c r="P5812" t="n">
        <v>0</v>
      </c>
      <c r="Q5812" t="n">
        <v>0</v>
      </c>
      <c r="R5812" s="2" t="inlineStr"/>
    </row>
    <row r="5813" ht="15" customHeight="1">
      <c r="A5813" t="inlineStr">
        <is>
          <t>A 67176-2021</t>
        </is>
      </c>
      <c r="B5813" s="1" t="n">
        <v>44523</v>
      </c>
      <c r="C5813" s="1" t="n">
        <v>45810</v>
      </c>
      <c r="D5813" t="inlineStr">
        <is>
          <t>VÄRMLANDS LÄN</t>
        </is>
      </c>
      <c r="E5813" t="inlineStr">
        <is>
          <t>SÄFFLE</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67175-2021</t>
        </is>
      </c>
      <c r="B5814" s="1" t="n">
        <v>44523</v>
      </c>
      <c r="C5814" s="1" t="n">
        <v>45810</v>
      </c>
      <c r="D5814" t="inlineStr">
        <is>
          <t>VÄRMLANDS LÄN</t>
        </is>
      </c>
      <c r="E5814" t="inlineStr">
        <is>
          <t>SÄFFLE</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67196-2021</t>
        </is>
      </c>
      <c r="B5815" s="1" t="n">
        <v>44523</v>
      </c>
      <c r="C5815" s="1" t="n">
        <v>45810</v>
      </c>
      <c r="D5815" t="inlineStr">
        <is>
          <t>VÄRMLANDS LÄN</t>
        </is>
      </c>
      <c r="E5815" t="inlineStr">
        <is>
          <t>ARVIKA</t>
        </is>
      </c>
      <c r="G5815" t="n">
        <v>4.7</v>
      </c>
      <c r="H5815" t="n">
        <v>0</v>
      </c>
      <c r="I5815" t="n">
        <v>0</v>
      </c>
      <c r="J5815" t="n">
        <v>0</v>
      </c>
      <c r="K5815" t="n">
        <v>0</v>
      </c>
      <c r="L5815" t="n">
        <v>0</v>
      </c>
      <c r="M5815" t="n">
        <v>0</v>
      </c>
      <c r="N5815" t="n">
        <v>0</v>
      </c>
      <c r="O5815" t="n">
        <v>0</v>
      </c>
      <c r="P5815" t="n">
        <v>0</v>
      </c>
      <c r="Q5815" t="n">
        <v>0</v>
      </c>
      <c r="R5815" s="2" t="inlineStr"/>
    </row>
    <row r="5816" ht="15" customHeight="1">
      <c r="A5816" t="inlineStr">
        <is>
          <t>A 67147-2021</t>
        </is>
      </c>
      <c r="B5816" s="1" t="n">
        <v>44523</v>
      </c>
      <c r="C5816" s="1" t="n">
        <v>45810</v>
      </c>
      <c r="D5816" t="inlineStr">
        <is>
          <t>VÄRMLANDS LÄN</t>
        </is>
      </c>
      <c r="E5816" t="inlineStr">
        <is>
          <t>TORSBY</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67164-2021</t>
        </is>
      </c>
      <c r="B5817" s="1" t="n">
        <v>44523</v>
      </c>
      <c r="C5817" s="1" t="n">
        <v>45810</v>
      </c>
      <c r="D5817" t="inlineStr">
        <is>
          <t>VÄRMLANDS LÄN</t>
        </is>
      </c>
      <c r="E5817" t="inlineStr">
        <is>
          <t>EDA</t>
        </is>
      </c>
      <c r="G5817" t="n">
        <v>4</v>
      </c>
      <c r="H5817" t="n">
        <v>0</v>
      </c>
      <c r="I5817" t="n">
        <v>0</v>
      </c>
      <c r="J5817" t="n">
        <v>0</v>
      </c>
      <c r="K5817" t="n">
        <v>0</v>
      </c>
      <c r="L5817" t="n">
        <v>0</v>
      </c>
      <c r="M5817" t="n">
        <v>0</v>
      </c>
      <c r="N5817" t="n">
        <v>0</v>
      </c>
      <c r="O5817" t="n">
        <v>0</v>
      </c>
      <c r="P5817" t="n">
        <v>0</v>
      </c>
      <c r="Q5817" t="n">
        <v>0</v>
      </c>
      <c r="R5817" s="2" t="inlineStr"/>
    </row>
    <row r="5818" ht="15" customHeight="1">
      <c r="A5818" t="inlineStr">
        <is>
          <t>A 67174-2021</t>
        </is>
      </c>
      <c r="B5818" s="1" t="n">
        <v>44523</v>
      </c>
      <c r="C5818" s="1" t="n">
        <v>45810</v>
      </c>
      <c r="D5818" t="inlineStr">
        <is>
          <t>VÄRMLANDS LÄN</t>
        </is>
      </c>
      <c r="E5818" t="inlineStr">
        <is>
          <t>SÄFFLE</t>
        </is>
      </c>
      <c r="G5818" t="n">
        <v>2.8</v>
      </c>
      <c r="H5818" t="n">
        <v>0</v>
      </c>
      <c r="I5818" t="n">
        <v>0</v>
      </c>
      <c r="J5818" t="n">
        <v>0</v>
      </c>
      <c r="K5818" t="n">
        <v>0</v>
      </c>
      <c r="L5818" t="n">
        <v>0</v>
      </c>
      <c r="M5818" t="n">
        <v>0</v>
      </c>
      <c r="N5818" t="n">
        <v>0</v>
      </c>
      <c r="O5818" t="n">
        <v>0</v>
      </c>
      <c r="P5818" t="n">
        <v>0</v>
      </c>
      <c r="Q5818" t="n">
        <v>0</v>
      </c>
      <c r="R5818" s="2" t="inlineStr"/>
    </row>
    <row r="5819" ht="15" customHeight="1">
      <c r="A5819" t="inlineStr">
        <is>
          <t>A 67193-2021</t>
        </is>
      </c>
      <c r="B5819" s="1" t="n">
        <v>44523</v>
      </c>
      <c r="C5819" s="1" t="n">
        <v>45810</v>
      </c>
      <c r="D5819" t="inlineStr">
        <is>
          <t>VÄRMLANDS LÄN</t>
        </is>
      </c>
      <c r="E5819" t="inlineStr">
        <is>
          <t>SUNNE</t>
        </is>
      </c>
      <c r="G5819" t="n">
        <v>3.5</v>
      </c>
      <c r="H5819" t="n">
        <v>0</v>
      </c>
      <c r="I5819" t="n">
        <v>0</v>
      </c>
      <c r="J5819" t="n">
        <v>0</v>
      </c>
      <c r="K5819" t="n">
        <v>0</v>
      </c>
      <c r="L5819" t="n">
        <v>0</v>
      </c>
      <c r="M5819" t="n">
        <v>0</v>
      </c>
      <c r="N5819" t="n">
        <v>0</v>
      </c>
      <c r="O5819" t="n">
        <v>0</v>
      </c>
      <c r="P5819" t="n">
        <v>0</v>
      </c>
      <c r="Q5819" t="n">
        <v>0</v>
      </c>
      <c r="R5819" s="2" t="inlineStr"/>
    </row>
    <row r="5820" ht="15" customHeight="1">
      <c r="A5820" t="inlineStr">
        <is>
          <t>A 67203-2021</t>
        </is>
      </c>
      <c r="B5820" s="1" t="n">
        <v>44523</v>
      </c>
      <c r="C5820" s="1" t="n">
        <v>45810</v>
      </c>
      <c r="D5820" t="inlineStr">
        <is>
          <t>VÄRMLANDS LÄN</t>
        </is>
      </c>
      <c r="E5820" t="inlineStr">
        <is>
          <t>SÄFFLE</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67264-2021</t>
        </is>
      </c>
      <c r="B5821" s="1" t="n">
        <v>44523</v>
      </c>
      <c r="C5821" s="1" t="n">
        <v>45810</v>
      </c>
      <c r="D5821" t="inlineStr">
        <is>
          <t>VÄRMLANDS LÄN</t>
        </is>
      </c>
      <c r="E5821" t="inlineStr">
        <is>
          <t>EDA</t>
        </is>
      </c>
      <c r="G5821" t="n">
        <v>2.5</v>
      </c>
      <c r="H5821" t="n">
        <v>0</v>
      </c>
      <c r="I5821" t="n">
        <v>0</v>
      </c>
      <c r="J5821" t="n">
        <v>0</v>
      </c>
      <c r="K5821" t="n">
        <v>0</v>
      </c>
      <c r="L5821" t="n">
        <v>0</v>
      </c>
      <c r="M5821" t="n">
        <v>0</v>
      </c>
      <c r="N5821" t="n">
        <v>0</v>
      </c>
      <c r="O5821" t="n">
        <v>0</v>
      </c>
      <c r="P5821" t="n">
        <v>0</v>
      </c>
      <c r="Q5821" t="n">
        <v>0</v>
      </c>
      <c r="R5821" s="2" t="inlineStr"/>
    </row>
    <row r="5822" ht="15" customHeight="1">
      <c r="A5822" t="inlineStr">
        <is>
          <t>A 67172-2021</t>
        </is>
      </c>
      <c r="B5822" s="1" t="n">
        <v>44523</v>
      </c>
      <c r="C5822" s="1" t="n">
        <v>45810</v>
      </c>
      <c r="D5822" t="inlineStr">
        <is>
          <t>VÄRMLANDS LÄN</t>
        </is>
      </c>
      <c r="E5822" t="inlineStr">
        <is>
          <t>TORSBY</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67179-2021</t>
        </is>
      </c>
      <c r="B5823" s="1" t="n">
        <v>44523</v>
      </c>
      <c r="C5823" s="1" t="n">
        <v>45810</v>
      </c>
      <c r="D5823" t="inlineStr">
        <is>
          <t>VÄRMLANDS LÄN</t>
        </is>
      </c>
      <c r="E5823" t="inlineStr">
        <is>
          <t>FORSHAGA</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67198-2021</t>
        </is>
      </c>
      <c r="B5824" s="1" t="n">
        <v>44523</v>
      </c>
      <c r="C5824" s="1" t="n">
        <v>45810</v>
      </c>
      <c r="D5824" t="inlineStr">
        <is>
          <t>VÄRMLANDS LÄN</t>
        </is>
      </c>
      <c r="E5824" t="inlineStr">
        <is>
          <t>FORSHAGA</t>
        </is>
      </c>
      <c r="G5824" t="n">
        <v>4.8</v>
      </c>
      <c r="H5824" t="n">
        <v>0</v>
      </c>
      <c r="I5824" t="n">
        <v>0</v>
      </c>
      <c r="J5824" t="n">
        <v>0</v>
      </c>
      <c r="K5824" t="n">
        <v>0</v>
      </c>
      <c r="L5824" t="n">
        <v>0</v>
      </c>
      <c r="M5824" t="n">
        <v>0</v>
      </c>
      <c r="N5824" t="n">
        <v>0</v>
      </c>
      <c r="O5824" t="n">
        <v>0</v>
      </c>
      <c r="P5824" t="n">
        <v>0</v>
      </c>
      <c r="Q5824" t="n">
        <v>0</v>
      </c>
      <c r="R5824" s="2" t="inlineStr"/>
    </row>
    <row r="5825" ht="15" customHeight="1">
      <c r="A5825" t="inlineStr">
        <is>
          <t>A 67286-2021</t>
        </is>
      </c>
      <c r="B5825" s="1" t="n">
        <v>44523</v>
      </c>
      <c r="C5825" s="1" t="n">
        <v>45810</v>
      </c>
      <c r="D5825" t="inlineStr">
        <is>
          <t>VÄRMLANDS LÄN</t>
        </is>
      </c>
      <c r="E5825" t="inlineStr">
        <is>
          <t>SUNNE</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67270-2021</t>
        </is>
      </c>
      <c r="B5826" s="1" t="n">
        <v>44523</v>
      </c>
      <c r="C5826" s="1" t="n">
        <v>45810</v>
      </c>
      <c r="D5826" t="inlineStr">
        <is>
          <t>VÄRMLANDS LÄN</t>
        </is>
      </c>
      <c r="E5826" t="inlineStr">
        <is>
          <t>EDA</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67321-2021</t>
        </is>
      </c>
      <c r="B5827" s="1" t="n">
        <v>44523</v>
      </c>
      <c r="C5827" s="1" t="n">
        <v>45810</v>
      </c>
      <c r="D5827" t="inlineStr">
        <is>
          <t>VÄRMLANDS LÄN</t>
        </is>
      </c>
      <c r="E5827" t="inlineStr">
        <is>
          <t>FORSHAGA</t>
        </is>
      </c>
      <c r="G5827" t="n">
        <v>4.6</v>
      </c>
      <c r="H5827" t="n">
        <v>0</v>
      </c>
      <c r="I5827" t="n">
        <v>0</v>
      </c>
      <c r="J5827" t="n">
        <v>0</v>
      </c>
      <c r="K5827" t="n">
        <v>0</v>
      </c>
      <c r="L5827" t="n">
        <v>0</v>
      </c>
      <c r="M5827" t="n">
        <v>0</v>
      </c>
      <c r="N5827" t="n">
        <v>0</v>
      </c>
      <c r="O5827" t="n">
        <v>0</v>
      </c>
      <c r="P5827" t="n">
        <v>0</v>
      </c>
      <c r="Q5827" t="n">
        <v>0</v>
      </c>
      <c r="R5827" s="2" t="inlineStr"/>
    </row>
    <row r="5828" ht="15" customHeight="1">
      <c r="A5828" t="inlineStr">
        <is>
          <t>A 67567-2021</t>
        </is>
      </c>
      <c r="B5828" s="1" t="n">
        <v>44524</v>
      </c>
      <c r="C5828" s="1" t="n">
        <v>45810</v>
      </c>
      <c r="D5828" t="inlineStr">
        <is>
          <t>VÄRMLANDS LÄN</t>
        </is>
      </c>
      <c r="E5828" t="inlineStr">
        <is>
          <t>TORSBY</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67457-2021</t>
        </is>
      </c>
      <c r="B5829" s="1" t="n">
        <v>44524</v>
      </c>
      <c r="C5829" s="1" t="n">
        <v>45810</v>
      </c>
      <c r="D5829" t="inlineStr">
        <is>
          <t>VÄRMLANDS LÄN</t>
        </is>
      </c>
      <c r="E5829" t="inlineStr">
        <is>
          <t>TORSBY</t>
        </is>
      </c>
      <c r="G5829" t="n">
        <v>7.6</v>
      </c>
      <c r="H5829" t="n">
        <v>0</v>
      </c>
      <c r="I5829" t="n">
        <v>0</v>
      </c>
      <c r="J5829" t="n">
        <v>0</v>
      </c>
      <c r="K5829" t="n">
        <v>0</v>
      </c>
      <c r="L5829" t="n">
        <v>0</v>
      </c>
      <c r="M5829" t="n">
        <v>0</v>
      </c>
      <c r="N5829" t="n">
        <v>0</v>
      </c>
      <c r="O5829" t="n">
        <v>0</v>
      </c>
      <c r="P5829" t="n">
        <v>0</v>
      </c>
      <c r="Q5829" t="n">
        <v>0</v>
      </c>
      <c r="R5829" s="2" t="inlineStr"/>
    </row>
    <row r="5830" ht="15" customHeight="1">
      <c r="A5830" t="inlineStr">
        <is>
          <t>A 67561-2021</t>
        </is>
      </c>
      <c r="B5830" s="1" t="n">
        <v>44524</v>
      </c>
      <c r="C5830" s="1" t="n">
        <v>45810</v>
      </c>
      <c r="D5830" t="inlineStr">
        <is>
          <t>VÄRMLANDS LÄN</t>
        </is>
      </c>
      <c r="E5830" t="inlineStr">
        <is>
          <t>SÄFFLE</t>
        </is>
      </c>
      <c r="G5830" t="n">
        <v>2.8</v>
      </c>
      <c r="H5830" t="n">
        <v>0</v>
      </c>
      <c r="I5830" t="n">
        <v>0</v>
      </c>
      <c r="J5830" t="n">
        <v>0</v>
      </c>
      <c r="K5830" t="n">
        <v>0</v>
      </c>
      <c r="L5830" t="n">
        <v>0</v>
      </c>
      <c r="M5830" t="n">
        <v>0</v>
      </c>
      <c r="N5830" t="n">
        <v>0</v>
      </c>
      <c r="O5830" t="n">
        <v>0</v>
      </c>
      <c r="P5830" t="n">
        <v>0</v>
      </c>
      <c r="Q5830" t="n">
        <v>0</v>
      </c>
      <c r="R5830" s="2" t="inlineStr"/>
    </row>
    <row r="5831" ht="15" customHeight="1">
      <c r="A5831" t="inlineStr">
        <is>
          <t>A 67445-2021</t>
        </is>
      </c>
      <c r="B5831" s="1" t="n">
        <v>44524</v>
      </c>
      <c r="C5831" s="1" t="n">
        <v>45810</v>
      </c>
      <c r="D5831" t="inlineStr">
        <is>
          <t>VÄRMLANDS LÄN</t>
        </is>
      </c>
      <c r="E5831" t="inlineStr">
        <is>
          <t>FILIPSTAD</t>
        </is>
      </c>
      <c r="G5831" t="n">
        <v>4</v>
      </c>
      <c r="H5831" t="n">
        <v>0</v>
      </c>
      <c r="I5831" t="n">
        <v>0</v>
      </c>
      <c r="J5831" t="n">
        <v>0</v>
      </c>
      <c r="K5831" t="n">
        <v>0</v>
      </c>
      <c r="L5831" t="n">
        <v>0</v>
      </c>
      <c r="M5831" t="n">
        <v>0</v>
      </c>
      <c r="N5831" t="n">
        <v>0</v>
      </c>
      <c r="O5831" t="n">
        <v>0</v>
      </c>
      <c r="P5831" t="n">
        <v>0</v>
      </c>
      <c r="Q5831" t="n">
        <v>0</v>
      </c>
      <c r="R5831" s="2" t="inlineStr"/>
    </row>
    <row r="5832" ht="15" customHeight="1">
      <c r="A5832" t="inlineStr">
        <is>
          <t>A 67633-2021</t>
        </is>
      </c>
      <c r="B5832" s="1" t="n">
        <v>44524</v>
      </c>
      <c r="C5832" s="1" t="n">
        <v>45810</v>
      </c>
      <c r="D5832" t="inlineStr">
        <is>
          <t>VÄRMLANDS LÄN</t>
        </is>
      </c>
      <c r="E5832" t="inlineStr">
        <is>
          <t>FORSHAGA</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67654-2021</t>
        </is>
      </c>
      <c r="B5833" s="1" t="n">
        <v>44524</v>
      </c>
      <c r="C5833" s="1" t="n">
        <v>45810</v>
      </c>
      <c r="D5833" t="inlineStr">
        <is>
          <t>VÄRMLANDS LÄN</t>
        </is>
      </c>
      <c r="E5833" t="inlineStr">
        <is>
          <t>ARVIKA</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67617-2021</t>
        </is>
      </c>
      <c r="B5834" s="1" t="n">
        <v>44524</v>
      </c>
      <c r="C5834" s="1" t="n">
        <v>45810</v>
      </c>
      <c r="D5834" t="inlineStr">
        <is>
          <t>VÄRMLANDS LÄN</t>
        </is>
      </c>
      <c r="E5834" t="inlineStr">
        <is>
          <t>FORSHAGA</t>
        </is>
      </c>
      <c r="G5834" t="n">
        <v>6.5</v>
      </c>
      <c r="H5834" t="n">
        <v>0</v>
      </c>
      <c r="I5834" t="n">
        <v>0</v>
      </c>
      <c r="J5834" t="n">
        <v>0</v>
      </c>
      <c r="K5834" t="n">
        <v>0</v>
      </c>
      <c r="L5834" t="n">
        <v>0</v>
      </c>
      <c r="M5834" t="n">
        <v>0</v>
      </c>
      <c r="N5834" t="n">
        <v>0</v>
      </c>
      <c r="O5834" t="n">
        <v>0</v>
      </c>
      <c r="P5834" t="n">
        <v>0</v>
      </c>
      <c r="Q5834" t="n">
        <v>0</v>
      </c>
      <c r="R5834" s="2" t="inlineStr"/>
    </row>
    <row r="5835" ht="15" customHeight="1">
      <c r="A5835" t="inlineStr">
        <is>
          <t>A 67770-2021</t>
        </is>
      </c>
      <c r="B5835" s="1" t="n">
        <v>44524</v>
      </c>
      <c r="C5835" s="1" t="n">
        <v>45810</v>
      </c>
      <c r="D5835" t="inlineStr">
        <is>
          <t>VÄRMLANDS LÄN</t>
        </is>
      </c>
      <c r="E5835" t="inlineStr">
        <is>
          <t>FORSHAGA</t>
        </is>
      </c>
      <c r="G5835" t="n">
        <v>4.5</v>
      </c>
      <c r="H5835" t="n">
        <v>0</v>
      </c>
      <c r="I5835" t="n">
        <v>0</v>
      </c>
      <c r="J5835" t="n">
        <v>0</v>
      </c>
      <c r="K5835" t="n">
        <v>0</v>
      </c>
      <c r="L5835" t="n">
        <v>0</v>
      </c>
      <c r="M5835" t="n">
        <v>0</v>
      </c>
      <c r="N5835" t="n">
        <v>0</v>
      </c>
      <c r="O5835" t="n">
        <v>0</v>
      </c>
      <c r="P5835" t="n">
        <v>0</v>
      </c>
      <c r="Q5835" t="n">
        <v>0</v>
      </c>
      <c r="R5835" s="2" t="inlineStr"/>
    </row>
    <row r="5836" ht="15" customHeight="1">
      <c r="A5836" t="inlineStr">
        <is>
          <t>A 67734-2021</t>
        </is>
      </c>
      <c r="B5836" s="1" t="n">
        <v>44525</v>
      </c>
      <c r="C5836" s="1" t="n">
        <v>45810</v>
      </c>
      <c r="D5836" t="inlineStr">
        <is>
          <t>VÄRMLANDS LÄN</t>
        </is>
      </c>
      <c r="E5836" t="inlineStr">
        <is>
          <t>FILIPSTAD</t>
        </is>
      </c>
      <c r="F5836" t="inlineStr">
        <is>
          <t>Bergvik skog väst AB</t>
        </is>
      </c>
      <c r="G5836" t="n">
        <v>2.3</v>
      </c>
      <c r="H5836" t="n">
        <v>0</v>
      </c>
      <c r="I5836" t="n">
        <v>0</v>
      </c>
      <c r="J5836" t="n">
        <v>0</v>
      </c>
      <c r="K5836" t="n">
        <v>0</v>
      </c>
      <c r="L5836" t="n">
        <v>0</v>
      </c>
      <c r="M5836" t="n">
        <v>0</v>
      </c>
      <c r="N5836" t="n">
        <v>0</v>
      </c>
      <c r="O5836" t="n">
        <v>0</v>
      </c>
      <c r="P5836" t="n">
        <v>0</v>
      </c>
      <c r="Q5836" t="n">
        <v>0</v>
      </c>
      <c r="R5836" s="2" t="inlineStr"/>
    </row>
    <row r="5837" ht="15" customHeight="1">
      <c r="A5837" t="inlineStr">
        <is>
          <t>A 67811-2021</t>
        </is>
      </c>
      <c r="B5837" s="1" t="n">
        <v>44525</v>
      </c>
      <c r="C5837" s="1" t="n">
        <v>45810</v>
      </c>
      <c r="D5837" t="inlineStr">
        <is>
          <t>VÄRMLANDS LÄN</t>
        </is>
      </c>
      <c r="E5837" t="inlineStr">
        <is>
          <t>ARVIKA</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67818-2021</t>
        </is>
      </c>
      <c r="B5838" s="1" t="n">
        <v>44525</v>
      </c>
      <c r="C5838" s="1" t="n">
        <v>45810</v>
      </c>
      <c r="D5838" t="inlineStr">
        <is>
          <t>VÄRMLANDS LÄN</t>
        </is>
      </c>
      <c r="E5838" t="inlineStr">
        <is>
          <t>SUNNE</t>
        </is>
      </c>
      <c r="G5838" t="n">
        <v>8.699999999999999</v>
      </c>
      <c r="H5838" t="n">
        <v>0</v>
      </c>
      <c r="I5838" t="n">
        <v>0</v>
      </c>
      <c r="J5838" t="n">
        <v>0</v>
      </c>
      <c r="K5838" t="n">
        <v>0</v>
      </c>
      <c r="L5838" t="n">
        <v>0</v>
      </c>
      <c r="M5838" t="n">
        <v>0</v>
      </c>
      <c r="N5838" t="n">
        <v>0</v>
      </c>
      <c r="O5838" t="n">
        <v>0</v>
      </c>
      <c r="P5838" t="n">
        <v>0</v>
      </c>
      <c r="Q5838" t="n">
        <v>0</v>
      </c>
      <c r="R5838" s="2" t="inlineStr"/>
    </row>
    <row r="5839" ht="15" customHeight="1">
      <c r="A5839" t="inlineStr">
        <is>
          <t>A 67933-2021</t>
        </is>
      </c>
      <c r="B5839" s="1" t="n">
        <v>44525</v>
      </c>
      <c r="C5839" s="1" t="n">
        <v>45810</v>
      </c>
      <c r="D5839" t="inlineStr">
        <is>
          <t>VÄRMLANDS LÄN</t>
        </is>
      </c>
      <c r="E5839" t="inlineStr">
        <is>
          <t>TORSBY</t>
        </is>
      </c>
      <c r="F5839" t="inlineStr">
        <is>
          <t>Bergvik skog väst AB</t>
        </is>
      </c>
      <c r="G5839" t="n">
        <v>4</v>
      </c>
      <c r="H5839" t="n">
        <v>0</v>
      </c>
      <c r="I5839" t="n">
        <v>0</v>
      </c>
      <c r="J5839" t="n">
        <v>0</v>
      </c>
      <c r="K5839" t="n">
        <v>0</v>
      </c>
      <c r="L5839" t="n">
        <v>0</v>
      </c>
      <c r="M5839" t="n">
        <v>0</v>
      </c>
      <c r="N5839" t="n">
        <v>0</v>
      </c>
      <c r="O5839" t="n">
        <v>0</v>
      </c>
      <c r="P5839" t="n">
        <v>0</v>
      </c>
      <c r="Q5839" t="n">
        <v>0</v>
      </c>
      <c r="R5839" s="2" t="inlineStr"/>
    </row>
    <row r="5840" ht="15" customHeight="1">
      <c r="A5840" t="inlineStr">
        <is>
          <t>A 68002-2021</t>
        </is>
      </c>
      <c r="B5840" s="1" t="n">
        <v>44525</v>
      </c>
      <c r="C5840" s="1" t="n">
        <v>45810</v>
      </c>
      <c r="D5840" t="inlineStr">
        <is>
          <t>VÄRMLANDS LÄN</t>
        </is>
      </c>
      <c r="E5840" t="inlineStr">
        <is>
          <t>SUNNE</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67913-2021</t>
        </is>
      </c>
      <c r="B5841" s="1" t="n">
        <v>44525</v>
      </c>
      <c r="C5841" s="1" t="n">
        <v>45810</v>
      </c>
      <c r="D5841" t="inlineStr">
        <is>
          <t>VÄRMLANDS LÄN</t>
        </is>
      </c>
      <c r="E5841" t="inlineStr">
        <is>
          <t>TORSBY</t>
        </is>
      </c>
      <c r="F5841" t="inlineStr">
        <is>
          <t>Bergvik skog väst AB</t>
        </is>
      </c>
      <c r="G5841" t="n">
        <v>8</v>
      </c>
      <c r="H5841" t="n">
        <v>0</v>
      </c>
      <c r="I5841" t="n">
        <v>0</v>
      </c>
      <c r="J5841" t="n">
        <v>0</v>
      </c>
      <c r="K5841" t="n">
        <v>0</v>
      </c>
      <c r="L5841" t="n">
        <v>0</v>
      </c>
      <c r="M5841" t="n">
        <v>0</v>
      </c>
      <c r="N5841" t="n">
        <v>0</v>
      </c>
      <c r="O5841" t="n">
        <v>0</v>
      </c>
      <c r="P5841" t="n">
        <v>0</v>
      </c>
      <c r="Q5841" t="n">
        <v>0</v>
      </c>
      <c r="R5841" s="2" t="inlineStr"/>
    </row>
    <row r="5842" ht="15" customHeight="1">
      <c r="A5842" t="inlineStr">
        <is>
          <t>A 68011-2021</t>
        </is>
      </c>
      <c r="B5842" s="1" t="n">
        <v>44525</v>
      </c>
      <c r="C5842" s="1" t="n">
        <v>45810</v>
      </c>
      <c r="D5842" t="inlineStr">
        <is>
          <t>VÄRMLANDS LÄN</t>
        </is>
      </c>
      <c r="E5842" t="inlineStr">
        <is>
          <t>KARLSTAD</t>
        </is>
      </c>
      <c r="G5842" t="n">
        <v>6.2</v>
      </c>
      <c r="H5842" t="n">
        <v>0</v>
      </c>
      <c r="I5842" t="n">
        <v>0</v>
      </c>
      <c r="J5842" t="n">
        <v>0</v>
      </c>
      <c r="K5842" t="n">
        <v>0</v>
      </c>
      <c r="L5842" t="n">
        <v>0</v>
      </c>
      <c r="M5842" t="n">
        <v>0</v>
      </c>
      <c r="N5842" t="n">
        <v>0</v>
      </c>
      <c r="O5842" t="n">
        <v>0</v>
      </c>
      <c r="P5842" t="n">
        <v>0</v>
      </c>
      <c r="Q5842" t="n">
        <v>0</v>
      </c>
      <c r="R5842" s="2" t="inlineStr"/>
    </row>
    <row r="5843" ht="15" customHeight="1">
      <c r="A5843" t="inlineStr">
        <is>
          <t>A 68505-2021</t>
        </is>
      </c>
      <c r="B5843" s="1" t="n">
        <v>44525</v>
      </c>
      <c r="C5843" s="1" t="n">
        <v>45810</v>
      </c>
      <c r="D5843" t="inlineStr">
        <is>
          <t>VÄRMLANDS LÄN</t>
        </is>
      </c>
      <c r="E5843" t="inlineStr">
        <is>
          <t>KRISTINEHAMN</t>
        </is>
      </c>
      <c r="G5843" t="n">
        <v>2.9</v>
      </c>
      <c r="H5843" t="n">
        <v>0</v>
      </c>
      <c r="I5843" t="n">
        <v>0</v>
      </c>
      <c r="J5843" t="n">
        <v>0</v>
      </c>
      <c r="K5843" t="n">
        <v>0</v>
      </c>
      <c r="L5843" t="n">
        <v>0</v>
      </c>
      <c r="M5843" t="n">
        <v>0</v>
      </c>
      <c r="N5843" t="n">
        <v>0</v>
      </c>
      <c r="O5843" t="n">
        <v>0</v>
      </c>
      <c r="P5843" t="n">
        <v>0</v>
      </c>
      <c r="Q5843" t="n">
        <v>0</v>
      </c>
      <c r="R5843" s="2" t="inlineStr"/>
    </row>
    <row r="5844" ht="15" customHeight="1">
      <c r="A5844" t="inlineStr">
        <is>
          <t>A 68000-2021</t>
        </is>
      </c>
      <c r="B5844" s="1" t="n">
        <v>44525</v>
      </c>
      <c r="C5844" s="1" t="n">
        <v>45810</v>
      </c>
      <c r="D5844" t="inlineStr">
        <is>
          <t>VÄRMLANDS LÄN</t>
        </is>
      </c>
      <c r="E5844" t="inlineStr">
        <is>
          <t>SUNNE</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68014-2021</t>
        </is>
      </c>
      <c r="B5845" s="1" t="n">
        <v>44525</v>
      </c>
      <c r="C5845" s="1" t="n">
        <v>45810</v>
      </c>
      <c r="D5845" t="inlineStr">
        <is>
          <t>VÄRMLANDS LÄN</t>
        </is>
      </c>
      <c r="E5845" t="inlineStr">
        <is>
          <t>SUNNE</t>
        </is>
      </c>
      <c r="G5845" t="n">
        <v>2.7</v>
      </c>
      <c r="H5845" t="n">
        <v>0</v>
      </c>
      <c r="I5845" t="n">
        <v>0</v>
      </c>
      <c r="J5845" t="n">
        <v>0</v>
      </c>
      <c r="K5845" t="n">
        <v>0</v>
      </c>
      <c r="L5845" t="n">
        <v>0</v>
      </c>
      <c r="M5845" t="n">
        <v>0</v>
      </c>
      <c r="N5845" t="n">
        <v>0</v>
      </c>
      <c r="O5845" t="n">
        <v>0</v>
      </c>
      <c r="P5845" t="n">
        <v>0</v>
      </c>
      <c r="Q5845" t="n">
        <v>0</v>
      </c>
      <c r="R5845" s="2" t="inlineStr"/>
    </row>
    <row r="5846" ht="15" customHeight="1">
      <c r="A5846" t="inlineStr">
        <is>
          <t>A 68497-2021</t>
        </is>
      </c>
      <c r="B5846" s="1" t="n">
        <v>44525</v>
      </c>
      <c r="C5846" s="1" t="n">
        <v>45810</v>
      </c>
      <c r="D5846" t="inlineStr">
        <is>
          <t>VÄRMLANDS LÄN</t>
        </is>
      </c>
      <c r="E5846" t="inlineStr">
        <is>
          <t>KRISTINEHAMN</t>
        </is>
      </c>
      <c r="G5846" t="n">
        <v>2</v>
      </c>
      <c r="H5846" t="n">
        <v>0</v>
      </c>
      <c r="I5846" t="n">
        <v>0</v>
      </c>
      <c r="J5846" t="n">
        <v>0</v>
      </c>
      <c r="K5846" t="n">
        <v>0</v>
      </c>
      <c r="L5846" t="n">
        <v>0</v>
      </c>
      <c r="M5846" t="n">
        <v>0</v>
      </c>
      <c r="N5846" t="n">
        <v>0</v>
      </c>
      <c r="O5846" t="n">
        <v>0</v>
      </c>
      <c r="P5846" t="n">
        <v>0</v>
      </c>
      <c r="Q5846" t="n">
        <v>0</v>
      </c>
      <c r="R5846" s="2" t="inlineStr"/>
    </row>
    <row r="5847" ht="15" customHeight="1">
      <c r="A5847" t="inlineStr">
        <is>
          <t>A 68180-2021</t>
        </is>
      </c>
      <c r="B5847" s="1" t="n">
        <v>44526</v>
      </c>
      <c r="C5847" s="1" t="n">
        <v>45810</v>
      </c>
      <c r="D5847" t="inlineStr">
        <is>
          <t>VÄRMLANDS LÄN</t>
        </is>
      </c>
      <c r="E5847" t="inlineStr">
        <is>
          <t>ÅRJÄNG</t>
        </is>
      </c>
      <c r="F5847" t="inlineStr">
        <is>
          <t>Kyrkan</t>
        </is>
      </c>
      <c r="G5847" t="n">
        <v>4.1</v>
      </c>
      <c r="H5847" t="n">
        <v>0</v>
      </c>
      <c r="I5847" t="n">
        <v>0</v>
      </c>
      <c r="J5847" t="n">
        <v>0</v>
      </c>
      <c r="K5847" t="n">
        <v>0</v>
      </c>
      <c r="L5847" t="n">
        <v>0</v>
      </c>
      <c r="M5847" t="n">
        <v>0</v>
      </c>
      <c r="N5847" t="n">
        <v>0</v>
      </c>
      <c r="O5847" t="n">
        <v>0</v>
      </c>
      <c r="P5847" t="n">
        <v>0</v>
      </c>
      <c r="Q5847" t="n">
        <v>0</v>
      </c>
      <c r="R5847" s="2" t="inlineStr"/>
    </row>
    <row r="5848" ht="15" customHeight="1">
      <c r="A5848" t="inlineStr">
        <is>
          <t>A 69279-2021</t>
        </is>
      </c>
      <c r="B5848" s="1" t="n">
        <v>44526</v>
      </c>
      <c r="C5848" s="1" t="n">
        <v>45810</v>
      </c>
      <c r="D5848" t="inlineStr">
        <is>
          <t>VÄRMLANDS LÄN</t>
        </is>
      </c>
      <c r="E5848" t="inlineStr">
        <is>
          <t>TORSBY</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68530-2021</t>
        </is>
      </c>
      <c r="B5849" s="1" t="n">
        <v>44526</v>
      </c>
      <c r="C5849" s="1" t="n">
        <v>45810</v>
      </c>
      <c r="D5849" t="inlineStr">
        <is>
          <t>VÄRMLANDS LÄN</t>
        </is>
      </c>
      <c r="E5849" t="inlineStr">
        <is>
          <t>KRISTINEHAMN</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69265-2021</t>
        </is>
      </c>
      <c r="B5850" s="1" t="n">
        <v>44526</v>
      </c>
      <c r="C5850" s="1" t="n">
        <v>45810</v>
      </c>
      <c r="D5850" t="inlineStr">
        <is>
          <t>VÄRMLANDS LÄN</t>
        </is>
      </c>
      <c r="E5850" t="inlineStr">
        <is>
          <t>TORSBY</t>
        </is>
      </c>
      <c r="G5850" t="n">
        <v>11.1</v>
      </c>
      <c r="H5850" t="n">
        <v>0</v>
      </c>
      <c r="I5850" t="n">
        <v>0</v>
      </c>
      <c r="J5850" t="n">
        <v>0</v>
      </c>
      <c r="K5850" t="n">
        <v>0</v>
      </c>
      <c r="L5850" t="n">
        <v>0</v>
      </c>
      <c r="M5850" t="n">
        <v>0</v>
      </c>
      <c r="N5850" t="n">
        <v>0</v>
      </c>
      <c r="O5850" t="n">
        <v>0</v>
      </c>
      <c r="P5850" t="n">
        <v>0</v>
      </c>
      <c r="Q5850" t="n">
        <v>0</v>
      </c>
      <c r="R5850" s="2" t="inlineStr"/>
    </row>
    <row r="5851" ht="15" customHeight="1">
      <c r="A5851" t="inlineStr">
        <is>
          <t>A 68209-2021</t>
        </is>
      </c>
      <c r="B5851" s="1" t="n">
        <v>44526</v>
      </c>
      <c r="C5851" s="1" t="n">
        <v>45810</v>
      </c>
      <c r="D5851" t="inlineStr">
        <is>
          <t>VÄRMLANDS LÄN</t>
        </is>
      </c>
      <c r="E5851" t="inlineStr">
        <is>
          <t>SUNNE</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69275-2021</t>
        </is>
      </c>
      <c r="B5852" s="1" t="n">
        <v>44526</v>
      </c>
      <c r="C5852" s="1" t="n">
        <v>45810</v>
      </c>
      <c r="D5852" t="inlineStr">
        <is>
          <t>VÄRMLANDS LÄN</t>
        </is>
      </c>
      <c r="E5852" t="inlineStr">
        <is>
          <t>TORSBY</t>
        </is>
      </c>
      <c r="G5852" t="n">
        <v>2</v>
      </c>
      <c r="H5852" t="n">
        <v>0</v>
      </c>
      <c r="I5852" t="n">
        <v>0</v>
      </c>
      <c r="J5852" t="n">
        <v>0</v>
      </c>
      <c r="K5852" t="n">
        <v>0</v>
      </c>
      <c r="L5852" t="n">
        <v>0</v>
      </c>
      <c r="M5852" t="n">
        <v>0</v>
      </c>
      <c r="N5852" t="n">
        <v>0</v>
      </c>
      <c r="O5852" t="n">
        <v>0</v>
      </c>
      <c r="P5852" t="n">
        <v>0</v>
      </c>
      <c r="Q5852" t="n">
        <v>0</v>
      </c>
      <c r="R5852" s="2" t="inlineStr"/>
    </row>
    <row r="5853" ht="15" customHeight="1">
      <c r="A5853" t="inlineStr">
        <is>
          <t>A 68153-2021</t>
        </is>
      </c>
      <c r="B5853" s="1" t="n">
        <v>44526</v>
      </c>
      <c r="C5853" s="1" t="n">
        <v>45810</v>
      </c>
      <c r="D5853" t="inlineStr">
        <is>
          <t>VÄRMLANDS LÄN</t>
        </is>
      </c>
      <c r="E5853" t="inlineStr">
        <is>
          <t>TORSBY</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68252-2021</t>
        </is>
      </c>
      <c r="B5854" s="1" t="n">
        <v>44526</v>
      </c>
      <c r="C5854" s="1" t="n">
        <v>45810</v>
      </c>
      <c r="D5854" t="inlineStr">
        <is>
          <t>VÄRMLANDS LÄN</t>
        </is>
      </c>
      <c r="E5854" t="inlineStr">
        <is>
          <t>HAGFORS</t>
        </is>
      </c>
      <c r="F5854" t="inlineStr">
        <is>
          <t>Bergvik skog väst AB</t>
        </is>
      </c>
      <c r="G5854" t="n">
        <v>5.8</v>
      </c>
      <c r="H5854" t="n">
        <v>0</v>
      </c>
      <c r="I5854" t="n">
        <v>0</v>
      </c>
      <c r="J5854" t="n">
        <v>0</v>
      </c>
      <c r="K5854" t="n">
        <v>0</v>
      </c>
      <c r="L5854" t="n">
        <v>0</v>
      </c>
      <c r="M5854" t="n">
        <v>0</v>
      </c>
      <c r="N5854" t="n">
        <v>0</v>
      </c>
      <c r="O5854" t="n">
        <v>0</v>
      </c>
      <c r="P5854" t="n">
        <v>0</v>
      </c>
      <c r="Q5854" t="n">
        <v>0</v>
      </c>
      <c r="R5854" s="2" t="inlineStr"/>
    </row>
    <row r="5855" ht="15" customHeight="1">
      <c r="A5855" t="inlineStr">
        <is>
          <t>A 68526-2021</t>
        </is>
      </c>
      <c r="B5855" s="1" t="n">
        <v>44526</v>
      </c>
      <c r="C5855" s="1" t="n">
        <v>45810</v>
      </c>
      <c r="D5855" t="inlineStr">
        <is>
          <t>VÄRMLANDS LÄN</t>
        </is>
      </c>
      <c r="E5855" t="inlineStr">
        <is>
          <t>KRISTINEHAMN</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69281-2021</t>
        </is>
      </c>
      <c r="B5856" s="1" t="n">
        <v>44526</v>
      </c>
      <c r="C5856" s="1" t="n">
        <v>45810</v>
      </c>
      <c r="D5856" t="inlineStr">
        <is>
          <t>VÄRMLANDS LÄN</t>
        </is>
      </c>
      <c r="E5856" t="inlineStr">
        <is>
          <t>TORSBY</t>
        </is>
      </c>
      <c r="G5856" t="n">
        <v>7.5</v>
      </c>
      <c r="H5856" t="n">
        <v>0</v>
      </c>
      <c r="I5856" t="n">
        <v>0</v>
      </c>
      <c r="J5856" t="n">
        <v>0</v>
      </c>
      <c r="K5856" t="n">
        <v>0</v>
      </c>
      <c r="L5856" t="n">
        <v>0</v>
      </c>
      <c r="M5856" t="n">
        <v>0</v>
      </c>
      <c r="N5856" t="n">
        <v>0</v>
      </c>
      <c r="O5856" t="n">
        <v>0</v>
      </c>
      <c r="P5856" t="n">
        <v>0</v>
      </c>
      <c r="Q5856" t="n">
        <v>0</v>
      </c>
      <c r="R5856" s="2" t="inlineStr"/>
    </row>
    <row r="5857" ht="15" customHeight="1">
      <c r="A5857" t="inlineStr">
        <is>
          <t>A 68148-2021</t>
        </is>
      </c>
      <c r="B5857" s="1" t="n">
        <v>44526</v>
      </c>
      <c r="C5857" s="1" t="n">
        <v>45810</v>
      </c>
      <c r="D5857" t="inlineStr">
        <is>
          <t>VÄRMLANDS LÄN</t>
        </is>
      </c>
      <c r="E5857" t="inlineStr">
        <is>
          <t>HAGFORS</t>
        </is>
      </c>
      <c r="F5857" t="inlineStr">
        <is>
          <t>Bergvik skog väst AB</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68155-2021</t>
        </is>
      </c>
      <c r="B5858" s="1" t="n">
        <v>44526</v>
      </c>
      <c r="C5858" s="1" t="n">
        <v>45810</v>
      </c>
      <c r="D5858" t="inlineStr">
        <is>
          <t>VÄRMLANDS LÄN</t>
        </is>
      </c>
      <c r="E5858" t="inlineStr">
        <is>
          <t>SÄFFLE</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68266-2021</t>
        </is>
      </c>
      <c r="B5859" s="1" t="n">
        <v>44526</v>
      </c>
      <c r="C5859" s="1" t="n">
        <v>45810</v>
      </c>
      <c r="D5859" t="inlineStr">
        <is>
          <t>VÄRMLANDS LÄN</t>
        </is>
      </c>
      <c r="E5859" t="inlineStr">
        <is>
          <t>TORSBY</t>
        </is>
      </c>
      <c r="G5859" t="n">
        <v>1.3</v>
      </c>
      <c r="H5859" t="n">
        <v>0</v>
      </c>
      <c r="I5859" t="n">
        <v>0</v>
      </c>
      <c r="J5859" t="n">
        <v>0</v>
      </c>
      <c r="K5859" t="n">
        <v>0</v>
      </c>
      <c r="L5859" t="n">
        <v>0</v>
      </c>
      <c r="M5859" t="n">
        <v>0</v>
      </c>
      <c r="N5859" t="n">
        <v>0</v>
      </c>
      <c r="O5859" t="n">
        <v>0</v>
      </c>
      <c r="P5859" t="n">
        <v>0</v>
      </c>
      <c r="Q5859" t="n">
        <v>0</v>
      </c>
      <c r="R5859" s="2" t="inlineStr"/>
    </row>
    <row r="5860" ht="15" customHeight="1">
      <c r="A5860" t="inlineStr">
        <is>
          <t>A 68136-2021</t>
        </is>
      </c>
      <c r="B5860" s="1" t="n">
        <v>44526</v>
      </c>
      <c r="C5860" s="1" t="n">
        <v>45810</v>
      </c>
      <c r="D5860" t="inlineStr">
        <is>
          <t>VÄRMLANDS LÄN</t>
        </is>
      </c>
      <c r="E5860" t="inlineStr">
        <is>
          <t>TORSBY</t>
        </is>
      </c>
      <c r="G5860" t="n">
        <v>2.9</v>
      </c>
      <c r="H5860" t="n">
        <v>0</v>
      </c>
      <c r="I5860" t="n">
        <v>0</v>
      </c>
      <c r="J5860" t="n">
        <v>0</v>
      </c>
      <c r="K5860" t="n">
        <v>0</v>
      </c>
      <c r="L5860" t="n">
        <v>0</v>
      </c>
      <c r="M5860" t="n">
        <v>0</v>
      </c>
      <c r="N5860" t="n">
        <v>0</v>
      </c>
      <c r="O5860" t="n">
        <v>0</v>
      </c>
      <c r="P5860" t="n">
        <v>0</v>
      </c>
      <c r="Q5860" t="n">
        <v>0</v>
      </c>
      <c r="R5860" s="2" t="inlineStr"/>
    </row>
    <row r="5861" ht="15" customHeight="1">
      <c r="A5861" t="inlineStr">
        <is>
          <t>A 68328-2021</t>
        </is>
      </c>
      <c r="B5861" s="1" t="n">
        <v>44527</v>
      </c>
      <c r="C5861" s="1" t="n">
        <v>45810</v>
      </c>
      <c r="D5861" t="inlineStr">
        <is>
          <t>VÄRMLANDS LÄN</t>
        </is>
      </c>
      <c r="E5861" t="inlineStr">
        <is>
          <t>ÅRJÄNG</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68349-2021</t>
        </is>
      </c>
      <c r="B5862" s="1" t="n">
        <v>44528</v>
      </c>
      <c r="C5862" s="1" t="n">
        <v>45810</v>
      </c>
      <c r="D5862" t="inlineStr">
        <is>
          <t>VÄRMLANDS LÄN</t>
        </is>
      </c>
      <c r="E5862" t="inlineStr">
        <is>
          <t>SÄFFLE</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68374-2021</t>
        </is>
      </c>
      <c r="B5863" s="1" t="n">
        <v>44529</v>
      </c>
      <c r="C5863" s="1" t="n">
        <v>45810</v>
      </c>
      <c r="D5863" t="inlineStr">
        <is>
          <t>VÄRMLANDS LÄN</t>
        </is>
      </c>
      <c r="E5863" t="inlineStr">
        <is>
          <t>HAGFORS</t>
        </is>
      </c>
      <c r="F5863" t="inlineStr">
        <is>
          <t>Bergvik skog väst AB</t>
        </is>
      </c>
      <c r="G5863" t="n">
        <v>10.9</v>
      </c>
      <c r="H5863" t="n">
        <v>0</v>
      </c>
      <c r="I5863" t="n">
        <v>0</v>
      </c>
      <c r="J5863" t="n">
        <v>0</v>
      </c>
      <c r="K5863" t="n">
        <v>0</v>
      </c>
      <c r="L5863" t="n">
        <v>0</v>
      </c>
      <c r="M5863" t="n">
        <v>0</v>
      </c>
      <c r="N5863" t="n">
        <v>0</v>
      </c>
      <c r="O5863" t="n">
        <v>0</v>
      </c>
      <c r="P5863" t="n">
        <v>0</v>
      </c>
      <c r="Q5863" t="n">
        <v>0</v>
      </c>
      <c r="R5863" s="2" t="inlineStr"/>
    </row>
    <row r="5864" ht="15" customHeight="1">
      <c r="A5864" t="inlineStr">
        <is>
          <t>A 68650-2021</t>
        </is>
      </c>
      <c r="B5864" s="1" t="n">
        <v>44529</v>
      </c>
      <c r="C5864" s="1" t="n">
        <v>45810</v>
      </c>
      <c r="D5864" t="inlineStr">
        <is>
          <t>VÄRMLANDS LÄN</t>
        </is>
      </c>
      <c r="E5864" t="inlineStr">
        <is>
          <t>TORSBY</t>
        </is>
      </c>
      <c r="F5864" t="inlineStr">
        <is>
          <t>Bergvik skog väst AB</t>
        </is>
      </c>
      <c r="G5864" t="n">
        <v>8.6</v>
      </c>
      <c r="H5864" t="n">
        <v>0</v>
      </c>
      <c r="I5864" t="n">
        <v>0</v>
      </c>
      <c r="J5864" t="n">
        <v>0</v>
      </c>
      <c r="K5864" t="n">
        <v>0</v>
      </c>
      <c r="L5864" t="n">
        <v>0</v>
      </c>
      <c r="M5864" t="n">
        <v>0</v>
      </c>
      <c r="N5864" t="n">
        <v>0</v>
      </c>
      <c r="O5864" t="n">
        <v>0</v>
      </c>
      <c r="P5864" t="n">
        <v>0</v>
      </c>
      <c r="Q5864" t="n">
        <v>0</v>
      </c>
      <c r="R5864" s="2" t="inlineStr"/>
    </row>
    <row r="5865" ht="15" customHeight="1">
      <c r="A5865" t="inlineStr">
        <is>
          <t>A 68731-2021</t>
        </is>
      </c>
      <c r="B5865" s="1" t="n">
        <v>44529</v>
      </c>
      <c r="C5865" s="1" t="n">
        <v>45810</v>
      </c>
      <c r="D5865" t="inlineStr">
        <is>
          <t>VÄRMLANDS LÄN</t>
        </is>
      </c>
      <c r="E5865" t="inlineStr">
        <is>
          <t>SUNNE</t>
        </is>
      </c>
      <c r="G5865" t="n">
        <v>2.6</v>
      </c>
      <c r="H5865" t="n">
        <v>0</v>
      </c>
      <c r="I5865" t="n">
        <v>0</v>
      </c>
      <c r="J5865" t="n">
        <v>0</v>
      </c>
      <c r="K5865" t="n">
        <v>0</v>
      </c>
      <c r="L5865" t="n">
        <v>0</v>
      </c>
      <c r="M5865" t="n">
        <v>0</v>
      </c>
      <c r="N5865" t="n">
        <v>0</v>
      </c>
      <c r="O5865" t="n">
        <v>0</v>
      </c>
      <c r="P5865" t="n">
        <v>0</v>
      </c>
      <c r="Q5865" t="n">
        <v>0</v>
      </c>
      <c r="R5865" s="2" t="inlineStr"/>
    </row>
    <row r="5866" ht="15" customHeight="1">
      <c r="A5866" t="inlineStr">
        <is>
          <t>A 68437-2021</t>
        </is>
      </c>
      <c r="B5866" s="1" t="n">
        <v>44529</v>
      </c>
      <c r="C5866" s="1" t="n">
        <v>45810</v>
      </c>
      <c r="D5866" t="inlineStr">
        <is>
          <t>VÄRMLANDS LÄN</t>
        </is>
      </c>
      <c r="E5866" t="inlineStr">
        <is>
          <t>EDA</t>
        </is>
      </c>
      <c r="G5866" t="n">
        <v>3.1</v>
      </c>
      <c r="H5866" t="n">
        <v>0</v>
      </c>
      <c r="I5866" t="n">
        <v>0</v>
      </c>
      <c r="J5866" t="n">
        <v>0</v>
      </c>
      <c r="K5866" t="n">
        <v>0</v>
      </c>
      <c r="L5866" t="n">
        <v>0</v>
      </c>
      <c r="M5866" t="n">
        <v>0</v>
      </c>
      <c r="N5866" t="n">
        <v>0</v>
      </c>
      <c r="O5866" t="n">
        <v>0</v>
      </c>
      <c r="P5866" t="n">
        <v>0</v>
      </c>
      <c r="Q5866" t="n">
        <v>0</v>
      </c>
      <c r="R5866" s="2" t="inlineStr"/>
    </row>
    <row r="5867" ht="15" customHeight="1">
      <c r="A5867" t="inlineStr">
        <is>
          <t>A 68572-2021</t>
        </is>
      </c>
      <c r="B5867" s="1" t="n">
        <v>44529</v>
      </c>
      <c r="C5867" s="1" t="n">
        <v>45810</v>
      </c>
      <c r="D5867" t="inlineStr">
        <is>
          <t>VÄRMLANDS LÄN</t>
        </is>
      </c>
      <c r="E5867" t="inlineStr">
        <is>
          <t>ARVIKA</t>
        </is>
      </c>
      <c r="G5867" t="n">
        <v>5.4</v>
      </c>
      <c r="H5867" t="n">
        <v>0</v>
      </c>
      <c r="I5867" t="n">
        <v>0</v>
      </c>
      <c r="J5867" t="n">
        <v>0</v>
      </c>
      <c r="K5867" t="n">
        <v>0</v>
      </c>
      <c r="L5867" t="n">
        <v>0</v>
      </c>
      <c r="M5867" t="n">
        <v>0</v>
      </c>
      <c r="N5867" t="n">
        <v>0</v>
      </c>
      <c r="O5867" t="n">
        <v>0</v>
      </c>
      <c r="P5867" t="n">
        <v>0</v>
      </c>
      <c r="Q5867" t="n">
        <v>0</v>
      </c>
      <c r="R5867" s="2" t="inlineStr"/>
    </row>
    <row r="5868" ht="15" customHeight="1">
      <c r="A5868" t="inlineStr">
        <is>
          <t>A 68445-2021</t>
        </is>
      </c>
      <c r="B5868" s="1" t="n">
        <v>44529</v>
      </c>
      <c r="C5868" s="1" t="n">
        <v>45810</v>
      </c>
      <c r="D5868" t="inlineStr">
        <is>
          <t>VÄRMLANDS LÄN</t>
        </is>
      </c>
      <c r="E5868" t="inlineStr">
        <is>
          <t>EDA</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68550-2021</t>
        </is>
      </c>
      <c r="B5869" s="1" t="n">
        <v>44529</v>
      </c>
      <c r="C5869" s="1" t="n">
        <v>45810</v>
      </c>
      <c r="D5869" t="inlineStr">
        <is>
          <t>VÄRMLANDS LÄN</t>
        </is>
      </c>
      <c r="E5869" t="inlineStr">
        <is>
          <t>EDA</t>
        </is>
      </c>
      <c r="G5869" t="n">
        <v>2.4</v>
      </c>
      <c r="H5869" t="n">
        <v>0</v>
      </c>
      <c r="I5869" t="n">
        <v>0</v>
      </c>
      <c r="J5869" t="n">
        <v>0</v>
      </c>
      <c r="K5869" t="n">
        <v>0</v>
      </c>
      <c r="L5869" t="n">
        <v>0</v>
      </c>
      <c r="M5869" t="n">
        <v>0</v>
      </c>
      <c r="N5869" t="n">
        <v>0</v>
      </c>
      <c r="O5869" t="n">
        <v>0</v>
      </c>
      <c r="P5869" t="n">
        <v>0</v>
      </c>
      <c r="Q5869" t="n">
        <v>0</v>
      </c>
      <c r="R5869" s="2" t="inlineStr"/>
    </row>
    <row r="5870" ht="15" customHeight="1">
      <c r="A5870" t="inlineStr">
        <is>
          <t>A 68728-2021</t>
        </is>
      </c>
      <c r="B5870" s="1" t="n">
        <v>44529</v>
      </c>
      <c r="C5870" s="1" t="n">
        <v>45810</v>
      </c>
      <c r="D5870" t="inlineStr">
        <is>
          <t>VÄRMLANDS LÄN</t>
        </is>
      </c>
      <c r="E5870" t="inlineStr">
        <is>
          <t>KIL</t>
        </is>
      </c>
      <c r="G5870" t="n">
        <v>6.3</v>
      </c>
      <c r="H5870" t="n">
        <v>0</v>
      </c>
      <c r="I5870" t="n">
        <v>0</v>
      </c>
      <c r="J5870" t="n">
        <v>0</v>
      </c>
      <c r="K5870" t="n">
        <v>0</v>
      </c>
      <c r="L5870" t="n">
        <v>0</v>
      </c>
      <c r="M5870" t="n">
        <v>0</v>
      </c>
      <c r="N5870" t="n">
        <v>0</v>
      </c>
      <c r="O5870" t="n">
        <v>0</v>
      </c>
      <c r="P5870" t="n">
        <v>0</v>
      </c>
      <c r="Q5870" t="n">
        <v>0</v>
      </c>
      <c r="R5870" s="2" t="inlineStr"/>
    </row>
    <row r="5871" ht="15" customHeight="1">
      <c r="A5871" t="inlineStr">
        <is>
          <t>A 68919-2021</t>
        </is>
      </c>
      <c r="B5871" s="1" t="n">
        <v>44530</v>
      </c>
      <c r="C5871" s="1" t="n">
        <v>45810</v>
      </c>
      <c r="D5871" t="inlineStr">
        <is>
          <t>VÄRMLANDS LÄN</t>
        </is>
      </c>
      <c r="E5871" t="inlineStr">
        <is>
          <t>ARVIKA</t>
        </is>
      </c>
      <c r="G5871" t="n">
        <v>3</v>
      </c>
      <c r="H5871" t="n">
        <v>0</v>
      </c>
      <c r="I5871" t="n">
        <v>0</v>
      </c>
      <c r="J5871" t="n">
        <v>0</v>
      </c>
      <c r="K5871" t="n">
        <v>0</v>
      </c>
      <c r="L5871" t="n">
        <v>0</v>
      </c>
      <c r="M5871" t="n">
        <v>0</v>
      </c>
      <c r="N5871" t="n">
        <v>0</v>
      </c>
      <c r="O5871" t="n">
        <v>0</v>
      </c>
      <c r="P5871" t="n">
        <v>0</v>
      </c>
      <c r="Q5871" t="n">
        <v>0</v>
      </c>
      <c r="R5871" s="2" t="inlineStr"/>
    </row>
    <row r="5872" ht="15" customHeight="1">
      <c r="A5872" t="inlineStr">
        <is>
          <t>A 69008-2021</t>
        </is>
      </c>
      <c r="B5872" s="1" t="n">
        <v>44530</v>
      </c>
      <c r="C5872" s="1" t="n">
        <v>45810</v>
      </c>
      <c r="D5872" t="inlineStr">
        <is>
          <t>VÄRMLANDS LÄN</t>
        </is>
      </c>
      <c r="E5872" t="inlineStr">
        <is>
          <t>KARLSTAD</t>
        </is>
      </c>
      <c r="G5872" t="n">
        <v>6.2</v>
      </c>
      <c r="H5872" t="n">
        <v>0</v>
      </c>
      <c r="I5872" t="n">
        <v>0</v>
      </c>
      <c r="J5872" t="n">
        <v>0</v>
      </c>
      <c r="K5872" t="n">
        <v>0</v>
      </c>
      <c r="L5872" t="n">
        <v>0</v>
      </c>
      <c r="M5872" t="n">
        <v>0</v>
      </c>
      <c r="N5872" t="n">
        <v>0</v>
      </c>
      <c r="O5872" t="n">
        <v>0</v>
      </c>
      <c r="P5872" t="n">
        <v>0</v>
      </c>
      <c r="Q5872" t="n">
        <v>0</v>
      </c>
      <c r="R5872" s="2" t="inlineStr"/>
    </row>
    <row r="5873" ht="15" customHeight="1">
      <c r="A5873" t="inlineStr">
        <is>
          <t>A 68839-2021</t>
        </is>
      </c>
      <c r="B5873" s="1" t="n">
        <v>44530</v>
      </c>
      <c r="C5873" s="1" t="n">
        <v>45810</v>
      </c>
      <c r="D5873" t="inlineStr">
        <is>
          <t>VÄRMLANDS LÄN</t>
        </is>
      </c>
      <c r="E5873" t="inlineStr">
        <is>
          <t>KARLSTAD</t>
        </is>
      </c>
      <c r="G5873" t="n">
        <v>8</v>
      </c>
      <c r="H5873" t="n">
        <v>0</v>
      </c>
      <c r="I5873" t="n">
        <v>0</v>
      </c>
      <c r="J5873" t="n">
        <v>0</v>
      </c>
      <c r="K5873" t="n">
        <v>0</v>
      </c>
      <c r="L5873" t="n">
        <v>0</v>
      </c>
      <c r="M5873" t="n">
        <v>0</v>
      </c>
      <c r="N5873" t="n">
        <v>0</v>
      </c>
      <c r="O5873" t="n">
        <v>0</v>
      </c>
      <c r="P5873" t="n">
        <v>0</v>
      </c>
      <c r="Q5873" t="n">
        <v>0</v>
      </c>
      <c r="R5873" s="2" t="inlineStr"/>
    </row>
    <row r="5874" ht="15" customHeight="1">
      <c r="A5874" t="inlineStr">
        <is>
          <t>A 68850-2021</t>
        </is>
      </c>
      <c r="B5874" s="1" t="n">
        <v>44530</v>
      </c>
      <c r="C5874" s="1" t="n">
        <v>45810</v>
      </c>
      <c r="D5874" t="inlineStr">
        <is>
          <t>VÄRMLANDS LÄN</t>
        </is>
      </c>
      <c r="E5874" t="inlineStr">
        <is>
          <t>TORSBY</t>
        </is>
      </c>
      <c r="G5874" t="n">
        <v>13.1</v>
      </c>
      <c r="H5874" t="n">
        <v>0</v>
      </c>
      <c r="I5874" t="n">
        <v>0</v>
      </c>
      <c r="J5874" t="n">
        <v>0</v>
      </c>
      <c r="K5874" t="n">
        <v>0</v>
      </c>
      <c r="L5874" t="n">
        <v>0</v>
      </c>
      <c r="M5874" t="n">
        <v>0</v>
      </c>
      <c r="N5874" t="n">
        <v>0</v>
      </c>
      <c r="O5874" t="n">
        <v>0</v>
      </c>
      <c r="P5874" t="n">
        <v>0</v>
      </c>
      <c r="Q5874" t="n">
        <v>0</v>
      </c>
      <c r="R5874" s="2" t="inlineStr"/>
    </row>
    <row r="5875" ht="15" customHeight="1">
      <c r="A5875" t="inlineStr">
        <is>
          <t>A 68917-2021</t>
        </is>
      </c>
      <c r="B5875" s="1" t="n">
        <v>44530</v>
      </c>
      <c r="C5875" s="1" t="n">
        <v>45810</v>
      </c>
      <c r="D5875" t="inlineStr">
        <is>
          <t>VÄRMLANDS LÄN</t>
        </is>
      </c>
      <c r="E5875" t="inlineStr">
        <is>
          <t>ÅRJÄNG</t>
        </is>
      </c>
      <c r="F5875" t="inlineStr">
        <is>
          <t>Bergvik skog väst AB</t>
        </is>
      </c>
      <c r="G5875" t="n">
        <v>2.7</v>
      </c>
      <c r="H5875" t="n">
        <v>0</v>
      </c>
      <c r="I5875" t="n">
        <v>0</v>
      </c>
      <c r="J5875" t="n">
        <v>0</v>
      </c>
      <c r="K5875" t="n">
        <v>0</v>
      </c>
      <c r="L5875" t="n">
        <v>0</v>
      </c>
      <c r="M5875" t="n">
        <v>0</v>
      </c>
      <c r="N5875" t="n">
        <v>0</v>
      </c>
      <c r="O5875" t="n">
        <v>0</v>
      </c>
      <c r="P5875" t="n">
        <v>0</v>
      </c>
      <c r="Q5875" t="n">
        <v>0</v>
      </c>
      <c r="R5875" s="2" t="inlineStr"/>
    </row>
    <row r="5876" ht="15" customHeight="1">
      <c r="A5876" t="inlineStr">
        <is>
          <t>A 68855-2021</t>
        </is>
      </c>
      <c r="B5876" s="1" t="n">
        <v>44530</v>
      </c>
      <c r="C5876" s="1" t="n">
        <v>45810</v>
      </c>
      <c r="D5876" t="inlineStr">
        <is>
          <t>VÄRMLANDS LÄN</t>
        </is>
      </c>
      <c r="E5876" t="inlineStr">
        <is>
          <t>TORSBY</t>
        </is>
      </c>
      <c r="G5876" t="n">
        <v>3.1</v>
      </c>
      <c r="H5876" t="n">
        <v>0</v>
      </c>
      <c r="I5876" t="n">
        <v>0</v>
      </c>
      <c r="J5876" t="n">
        <v>0</v>
      </c>
      <c r="K5876" t="n">
        <v>0</v>
      </c>
      <c r="L5876" t="n">
        <v>0</v>
      </c>
      <c r="M5876" t="n">
        <v>0</v>
      </c>
      <c r="N5876" t="n">
        <v>0</v>
      </c>
      <c r="O5876" t="n">
        <v>0</v>
      </c>
      <c r="P5876" t="n">
        <v>0</v>
      </c>
      <c r="Q5876" t="n">
        <v>0</v>
      </c>
      <c r="R5876" s="2" t="inlineStr"/>
    </row>
    <row r="5877" ht="15" customHeight="1">
      <c r="A5877" t="inlineStr">
        <is>
          <t>A 69026-2021</t>
        </is>
      </c>
      <c r="B5877" s="1" t="n">
        <v>44530</v>
      </c>
      <c r="C5877" s="1" t="n">
        <v>45810</v>
      </c>
      <c r="D5877" t="inlineStr">
        <is>
          <t>VÄRMLANDS LÄN</t>
        </is>
      </c>
      <c r="E5877" t="inlineStr">
        <is>
          <t>TORSBY</t>
        </is>
      </c>
      <c r="F5877" t="inlineStr">
        <is>
          <t>Bergvik skog väst AB</t>
        </is>
      </c>
      <c r="G5877" t="n">
        <v>11.3</v>
      </c>
      <c r="H5877" t="n">
        <v>0</v>
      </c>
      <c r="I5877" t="n">
        <v>0</v>
      </c>
      <c r="J5877" t="n">
        <v>0</v>
      </c>
      <c r="K5877" t="n">
        <v>0</v>
      </c>
      <c r="L5877" t="n">
        <v>0</v>
      </c>
      <c r="M5877" t="n">
        <v>0</v>
      </c>
      <c r="N5877" t="n">
        <v>0</v>
      </c>
      <c r="O5877" t="n">
        <v>0</v>
      </c>
      <c r="P5877" t="n">
        <v>0</v>
      </c>
      <c r="Q5877" t="n">
        <v>0</v>
      </c>
      <c r="R5877" s="2" t="inlineStr"/>
    </row>
    <row r="5878" ht="15" customHeight="1">
      <c r="A5878" t="inlineStr">
        <is>
          <t>A 69024-2021</t>
        </is>
      </c>
      <c r="B5878" s="1" t="n">
        <v>44530</v>
      </c>
      <c r="C5878" s="1" t="n">
        <v>45810</v>
      </c>
      <c r="D5878" t="inlineStr">
        <is>
          <t>VÄRMLANDS LÄN</t>
        </is>
      </c>
      <c r="E5878" t="inlineStr">
        <is>
          <t>ÅRJÄNG</t>
        </is>
      </c>
      <c r="G5878" t="n">
        <v>0.3</v>
      </c>
      <c r="H5878" t="n">
        <v>0</v>
      </c>
      <c r="I5878" t="n">
        <v>0</v>
      </c>
      <c r="J5878" t="n">
        <v>0</v>
      </c>
      <c r="K5878" t="n">
        <v>0</v>
      </c>
      <c r="L5878" t="n">
        <v>0</v>
      </c>
      <c r="M5878" t="n">
        <v>0</v>
      </c>
      <c r="N5878" t="n">
        <v>0</v>
      </c>
      <c r="O5878" t="n">
        <v>0</v>
      </c>
      <c r="P5878" t="n">
        <v>0</v>
      </c>
      <c r="Q5878" t="n">
        <v>0</v>
      </c>
      <c r="R5878" s="2" t="inlineStr"/>
    </row>
    <row r="5879" ht="15" customHeight="1">
      <c r="A5879" t="inlineStr">
        <is>
          <t>A 69015-2021</t>
        </is>
      </c>
      <c r="B5879" s="1" t="n">
        <v>44530</v>
      </c>
      <c r="C5879" s="1" t="n">
        <v>45810</v>
      </c>
      <c r="D5879" t="inlineStr">
        <is>
          <t>VÄRMLANDS LÄN</t>
        </is>
      </c>
      <c r="E5879" t="inlineStr">
        <is>
          <t>FILIPSTAD</t>
        </is>
      </c>
      <c r="F5879" t="inlineStr">
        <is>
          <t>Bergvik skog väst AB</t>
        </is>
      </c>
      <c r="G5879" t="n">
        <v>12.7</v>
      </c>
      <c r="H5879" t="n">
        <v>0</v>
      </c>
      <c r="I5879" t="n">
        <v>0</v>
      </c>
      <c r="J5879" t="n">
        <v>0</v>
      </c>
      <c r="K5879" t="n">
        <v>0</v>
      </c>
      <c r="L5879" t="n">
        <v>0</v>
      </c>
      <c r="M5879" t="n">
        <v>0</v>
      </c>
      <c r="N5879" t="n">
        <v>0</v>
      </c>
      <c r="O5879" t="n">
        <v>0</v>
      </c>
      <c r="P5879" t="n">
        <v>0</v>
      </c>
      <c r="Q5879" t="n">
        <v>0</v>
      </c>
      <c r="R5879" s="2" t="inlineStr"/>
    </row>
    <row r="5880" ht="15" customHeight="1">
      <c r="A5880" t="inlineStr">
        <is>
          <t>A 69086-2021</t>
        </is>
      </c>
      <c r="B5880" s="1" t="n">
        <v>44530</v>
      </c>
      <c r="C5880" s="1" t="n">
        <v>45810</v>
      </c>
      <c r="D5880" t="inlineStr">
        <is>
          <t>VÄRMLANDS LÄN</t>
        </is>
      </c>
      <c r="E5880" t="inlineStr">
        <is>
          <t>TORSBY</t>
        </is>
      </c>
      <c r="F5880" t="inlineStr">
        <is>
          <t>Bergvik skog väst AB</t>
        </is>
      </c>
      <c r="G5880" t="n">
        <v>3.3</v>
      </c>
      <c r="H5880" t="n">
        <v>0</v>
      </c>
      <c r="I5880" t="n">
        <v>0</v>
      </c>
      <c r="J5880" t="n">
        <v>0</v>
      </c>
      <c r="K5880" t="n">
        <v>0</v>
      </c>
      <c r="L5880" t="n">
        <v>0</v>
      </c>
      <c r="M5880" t="n">
        <v>0</v>
      </c>
      <c r="N5880" t="n">
        <v>0</v>
      </c>
      <c r="O5880" t="n">
        <v>0</v>
      </c>
      <c r="P5880" t="n">
        <v>0</v>
      </c>
      <c r="Q5880" t="n">
        <v>0</v>
      </c>
      <c r="R5880" s="2" t="inlineStr"/>
    </row>
    <row r="5881" ht="15" customHeight="1">
      <c r="A5881" t="inlineStr">
        <is>
          <t>A 69340-2021</t>
        </is>
      </c>
      <c r="B5881" s="1" t="n">
        <v>44531</v>
      </c>
      <c r="C5881" s="1" t="n">
        <v>45810</v>
      </c>
      <c r="D5881" t="inlineStr">
        <is>
          <t>VÄRMLANDS LÄN</t>
        </is>
      </c>
      <c r="E5881" t="inlineStr">
        <is>
          <t>ARVIKA</t>
        </is>
      </c>
      <c r="G5881" t="n">
        <v>2.4</v>
      </c>
      <c r="H5881" t="n">
        <v>0</v>
      </c>
      <c r="I5881" t="n">
        <v>0</v>
      </c>
      <c r="J5881" t="n">
        <v>0</v>
      </c>
      <c r="K5881" t="n">
        <v>0</v>
      </c>
      <c r="L5881" t="n">
        <v>0</v>
      </c>
      <c r="M5881" t="n">
        <v>0</v>
      </c>
      <c r="N5881" t="n">
        <v>0</v>
      </c>
      <c r="O5881" t="n">
        <v>0</v>
      </c>
      <c r="P5881" t="n">
        <v>0</v>
      </c>
      <c r="Q5881" t="n">
        <v>0</v>
      </c>
      <c r="R5881" s="2" t="inlineStr"/>
    </row>
    <row r="5882" ht="15" customHeight="1">
      <c r="A5882" t="inlineStr">
        <is>
          <t>A 69319-2021</t>
        </is>
      </c>
      <c r="B5882" s="1" t="n">
        <v>44531</v>
      </c>
      <c r="C5882" s="1" t="n">
        <v>45810</v>
      </c>
      <c r="D5882" t="inlineStr">
        <is>
          <t>VÄRMLANDS LÄN</t>
        </is>
      </c>
      <c r="E5882" t="inlineStr">
        <is>
          <t>MUNKFORS</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69373-2021</t>
        </is>
      </c>
      <c r="B5883" s="1" t="n">
        <v>44531</v>
      </c>
      <c r="C5883" s="1" t="n">
        <v>45810</v>
      </c>
      <c r="D5883" t="inlineStr">
        <is>
          <t>VÄRMLANDS LÄN</t>
        </is>
      </c>
      <c r="E5883" t="inlineStr">
        <is>
          <t>SUNNE</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69273-2021</t>
        </is>
      </c>
      <c r="B5884" s="1" t="n">
        <v>44531</v>
      </c>
      <c r="C5884" s="1" t="n">
        <v>45810</v>
      </c>
      <c r="D5884" t="inlineStr">
        <is>
          <t>VÄRMLANDS LÄN</t>
        </is>
      </c>
      <c r="E5884" t="inlineStr">
        <is>
          <t>MUNKFORS</t>
        </is>
      </c>
      <c r="F5884" t="inlineStr">
        <is>
          <t>Kyrkan</t>
        </is>
      </c>
      <c r="G5884" t="n">
        <v>2.6</v>
      </c>
      <c r="H5884" t="n">
        <v>0</v>
      </c>
      <c r="I5884" t="n">
        <v>0</v>
      </c>
      <c r="J5884" t="n">
        <v>0</v>
      </c>
      <c r="K5884" t="n">
        <v>0</v>
      </c>
      <c r="L5884" t="n">
        <v>0</v>
      </c>
      <c r="M5884" t="n">
        <v>0</v>
      </c>
      <c r="N5884" t="n">
        <v>0</v>
      </c>
      <c r="O5884" t="n">
        <v>0</v>
      </c>
      <c r="P5884" t="n">
        <v>0</v>
      </c>
      <c r="Q5884" t="n">
        <v>0</v>
      </c>
      <c r="R5884" s="2" t="inlineStr"/>
    </row>
    <row r="5885" ht="15" customHeight="1">
      <c r="A5885" t="inlineStr">
        <is>
          <t>A 69354-2021</t>
        </is>
      </c>
      <c r="B5885" s="1" t="n">
        <v>44531</v>
      </c>
      <c r="C5885" s="1" t="n">
        <v>45810</v>
      </c>
      <c r="D5885" t="inlineStr">
        <is>
          <t>VÄRMLANDS LÄN</t>
        </is>
      </c>
      <c r="E5885" t="inlineStr">
        <is>
          <t>ARVIKA</t>
        </is>
      </c>
      <c r="F5885" t="inlineStr">
        <is>
          <t>Bergvik skog väst AB</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69399-2021</t>
        </is>
      </c>
      <c r="B5886" s="1" t="n">
        <v>44531</v>
      </c>
      <c r="C5886" s="1" t="n">
        <v>45810</v>
      </c>
      <c r="D5886" t="inlineStr">
        <is>
          <t>VÄRMLANDS LÄN</t>
        </is>
      </c>
      <c r="E5886" t="inlineStr">
        <is>
          <t>ARVIKA</t>
        </is>
      </c>
      <c r="F5886" t="inlineStr">
        <is>
          <t>Bergvik skog väst AB</t>
        </is>
      </c>
      <c r="G5886" t="n">
        <v>2.2</v>
      </c>
      <c r="H5886" t="n">
        <v>0</v>
      </c>
      <c r="I5886" t="n">
        <v>0</v>
      </c>
      <c r="J5886" t="n">
        <v>0</v>
      </c>
      <c r="K5886" t="n">
        <v>0</v>
      </c>
      <c r="L5886" t="n">
        <v>0</v>
      </c>
      <c r="M5886" t="n">
        <v>0</v>
      </c>
      <c r="N5886" t="n">
        <v>0</v>
      </c>
      <c r="O5886" t="n">
        <v>0</v>
      </c>
      <c r="P5886" t="n">
        <v>0</v>
      </c>
      <c r="Q5886" t="n">
        <v>0</v>
      </c>
      <c r="R5886" s="2" t="inlineStr"/>
    </row>
    <row r="5887" ht="15" customHeight="1">
      <c r="A5887" t="inlineStr">
        <is>
          <t>A 69417-2021</t>
        </is>
      </c>
      <c r="B5887" s="1" t="n">
        <v>44531</v>
      </c>
      <c r="C5887" s="1" t="n">
        <v>45810</v>
      </c>
      <c r="D5887" t="inlineStr">
        <is>
          <t>VÄRMLANDS LÄN</t>
        </is>
      </c>
      <c r="E5887" t="inlineStr">
        <is>
          <t>ÅRJÄNG</t>
        </is>
      </c>
      <c r="G5887" t="n">
        <v>3.8</v>
      </c>
      <c r="H5887" t="n">
        <v>0</v>
      </c>
      <c r="I5887" t="n">
        <v>0</v>
      </c>
      <c r="J5887" t="n">
        <v>0</v>
      </c>
      <c r="K5887" t="n">
        <v>0</v>
      </c>
      <c r="L5887" t="n">
        <v>0</v>
      </c>
      <c r="M5887" t="n">
        <v>0</v>
      </c>
      <c r="N5887" t="n">
        <v>0</v>
      </c>
      <c r="O5887" t="n">
        <v>0</v>
      </c>
      <c r="P5887" t="n">
        <v>0</v>
      </c>
      <c r="Q5887" t="n">
        <v>0</v>
      </c>
      <c r="R5887" s="2" t="inlineStr"/>
    </row>
    <row r="5888" ht="15" customHeight="1">
      <c r="A5888" t="inlineStr">
        <is>
          <t>A 69428-2021</t>
        </is>
      </c>
      <c r="B5888" s="1" t="n">
        <v>44531</v>
      </c>
      <c r="C5888" s="1" t="n">
        <v>45810</v>
      </c>
      <c r="D5888" t="inlineStr">
        <is>
          <t>VÄRMLANDS LÄN</t>
        </is>
      </c>
      <c r="E5888" t="inlineStr">
        <is>
          <t>KARLSTAD</t>
        </is>
      </c>
      <c r="G5888" t="n">
        <v>2.4</v>
      </c>
      <c r="H5888" t="n">
        <v>0</v>
      </c>
      <c r="I5888" t="n">
        <v>0</v>
      </c>
      <c r="J5888" t="n">
        <v>0</v>
      </c>
      <c r="K5888" t="n">
        <v>0</v>
      </c>
      <c r="L5888" t="n">
        <v>0</v>
      </c>
      <c r="M5888" t="n">
        <v>0</v>
      </c>
      <c r="N5888" t="n">
        <v>0</v>
      </c>
      <c r="O5888" t="n">
        <v>0</v>
      </c>
      <c r="P5888" t="n">
        <v>0</v>
      </c>
      <c r="Q5888" t="n">
        <v>0</v>
      </c>
      <c r="R5888" s="2" t="inlineStr"/>
    </row>
    <row r="5889" ht="15" customHeight="1">
      <c r="A5889" t="inlineStr">
        <is>
          <t>A 69529-2021</t>
        </is>
      </c>
      <c r="B5889" s="1" t="n">
        <v>44531</v>
      </c>
      <c r="C5889" s="1" t="n">
        <v>45810</v>
      </c>
      <c r="D5889" t="inlineStr">
        <is>
          <t>VÄRMLANDS LÄN</t>
        </is>
      </c>
      <c r="E5889" t="inlineStr">
        <is>
          <t>ARVIKA</t>
        </is>
      </c>
      <c r="G5889" t="n">
        <v>1.9</v>
      </c>
      <c r="H5889" t="n">
        <v>0</v>
      </c>
      <c r="I5889" t="n">
        <v>0</v>
      </c>
      <c r="J5889" t="n">
        <v>0</v>
      </c>
      <c r="K5889" t="n">
        <v>0</v>
      </c>
      <c r="L5889" t="n">
        <v>0</v>
      </c>
      <c r="M5889" t="n">
        <v>0</v>
      </c>
      <c r="N5889" t="n">
        <v>0</v>
      </c>
      <c r="O5889" t="n">
        <v>0</v>
      </c>
      <c r="P5889" t="n">
        <v>0</v>
      </c>
      <c r="Q5889" t="n">
        <v>0</v>
      </c>
      <c r="R5889" s="2" t="inlineStr"/>
    </row>
    <row r="5890" ht="15" customHeight="1">
      <c r="A5890" t="inlineStr">
        <is>
          <t>A 69719-2021</t>
        </is>
      </c>
      <c r="B5890" s="1" t="n">
        <v>44532</v>
      </c>
      <c r="C5890" s="1" t="n">
        <v>45810</v>
      </c>
      <c r="D5890" t="inlineStr">
        <is>
          <t>VÄRMLANDS LÄN</t>
        </is>
      </c>
      <c r="E5890" t="inlineStr">
        <is>
          <t>ARVIKA</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69658-2021</t>
        </is>
      </c>
      <c r="B5891" s="1" t="n">
        <v>44532</v>
      </c>
      <c r="C5891" s="1" t="n">
        <v>45810</v>
      </c>
      <c r="D5891" t="inlineStr">
        <is>
          <t>VÄRMLANDS LÄN</t>
        </is>
      </c>
      <c r="E5891" t="inlineStr">
        <is>
          <t>FILIPSTAD</t>
        </is>
      </c>
      <c r="G5891" t="n">
        <v>2.5</v>
      </c>
      <c r="H5891" t="n">
        <v>0</v>
      </c>
      <c r="I5891" t="n">
        <v>0</v>
      </c>
      <c r="J5891" t="n">
        <v>0</v>
      </c>
      <c r="K5891" t="n">
        <v>0</v>
      </c>
      <c r="L5891" t="n">
        <v>0</v>
      </c>
      <c r="M5891" t="n">
        <v>0</v>
      </c>
      <c r="N5891" t="n">
        <v>0</v>
      </c>
      <c r="O5891" t="n">
        <v>0</v>
      </c>
      <c r="P5891" t="n">
        <v>0</v>
      </c>
      <c r="Q5891" t="n">
        <v>0</v>
      </c>
      <c r="R5891" s="2" t="inlineStr"/>
    </row>
    <row r="5892" ht="15" customHeight="1">
      <c r="A5892" t="inlineStr">
        <is>
          <t>A 69797-2021</t>
        </is>
      </c>
      <c r="B5892" s="1" t="n">
        <v>44532</v>
      </c>
      <c r="C5892" s="1" t="n">
        <v>45810</v>
      </c>
      <c r="D5892" t="inlineStr">
        <is>
          <t>VÄRMLANDS LÄN</t>
        </is>
      </c>
      <c r="E5892" t="inlineStr">
        <is>
          <t>EDA</t>
        </is>
      </c>
      <c r="G5892" t="n">
        <v>3.6</v>
      </c>
      <c r="H5892" t="n">
        <v>0</v>
      </c>
      <c r="I5892" t="n">
        <v>0</v>
      </c>
      <c r="J5892" t="n">
        <v>0</v>
      </c>
      <c r="K5892" t="n">
        <v>0</v>
      </c>
      <c r="L5892" t="n">
        <v>0</v>
      </c>
      <c r="M5892" t="n">
        <v>0</v>
      </c>
      <c r="N5892" t="n">
        <v>0</v>
      </c>
      <c r="O5892" t="n">
        <v>0</v>
      </c>
      <c r="P5892" t="n">
        <v>0</v>
      </c>
      <c r="Q5892" t="n">
        <v>0</v>
      </c>
      <c r="R5892" s="2" t="inlineStr"/>
    </row>
    <row r="5893" ht="15" customHeight="1">
      <c r="A5893" t="inlineStr">
        <is>
          <t>A 69839-2021</t>
        </is>
      </c>
      <c r="B5893" s="1" t="n">
        <v>44532</v>
      </c>
      <c r="C5893" s="1" t="n">
        <v>45810</v>
      </c>
      <c r="D5893" t="inlineStr">
        <is>
          <t>VÄRMLANDS LÄN</t>
        </is>
      </c>
      <c r="E5893" t="inlineStr">
        <is>
          <t>ÅRJÄNG</t>
        </is>
      </c>
      <c r="G5893" t="n">
        <v>3.1</v>
      </c>
      <c r="H5893" t="n">
        <v>0</v>
      </c>
      <c r="I5893" t="n">
        <v>0</v>
      </c>
      <c r="J5893" t="n">
        <v>0</v>
      </c>
      <c r="K5893" t="n">
        <v>0</v>
      </c>
      <c r="L5893" t="n">
        <v>0</v>
      </c>
      <c r="M5893" t="n">
        <v>0</v>
      </c>
      <c r="N5893" t="n">
        <v>0</v>
      </c>
      <c r="O5893" t="n">
        <v>0</v>
      </c>
      <c r="P5893" t="n">
        <v>0</v>
      </c>
      <c r="Q5893" t="n">
        <v>0</v>
      </c>
      <c r="R5893" s="2" t="inlineStr"/>
    </row>
    <row r="5894" ht="15" customHeight="1">
      <c r="A5894" t="inlineStr">
        <is>
          <t>A 69859-2021</t>
        </is>
      </c>
      <c r="B5894" s="1" t="n">
        <v>44532</v>
      </c>
      <c r="C5894" s="1" t="n">
        <v>45810</v>
      </c>
      <c r="D5894" t="inlineStr">
        <is>
          <t>VÄRMLANDS LÄN</t>
        </is>
      </c>
      <c r="E5894" t="inlineStr">
        <is>
          <t>FORSHAGA</t>
        </is>
      </c>
      <c r="G5894" t="n">
        <v>3.9</v>
      </c>
      <c r="H5894" t="n">
        <v>0</v>
      </c>
      <c r="I5894" t="n">
        <v>0</v>
      </c>
      <c r="J5894" t="n">
        <v>0</v>
      </c>
      <c r="K5894" t="n">
        <v>0</v>
      </c>
      <c r="L5894" t="n">
        <v>0</v>
      </c>
      <c r="M5894" t="n">
        <v>0</v>
      </c>
      <c r="N5894" t="n">
        <v>0</v>
      </c>
      <c r="O5894" t="n">
        <v>0</v>
      </c>
      <c r="P5894" t="n">
        <v>0</v>
      </c>
      <c r="Q5894" t="n">
        <v>0</v>
      </c>
      <c r="R5894" s="2" t="inlineStr"/>
    </row>
    <row r="5895" ht="15" customHeight="1">
      <c r="A5895" t="inlineStr">
        <is>
          <t>A 69847-2021</t>
        </is>
      </c>
      <c r="B5895" s="1" t="n">
        <v>44532</v>
      </c>
      <c r="C5895" s="1" t="n">
        <v>45810</v>
      </c>
      <c r="D5895" t="inlineStr">
        <is>
          <t>VÄRMLANDS LÄN</t>
        </is>
      </c>
      <c r="E5895" t="inlineStr">
        <is>
          <t>GRUMS</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69877-2021</t>
        </is>
      </c>
      <c r="B5896" s="1" t="n">
        <v>44532</v>
      </c>
      <c r="C5896" s="1" t="n">
        <v>45810</v>
      </c>
      <c r="D5896" t="inlineStr">
        <is>
          <t>VÄRMLANDS LÄN</t>
        </is>
      </c>
      <c r="E5896" t="inlineStr">
        <is>
          <t>TORSBY</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69862-2021</t>
        </is>
      </c>
      <c r="B5897" s="1" t="n">
        <v>44532</v>
      </c>
      <c r="C5897" s="1" t="n">
        <v>45810</v>
      </c>
      <c r="D5897" t="inlineStr">
        <is>
          <t>VÄRMLANDS LÄN</t>
        </is>
      </c>
      <c r="E5897" t="inlineStr">
        <is>
          <t>ÅRJÄNG</t>
        </is>
      </c>
      <c r="G5897" t="n">
        <v>1.6</v>
      </c>
      <c r="H5897" t="n">
        <v>0</v>
      </c>
      <c r="I5897" t="n">
        <v>0</v>
      </c>
      <c r="J5897" t="n">
        <v>0</v>
      </c>
      <c r="K5897" t="n">
        <v>0</v>
      </c>
      <c r="L5897" t="n">
        <v>0</v>
      </c>
      <c r="M5897" t="n">
        <v>0</v>
      </c>
      <c r="N5897" t="n">
        <v>0</v>
      </c>
      <c r="O5897" t="n">
        <v>0</v>
      </c>
      <c r="P5897" t="n">
        <v>0</v>
      </c>
      <c r="Q5897" t="n">
        <v>0</v>
      </c>
      <c r="R5897" s="2" t="inlineStr"/>
    </row>
    <row r="5898" ht="15" customHeight="1">
      <c r="A5898" t="inlineStr">
        <is>
          <t>A 69878-2021</t>
        </is>
      </c>
      <c r="B5898" s="1" t="n">
        <v>44532</v>
      </c>
      <c r="C5898" s="1" t="n">
        <v>45810</v>
      </c>
      <c r="D5898" t="inlineStr">
        <is>
          <t>VÄRMLANDS LÄN</t>
        </is>
      </c>
      <c r="E5898" t="inlineStr">
        <is>
          <t>TORSBY</t>
        </is>
      </c>
      <c r="G5898" t="n">
        <v>0.6</v>
      </c>
      <c r="H5898" t="n">
        <v>0</v>
      </c>
      <c r="I5898" t="n">
        <v>0</v>
      </c>
      <c r="J5898" t="n">
        <v>0</v>
      </c>
      <c r="K5898" t="n">
        <v>0</v>
      </c>
      <c r="L5898" t="n">
        <v>0</v>
      </c>
      <c r="M5898" t="n">
        <v>0</v>
      </c>
      <c r="N5898" t="n">
        <v>0</v>
      </c>
      <c r="O5898" t="n">
        <v>0</v>
      </c>
      <c r="P5898" t="n">
        <v>0</v>
      </c>
      <c r="Q5898" t="n">
        <v>0</v>
      </c>
      <c r="R5898" s="2" t="inlineStr"/>
    </row>
    <row r="5899" ht="15" customHeight="1">
      <c r="A5899" t="inlineStr">
        <is>
          <t>A 70059-2021</t>
        </is>
      </c>
      <c r="B5899" s="1" t="n">
        <v>44533</v>
      </c>
      <c r="C5899" s="1" t="n">
        <v>45810</v>
      </c>
      <c r="D5899" t="inlineStr">
        <is>
          <t>VÄRMLANDS LÄN</t>
        </is>
      </c>
      <c r="E5899" t="inlineStr">
        <is>
          <t>KARLSTAD</t>
        </is>
      </c>
      <c r="G5899" t="n">
        <v>9.5</v>
      </c>
      <c r="H5899" t="n">
        <v>0</v>
      </c>
      <c r="I5899" t="n">
        <v>0</v>
      </c>
      <c r="J5899" t="n">
        <v>0</v>
      </c>
      <c r="K5899" t="n">
        <v>0</v>
      </c>
      <c r="L5899" t="n">
        <v>0</v>
      </c>
      <c r="M5899" t="n">
        <v>0</v>
      </c>
      <c r="N5899" t="n">
        <v>0</v>
      </c>
      <c r="O5899" t="n">
        <v>0</v>
      </c>
      <c r="P5899" t="n">
        <v>0</v>
      </c>
      <c r="Q5899" t="n">
        <v>0</v>
      </c>
      <c r="R5899" s="2" t="inlineStr"/>
    </row>
    <row r="5900" ht="15" customHeight="1">
      <c r="A5900" t="inlineStr">
        <is>
          <t>A 70127-2021</t>
        </is>
      </c>
      <c r="B5900" s="1" t="n">
        <v>44533</v>
      </c>
      <c r="C5900" s="1" t="n">
        <v>45810</v>
      </c>
      <c r="D5900" t="inlineStr">
        <is>
          <t>VÄRMLANDS LÄN</t>
        </is>
      </c>
      <c r="E5900" t="inlineStr">
        <is>
          <t>KARLSTAD</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70123-2021</t>
        </is>
      </c>
      <c r="B5901" s="1" t="n">
        <v>44533</v>
      </c>
      <c r="C5901" s="1" t="n">
        <v>45810</v>
      </c>
      <c r="D5901" t="inlineStr">
        <is>
          <t>VÄRMLANDS LÄN</t>
        </is>
      </c>
      <c r="E5901" t="inlineStr">
        <is>
          <t>KARLSTAD</t>
        </is>
      </c>
      <c r="G5901" t="n">
        <v>1.7</v>
      </c>
      <c r="H5901" t="n">
        <v>0</v>
      </c>
      <c r="I5901" t="n">
        <v>0</v>
      </c>
      <c r="J5901" t="n">
        <v>0</v>
      </c>
      <c r="K5901" t="n">
        <v>0</v>
      </c>
      <c r="L5901" t="n">
        <v>0</v>
      </c>
      <c r="M5901" t="n">
        <v>0</v>
      </c>
      <c r="N5901" t="n">
        <v>0</v>
      </c>
      <c r="O5901" t="n">
        <v>0</v>
      </c>
      <c r="P5901" t="n">
        <v>0</v>
      </c>
      <c r="Q5901" t="n">
        <v>0</v>
      </c>
      <c r="R5901" s="2" t="inlineStr"/>
    </row>
    <row r="5902" ht="15" customHeight="1">
      <c r="A5902" t="inlineStr">
        <is>
          <t>A 70130-2021</t>
        </is>
      </c>
      <c r="B5902" s="1" t="n">
        <v>44533</v>
      </c>
      <c r="C5902" s="1" t="n">
        <v>45810</v>
      </c>
      <c r="D5902" t="inlineStr">
        <is>
          <t>VÄRMLANDS LÄN</t>
        </is>
      </c>
      <c r="E5902" t="inlineStr">
        <is>
          <t>KRISTINEHAMN</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70144-2021</t>
        </is>
      </c>
      <c r="B5903" s="1" t="n">
        <v>44533</v>
      </c>
      <c r="C5903" s="1" t="n">
        <v>45810</v>
      </c>
      <c r="D5903" t="inlineStr">
        <is>
          <t>VÄRMLANDS LÄN</t>
        </is>
      </c>
      <c r="E5903" t="inlineStr">
        <is>
          <t>KARLSTAD</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70126-2021</t>
        </is>
      </c>
      <c r="B5904" s="1" t="n">
        <v>44533</v>
      </c>
      <c r="C5904" s="1" t="n">
        <v>45810</v>
      </c>
      <c r="D5904" t="inlineStr">
        <is>
          <t>VÄRMLANDS LÄN</t>
        </is>
      </c>
      <c r="E5904" t="inlineStr">
        <is>
          <t>KRISTINEHAMN</t>
        </is>
      </c>
      <c r="G5904" t="n">
        <v>0.3</v>
      </c>
      <c r="H5904" t="n">
        <v>0</v>
      </c>
      <c r="I5904" t="n">
        <v>0</v>
      </c>
      <c r="J5904" t="n">
        <v>0</v>
      </c>
      <c r="K5904" t="n">
        <v>0</v>
      </c>
      <c r="L5904" t="n">
        <v>0</v>
      </c>
      <c r="M5904" t="n">
        <v>0</v>
      </c>
      <c r="N5904" t="n">
        <v>0</v>
      </c>
      <c r="O5904" t="n">
        <v>0</v>
      </c>
      <c r="P5904" t="n">
        <v>0</v>
      </c>
      <c r="Q5904" t="n">
        <v>0</v>
      </c>
      <c r="R5904" s="2" t="inlineStr"/>
    </row>
    <row r="5905" ht="15" customHeight="1">
      <c r="A5905" t="inlineStr">
        <is>
          <t>A 70166-2021</t>
        </is>
      </c>
      <c r="B5905" s="1" t="n">
        <v>44533</v>
      </c>
      <c r="C5905" s="1" t="n">
        <v>45810</v>
      </c>
      <c r="D5905" t="inlineStr">
        <is>
          <t>VÄRMLANDS LÄN</t>
        </is>
      </c>
      <c r="E5905" t="inlineStr">
        <is>
          <t>TORSBY</t>
        </is>
      </c>
      <c r="F5905" t="inlineStr">
        <is>
          <t>Kommuner</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69974-2021</t>
        </is>
      </c>
      <c r="B5906" s="1" t="n">
        <v>44533</v>
      </c>
      <c r="C5906" s="1" t="n">
        <v>45810</v>
      </c>
      <c r="D5906" t="inlineStr">
        <is>
          <t>VÄRMLANDS LÄN</t>
        </is>
      </c>
      <c r="E5906" t="inlineStr">
        <is>
          <t>TORSBY</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70214-2021</t>
        </is>
      </c>
      <c r="B5907" s="1" t="n">
        <v>44535</v>
      </c>
      <c r="C5907" s="1" t="n">
        <v>45810</v>
      </c>
      <c r="D5907" t="inlineStr">
        <is>
          <t>VÄRMLANDS LÄN</t>
        </is>
      </c>
      <c r="E5907" t="inlineStr">
        <is>
          <t>FORSHAGA</t>
        </is>
      </c>
      <c r="G5907" t="n">
        <v>5.3</v>
      </c>
      <c r="H5907" t="n">
        <v>0</v>
      </c>
      <c r="I5907" t="n">
        <v>0</v>
      </c>
      <c r="J5907" t="n">
        <v>0</v>
      </c>
      <c r="K5907" t="n">
        <v>0</v>
      </c>
      <c r="L5907" t="n">
        <v>0</v>
      </c>
      <c r="M5907" t="n">
        <v>0</v>
      </c>
      <c r="N5907" t="n">
        <v>0</v>
      </c>
      <c r="O5907" t="n">
        <v>0</v>
      </c>
      <c r="P5907" t="n">
        <v>0</v>
      </c>
      <c r="Q5907" t="n">
        <v>0</v>
      </c>
      <c r="R5907" s="2" t="inlineStr"/>
    </row>
    <row r="5908" ht="15" customHeight="1">
      <c r="A5908" t="inlineStr">
        <is>
          <t>A 70241-2021</t>
        </is>
      </c>
      <c r="B5908" s="1" t="n">
        <v>44536</v>
      </c>
      <c r="C5908" s="1" t="n">
        <v>45810</v>
      </c>
      <c r="D5908" t="inlineStr">
        <is>
          <t>VÄRMLANDS LÄN</t>
        </is>
      </c>
      <c r="E5908" t="inlineStr">
        <is>
          <t>TORSBY</t>
        </is>
      </c>
      <c r="F5908" t="inlineStr">
        <is>
          <t>Bergvik skog väst AB</t>
        </is>
      </c>
      <c r="G5908" t="n">
        <v>0.4</v>
      </c>
      <c r="H5908" t="n">
        <v>0</v>
      </c>
      <c r="I5908" t="n">
        <v>0</v>
      </c>
      <c r="J5908" t="n">
        <v>0</v>
      </c>
      <c r="K5908" t="n">
        <v>0</v>
      </c>
      <c r="L5908" t="n">
        <v>0</v>
      </c>
      <c r="M5908" t="n">
        <v>0</v>
      </c>
      <c r="N5908" t="n">
        <v>0</v>
      </c>
      <c r="O5908" t="n">
        <v>0</v>
      </c>
      <c r="P5908" t="n">
        <v>0</v>
      </c>
      <c r="Q5908" t="n">
        <v>0</v>
      </c>
      <c r="R5908" s="2" t="inlineStr"/>
    </row>
    <row r="5909" ht="15" customHeight="1">
      <c r="A5909" t="inlineStr">
        <is>
          <t>A 70253-2021</t>
        </is>
      </c>
      <c r="B5909" s="1" t="n">
        <v>44536</v>
      </c>
      <c r="C5909" s="1" t="n">
        <v>45810</v>
      </c>
      <c r="D5909" t="inlineStr">
        <is>
          <t>VÄRMLANDS LÄN</t>
        </is>
      </c>
      <c r="E5909" t="inlineStr">
        <is>
          <t>TORSBY</t>
        </is>
      </c>
      <c r="G5909" t="n">
        <v>4.3</v>
      </c>
      <c r="H5909" t="n">
        <v>0</v>
      </c>
      <c r="I5909" t="n">
        <v>0</v>
      </c>
      <c r="J5909" t="n">
        <v>0</v>
      </c>
      <c r="K5909" t="n">
        <v>0</v>
      </c>
      <c r="L5909" t="n">
        <v>0</v>
      </c>
      <c r="M5909" t="n">
        <v>0</v>
      </c>
      <c r="N5909" t="n">
        <v>0</v>
      </c>
      <c r="O5909" t="n">
        <v>0</v>
      </c>
      <c r="P5909" t="n">
        <v>0</v>
      </c>
      <c r="Q5909" t="n">
        <v>0</v>
      </c>
      <c r="R5909" s="2" t="inlineStr"/>
    </row>
    <row r="5910" ht="15" customHeight="1">
      <c r="A5910" t="inlineStr">
        <is>
          <t>A 70294-2021</t>
        </is>
      </c>
      <c r="B5910" s="1" t="n">
        <v>44536</v>
      </c>
      <c r="C5910" s="1" t="n">
        <v>45810</v>
      </c>
      <c r="D5910" t="inlineStr">
        <is>
          <t>VÄRMLANDS LÄN</t>
        </is>
      </c>
      <c r="E5910" t="inlineStr">
        <is>
          <t>FORSHAGA</t>
        </is>
      </c>
      <c r="G5910" t="n">
        <v>2.3</v>
      </c>
      <c r="H5910" t="n">
        <v>0</v>
      </c>
      <c r="I5910" t="n">
        <v>0</v>
      </c>
      <c r="J5910" t="n">
        <v>0</v>
      </c>
      <c r="K5910" t="n">
        <v>0</v>
      </c>
      <c r="L5910" t="n">
        <v>0</v>
      </c>
      <c r="M5910" t="n">
        <v>0</v>
      </c>
      <c r="N5910" t="n">
        <v>0</v>
      </c>
      <c r="O5910" t="n">
        <v>0</v>
      </c>
      <c r="P5910" t="n">
        <v>0</v>
      </c>
      <c r="Q5910" t="n">
        <v>0</v>
      </c>
      <c r="R5910" s="2" t="inlineStr"/>
    </row>
    <row r="5911" ht="15" customHeight="1">
      <c r="A5911" t="inlineStr">
        <is>
          <t>A 70254-2021</t>
        </is>
      </c>
      <c r="B5911" s="1" t="n">
        <v>44536</v>
      </c>
      <c r="C5911" s="1" t="n">
        <v>45810</v>
      </c>
      <c r="D5911" t="inlineStr">
        <is>
          <t>VÄRMLANDS LÄN</t>
        </is>
      </c>
      <c r="E5911" t="inlineStr">
        <is>
          <t>KARLSTAD</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70276-2021</t>
        </is>
      </c>
      <c r="B5912" s="1" t="n">
        <v>44536</v>
      </c>
      <c r="C5912" s="1" t="n">
        <v>45810</v>
      </c>
      <c r="D5912" t="inlineStr">
        <is>
          <t>VÄRMLANDS LÄN</t>
        </is>
      </c>
      <c r="E5912" t="inlineStr">
        <is>
          <t>FILIPSTAD</t>
        </is>
      </c>
      <c r="F5912" t="inlineStr">
        <is>
          <t>Bergvik skog väst AB</t>
        </is>
      </c>
      <c r="G5912" t="n">
        <v>8</v>
      </c>
      <c r="H5912" t="n">
        <v>0</v>
      </c>
      <c r="I5912" t="n">
        <v>0</v>
      </c>
      <c r="J5912" t="n">
        <v>0</v>
      </c>
      <c r="K5912" t="n">
        <v>0</v>
      </c>
      <c r="L5912" t="n">
        <v>0</v>
      </c>
      <c r="M5912" t="n">
        <v>0</v>
      </c>
      <c r="N5912" t="n">
        <v>0</v>
      </c>
      <c r="O5912" t="n">
        <v>0</v>
      </c>
      <c r="P5912" t="n">
        <v>0</v>
      </c>
      <c r="Q5912" t="n">
        <v>0</v>
      </c>
      <c r="R5912" s="2" t="inlineStr"/>
    </row>
    <row r="5913" ht="15" customHeight="1">
      <c r="A5913" t="inlineStr">
        <is>
          <t>A 70381-2021</t>
        </is>
      </c>
      <c r="B5913" s="1" t="n">
        <v>44536</v>
      </c>
      <c r="C5913" s="1" t="n">
        <v>45810</v>
      </c>
      <c r="D5913" t="inlineStr">
        <is>
          <t>VÄRMLANDS LÄN</t>
        </is>
      </c>
      <c r="E5913" t="inlineStr">
        <is>
          <t>ARVIKA</t>
        </is>
      </c>
      <c r="G5913" t="n">
        <v>1.8</v>
      </c>
      <c r="H5913" t="n">
        <v>0</v>
      </c>
      <c r="I5913" t="n">
        <v>0</v>
      </c>
      <c r="J5913" t="n">
        <v>0</v>
      </c>
      <c r="K5913" t="n">
        <v>0</v>
      </c>
      <c r="L5913" t="n">
        <v>0</v>
      </c>
      <c r="M5913" t="n">
        <v>0</v>
      </c>
      <c r="N5913" t="n">
        <v>0</v>
      </c>
      <c r="O5913" t="n">
        <v>0</v>
      </c>
      <c r="P5913" t="n">
        <v>0</v>
      </c>
      <c r="Q5913" t="n">
        <v>0</v>
      </c>
      <c r="R5913" s="2" t="inlineStr"/>
    </row>
    <row r="5914" ht="15" customHeight="1">
      <c r="A5914" t="inlineStr">
        <is>
          <t>A 70405-2021</t>
        </is>
      </c>
      <c r="B5914" s="1" t="n">
        <v>44536</v>
      </c>
      <c r="C5914" s="1" t="n">
        <v>45810</v>
      </c>
      <c r="D5914" t="inlineStr">
        <is>
          <t>VÄRMLANDS LÄN</t>
        </is>
      </c>
      <c r="E5914" t="inlineStr">
        <is>
          <t>FILIPSTAD</t>
        </is>
      </c>
      <c r="F5914" t="inlineStr">
        <is>
          <t>Bergvik skog väst AB</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70453-2021</t>
        </is>
      </c>
      <c r="B5915" s="1" t="n">
        <v>44536</v>
      </c>
      <c r="C5915" s="1" t="n">
        <v>45810</v>
      </c>
      <c r="D5915" t="inlineStr">
        <is>
          <t>VÄRMLANDS LÄN</t>
        </is>
      </c>
      <c r="E5915" t="inlineStr">
        <is>
          <t>ARVIKA</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70461-2021</t>
        </is>
      </c>
      <c r="B5916" s="1" t="n">
        <v>44536</v>
      </c>
      <c r="C5916" s="1" t="n">
        <v>45810</v>
      </c>
      <c r="D5916" t="inlineStr">
        <is>
          <t>VÄRMLANDS LÄN</t>
        </is>
      </c>
      <c r="E5916" t="inlineStr">
        <is>
          <t>ÅRJÄNG</t>
        </is>
      </c>
      <c r="G5916" t="n">
        <v>3.8</v>
      </c>
      <c r="H5916" t="n">
        <v>0</v>
      </c>
      <c r="I5916" t="n">
        <v>0</v>
      </c>
      <c r="J5916" t="n">
        <v>0</v>
      </c>
      <c r="K5916" t="n">
        <v>0</v>
      </c>
      <c r="L5916" t="n">
        <v>0</v>
      </c>
      <c r="M5916" t="n">
        <v>0</v>
      </c>
      <c r="N5916" t="n">
        <v>0</v>
      </c>
      <c r="O5916" t="n">
        <v>0</v>
      </c>
      <c r="P5916" t="n">
        <v>0</v>
      </c>
      <c r="Q5916" t="n">
        <v>0</v>
      </c>
      <c r="R5916" s="2" t="inlineStr"/>
    </row>
    <row r="5917" ht="15" customHeight="1">
      <c r="A5917" t="inlineStr">
        <is>
          <t>A 70729-2021</t>
        </is>
      </c>
      <c r="B5917" s="1" t="n">
        <v>44536</v>
      </c>
      <c r="C5917" s="1" t="n">
        <v>45810</v>
      </c>
      <c r="D5917" t="inlineStr">
        <is>
          <t>VÄRMLANDS LÄN</t>
        </is>
      </c>
      <c r="E5917" t="inlineStr">
        <is>
          <t>KRISTINEHAMN</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70761-2021</t>
        </is>
      </c>
      <c r="B5918" s="1" t="n">
        <v>44536</v>
      </c>
      <c r="C5918" s="1" t="n">
        <v>45810</v>
      </c>
      <c r="D5918" t="inlineStr">
        <is>
          <t>VÄRMLANDS LÄN</t>
        </is>
      </c>
      <c r="E5918" t="inlineStr">
        <is>
          <t>STORFORS</t>
        </is>
      </c>
      <c r="G5918" t="n">
        <v>2.2</v>
      </c>
      <c r="H5918" t="n">
        <v>0</v>
      </c>
      <c r="I5918" t="n">
        <v>0</v>
      </c>
      <c r="J5918" t="n">
        <v>0</v>
      </c>
      <c r="K5918" t="n">
        <v>0</v>
      </c>
      <c r="L5918" t="n">
        <v>0</v>
      </c>
      <c r="M5918" t="n">
        <v>0</v>
      </c>
      <c r="N5918" t="n">
        <v>0</v>
      </c>
      <c r="O5918" t="n">
        <v>0</v>
      </c>
      <c r="P5918" t="n">
        <v>0</v>
      </c>
      <c r="Q5918" t="n">
        <v>0</v>
      </c>
      <c r="R5918" s="2" t="inlineStr"/>
    </row>
    <row r="5919" ht="15" customHeight="1">
      <c r="A5919" t="inlineStr">
        <is>
          <t>A 70571-2021</t>
        </is>
      </c>
      <c r="B5919" s="1" t="n">
        <v>44537</v>
      </c>
      <c r="C5919" s="1" t="n">
        <v>45810</v>
      </c>
      <c r="D5919" t="inlineStr">
        <is>
          <t>VÄRMLANDS LÄN</t>
        </is>
      </c>
      <c r="E5919" t="inlineStr">
        <is>
          <t>EDA</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70591-2021</t>
        </is>
      </c>
      <c r="B5920" s="1" t="n">
        <v>44537</v>
      </c>
      <c r="C5920" s="1" t="n">
        <v>45810</v>
      </c>
      <c r="D5920" t="inlineStr">
        <is>
          <t>VÄRMLANDS LÄN</t>
        </is>
      </c>
      <c r="E5920" t="inlineStr">
        <is>
          <t>ÅRJÄNG</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70658-2021</t>
        </is>
      </c>
      <c r="B5921" s="1" t="n">
        <v>44537</v>
      </c>
      <c r="C5921" s="1" t="n">
        <v>45810</v>
      </c>
      <c r="D5921" t="inlineStr">
        <is>
          <t>VÄRMLANDS LÄN</t>
        </is>
      </c>
      <c r="E5921" t="inlineStr">
        <is>
          <t>TORSBY</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70732-2021</t>
        </is>
      </c>
      <c r="B5922" s="1" t="n">
        <v>44537</v>
      </c>
      <c r="C5922" s="1" t="n">
        <v>45810</v>
      </c>
      <c r="D5922" t="inlineStr">
        <is>
          <t>VÄRMLANDS LÄN</t>
        </is>
      </c>
      <c r="E5922" t="inlineStr">
        <is>
          <t>FILIPSTAD</t>
        </is>
      </c>
      <c r="F5922" t="inlineStr">
        <is>
          <t>Bergvik skog väst AB</t>
        </is>
      </c>
      <c r="G5922" t="n">
        <v>13.8</v>
      </c>
      <c r="H5922" t="n">
        <v>0</v>
      </c>
      <c r="I5922" t="n">
        <v>0</v>
      </c>
      <c r="J5922" t="n">
        <v>0</v>
      </c>
      <c r="K5922" t="n">
        <v>0</v>
      </c>
      <c r="L5922" t="n">
        <v>0</v>
      </c>
      <c r="M5922" t="n">
        <v>0</v>
      </c>
      <c r="N5922" t="n">
        <v>0</v>
      </c>
      <c r="O5922" t="n">
        <v>0</v>
      </c>
      <c r="P5922" t="n">
        <v>0</v>
      </c>
      <c r="Q5922" t="n">
        <v>0</v>
      </c>
      <c r="R5922" s="2" t="inlineStr"/>
    </row>
    <row r="5923" ht="15" customHeight="1">
      <c r="A5923" t="inlineStr">
        <is>
          <t>A 70562-2021</t>
        </is>
      </c>
      <c r="B5923" s="1" t="n">
        <v>44537</v>
      </c>
      <c r="C5923" s="1" t="n">
        <v>45810</v>
      </c>
      <c r="D5923" t="inlineStr">
        <is>
          <t>VÄRMLANDS LÄN</t>
        </is>
      </c>
      <c r="E5923" t="inlineStr">
        <is>
          <t>ARVIKA</t>
        </is>
      </c>
      <c r="F5923" t="inlineStr">
        <is>
          <t>Bergvik skog väst AB</t>
        </is>
      </c>
      <c r="G5923" t="n">
        <v>6.3</v>
      </c>
      <c r="H5923" t="n">
        <v>0</v>
      </c>
      <c r="I5923" t="n">
        <v>0</v>
      </c>
      <c r="J5923" t="n">
        <v>0</v>
      </c>
      <c r="K5923" t="n">
        <v>0</v>
      </c>
      <c r="L5923" t="n">
        <v>0</v>
      </c>
      <c r="M5923" t="n">
        <v>0</v>
      </c>
      <c r="N5923" t="n">
        <v>0</v>
      </c>
      <c r="O5923" t="n">
        <v>0</v>
      </c>
      <c r="P5923" t="n">
        <v>0</v>
      </c>
      <c r="Q5923" t="n">
        <v>0</v>
      </c>
      <c r="R5923" s="2" t="inlineStr"/>
    </row>
    <row r="5924" ht="15" customHeight="1">
      <c r="A5924" t="inlineStr">
        <is>
          <t>A 70713-2021</t>
        </is>
      </c>
      <c r="B5924" s="1" t="n">
        <v>44537</v>
      </c>
      <c r="C5924" s="1" t="n">
        <v>45810</v>
      </c>
      <c r="D5924" t="inlineStr">
        <is>
          <t>VÄRMLANDS LÄN</t>
        </is>
      </c>
      <c r="E5924" t="inlineStr">
        <is>
          <t>HAGFORS</t>
        </is>
      </c>
      <c r="F5924" t="inlineStr">
        <is>
          <t>Kommuner</t>
        </is>
      </c>
      <c r="G5924" t="n">
        <v>2.3</v>
      </c>
      <c r="H5924" t="n">
        <v>0</v>
      </c>
      <c r="I5924" t="n">
        <v>0</v>
      </c>
      <c r="J5924" t="n">
        <v>0</v>
      </c>
      <c r="K5924" t="n">
        <v>0</v>
      </c>
      <c r="L5924" t="n">
        <v>0</v>
      </c>
      <c r="M5924" t="n">
        <v>0</v>
      </c>
      <c r="N5924" t="n">
        <v>0</v>
      </c>
      <c r="O5924" t="n">
        <v>0</v>
      </c>
      <c r="P5924" t="n">
        <v>0</v>
      </c>
      <c r="Q5924" t="n">
        <v>0</v>
      </c>
      <c r="R5924" s="2" t="inlineStr"/>
    </row>
    <row r="5925" ht="15" customHeight="1">
      <c r="A5925" t="inlineStr">
        <is>
          <t>A 70545-2021</t>
        </is>
      </c>
      <c r="B5925" s="1" t="n">
        <v>44537</v>
      </c>
      <c r="C5925" s="1" t="n">
        <v>45810</v>
      </c>
      <c r="D5925" t="inlineStr">
        <is>
          <t>VÄRMLANDS LÄN</t>
        </is>
      </c>
      <c r="E5925" t="inlineStr">
        <is>
          <t>SÄFFLE</t>
        </is>
      </c>
      <c r="F5925" t="inlineStr">
        <is>
          <t>Bergvik skog väst AB</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70616-2021</t>
        </is>
      </c>
      <c r="B5926" s="1" t="n">
        <v>44537</v>
      </c>
      <c r="C5926" s="1" t="n">
        <v>45810</v>
      </c>
      <c r="D5926" t="inlineStr">
        <is>
          <t>VÄRMLANDS LÄN</t>
        </is>
      </c>
      <c r="E5926" t="inlineStr">
        <is>
          <t>SUNNE</t>
        </is>
      </c>
      <c r="G5926" t="n">
        <v>5.3</v>
      </c>
      <c r="H5926" t="n">
        <v>0</v>
      </c>
      <c r="I5926" t="n">
        <v>0</v>
      </c>
      <c r="J5926" t="n">
        <v>0</v>
      </c>
      <c r="K5926" t="n">
        <v>0</v>
      </c>
      <c r="L5926" t="n">
        <v>0</v>
      </c>
      <c r="M5926" t="n">
        <v>0</v>
      </c>
      <c r="N5926" t="n">
        <v>0</v>
      </c>
      <c r="O5926" t="n">
        <v>0</v>
      </c>
      <c r="P5926" t="n">
        <v>0</v>
      </c>
      <c r="Q5926" t="n">
        <v>0</v>
      </c>
      <c r="R5926" s="2" t="inlineStr"/>
    </row>
    <row r="5927" ht="15" customHeight="1">
      <c r="A5927" t="inlineStr">
        <is>
          <t>A 70712-2021</t>
        </is>
      </c>
      <c r="B5927" s="1" t="n">
        <v>44537</v>
      </c>
      <c r="C5927" s="1" t="n">
        <v>45810</v>
      </c>
      <c r="D5927" t="inlineStr">
        <is>
          <t>VÄRMLANDS LÄN</t>
        </is>
      </c>
      <c r="E5927" t="inlineStr">
        <is>
          <t>HAGFORS</t>
        </is>
      </c>
      <c r="F5927" t="inlineStr">
        <is>
          <t>Kommuner</t>
        </is>
      </c>
      <c r="G5927" t="n">
        <v>4.5</v>
      </c>
      <c r="H5927" t="n">
        <v>0</v>
      </c>
      <c r="I5927" t="n">
        <v>0</v>
      </c>
      <c r="J5927" t="n">
        <v>0</v>
      </c>
      <c r="K5927" t="n">
        <v>0</v>
      </c>
      <c r="L5927" t="n">
        <v>0</v>
      </c>
      <c r="M5927" t="n">
        <v>0</v>
      </c>
      <c r="N5927" t="n">
        <v>0</v>
      </c>
      <c r="O5927" t="n">
        <v>0</v>
      </c>
      <c r="P5927" t="n">
        <v>0</v>
      </c>
      <c r="Q5927" t="n">
        <v>0</v>
      </c>
      <c r="R5927" s="2" t="inlineStr"/>
    </row>
    <row r="5928" ht="15" customHeight="1">
      <c r="A5928" t="inlineStr">
        <is>
          <t>A 70787-2021</t>
        </is>
      </c>
      <c r="B5928" s="1" t="n">
        <v>44537</v>
      </c>
      <c r="C5928" s="1" t="n">
        <v>45810</v>
      </c>
      <c r="D5928" t="inlineStr">
        <is>
          <t>VÄRMLANDS LÄN</t>
        </is>
      </c>
      <c r="E5928" t="inlineStr">
        <is>
          <t>TORSBY</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70832-2021</t>
        </is>
      </c>
      <c r="B5929" s="1" t="n">
        <v>44537</v>
      </c>
      <c r="C5929" s="1" t="n">
        <v>45810</v>
      </c>
      <c r="D5929" t="inlineStr">
        <is>
          <t>VÄRMLANDS LÄN</t>
        </is>
      </c>
      <c r="E5929" t="inlineStr">
        <is>
          <t>SUNNE</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70775-2021</t>
        </is>
      </c>
      <c r="B5930" s="1" t="n">
        <v>44537</v>
      </c>
      <c r="C5930" s="1" t="n">
        <v>45810</v>
      </c>
      <c r="D5930" t="inlineStr">
        <is>
          <t>VÄRMLANDS LÄN</t>
        </is>
      </c>
      <c r="E5930" t="inlineStr">
        <is>
          <t>TORSBY</t>
        </is>
      </c>
      <c r="G5930" t="n">
        <v>0.3</v>
      </c>
      <c r="H5930" t="n">
        <v>0</v>
      </c>
      <c r="I5930" t="n">
        <v>0</v>
      </c>
      <c r="J5930" t="n">
        <v>0</v>
      </c>
      <c r="K5930" t="n">
        <v>0</v>
      </c>
      <c r="L5930" t="n">
        <v>0</v>
      </c>
      <c r="M5930" t="n">
        <v>0</v>
      </c>
      <c r="N5930" t="n">
        <v>0</v>
      </c>
      <c r="O5930" t="n">
        <v>0</v>
      </c>
      <c r="P5930" t="n">
        <v>0</v>
      </c>
      <c r="Q5930" t="n">
        <v>0</v>
      </c>
      <c r="R5930" s="2" t="inlineStr"/>
    </row>
    <row r="5931" ht="15" customHeight="1">
      <c r="A5931" t="inlineStr">
        <is>
          <t>A 70785-2021</t>
        </is>
      </c>
      <c r="B5931" s="1" t="n">
        <v>44537</v>
      </c>
      <c r="C5931" s="1" t="n">
        <v>45810</v>
      </c>
      <c r="D5931" t="inlineStr">
        <is>
          <t>VÄRMLANDS LÄN</t>
        </is>
      </c>
      <c r="E5931" t="inlineStr">
        <is>
          <t>TORSBY</t>
        </is>
      </c>
      <c r="G5931" t="n">
        <v>2.9</v>
      </c>
      <c r="H5931" t="n">
        <v>0</v>
      </c>
      <c r="I5931" t="n">
        <v>0</v>
      </c>
      <c r="J5931" t="n">
        <v>0</v>
      </c>
      <c r="K5931" t="n">
        <v>0</v>
      </c>
      <c r="L5931" t="n">
        <v>0</v>
      </c>
      <c r="M5931" t="n">
        <v>0</v>
      </c>
      <c r="N5931" t="n">
        <v>0</v>
      </c>
      <c r="O5931" t="n">
        <v>0</v>
      </c>
      <c r="P5931" t="n">
        <v>0</v>
      </c>
      <c r="Q5931" t="n">
        <v>0</v>
      </c>
      <c r="R5931" s="2" t="inlineStr"/>
    </row>
    <row r="5932" ht="15" customHeight="1">
      <c r="A5932" t="inlineStr">
        <is>
          <t>A 71159-2021</t>
        </is>
      </c>
      <c r="B5932" s="1" t="n">
        <v>44537</v>
      </c>
      <c r="C5932" s="1" t="n">
        <v>45810</v>
      </c>
      <c r="D5932" t="inlineStr">
        <is>
          <t>VÄRMLANDS LÄN</t>
        </is>
      </c>
      <c r="E5932" t="inlineStr">
        <is>
          <t>ÅRJÄNG</t>
        </is>
      </c>
      <c r="G5932" t="n">
        <v>6</v>
      </c>
      <c r="H5932" t="n">
        <v>0</v>
      </c>
      <c r="I5932" t="n">
        <v>0</v>
      </c>
      <c r="J5932" t="n">
        <v>0</v>
      </c>
      <c r="K5932" t="n">
        <v>0</v>
      </c>
      <c r="L5932" t="n">
        <v>0</v>
      </c>
      <c r="M5932" t="n">
        <v>0</v>
      </c>
      <c r="N5932" t="n">
        <v>0</v>
      </c>
      <c r="O5932" t="n">
        <v>0</v>
      </c>
      <c r="P5932" t="n">
        <v>0</v>
      </c>
      <c r="Q5932" t="n">
        <v>0</v>
      </c>
      <c r="R5932" s="2" t="inlineStr"/>
    </row>
    <row r="5933" ht="15" customHeight="1">
      <c r="A5933" t="inlineStr">
        <is>
          <t>A 70978-2021</t>
        </is>
      </c>
      <c r="B5933" s="1" t="n">
        <v>44537</v>
      </c>
      <c r="C5933" s="1" t="n">
        <v>45810</v>
      </c>
      <c r="D5933" t="inlineStr">
        <is>
          <t>VÄRMLANDS LÄN</t>
        </is>
      </c>
      <c r="E5933" t="inlineStr">
        <is>
          <t>TORSBY</t>
        </is>
      </c>
      <c r="G5933" t="n">
        <v>12.6</v>
      </c>
      <c r="H5933" t="n">
        <v>0</v>
      </c>
      <c r="I5933" t="n">
        <v>0</v>
      </c>
      <c r="J5933" t="n">
        <v>0</v>
      </c>
      <c r="K5933" t="n">
        <v>0</v>
      </c>
      <c r="L5933" t="n">
        <v>0</v>
      </c>
      <c r="M5933" t="n">
        <v>0</v>
      </c>
      <c r="N5933" t="n">
        <v>0</v>
      </c>
      <c r="O5933" t="n">
        <v>0</v>
      </c>
      <c r="P5933" t="n">
        <v>0</v>
      </c>
      <c r="Q5933" t="n">
        <v>0</v>
      </c>
      <c r="R5933" s="2" t="inlineStr"/>
    </row>
    <row r="5934" ht="15" customHeight="1">
      <c r="A5934" t="inlineStr">
        <is>
          <t>A 70921-2021</t>
        </is>
      </c>
      <c r="B5934" s="1" t="n">
        <v>44537</v>
      </c>
      <c r="C5934" s="1" t="n">
        <v>45810</v>
      </c>
      <c r="D5934" t="inlineStr">
        <is>
          <t>VÄRMLANDS LÄN</t>
        </is>
      </c>
      <c r="E5934" t="inlineStr">
        <is>
          <t>KARLSTAD</t>
        </is>
      </c>
      <c r="G5934" t="n">
        <v>2.4</v>
      </c>
      <c r="H5934" t="n">
        <v>0</v>
      </c>
      <c r="I5934" t="n">
        <v>0</v>
      </c>
      <c r="J5934" t="n">
        <v>0</v>
      </c>
      <c r="K5934" t="n">
        <v>0</v>
      </c>
      <c r="L5934" t="n">
        <v>0</v>
      </c>
      <c r="M5934" t="n">
        <v>0</v>
      </c>
      <c r="N5934" t="n">
        <v>0</v>
      </c>
      <c r="O5934" t="n">
        <v>0</v>
      </c>
      <c r="P5934" t="n">
        <v>0</v>
      </c>
      <c r="Q5934" t="n">
        <v>0</v>
      </c>
      <c r="R5934" s="2" t="inlineStr"/>
    </row>
    <row r="5935" ht="15" customHeight="1">
      <c r="A5935" t="inlineStr">
        <is>
          <t>A 70926-2021</t>
        </is>
      </c>
      <c r="B5935" s="1" t="n">
        <v>44538</v>
      </c>
      <c r="C5935" s="1" t="n">
        <v>45810</v>
      </c>
      <c r="D5935" t="inlineStr">
        <is>
          <t>VÄRMLANDS LÄN</t>
        </is>
      </c>
      <c r="E5935" t="inlineStr">
        <is>
          <t>TORSBY</t>
        </is>
      </c>
      <c r="G5935" t="n">
        <v>6.5</v>
      </c>
      <c r="H5935" t="n">
        <v>0</v>
      </c>
      <c r="I5935" t="n">
        <v>0</v>
      </c>
      <c r="J5935" t="n">
        <v>0</v>
      </c>
      <c r="K5935" t="n">
        <v>0</v>
      </c>
      <c r="L5935" t="n">
        <v>0</v>
      </c>
      <c r="M5935" t="n">
        <v>0</v>
      </c>
      <c r="N5935" t="n">
        <v>0</v>
      </c>
      <c r="O5935" t="n">
        <v>0</v>
      </c>
      <c r="P5935" t="n">
        <v>0</v>
      </c>
      <c r="Q5935" t="n">
        <v>0</v>
      </c>
      <c r="R5935" s="2" t="inlineStr"/>
    </row>
    <row r="5936" ht="15" customHeight="1">
      <c r="A5936" t="inlineStr">
        <is>
          <t>A 70861-2021</t>
        </is>
      </c>
      <c r="B5936" s="1" t="n">
        <v>44538</v>
      </c>
      <c r="C5936" s="1" t="n">
        <v>45810</v>
      </c>
      <c r="D5936" t="inlineStr">
        <is>
          <t>VÄRMLANDS LÄN</t>
        </is>
      </c>
      <c r="E5936" t="inlineStr">
        <is>
          <t>EDA</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70878-2021</t>
        </is>
      </c>
      <c r="B5937" s="1" t="n">
        <v>44538</v>
      </c>
      <c r="C5937" s="1" t="n">
        <v>45810</v>
      </c>
      <c r="D5937" t="inlineStr">
        <is>
          <t>VÄRMLANDS LÄN</t>
        </is>
      </c>
      <c r="E5937" t="inlineStr">
        <is>
          <t>SUNNE</t>
        </is>
      </c>
      <c r="G5937" t="n">
        <v>2.9</v>
      </c>
      <c r="H5937" t="n">
        <v>0</v>
      </c>
      <c r="I5937" t="n">
        <v>0</v>
      </c>
      <c r="J5937" t="n">
        <v>0</v>
      </c>
      <c r="K5937" t="n">
        <v>0</v>
      </c>
      <c r="L5937" t="n">
        <v>0</v>
      </c>
      <c r="M5937" t="n">
        <v>0</v>
      </c>
      <c r="N5937" t="n">
        <v>0</v>
      </c>
      <c r="O5937" t="n">
        <v>0</v>
      </c>
      <c r="P5937" t="n">
        <v>0</v>
      </c>
      <c r="Q5937" t="n">
        <v>0</v>
      </c>
      <c r="R5937" s="2" t="inlineStr"/>
    </row>
    <row r="5938" ht="15" customHeight="1">
      <c r="A5938" t="inlineStr">
        <is>
          <t>A 70924-2021</t>
        </is>
      </c>
      <c r="B5938" s="1" t="n">
        <v>44538</v>
      </c>
      <c r="C5938" s="1" t="n">
        <v>45810</v>
      </c>
      <c r="D5938" t="inlineStr">
        <is>
          <t>VÄRMLANDS LÄN</t>
        </is>
      </c>
      <c r="E5938" t="inlineStr">
        <is>
          <t>TORSBY</t>
        </is>
      </c>
      <c r="G5938" t="n">
        <v>3.8</v>
      </c>
      <c r="H5938" t="n">
        <v>0</v>
      </c>
      <c r="I5938" t="n">
        <v>0</v>
      </c>
      <c r="J5938" t="n">
        <v>0</v>
      </c>
      <c r="K5938" t="n">
        <v>0</v>
      </c>
      <c r="L5938" t="n">
        <v>0</v>
      </c>
      <c r="M5938" t="n">
        <v>0</v>
      </c>
      <c r="N5938" t="n">
        <v>0</v>
      </c>
      <c r="O5938" t="n">
        <v>0</v>
      </c>
      <c r="P5938" t="n">
        <v>0</v>
      </c>
      <c r="Q5938" t="n">
        <v>0</v>
      </c>
      <c r="R5938" s="2" t="inlineStr"/>
    </row>
    <row r="5939" ht="15" customHeight="1">
      <c r="A5939" t="inlineStr">
        <is>
          <t>A 70883-2021</t>
        </is>
      </c>
      <c r="B5939" s="1" t="n">
        <v>44538</v>
      </c>
      <c r="C5939" s="1" t="n">
        <v>45810</v>
      </c>
      <c r="D5939" t="inlineStr">
        <is>
          <t>VÄRMLANDS LÄN</t>
        </is>
      </c>
      <c r="E5939" t="inlineStr">
        <is>
          <t>ÅRJÄNG</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70942-2021</t>
        </is>
      </c>
      <c r="B5940" s="1" t="n">
        <v>44538</v>
      </c>
      <c r="C5940" s="1" t="n">
        <v>45810</v>
      </c>
      <c r="D5940" t="inlineStr">
        <is>
          <t>VÄRMLANDS LÄN</t>
        </is>
      </c>
      <c r="E5940" t="inlineStr">
        <is>
          <t>KIL</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70962-2021</t>
        </is>
      </c>
      <c r="B5941" s="1" t="n">
        <v>44538</v>
      </c>
      <c r="C5941" s="1" t="n">
        <v>45810</v>
      </c>
      <c r="D5941" t="inlineStr">
        <is>
          <t>VÄRMLANDS LÄN</t>
        </is>
      </c>
      <c r="E5941" t="inlineStr">
        <is>
          <t>SÄFFLE</t>
        </is>
      </c>
      <c r="G5941" t="n">
        <v>4.1</v>
      </c>
      <c r="H5941" t="n">
        <v>0</v>
      </c>
      <c r="I5941" t="n">
        <v>0</v>
      </c>
      <c r="J5941" t="n">
        <v>0</v>
      </c>
      <c r="K5941" t="n">
        <v>0</v>
      </c>
      <c r="L5941" t="n">
        <v>0</v>
      </c>
      <c r="M5941" t="n">
        <v>0</v>
      </c>
      <c r="N5941" t="n">
        <v>0</v>
      </c>
      <c r="O5941" t="n">
        <v>0</v>
      </c>
      <c r="P5941" t="n">
        <v>0</v>
      </c>
      <c r="Q5941" t="n">
        <v>0</v>
      </c>
      <c r="R5941" s="2" t="inlineStr"/>
    </row>
    <row r="5942" ht="15" customHeight="1">
      <c r="A5942" t="inlineStr">
        <is>
          <t>A 71081-2021</t>
        </is>
      </c>
      <c r="B5942" s="1" t="n">
        <v>44538</v>
      </c>
      <c r="C5942" s="1" t="n">
        <v>45810</v>
      </c>
      <c r="D5942" t="inlineStr">
        <is>
          <t>VÄRMLANDS LÄN</t>
        </is>
      </c>
      <c r="E5942" t="inlineStr">
        <is>
          <t>HAGFORS</t>
        </is>
      </c>
      <c r="G5942" t="n">
        <v>3</v>
      </c>
      <c r="H5942" t="n">
        <v>0</v>
      </c>
      <c r="I5942" t="n">
        <v>0</v>
      </c>
      <c r="J5942" t="n">
        <v>0</v>
      </c>
      <c r="K5942" t="n">
        <v>0</v>
      </c>
      <c r="L5942" t="n">
        <v>0</v>
      </c>
      <c r="M5942" t="n">
        <v>0</v>
      </c>
      <c r="N5942" t="n">
        <v>0</v>
      </c>
      <c r="O5942" t="n">
        <v>0</v>
      </c>
      <c r="P5942" t="n">
        <v>0</v>
      </c>
      <c r="Q5942" t="n">
        <v>0</v>
      </c>
      <c r="R5942" s="2" t="inlineStr"/>
    </row>
    <row r="5943" ht="15" customHeight="1">
      <c r="A5943" t="inlineStr">
        <is>
          <t>A 71255-2021</t>
        </is>
      </c>
      <c r="B5943" s="1" t="n">
        <v>44538</v>
      </c>
      <c r="C5943" s="1" t="n">
        <v>45810</v>
      </c>
      <c r="D5943" t="inlineStr">
        <is>
          <t>VÄRMLANDS LÄN</t>
        </is>
      </c>
      <c r="E5943" t="inlineStr">
        <is>
          <t>TORSBY</t>
        </is>
      </c>
      <c r="G5943" t="n">
        <v>3.1</v>
      </c>
      <c r="H5943" t="n">
        <v>0</v>
      </c>
      <c r="I5943" t="n">
        <v>0</v>
      </c>
      <c r="J5943" t="n">
        <v>0</v>
      </c>
      <c r="K5943" t="n">
        <v>0</v>
      </c>
      <c r="L5943" t="n">
        <v>0</v>
      </c>
      <c r="M5943" t="n">
        <v>0</v>
      </c>
      <c r="N5943" t="n">
        <v>0</v>
      </c>
      <c r="O5943" t="n">
        <v>0</v>
      </c>
      <c r="P5943" t="n">
        <v>0</v>
      </c>
      <c r="Q5943" t="n">
        <v>0</v>
      </c>
      <c r="R5943" s="2" t="inlineStr"/>
    </row>
    <row r="5944" ht="15" customHeight="1">
      <c r="A5944" t="inlineStr">
        <is>
          <t>A 71084-2021</t>
        </is>
      </c>
      <c r="B5944" s="1" t="n">
        <v>44539</v>
      </c>
      <c r="C5944" s="1" t="n">
        <v>45810</v>
      </c>
      <c r="D5944" t="inlineStr">
        <is>
          <t>VÄRMLANDS LÄN</t>
        </is>
      </c>
      <c r="E5944" t="inlineStr">
        <is>
          <t>TORSBY</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71292-2021</t>
        </is>
      </c>
      <c r="B5945" s="1" t="n">
        <v>44538</v>
      </c>
      <c r="C5945" s="1" t="n">
        <v>45810</v>
      </c>
      <c r="D5945" t="inlineStr">
        <is>
          <t>VÄRMLANDS LÄN</t>
        </is>
      </c>
      <c r="E5945" t="inlineStr">
        <is>
          <t>SÄFFLE</t>
        </is>
      </c>
      <c r="G5945" t="n">
        <v>7.6</v>
      </c>
      <c r="H5945" t="n">
        <v>0</v>
      </c>
      <c r="I5945" t="n">
        <v>0</v>
      </c>
      <c r="J5945" t="n">
        <v>0</v>
      </c>
      <c r="K5945" t="n">
        <v>0</v>
      </c>
      <c r="L5945" t="n">
        <v>0</v>
      </c>
      <c r="M5945" t="n">
        <v>0</v>
      </c>
      <c r="N5945" t="n">
        <v>0</v>
      </c>
      <c r="O5945" t="n">
        <v>0</v>
      </c>
      <c r="P5945" t="n">
        <v>0</v>
      </c>
      <c r="Q5945" t="n">
        <v>0</v>
      </c>
      <c r="R5945" s="2" t="inlineStr"/>
    </row>
    <row r="5946" ht="15" customHeight="1">
      <c r="A5946" t="inlineStr">
        <is>
          <t>A 71082-2021</t>
        </is>
      </c>
      <c r="B5946" s="1" t="n">
        <v>44538</v>
      </c>
      <c r="C5946" s="1" t="n">
        <v>45810</v>
      </c>
      <c r="D5946" t="inlineStr">
        <is>
          <t>VÄRMLANDS LÄN</t>
        </is>
      </c>
      <c r="E5946" t="inlineStr">
        <is>
          <t>HAGFORS</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71224-2021</t>
        </is>
      </c>
      <c r="B5947" s="1" t="n">
        <v>44538</v>
      </c>
      <c r="C5947" s="1" t="n">
        <v>45810</v>
      </c>
      <c r="D5947" t="inlineStr">
        <is>
          <t>VÄRMLANDS LÄN</t>
        </is>
      </c>
      <c r="E5947" t="inlineStr">
        <is>
          <t>EDA</t>
        </is>
      </c>
      <c r="G5947" t="n">
        <v>5.2</v>
      </c>
      <c r="H5947" t="n">
        <v>0</v>
      </c>
      <c r="I5947" t="n">
        <v>0</v>
      </c>
      <c r="J5947" t="n">
        <v>0</v>
      </c>
      <c r="K5947" t="n">
        <v>0</v>
      </c>
      <c r="L5947" t="n">
        <v>0</v>
      </c>
      <c r="M5947" t="n">
        <v>0</v>
      </c>
      <c r="N5947" t="n">
        <v>0</v>
      </c>
      <c r="O5947" t="n">
        <v>0</v>
      </c>
      <c r="P5947" t="n">
        <v>0</v>
      </c>
      <c r="Q5947" t="n">
        <v>0</v>
      </c>
      <c r="R5947" s="2" t="inlineStr"/>
    </row>
    <row r="5948" ht="15" customHeight="1">
      <c r="A5948" t="inlineStr">
        <is>
          <t>A 71194-2021</t>
        </is>
      </c>
      <c r="B5948" s="1" t="n">
        <v>44539</v>
      </c>
      <c r="C5948" s="1" t="n">
        <v>45810</v>
      </c>
      <c r="D5948" t="inlineStr">
        <is>
          <t>VÄRMLANDS LÄN</t>
        </is>
      </c>
      <c r="E5948" t="inlineStr">
        <is>
          <t>SUNNE</t>
        </is>
      </c>
      <c r="G5948" t="n">
        <v>8.199999999999999</v>
      </c>
      <c r="H5948" t="n">
        <v>0</v>
      </c>
      <c r="I5948" t="n">
        <v>0</v>
      </c>
      <c r="J5948" t="n">
        <v>0</v>
      </c>
      <c r="K5948" t="n">
        <v>0</v>
      </c>
      <c r="L5948" t="n">
        <v>0</v>
      </c>
      <c r="M5948" t="n">
        <v>0</v>
      </c>
      <c r="N5948" t="n">
        <v>0</v>
      </c>
      <c r="O5948" t="n">
        <v>0</v>
      </c>
      <c r="P5948" t="n">
        <v>0</v>
      </c>
      <c r="Q5948" t="n">
        <v>0</v>
      </c>
      <c r="R5948" s="2" t="inlineStr"/>
    </row>
    <row r="5949" ht="15" customHeight="1">
      <c r="A5949" t="inlineStr">
        <is>
          <t>A 71180-2021</t>
        </is>
      </c>
      <c r="B5949" s="1" t="n">
        <v>44539</v>
      </c>
      <c r="C5949" s="1" t="n">
        <v>45810</v>
      </c>
      <c r="D5949" t="inlineStr">
        <is>
          <t>VÄRMLANDS LÄN</t>
        </is>
      </c>
      <c r="E5949" t="inlineStr">
        <is>
          <t>SUNNE</t>
        </is>
      </c>
      <c r="G5949" t="n">
        <v>3</v>
      </c>
      <c r="H5949" t="n">
        <v>0</v>
      </c>
      <c r="I5949" t="n">
        <v>0</v>
      </c>
      <c r="J5949" t="n">
        <v>0</v>
      </c>
      <c r="K5949" t="n">
        <v>0</v>
      </c>
      <c r="L5949" t="n">
        <v>0</v>
      </c>
      <c r="M5949" t="n">
        <v>0</v>
      </c>
      <c r="N5949" t="n">
        <v>0</v>
      </c>
      <c r="O5949" t="n">
        <v>0</v>
      </c>
      <c r="P5949" t="n">
        <v>0</v>
      </c>
      <c r="Q5949" t="n">
        <v>0</v>
      </c>
      <c r="R5949" s="2" t="inlineStr"/>
    </row>
    <row r="5950" ht="15" customHeight="1">
      <c r="A5950" t="inlineStr">
        <is>
          <t>A 71193-2021</t>
        </is>
      </c>
      <c r="B5950" s="1" t="n">
        <v>44539</v>
      </c>
      <c r="C5950" s="1" t="n">
        <v>45810</v>
      </c>
      <c r="D5950" t="inlineStr">
        <is>
          <t>VÄRMLANDS LÄN</t>
        </is>
      </c>
      <c r="E5950" t="inlineStr">
        <is>
          <t>ARVIKA</t>
        </is>
      </c>
      <c r="F5950" t="inlineStr">
        <is>
          <t>Bergvik skog väst AB</t>
        </is>
      </c>
      <c r="G5950" t="n">
        <v>3.6</v>
      </c>
      <c r="H5950" t="n">
        <v>0</v>
      </c>
      <c r="I5950" t="n">
        <v>0</v>
      </c>
      <c r="J5950" t="n">
        <v>0</v>
      </c>
      <c r="K5950" t="n">
        <v>0</v>
      </c>
      <c r="L5950" t="n">
        <v>0</v>
      </c>
      <c r="M5950" t="n">
        <v>0</v>
      </c>
      <c r="N5950" t="n">
        <v>0</v>
      </c>
      <c r="O5950" t="n">
        <v>0</v>
      </c>
      <c r="P5950" t="n">
        <v>0</v>
      </c>
      <c r="Q5950" t="n">
        <v>0</v>
      </c>
      <c r="R5950" s="2" t="inlineStr"/>
    </row>
    <row r="5951" ht="15" customHeight="1">
      <c r="A5951" t="inlineStr">
        <is>
          <t>A 71130-2021</t>
        </is>
      </c>
      <c r="B5951" s="1" t="n">
        <v>44539</v>
      </c>
      <c r="C5951" s="1" t="n">
        <v>45810</v>
      </c>
      <c r="D5951" t="inlineStr">
        <is>
          <t>VÄRMLANDS LÄN</t>
        </is>
      </c>
      <c r="E5951" t="inlineStr">
        <is>
          <t>ARVIKA</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71179-2021</t>
        </is>
      </c>
      <c r="B5952" s="1" t="n">
        <v>44539</v>
      </c>
      <c r="C5952" s="1" t="n">
        <v>45810</v>
      </c>
      <c r="D5952" t="inlineStr">
        <is>
          <t>VÄRMLANDS LÄN</t>
        </is>
      </c>
      <c r="E5952" t="inlineStr">
        <is>
          <t>ARVIKA</t>
        </is>
      </c>
      <c r="F5952" t="inlineStr">
        <is>
          <t>Bergvik skog väst AB</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71195-2021</t>
        </is>
      </c>
      <c r="B5953" s="1" t="n">
        <v>44539</v>
      </c>
      <c r="C5953" s="1" t="n">
        <v>45810</v>
      </c>
      <c r="D5953" t="inlineStr">
        <is>
          <t>VÄRMLANDS LÄN</t>
        </is>
      </c>
      <c r="E5953" t="inlineStr">
        <is>
          <t>SUNNE</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71812-2021</t>
        </is>
      </c>
      <c r="B5954" s="1" t="n">
        <v>44539</v>
      </c>
      <c r="C5954" s="1" t="n">
        <v>45810</v>
      </c>
      <c r="D5954" t="inlineStr">
        <is>
          <t>VÄRMLANDS LÄN</t>
        </is>
      </c>
      <c r="E5954" t="inlineStr">
        <is>
          <t>ÅRJÄNG</t>
        </is>
      </c>
      <c r="G5954" t="n">
        <v>9</v>
      </c>
      <c r="H5954" t="n">
        <v>0</v>
      </c>
      <c r="I5954" t="n">
        <v>0</v>
      </c>
      <c r="J5954" t="n">
        <v>0</v>
      </c>
      <c r="K5954" t="n">
        <v>0</v>
      </c>
      <c r="L5954" t="n">
        <v>0</v>
      </c>
      <c r="M5954" t="n">
        <v>0</v>
      </c>
      <c r="N5954" t="n">
        <v>0</v>
      </c>
      <c r="O5954" t="n">
        <v>0</v>
      </c>
      <c r="P5954" t="n">
        <v>0</v>
      </c>
      <c r="Q5954" t="n">
        <v>0</v>
      </c>
      <c r="R5954" s="2" t="inlineStr"/>
    </row>
    <row r="5955" ht="15" customHeight="1">
      <c r="A5955" t="inlineStr">
        <is>
          <t>A 71485-2021</t>
        </is>
      </c>
      <c r="B5955" s="1" t="n">
        <v>44539</v>
      </c>
      <c r="C5955" s="1" t="n">
        <v>45810</v>
      </c>
      <c r="D5955" t="inlineStr">
        <is>
          <t>VÄRMLANDS LÄN</t>
        </is>
      </c>
      <c r="E5955" t="inlineStr">
        <is>
          <t>SUNNE</t>
        </is>
      </c>
      <c r="G5955" t="n">
        <v>2</v>
      </c>
      <c r="H5955" t="n">
        <v>0</v>
      </c>
      <c r="I5955" t="n">
        <v>0</v>
      </c>
      <c r="J5955" t="n">
        <v>0</v>
      </c>
      <c r="K5955" t="n">
        <v>0</v>
      </c>
      <c r="L5955" t="n">
        <v>0</v>
      </c>
      <c r="M5955" t="n">
        <v>0</v>
      </c>
      <c r="N5955" t="n">
        <v>0</v>
      </c>
      <c r="O5955" t="n">
        <v>0</v>
      </c>
      <c r="P5955" t="n">
        <v>0</v>
      </c>
      <c r="Q5955" t="n">
        <v>0</v>
      </c>
      <c r="R5955" s="2" t="inlineStr"/>
    </row>
    <row r="5956" ht="15" customHeight="1">
      <c r="A5956" t="inlineStr">
        <is>
          <t>A 71781-2021</t>
        </is>
      </c>
      <c r="B5956" s="1" t="n">
        <v>44539</v>
      </c>
      <c r="C5956" s="1" t="n">
        <v>45810</v>
      </c>
      <c r="D5956" t="inlineStr">
        <is>
          <t>VÄRMLANDS LÄN</t>
        </is>
      </c>
      <c r="E5956" t="inlineStr">
        <is>
          <t>GRUMS</t>
        </is>
      </c>
      <c r="F5956" t="inlineStr">
        <is>
          <t>Bergvik skog väst AB</t>
        </is>
      </c>
      <c r="G5956" t="n">
        <v>7</v>
      </c>
      <c r="H5956" t="n">
        <v>0</v>
      </c>
      <c r="I5956" t="n">
        <v>0</v>
      </c>
      <c r="J5956" t="n">
        <v>0</v>
      </c>
      <c r="K5956" t="n">
        <v>0</v>
      </c>
      <c r="L5956" t="n">
        <v>0</v>
      </c>
      <c r="M5956" t="n">
        <v>0</v>
      </c>
      <c r="N5956" t="n">
        <v>0</v>
      </c>
      <c r="O5956" t="n">
        <v>0</v>
      </c>
      <c r="P5956" t="n">
        <v>0</v>
      </c>
      <c r="Q5956" t="n">
        <v>0</v>
      </c>
      <c r="R5956" s="2" t="inlineStr"/>
    </row>
    <row r="5957" ht="15" customHeight="1">
      <c r="A5957" t="inlineStr">
        <is>
          <t>A 71809-2021</t>
        </is>
      </c>
      <c r="B5957" s="1" t="n">
        <v>44539</v>
      </c>
      <c r="C5957" s="1" t="n">
        <v>45810</v>
      </c>
      <c r="D5957" t="inlineStr">
        <is>
          <t>VÄRMLANDS LÄN</t>
        </is>
      </c>
      <c r="E5957" t="inlineStr">
        <is>
          <t>ÅRJÄNG</t>
        </is>
      </c>
      <c r="G5957" t="n">
        <v>3.4</v>
      </c>
      <c r="H5957" t="n">
        <v>0</v>
      </c>
      <c r="I5957" t="n">
        <v>0</v>
      </c>
      <c r="J5957" t="n">
        <v>0</v>
      </c>
      <c r="K5957" t="n">
        <v>0</v>
      </c>
      <c r="L5957" t="n">
        <v>0</v>
      </c>
      <c r="M5957" t="n">
        <v>0</v>
      </c>
      <c r="N5957" t="n">
        <v>0</v>
      </c>
      <c r="O5957" t="n">
        <v>0</v>
      </c>
      <c r="P5957" t="n">
        <v>0</v>
      </c>
      <c r="Q5957" t="n">
        <v>0</v>
      </c>
      <c r="R5957" s="2" t="inlineStr"/>
    </row>
    <row r="5958" ht="15" customHeight="1">
      <c r="A5958" t="inlineStr">
        <is>
          <t>A 71472-2021</t>
        </is>
      </c>
      <c r="B5958" s="1" t="n">
        <v>44540</v>
      </c>
      <c r="C5958" s="1" t="n">
        <v>45810</v>
      </c>
      <c r="D5958" t="inlineStr">
        <is>
          <t>VÄRMLANDS LÄN</t>
        </is>
      </c>
      <c r="E5958" t="inlineStr">
        <is>
          <t>ÅRJÄNG</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71399-2021</t>
        </is>
      </c>
      <c r="B5959" s="1" t="n">
        <v>44540</v>
      </c>
      <c r="C5959" s="1" t="n">
        <v>45810</v>
      </c>
      <c r="D5959" t="inlineStr">
        <is>
          <t>VÄRMLANDS LÄN</t>
        </is>
      </c>
      <c r="E5959" t="inlineStr">
        <is>
          <t>ARVIKA</t>
        </is>
      </c>
      <c r="F5959" t="inlineStr">
        <is>
          <t>Bergvik skog väst AB</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71492-2021</t>
        </is>
      </c>
      <c r="B5960" s="1" t="n">
        <v>44540</v>
      </c>
      <c r="C5960" s="1" t="n">
        <v>45810</v>
      </c>
      <c r="D5960" t="inlineStr">
        <is>
          <t>VÄRMLANDS LÄN</t>
        </is>
      </c>
      <c r="E5960" t="inlineStr">
        <is>
          <t>ÅRJÄNG</t>
        </is>
      </c>
      <c r="G5960" t="n">
        <v>2.2</v>
      </c>
      <c r="H5960" t="n">
        <v>0</v>
      </c>
      <c r="I5960" t="n">
        <v>0</v>
      </c>
      <c r="J5960" t="n">
        <v>0</v>
      </c>
      <c r="K5960" t="n">
        <v>0</v>
      </c>
      <c r="L5960" t="n">
        <v>0</v>
      </c>
      <c r="M5960" t="n">
        <v>0</v>
      </c>
      <c r="N5960" t="n">
        <v>0</v>
      </c>
      <c r="O5960" t="n">
        <v>0</v>
      </c>
      <c r="P5960" t="n">
        <v>0</v>
      </c>
      <c r="Q5960" t="n">
        <v>0</v>
      </c>
      <c r="R5960" s="2" t="inlineStr"/>
    </row>
    <row r="5961" ht="15" customHeight="1">
      <c r="A5961" t="inlineStr">
        <is>
          <t>A 71393-2021</t>
        </is>
      </c>
      <c r="B5961" s="1" t="n">
        <v>44540</v>
      </c>
      <c r="C5961" s="1" t="n">
        <v>45810</v>
      </c>
      <c r="D5961" t="inlineStr">
        <is>
          <t>VÄRMLANDS LÄN</t>
        </is>
      </c>
      <c r="E5961" t="inlineStr">
        <is>
          <t>HAGFORS</t>
        </is>
      </c>
      <c r="F5961" t="inlineStr">
        <is>
          <t>Bergvik skog väst AB</t>
        </is>
      </c>
      <c r="G5961" t="n">
        <v>2.9</v>
      </c>
      <c r="H5961" t="n">
        <v>0</v>
      </c>
      <c r="I5961" t="n">
        <v>0</v>
      </c>
      <c r="J5961" t="n">
        <v>0</v>
      </c>
      <c r="K5961" t="n">
        <v>0</v>
      </c>
      <c r="L5961" t="n">
        <v>0</v>
      </c>
      <c r="M5961" t="n">
        <v>0</v>
      </c>
      <c r="N5961" t="n">
        <v>0</v>
      </c>
      <c r="O5961" t="n">
        <v>0</v>
      </c>
      <c r="P5961" t="n">
        <v>0</v>
      </c>
      <c r="Q5961" t="n">
        <v>0</v>
      </c>
      <c r="R5961" s="2" t="inlineStr"/>
    </row>
    <row r="5962" ht="15" customHeight="1">
      <c r="A5962" t="inlineStr">
        <is>
          <t>A 71469-2021</t>
        </is>
      </c>
      <c r="B5962" s="1" t="n">
        <v>44540</v>
      </c>
      <c r="C5962" s="1" t="n">
        <v>45810</v>
      </c>
      <c r="D5962" t="inlineStr">
        <is>
          <t>VÄRMLANDS LÄN</t>
        </is>
      </c>
      <c r="E5962" t="inlineStr">
        <is>
          <t>TORSBY</t>
        </is>
      </c>
      <c r="F5962" t="inlineStr">
        <is>
          <t>Övriga Aktiebolag</t>
        </is>
      </c>
      <c r="G5962" t="n">
        <v>4.1</v>
      </c>
      <c r="H5962" t="n">
        <v>0</v>
      </c>
      <c r="I5962" t="n">
        <v>0</v>
      </c>
      <c r="J5962" t="n">
        <v>0</v>
      </c>
      <c r="K5962" t="n">
        <v>0</v>
      </c>
      <c r="L5962" t="n">
        <v>0</v>
      </c>
      <c r="M5962" t="n">
        <v>0</v>
      </c>
      <c r="N5962" t="n">
        <v>0</v>
      </c>
      <c r="O5962" t="n">
        <v>0</v>
      </c>
      <c r="P5962" t="n">
        <v>0</v>
      </c>
      <c r="Q5962" t="n">
        <v>0</v>
      </c>
      <c r="R5962" s="2" t="inlineStr"/>
    </row>
    <row r="5963" ht="15" customHeight="1">
      <c r="A5963" t="inlineStr">
        <is>
          <t>A 71491-2021</t>
        </is>
      </c>
      <c r="B5963" s="1" t="n">
        <v>44540</v>
      </c>
      <c r="C5963" s="1" t="n">
        <v>45810</v>
      </c>
      <c r="D5963" t="inlineStr">
        <is>
          <t>VÄRMLANDS LÄN</t>
        </is>
      </c>
      <c r="E5963" t="inlineStr">
        <is>
          <t>HAGFORS</t>
        </is>
      </c>
      <c r="F5963" t="inlineStr">
        <is>
          <t>Bergvik skog väst AB</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71447-2021</t>
        </is>
      </c>
      <c r="B5964" s="1" t="n">
        <v>44540</v>
      </c>
      <c r="C5964" s="1" t="n">
        <v>45810</v>
      </c>
      <c r="D5964" t="inlineStr">
        <is>
          <t>VÄRMLANDS LÄN</t>
        </is>
      </c>
      <c r="E5964" t="inlineStr">
        <is>
          <t>HAGFORS</t>
        </is>
      </c>
      <c r="F5964" t="inlineStr">
        <is>
          <t>Bergvik skog väst AB</t>
        </is>
      </c>
      <c r="G5964" t="n">
        <v>2.1</v>
      </c>
      <c r="H5964" t="n">
        <v>0</v>
      </c>
      <c r="I5964" t="n">
        <v>0</v>
      </c>
      <c r="J5964" t="n">
        <v>0</v>
      </c>
      <c r="K5964" t="n">
        <v>0</v>
      </c>
      <c r="L5964" t="n">
        <v>0</v>
      </c>
      <c r="M5964" t="n">
        <v>0</v>
      </c>
      <c r="N5964" t="n">
        <v>0</v>
      </c>
      <c r="O5964" t="n">
        <v>0</v>
      </c>
      <c r="P5964" t="n">
        <v>0</v>
      </c>
      <c r="Q5964" t="n">
        <v>0</v>
      </c>
      <c r="R5964" s="2" t="inlineStr"/>
    </row>
    <row r="5965" ht="15" customHeight="1">
      <c r="A5965" t="inlineStr">
        <is>
          <t>A 71819-2021</t>
        </is>
      </c>
      <c r="B5965" s="1" t="n">
        <v>44540</v>
      </c>
      <c r="C5965" s="1" t="n">
        <v>45810</v>
      </c>
      <c r="D5965" t="inlineStr">
        <is>
          <t>VÄRMLANDS LÄN</t>
        </is>
      </c>
      <c r="E5965" t="inlineStr">
        <is>
          <t>ÅRJÄNG</t>
        </is>
      </c>
      <c r="F5965" t="inlineStr">
        <is>
          <t>Övriga Aktiebolag</t>
        </is>
      </c>
      <c r="G5965" t="n">
        <v>7.5</v>
      </c>
      <c r="H5965" t="n">
        <v>0</v>
      </c>
      <c r="I5965" t="n">
        <v>0</v>
      </c>
      <c r="J5965" t="n">
        <v>0</v>
      </c>
      <c r="K5965" t="n">
        <v>0</v>
      </c>
      <c r="L5965" t="n">
        <v>0</v>
      </c>
      <c r="M5965" t="n">
        <v>0</v>
      </c>
      <c r="N5965" t="n">
        <v>0</v>
      </c>
      <c r="O5965" t="n">
        <v>0</v>
      </c>
      <c r="P5965" t="n">
        <v>0</v>
      </c>
      <c r="Q5965" t="n">
        <v>0</v>
      </c>
      <c r="R5965" s="2" t="inlineStr"/>
    </row>
    <row r="5966" ht="15" customHeight="1">
      <c r="A5966" t="inlineStr">
        <is>
          <t>A 71625-2021</t>
        </is>
      </c>
      <c r="B5966" s="1" t="n">
        <v>44542</v>
      </c>
      <c r="C5966" s="1" t="n">
        <v>45810</v>
      </c>
      <c r="D5966" t="inlineStr">
        <is>
          <t>VÄRMLANDS LÄN</t>
        </is>
      </c>
      <c r="E5966" t="inlineStr">
        <is>
          <t>FORSHAGA</t>
        </is>
      </c>
      <c r="G5966" t="n">
        <v>4.2</v>
      </c>
      <c r="H5966" t="n">
        <v>0</v>
      </c>
      <c r="I5966" t="n">
        <v>0</v>
      </c>
      <c r="J5966" t="n">
        <v>0</v>
      </c>
      <c r="K5966" t="n">
        <v>0</v>
      </c>
      <c r="L5966" t="n">
        <v>0</v>
      </c>
      <c r="M5966" t="n">
        <v>0</v>
      </c>
      <c r="N5966" t="n">
        <v>0</v>
      </c>
      <c r="O5966" t="n">
        <v>0</v>
      </c>
      <c r="P5966" t="n">
        <v>0</v>
      </c>
      <c r="Q5966" t="n">
        <v>0</v>
      </c>
      <c r="R5966" s="2" t="inlineStr"/>
    </row>
    <row r="5967" ht="15" customHeight="1">
      <c r="A5967" t="inlineStr">
        <is>
          <t>A 71629-2021</t>
        </is>
      </c>
      <c r="B5967" s="1" t="n">
        <v>44542</v>
      </c>
      <c r="C5967" s="1" t="n">
        <v>45810</v>
      </c>
      <c r="D5967" t="inlineStr">
        <is>
          <t>VÄRMLANDS LÄN</t>
        </is>
      </c>
      <c r="E5967" t="inlineStr">
        <is>
          <t>FORSHAGA</t>
        </is>
      </c>
      <c r="G5967" t="n">
        <v>1.9</v>
      </c>
      <c r="H5967" t="n">
        <v>0</v>
      </c>
      <c r="I5967" t="n">
        <v>0</v>
      </c>
      <c r="J5967" t="n">
        <v>0</v>
      </c>
      <c r="K5967" t="n">
        <v>0</v>
      </c>
      <c r="L5967" t="n">
        <v>0</v>
      </c>
      <c r="M5967" t="n">
        <v>0</v>
      </c>
      <c r="N5967" t="n">
        <v>0</v>
      </c>
      <c r="O5967" t="n">
        <v>0</v>
      </c>
      <c r="P5967" t="n">
        <v>0</v>
      </c>
      <c r="Q5967" t="n">
        <v>0</v>
      </c>
      <c r="R5967" s="2" t="inlineStr"/>
    </row>
    <row r="5968" ht="15" customHeight="1">
      <c r="A5968" t="inlineStr">
        <is>
          <t>A 71679-2021</t>
        </is>
      </c>
      <c r="B5968" s="1" t="n">
        <v>44543</v>
      </c>
      <c r="C5968" s="1" t="n">
        <v>45810</v>
      </c>
      <c r="D5968" t="inlineStr">
        <is>
          <t>VÄRMLANDS LÄN</t>
        </is>
      </c>
      <c r="E5968" t="inlineStr">
        <is>
          <t>TORSBY</t>
        </is>
      </c>
      <c r="G5968" t="n">
        <v>2.3</v>
      </c>
      <c r="H5968" t="n">
        <v>0</v>
      </c>
      <c r="I5968" t="n">
        <v>0</v>
      </c>
      <c r="J5968" t="n">
        <v>0</v>
      </c>
      <c r="K5968" t="n">
        <v>0</v>
      </c>
      <c r="L5968" t="n">
        <v>0</v>
      </c>
      <c r="M5968" t="n">
        <v>0</v>
      </c>
      <c r="N5968" t="n">
        <v>0</v>
      </c>
      <c r="O5968" t="n">
        <v>0</v>
      </c>
      <c r="P5968" t="n">
        <v>0</v>
      </c>
      <c r="Q5968" t="n">
        <v>0</v>
      </c>
      <c r="R5968" s="2" t="inlineStr"/>
    </row>
    <row r="5969" ht="15" customHeight="1">
      <c r="A5969" t="inlineStr">
        <is>
          <t>A 71742-2021</t>
        </is>
      </c>
      <c r="B5969" s="1" t="n">
        <v>44543</v>
      </c>
      <c r="C5969" s="1" t="n">
        <v>45810</v>
      </c>
      <c r="D5969" t="inlineStr">
        <is>
          <t>VÄRMLANDS LÄN</t>
        </is>
      </c>
      <c r="E5969" t="inlineStr">
        <is>
          <t>SÄFFLE</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71778-2021</t>
        </is>
      </c>
      <c r="B5970" s="1" t="n">
        <v>44543</v>
      </c>
      <c r="C5970" s="1" t="n">
        <v>45810</v>
      </c>
      <c r="D5970" t="inlineStr">
        <is>
          <t>VÄRMLANDS LÄN</t>
        </is>
      </c>
      <c r="E5970" t="inlineStr">
        <is>
          <t>ARVIKA</t>
        </is>
      </c>
      <c r="G5970" t="n">
        <v>2.5</v>
      </c>
      <c r="H5970" t="n">
        <v>0</v>
      </c>
      <c r="I5970" t="n">
        <v>0</v>
      </c>
      <c r="J5970" t="n">
        <v>0</v>
      </c>
      <c r="K5970" t="n">
        <v>0</v>
      </c>
      <c r="L5970" t="n">
        <v>0</v>
      </c>
      <c r="M5970" t="n">
        <v>0</v>
      </c>
      <c r="N5970" t="n">
        <v>0</v>
      </c>
      <c r="O5970" t="n">
        <v>0</v>
      </c>
      <c r="P5970" t="n">
        <v>0</v>
      </c>
      <c r="Q5970" t="n">
        <v>0</v>
      </c>
      <c r="R5970" s="2" t="inlineStr"/>
    </row>
    <row r="5971" ht="15" customHeight="1">
      <c r="A5971" t="inlineStr">
        <is>
          <t>A 71842-2021</t>
        </is>
      </c>
      <c r="B5971" s="1" t="n">
        <v>44543</v>
      </c>
      <c r="C5971" s="1" t="n">
        <v>45810</v>
      </c>
      <c r="D5971" t="inlineStr">
        <is>
          <t>VÄRMLANDS LÄN</t>
        </is>
      </c>
      <c r="E5971" t="inlineStr">
        <is>
          <t>ÅRJÄNG</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71706-2021</t>
        </is>
      </c>
      <c r="B5972" s="1" t="n">
        <v>44543</v>
      </c>
      <c r="C5972" s="1" t="n">
        <v>45810</v>
      </c>
      <c r="D5972" t="inlineStr">
        <is>
          <t>VÄRMLANDS LÄN</t>
        </is>
      </c>
      <c r="E5972" t="inlineStr">
        <is>
          <t>GRUMS</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71728-2021</t>
        </is>
      </c>
      <c r="B5973" s="1" t="n">
        <v>44543</v>
      </c>
      <c r="C5973" s="1" t="n">
        <v>45810</v>
      </c>
      <c r="D5973" t="inlineStr">
        <is>
          <t>VÄRMLANDS LÄN</t>
        </is>
      </c>
      <c r="E5973" t="inlineStr">
        <is>
          <t>KIL</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71818-2021</t>
        </is>
      </c>
      <c r="B5974" s="1" t="n">
        <v>44543</v>
      </c>
      <c r="C5974" s="1" t="n">
        <v>45810</v>
      </c>
      <c r="D5974" t="inlineStr">
        <is>
          <t>VÄRMLANDS LÄN</t>
        </is>
      </c>
      <c r="E5974" t="inlineStr">
        <is>
          <t>SUNNE</t>
        </is>
      </c>
      <c r="G5974" t="n">
        <v>3.2</v>
      </c>
      <c r="H5974" t="n">
        <v>0</v>
      </c>
      <c r="I5974" t="n">
        <v>0</v>
      </c>
      <c r="J5974" t="n">
        <v>0</v>
      </c>
      <c r="K5974" t="n">
        <v>0</v>
      </c>
      <c r="L5974" t="n">
        <v>0</v>
      </c>
      <c r="M5974" t="n">
        <v>0</v>
      </c>
      <c r="N5974" t="n">
        <v>0</v>
      </c>
      <c r="O5974" t="n">
        <v>0</v>
      </c>
      <c r="P5974" t="n">
        <v>0</v>
      </c>
      <c r="Q5974" t="n">
        <v>0</v>
      </c>
      <c r="R5974" s="2" t="inlineStr"/>
    </row>
    <row r="5975" ht="15" customHeight="1">
      <c r="A5975" t="inlineStr">
        <is>
          <t>A 71834-2021</t>
        </is>
      </c>
      <c r="B5975" s="1" t="n">
        <v>44543</v>
      </c>
      <c r="C5975" s="1" t="n">
        <v>45810</v>
      </c>
      <c r="D5975" t="inlineStr">
        <is>
          <t>VÄRMLANDS LÄN</t>
        </is>
      </c>
      <c r="E5975" t="inlineStr">
        <is>
          <t>ÅRJÄNG</t>
        </is>
      </c>
      <c r="G5975" t="n">
        <v>0.8</v>
      </c>
      <c r="H5975" t="n">
        <v>0</v>
      </c>
      <c r="I5975" t="n">
        <v>0</v>
      </c>
      <c r="J5975" t="n">
        <v>0</v>
      </c>
      <c r="K5975" t="n">
        <v>0</v>
      </c>
      <c r="L5975" t="n">
        <v>0</v>
      </c>
      <c r="M5975" t="n">
        <v>0</v>
      </c>
      <c r="N5975" t="n">
        <v>0</v>
      </c>
      <c r="O5975" t="n">
        <v>0</v>
      </c>
      <c r="P5975" t="n">
        <v>0</v>
      </c>
      <c r="Q5975" t="n">
        <v>0</v>
      </c>
      <c r="R5975" s="2" t="inlineStr"/>
    </row>
    <row r="5976" ht="15" customHeight="1">
      <c r="A5976" t="inlineStr">
        <is>
          <t>A 71724-2021</t>
        </is>
      </c>
      <c r="B5976" s="1" t="n">
        <v>44543</v>
      </c>
      <c r="C5976" s="1" t="n">
        <v>45810</v>
      </c>
      <c r="D5976" t="inlineStr">
        <is>
          <t>VÄRMLANDS LÄN</t>
        </is>
      </c>
      <c r="E5976" t="inlineStr">
        <is>
          <t>EDA</t>
        </is>
      </c>
      <c r="G5976" t="n">
        <v>1.7</v>
      </c>
      <c r="H5976" t="n">
        <v>0</v>
      </c>
      <c r="I5976" t="n">
        <v>0</v>
      </c>
      <c r="J5976" t="n">
        <v>0</v>
      </c>
      <c r="K5976" t="n">
        <v>0</v>
      </c>
      <c r="L5976" t="n">
        <v>0</v>
      </c>
      <c r="M5976" t="n">
        <v>0</v>
      </c>
      <c r="N5976" t="n">
        <v>0</v>
      </c>
      <c r="O5976" t="n">
        <v>0</v>
      </c>
      <c r="P5976" t="n">
        <v>0</v>
      </c>
      <c r="Q5976" t="n">
        <v>0</v>
      </c>
      <c r="R5976" s="2" t="inlineStr"/>
    </row>
    <row r="5977" ht="15" customHeight="1">
      <c r="A5977" t="inlineStr">
        <is>
          <t>A 71837-2021</t>
        </is>
      </c>
      <c r="B5977" s="1" t="n">
        <v>44543</v>
      </c>
      <c r="C5977" s="1" t="n">
        <v>45810</v>
      </c>
      <c r="D5977" t="inlineStr">
        <is>
          <t>VÄRMLANDS LÄN</t>
        </is>
      </c>
      <c r="E5977" t="inlineStr">
        <is>
          <t>ÅRJÄNG</t>
        </is>
      </c>
      <c r="G5977" t="n">
        <v>7.2</v>
      </c>
      <c r="H5977" t="n">
        <v>0</v>
      </c>
      <c r="I5977" t="n">
        <v>0</v>
      </c>
      <c r="J5977" t="n">
        <v>0</v>
      </c>
      <c r="K5977" t="n">
        <v>0</v>
      </c>
      <c r="L5977" t="n">
        <v>0</v>
      </c>
      <c r="M5977" t="n">
        <v>0</v>
      </c>
      <c r="N5977" t="n">
        <v>0</v>
      </c>
      <c r="O5977" t="n">
        <v>0</v>
      </c>
      <c r="P5977" t="n">
        <v>0</v>
      </c>
      <c r="Q5977" t="n">
        <v>0</v>
      </c>
      <c r="R5977" s="2" t="inlineStr"/>
    </row>
    <row r="5978" ht="15" customHeight="1">
      <c r="A5978" t="inlineStr">
        <is>
          <t>A 71903-2021</t>
        </is>
      </c>
      <c r="B5978" s="1" t="n">
        <v>44543</v>
      </c>
      <c r="C5978" s="1" t="n">
        <v>45810</v>
      </c>
      <c r="D5978" t="inlineStr">
        <is>
          <t>VÄRMLANDS LÄN</t>
        </is>
      </c>
      <c r="E5978" t="inlineStr">
        <is>
          <t>GRUMS</t>
        </is>
      </c>
      <c r="G5978" t="n">
        <v>6.3</v>
      </c>
      <c r="H5978" t="n">
        <v>0</v>
      </c>
      <c r="I5978" t="n">
        <v>0</v>
      </c>
      <c r="J5978" t="n">
        <v>0</v>
      </c>
      <c r="K5978" t="n">
        <v>0</v>
      </c>
      <c r="L5978" t="n">
        <v>0</v>
      </c>
      <c r="M5978" t="n">
        <v>0</v>
      </c>
      <c r="N5978" t="n">
        <v>0</v>
      </c>
      <c r="O5978" t="n">
        <v>0</v>
      </c>
      <c r="P5978" t="n">
        <v>0</v>
      </c>
      <c r="Q5978" t="n">
        <v>0</v>
      </c>
      <c r="R5978" s="2" t="inlineStr"/>
    </row>
    <row r="5979" ht="15" customHeight="1">
      <c r="A5979" t="inlineStr">
        <is>
          <t>A 71840-2021</t>
        </is>
      </c>
      <c r="B5979" s="1" t="n">
        <v>44543</v>
      </c>
      <c r="C5979" s="1" t="n">
        <v>45810</v>
      </c>
      <c r="D5979" t="inlineStr">
        <is>
          <t>VÄRMLANDS LÄN</t>
        </is>
      </c>
      <c r="E5979" t="inlineStr">
        <is>
          <t>ÅRJÄNG</t>
        </is>
      </c>
      <c r="G5979" t="n">
        <v>6.5</v>
      </c>
      <c r="H5979" t="n">
        <v>0</v>
      </c>
      <c r="I5979" t="n">
        <v>0</v>
      </c>
      <c r="J5979" t="n">
        <v>0</v>
      </c>
      <c r="K5979" t="n">
        <v>0</v>
      </c>
      <c r="L5979" t="n">
        <v>0</v>
      </c>
      <c r="M5979" t="n">
        <v>0</v>
      </c>
      <c r="N5979" t="n">
        <v>0</v>
      </c>
      <c r="O5979" t="n">
        <v>0</v>
      </c>
      <c r="P5979" t="n">
        <v>0</v>
      </c>
      <c r="Q5979" t="n">
        <v>0</v>
      </c>
      <c r="R5979" s="2" t="inlineStr"/>
    </row>
    <row r="5980" ht="15" customHeight="1">
      <c r="A5980" t="inlineStr">
        <is>
          <t>A 71886-2021</t>
        </is>
      </c>
      <c r="B5980" s="1" t="n">
        <v>44543</v>
      </c>
      <c r="C5980" s="1" t="n">
        <v>45810</v>
      </c>
      <c r="D5980" t="inlineStr">
        <is>
          <t>VÄRMLANDS LÄN</t>
        </is>
      </c>
      <c r="E5980" t="inlineStr">
        <is>
          <t>ARVIKA</t>
        </is>
      </c>
      <c r="G5980" t="n">
        <v>8</v>
      </c>
      <c r="H5980" t="n">
        <v>0</v>
      </c>
      <c r="I5980" t="n">
        <v>0</v>
      </c>
      <c r="J5980" t="n">
        <v>0</v>
      </c>
      <c r="K5980" t="n">
        <v>0</v>
      </c>
      <c r="L5980" t="n">
        <v>0</v>
      </c>
      <c r="M5980" t="n">
        <v>0</v>
      </c>
      <c r="N5980" t="n">
        <v>0</v>
      </c>
      <c r="O5980" t="n">
        <v>0</v>
      </c>
      <c r="P5980" t="n">
        <v>0</v>
      </c>
      <c r="Q5980" t="n">
        <v>0</v>
      </c>
      <c r="R5980" s="2" t="inlineStr"/>
    </row>
    <row r="5981" ht="15" customHeight="1">
      <c r="A5981" t="inlineStr">
        <is>
          <t>A 71895-2021</t>
        </is>
      </c>
      <c r="B5981" s="1" t="n">
        <v>44543</v>
      </c>
      <c r="C5981" s="1" t="n">
        <v>45810</v>
      </c>
      <c r="D5981" t="inlineStr">
        <is>
          <t>VÄRMLANDS LÄN</t>
        </is>
      </c>
      <c r="E5981" t="inlineStr">
        <is>
          <t>ÅRJÄNG</t>
        </is>
      </c>
      <c r="G5981" t="n">
        <v>5.3</v>
      </c>
      <c r="H5981" t="n">
        <v>0</v>
      </c>
      <c r="I5981" t="n">
        <v>0</v>
      </c>
      <c r="J5981" t="n">
        <v>0</v>
      </c>
      <c r="K5981" t="n">
        <v>0</v>
      </c>
      <c r="L5981" t="n">
        <v>0</v>
      </c>
      <c r="M5981" t="n">
        <v>0</v>
      </c>
      <c r="N5981" t="n">
        <v>0</v>
      </c>
      <c r="O5981" t="n">
        <v>0</v>
      </c>
      <c r="P5981" t="n">
        <v>0</v>
      </c>
      <c r="Q5981" t="n">
        <v>0</v>
      </c>
      <c r="R5981" s="2" t="inlineStr"/>
    </row>
    <row r="5982" ht="15" customHeight="1">
      <c r="A5982" t="inlineStr">
        <is>
          <t>A 72118-2021</t>
        </is>
      </c>
      <c r="B5982" s="1" t="n">
        <v>44543</v>
      </c>
      <c r="C5982" s="1" t="n">
        <v>45810</v>
      </c>
      <c r="D5982" t="inlineStr">
        <is>
          <t>VÄRMLANDS LÄN</t>
        </is>
      </c>
      <c r="E5982" t="inlineStr">
        <is>
          <t>FILIPSTAD</t>
        </is>
      </c>
      <c r="G5982" t="n">
        <v>2.3</v>
      </c>
      <c r="H5982" t="n">
        <v>0</v>
      </c>
      <c r="I5982" t="n">
        <v>0</v>
      </c>
      <c r="J5982" t="n">
        <v>0</v>
      </c>
      <c r="K5982" t="n">
        <v>0</v>
      </c>
      <c r="L5982" t="n">
        <v>0</v>
      </c>
      <c r="M5982" t="n">
        <v>0</v>
      </c>
      <c r="N5982" t="n">
        <v>0</v>
      </c>
      <c r="O5982" t="n">
        <v>0</v>
      </c>
      <c r="P5982" t="n">
        <v>0</v>
      </c>
      <c r="Q5982" t="n">
        <v>0</v>
      </c>
      <c r="R5982" s="2" t="inlineStr"/>
    </row>
    <row r="5983" ht="15" customHeight="1">
      <c r="A5983" t="inlineStr">
        <is>
          <t>A 71994-2021</t>
        </is>
      </c>
      <c r="B5983" s="1" t="n">
        <v>44544</v>
      </c>
      <c r="C5983" s="1" t="n">
        <v>45810</v>
      </c>
      <c r="D5983" t="inlineStr">
        <is>
          <t>VÄRMLANDS LÄN</t>
        </is>
      </c>
      <c r="E5983" t="inlineStr">
        <is>
          <t>SUNNE</t>
        </is>
      </c>
      <c r="G5983" t="n">
        <v>3.8</v>
      </c>
      <c r="H5983" t="n">
        <v>0</v>
      </c>
      <c r="I5983" t="n">
        <v>0</v>
      </c>
      <c r="J5983" t="n">
        <v>0</v>
      </c>
      <c r="K5983" t="n">
        <v>0</v>
      </c>
      <c r="L5983" t="n">
        <v>0</v>
      </c>
      <c r="M5983" t="n">
        <v>0</v>
      </c>
      <c r="N5983" t="n">
        <v>0</v>
      </c>
      <c r="O5983" t="n">
        <v>0</v>
      </c>
      <c r="P5983" t="n">
        <v>0</v>
      </c>
      <c r="Q5983" t="n">
        <v>0</v>
      </c>
      <c r="R5983" s="2" t="inlineStr"/>
    </row>
    <row r="5984" ht="15" customHeight="1">
      <c r="A5984" t="inlineStr">
        <is>
          <t>A 72013-2021</t>
        </is>
      </c>
      <c r="B5984" s="1" t="n">
        <v>44544</v>
      </c>
      <c r="C5984" s="1" t="n">
        <v>45810</v>
      </c>
      <c r="D5984" t="inlineStr">
        <is>
          <t>VÄRMLANDS LÄN</t>
        </is>
      </c>
      <c r="E5984" t="inlineStr">
        <is>
          <t>KARLSTAD</t>
        </is>
      </c>
      <c r="G5984" t="n">
        <v>4.2</v>
      </c>
      <c r="H5984" t="n">
        <v>0</v>
      </c>
      <c r="I5984" t="n">
        <v>0</v>
      </c>
      <c r="J5984" t="n">
        <v>0</v>
      </c>
      <c r="K5984" t="n">
        <v>0</v>
      </c>
      <c r="L5984" t="n">
        <v>0</v>
      </c>
      <c r="M5984" t="n">
        <v>0</v>
      </c>
      <c r="N5984" t="n">
        <v>0</v>
      </c>
      <c r="O5984" t="n">
        <v>0</v>
      </c>
      <c r="P5984" t="n">
        <v>0</v>
      </c>
      <c r="Q5984" t="n">
        <v>0</v>
      </c>
      <c r="R5984" s="2" t="inlineStr"/>
    </row>
    <row r="5985" ht="15" customHeight="1">
      <c r="A5985" t="inlineStr">
        <is>
          <t>A 71971-2021</t>
        </is>
      </c>
      <c r="B5985" s="1" t="n">
        <v>44544</v>
      </c>
      <c r="C5985" s="1" t="n">
        <v>45810</v>
      </c>
      <c r="D5985" t="inlineStr">
        <is>
          <t>VÄRMLANDS LÄN</t>
        </is>
      </c>
      <c r="E5985" t="inlineStr">
        <is>
          <t>FILIPSTAD</t>
        </is>
      </c>
      <c r="F5985" t="inlineStr">
        <is>
          <t>Bergvik skog väst AB</t>
        </is>
      </c>
      <c r="G5985" t="n">
        <v>6.1</v>
      </c>
      <c r="H5985" t="n">
        <v>0</v>
      </c>
      <c r="I5985" t="n">
        <v>0</v>
      </c>
      <c r="J5985" t="n">
        <v>0</v>
      </c>
      <c r="K5985" t="n">
        <v>0</v>
      </c>
      <c r="L5985" t="n">
        <v>0</v>
      </c>
      <c r="M5985" t="n">
        <v>0</v>
      </c>
      <c r="N5985" t="n">
        <v>0</v>
      </c>
      <c r="O5985" t="n">
        <v>0</v>
      </c>
      <c r="P5985" t="n">
        <v>0</v>
      </c>
      <c r="Q5985" t="n">
        <v>0</v>
      </c>
      <c r="R5985" s="2" t="inlineStr"/>
    </row>
    <row r="5986" ht="15" customHeight="1">
      <c r="A5986" t="inlineStr">
        <is>
          <t>A 72072-2021</t>
        </is>
      </c>
      <c r="B5986" s="1" t="n">
        <v>44544</v>
      </c>
      <c r="C5986" s="1" t="n">
        <v>45810</v>
      </c>
      <c r="D5986" t="inlineStr">
        <is>
          <t>VÄRMLANDS LÄN</t>
        </is>
      </c>
      <c r="E5986" t="inlineStr">
        <is>
          <t>KARLSTAD</t>
        </is>
      </c>
      <c r="F5986" t="inlineStr">
        <is>
          <t>Kommuner</t>
        </is>
      </c>
      <c r="G5986" t="n">
        <v>3</v>
      </c>
      <c r="H5986" t="n">
        <v>0</v>
      </c>
      <c r="I5986" t="n">
        <v>0</v>
      </c>
      <c r="J5986" t="n">
        <v>0</v>
      </c>
      <c r="K5986" t="n">
        <v>0</v>
      </c>
      <c r="L5986" t="n">
        <v>0</v>
      </c>
      <c r="M5986" t="n">
        <v>0</v>
      </c>
      <c r="N5986" t="n">
        <v>0</v>
      </c>
      <c r="O5986" t="n">
        <v>0</v>
      </c>
      <c r="P5986" t="n">
        <v>0</v>
      </c>
      <c r="Q5986" t="n">
        <v>0</v>
      </c>
      <c r="R5986" s="2" t="inlineStr"/>
    </row>
    <row r="5987" ht="15" customHeight="1">
      <c r="A5987" t="inlineStr">
        <is>
          <t>A 71990-2021</t>
        </is>
      </c>
      <c r="B5987" s="1" t="n">
        <v>44544</v>
      </c>
      <c r="C5987" s="1" t="n">
        <v>45810</v>
      </c>
      <c r="D5987" t="inlineStr">
        <is>
          <t>VÄRMLANDS LÄN</t>
        </is>
      </c>
      <c r="E5987" t="inlineStr">
        <is>
          <t>TORSBY</t>
        </is>
      </c>
      <c r="G5987" t="n">
        <v>4.6</v>
      </c>
      <c r="H5987" t="n">
        <v>0</v>
      </c>
      <c r="I5987" t="n">
        <v>0</v>
      </c>
      <c r="J5987" t="n">
        <v>0</v>
      </c>
      <c r="K5987" t="n">
        <v>0</v>
      </c>
      <c r="L5987" t="n">
        <v>0</v>
      </c>
      <c r="M5987" t="n">
        <v>0</v>
      </c>
      <c r="N5987" t="n">
        <v>0</v>
      </c>
      <c r="O5987" t="n">
        <v>0</v>
      </c>
      <c r="P5987" t="n">
        <v>0</v>
      </c>
      <c r="Q5987" t="n">
        <v>0</v>
      </c>
      <c r="R5987" s="2" t="inlineStr"/>
    </row>
    <row r="5988" ht="15" customHeight="1">
      <c r="A5988" t="inlineStr">
        <is>
          <t>A 72076-2021</t>
        </is>
      </c>
      <c r="B5988" s="1" t="n">
        <v>44544</v>
      </c>
      <c r="C5988" s="1" t="n">
        <v>45810</v>
      </c>
      <c r="D5988" t="inlineStr">
        <is>
          <t>VÄRMLANDS LÄN</t>
        </is>
      </c>
      <c r="E5988" t="inlineStr">
        <is>
          <t>FILIPSTAD</t>
        </is>
      </c>
      <c r="F5988" t="inlineStr">
        <is>
          <t>Bergvik skog väst AB</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72073-2021</t>
        </is>
      </c>
      <c r="B5989" s="1" t="n">
        <v>44544</v>
      </c>
      <c r="C5989" s="1" t="n">
        <v>45810</v>
      </c>
      <c r="D5989" t="inlineStr">
        <is>
          <t>VÄRMLANDS LÄN</t>
        </is>
      </c>
      <c r="E5989" t="inlineStr">
        <is>
          <t>KIL</t>
        </is>
      </c>
      <c r="G5989" t="n">
        <v>9.6</v>
      </c>
      <c r="H5989" t="n">
        <v>0</v>
      </c>
      <c r="I5989" t="n">
        <v>0</v>
      </c>
      <c r="J5989" t="n">
        <v>0</v>
      </c>
      <c r="K5989" t="n">
        <v>0</v>
      </c>
      <c r="L5989" t="n">
        <v>0</v>
      </c>
      <c r="M5989" t="n">
        <v>0</v>
      </c>
      <c r="N5989" t="n">
        <v>0</v>
      </c>
      <c r="O5989" t="n">
        <v>0</v>
      </c>
      <c r="P5989" t="n">
        <v>0</v>
      </c>
      <c r="Q5989" t="n">
        <v>0</v>
      </c>
      <c r="R5989" s="2" t="inlineStr"/>
    </row>
    <row r="5990" ht="15" customHeight="1">
      <c r="A5990" t="inlineStr">
        <is>
          <t>A 72339-2021</t>
        </is>
      </c>
      <c r="B5990" s="1" t="n">
        <v>44544</v>
      </c>
      <c r="C5990" s="1" t="n">
        <v>45810</v>
      </c>
      <c r="D5990" t="inlineStr">
        <is>
          <t>VÄRMLANDS LÄN</t>
        </is>
      </c>
      <c r="E5990" t="inlineStr">
        <is>
          <t>KARLSTAD</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72200-2021</t>
        </is>
      </c>
      <c r="B5991" s="1" t="n">
        <v>44544</v>
      </c>
      <c r="C5991" s="1" t="n">
        <v>45810</v>
      </c>
      <c r="D5991" t="inlineStr">
        <is>
          <t>VÄRMLANDS LÄN</t>
        </is>
      </c>
      <c r="E5991" t="inlineStr">
        <is>
          <t>TORSBY</t>
        </is>
      </c>
      <c r="G5991" t="n">
        <v>3.3</v>
      </c>
      <c r="H5991" t="n">
        <v>0</v>
      </c>
      <c r="I5991" t="n">
        <v>0</v>
      </c>
      <c r="J5991" t="n">
        <v>0</v>
      </c>
      <c r="K5991" t="n">
        <v>0</v>
      </c>
      <c r="L5991" t="n">
        <v>0</v>
      </c>
      <c r="M5991" t="n">
        <v>0</v>
      </c>
      <c r="N5991" t="n">
        <v>0</v>
      </c>
      <c r="O5991" t="n">
        <v>0</v>
      </c>
      <c r="P5991" t="n">
        <v>0</v>
      </c>
      <c r="Q5991" t="n">
        <v>0</v>
      </c>
      <c r="R5991" s="2" t="inlineStr"/>
    </row>
    <row r="5992" ht="15" customHeight="1">
      <c r="A5992" t="inlineStr">
        <is>
          <t>A 72240-2021</t>
        </is>
      </c>
      <c r="B5992" s="1" t="n">
        <v>44544</v>
      </c>
      <c r="C5992" s="1" t="n">
        <v>45810</v>
      </c>
      <c r="D5992" t="inlineStr">
        <is>
          <t>VÄRMLANDS LÄN</t>
        </is>
      </c>
      <c r="E5992" t="inlineStr">
        <is>
          <t>FORSHAGA</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72346-2021</t>
        </is>
      </c>
      <c r="B5993" s="1" t="n">
        <v>44544</v>
      </c>
      <c r="C5993" s="1" t="n">
        <v>45810</v>
      </c>
      <c r="D5993" t="inlineStr">
        <is>
          <t>VÄRMLANDS LÄN</t>
        </is>
      </c>
      <c r="E5993" t="inlineStr">
        <is>
          <t>KARLSTAD</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72250-2021</t>
        </is>
      </c>
      <c r="B5994" s="1" t="n">
        <v>44544</v>
      </c>
      <c r="C5994" s="1" t="n">
        <v>45810</v>
      </c>
      <c r="D5994" t="inlineStr">
        <is>
          <t>VÄRMLANDS LÄN</t>
        </is>
      </c>
      <c r="E5994" t="inlineStr">
        <is>
          <t>TORSBY</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72334-2021</t>
        </is>
      </c>
      <c r="B5995" s="1" t="n">
        <v>44545</v>
      </c>
      <c r="C5995" s="1" t="n">
        <v>45810</v>
      </c>
      <c r="D5995" t="inlineStr">
        <is>
          <t>VÄRMLANDS LÄN</t>
        </is>
      </c>
      <c r="E5995" t="inlineStr">
        <is>
          <t>FILIPSTAD</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72410-2021</t>
        </is>
      </c>
      <c r="B5996" s="1" t="n">
        <v>44545</v>
      </c>
      <c r="C5996" s="1" t="n">
        <v>45810</v>
      </c>
      <c r="D5996" t="inlineStr">
        <is>
          <t>VÄRMLANDS LÄN</t>
        </is>
      </c>
      <c r="E5996" t="inlineStr">
        <is>
          <t>SUNNE</t>
        </is>
      </c>
      <c r="G5996" t="n">
        <v>2.2</v>
      </c>
      <c r="H5996" t="n">
        <v>0</v>
      </c>
      <c r="I5996" t="n">
        <v>0</v>
      </c>
      <c r="J5996" t="n">
        <v>0</v>
      </c>
      <c r="K5996" t="n">
        <v>0</v>
      </c>
      <c r="L5996" t="n">
        <v>0</v>
      </c>
      <c r="M5996" t="n">
        <v>0</v>
      </c>
      <c r="N5996" t="n">
        <v>0</v>
      </c>
      <c r="O5996" t="n">
        <v>0</v>
      </c>
      <c r="P5996" t="n">
        <v>0</v>
      </c>
      <c r="Q5996" t="n">
        <v>0</v>
      </c>
      <c r="R5996" s="2" t="inlineStr"/>
    </row>
    <row r="5997" ht="15" customHeight="1">
      <c r="A5997" t="inlineStr">
        <is>
          <t>A 72375-2021</t>
        </is>
      </c>
      <c r="B5997" s="1" t="n">
        <v>44545</v>
      </c>
      <c r="C5997" s="1" t="n">
        <v>45810</v>
      </c>
      <c r="D5997" t="inlineStr">
        <is>
          <t>VÄRMLANDS LÄN</t>
        </is>
      </c>
      <c r="E5997" t="inlineStr">
        <is>
          <t>HAGFORS</t>
        </is>
      </c>
      <c r="G5997" t="n">
        <v>4.5</v>
      </c>
      <c r="H5997" t="n">
        <v>0</v>
      </c>
      <c r="I5997" t="n">
        <v>0</v>
      </c>
      <c r="J5997" t="n">
        <v>0</v>
      </c>
      <c r="K5997" t="n">
        <v>0</v>
      </c>
      <c r="L5997" t="n">
        <v>0</v>
      </c>
      <c r="M5997" t="n">
        <v>0</v>
      </c>
      <c r="N5997" t="n">
        <v>0</v>
      </c>
      <c r="O5997" t="n">
        <v>0</v>
      </c>
      <c r="P5997" t="n">
        <v>0</v>
      </c>
      <c r="Q5997" t="n">
        <v>0</v>
      </c>
      <c r="R5997" s="2" t="inlineStr"/>
    </row>
    <row r="5998" ht="15" customHeight="1">
      <c r="A5998" t="inlineStr">
        <is>
          <t>A 72407-2021</t>
        </is>
      </c>
      <c r="B5998" s="1" t="n">
        <v>44545</v>
      </c>
      <c r="C5998" s="1" t="n">
        <v>45810</v>
      </c>
      <c r="D5998" t="inlineStr">
        <is>
          <t>VÄRMLANDS LÄN</t>
        </is>
      </c>
      <c r="E5998" t="inlineStr">
        <is>
          <t>SUNNE</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72412-2021</t>
        </is>
      </c>
      <c r="B5999" s="1" t="n">
        <v>44545</v>
      </c>
      <c r="C5999" s="1" t="n">
        <v>45810</v>
      </c>
      <c r="D5999" t="inlineStr">
        <is>
          <t>VÄRMLANDS LÄN</t>
        </is>
      </c>
      <c r="E5999" t="inlineStr">
        <is>
          <t>HAGFORS</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72291-2021</t>
        </is>
      </c>
      <c r="B6000" s="1" t="n">
        <v>44545</v>
      </c>
      <c r="C6000" s="1" t="n">
        <v>45810</v>
      </c>
      <c r="D6000" t="inlineStr">
        <is>
          <t>VÄRMLANDS LÄN</t>
        </is>
      </c>
      <c r="E6000" t="inlineStr">
        <is>
          <t>ÅRJÄNG</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72365-2021</t>
        </is>
      </c>
      <c r="B6001" s="1" t="n">
        <v>44545</v>
      </c>
      <c r="C6001" s="1" t="n">
        <v>45810</v>
      </c>
      <c r="D6001" t="inlineStr">
        <is>
          <t>VÄRMLANDS LÄN</t>
        </is>
      </c>
      <c r="E6001" t="inlineStr">
        <is>
          <t>HAGFORS</t>
        </is>
      </c>
      <c r="G6001" t="n">
        <v>3.8</v>
      </c>
      <c r="H6001" t="n">
        <v>0</v>
      </c>
      <c r="I6001" t="n">
        <v>0</v>
      </c>
      <c r="J6001" t="n">
        <v>0</v>
      </c>
      <c r="K6001" t="n">
        <v>0</v>
      </c>
      <c r="L6001" t="n">
        <v>0</v>
      </c>
      <c r="M6001" t="n">
        <v>0</v>
      </c>
      <c r="N6001" t="n">
        <v>0</v>
      </c>
      <c r="O6001" t="n">
        <v>0</v>
      </c>
      <c r="P6001" t="n">
        <v>0</v>
      </c>
      <c r="Q6001" t="n">
        <v>0</v>
      </c>
      <c r="R6001" s="2" t="inlineStr"/>
    </row>
    <row r="6002" ht="15" customHeight="1">
      <c r="A6002" t="inlineStr">
        <is>
          <t>A 72476-2021</t>
        </is>
      </c>
      <c r="B6002" s="1" t="n">
        <v>44545</v>
      </c>
      <c r="C6002" s="1" t="n">
        <v>45810</v>
      </c>
      <c r="D6002" t="inlineStr">
        <is>
          <t>VÄRMLANDS LÄN</t>
        </is>
      </c>
      <c r="E6002" t="inlineStr">
        <is>
          <t>ÅRJÄNG</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72454-2021</t>
        </is>
      </c>
      <c r="B6003" s="1" t="n">
        <v>44545</v>
      </c>
      <c r="C6003" s="1" t="n">
        <v>45810</v>
      </c>
      <c r="D6003" t="inlineStr">
        <is>
          <t>VÄRMLANDS LÄN</t>
        </is>
      </c>
      <c r="E6003" t="inlineStr">
        <is>
          <t>HAGFORS</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72520-2021</t>
        </is>
      </c>
      <c r="B6004" s="1" t="n">
        <v>44546</v>
      </c>
      <c r="C6004" s="1" t="n">
        <v>45810</v>
      </c>
      <c r="D6004" t="inlineStr">
        <is>
          <t>VÄRMLANDS LÄN</t>
        </is>
      </c>
      <c r="E6004" t="inlineStr">
        <is>
          <t>SUNNE</t>
        </is>
      </c>
      <c r="G6004" t="n">
        <v>2.5</v>
      </c>
      <c r="H6004" t="n">
        <v>0</v>
      </c>
      <c r="I6004" t="n">
        <v>0</v>
      </c>
      <c r="J6004" t="n">
        <v>0</v>
      </c>
      <c r="K6004" t="n">
        <v>0</v>
      </c>
      <c r="L6004" t="n">
        <v>0</v>
      </c>
      <c r="M6004" t="n">
        <v>0</v>
      </c>
      <c r="N6004" t="n">
        <v>0</v>
      </c>
      <c r="O6004" t="n">
        <v>0</v>
      </c>
      <c r="P6004" t="n">
        <v>0</v>
      </c>
      <c r="Q6004" t="n">
        <v>0</v>
      </c>
      <c r="R6004" s="2" t="inlineStr"/>
    </row>
    <row r="6005" ht="15" customHeight="1">
      <c r="A6005" t="inlineStr">
        <is>
          <t>A 72517-2021</t>
        </is>
      </c>
      <c r="B6005" s="1" t="n">
        <v>44546</v>
      </c>
      <c r="C6005" s="1" t="n">
        <v>45810</v>
      </c>
      <c r="D6005" t="inlineStr">
        <is>
          <t>VÄRMLANDS LÄN</t>
        </is>
      </c>
      <c r="E6005" t="inlineStr">
        <is>
          <t>ARVIKA</t>
        </is>
      </c>
      <c r="G6005" t="n">
        <v>2.3</v>
      </c>
      <c r="H6005" t="n">
        <v>0</v>
      </c>
      <c r="I6005" t="n">
        <v>0</v>
      </c>
      <c r="J6005" t="n">
        <v>0</v>
      </c>
      <c r="K6005" t="n">
        <v>0</v>
      </c>
      <c r="L6005" t="n">
        <v>0</v>
      </c>
      <c r="M6005" t="n">
        <v>0</v>
      </c>
      <c r="N6005" t="n">
        <v>0</v>
      </c>
      <c r="O6005" t="n">
        <v>0</v>
      </c>
      <c r="P6005" t="n">
        <v>0</v>
      </c>
      <c r="Q6005" t="n">
        <v>0</v>
      </c>
      <c r="R6005" s="2" t="inlineStr"/>
    </row>
    <row r="6006" ht="15" customHeight="1">
      <c r="A6006" t="inlineStr">
        <is>
          <t>A 72564-2021</t>
        </is>
      </c>
      <c r="B6006" s="1" t="n">
        <v>44546</v>
      </c>
      <c r="C6006" s="1" t="n">
        <v>45810</v>
      </c>
      <c r="D6006" t="inlineStr">
        <is>
          <t>VÄRMLANDS LÄN</t>
        </is>
      </c>
      <c r="E6006" t="inlineStr">
        <is>
          <t>FILIPSTAD</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72609-2021</t>
        </is>
      </c>
      <c r="B6007" s="1" t="n">
        <v>44546</v>
      </c>
      <c r="C6007" s="1" t="n">
        <v>45810</v>
      </c>
      <c r="D6007" t="inlineStr">
        <is>
          <t>VÄRMLANDS LÄN</t>
        </is>
      </c>
      <c r="E6007" t="inlineStr">
        <is>
          <t>ÅRJÄNG</t>
        </is>
      </c>
      <c r="F6007" t="inlineStr">
        <is>
          <t>Kyrkan</t>
        </is>
      </c>
      <c r="G6007" t="n">
        <v>1.8</v>
      </c>
      <c r="H6007" t="n">
        <v>0</v>
      </c>
      <c r="I6007" t="n">
        <v>0</v>
      </c>
      <c r="J6007" t="n">
        <v>0</v>
      </c>
      <c r="K6007" t="n">
        <v>0</v>
      </c>
      <c r="L6007" t="n">
        <v>0</v>
      </c>
      <c r="M6007" t="n">
        <v>0</v>
      </c>
      <c r="N6007" t="n">
        <v>0</v>
      </c>
      <c r="O6007" t="n">
        <v>0</v>
      </c>
      <c r="P6007" t="n">
        <v>0</v>
      </c>
      <c r="Q6007" t="n">
        <v>0</v>
      </c>
      <c r="R6007" s="2" t="inlineStr"/>
    </row>
    <row r="6008" ht="15" customHeight="1">
      <c r="A6008" t="inlineStr">
        <is>
          <t>A 72619-2021</t>
        </is>
      </c>
      <c r="B6008" s="1" t="n">
        <v>44546</v>
      </c>
      <c r="C6008" s="1" t="n">
        <v>45810</v>
      </c>
      <c r="D6008" t="inlineStr">
        <is>
          <t>VÄRMLANDS LÄN</t>
        </is>
      </c>
      <c r="E6008" t="inlineStr">
        <is>
          <t>ÅRJÄNG</t>
        </is>
      </c>
      <c r="F6008" t="inlineStr">
        <is>
          <t>Kyrkan</t>
        </is>
      </c>
      <c r="G6008" t="n">
        <v>4.1</v>
      </c>
      <c r="H6008" t="n">
        <v>0</v>
      </c>
      <c r="I6008" t="n">
        <v>0</v>
      </c>
      <c r="J6008" t="n">
        <v>0</v>
      </c>
      <c r="K6008" t="n">
        <v>0</v>
      </c>
      <c r="L6008" t="n">
        <v>0</v>
      </c>
      <c r="M6008" t="n">
        <v>0</v>
      </c>
      <c r="N6008" t="n">
        <v>0</v>
      </c>
      <c r="O6008" t="n">
        <v>0</v>
      </c>
      <c r="P6008" t="n">
        <v>0</v>
      </c>
      <c r="Q6008" t="n">
        <v>0</v>
      </c>
      <c r="R6008" s="2" t="inlineStr"/>
    </row>
    <row r="6009" ht="15" customHeight="1">
      <c r="A6009" t="inlineStr">
        <is>
          <t>A 72658-2021</t>
        </is>
      </c>
      <c r="B6009" s="1" t="n">
        <v>44546</v>
      </c>
      <c r="C6009" s="1" t="n">
        <v>45810</v>
      </c>
      <c r="D6009" t="inlineStr">
        <is>
          <t>VÄRMLANDS LÄN</t>
        </is>
      </c>
      <c r="E6009" t="inlineStr">
        <is>
          <t>SUNNE</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72688-2021</t>
        </is>
      </c>
      <c r="B6010" s="1" t="n">
        <v>44546</v>
      </c>
      <c r="C6010" s="1" t="n">
        <v>45810</v>
      </c>
      <c r="D6010" t="inlineStr">
        <is>
          <t>VÄRMLANDS LÄN</t>
        </is>
      </c>
      <c r="E6010" t="inlineStr">
        <is>
          <t>FORSHAGA</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72812-2021</t>
        </is>
      </c>
      <c r="B6011" s="1" t="n">
        <v>44546</v>
      </c>
      <c r="C6011" s="1" t="n">
        <v>45810</v>
      </c>
      <c r="D6011" t="inlineStr">
        <is>
          <t>VÄRMLANDS LÄN</t>
        </is>
      </c>
      <c r="E6011" t="inlineStr">
        <is>
          <t>ÅRJÄNG</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72669-2021</t>
        </is>
      </c>
      <c r="B6012" s="1" t="n">
        <v>44546</v>
      </c>
      <c r="C6012" s="1" t="n">
        <v>45810</v>
      </c>
      <c r="D6012" t="inlineStr">
        <is>
          <t>VÄRMLANDS LÄN</t>
        </is>
      </c>
      <c r="E6012" t="inlineStr">
        <is>
          <t>EDA</t>
        </is>
      </c>
      <c r="G6012" t="n">
        <v>5.8</v>
      </c>
      <c r="H6012" t="n">
        <v>0</v>
      </c>
      <c r="I6012" t="n">
        <v>0</v>
      </c>
      <c r="J6012" t="n">
        <v>0</v>
      </c>
      <c r="K6012" t="n">
        <v>0</v>
      </c>
      <c r="L6012" t="n">
        <v>0</v>
      </c>
      <c r="M6012" t="n">
        <v>0</v>
      </c>
      <c r="N6012" t="n">
        <v>0</v>
      </c>
      <c r="O6012" t="n">
        <v>0</v>
      </c>
      <c r="P6012" t="n">
        <v>0</v>
      </c>
      <c r="Q6012" t="n">
        <v>0</v>
      </c>
      <c r="R6012" s="2" t="inlineStr"/>
    </row>
    <row r="6013" ht="15" customHeight="1">
      <c r="A6013" t="inlineStr">
        <is>
          <t>A 72718-2021</t>
        </is>
      </c>
      <c r="B6013" s="1" t="n">
        <v>44546</v>
      </c>
      <c r="C6013" s="1" t="n">
        <v>45810</v>
      </c>
      <c r="D6013" t="inlineStr">
        <is>
          <t>VÄRMLANDS LÄN</t>
        </is>
      </c>
      <c r="E6013" t="inlineStr">
        <is>
          <t>ÅRJÄNG</t>
        </is>
      </c>
      <c r="F6013" t="inlineStr">
        <is>
          <t>Kyrkan</t>
        </is>
      </c>
      <c r="G6013" t="n">
        <v>4.1</v>
      </c>
      <c r="H6013" t="n">
        <v>0</v>
      </c>
      <c r="I6013" t="n">
        <v>0</v>
      </c>
      <c r="J6013" t="n">
        <v>0</v>
      </c>
      <c r="K6013" t="n">
        <v>0</v>
      </c>
      <c r="L6013" t="n">
        <v>0</v>
      </c>
      <c r="M6013" t="n">
        <v>0</v>
      </c>
      <c r="N6013" t="n">
        <v>0</v>
      </c>
      <c r="O6013" t="n">
        <v>0</v>
      </c>
      <c r="P6013" t="n">
        <v>0</v>
      </c>
      <c r="Q6013" t="n">
        <v>0</v>
      </c>
      <c r="R6013" s="2" t="inlineStr"/>
    </row>
    <row r="6014" ht="15" customHeight="1">
      <c r="A6014" t="inlineStr">
        <is>
          <t>A 72662-2021</t>
        </is>
      </c>
      <c r="B6014" s="1" t="n">
        <v>44546</v>
      </c>
      <c r="C6014" s="1" t="n">
        <v>45810</v>
      </c>
      <c r="D6014" t="inlineStr">
        <is>
          <t>VÄRMLANDS LÄN</t>
        </is>
      </c>
      <c r="E6014" t="inlineStr">
        <is>
          <t>ARVIKA</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72722-2021</t>
        </is>
      </c>
      <c r="B6015" s="1" t="n">
        <v>44546</v>
      </c>
      <c r="C6015" s="1" t="n">
        <v>45810</v>
      </c>
      <c r="D6015" t="inlineStr">
        <is>
          <t>VÄRMLANDS LÄN</t>
        </is>
      </c>
      <c r="E6015" t="inlineStr">
        <is>
          <t>EDA</t>
        </is>
      </c>
      <c r="G6015" t="n">
        <v>0.3</v>
      </c>
      <c r="H6015" t="n">
        <v>0</v>
      </c>
      <c r="I6015" t="n">
        <v>0</v>
      </c>
      <c r="J6015" t="n">
        <v>0</v>
      </c>
      <c r="K6015" t="n">
        <v>0</v>
      </c>
      <c r="L6015" t="n">
        <v>0</v>
      </c>
      <c r="M6015" t="n">
        <v>0</v>
      </c>
      <c r="N6015" t="n">
        <v>0</v>
      </c>
      <c r="O6015" t="n">
        <v>0</v>
      </c>
      <c r="P6015" t="n">
        <v>0</v>
      </c>
      <c r="Q6015" t="n">
        <v>0</v>
      </c>
      <c r="R6015" s="2" t="inlineStr"/>
    </row>
    <row r="6016" ht="15" customHeight="1">
      <c r="A6016" t="inlineStr">
        <is>
          <t>A 73115-2021</t>
        </is>
      </c>
      <c r="B6016" s="1" t="n">
        <v>44546</v>
      </c>
      <c r="C6016" s="1" t="n">
        <v>45810</v>
      </c>
      <c r="D6016" t="inlineStr">
        <is>
          <t>VÄRMLANDS LÄN</t>
        </is>
      </c>
      <c r="E6016" t="inlineStr">
        <is>
          <t>SÄFFLE</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72652-2021</t>
        </is>
      </c>
      <c r="B6017" s="1" t="n">
        <v>44546</v>
      </c>
      <c r="C6017" s="1" t="n">
        <v>45810</v>
      </c>
      <c r="D6017" t="inlineStr">
        <is>
          <t>VÄRMLANDS LÄN</t>
        </is>
      </c>
      <c r="E6017" t="inlineStr">
        <is>
          <t>ÅRJÄNG</t>
        </is>
      </c>
      <c r="F6017" t="inlineStr">
        <is>
          <t>Kyrkan</t>
        </is>
      </c>
      <c r="G6017" t="n">
        <v>9.6</v>
      </c>
      <c r="H6017" t="n">
        <v>0</v>
      </c>
      <c r="I6017" t="n">
        <v>0</v>
      </c>
      <c r="J6017" t="n">
        <v>0</v>
      </c>
      <c r="K6017" t="n">
        <v>0</v>
      </c>
      <c r="L6017" t="n">
        <v>0</v>
      </c>
      <c r="M6017" t="n">
        <v>0</v>
      </c>
      <c r="N6017" t="n">
        <v>0</v>
      </c>
      <c r="O6017" t="n">
        <v>0</v>
      </c>
      <c r="P6017" t="n">
        <v>0</v>
      </c>
      <c r="Q6017" t="n">
        <v>0</v>
      </c>
      <c r="R6017" s="2" t="inlineStr"/>
    </row>
    <row r="6018" ht="15" customHeight="1">
      <c r="A6018" t="inlineStr">
        <is>
          <t>A 72783-2021</t>
        </is>
      </c>
      <c r="B6018" s="1" t="n">
        <v>44547</v>
      </c>
      <c r="C6018" s="1" t="n">
        <v>45810</v>
      </c>
      <c r="D6018" t="inlineStr">
        <is>
          <t>VÄRMLANDS LÄN</t>
        </is>
      </c>
      <c r="E6018" t="inlineStr">
        <is>
          <t>SUNNE</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72772-2021</t>
        </is>
      </c>
      <c r="B6019" s="1" t="n">
        <v>44547</v>
      </c>
      <c r="C6019" s="1" t="n">
        <v>45810</v>
      </c>
      <c r="D6019" t="inlineStr">
        <is>
          <t>VÄRMLANDS LÄN</t>
        </is>
      </c>
      <c r="E6019" t="inlineStr">
        <is>
          <t>KARLSTAD</t>
        </is>
      </c>
      <c r="G6019" t="n">
        <v>2.5</v>
      </c>
      <c r="H6019" t="n">
        <v>0</v>
      </c>
      <c r="I6019" t="n">
        <v>0</v>
      </c>
      <c r="J6019" t="n">
        <v>0</v>
      </c>
      <c r="K6019" t="n">
        <v>0</v>
      </c>
      <c r="L6019" t="n">
        <v>0</v>
      </c>
      <c r="M6019" t="n">
        <v>0</v>
      </c>
      <c r="N6019" t="n">
        <v>0</v>
      </c>
      <c r="O6019" t="n">
        <v>0</v>
      </c>
      <c r="P6019" t="n">
        <v>0</v>
      </c>
      <c r="Q6019" t="n">
        <v>0</v>
      </c>
      <c r="R6019" s="2" t="inlineStr"/>
    </row>
    <row r="6020" ht="15" customHeight="1">
      <c r="A6020" t="inlineStr">
        <is>
          <t>A 72861-2021</t>
        </is>
      </c>
      <c r="B6020" s="1" t="n">
        <v>44547</v>
      </c>
      <c r="C6020" s="1" t="n">
        <v>45810</v>
      </c>
      <c r="D6020" t="inlineStr">
        <is>
          <t>VÄRMLANDS LÄN</t>
        </is>
      </c>
      <c r="E6020" t="inlineStr">
        <is>
          <t>SUNNE</t>
        </is>
      </c>
      <c r="G6020" t="n">
        <v>5</v>
      </c>
      <c r="H6020" t="n">
        <v>0</v>
      </c>
      <c r="I6020" t="n">
        <v>0</v>
      </c>
      <c r="J6020" t="n">
        <v>0</v>
      </c>
      <c r="K6020" t="n">
        <v>0</v>
      </c>
      <c r="L6020" t="n">
        <v>0</v>
      </c>
      <c r="M6020" t="n">
        <v>0</v>
      </c>
      <c r="N6020" t="n">
        <v>0</v>
      </c>
      <c r="O6020" t="n">
        <v>0</v>
      </c>
      <c r="P6020" t="n">
        <v>0</v>
      </c>
      <c r="Q6020" t="n">
        <v>0</v>
      </c>
      <c r="R6020" s="2" t="inlineStr"/>
    </row>
    <row r="6021" ht="15" customHeight="1">
      <c r="A6021" t="inlineStr">
        <is>
          <t>A 72781-2021</t>
        </is>
      </c>
      <c r="B6021" s="1" t="n">
        <v>44547</v>
      </c>
      <c r="C6021" s="1" t="n">
        <v>45810</v>
      </c>
      <c r="D6021" t="inlineStr">
        <is>
          <t>VÄRMLANDS LÄN</t>
        </is>
      </c>
      <c r="E6021" t="inlineStr">
        <is>
          <t>SUNNE</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73004-2021</t>
        </is>
      </c>
      <c r="B6022" s="1" t="n">
        <v>44547</v>
      </c>
      <c r="C6022" s="1" t="n">
        <v>45810</v>
      </c>
      <c r="D6022" t="inlineStr">
        <is>
          <t>VÄRMLANDS LÄN</t>
        </is>
      </c>
      <c r="E6022" t="inlineStr">
        <is>
          <t>KARLSTAD</t>
        </is>
      </c>
      <c r="G6022" t="n">
        <v>0.2</v>
      </c>
      <c r="H6022" t="n">
        <v>0</v>
      </c>
      <c r="I6022" t="n">
        <v>0</v>
      </c>
      <c r="J6022" t="n">
        <v>0</v>
      </c>
      <c r="K6022" t="n">
        <v>0</v>
      </c>
      <c r="L6022" t="n">
        <v>0</v>
      </c>
      <c r="M6022" t="n">
        <v>0</v>
      </c>
      <c r="N6022" t="n">
        <v>0</v>
      </c>
      <c r="O6022" t="n">
        <v>0</v>
      </c>
      <c r="P6022" t="n">
        <v>0</v>
      </c>
      <c r="Q6022" t="n">
        <v>0</v>
      </c>
      <c r="R6022" s="2" t="inlineStr"/>
    </row>
    <row r="6023" ht="15" customHeight="1">
      <c r="A6023" t="inlineStr">
        <is>
          <t>A 73310-2021</t>
        </is>
      </c>
      <c r="B6023" s="1" t="n">
        <v>44547</v>
      </c>
      <c r="C6023" s="1" t="n">
        <v>45810</v>
      </c>
      <c r="D6023" t="inlineStr">
        <is>
          <t>VÄRMLANDS LÄN</t>
        </is>
      </c>
      <c r="E6023" t="inlineStr">
        <is>
          <t>GRUMS</t>
        </is>
      </c>
      <c r="G6023" t="n">
        <v>6.2</v>
      </c>
      <c r="H6023" t="n">
        <v>0</v>
      </c>
      <c r="I6023" t="n">
        <v>0</v>
      </c>
      <c r="J6023" t="n">
        <v>0</v>
      </c>
      <c r="K6023" t="n">
        <v>0</v>
      </c>
      <c r="L6023" t="n">
        <v>0</v>
      </c>
      <c r="M6023" t="n">
        <v>0</v>
      </c>
      <c r="N6023" t="n">
        <v>0</v>
      </c>
      <c r="O6023" t="n">
        <v>0</v>
      </c>
      <c r="P6023" t="n">
        <v>0</v>
      </c>
      <c r="Q6023" t="n">
        <v>0</v>
      </c>
      <c r="R6023" s="2" t="inlineStr"/>
    </row>
    <row r="6024" ht="15" customHeight="1">
      <c r="A6024" t="inlineStr">
        <is>
          <t>A 73319-2021</t>
        </is>
      </c>
      <c r="B6024" s="1" t="n">
        <v>44547</v>
      </c>
      <c r="C6024" s="1" t="n">
        <v>45810</v>
      </c>
      <c r="D6024" t="inlineStr">
        <is>
          <t>VÄRMLANDS LÄN</t>
        </is>
      </c>
      <c r="E6024" t="inlineStr">
        <is>
          <t>GRUMS</t>
        </is>
      </c>
      <c r="G6024" t="n">
        <v>3.5</v>
      </c>
      <c r="H6024" t="n">
        <v>0</v>
      </c>
      <c r="I6024" t="n">
        <v>0</v>
      </c>
      <c r="J6024" t="n">
        <v>0</v>
      </c>
      <c r="K6024" t="n">
        <v>0</v>
      </c>
      <c r="L6024" t="n">
        <v>0</v>
      </c>
      <c r="M6024" t="n">
        <v>0</v>
      </c>
      <c r="N6024" t="n">
        <v>0</v>
      </c>
      <c r="O6024" t="n">
        <v>0</v>
      </c>
      <c r="P6024" t="n">
        <v>0</v>
      </c>
      <c r="Q6024" t="n">
        <v>0</v>
      </c>
      <c r="R6024" s="2" t="inlineStr"/>
    </row>
    <row r="6025" ht="15" customHeight="1">
      <c r="A6025" t="inlineStr">
        <is>
          <t>A 72937-2021</t>
        </is>
      </c>
      <c r="B6025" s="1" t="n">
        <v>44547</v>
      </c>
      <c r="C6025" s="1" t="n">
        <v>45810</v>
      </c>
      <c r="D6025" t="inlineStr">
        <is>
          <t>VÄRMLANDS LÄN</t>
        </is>
      </c>
      <c r="E6025" t="inlineStr">
        <is>
          <t>HAGFORS</t>
        </is>
      </c>
      <c r="F6025" t="inlineStr">
        <is>
          <t>Bergvik skog väst AB</t>
        </is>
      </c>
      <c r="G6025" t="n">
        <v>1.8</v>
      </c>
      <c r="H6025" t="n">
        <v>0</v>
      </c>
      <c r="I6025" t="n">
        <v>0</v>
      </c>
      <c r="J6025" t="n">
        <v>0</v>
      </c>
      <c r="K6025" t="n">
        <v>0</v>
      </c>
      <c r="L6025" t="n">
        <v>0</v>
      </c>
      <c r="M6025" t="n">
        <v>0</v>
      </c>
      <c r="N6025" t="n">
        <v>0</v>
      </c>
      <c r="O6025" t="n">
        <v>0</v>
      </c>
      <c r="P6025" t="n">
        <v>0</v>
      </c>
      <c r="Q6025" t="n">
        <v>0</v>
      </c>
      <c r="R6025" s="2" t="inlineStr"/>
    </row>
    <row r="6026" ht="15" customHeight="1">
      <c r="A6026" t="inlineStr">
        <is>
          <t>A 73306-2021</t>
        </is>
      </c>
      <c r="B6026" s="1" t="n">
        <v>44547</v>
      </c>
      <c r="C6026" s="1" t="n">
        <v>45810</v>
      </c>
      <c r="D6026" t="inlineStr">
        <is>
          <t>VÄRMLANDS LÄN</t>
        </is>
      </c>
      <c r="E6026" t="inlineStr">
        <is>
          <t>GRUMS</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72976-2021</t>
        </is>
      </c>
      <c r="B6027" s="1" t="n">
        <v>44548</v>
      </c>
      <c r="C6027" s="1" t="n">
        <v>45810</v>
      </c>
      <c r="D6027" t="inlineStr">
        <is>
          <t>VÄRMLANDS LÄN</t>
        </is>
      </c>
      <c r="E6027" t="inlineStr">
        <is>
          <t>ARVIKA</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72991-2021</t>
        </is>
      </c>
      <c r="B6028" s="1" t="n">
        <v>44549</v>
      </c>
      <c r="C6028" s="1" t="n">
        <v>45810</v>
      </c>
      <c r="D6028" t="inlineStr">
        <is>
          <t>VÄRMLANDS LÄN</t>
        </is>
      </c>
      <c r="E6028" t="inlineStr">
        <is>
          <t>FORSHAGA</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72996-2021</t>
        </is>
      </c>
      <c r="B6029" s="1" t="n">
        <v>44549</v>
      </c>
      <c r="C6029" s="1" t="n">
        <v>45810</v>
      </c>
      <c r="D6029" t="inlineStr">
        <is>
          <t>VÄRMLANDS LÄN</t>
        </is>
      </c>
      <c r="E6029" t="inlineStr">
        <is>
          <t>ÅRJÄNG</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73022-2021</t>
        </is>
      </c>
      <c r="B6030" s="1" t="n">
        <v>44550</v>
      </c>
      <c r="C6030" s="1" t="n">
        <v>45810</v>
      </c>
      <c r="D6030" t="inlineStr">
        <is>
          <t>VÄRMLANDS LÄN</t>
        </is>
      </c>
      <c r="E6030" t="inlineStr">
        <is>
          <t>KIL</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73033-2021</t>
        </is>
      </c>
      <c r="B6031" s="1" t="n">
        <v>44550</v>
      </c>
      <c r="C6031" s="1" t="n">
        <v>45810</v>
      </c>
      <c r="D6031" t="inlineStr">
        <is>
          <t>VÄRMLANDS LÄN</t>
        </is>
      </c>
      <c r="E6031" t="inlineStr">
        <is>
          <t>GRUMS</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73162-2021</t>
        </is>
      </c>
      <c r="B6032" s="1" t="n">
        <v>44550</v>
      </c>
      <c r="C6032" s="1" t="n">
        <v>45810</v>
      </c>
      <c r="D6032" t="inlineStr">
        <is>
          <t>VÄRMLANDS LÄN</t>
        </is>
      </c>
      <c r="E6032" t="inlineStr">
        <is>
          <t>SÄFFLE</t>
        </is>
      </c>
      <c r="G6032" t="n">
        <v>0.4</v>
      </c>
      <c r="H6032" t="n">
        <v>0</v>
      </c>
      <c r="I6032" t="n">
        <v>0</v>
      </c>
      <c r="J6032" t="n">
        <v>0</v>
      </c>
      <c r="K6032" t="n">
        <v>0</v>
      </c>
      <c r="L6032" t="n">
        <v>0</v>
      </c>
      <c r="M6032" t="n">
        <v>0</v>
      </c>
      <c r="N6032" t="n">
        <v>0</v>
      </c>
      <c r="O6032" t="n">
        <v>0</v>
      </c>
      <c r="P6032" t="n">
        <v>0</v>
      </c>
      <c r="Q6032" t="n">
        <v>0</v>
      </c>
      <c r="R6032" s="2" t="inlineStr"/>
    </row>
    <row r="6033" ht="15" customHeight="1">
      <c r="A6033" t="inlineStr">
        <is>
          <t>A 73050-2021</t>
        </is>
      </c>
      <c r="B6033" s="1" t="n">
        <v>44550</v>
      </c>
      <c r="C6033" s="1" t="n">
        <v>45810</v>
      </c>
      <c r="D6033" t="inlineStr">
        <is>
          <t>VÄRMLANDS LÄN</t>
        </is>
      </c>
      <c r="E6033" t="inlineStr">
        <is>
          <t>SUNNE</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73138-2021</t>
        </is>
      </c>
      <c r="B6034" s="1" t="n">
        <v>44550</v>
      </c>
      <c r="C6034" s="1" t="n">
        <v>45810</v>
      </c>
      <c r="D6034" t="inlineStr">
        <is>
          <t>VÄRMLANDS LÄN</t>
        </is>
      </c>
      <c r="E6034" t="inlineStr">
        <is>
          <t>ÅRJÄNG</t>
        </is>
      </c>
      <c r="G6034" t="n">
        <v>4.3</v>
      </c>
      <c r="H6034" t="n">
        <v>0</v>
      </c>
      <c r="I6034" t="n">
        <v>0</v>
      </c>
      <c r="J6034" t="n">
        <v>0</v>
      </c>
      <c r="K6034" t="n">
        <v>0</v>
      </c>
      <c r="L6034" t="n">
        <v>0</v>
      </c>
      <c r="M6034" t="n">
        <v>0</v>
      </c>
      <c r="N6034" t="n">
        <v>0</v>
      </c>
      <c r="O6034" t="n">
        <v>0</v>
      </c>
      <c r="P6034" t="n">
        <v>0</v>
      </c>
      <c r="Q6034" t="n">
        <v>0</v>
      </c>
      <c r="R6034" s="2" t="inlineStr"/>
    </row>
    <row r="6035" ht="15" customHeight="1">
      <c r="A6035" t="inlineStr">
        <is>
          <t>A 73030-2021</t>
        </is>
      </c>
      <c r="B6035" s="1" t="n">
        <v>44550</v>
      </c>
      <c r="C6035" s="1" t="n">
        <v>45810</v>
      </c>
      <c r="D6035" t="inlineStr">
        <is>
          <t>VÄRMLANDS LÄN</t>
        </is>
      </c>
      <c r="E6035" t="inlineStr">
        <is>
          <t>ARVIKA</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73055-2021</t>
        </is>
      </c>
      <c r="B6036" s="1" t="n">
        <v>44550</v>
      </c>
      <c r="C6036" s="1" t="n">
        <v>45810</v>
      </c>
      <c r="D6036" t="inlineStr">
        <is>
          <t>VÄRMLANDS LÄN</t>
        </is>
      </c>
      <c r="E6036" t="inlineStr">
        <is>
          <t>TORSBY</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73232-2021</t>
        </is>
      </c>
      <c r="B6037" s="1" t="n">
        <v>44550</v>
      </c>
      <c r="C6037" s="1" t="n">
        <v>45810</v>
      </c>
      <c r="D6037" t="inlineStr">
        <is>
          <t>VÄRMLANDS LÄN</t>
        </is>
      </c>
      <c r="E6037" t="inlineStr">
        <is>
          <t>SUNNE</t>
        </is>
      </c>
      <c r="G6037" t="n">
        <v>4.3</v>
      </c>
      <c r="H6037" t="n">
        <v>0</v>
      </c>
      <c r="I6037" t="n">
        <v>0</v>
      </c>
      <c r="J6037" t="n">
        <v>0</v>
      </c>
      <c r="K6037" t="n">
        <v>0</v>
      </c>
      <c r="L6037" t="n">
        <v>0</v>
      </c>
      <c r="M6037" t="n">
        <v>0</v>
      </c>
      <c r="N6037" t="n">
        <v>0</v>
      </c>
      <c r="O6037" t="n">
        <v>0</v>
      </c>
      <c r="P6037" t="n">
        <v>0</v>
      </c>
      <c r="Q6037" t="n">
        <v>0</v>
      </c>
      <c r="R6037" s="2" t="inlineStr"/>
    </row>
    <row r="6038" ht="15" customHeight="1">
      <c r="A6038" t="inlineStr">
        <is>
          <t>A 73247-2021</t>
        </is>
      </c>
      <c r="B6038" s="1" t="n">
        <v>44550</v>
      </c>
      <c r="C6038" s="1" t="n">
        <v>45810</v>
      </c>
      <c r="D6038" t="inlineStr">
        <is>
          <t>VÄRMLANDS LÄN</t>
        </is>
      </c>
      <c r="E6038" t="inlineStr">
        <is>
          <t>SUNNE</t>
        </is>
      </c>
      <c r="G6038" t="n">
        <v>24.7</v>
      </c>
      <c r="H6038" t="n">
        <v>0</v>
      </c>
      <c r="I6038" t="n">
        <v>0</v>
      </c>
      <c r="J6038" t="n">
        <v>0</v>
      </c>
      <c r="K6038" t="n">
        <v>0</v>
      </c>
      <c r="L6038" t="n">
        <v>0</v>
      </c>
      <c r="M6038" t="n">
        <v>0</v>
      </c>
      <c r="N6038" t="n">
        <v>0</v>
      </c>
      <c r="O6038" t="n">
        <v>0</v>
      </c>
      <c r="P6038" t="n">
        <v>0</v>
      </c>
      <c r="Q6038" t="n">
        <v>0</v>
      </c>
      <c r="R6038" s="2" t="inlineStr"/>
    </row>
    <row r="6039" ht="15" customHeight="1">
      <c r="A6039" t="inlineStr">
        <is>
          <t>A 73209-2021</t>
        </is>
      </c>
      <c r="B6039" s="1" t="n">
        <v>44550</v>
      </c>
      <c r="C6039" s="1" t="n">
        <v>45810</v>
      </c>
      <c r="D6039" t="inlineStr">
        <is>
          <t>VÄRMLANDS LÄN</t>
        </is>
      </c>
      <c r="E6039" t="inlineStr">
        <is>
          <t>SUNNE</t>
        </is>
      </c>
      <c r="G6039" t="n">
        <v>6.3</v>
      </c>
      <c r="H6039" t="n">
        <v>0</v>
      </c>
      <c r="I6039" t="n">
        <v>0</v>
      </c>
      <c r="J6039" t="n">
        <v>0</v>
      </c>
      <c r="K6039" t="n">
        <v>0</v>
      </c>
      <c r="L6039" t="n">
        <v>0</v>
      </c>
      <c r="M6039" t="n">
        <v>0</v>
      </c>
      <c r="N6039" t="n">
        <v>0</v>
      </c>
      <c r="O6039" t="n">
        <v>0</v>
      </c>
      <c r="P6039" t="n">
        <v>0</v>
      </c>
      <c r="Q6039" t="n">
        <v>0</v>
      </c>
      <c r="R6039" s="2" t="inlineStr"/>
    </row>
    <row r="6040" ht="15" customHeight="1">
      <c r="A6040" t="inlineStr">
        <is>
          <t>A 73157-2021</t>
        </is>
      </c>
      <c r="B6040" s="1" t="n">
        <v>44550</v>
      </c>
      <c r="C6040" s="1" t="n">
        <v>45810</v>
      </c>
      <c r="D6040" t="inlineStr">
        <is>
          <t>VÄRMLANDS LÄN</t>
        </is>
      </c>
      <c r="E6040" t="inlineStr">
        <is>
          <t>SÄFFLE</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73231-2021</t>
        </is>
      </c>
      <c r="B6041" s="1" t="n">
        <v>44550</v>
      </c>
      <c r="C6041" s="1" t="n">
        <v>45810</v>
      </c>
      <c r="D6041" t="inlineStr">
        <is>
          <t>VÄRMLANDS LÄN</t>
        </is>
      </c>
      <c r="E6041" t="inlineStr">
        <is>
          <t>SUNNE</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73264-2021</t>
        </is>
      </c>
      <c r="B6042" s="1" t="n">
        <v>44550</v>
      </c>
      <c r="C6042" s="1" t="n">
        <v>45810</v>
      </c>
      <c r="D6042" t="inlineStr">
        <is>
          <t>VÄRMLANDS LÄN</t>
        </is>
      </c>
      <c r="E6042" t="inlineStr">
        <is>
          <t>FORSHAGA</t>
        </is>
      </c>
      <c r="G6042" t="n">
        <v>7.9</v>
      </c>
      <c r="H6042" t="n">
        <v>0</v>
      </c>
      <c r="I6042" t="n">
        <v>0</v>
      </c>
      <c r="J6042" t="n">
        <v>0</v>
      </c>
      <c r="K6042" t="n">
        <v>0</v>
      </c>
      <c r="L6042" t="n">
        <v>0</v>
      </c>
      <c r="M6042" t="n">
        <v>0</v>
      </c>
      <c r="N6042" t="n">
        <v>0</v>
      </c>
      <c r="O6042" t="n">
        <v>0</v>
      </c>
      <c r="P6042" t="n">
        <v>0</v>
      </c>
      <c r="Q6042" t="n">
        <v>0</v>
      </c>
      <c r="R6042" s="2" t="inlineStr"/>
    </row>
    <row r="6043" ht="15" customHeight="1">
      <c r="A6043" t="inlineStr">
        <is>
          <t>A 73207-2021</t>
        </is>
      </c>
      <c r="B6043" s="1" t="n">
        <v>44550</v>
      </c>
      <c r="C6043" s="1" t="n">
        <v>45810</v>
      </c>
      <c r="D6043" t="inlineStr">
        <is>
          <t>VÄRMLANDS LÄN</t>
        </is>
      </c>
      <c r="E6043" t="inlineStr">
        <is>
          <t>HAGFORS</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73266-2021</t>
        </is>
      </c>
      <c r="B6044" s="1" t="n">
        <v>44550</v>
      </c>
      <c r="C6044" s="1" t="n">
        <v>45810</v>
      </c>
      <c r="D6044" t="inlineStr">
        <is>
          <t>VÄRMLANDS LÄN</t>
        </is>
      </c>
      <c r="E6044" t="inlineStr">
        <is>
          <t>FORSHAGA</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73324-2021</t>
        </is>
      </c>
      <c r="B6045" s="1" t="n">
        <v>44550</v>
      </c>
      <c r="C6045" s="1" t="n">
        <v>45810</v>
      </c>
      <c r="D6045" t="inlineStr">
        <is>
          <t>VÄRMLANDS LÄN</t>
        </is>
      </c>
      <c r="E6045" t="inlineStr">
        <is>
          <t>TORSBY</t>
        </is>
      </c>
      <c r="G6045" t="n">
        <v>9.9</v>
      </c>
      <c r="H6045" t="n">
        <v>0</v>
      </c>
      <c r="I6045" t="n">
        <v>0</v>
      </c>
      <c r="J6045" t="n">
        <v>0</v>
      </c>
      <c r="K6045" t="n">
        <v>0</v>
      </c>
      <c r="L6045" t="n">
        <v>0</v>
      </c>
      <c r="M6045" t="n">
        <v>0</v>
      </c>
      <c r="N6045" t="n">
        <v>0</v>
      </c>
      <c r="O6045" t="n">
        <v>0</v>
      </c>
      <c r="P6045" t="n">
        <v>0</v>
      </c>
      <c r="Q6045" t="n">
        <v>0</v>
      </c>
      <c r="R6045" s="2" t="inlineStr"/>
    </row>
    <row r="6046" ht="15" customHeight="1">
      <c r="A6046" t="inlineStr">
        <is>
          <t>A 73265-2021</t>
        </is>
      </c>
      <c r="B6046" s="1" t="n">
        <v>44550</v>
      </c>
      <c r="C6046" s="1" t="n">
        <v>45810</v>
      </c>
      <c r="D6046" t="inlineStr">
        <is>
          <t>VÄRMLANDS LÄN</t>
        </is>
      </c>
      <c r="E6046" t="inlineStr">
        <is>
          <t>FORSHAGA</t>
        </is>
      </c>
      <c r="G6046" t="n">
        <v>1.6</v>
      </c>
      <c r="H6046" t="n">
        <v>0</v>
      </c>
      <c r="I6046" t="n">
        <v>0</v>
      </c>
      <c r="J6046" t="n">
        <v>0</v>
      </c>
      <c r="K6046" t="n">
        <v>0</v>
      </c>
      <c r="L6046" t="n">
        <v>0</v>
      </c>
      <c r="M6046" t="n">
        <v>0</v>
      </c>
      <c r="N6046" t="n">
        <v>0</v>
      </c>
      <c r="O6046" t="n">
        <v>0</v>
      </c>
      <c r="P6046" t="n">
        <v>0</v>
      </c>
      <c r="Q6046" t="n">
        <v>0</v>
      </c>
      <c r="R6046" s="2" t="inlineStr"/>
    </row>
    <row r="6047" ht="15" customHeight="1">
      <c r="A6047" t="inlineStr">
        <is>
          <t>A 73359-2021</t>
        </is>
      </c>
      <c r="B6047" s="1" t="n">
        <v>44550</v>
      </c>
      <c r="C6047" s="1" t="n">
        <v>45810</v>
      </c>
      <c r="D6047" t="inlineStr">
        <is>
          <t>VÄRMLANDS LÄN</t>
        </is>
      </c>
      <c r="E6047" t="inlineStr">
        <is>
          <t>SÄFFLE</t>
        </is>
      </c>
      <c r="G6047" t="n">
        <v>3.9</v>
      </c>
      <c r="H6047" t="n">
        <v>0</v>
      </c>
      <c r="I6047" t="n">
        <v>0</v>
      </c>
      <c r="J6047" t="n">
        <v>0</v>
      </c>
      <c r="K6047" t="n">
        <v>0</v>
      </c>
      <c r="L6047" t="n">
        <v>0</v>
      </c>
      <c r="M6047" t="n">
        <v>0</v>
      </c>
      <c r="N6047" t="n">
        <v>0</v>
      </c>
      <c r="O6047" t="n">
        <v>0</v>
      </c>
      <c r="P6047" t="n">
        <v>0</v>
      </c>
      <c r="Q6047" t="n">
        <v>0</v>
      </c>
      <c r="R6047" s="2" t="inlineStr"/>
    </row>
    <row r="6048" ht="15" customHeight="1">
      <c r="A6048" t="inlineStr">
        <is>
          <t>A 73318-2021</t>
        </is>
      </c>
      <c r="B6048" s="1" t="n">
        <v>44550</v>
      </c>
      <c r="C6048" s="1" t="n">
        <v>45810</v>
      </c>
      <c r="D6048" t="inlineStr">
        <is>
          <t>VÄRMLANDS LÄN</t>
        </is>
      </c>
      <c r="E6048" t="inlineStr">
        <is>
          <t>KARLSTAD</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73355-2021</t>
        </is>
      </c>
      <c r="B6049" s="1" t="n">
        <v>44550</v>
      </c>
      <c r="C6049" s="1" t="n">
        <v>45810</v>
      </c>
      <c r="D6049" t="inlineStr">
        <is>
          <t>VÄRMLANDS LÄN</t>
        </is>
      </c>
      <c r="E6049" t="inlineStr">
        <is>
          <t>SÄFFLE</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73165-2021</t>
        </is>
      </c>
      <c r="B6050" s="1" t="n">
        <v>44550</v>
      </c>
      <c r="C6050" s="1" t="n">
        <v>45810</v>
      </c>
      <c r="D6050" t="inlineStr">
        <is>
          <t>VÄRMLANDS LÄN</t>
        </is>
      </c>
      <c r="E6050" t="inlineStr">
        <is>
          <t>TORSBY</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73208-2021</t>
        </is>
      </c>
      <c r="B6051" s="1" t="n">
        <v>44550</v>
      </c>
      <c r="C6051" s="1" t="n">
        <v>45810</v>
      </c>
      <c r="D6051" t="inlineStr">
        <is>
          <t>VÄRMLANDS LÄN</t>
        </is>
      </c>
      <c r="E6051" t="inlineStr">
        <is>
          <t>ARVIKA</t>
        </is>
      </c>
      <c r="G6051" t="n">
        <v>3</v>
      </c>
      <c r="H6051" t="n">
        <v>0</v>
      </c>
      <c r="I6051" t="n">
        <v>0</v>
      </c>
      <c r="J6051" t="n">
        <v>0</v>
      </c>
      <c r="K6051" t="n">
        <v>0</v>
      </c>
      <c r="L6051" t="n">
        <v>0</v>
      </c>
      <c r="M6051" t="n">
        <v>0</v>
      </c>
      <c r="N6051" t="n">
        <v>0</v>
      </c>
      <c r="O6051" t="n">
        <v>0</v>
      </c>
      <c r="P6051" t="n">
        <v>0</v>
      </c>
      <c r="Q6051" t="n">
        <v>0</v>
      </c>
      <c r="R6051" s="2" t="inlineStr"/>
    </row>
    <row r="6052" ht="15" customHeight="1">
      <c r="A6052" t="inlineStr">
        <is>
          <t>A 73214-2021</t>
        </is>
      </c>
      <c r="B6052" s="1" t="n">
        <v>44550</v>
      </c>
      <c r="C6052" s="1" t="n">
        <v>45810</v>
      </c>
      <c r="D6052" t="inlineStr">
        <is>
          <t>VÄRMLANDS LÄN</t>
        </is>
      </c>
      <c r="E6052" t="inlineStr">
        <is>
          <t>SUNNE</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73267-2021</t>
        </is>
      </c>
      <c r="B6053" s="1" t="n">
        <v>44550</v>
      </c>
      <c r="C6053" s="1" t="n">
        <v>45810</v>
      </c>
      <c r="D6053" t="inlineStr">
        <is>
          <t>VÄRMLANDS LÄN</t>
        </is>
      </c>
      <c r="E6053" t="inlineStr">
        <is>
          <t>FORSHAGA</t>
        </is>
      </c>
      <c r="G6053" t="n">
        <v>2.2</v>
      </c>
      <c r="H6053" t="n">
        <v>0</v>
      </c>
      <c r="I6053" t="n">
        <v>0</v>
      </c>
      <c r="J6053" t="n">
        <v>0</v>
      </c>
      <c r="K6053" t="n">
        <v>0</v>
      </c>
      <c r="L6053" t="n">
        <v>0</v>
      </c>
      <c r="M6053" t="n">
        <v>0</v>
      </c>
      <c r="N6053" t="n">
        <v>0</v>
      </c>
      <c r="O6053" t="n">
        <v>0</v>
      </c>
      <c r="P6053" t="n">
        <v>0</v>
      </c>
      <c r="Q6053" t="n">
        <v>0</v>
      </c>
      <c r="R6053" s="2" t="inlineStr"/>
    </row>
    <row r="6054" ht="15" customHeight="1">
      <c r="A6054" t="inlineStr">
        <is>
          <t>A 73315-2021</t>
        </is>
      </c>
      <c r="B6054" s="1" t="n">
        <v>44550</v>
      </c>
      <c r="C6054" s="1" t="n">
        <v>45810</v>
      </c>
      <c r="D6054" t="inlineStr">
        <is>
          <t>VÄRMLANDS LÄN</t>
        </is>
      </c>
      <c r="E6054" t="inlineStr">
        <is>
          <t>KARLSTAD</t>
        </is>
      </c>
      <c r="G6054" t="n">
        <v>2.3</v>
      </c>
      <c r="H6054" t="n">
        <v>0</v>
      </c>
      <c r="I6054" t="n">
        <v>0</v>
      </c>
      <c r="J6054" t="n">
        <v>0</v>
      </c>
      <c r="K6054" t="n">
        <v>0</v>
      </c>
      <c r="L6054" t="n">
        <v>0</v>
      </c>
      <c r="M6054" t="n">
        <v>0</v>
      </c>
      <c r="N6054" t="n">
        <v>0</v>
      </c>
      <c r="O6054" t="n">
        <v>0</v>
      </c>
      <c r="P6054" t="n">
        <v>0</v>
      </c>
      <c r="Q6054" t="n">
        <v>0</v>
      </c>
      <c r="R6054" s="2" t="inlineStr"/>
    </row>
    <row r="6055" ht="15" customHeight="1">
      <c r="A6055" t="inlineStr">
        <is>
          <t>A 73363-2021</t>
        </is>
      </c>
      <c r="B6055" s="1" t="n">
        <v>44550</v>
      </c>
      <c r="C6055" s="1" t="n">
        <v>45810</v>
      </c>
      <c r="D6055" t="inlineStr">
        <is>
          <t>VÄRMLANDS LÄN</t>
        </is>
      </c>
      <c r="E6055" t="inlineStr">
        <is>
          <t>ÅRJÄNG</t>
        </is>
      </c>
      <c r="G6055" t="n">
        <v>11.5</v>
      </c>
      <c r="H6055" t="n">
        <v>0</v>
      </c>
      <c r="I6055" t="n">
        <v>0</v>
      </c>
      <c r="J6055" t="n">
        <v>0</v>
      </c>
      <c r="K6055" t="n">
        <v>0</v>
      </c>
      <c r="L6055" t="n">
        <v>0</v>
      </c>
      <c r="M6055" t="n">
        <v>0</v>
      </c>
      <c r="N6055" t="n">
        <v>0</v>
      </c>
      <c r="O6055" t="n">
        <v>0</v>
      </c>
      <c r="P6055" t="n">
        <v>0</v>
      </c>
      <c r="Q6055" t="n">
        <v>0</v>
      </c>
      <c r="R6055" s="2" t="inlineStr"/>
    </row>
    <row r="6056" ht="15" customHeight="1">
      <c r="A6056" t="inlineStr">
        <is>
          <t>A 73251-2021</t>
        </is>
      </c>
      <c r="B6056" s="1" t="n">
        <v>44550</v>
      </c>
      <c r="C6056" s="1" t="n">
        <v>45810</v>
      </c>
      <c r="D6056" t="inlineStr">
        <is>
          <t>VÄRMLANDS LÄN</t>
        </is>
      </c>
      <c r="E6056" t="inlineStr">
        <is>
          <t>KIL</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73362-2021</t>
        </is>
      </c>
      <c r="B6057" s="1" t="n">
        <v>44550</v>
      </c>
      <c r="C6057" s="1" t="n">
        <v>45810</v>
      </c>
      <c r="D6057" t="inlineStr">
        <is>
          <t>VÄRMLANDS LÄN</t>
        </is>
      </c>
      <c r="E6057" t="inlineStr">
        <is>
          <t>SÄFFLE</t>
        </is>
      </c>
      <c r="G6057" t="n">
        <v>2.1</v>
      </c>
      <c r="H6057" t="n">
        <v>0</v>
      </c>
      <c r="I6057" t="n">
        <v>0</v>
      </c>
      <c r="J6057" t="n">
        <v>0</v>
      </c>
      <c r="K6057" t="n">
        <v>0</v>
      </c>
      <c r="L6057" t="n">
        <v>0</v>
      </c>
      <c r="M6057" t="n">
        <v>0</v>
      </c>
      <c r="N6057" t="n">
        <v>0</v>
      </c>
      <c r="O6057" t="n">
        <v>0</v>
      </c>
      <c r="P6057" t="n">
        <v>0</v>
      </c>
      <c r="Q6057" t="n">
        <v>0</v>
      </c>
      <c r="R6057" s="2" t="inlineStr"/>
    </row>
    <row r="6058" ht="15" customHeight="1">
      <c r="A6058" t="inlineStr">
        <is>
          <t>A 73382-2021</t>
        </is>
      </c>
      <c r="B6058" s="1" t="n">
        <v>44550</v>
      </c>
      <c r="C6058" s="1" t="n">
        <v>45810</v>
      </c>
      <c r="D6058" t="inlineStr">
        <is>
          <t>VÄRMLANDS LÄN</t>
        </is>
      </c>
      <c r="E6058" t="inlineStr">
        <is>
          <t>SÄFFLE</t>
        </is>
      </c>
      <c r="G6058" t="n">
        <v>11.7</v>
      </c>
      <c r="H6058" t="n">
        <v>0</v>
      </c>
      <c r="I6058" t="n">
        <v>0</v>
      </c>
      <c r="J6058" t="n">
        <v>0</v>
      </c>
      <c r="K6058" t="n">
        <v>0</v>
      </c>
      <c r="L6058" t="n">
        <v>0</v>
      </c>
      <c r="M6058" t="n">
        <v>0</v>
      </c>
      <c r="N6058" t="n">
        <v>0</v>
      </c>
      <c r="O6058" t="n">
        <v>0</v>
      </c>
      <c r="P6058" t="n">
        <v>0</v>
      </c>
      <c r="Q6058" t="n">
        <v>0</v>
      </c>
      <c r="R6058" s="2" t="inlineStr"/>
    </row>
    <row r="6059" ht="15" customHeight="1">
      <c r="A6059" t="inlineStr">
        <is>
          <t>A 73442-2021</t>
        </is>
      </c>
      <c r="B6059" s="1" t="n">
        <v>44551</v>
      </c>
      <c r="C6059" s="1" t="n">
        <v>45810</v>
      </c>
      <c r="D6059" t="inlineStr">
        <is>
          <t>VÄRMLANDS LÄN</t>
        </is>
      </c>
      <c r="E6059" t="inlineStr">
        <is>
          <t>TORSBY</t>
        </is>
      </c>
      <c r="F6059" t="inlineStr">
        <is>
          <t>Bergvik skog väst AB</t>
        </is>
      </c>
      <c r="G6059" t="n">
        <v>4.1</v>
      </c>
      <c r="H6059" t="n">
        <v>0</v>
      </c>
      <c r="I6059" t="n">
        <v>0</v>
      </c>
      <c r="J6059" t="n">
        <v>0</v>
      </c>
      <c r="K6059" t="n">
        <v>0</v>
      </c>
      <c r="L6059" t="n">
        <v>0</v>
      </c>
      <c r="M6059" t="n">
        <v>0</v>
      </c>
      <c r="N6059" t="n">
        <v>0</v>
      </c>
      <c r="O6059" t="n">
        <v>0</v>
      </c>
      <c r="P6059" t="n">
        <v>0</v>
      </c>
      <c r="Q6059" t="n">
        <v>0</v>
      </c>
      <c r="R6059" s="2" t="inlineStr"/>
    </row>
    <row r="6060" ht="15" customHeight="1">
      <c r="A6060" t="inlineStr">
        <is>
          <t>A 73492-2021</t>
        </is>
      </c>
      <c r="B6060" s="1" t="n">
        <v>44551</v>
      </c>
      <c r="C6060" s="1" t="n">
        <v>45810</v>
      </c>
      <c r="D6060" t="inlineStr">
        <is>
          <t>VÄRMLANDS LÄN</t>
        </is>
      </c>
      <c r="E6060" t="inlineStr">
        <is>
          <t>SUNNE</t>
        </is>
      </c>
      <c r="G6060" t="n">
        <v>3.3</v>
      </c>
      <c r="H6060" t="n">
        <v>0</v>
      </c>
      <c r="I6060" t="n">
        <v>0</v>
      </c>
      <c r="J6060" t="n">
        <v>0</v>
      </c>
      <c r="K6060" t="n">
        <v>0</v>
      </c>
      <c r="L6060" t="n">
        <v>0</v>
      </c>
      <c r="M6060" t="n">
        <v>0</v>
      </c>
      <c r="N6060" t="n">
        <v>0</v>
      </c>
      <c r="O6060" t="n">
        <v>0</v>
      </c>
      <c r="P6060" t="n">
        <v>0</v>
      </c>
      <c r="Q6060" t="n">
        <v>0</v>
      </c>
      <c r="R6060" s="2" t="inlineStr"/>
    </row>
    <row r="6061" ht="15" customHeight="1">
      <c r="A6061" t="inlineStr">
        <is>
          <t>A 73322-2021</t>
        </is>
      </c>
      <c r="B6061" s="1" t="n">
        <v>44551</v>
      </c>
      <c r="C6061" s="1" t="n">
        <v>45810</v>
      </c>
      <c r="D6061" t="inlineStr">
        <is>
          <t>VÄRMLANDS LÄN</t>
        </is>
      </c>
      <c r="E6061" t="inlineStr">
        <is>
          <t>SUNNE</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73467-2021</t>
        </is>
      </c>
      <c r="B6062" s="1" t="n">
        <v>44551</v>
      </c>
      <c r="C6062" s="1" t="n">
        <v>45810</v>
      </c>
      <c r="D6062" t="inlineStr">
        <is>
          <t>VÄRMLANDS LÄN</t>
        </is>
      </c>
      <c r="E6062" t="inlineStr">
        <is>
          <t>SUNNE</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73476-2021</t>
        </is>
      </c>
      <c r="B6063" s="1" t="n">
        <v>44551</v>
      </c>
      <c r="C6063" s="1" t="n">
        <v>45810</v>
      </c>
      <c r="D6063" t="inlineStr">
        <is>
          <t>VÄRMLANDS LÄN</t>
        </is>
      </c>
      <c r="E6063" t="inlineStr">
        <is>
          <t>SUNNE</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73470-2021</t>
        </is>
      </c>
      <c r="B6064" s="1" t="n">
        <v>44551</v>
      </c>
      <c r="C6064" s="1" t="n">
        <v>45810</v>
      </c>
      <c r="D6064" t="inlineStr">
        <is>
          <t>VÄRMLANDS LÄN</t>
        </is>
      </c>
      <c r="E6064" t="inlineStr">
        <is>
          <t>SUNNE</t>
        </is>
      </c>
      <c r="G6064" t="n">
        <v>6.1</v>
      </c>
      <c r="H6064" t="n">
        <v>0</v>
      </c>
      <c r="I6064" t="n">
        <v>0</v>
      </c>
      <c r="J6064" t="n">
        <v>0</v>
      </c>
      <c r="K6064" t="n">
        <v>0</v>
      </c>
      <c r="L6064" t="n">
        <v>0</v>
      </c>
      <c r="M6064" t="n">
        <v>0</v>
      </c>
      <c r="N6064" t="n">
        <v>0</v>
      </c>
      <c r="O6064" t="n">
        <v>0</v>
      </c>
      <c r="P6064" t="n">
        <v>0</v>
      </c>
      <c r="Q6064" t="n">
        <v>0</v>
      </c>
      <c r="R6064" s="2" t="inlineStr"/>
    </row>
    <row r="6065" ht="15" customHeight="1">
      <c r="A6065" t="inlineStr">
        <is>
          <t>A 73553-2021</t>
        </is>
      </c>
      <c r="B6065" s="1" t="n">
        <v>44551</v>
      </c>
      <c r="C6065" s="1" t="n">
        <v>45810</v>
      </c>
      <c r="D6065" t="inlineStr">
        <is>
          <t>VÄRMLANDS LÄN</t>
        </is>
      </c>
      <c r="E6065" t="inlineStr">
        <is>
          <t>TORSBY</t>
        </is>
      </c>
      <c r="G6065" t="n">
        <v>5.1</v>
      </c>
      <c r="H6065" t="n">
        <v>0</v>
      </c>
      <c r="I6065" t="n">
        <v>0</v>
      </c>
      <c r="J6065" t="n">
        <v>0</v>
      </c>
      <c r="K6065" t="n">
        <v>0</v>
      </c>
      <c r="L6065" t="n">
        <v>0</v>
      </c>
      <c r="M6065" t="n">
        <v>0</v>
      </c>
      <c r="N6065" t="n">
        <v>0</v>
      </c>
      <c r="O6065" t="n">
        <v>0</v>
      </c>
      <c r="P6065" t="n">
        <v>0</v>
      </c>
      <c r="Q6065" t="n">
        <v>0</v>
      </c>
      <c r="R6065" s="2" t="inlineStr"/>
    </row>
    <row r="6066" ht="15" customHeight="1">
      <c r="A6066" t="inlineStr">
        <is>
          <t>A 73521-2021</t>
        </is>
      </c>
      <c r="B6066" s="1" t="n">
        <v>44551</v>
      </c>
      <c r="C6066" s="1" t="n">
        <v>45810</v>
      </c>
      <c r="D6066" t="inlineStr">
        <is>
          <t>VÄRMLANDS LÄN</t>
        </is>
      </c>
      <c r="E6066" t="inlineStr">
        <is>
          <t>TORSBY</t>
        </is>
      </c>
      <c r="G6066" t="n">
        <v>2.3</v>
      </c>
      <c r="H6066" t="n">
        <v>0</v>
      </c>
      <c r="I6066" t="n">
        <v>0</v>
      </c>
      <c r="J6066" t="n">
        <v>0</v>
      </c>
      <c r="K6066" t="n">
        <v>0</v>
      </c>
      <c r="L6066" t="n">
        <v>0</v>
      </c>
      <c r="M6066" t="n">
        <v>0</v>
      </c>
      <c r="N6066" t="n">
        <v>0</v>
      </c>
      <c r="O6066" t="n">
        <v>0</v>
      </c>
      <c r="P6066" t="n">
        <v>0</v>
      </c>
      <c r="Q6066" t="n">
        <v>0</v>
      </c>
      <c r="R6066" s="2" t="inlineStr"/>
    </row>
    <row r="6067" ht="15" customHeight="1">
      <c r="A6067" t="inlineStr">
        <is>
          <t>A 73608-2021</t>
        </is>
      </c>
      <c r="B6067" s="1" t="n">
        <v>44551</v>
      </c>
      <c r="C6067" s="1" t="n">
        <v>45810</v>
      </c>
      <c r="D6067" t="inlineStr">
        <is>
          <t>VÄRMLANDS LÄN</t>
        </is>
      </c>
      <c r="E6067" t="inlineStr">
        <is>
          <t>EDA</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73568-2021</t>
        </is>
      </c>
      <c r="B6068" s="1" t="n">
        <v>44551</v>
      </c>
      <c r="C6068" s="1" t="n">
        <v>45810</v>
      </c>
      <c r="D6068" t="inlineStr">
        <is>
          <t>VÄRMLANDS LÄN</t>
        </is>
      </c>
      <c r="E6068" t="inlineStr">
        <is>
          <t>KRISTINEHAMN</t>
        </is>
      </c>
      <c r="G6068" t="n">
        <v>13.9</v>
      </c>
      <c r="H6068" t="n">
        <v>0</v>
      </c>
      <c r="I6068" t="n">
        <v>0</v>
      </c>
      <c r="J6068" t="n">
        <v>0</v>
      </c>
      <c r="K6068" t="n">
        <v>0</v>
      </c>
      <c r="L6068" t="n">
        <v>0</v>
      </c>
      <c r="M6068" t="n">
        <v>0</v>
      </c>
      <c r="N6068" t="n">
        <v>0</v>
      </c>
      <c r="O6068" t="n">
        <v>0</v>
      </c>
      <c r="P6068" t="n">
        <v>0</v>
      </c>
      <c r="Q6068" t="n">
        <v>0</v>
      </c>
      <c r="R6068" s="2" t="inlineStr"/>
    </row>
    <row r="6069" ht="15" customHeight="1">
      <c r="A6069" t="inlineStr">
        <is>
          <t>A 73623-2021</t>
        </is>
      </c>
      <c r="B6069" s="1" t="n">
        <v>44552</v>
      </c>
      <c r="C6069" s="1" t="n">
        <v>45810</v>
      </c>
      <c r="D6069" t="inlineStr">
        <is>
          <t>VÄRMLANDS LÄN</t>
        </is>
      </c>
      <c r="E6069" t="inlineStr">
        <is>
          <t>ÅRJÄNG</t>
        </is>
      </c>
      <c r="G6069" t="n">
        <v>7.4</v>
      </c>
      <c r="H6069" t="n">
        <v>0</v>
      </c>
      <c r="I6069" t="n">
        <v>0</v>
      </c>
      <c r="J6069" t="n">
        <v>0</v>
      </c>
      <c r="K6069" t="n">
        <v>0</v>
      </c>
      <c r="L6069" t="n">
        <v>0</v>
      </c>
      <c r="M6069" t="n">
        <v>0</v>
      </c>
      <c r="N6069" t="n">
        <v>0</v>
      </c>
      <c r="O6069" t="n">
        <v>0</v>
      </c>
      <c r="P6069" t="n">
        <v>0</v>
      </c>
      <c r="Q6069" t="n">
        <v>0</v>
      </c>
      <c r="R6069" s="2" t="inlineStr"/>
    </row>
    <row r="6070" ht="15" customHeight="1">
      <c r="A6070" t="inlineStr">
        <is>
          <t>A 73651-2021</t>
        </is>
      </c>
      <c r="B6070" s="1" t="n">
        <v>44552</v>
      </c>
      <c r="C6070" s="1" t="n">
        <v>45810</v>
      </c>
      <c r="D6070" t="inlineStr">
        <is>
          <t>VÄRMLANDS LÄN</t>
        </is>
      </c>
      <c r="E6070" t="inlineStr">
        <is>
          <t>ÅRJÄNG</t>
        </is>
      </c>
      <c r="G6070" t="n">
        <v>15.3</v>
      </c>
      <c r="H6070" t="n">
        <v>0</v>
      </c>
      <c r="I6070" t="n">
        <v>0</v>
      </c>
      <c r="J6070" t="n">
        <v>0</v>
      </c>
      <c r="K6070" t="n">
        <v>0</v>
      </c>
      <c r="L6070" t="n">
        <v>0</v>
      </c>
      <c r="M6070" t="n">
        <v>0</v>
      </c>
      <c r="N6070" t="n">
        <v>0</v>
      </c>
      <c r="O6070" t="n">
        <v>0</v>
      </c>
      <c r="P6070" t="n">
        <v>0</v>
      </c>
      <c r="Q6070" t="n">
        <v>0</v>
      </c>
      <c r="R6070" s="2" t="inlineStr"/>
    </row>
    <row r="6071" ht="15" customHeight="1">
      <c r="A6071" t="inlineStr">
        <is>
          <t>A 73595-2021</t>
        </is>
      </c>
      <c r="B6071" s="1" t="n">
        <v>44552</v>
      </c>
      <c r="C6071" s="1" t="n">
        <v>45810</v>
      </c>
      <c r="D6071" t="inlineStr">
        <is>
          <t>VÄRMLANDS LÄN</t>
        </is>
      </c>
      <c r="E6071" t="inlineStr">
        <is>
          <t>SÄFFLE</t>
        </is>
      </c>
      <c r="F6071" t="inlineStr">
        <is>
          <t>Kyrkan</t>
        </is>
      </c>
      <c r="G6071" t="n">
        <v>0.3</v>
      </c>
      <c r="H6071" t="n">
        <v>0</v>
      </c>
      <c r="I6071" t="n">
        <v>0</v>
      </c>
      <c r="J6071" t="n">
        <v>0</v>
      </c>
      <c r="K6071" t="n">
        <v>0</v>
      </c>
      <c r="L6071" t="n">
        <v>0</v>
      </c>
      <c r="M6071" t="n">
        <v>0</v>
      </c>
      <c r="N6071" t="n">
        <v>0</v>
      </c>
      <c r="O6071" t="n">
        <v>0</v>
      </c>
      <c r="P6071" t="n">
        <v>0</v>
      </c>
      <c r="Q6071" t="n">
        <v>0</v>
      </c>
      <c r="R6071" s="2" t="inlineStr"/>
    </row>
    <row r="6072" ht="15" customHeight="1">
      <c r="A6072" t="inlineStr">
        <is>
          <t>A 73664-2021</t>
        </is>
      </c>
      <c r="B6072" s="1" t="n">
        <v>44552</v>
      </c>
      <c r="C6072" s="1" t="n">
        <v>45810</v>
      </c>
      <c r="D6072" t="inlineStr">
        <is>
          <t>VÄRMLANDS LÄN</t>
        </is>
      </c>
      <c r="E6072" t="inlineStr">
        <is>
          <t>FILIPSTAD</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73758-2021</t>
        </is>
      </c>
      <c r="B6073" s="1" t="n">
        <v>44552</v>
      </c>
      <c r="C6073" s="1" t="n">
        <v>45810</v>
      </c>
      <c r="D6073" t="inlineStr">
        <is>
          <t>VÄRMLANDS LÄN</t>
        </is>
      </c>
      <c r="E6073" t="inlineStr">
        <is>
          <t>SÄFFLE</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73662-2021</t>
        </is>
      </c>
      <c r="B6074" s="1" t="n">
        <v>44552</v>
      </c>
      <c r="C6074" s="1" t="n">
        <v>45810</v>
      </c>
      <c r="D6074" t="inlineStr">
        <is>
          <t>VÄRMLANDS LÄN</t>
        </is>
      </c>
      <c r="E6074" t="inlineStr">
        <is>
          <t>SÄFFLE</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73753-2021</t>
        </is>
      </c>
      <c r="B6075" s="1" t="n">
        <v>44552</v>
      </c>
      <c r="C6075" s="1" t="n">
        <v>45810</v>
      </c>
      <c r="D6075" t="inlineStr">
        <is>
          <t>VÄRMLANDS LÄN</t>
        </is>
      </c>
      <c r="E6075" t="inlineStr">
        <is>
          <t>KARLSTAD</t>
        </is>
      </c>
      <c r="F6075" t="inlineStr">
        <is>
          <t>Kyrkan</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73702-2021</t>
        </is>
      </c>
      <c r="B6076" s="1" t="n">
        <v>44552</v>
      </c>
      <c r="C6076" s="1" t="n">
        <v>45810</v>
      </c>
      <c r="D6076" t="inlineStr">
        <is>
          <t>VÄRMLANDS LÄN</t>
        </is>
      </c>
      <c r="E6076" t="inlineStr">
        <is>
          <t>ÅRJÄNG</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73730-2021</t>
        </is>
      </c>
      <c r="B6077" s="1" t="n">
        <v>44552</v>
      </c>
      <c r="C6077" s="1" t="n">
        <v>45810</v>
      </c>
      <c r="D6077" t="inlineStr">
        <is>
          <t>VÄRMLANDS LÄN</t>
        </is>
      </c>
      <c r="E6077" t="inlineStr">
        <is>
          <t>SUNNE</t>
        </is>
      </c>
      <c r="G6077" t="n">
        <v>4.1</v>
      </c>
      <c r="H6077" t="n">
        <v>0</v>
      </c>
      <c r="I6077" t="n">
        <v>0</v>
      </c>
      <c r="J6077" t="n">
        <v>0</v>
      </c>
      <c r="K6077" t="n">
        <v>0</v>
      </c>
      <c r="L6077" t="n">
        <v>0</v>
      </c>
      <c r="M6077" t="n">
        <v>0</v>
      </c>
      <c r="N6077" t="n">
        <v>0</v>
      </c>
      <c r="O6077" t="n">
        <v>0</v>
      </c>
      <c r="P6077" t="n">
        <v>0</v>
      </c>
      <c r="Q6077" t="n">
        <v>0</v>
      </c>
      <c r="R6077" s="2" t="inlineStr"/>
    </row>
    <row r="6078" ht="15" customHeight="1">
      <c r="A6078" t="inlineStr">
        <is>
          <t>A 73805-2021</t>
        </is>
      </c>
      <c r="B6078" s="1" t="n">
        <v>44552</v>
      </c>
      <c r="C6078" s="1" t="n">
        <v>45810</v>
      </c>
      <c r="D6078" t="inlineStr">
        <is>
          <t>VÄRMLANDS LÄN</t>
        </is>
      </c>
      <c r="E6078" t="inlineStr">
        <is>
          <t>ARVIKA</t>
        </is>
      </c>
      <c r="G6078" t="n">
        <v>2.8</v>
      </c>
      <c r="H6078" t="n">
        <v>0</v>
      </c>
      <c r="I6078" t="n">
        <v>0</v>
      </c>
      <c r="J6078" t="n">
        <v>0</v>
      </c>
      <c r="K6078" t="n">
        <v>0</v>
      </c>
      <c r="L6078" t="n">
        <v>0</v>
      </c>
      <c r="M6078" t="n">
        <v>0</v>
      </c>
      <c r="N6078" t="n">
        <v>0</v>
      </c>
      <c r="O6078" t="n">
        <v>0</v>
      </c>
      <c r="P6078" t="n">
        <v>0</v>
      </c>
      <c r="Q6078" t="n">
        <v>0</v>
      </c>
      <c r="R6078" s="2" t="inlineStr"/>
    </row>
    <row r="6079" ht="15" customHeight="1">
      <c r="A6079" t="inlineStr">
        <is>
          <t>A 73901-2021</t>
        </is>
      </c>
      <c r="B6079" s="1" t="n">
        <v>44552</v>
      </c>
      <c r="C6079" s="1" t="n">
        <v>45810</v>
      </c>
      <c r="D6079" t="inlineStr">
        <is>
          <t>VÄRMLANDS LÄN</t>
        </is>
      </c>
      <c r="E6079" t="inlineStr">
        <is>
          <t>GRUMS</t>
        </is>
      </c>
      <c r="G6079" t="n">
        <v>1.9</v>
      </c>
      <c r="H6079" t="n">
        <v>0</v>
      </c>
      <c r="I6079" t="n">
        <v>0</v>
      </c>
      <c r="J6079" t="n">
        <v>0</v>
      </c>
      <c r="K6079" t="n">
        <v>0</v>
      </c>
      <c r="L6079" t="n">
        <v>0</v>
      </c>
      <c r="M6079" t="n">
        <v>0</v>
      </c>
      <c r="N6079" t="n">
        <v>0</v>
      </c>
      <c r="O6079" t="n">
        <v>0</v>
      </c>
      <c r="P6079" t="n">
        <v>0</v>
      </c>
      <c r="Q6079" t="n">
        <v>0</v>
      </c>
      <c r="R6079" s="2" t="inlineStr"/>
    </row>
    <row r="6080" ht="15" customHeight="1">
      <c r="A6080" t="inlineStr">
        <is>
          <t>A 73936-2021</t>
        </is>
      </c>
      <c r="B6080" s="1" t="n">
        <v>44552</v>
      </c>
      <c r="C6080" s="1" t="n">
        <v>45810</v>
      </c>
      <c r="D6080" t="inlineStr">
        <is>
          <t>VÄRMLANDS LÄN</t>
        </is>
      </c>
      <c r="E6080" t="inlineStr">
        <is>
          <t>ARVIKA</t>
        </is>
      </c>
      <c r="G6080" t="n">
        <v>4.7</v>
      </c>
      <c r="H6080" t="n">
        <v>0</v>
      </c>
      <c r="I6080" t="n">
        <v>0</v>
      </c>
      <c r="J6080" t="n">
        <v>0</v>
      </c>
      <c r="K6080" t="n">
        <v>0</v>
      </c>
      <c r="L6080" t="n">
        <v>0</v>
      </c>
      <c r="M6080" t="n">
        <v>0</v>
      </c>
      <c r="N6080" t="n">
        <v>0</v>
      </c>
      <c r="O6080" t="n">
        <v>0</v>
      </c>
      <c r="P6080" t="n">
        <v>0</v>
      </c>
      <c r="Q6080" t="n">
        <v>0</v>
      </c>
      <c r="R6080" s="2" t="inlineStr"/>
    </row>
    <row r="6081" ht="15" customHeight="1">
      <c r="A6081" t="inlineStr">
        <is>
          <t>A 73882-2021</t>
        </is>
      </c>
      <c r="B6081" s="1" t="n">
        <v>44553</v>
      </c>
      <c r="C6081" s="1" t="n">
        <v>45810</v>
      </c>
      <c r="D6081" t="inlineStr">
        <is>
          <t>VÄRMLANDS LÄN</t>
        </is>
      </c>
      <c r="E6081" t="inlineStr">
        <is>
          <t>TORSBY</t>
        </is>
      </c>
      <c r="F6081" t="inlineStr">
        <is>
          <t>Kyrkan</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73874-2021</t>
        </is>
      </c>
      <c r="B6082" s="1" t="n">
        <v>44553</v>
      </c>
      <c r="C6082" s="1" t="n">
        <v>45810</v>
      </c>
      <c r="D6082" t="inlineStr">
        <is>
          <t>VÄRMLANDS LÄN</t>
        </is>
      </c>
      <c r="E6082" t="inlineStr">
        <is>
          <t>TORSBY</t>
        </is>
      </c>
      <c r="G6082" t="n">
        <v>6.6</v>
      </c>
      <c r="H6082" t="n">
        <v>0</v>
      </c>
      <c r="I6082" t="n">
        <v>0</v>
      </c>
      <c r="J6082" t="n">
        <v>0</v>
      </c>
      <c r="K6082" t="n">
        <v>0</v>
      </c>
      <c r="L6082" t="n">
        <v>0</v>
      </c>
      <c r="M6082" t="n">
        <v>0</v>
      </c>
      <c r="N6082" t="n">
        <v>0</v>
      </c>
      <c r="O6082" t="n">
        <v>0</v>
      </c>
      <c r="P6082" t="n">
        <v>0</v>
      </c>
      <c r="Q6082" t="n">
        <v>0</v>
      </c>
      <c r="R6082" s="2" t="inlineStr"/>
    </row>
    <row r="6083" ht="15" customHeight="1">
      <c r="A6083" t="inlineStr">
        <is>
          <t>A 74012-2021</t>
        </is>
      </c>
      <c r="B6083" s="1" t="n">
        <v>44553</v>
      </c>
      <c r="C6083" s="1" t="n">
        <v>45810</v>
      </c>
      <c r="D6083" t="inlineStr">
        <is>
          <t>VÄRMLANDS LÄN</t>
        </is>
      </c>
      <c r="E6083" t="inlineStr">
        <is>
          <t>TORSBY</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74189-2021</t>
        </is>
      </c>
      <c r="B6084" s="1" t="n">
        <v>44553</v>
      </c>
      <c r="C6084" s="1" t="n">
        <v>45810</v>
      </c>
      <c r="D6084" t="inlineStr">
        <is>
          <t>VÄRMLANDS LÄN</t>
        </is>
      </c>
      <c r="E6084" t="inlineStr">
        <is>
          <t>ÅRJÄNG</t>
        </is>
      </c>
      <c r="G6084" t="n">
        <v>1.9</v>
      </c>
      <c r="H6084" t="n">
        <v>0</v>
      </c>
      <c r="I6084" t="n">
        <v>0</v>
      </c>
      <c r="J6084" t="n">
        <v>0</v>
      </c>
      <c r="K6084" t="n">
        <v>0</v>
      </c>
      <c r="L6084" t="n">
        <v>0</v>
      </c>
      <c r="M6084" t="n">
        <v>0</v>
      </c>
      <c r="N6084" t="n">
        <v>0</v>
      </c>
      <c r="O6084" t="n">
        <v>0</v>
      </c>
      <c r="P6084" t="n">
        <v>0</v>
      </c>
      <c r="Q6084" t="n">
        <v>0</v>
      </c>
      <c r="R6084" s="2" t="inlineStr"/>
    </row>
    <row r="6085" ht="15" customHeight="1">
      <c r="A6085" t="inlineStr">
        <is>
          <t>A 74187-2021</t>
        </is>
      </c>
      <c r="B6085" s="1" t="n">
        <v>44553</v>
      </c>
      <c r="C6085" s="1" t="n">
        <v>45810</v>
      </c>
      <c r="D6085" t="inlineStr">
        <is>
          <t>VÄRMLANDS LÄN</t>
        </is>
      </c>
      <c r="E6085" t="inlineStr">
        <is>
          <t>ÅRJÄNG</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74004-2021</t>
        </is>
      </c>
      <c r="B6086" s="1" t="n">
        <v>44557</v>
      </c>
      <c r="C6086" s="1" t="n">
        <v>45810</v>
      </c>
      <c r="D6086" t="inlineStr">
        <is>
          <t>VÄRMLANDS LÄN</t>
        </is>
      </c>
      <c r="E6086" t="inlineStr">
        <is>
          <t>ARVIKA</t>
        </is>
      </c>
      <c r="G6086" t="n">
        <v>4.8</v>
      </c>
      <c r="H6086" t="n">
        <v>0</v>
      </c>
      <c r="I6086" t="n">
        <v>0</v>
      </c>
      <c r="J6086" t="n">
        <v>0</v>
      </c>
      <c r="K6086" t="n">
        <v>0</v>
      </c>
      <c r="L6086" t="n">
        <v>0</v>
      </c>
      <c r="M6086" t="n">
        <v>0</v>
      </c>
      <c r="N6086" t="n">
        <v>0</v>
      </c>
      <c r="O6086" t="n">
        <v>0</v>
      </c>
      <c r="P6086" t="n">
        <v>0</v>
      </c>
      <c r="Q6086" t="n">
        <v>0</v>
      </c>
      <c r="R6086" s="2" t="inlineStr"/>
    </row>
    <row r="6087" ht="15" customHeight="1">
      <c r="A6087" t="inlineStr">
        <is>
          <t>A 74059-2021</t>
        </is>
      </c>
      <c r="B6087" s="1" t="n">
        <v>44557</v>
      </c>
      <c r="C6087" s="1" t="n">
        <v>45810</v>
      </c>
      <c r="D6087" t="inlineStr">
        <is>
          <t>VÄRMLANDS LÄN</t>
        </is>
      </c>
      <c r="E6087" t="inlineStr">
        <is>
          <t>SUNNE</t>
        </is>
      </c>
      <c r="G6087" t="n">
        <v>1.8</v>
      </c>
      <c r="H6087" t="n">
        <v>0</v>
      </c>
      <c r="I6087" t="n">
        <v>0</v>
      </c>
      <c r="J6087" t="n">
        <v>0</v>
      </c>
      <c r="K6087" t="n">
        <v>0</v>
      </c>
      <c r="L6087" t="n">
        <v>0</v>
      </c>
      <c r="M6087" t="n">
        <v>0</v>
      </c>
      <c r="N6087" t="n">
        <v>0</v>
      </c>
      <c r="O6087" t="n">
        <v>0</v>
      </c>
      <c r="P6087" t="n">
        <v>0</v>
      </c>
      <c r="Q6087" t="n">
        <v>0</v>
      </c>
      <c r="R6087" s="2" t="inlineStr"/>
    </row>
    <row r="6088" ht="15" customHeight="1">
      <c r="A6088" t="inlineStr">
        <is>
          <t>A 74069-2021</t>
        </is>
      </c>
      <c r="B6088" s="1" t="n">
        <v>44557</v>
      </c>
      <c r="C6088" s="1" t="n">
        <v>45810</v>
      </c>
      <c r="D6088" t="inlineStr">
        <is>
          <t>VÄRMLANDS LÄN</t>
        </is>
      </c>
      <c r="E6088" t="inlineStr">
        <is>
          <t>EDA</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74079-2021</t>
        </is>
      </c>
      <c r="B6089" s="1" t="n">
        <v>44557</v>
      </c>
      <c r="C6089" s="1" t="n">
        <v>45810</v>
      </c>
      <c r="D6089" t="inlineStr">
        <is>
          <t>VÄRMLANDS LÄN</t>
        </is>
      </c>
      <c r="E6089" t="inlineStr">
        <is>
          <t>TORSBY</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74087-2021</t>
        </is>
      </c>
      <c r="B6090" s="1" t="n">
        <v>44557</v>
      </c>
      <c r="C6090" s="1" t="n">
        <v>45810</v>
      </c>
      <c r="D6090" t="inlineStr">
        <is>
          <t>VÄRMLANDS LÄN</t>
        </is>
      </c>
      <c r="E6090" t="inlineStr">
        <is>
          <t>ÅRJÄNG</t>
        </is>
      </c>
      <c r="G6090" t="n">
        <v>1.8</v>
      </c>
      <c r="H6090" t="n">
        <v>0</v>
      </c>
      <c r="I6090" t="n">
        <v>0</v>
      </c>
      <c r="J6090" t="n">
        <v>0</v>
      </c>
      <c r="K6090" t="n">
        <v>0</v>
      </c>
      <c r="L6090" t="n">
        <v>0</v>
      </c>
      <c r="M6090" t="n">
        <v>0</v>
      </c>
      <c r="N6090" t="n">
        <v>0</v>
      </c>
      <c r="O6090" t="n">
        <v>0</v>
      </c>
      <c r="P6090" t="n">
        <v>0</v>
      </c>
      <c r="Q6090" t="n">
        <v>0</v>
      </c>
      <c r="R6090" s="2" t="inlineStr"/>
    </row>
    <row r="6091" ht="15" customHeight="1">
      <c r="A6091" t="inlineStr">
        <is>
          <t>A 74086-2021</t>
        </is>
      </c>
      <c r="B6091" s="1" t="n">
        <v>44557</v>
      </c>
      <c r="C6091" s="1" t="n">
        <v>45810</v>
      </c>
      <c r="D6091" t="inlineStr">
        <is>
          <t>VÄRMLANDS LÄN</t>
        </is>
      </c>
      <c r="E6091" t="inlineStr">
        <is>
          <t>ÅRJÄNG</t>
        </is>
      </c>
      <c r="G6091" t="n">
        <v>3.6</v>
      </c>
      <c r="H6091" t="n">
        <v>0</v>
      </c>
      <c r="I6091" t="n">
        <v>0</v>
      </c>
      <c r="J6091" t="n">
        <v>0</v>
      </c>
      <c r="K6091" t="n">
        <v>0</v>
      </c>
      <c r="L6091" t="n">
        <v>0</v>
      </c>
      <c r="M6091" t="n">
        <v>0</v>
      </c>
      <c r="N6091" t="n">
        <v>0</v>
      </c>
      <c r="O6091" t="n">
        <v>0</v>
      </c>
      <c r="P6091" t="n">
        <v>0</v>
      </c>
      <c r="Q6091" t="n">
        <v>0</v>
      </c>
      <c r="R6091" s="2" t="inlineStr"/>
    </row>
    <row r="6092" ht="15" customHeight="1">
      <c r="A6092" t="inlineStr">
        <is>
          <t>A 74085-2021</t>
        </is>
      </c>
      <c r="B6092" s="1" t="n">
        <v>44557</v>
      </c>
      <c r="C6092" s="1" t="n">
        <v>45810</v>
      </c>
      <c r="D6092" t="inlineStr">
        <is>
          <t>VÄRMLANDS LÄN</t>
        </is>
      </c>
      <c r="E6092" t="inlineStr">
        <is>
          <t>EDA</t>
        </is>
      </c>
      <c r="F6092" t="inlineStr">
        <is>
          <t>Övriga Aktiebolag</t>
        </is>
      </c>
      <c r="G6092" t="n">
        <v>4.8</v>
      </c>
      <c r="H6092" t="n">
        <v>0</v>
      </c>
      <c r="I6092" t="n">
        <v>0</v>
      </c>
      <c r="J6092" t="n">
        <v>0</v>
      </c>
      <c r="K6092" t="n">
        <v>0</v>
      </c>
      <c r="L6092" t="n">
        <v>0</v>
      </c>
      <c r="M6092" t="n">
        <v>0</v>
      </c>
      <c r="N6092" t="n">
        <v>0</v>
      </c>
      <c r="O6092" t="n">
        <v>0</v>
      </c>
      <c r="P6092" t="n">
        <v>0</v>
      </c>
      <c r="Q6092" t="n">
        <v>0</v>
      </c>
      <c r="R6092" s="2" t="inlineStr"/>
    </row>
    <row r="6093" ht="15" customHeight="1">
      <c r="A6093" t="inlineStr">
        <is>
          <t>A 74129-2021</t>
        </is>
      </c>
      <c r="B6093" s="1" t="n">
        <v>44557</v>
      </c>
      <c r="C6093" s="1" t="n">
        <v>45810</v>
      </c>
      <c r="D6093" t="inlineStr">
        <is>
          <t>VÄRMLANDS LÄN</t>
        </is>
      </c>
      <c r="E6093" t="inlineStr">
        <is>
          <t>ARVIKA</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74147-2021</t>
        </is>
      </c>
      <c r="B6094" s="1" t="n">
        <v>44557</v>
      </c>
      <c r="C6094" s="1" t="n">
        <v>45810</v>
      </c>
      <c r="D6094" t="inlineStr">
        <is>
          <t>VÄRMLANDS LÄN</t>
        </is>
      </c>
      <c r="E6094" t="inlineStr">
        <is>
          <t>SÄFFLE</t>
        </is>
      </c>
      <c r="G6094" t="n">
        <v>6.5</v>
      </c>
      <c r="H6094" t="n">
        <v>0</v>
      </c>
      <c r="I6094" t="n">
        <v>0</v>
      </c>
      <c r="J6094" t="n">
        <v>0</v>
      </c>
      <c r="K6094" t="n">
        <v>0</v>
      </c>
      <c r="L6094" t="n">
        <v>0</v>
      </c>
      <c r="M6094" t="n">
        <v>0</v>
      </c>
      <c r="N6094" t="n">
        <v>0</v>
      </c>
      <c r="O6094" t="n">
        <v>0</v>
      </c>
      <c r="P6094" t="n">
        <v>0</v>
      </c>
      <c r="Q6094" t="n">
        <v>0</v>
      </c>
      <c r="R6094" s="2" t="inlineStr"/>
    </row>
    <row r="6095" ht="15" customHeight="1">
      <c r="A6095" t="inlineStr">
        <is>
          <t>A 74007-2021</t>
        </is>
      </c>
      <c r="B6095" s="1" t="n">
        <v>44557</v>
      </c>
      <c r="C6095" s="1" t="n">
        <v>45810</v>
      </c>
      <c r="D6095" t="inlineStr">
        <is>
          <t>VÄRMLANDS LÄN</t>
        </is>
      </c>
      <c r="E6095" t="inlineStr">
        <is>
          <t>FORSHAGA</t>
        </is>
      </c>
      <c r="G6095" t="n">
        <v>3.2</v>
      </c>
      <c r="H6095" t="n">
        <v>0</v>
      </c>
      <c r="I6095" t="n">
        <v>0</v>
      </c>
      <c r="J6095" t="n">
        <v>0</v>
      </c>
      <c r="K6095" t="n">
        <v>0</v>
      </c>
      <c r="L6095" t="n">
        <v>0</v>
      </c>
      <c r="M6095" t="n">
        <v>0</v>
      </c>
      <c r="N6095" t="n">
        <v>0</v>
      </c>
      <c r="O6095" t="n">
        <v>0</v>
      </c>
      <c r="P6095" t="n">
        <v>0</v>
      </c>
      <c r="Q6095" t="n">
        <v>0</v>
      </c>
      <c r="R6095" s="2" t="inlineStr"/>
    </row>
    <row r="6096" ht="15" customHeight="1">
      <c r="A6096" t="inlineStr">
        <is>
          <t>A 74131-2021</t>
        </is>
      </c>
      <c r="B6096" s="1" t="n">
        <v>44557</v>
      </c>
      <c r="C6096" s="1" t="n">
        <v>45810</v>
      </c>
      <c r="D6096" t="inlineStr">
        <is>
          <t>VÄRMLANDS LÄN</t>
        </is>
      </c>
      <c r="E6096" t="inlineStr">
        <is>
          <t>KRISTINEHAMN</t>
        </is>
      </c>
      <c r="G6096" t="n">
        <v>2.7</v>
      </c>
      <c r="H6096" t="n">
        <v>0</v>
      </c>
      <c r="I6096" t="n">
        <v>0</v>
      </c>
      <c r="J6096" t="n">
        <v>0</v>
      </c>
      <c r="K6096" t="n">
        <v>0</v>
      </c>
      <c r="L6096" t="n">
        <v>0</v>
      </c>
      <c r="M6096" t="n">
        <v>0</v>
      </c>
      <c r="N6096" t="n">
        <v>0</v>
      </c>
      <c r="O6096" t="n">
        <v>0</v>
      </c>
      <c r="P6096" t="n">
        <v>0</v>
      </c>
      <c r="Q6096" t="n">
        <v>0</v>
      </c>
      <c r="R6096" s="2" t="inlineStr"/>
    </row>
    <row r="6097" ht="15" customHeight="1">
      <c r="A6097" t="inlineStr">
        <is>
          <t>A 74216-2021</t>
        </is>
      </c>
      <c r="B6097" s="1" t="n">
        <v>44558</v>
      </c>
      <c r="C6097" s="1" t="n">
        <v>45810</v>
      </c>
      <c r="D6097" t="inlineStr">
        <is>
          <t>VÄRMLANDS LÄN</t>
        </is>
      </c>
      <c r="E6097" t="inlineStr">
        <is>
          <t>ARVIKA</t>
        </is>
      </c>
      <c r="G6097" t="n">
        <v>4.1</v>
      </c>
      <c r="H6097" t="n">
        <v>0</v>
      </c>
      <c r="I6097" t="n">
        <v>0</v>
      </c>
      <c r="J6097" t="n">
        <v>0</v>
      </c>
      <c r="K6097" t="n">
        <v>0</v>
      </c>
      <c r="L6097" t="n">
        <v>0</v>
      </c>
      <c r="M6097" t="n">
        <v>0</v>
      </c>
      <c r="N6097" t="n">
        <v>0</v>
      </c>
      <c r="O6097" t="n">
        <v>0</v>
      </c>
      <c r="P6097" t="n">
        <v>0</v>
      </c>
      <c r="Q6097" t="n">
        <v>0</v>
      </c>
      <c r="R6097" s="2" t="inlineStr"/>
    </row>
    <row r="6098" ht="15" customHeight="1">
      <c r="A6098" t="inlineStr">
        <is>
          <t>A 74227-2021</t>
        </is>
      </c>
      <c r="B6098" s="1" t="n">
        <v>44558</v>
      </c>
      <c r="C6098" s="1" t="n">
        <v>45810</v>
      </c>
      <c r="D6098" t="inlineStr">
        <is>
          <t>VÄRMLANDS LÄN</t>
        </is>
      </c>
      <c r="E6098" t="inlineStr">
        <is>
          <t>SUNNE</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74166-2021</t>
        </is>
      </c>
      <c r="B6099" s="1" t="n">
        <v>44558</v>
      </c>
      <c r="C6099" s="1" t="n">
        <v>45810</v>
      </c>
      <c r="D6099" t="inlineStr">
        <is>
          <t>VÄRMLANDS LÄN</t>
        </is>
      </c>
      <c r="E6099" t="inlineStr">
        <is>
          <t>ÅRJÄNG</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74221-2021</t>
        </is>
      </c>
      <c r="B6100" s="1" t="n">
        <v>44558</v>
      </c>
      <c r="C6100" s="1" t="n">
        <v>45810</v>
      </c>
      <c r="D6100" t="inlineStr">
        <is>
          <t>VÄRMLANDS LÄN</t>
        </is>
      </c>
      <c r="E6100" t="inlineStr">
        <is>
          <t>ARVIKA</t>
        </is>
      </c>
      <c r="G6100" t="n">
        <v>5.3</v>
      </c>
      <c r="H6100" t="n">
        <v>0</v>
      </c>
      <c r="I6100" t="n">
        <v>0</v>
      </c>
      <c r="J6100" t="n">
        <v>0</v>
      </c>
      <c r="K6100" t="n">
        <v>0</v>
      </c>
      <c r="L6100" t="n">
        <v>0</v>
      </c>
      <c r="M6100" t="n">
        <v>0</v>
      </c>
      <c r="N6100" t="n">
        <v>0</v>
      </c>
      <c r="O6100" t="n">
        <v>0</v>
      </c>
      <c r="P6100" t="n">
        <v>0</v>
      </c>
      <c r="Q6100" t="n">
        <v>0</v>
      </c>
      <c r="R6100" s="2" t="inlineStr"/>
    </row>
    <row r="6101" ht="15" customHeight="1">
      <c r="A6101" t="inlineStr">
        <is>
          <t>A 74233-2021</t>
        </is>
      </c>
      <c r="B6101" s="1" t="n">
        <v>44558</v>
      </c>
      <c r="C6101" s="1" t="n">
        <v>45810</v>
      </c>
      <c r="D6101" t="inlineStr">
        <is>
          <t>VÄRMLANDS LÄN</t>
        </is>
      </c>
      <c r="E6101" t="inlineStr">
        <is>
          <t>SUNNE</t>
        </is>
      </c>
      <c r="G6101" t="n">
        <v>2.8</v>
      </c>
      <c r="H6101" t="n">
        <v>0</v>
      </c>
      <c r="I6101" t="n">
        <v>0</v>
      </c>
      <c r="J6101" t="n">
        <v>0</v>
      </c>
      <c r="K6101" t="n">
        <v>0</v>
      </c>
      <c r="L6101" t="n">
        <v>0</v>
      </c>
      <c r="M6101" t="n">
        <v>0</v>
      </c>
      <c r="N6101" t="n">
        <v>0</v>
      </c>
      <c r="O6101" t="n">
        <v>0</v>
      </c>
      <c r="P6101" t="n">
        <v>0</v>
      </c>
      <c r="Q6101" t="n">
        <v>0</v>
      </c>
      <c r="R6101" s="2" t="inlineStr"/>
    </row>
    <row r="6102" ht="15" customHeight="1">
      <c r="A6102" t="inlineStr">
        <is>
          <t>A 74268-2021</t>
        </is>
      </c>
      <c r="B6102" s="1" t="n">
        <v>44558</v>
      </c>
      <c r="C6102" s="1" t="n">
        <v>45810</v>
      </c>
      <c r="D6102" t="inlineStr">
        <is>
          <t>VÄRMLANDS LÄN</t>
        </is>
      </c>
      <c r="E6102" t="inlineStr">
        <is>
          <t>SUNNE</t>
        </is>
      </c>
      <c r="G6102" t="n">
        <v>3.2</v>
      </c>
      <c r="H6102" t="n">
        <v>0</v>
      </c>
      <c r="I6102" t="n">
        <v>0</v>
      </c>
      <c r="J6102" t="n">
        <v>0</v>
      </c>
      <c r="K6102" t="n">
        <v>0</v>
      </c>
      <c r="L6102" t="n">
        <v>0</v>
      </c>
      <c r="M6102" t="n">
        <v>0</v>
      </c>
      <c r="N6102" t="n">
        <v>0</v>
      </c>
      <c r="O6102" t="n">
        <v>0</v>
      </c>
      <c r="P6102" t="n">
        <v>0</v>
      </c>
      <c r="Q6102" t="n">
        <v>0</v>
      </c>
      <c r="R6102" s="2" t="inlineStr"/>
    </row>
    <row r="6103" ht="15" customHeight="1">
      <c r="A6103" t="inlineStr">
        <is>
          <t>A 74230-2021</t>
        </is>
      </c>
      <c r="B6103" s="1" t="n">
        <v>44558</v>
      </c>
      <c r="C6103" s="1" t="n">
        <v>45810</v>
      </c>
      <c r="D6103" t="inlineStr">
        <is>
          <t>VÄRMLANDS LÄN</t>
        </is>
      </c>
      <c r="E6103" t="inlineStr">
        <is>
          <t>SUNNE</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74271-2021</t>
        </is>
      </c>
      <c r="B6104" s="1" t="n">
        <v>44558</v>
      </c>
      <c r="C6104" s="1" t="n">
        <v>45810</v>
      </c>
      <c r="D6104" t="inlineStr">
        <is>
          <t>VÄRMLANDS LÄN</t>
        </is>
      </c>
      <c r="E6104" t="inlineStr">
        <is>
          <t>ARVIKA</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74331-2021</t>
        </is>
      </c>
      <c r="B6105" s="1" t="n">
        <v>44559</v>
      </c>
      <c r="C6105" s="1" t="n">
        <v>45810</v>
      </c>
      <c r="D6105" t="inlineStr">
        <is>
          <t>VÄRMLANDS LÄN</t>
        </is>
      </c>
      <c r="E6105" t="inlineStr">
        <is>
          <t>ARVIKA</t>
        </is>
      </c>
      <c r="G6105" t="n">
        <v>3.8</v>
      </c>
      <c r="H6105" t="n">
        <v>0</v>
      </c>
      <c r="I6105" t="n">
        <v>0</v>
      </c>
      <c r="J6105" t="n">
        <v>0</v>
      </c>
      <c r="K6105" t="n">
        <v>0</v>
      </c>
      <c r="L6105" t="n">
        <v>0</v>
      </c>
      <c r="M6105" t="n">
        <v>0</v>
      </c>
      <c r="N6105" t="n">
        <v>0</v>
      </c>
      <c r="O6105" t="n">
        <v>0</v>
      </c>
      <c r="P6105" t="n">
        <v>0</v>
      </c>
      <c r="Q6105" t="n">
        <v>0</v>
      </c>
      <c r="R6105" s="2" t="inlineStr"/>
    </row>
    <row r="6106" ht="15" customHeight="1">
      <c r="A6106" t="inlineStr">
        <is>
          <t>A 74300-2021</t>
        </is>
      </c>
      <c r="B6106" s="1" t="n">
        <v>44559</v>
      </c>
      <c r="C6106" s="1" t="n">
        <v>45810</v>
      </c>
      <c r="D6106" t="inlineStr">
        <is>
          <t>VÄRMLANDS LÄN</t>
        </is>
      </c>
      <c r="E6106" t="inlineStr">
        <is>
          <t>ARVIKA</t>
        </is>
      </c>
      <c r="F6106" t="inlineStr">
        <is>
          <t>Bergvik skog väst AB</t>
        </is>
      </c>
      <c r="G6106" t="n">
        <v>4.7</v>
      </c>
      <c r="H6106" t="n">
        <v>0</v>
      </c>
      <c r="I6106" t="n">
        <v>0</v>
      </c>
      <c r="J6106" t="n">
        <v>0</v>
      </c>
      <c r="K6106" t="n">
        <v>0</v>
      </c>
      <c r="L6106" t="n">
        <v>0</v>
      </c>
      <c r="M6106" t="n">
        <v>0</v>
      </c>
      <c r="N6106" t="n">
        <v>0</v>
      </c>
      <c r="O6106" t="n">
        <v>0</v>
      </c>
      <c r="P6106" t="n">
        <v>0</v>
      </c>
      <c r="Q6106" t="n">
        <v>0</v>
      </c>
      <c r="R6106" s="2" t="inlineStr"/>
    </row>
    <row r="6107" ht="15" customHeight="1">
      <c r="A6107" t="inlineStr">
        <is>
          <t>A 74330-2021</t>
        </is>
      </c>
      <c r="B6107" s="1" t="n">
        <v>44559</v>
      </c>
      <c r="C6107" s="1" t="n">
        <v>45810</v>
      </c>
      <c r="D6107" t="inlineStr">
        <is>
          <t>VÄRMLANDS LÄN</t>
        </is>
      </c>
      <c r="E6107" t="inlineStr">
        <is>
          <t>ARVIKA</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74375-2021</t>
        </is>
      </c>
      <c r="B6108" s="1" t="n">
        <v>44559</v>
      </c>
      <c r="C6108" s="1" t="n">
        <v>45810</v>
      </c>
      <c r="D6108" t="inlineStr">
        <is>
          <t>VÄRMLANDS LÄN</t>
        </is>
      </c>
      <c r="E6108" t="inlineStr">
        <is>
          <t>TORSBY</t>
        </is>
      </c>
      <c r="G6108" t="n">
        <v>2.4</v>
      </c>
      <c r="H6108" t="n">
        <v>0</v>
      </c>
      <c r="I6108" t="n">
        <v>0</v>
      </c>
      <c r="J6108" t="n">
        <v>0</v>
      </c>
      <c r="K6108" t="n">
        <v>0</v>
      </c>
      <c r="L6108" t="n">
        <v>0</v>
      </c>
      <c r="M6108" t="n">
        <v>0</v>
      </c>
      <c r="N6108" t="n">
        <v>0</v>
      </c>
      <c r="O6108" t="n">
        <v>0</v>
      </c>
      <c r="P6108" t="n">
        <v>0</v>
      </c>
      <c r="Q6108" t="n">
        <v>0</v>
      </c>
      <c r="R6108" s="2" t="inlineStr"/>
    </row>
    <row r="6109" ht="15" customHeight="1">
      <c r="A6109" t="inlineStr">
        <is>
          <t>A 74403-2021</t>
        </is>
      </c>
      <c r="B6109" s="1" t="n">
        <v>44559</v>
      </c>
      <c r="C6109" s="1" t="n">
        <v>45810</v>
      </c>
      <c r="D6109" t="inlineStr">
        <is>
          <t>VÄRMLANDS LÄN</t>
        </is>
      </c>
      <c r="E6109" t="inlineStr">
        <is>
          <t>KRISTINEHAMN</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74363-2021</t>
        </is>
      </c>
      <c r="B6110" s="1" t="n">
        <v>44559</v>
      </c>
      <c r="C6110" s="1" t="n">
        <v>45810</v>
      </c>
      <c r="D6110" t="inlineStr">
        <is>
          <t>VÄRMLANDS LÄN</t>
        </is>
      </c>
      <c r="E6110" t="inlineStr">
        <is>
          <t>ÅRJÄNG</t>
        </is>
      </c>
      <c r="G6110" t="n">
        <v>2.7</v>
      </c>
      <c r="H6110" t="n">
        <v>0</v>
      </c>
      <c r="I6110" t="n">
        <v>0</v>
      </c>
      <c r="J6110" t="n">
        <v>0</v>
      </c>
      <c r="K6110" t="n">
        <v>0</v>
      </c>
      <c r="L6110" t="n">
        <v>0</v>
      </c>
      <c r="M6110" t="n">
        <v>0</v>
      </c>
      <c r="N6110" t="n">
        <v>0</v>
      </c>
      <c r="O6110" t="n">
        <v>0</v>
      </c>
      <c r="P6110" t="n">
        <v>0</v>
      </c>
      <c r="Q6110" t="n">
        <v>0</v>
      </c>
      <c r="R6110" s="2" t="inlineStr"/>
    </row>
    <row r="6111" ht="15" customHeight="1">
      <c r="A6111" t="inlineStr">
        <is>
          <t>A 74374-2021</t>
        </is>
      </c>
      <c r="B6111" s="1" t="n">
        <v>44559</v>
      </c>
      <c r="C6111" s="1" t="n">
        <v>45810</v>
      </c>
      <c r="D6111" t="inlineStr">
        <is>
          <t>VÄRMLANDS LÄN</t>
        </is>
      </c>
      <c r="E6111" t="inlineStr">
        <is>
          <t>TORSBY</t>
        </is>
      </c>
      <c r="G6111" t="n">
        <v>4.8</v>
      </c>
      <c r="H6111" t="n">
        <v>0</v>
      </c>
      <c r="I6111" t="n">
        <v>0</v>
      </c>
      <c r="J6111" t="n">
        <v>0</v>
      </c>
      <c r="K6111" t="n">
        <v>0</v>
      </c>
      <c r="L6111" t="n">
        <v>0</v>
      </c>
      <c r="M6111" t="n">
        <v>0</v>
      </c>
      <c r="N6111" t="n">
        <v>0</v>
      </c>
      <c r="O6111" t="n">
        <v>0</v>
      </c>
      <c r="P6111" t="n">
        <v>0</v>
      </c>
      <c r="Q6111" t="n">
        <v>0</v>
      </c>
      <c r="R6111" s="2" t="inlineStr"/>
    </row>
    <row r="6112" ht="15" customHeight="1">
      <c r="A6112" t="inlineStr">
        <is>
          <t>A 74351-2021</t>
        </is>
      </c>
      <c r="B6112" s="1" t="n">
        <v>44559</v>
      </c>
      <c r="C6112" s="1" t="n">
        <v>45810</v>
      </c>
      <c r="D6112" t="inlineStr">
        <is>
          <t>VÄRMLANDS LÄN</t>
        </is>
      </c>
      <c r="E6112" t="inlineStr">
        <is>
          <t>TORSBY</t>
        </is>
      </c>
      <c r="F6112" t="inlineStr">
        <is>
          <t>Bergvik skog väst AB</t>
        </is>
      </c>
      <c r="G6112" t="n">
        <v>9.1</v>
      </c>
      <c r="H6112" t="n">
        <v>0</v>
      </c>
      <c r="I6112" t="n">
        <v>0</v>
      </c>
      <c r="J6112" t="n">
        <v>0</v>
      </c>
      <c r="K6112" t="n">
        <v>0</v>
      </c>
      <c r="L6112" t="n">
        <v>0</v>
      </c>
      <c r="M6112" t="n">
        <v>0</v>
      </c>
      <c r="N6112" t="n">
        <v>0</v>
      </c>
      <c r="O6112" t="n">
        <v>0</v>
      </c>
      <c r="P6112" t="n">
        <v>0</v>
      </c>
      <c r="Q6112" t="n">
        <v>0</v>
      </c>
      <c r="R6112" s="2" t="inlineStr"/>
    </row>
    <row r="6113" ht="15" customHeight="1">
      <c r="A6113" t="inlineStr">
        <is>
          <t>A 74372-2021</t>
        </is>
      </c>
      <c r="B6113" s="1" t="n">
        <v>44559</v>
      </c>
      <c r="C6113" s="1" t="n">
        <v>45810</v>
      </c>
      <c r="D6113" t="inlineStr">
        <is>
          <t>VÄRMLANDS LÄN</t>
        </is>
      </c>
      <c r="E6113" t="inlineStr">
        <is>
          <t>ÅRJÄNG</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74419-2021</t>
        </is>
      </c>
      <c r="B6114" s="1" t="n">
        <v>44560</v>
      </c>
      <c r="C6114" s="1" t="n">
        <v>45810</v>
      </c>
      <c r="D6114" t="inlineStr">
        <is>
          <t>VÄRMLANDS LÄN</t>
        </is>
      </c>
      <c r="E6114" t="inlineStr">
        <is>
          <t>KIL</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74463-2021</t>
        </is>
      </c>
      <c r="B6115" s="1" t="n">
        <v>44560</v>
      </c>
      <c r="C6115" s="1" t="n">
        <v>45810</v>
      </c>
      <c r="D6115" t="inlineStr">
        <is>
          <t>VÄRMLANDS LÄN</t>
        </is>
      </c>
      <c r="E6115" t="inlineStr">
        <is>
          <t>ÅRJÄNG</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74448-2021</t>
        </is>
      </c>
      <c r="B6116" s="1" t="n">
        <v>44560</v>
      </c>
      <c r="C6116" s="1" t="n">
        <v>45810</v>
      </c>
      <c r="D6116" t="inlineStr">
        <is>
          <t>VÄRMLANDS LÄN</t>
        </is>
      </c>
      <c r="E6116" t="inlineStr">
        <is>
          <t>ÅRJÄNG</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74424-2021</t>
        </is>
      </c>
      <c r="B6117" s="1" t="n">
        <v>44560</v>
      </c>
      <c r="C6117" s="1" t="n">
        <v>45810</v>
      </c>
      <c r="D6117" t="inlineStr">
        <is>
          <t>VÄRMLANDS LÄN</t>
        </is>
      </c>
      <c r="E6117" t="inlineStr">
        <is>
          <t>EDA</t>
        </is>
      </c>
      <c r="F6117" t="inlineStr">
        <is>
          <t>Bergvik skog väst AB</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74430-2021</t>
        </is>
      </c>
      <c r="B6118" s="1" t="n">
        <v>44560</v>
      </c>
      <c r="C6118" s="1" t="n">
        <v>45810</v>
      </c>
      <c r="D6118" t="inlineStr">
        <is>
          <t>VÄRMLANDS LÄN</t>
        </is>
      </c>
      <c r="E6118" t="inlineStr">
        <is>
          <t>ÅRJÄNG</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74514-2021</t>
        </is>
      </c>
      <c r="B6119" s="1" t="n">
        <v>44561</v>
      </c>
      <c r="C6119" s="1" t="n">
        <v>45810</v>
      </c>
      <c r="D6119" t="inlineStr">
        <is>
          <t>VÄRMLANDS LÄN</t>
        </is>
      </c>
      <c r="E6119" t="inlineStr">
        <is>
          <t>ÅRJÄNG</t>
        </is>
      </c>
      <c r="G6119" t="n">
        <v>2.8</v>
      </c>
      <c r="H6119" t="n">
        <v>0</v>
      </c>
      <c r="I6119" t="n">
        <v>0</v>
      </c>
      <c r="J6119" t="n">
        <v>0</v>
      </c>
      <c r="K6119" t="n">
        <v>0</v>
      </c>
      <c r="L6119" t="n">
        <v>0</v>
      </c>
      <c r="M6119" t="n">
        <v>0</v>
      </c>
      <c r="N6119" t="n">
        <v>0</v>
      </c>
      <c r="O6119" t="n">
        <v>0</v>
      </c>
      <c r="P6119" t="n">
        <v>0</v>
      </c>
      <c r="Q6119" t="n">
        <v>0</v>
      </c>
      <c r="R6119" s="2" t="inlineStr"/>
    </row>
    <row r="6120" ht="15" customHeight="1">
      <c r="A6120" t="inlineStr">
        <is>
          <t>A 74512-2021</t>
        </is>
      </c>
      <c r="B6120" s="1" t="n">
        <v>44561</v>
      </c>
      <c r="C6120" s="1" t="n">
        <v>45810</v>
      </c>
      <c r="D6120" t="inlineStr">
        <is>
          <t>VÄRMLANDS LÄN</t>
        </is>
      </c>
      <c r="E6120" t="inlineStr">
        <is>
          <t>KARLSTAD</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74513-2021</t>
        </is>
      </c>
      <c r="B6121" s="1" t="n">
        <v>44561</v>
      </c>
      <c r="C6121" s="1" t="n">
        <v>45810</v>
      </c>
      <c r="D6121" t="inlineStr">
        <is>
          <t>VÄRMLANDS LÄN</t>
        </is>
      </c>
      <c r="E6121" t="inlineStr">
        <is>
          <t>SUNNE</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6-2022</t>
        </is>
      </c>
      <c r="B6122" s="1" t="n">
        <v>44563</v>
      </c>
      <c r="C6122" s="1" t="n">
        <v>45810</v>
      </c>
      <c r="D6122" t="inlineStr">
        <is>
          <t>VÄRMLANDS LÄN</t>
        </is>
      </c>
      <c r="E6122" t="inlineStr">
        <is>
          <t>SUNNE</t>
        </is>
      </c>
      <c r="G6122" t="n">
        <v>3.7</v>
      </c>
      <c r="H6122" t="n">
        <v>0</v>
      </c>
      <c r="I6122" t="n">
        <v>0</v>
      </c>
      <c r="J6122" t="n">
        <v>0</v>
      </c>
      <c r="K6122" t="n">
        <v>0</v>
      </c>
      <c r="L6122" t="n">
        <v>0</v>
      </c>
      <c r="M6122" t="n">
        <v>0</v>
      </c>
      <c r="N6122" t="n">
        <v>0</v>
      </c>
      <c r="O6122" t="n">
        <v>0</v>
      </c>
      <c r="P6122" t="n">
        <v>0</v>
      </c>
      <c r="Q6122" t="n">
        <v>0</v>
      </c>
      <c r="R6122" s="2" t="inlineStr"/>
    </row>
    <row r="6123" ht="15" customHeight="1">
      <c r="A6123" t="inlineStr">
        <is>
          <t>A 203-2022</t>
        </is>
      </c>
      <c r="B6123" s="1" t="n">
        <v>44563</v>
      </c>
      <c r="C6123" s="1" t="n">
        <v>45810</v>
      </c>
      <c r="D6123" t="inlineStr">
        <is>
          <t>VÄRMLANDS LÄN</t>
        </is>
      </c>
      <c r="E6123" t="inlineStr">
        <is>
          <t>ARVIKA</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82-2022</t>
        </is>
      </c>
      <c r="B6124" s="1" t="n">
        <v>44564</v>
      </c>
      <c r="C6124" s="1" t="n">
        <v>45810</v>
      </c>
      <c r="D6124" t="inlineStr">
        <is>
          <t>VÄRMLANDS LÄN</t>
        </is>
      </c>
      <c r="E6124" t="inlineStr">
        <is>
          <t>SUNNE</t>
        </is>
      </c>
      <c r="G6124" t="n">
        <v>7.1</v>
      </c>
      <c r="H6124" t="n">
        <v>0</v>
      </c>
      <c r="I6124" t="n">
        <v>0</v>
      </c>
      <c r="J6124" t="n">
        <v>0</v>
      </c>
      <c r="K6124" t="n">
        <v>0</v>
      </c>
      <c r="L6124" t="n">
        <v>0</v>
      </c>
      <c r="M6124" t="n">
        <v>0</v>
      </c>
      <c r="N6124" t="n">
        <v>0</v>
      </c>
      <c r="O6124" t="n">
        <v>0</v>
      </c>
      <c r="P6124" t="n">
        <v>0</v>
      </c>
      <c r="Q6124" t="n">
        <v>0</v>
      </c>
      <c r="R6124" s="2" t="inlineStr"/>
    </row>
    <row r="6125" ht="15" customHeight="1">
      <c r="A6125" t="inlineStr">
        <is>
          <t>A 129-2022</t>
        </is>
      </c>
      <c r="B6125" s="1" t="n">
        <v>44564</v>
      </c>
      <c r="C6125" s="1" t="n">
        <v>45810</v>
      </c>
      <c r="D6125" t="inlineStr">
        <is>
          <t>VÄRMLANDS LÄN</t>
        </is>
      </c>
      <c r="E6125" t="inlineStr">
        <is>
          <t>EDA</t>
        </is>
      </c>
      <c r="G6125" t="n">
        <v>4</v>
      </c>
      <c r="H6125" t="n">
        <v>0</v>
      </c>
      <c r="I6125" t="n">
        <v>0</v>
      </c>
      <c r="J6125" t="n">
        <v>0</v>
      </c>
      <c r="K6125" t="n">
        <v>0</v>
      </c>
      <c r="L6125" t="n">
        <v>0</v>
      </c>
      <c r="M6125" t="n">
        <v>0</v>
      </c>
      <c r="N6125" t="n">
        <v>0</v>
      </c>
      <c r="O6125" t="n">
        <v>0</v>
      </c>
      <c r="P6125" t="n">
        <v>0</v>
      </c>
      <c r="Q6125" t="n">
        <v>0</v>
      </c>
      <c r="R6125" s="2" t="inlineStr"/>
    </row>
    <row r="6126" ht="15" customHeight="1">
      <c r="A6126" t="inlineStr">
        <is>
          <t>A 92-2022</t>
        </is>
      </c>
      <c r="B6126" s="1" t="n">
        <v>44564</v>
      </c>
      <c r="C6126" s="1" t="n">
        <v>45810</v>
      </c>
      <c r="D6126" t="inlineStr">
        <is>
          <t>VÄRMLANDS LÄN</t>
        </is>
      </c>
      <c r="E6126" t="inlineStr">
        <is>
          <t>ÅRJÄNG</t>
        </is>
      </c>
      <c r="G6126" t="n">
        <v>10.4</v>
      </c>
      <c r="H6126" t="n">
        <v>0</v>
      </c>
      <c r="I6126" t="n">
        <v>0</v>
      </c>
      <c r="J6126" t="n">
        <v>0</v>
      </c>
      <c r="K6126" t="n">
        <v>0</v>
      </c>
      <c r="L6126" t="n">
        <v>0</v>
      </c>
      <c r="M6126" t="n">
        <v>0</v>
      </c>
      <c r="N6126" t="n">
        <v>0</v>
      </c>
      <c r="O6126" t="n">
        <v>0</v>
      </c>
      <c r="P6126" t="n">
        <v>0</v>
      </c>
      <c r="Q6126" t="n">
        <v>0</v>
      </c>
      <c r="R6126" s="2" t="inlineStr"/>
    </row>
    <row r="6127" ht="15" customHeight="1">
      <c r="A6127" t="inlineStr">
        <is>
          <t>A 87-2022</t>
        </is>
      </c>
      <c r="B6127" s="1" t="n">
        <v>44564</v>
      </c>
      <c r="C6127" s="1" t="n">
        <v>45810</v>
      </c>
      <c r="D6127" t="inlineStr">
        <is>
          <t>VÄRMLANDS LÄN</t>
        </is>
      </c>
      <c r="E6127" t="inlineStr">
        <is>
          <t>SÄFFLE</t>
        </is>
      </c>
      <c r="G6127" t="n">
        <v>7.3</v>
      </c>
      <c r="H6127" t="n">
        <v>0</v>
      </c>
      <c r="I6127" t="n">
        <v>0</v>
      </c>
      <c r="J6127" t="n">
        <v>0</v>
      </c>
      <c r="K6127" t="n">
        <v>0</v>
      </c>
      <c r="L6127" t="n">
        <v>0</v>
      </c>
      <c r="M6127" t="n">
        <v>0</v>
      </c>
      <c r="N6127" t="n">
        <v>0</v>
      </c>
      <c r="O6127" t="n">
        <v>0</v>
      </c>
      <c r="P6127" t="n">
        <v>0</v>
      </c>
      <c r="Q6127" t="n">
        <v>0</v>
      </c>
      <c r="R6127" s="2" t="inlineStr"/>
    </row>
    <row r="6128" ht="15" customHeight="1">
      <c r="A6128" t="inlineStr">
        <is>
          <t>A 102-2022</t>
        </is>
      </c>
      <c r="B6128" s="1" t="n">
        <v>44564</v>
      </c>
      <c r="C6128" s="1" t="n">
        <v>45810</v>
      </c>
      <c r="D6128" t="inlineStr">
        <is>
          <t>VÄRMLANDS LÄN</t>
        </is>
      </c>
      <c r="E6128" t="inlineStr">
        <is>
          <t>HAGFORS</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101-2022</t>
        </is>
      </c>
      <c r="B6129" s="1" t="n">
        <v>44564</v>
      </c>
      <c r="C6129" s="1" t="n">
        <v>45810</v>
      </c>
      <c r="D6129" t="inlineStr">
        <is>
          <t>VÄRMLANDS LÄN</t>
        </is>
      </c>
      <c r="E6129" t="inlineStr">
        <is>
          <t>SÄFFLE</t>
        </is>
      </c>
      <c r="G6129" t="n">
        <v>2.5</v>
      </c>
      <c r="H6129" t="n">
        <v>0</v>
      </c>
      <c r="I6129" t="n">
        <v>0</v>
      </c>
      <c r="J6129" t="n">
        <v>0</v>
      </c>
      <c r="K6129" t="n">
        <v>0</v>
      </c>
      <c r="L6129" t="n">
        <v>0</v>
      </c>
      <c r="M6129" t="n">
        <v>0</v>
      </c>
      <c r="N6129" t="n">
        <v>0</v>
      </c>
      <c r="O6129" t="n">
        <v>0</v>
      </c>
      <c r="P6129" t="n">
        <v>0</v>
      </c>
      <c r="Q6129" t="n">
        <v>0</v>
      </c>
      <c r="R6129" s="2" t="inlineStr"/>
    </row>
    <row r="6130" ht="15" customHeight="1">
      <c r="A6130" t="inlineStr">
        <is>
          <t>A 207-2022</t>
        </is>
      </c>
      <c r="B6130" s="1" t="n">
        <v>44564</v>
      </c>
      <c r="C6130" s="1" t="n">
        <v>45810</v>
      </c>
      <c r="D6130" t="inlineStr">
        <is>
          <t>VÄRMLANDS LÄN</t>
        </is>
      </c>
      <c r="E6130" t="inlineStr">
        <is>
          <t>SUNNE</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61-2022</t>
        </is>
      </c>
      <c r="B6131" s="1" t="n">
        <v>44564</v>
      </c>
      <c r="C6131" s="1" t="n">
        <v>45810</v>
      </c>
      <c r="D6131" t="inlineStr">
        <is>
          <t>VÄRMLANDS LÄN</t>
        </is>
      </c>
      <c r="E6131" t="inlineStr">
        <is>
          <t>SÄFFLE</t>
        </is>
      </c>
      <c r="G6131" t="n">
        <v>2.7</v>
      </c>
      <c r="H6131" t="n">
        <v>0</v>
      </c>
      <c r="I6131" t="n">
        <v>0</v>
      </c>
      <c r="J6131" t="n">
        <v>0</v>
      </c>
      <c r="K6131" t="n">
        <v>0</v>
      </c>
      <c r="L6131" t="n">
        <v>0</v>
      </c>
      <c r="M6131" t="n">
        <v>0</v>
      </c>
      <c r="N6131" t="n">
        <v>0</v>
      </c>
      <c r="O6131" t="n">
        <v>0</v>
      </c>
      <c r="P6131" t="n">
        <v>0</v>
      </c>
      <c r="Q6131" t="n">
        <v>0</v>
      </c>
      <c r="R6131" s="2" t="inlineStr"/>
    </row>
    <row r="6132" ht="15" customHeight="1">
      <c r="A6132" t="inlineStr">
        <is>
          <t>A 55-2022</t>
        </is>
      </c>
      <c r="B6132" s="1" t="n">
        <v>44564</v>
      </c>
      <c r="C6132" s="1" t="n">
        <v>45810</v>
      </c>
      <c r="D6132" t="inlineStr">
        <is>
          <t>VÄRMLANDS LÄN</t>
        </is>
      </c>
      <c r="E6132" t="inlineStr">
        <is>
          <t>SÄFFLE</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66-2022</t>
        </is>
      </c>
      <c r="B6133" s="1" t="n">
        <v>44564</v>
      </c>
      <c r="C6133" s="1" t="n">
        <v>45810</v>
      </c>
      <c r="D6133" t="inlineStr">
        <is>
          <t>VÄRMLANDS LÄN</t>
        </is>
      </c>
      <c r="E6133" t="inlineStr">
        <is>
          <t>SÄFFLE</t>
        </is>
      </c>
      <c r="G6133" t="n">
        <v>3.2</v>
      </c>
      <c r="H6133" t="n">
        <v>0</v>
      </c>
      <c r="I6133" t="n">
        <v>0</v>
      </c>
      <c r="J6133" t="n">
        <v>0</v>
      </c>
      <c r="K6133" t="n">
        <v>0</v>
      </c>
      <c r="L6133" t="n">
        <v>0</v>
      </c>
      <c r="M6133" t="n">
        <v>0</v>
      </c>
      <c r="N6133" t="n">
        <v>0</v>
      </c>
      <c r="O6133" t="n">
        <v>0</v>
      </c>
      <c r="P6133" t="n">
        <v>0</v>
      </c>
      <c r="Q6133" t="n">
        <v>0</v>
      </c>
      <c r="R6133" s="2" t="inlineStr"/>
    </row>
    <row r="6134" ht="15" customHeight="1">
      <c r="A6134" t="inlineStr">
        <is>
          <t>A 303-2022</t>
        </is>
      </c>
      <c r="B6134" s="1" t="n">
        <v>44565</v>
      </c>
      <c r="C6134" s="1" t="n">
        <v>45810</v>
      </c>
      <c r="D6134" t="inlineStr">
        <is>
          <t>VÄRMLANDS LÄN</t>
        </is>
      </c>
      <c r="E6134" t="inlineStr">
        <is>
          <t>SUNNE</t>
        </is>
      </c>
      <c r="G6134" t="n">
        <v>4</v>
      </c>
      <c r="H6134" t="n">
        <v>0</v>
      </c>
      <c r="I6134" t="n">
        <v>0</v>
      </c>
      <c r="J6134" t="n">
        <v>0</v>
      </c>
      <c r="K6134" t="n">
        <v>0</v>
      </c>
      <c r="L6134" t="n">
        <v>0</v>
      </c>
      <c r="M6134" t="n">
        <v>0</v>
      </c>
      <c r="N6134" t="n">
        <v>0</v>
      </c>
      <c r="O6134" t="n">
        <v>0</v>
      </c>
      <c r="P6134" t="n">
        <v>0</v>
      </c>
      <c r="Q6134" t="n">
        <v>0</v>
      </c>
      <c r="R6134" s="2" t="inlineStr"/>
    </row>
    <row r="6135" ht="15" customHeight="1">
      <c r="A6135" t="inlineStr">
        <is>
          <t>A 361-2022</t>
        </is>
      </c>
      <c r="B6135" s="1" t="n">
        <v>44565</v>
      </c>
      <c r="C6135" s="1" t="n">
        <v>45810</v>
      </c>
      <c r="D6135" t="inlineStr">
        <is>
          <t>VÄRMLANDS LÄN</t>
        </is>
      </c>
      <c r="E6135" t="inlineStr">
        <is>
          <t>TORSBY</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252-2022</t>
        </is>
      </c>
      <c r="B6136" s="1" t="n">
        <v>44565</v>
      </c>
      <c r="C6136" s="1" t="n">
        <v>45810</v>
      </c>
      <c r="D6136" t="inlineStr">
        <is>
          <t>VÄRMLANDS LÄN</t>
        </is>
      </c>
      <c r="E6136" t="inlineStr">
        <is>
          <t>SUNNE</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259-2022</t>
        </is>
      </c>
      <c r="B6137" s="1" t="n">
        <v>44565</v>
      </c>
      <c r="C6137" s="1" t="n">
        <v>45810</v>
      </c>
      <c r="D6137" t="inlineStr">
        <is>
          <t>VÄRMLANDS LÄN</t>
        </is>
      </c>
      <c r="E6137" t="inlineStr">
        <is>
          <t>SUNNE</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293-2022</t>
        </is>
      </c>
      <c r="B6138" s="1" t="n">
        <v>44565</v>
      </c>
      <c r="C6138" s="1" t="n">
        <v>45810</v>
      </c>
      <c r="D6138" t="inlineStr">
        <is>
          <t>VÄRMLANDS LÄN</t>
        </is>
      </c>
      <c r="E6138" t="inlineStr">
        <is>
          <t>HAGFORS</t>
        </is>
      </c>
      <c r="F6138" t="inlineStr">
        <is>
          <t>Bergvik skog väst AB</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249-2022</t>
        </is>
      </c>
      <c r="B6139" s="1" t="n">
        <v>44565</v>
      </c>
      <c r="C6139" s="1" t="n">
        <v>45810</v>
      </c>
      <c r="D6139" t="inlineStr">
        <is>
          <t>VÄRMLANDS LÄN</t>
        </is>
      </c>
      <c r="E6139" t="inlineStr">
        <is>
          <t>KIL</t>
        </is>
      </c>
      <c r="G6139" t="n">
        <v>5.5</v>
      </c>
      <c r="H6139" t="n">
        <v>0</v>
      </c>
      <c r="I6139" t="n">
        <v>0</v>
      </c>
      <c r="J6139" t="n">
        <v>0</v>
      </c>
      <c r="K6139" t="n">
        <v>0</v>
      </c>
      <c r="L6139" t="n">
        <v>0</v>
      </c>
      <c r="M6139" t="n">
        <v>0</v>
      </c>
      <c r="N6139" t="n">
        <v>0</v>
      </c>
      <c r="O6139" t="n">
        <v>0</v>
      </c>
      <c r="P6139" t="n">
        <v>0</v>
      </c>
      <c r="Q6139" t="n">
        <v>0</v>
      </c>
      <c r="R6139" s="2" t="inlineStr"/>
    </row>
    <row r="6140" ht="15" customHeight="1">
      <c r="A6140" t="inlineStr">
        <is>
          <t>A 449-2022</t>
        </is>
      </c>
      <c r="B6140" s="1" t="n">
        <v>44566</v>
      </c>
      <c r="C6140" s="1" t="n">
        <v>45810</v>
      </c>
      <c r="D6140" t="inlineStr">
        <is>
          <t>VÄRMLANDS LÄN</t>
        </is>
      </c>
      <c r="E6140" t="inlineStr">
        <is>
          <t>MUNKFORS</t>
        </is>
      </c>
      <c r="F6140" t="inlineStr">
        <is>
          <t>Bergvik skog väst AB</t>
        </is>
      </c>
      <c r="G6140" t="n">
        <v>2.8</v>
      </c>
      <c r="H6140" t="n">
        <v>0</v>
      </c>
      <c r="I6140" t="n">
        <v>0</v>
      </c>
      <c r="J6140" t="n">
        <v>0</v>
      </c>
      <c r="K6140" t="n">
        <v>0</v>
      </c>
      <c r="L6140" t="n">
        <v>0</v>
      </c>
      <c r="M6140" t="n">
        <v>0</v>
      </c>
      <c r="N6140" t="n">
        <v>0</v>
      </c>
      <c r="O6140" t="n">
        <v>0</v>
      </c>
      <c r="P6140" t="n">
        <v>0</v>
      </c>
      <c r="Q6140" t="n">
        <v>0</v>
      </c>
      <c r="R6140" s="2" t="inlineStr"/>
    </row>
    <row r="6141" ht="15" customHeight="1">
      <c r="A6141" t="inlineStr">
        <is>
          <t>A 546-2022</t>
        </is>
      </c>
      <c r="B6141" s="1" t="n">
        <v>44566</v>
      </c>
      <c r="C6141" s="1" t="n">
        <v>45810</v>
      </c>
      <c r="D6141" t="inlineStr">
        <is>
          <t>VÄRMLANDS LÄN</t>
        </is>
      </c>
      <c r="E6141" t="inlineStr">
        <is>
          <t>KARLSTAD</t>
        </is>
      </c>
      <c r="F6141" t="inlineStr">
        <is>
          <t>Bergvik skog väst AB</t>
        </is>
      </c>
      <c r="G6141" t="n">
        <v>9.199999999999999</v>
      </c>
      <c r="H6141" t="n">
        <v>0</v>
      </c>
      <c r="I6141" t="n">
        <v>0</v>
      </c>
      <c r="J6141" t="n">
        <v>0</v>
      </c>
      <c r="K6141" t="n">
        <v>0</v>
      </c>
      <c r="L6141" t="n">
        <v>0</v>
      </c>
      <c r="M6141" t="n">
        <v>0</v>
      </c>
      <c r="N6141" t="n">
        <v>0</v>
      </c>
      <c r="O6141" t="n">
        <v>0</v>
      </c>
      <c r="P6141" t="n">
        <v>0</v>
      </c>
      <c r="Q6141" t="n">
        <v>0</v>
      </c>
      <c r="R6141" s="2" t="inlineStr"/>
    </row>
    <row r="6142" ht="15" customHeight="1">
      <c r="A6142" t="inlineStr">
        <is>
          <t>A 658-2022</t>
        </is>
      </c>
      <c r="B6142" s="1" t="n">
        <v>44566</v>
      </c>
      <c r="C6142" s="1" t="n">
        <v>45810</v>
      </c>
      <c r="D6142" t="inlineStr">
        <is>
          <t>VÄRMLANDS LÄN</t>
        </is>
      </c>
      <c r="E6142" t="inlineStr">
        <is>
          <t>HAGFORS</t>
        </is>
      </c>
      <c r="G6142" t="n">
        <v>3.7</v>
      </c>
      <c r="H6142" t="n">
        <v>0</v>
      </c>
      <c r="I6142" t="n">
        <v>0</v>
      </c>
      <c r="J6142" t="n">
        <v>0</v>
      </c>
      <c r="K6142" t="n">
        <v>0</v>
      </c>
      <c r="L6142" t="n">
        <v>0</v>
      </c>
      <c r="M6142" t="n">
        <v>0</v>
      </c>
      <c r="N6142" t="n">
        <v>0</v>
      </c>
      <c r="O6142" t="n">
        <v>0</v>
      </c>
      <c r="P6142" t="n">
        <v>0</v>
      </c>
      <c r="Q6142" t="n">
        <v>0</v>
      </c>
      <c r="R6142" s="2" t="inlineStr"/>
    </row>
    <row r="6143" ht="15" customHeight="1">
      <c r="A6143" t="inlineStr">
        <is>
          <t>A 444-2022</t>
        </is>
      </c>
      <c r="B6143" s="1" t="n">
        <v>44566</v>
      </c>
      <c r="C6143" s="1" t="n">
        <v>45810</v>
      </c>
      <c r="D6143" t="inlineStr">
        <is>
          <t>VÄRMLANDS LÄN</t>
        </is>
      </c>
      <c r="E6143" t="inlineStr">
        <is>
          <t>EDA</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463-2022</t>
        </is>
      </c>
      <c r="B6144" s="1" t="n">
        <v>44566</v>
      </c>
      <c r="C6144" s="1" t="n">
        <v>45810</v>
      </c>
      <c r="D6144" t="inlineStr">
        <is>
          <t>VÄRMLANDS LÄN</t>
        </is>
      </c>
      <c r="E6144" t="inlineStr">
        <is>
          <t>FORSHAGA</t>
        </is>
      </c>
      <c r="F6144" t="inlineStr">
        <is>
          <t>Bergvik skog väst AB</t>
        </is>
      </c>
      <c r="G6144" t="n">
        <v>5.1</v>
      </c>
      <c r="H6144" t="n">
        <v>0</v>
      </c>
      <c r="I6144" t="n">
        <v>0</v>
      </c>
      <c r="J6144" t="n">
        <v>0</v>
      </c>
      <c r="K6144" t="n">
        <v>0</v>
      </c>
      <c r="L6144" t="n">
        <v>0</v>
      </c>
      <c r="M6144" t="n">
        <v>0</v>
      </c>
      <c r="N6144" t="n">
        <v>0</v>
      </c>
      <c r="O6144" t="n">
        <v>0</v>
      </c>
      <c r="P6144" t="n">
        <v>0</v>
      </c>
      <c r="Q6144" t="n">
        <v>0</v>
      </c>
      <c r="R6144" s="2" t="inlineStr"/>
    </row>
    <row r="6145" ht="15" customHeight="1">
      <c r="A6145" t="inlineStr">
        <is>
          <t>A 509-2022</t>
        </is>
      </c>
      <c r="B6145" s="1" t="n">
        <v>44566</v>
      </c>
      <c r="C6145" s="1" t="n">
        <v>45810</v>
      </c>
      <c r="D6145" t="inlineStr">
        <is>
          <t>VÄRMLANDS LÄN</t>
        </is>
      </c>
      <c r="E6145" t="inlineStr">
        <is>
          <t>ÅRJÄNG</t>
        </is>
      </c>
      <c r="G6145" t="n">
        <v>2.3</v>
      </c>
      <c r="H6145" t="n">
        <v>0</v>
      </c>
      <c r="I6145" t="n">
        <v>0</v>
      </c>
      <c r="J6145" t="n">
        <v>0</v>
      </c>
      <c r="K6145" t="n">
        <v>0</v>
      </c>
      <c r="L6145" t="n">
        <v>0</v>
      </c>
      <c r="M6145" t="n">
        <v>0</v>
      </c>
      <c r="N6145" t="n">
        <v>0</v>
      </c>
      <c r="O6145" t="n">
        <v>0</v>
      </c>
      <c r="P6145" t="n">
        <v>0</v>
      </c>
      <c r="Q6145" t="n">
        <v>0</v>
      </c>
      <c r="R6145" s="2" t="inlineStr"/>
    </row>
    <row r="6146" ht="15" customHeight="1">
      <c r="A6146" t="inlineStr">
        <is>
          <t>A 460-2022</t>
        </is>
      </c>
      <c r="B6146" s="1" t="n">
        <v>44566</v>
      </c>
      <c r="C6146" s="1" t="n">
        <v>45810</v>
      </c>
      <c r="D6146" t="inlineStr">
        <is>
          <t>VÄRMLANDS LÄN</t>
        </is>
      </c>
      <c r="E6146" t="inlineStr">
        <is>
          <t>KARLSTAD</t>
        </is>
      </c>
      <c r="G6146" t="n">
        <v>4.7</v>
      </c>
      <c r="H6146" t="n">
        <v>0</v>
      </c>
      <c r="I6146" t="n">
        <v>0</v>
      </c>
      <c r="J6146" t="n">
        <v>0</v>
      </c>
      <c r="K6146" t="n">
        <v>0</v>
      </c>
      <c r="L6146" t="n">
        <v>0</v>
      </c>
      <c r="M6146" t="n">
        <v>0</v>
      </c>
      <c r="N6146" t="n">
        <v>0</v>
      </c>
      <c r="O6146" t="n">
        <v>0</v>
      </c>
      <c r="P6146" t="n">
        <v>0</v>
      </c>
      <c r="Q6146" t="n">
        <v>0</v>
      </c>
      <c r="R6146" s="2" t="inlineStr"/>
    </row>
    <row r="6147" ht="15" customHeight="1">
      <c r="A6147" t="inlineStr">
        <is>
          <t>A 474-2022</t>
        </is>
      </c>
      <c r="B6147" s="1" t="n">
        <v>44566</v>
      </c>
      <c r="C6147" s="1" t="n">
        <v>45810</v>
      </c>
      <c r="D6147" t="inlineStr">
        <is>
          <t>VÄRMLANDS LÄN</t>
        </is>
      </c>
      <c r="E6147" t="inlineStr">
        <is>
          <t>KARLSTAD</t>
        </is>
      </c>
      <c r="G6147" t="n">
        <v>2.3</v>
      </c>
      <c r="H6147" t="n">
        <v>0</v>
      </c>
      <c r="I6147" t="n">
        <v>0</v>
      </c>
      <c r="J6147" t="n">
        <v>0</v>
      </c>
      <c r="K6147" t="n">
        <v>0</v>
      </c>
      <c r="L6147" t="n">
        <v>0</v>
      </c>
      <c r="M6147" t="n">
        <v>0</v>
      </c>
      <c r="N6147" t="n">
        <v>0</v>
      </c>
      <c r="O6147" t="n">
        <v>0</v>
      </c>
      <c r="P6147" t="n">
        <v>0</v>
      </c>
      <c r="Q6147" t="n">
        <v>0</v>
      </c>
      <c r="R6147" s="2" t="inlineStr"/>
    </row>
    <row r="6148" ht="15" customHeight="1">
      <c r="A6148" t="inlineStr">
        <is>
          <t>A 516-2022</t>
        </is>
      </c>
      <c r="B6148" s="1" t="n">
        <v>44566</v>
      </c>
      <c r="C6148" s="1" t="n">
        <v>45810</v>
      </c>
      <c r="D6148" t="inlineStr">
        <is>
          <t>VÄRMLANDS LÄN</t>
        </is>
      </c>
      <c r="E6148" t="inlineStr">
        <is>
          <t>ÅRJÄNG</t>
        </is>
      </c>
      <c r="G6148" t="n">
        <v>2.3</v>
      </c>
      <c r="H6148" t="n">
        <v>0</v>
      </c>
      <c r="I6148" t="n">
        <v>0</v>
      </c>
      <c r="J6148" t="n">
        <v>0</v>
      </c>
      <c r="K6148" t="n">
        <v>0</v>
      </c>
      <c r="L6148" t="n">
        <v>0</v>
      </c>
      <c r="M6148" t="n">
        <v>0</v>
      </c>
      <c r="N6148" t="n">
        <v>0</v>
      </c>
      <c r="O6148" t="n">
        <v>0</v>
      </c>
      <c r="P6148" t="n">
        <v>0</v>
      </c>
      <c r="Q6148" t="n">
        <v>0</v>
      </c>
      <c r="R6148" s="2" t="inlineStr"/>
    </row>
    <row r="6149" ht="15" customHeight="1">
      <c r="A6149" t="inlineStr">
        <is>
          <t>A 530-2022</t>
        </is>
      </c>
      <c r="B6149" s="1" t="n">
        <v>44566</v>
      </c>
      <c r="C6149" s="1" t="n">
        <v>45810</v>
      </c>
      <c r="D6149" t="inlineStr">
        <is>
          <t>VÄRMLANDS LÄN</t>
        </is>
      </c>
      <c r="E6149" t="inlineStr">
        <is>
          <t>EDA</t>
        </is>
      </c>
      <c r="G6149" t="n">
        <v>1.7</v>
      </c>
      <c r="H6149" t="n">
        <v>0</v>
      </c>
      <c r="I6149" t="n">
        <v>0</v>
      </c>
      <c r="J6149" t="n">
        <v>0</v>
      </c>
      <c r="K6149" t="n">
        <v>0</v>
      </c>
      <c r="L6149" t="n">
        <v>0</v>
      </c>
      <c r="M6149" t="n">
        <v>0</v>
      </c>
      <c r="N6149" t="n">
        <v>0</v>
      </c>
      <c r="O6149" t="n">
        <v>0</v>
      </c>
      <c r="P6149" t="n">
        <v>0</v>
      </c>
      <c r="Q6149" t="n">
        <v>0</v>
      </c>
      <c r="R6149" s="2" t="inlineStr"/>
    </row>
    <row r="6150" ht="15" customHeight="1">
      <c r="A6150" t="inlineStr">
        <is>
          <t>A 633-2022</t>
        </is>
      </c>
      <c r="B6150" s="1" t="n">
        <v>44566</v>
      </c>
      <c r="C6150" s="1" t="n">
        <v>45810</v>
      </c>
      <c r="D6150" t="inlineStr">
        <is>
          <t>VÄRMLANDS LÄN</t>
        </is>
      </c>
      <c r="E6150" t="inlineStr">
        <is>
          <t>HAGFORS</t>
        </is>
      </c>
      <c r="G6150" t="n">
        <v>6.4</v>
      </c>
      <c r="H6150" t="n">
        <v>0</v>
      </c>
      <c r="I6150" t="n">
        <v>0</v>
      </c>
      <c r="J6150" t="n">
        <v>0</v>
      </c>
      <c r="K6150" t="n">
        <v>0</v>
      </c>
      <c r="L6150" t="n">
        <v>0</v>
      </c>
      <c r="M6150" t="n">
        <v>0</v>
      </c>
      <c r="N6150" t="n">
        <v>0</v>
      </c>
      <c r="O6150" t="n">
        <v>0</v>
      </c>
      <c r="P6150" t="n">
        <v>0</v>
      </c>
      <c r="Q6150" t="n">
        <v>0</v>
      </c>
      <c r="R6150" s="2" t="inlineStr"/>
    </row>
    <row r="6151" ht="15" customHeight="1">
      <c r="A6151" t="inlineStr">
        <is>
          <t>A 653-2022</t>
        </is>
      </c>
      <c r="B6151" s="1" t="n">
        <v>44566</v>
      </c>
      <c r="C6151" s="1" t="n">
        <v>45810</v>
      </c>
      <c r="D6151" t="inlineStr">
        <is>
          <t>VÄRMLANDS LÄN</t>
        </is>
      </c>
      <c r="E6151" t="inlineStr">
        <is>
          <t>HAGFORS</t>
        </is>
      </c>
      <c r="G6151" t="n">
        <v>1.9</v>
      </c>
      <c r="H6151" t="n">
        <v>0</v>
      </c>
      <c r="I6151" t="n">
        <v>0</v>
      </c>
      <c r="J6151" t="n">
        <v>0</v>
      </c>
      <c r="K6151" t="n">
        <v>0</v>
      </c>
      <c r="L6151" t="n">
        <v>0</v>
      </c>
      <c r="M6151" t="n">
        <v>0</v>
      </c>
      <c r="N6151" t="n">
        <v>0</v>
      </c>
      <c r="O6151" t="n">
        <v>0</v>
      </c>
      <c r="P6151" t="n">
        <v>0</v>
      </c>
      <c r="Q6151" t="n">
        <v>0</v>
      </c>
      <c r="R6151" s="2" t="inlineStr"/>
    </row>
    <row r="6152" ht="15" customHeight="1">
      <c r="A6152" t="inlineStr">
        <is>
          <t>A 594-2022</t>
        </is>
      </c>
      <c r="B6152" s="1" t="n">
        <v>44567</v>
      </c>
      <c r="C6152" s="1" t="n">
        <v>45810</v>
      </c>
      <c r="D6152" t="inlineStr">
        <is>
          <t>VÄRMLANDS LÄN</t>
        </is>
      </c>
      <c r="E6152" t="inlineStr">
        <is>
          <t>HAGFORS</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735-2022</t>
        </is>
      </c>
      <c r="B6153" s="1" t="n">
        <v>44568</v>
      </c>
      <c r="C6153" s="1" t="n">
        <v>45810</v>
      </c>
      <c r="D6153" t="inlineStr">
        <is>
          <t>VÄRMLANDS LÄN</t>
        </is>
      </c>
      <c r="E6153" t="inlineStr">
        <is>
          <t>ARVIKA</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675-2022</t>
        </is>
      </c>
      <c r="B6154" s="1" t="n">
        <v>44568</v>
      </c>
      <c r="C6154" s="1" t="n">
        <v>45810</v>
      </c>
      <c r="D6154" t="inlineStr">
        <is>
          <t>VÄRMLANDS LÄN</t>
        </is>
      </c>
      <c r="E6154" t="inlineStr">
        <is>
          <t>SUNNE</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719-2022</t>
        </is>
      </c>
      <c r="B6155" s="1" t="n">
        <v>44568</v>
      </c>
      <c r="C6155" s="1" t="n">
        <v>45810</v>
      </c>
      <c r="D6155" t="inlineStr">
        <is>
          <t>VÄRMLANDS LÄN</t>
        </is>
      </c>
      <c r="E6155" t="inlineStr">
        <is>
          <t>ARVIKA</t>
        </is>
      </c>
      <c r="G6155" t="n">
        <v>7</v>
      </c>
      <c r="H6155" t="n">
        <v>0</v>
      </c>
      <c r="I6155" t="n">
        <v>0</v>
      </c>
      <c r="J6155" t="n">
        <v>0</v>
      </c>
      <c r="K6155" t="n">
        <v>0</v>
      </c>
      <c r="L6155" t="n">
        <v>0</v>
      </c>
      <c r="M6155" t="n">
        <v>0</v>
      </c>
      <c r="N6155" t="n">
        <v>0</v>
      </c>
      <c r="O6155" t="n">
        <v>0</v>
      </c>
      <c r="P6155" t="n">
        <v>0</v>
      </c>
      <c r="Q6155" t="n">
        <v>0</v>
      </c>
      <c r="R6155" s="2" t="inlineStr"/>
    </row>
    <row r="6156" ht="15" customHeight="1">
      <c r="A6156" t="inlineStr">
        <is>
          <t>A 662-2022</t>
        </is>
      </c>
      <c r="B6156" s="1" t="n">
        <v>44568</v>
      </c>
      <c r="C6156" s="1" t="n">
        <v>45810</v>
      </c>
      <c r="D6156" t="inlineStr">
        <is>
          <t>VÄRMLANDS LÄN</t>
        </is>
      </c>
      <c r="E6156" t="inlineStr">
        <is>
          <t>ÅRJÄNG</t>
        </is>
      </c>
      <c r="G6156" t="n">
        <v>5.7</v>
      </c>
      <c r="H6156" t="n">
        <v>0</v>
      </c>
      <c r="I6156" t="n">
        <v>0</v>
      </c>
      <c r="J6156" t="n">
        <v>0</v>
      </c>
      <c r="K6156" t="n">
        <v>0</v>
      </c>
      <c r="L6156" t="n">
        <v>0</v>
      </c>
      <c r="M6156" t="n">
        <v>0</v>
      </c>
      <c r="N6156" t="n">
        <v>0</v>
      </c>
      <c r="O6156" t="n">
        <v>0</v>
      </c>
      <c r="P6156" t="n">
        <v>0</v>
      </c>
      <c r="Q6156" t="n">
        <v>0</v>
      </c>
      <c r="R6156" s="2" t="inlineStr"/>
    </row>
    <row r="6157" ht="15" customHeight="1">
      <c r="A6157" t="inlineStr">
        <is>
          <t>A 739-2022</t>
        </is>
      </c>
      <c r="B6157" s="1" t="n">
        <v>44568</v>
      </c>
      <c r="C6157" s="1" t="n">
        <v>45810</v>
      </c>
      <c r="D6157" t="inlineStr">
        <is>
          <t>VÄRMLANDS LÄN</t>
        </is>
      </c>
      <c r="E6157" t="inlineStr">
        <is>
          <t>TORSBY</t>
        </is>
      </c>
      <c r="G6157" t="n">
        <v>3.3</v>
      </c>
      <c r="H6157" t="n">
        <v>0</v>
      </c>
      <c r="I6157" t="n">
        <v>0</v>
      </c>
      <c r="J6157" t="n">
        <v>0</v>
      </c>
      <c r="K6157" t="n">
        <v>0</v>
      </c>
      <c r="L6157" t="n">
        <v>0</v>
      </c>
      <c r="M6157" t="n">
        <v>0</v>
      </c>
      <c r="N6157" t="n">
        <v>0</v>
      </c>
      <c r="O6157" t="n">
        <v>0</v>
      </c>
      <c r="P6157" t="n">
        <v>0</v>
      </c>
      <c r="Q6157" t="n">
        <v>0</v>
      </c>
      <c r="R6157" s="2" t="inlineStr"/>
    </row>
    <row r="6158" ht="15" customHeight="1">
      <c r="A6158" t="inlineStr">
        <is>
          <t>A 969-2022</t>
        </is>
      </c>
      <c r="B6158" s="1" t="n">
        <v>44571</v>
      </c>
      <c r="C6158" s="1" t="n">
        <v>45810</v>
      </c>
      <c r="D6158" t="inlineStr">
        <is>
          <t>VÄRMLANDS LÄN</t>
        </is>
      </c>
      <c r="E6158" t="inlineStr">
        <is>
          <t>KIL</t>
        </is>
      </c>
      <c r="G6158" t="n">
        <v>7.1</v>
      </c>
      <c r="H6158" t="n">
        <v>0</v>
      </c>
      <c r="I6158" t="n">
        <v>0</v>
      </c>
      <c r="J6158" t="n">
        <v>0</v>
      </c>
      <c r="K6158" t="n">
        <v>0</v>
      </c>
      <c r="L6158" t="n">
        <v>0</v>
      </c>
      <c r="M6158" t="n">
        <v>0</v>
      </c>
      <c r="N6158" t="n">
        <v>0</v>
      </c>
      <c r="O6158" t="n">
        <v>0</v>
      </c>
      <c r="P6158" t="n">
        <v>0</v>
      </c>
      <c r="Q6158" t="n">
        <v>0</v>
      </c>
      <c r="R6158" s="2" t="inlineStr"/>
    </row>
    <row r="6159" ht="15" customHeight="1">
      <c r="A6159" t="inlineStr">
        <is>
          <t>A 920-2022</t>
        </is>
      </c>
      <c r="B6159" s="1" t="n">
        <v>44571</v>
      </c>
      <c r="C6159" s="1" t="n">
        <v>45810</v>
      </c>
      <c r="D6159" t="inlineStr">
        <is>
          <t>VÄRMLANDS LÄN</t>
        </is>
      </c>
      <c r="E6159" t="inlineStr">
        <is>
          <t>HAGFORS</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997-2022</t>
        </is>
      </c>
      <c r="B6160" s="1" t="n">
        <v>44571</v>
      </c>
      <c r="C6160" s="1" t="n">
        <v>45810</v>
      </c>
      <c r="D6160" t="inlineStr">
        <is>
          <t>VÄRMLANDS LÄN</t>
        </is>
      </c>
      <c r="E6160" t="inlineStr">
        <is>
          <t>TORSBY</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925-2022</t>
        </is>
      </c>
      <c r="B6161" s="1" t="n">
        <v>44571</v>
      </c>
      <c r="C6161" s="1" t="n">
        <v>45810</v>
      </c>
      <c r="D6161" t="inlineStr">
        <is>
          <t>VÄRMLANDS LÄN</t>
        </is>
      </c>
      <c r="E6161" t="inlineStr">
        <is>
          <t>KIL</t>
        </is>
      </c>
      <c r="G6161" t="n">
        <v>2.2</v>
      </c>
      <c r="H6161" t="n">
        <v>0</v>
      </c>
      <c r="I6161" t="n">
        <v>0</v>
      </c>
      <c r="J6161" t="n">
        <v>0</v>
      </c>
      <c r="K6161" t="n">
        <v>0</v>
      </c>
      <c r="L6161" t="n">
        <v>0</v>
      </c>
      <c r="M6161" t="n">
        <v>0</v>
      </c>
      <c r="N6161" t="n">
        <v>0</v>
      </c>
      <c r="O6161" t="n">
        <v>0</v>
      </c>
      <c r="P6161" t="n">
        <v>0</v>
      </c>
      <c r="Q6161" t="n">
        <v>0</v>
      </c>
      <c r="R6161" s="2" t="inlineStr"/>
    </row>
    <row r="6162" ht="15" customHeight="1">
      <c r="A6162" t="inlineStr">
        <is>
          <t>A 970-2022</t>
        </is>
      </c>
      <c r="B6162" s="1" t="n">
        <v>44571</v>
      </c>
      <c r="C6162" s="1" t="n">
        <v>45810</v>
      </c>
      <c r="D6162" t="inlineStr">
        <is>
          <t>VÄRMLANDS LÄN</t>
        </is>
      </c>
      <c r="E6162" t="inlineStr">
        <is>
          <t>KARLSTAD</t>
        </is>
      </c>
      <c r="G6162" t="n">
        <v>6.5</v>
      </c>
      <c r="H6162" t="n">
        <v>0</v>
      </c>
      <c r="I6162" t="n">
        <v>0</v>
      </c>
      <c r="J6162" t="n">
        <v>0</v>
      </c>
      <c r="K6162" t="n">
        <v>0</v>
      </c>
      <c r="L6162" t="n">
        <v>0</v>
      </c>
      <c r="M6162" t="n">
        <v>0</v>
      </c>
      <c r="N6162" t="n">
        <v>0</v>
      </c>
      <c r="O6162" t="n">
        <v>0</v>
      </c>
      <c r="P6162" t="n">
        <v>0</v>
      </c>
      <c r="Q6162" t="n">
        <v>0</v>
      </c>
      <c r="R6162" s="2" t="inlineStr"/>
    </row>
    <row r="6163" ht="15" customHeight="1">
      <c r="A6163" t="inlineStr">
        <is>
          <t>A 2141-2022</t>
        </is>
      </c>
      <c r="B6163" s="1" t="n">
        <v>44571</v>
      </c>
      <c r="C6163" s="1" t="n">
        <v>45810</v>
      </c>
      <c r="D6163" t="inlineStr">
        <is>
          <t>VÄRMLANDS LÄN</t>
        </is>
      </c>
      <c r="E6163" t="inlineStr">
        <is>
          <t>ÅRJÄNG</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2143-2022</t>
        </is>
      </c>
      <c r="B6164" s="1" t="n">
        <v>44571</v>
      </c>
      <c r="C6164" s="1" t="n">
        <v>45810</v>
      </c>
      <c r="D6164" t="inlineStr">
        <is>
          <t>VÄRMLANDS LÄN</t>
        </is>
      </c>
      <c r="E6164" t="inlineStr">
        <is>
          <t>ÅRJÄNG</t>
        </is>
      </c>
      <c r="G6164" t="n">
        <v>2.5</v>
      </c>
      <c r="H6164" t="n">
        <v>0</v>
      </c>
      <c r="I6164" t="n">
        <v>0</v>
      </c>
      <c r="J6164" t="n">
        <v>0</v>
      </c>
      <c r="K6164" t="n">
        <v>0</v>
      </c>
      <c r="L6164" t="n">
        <v>0</v>
      </c>
      <c r="M6164" t="n">
        <v>0</v>
      </c>
      <c r="N6164" t="n">
        <v>0</v>
      </c>
      <c r="O6164" t="n">
        <v>0</v>
      </c>
      <c r="P6164" t="n">
        <v>0</v>
      </c>
      <c r="Q6164" t="n">
        <v>0</v>
      </c>
      <c r="R6164" s="2" t="inlineStr"/>
    </row>
    <row r="6165" ht="15" customHeight="1">
      <c r="A6165" t="inlineStr">
        <is>
          <t>A 1256-2022</t>
        </is>
      </c>
      <c r="B6165" s="1" t="n">
        <v>44572</v>
      </c>
      <c r="C6165" s="1" t="n">
        <v>45810</v>
      </c>
      <c r="D6165" t="inlineStr">
        <is>
          <t>VÄRMLANDS LÄN</t>
        </is>
      </c>
      <c r="E6165" t="inlineStr">
        <is>
          <t>KIL</t>
        </is>
      </c>
      <c r="G6165" t="n">
        <v>5.4</v>
      </c>
      <c r="H6165" t="n">
        <v>0</v>
      </c>
      <c r="I6165" t="n">
        <v>0</v>
      </c>
      <c r="J6165" t="n">
        <v>0</v>
      </c>
      <c r="K6165" t="n">
        <v>0</v>
      </c>
      <c r="L6165" t="n">
        <v>0</v>
      </c>
      <c r="M6165" t="n">
        <v>0</v>
      </c>
      <c r="N6165" t="n">
        <v>0</v>
      </c>
      <c r="O6165" t="n">
        <v>0</v>
      </c>
      <c r="P6165" t="n">
        <v>0</v>
      </c>
      <c r="Q6165" t="n">
        <v>0</v>
      </c>
      <c r="R6165" s="2" t="inlineStr"/>
    </row>
    <row r="6166" ht="15" customHeight="1">
      <c r="A6166" t="inlineStr">
        <is>
          <t>A 1212-2022</t>
        </is>
      </c>
      <c r="B6166" s="1" t="n">
        <v>44572</v>
      </c>
      <c r="C6166" s="1" t="n">
        <v>45810</v>
      </c>
      <c r="D6166" t="inlineStr">
        <is>
          <t>VÄRMLANDS LÄN</t>
        </is>
      </c>
      <c r="E6166" t="inlineStr">
        <is>
          <t>ARVIKA</t>
        </is>
      </c>
      <c r="G6166" t="n">
        <v>2.1</v>
      </c>
      <c r="H6166" t="n">
        <v>0</v>
      </c>
      <c r="I6166" t="n">
        <v>0</v>
      </c>
      <c r="J6166" t="n">
        <v>0</v>
      </c>
      <c r="K6166" t="n">
        <v>0</v>
      </c>
      <c r="L6166" t="n">
        <v>0</v>
      </c>
      <c r="M6166" t="n">
        <v>0</v>
      </c>
      <c r="N6166" t="n">
        <v>0</v>
      </c>
      <c r="O6166" t="n">
        <v>0</v>
      </c>
      <c r="P6166" t="n">
        <v>0</v>
      </c>
      <c r="Q6166" t="n">
        <v>0</v>
      </c>
      <c r="R6166" s="2" t="inlineStr"/>
    </row>
    <row r="6167" ht="15" customHeight="1">
      <c r="A6167" t="inlineStr">
        <is>
          <t>A 1329-2022</t>
        </is>
      </c>
      <c r="B6167" s="1" t="n">
        <v>44572</v>
      </c>
      <c r="C6167" s="1" t="n">
        <v>45810</v>
      </c>
      <c r="D6167" t="inlineStr">
        <is>
          <t>VÄRMLANDS LÄN</t>
        </is>
      </c>
      <c r="E6167" t="inlineStr">
        <is>
          <t>ARVIKA</t>
        </is>
      </c>
      <c r="G6167" t="n">
        <v>3.5</v>
      </c>
      <c r="H6167" t="n">
        <v>0</v>
      </c>
      <c r="I6167" t="n">
        <v>0</v>
      </c>
      <c r="J6167" t="n">
        <v>0</v>
      </c>
      <c r="K6167" t="n">
        <v>0</v>
      </c>
      <c r="L6167" t="n">
        <v>0</v>
      </c>
      <c r="M6167" t="n">
        <v>0</v>
      </c>
      <c r="N6167" t="n">
        <v>0</v>
      </c>
      <c r="O6167" t="n">
        <v>0</v>
      </c>
      <c r="P6167" t="n">
        <v>0</v>
      </c>
      <c r="Q6167" t="n">
        <v>0</v>
      </c>
      <c r="R6167" s="2" t="inlineStr"/>
    </row>
    <row r="6168" ht="15" customHeight="1">
      <c r="A6168" t="inlineStr">
        <is>
          <t>A 1285-2022</t>
        </is>
      </c>
      <c r="B6168" s="1" t="n">
        <v>44572</v>
      </c>
      <c r="C6168" s="1" t="n">
        <v>45810</v>
      </c>
      <c r="D6168" t="inlineStr">
        <is>
          <t>VÄRMLANDS LÄN</t>
        </is>
      </c>
      <c r="E6168" t="inlineStr">
        <is>
          <t>SÄFFLE</t>
        </is>
      </c>
      <c r="G6168" t="n">
        <v>2.3</v>
      </c>
      <c r="H6168" t="n">
        <v>0</v>
      </c>
      <c r="I6168" t="n">
        <v>0</v>
      </c>
      <c r="J6168" t="n">
        <v>0</v>
      </c>
      <c r="K6168" t="n">
        <v>0</v>
      </c>
      <c r="L6168" t="n">
        <v>0</v>
      </c>
      <c r="M6168" t="n">
        <v>0</v>
      </c>
      <c r="N6168" t="n">
        <v>0</v>
      </c>
      <c r="O6168" t="n">
        <v>0</v>
      </c>
      <c r="P6168" t="n">
        <v>0</v>
      </c>
      <c r="Q6168" t="n">
        <v>0</v>
      </c>
      <c r="R6168" s="2" t="inlineStr"/>
    </row>
    <row r="6169" ht="15" customHeight="1">
      <c r="A6169" t="inlineStr">
        <is>
          <t>A 1301-2022</t>
        </is>
      </c>
      <c r="B6169" s="1" t="n">
        <v>44572</v>
      </c>
      <c r="C6169" s="1" t="n">
        <v>45810</v>
      </c>
      <c r="D6169" t="inlineStr">
        <is>
          <t>VÄRMLANDS LÄN</t>
        </is>
      </c>
      <c r="E6169" t="inlineStr">
        <is>
          <t>SUNNE</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1330-2022</t>
        </is>
      </c>
      <c r="B6170" s="1" t="n">
        <v>44572</v>
      </c>
      <c r="C6170" s="1" t="n">
        <v>45810</v>
      </c>
      <c r="D6170" t="inlineStr">
        <is>
          <t>VÄRMLANDS LÄN</t>
        </is>
      </c>
      <c r="E6170" t="inlineStr">
        <is>
          <t>KIL</t>
        </is>
      </c>
      <c r="G6170" t="n">
        <v>2.2</v>
      </c>
      <c r="H6170" t="n">
        <v>0</v>
      </c>
      <c r="I6170" t="n">
        <v>0</v>
      </c>
      <c r="J6170" t="n">
        <v>0</v>
      </c>
      <c r="K6170" t="n">
        <v>0</v>
      </c>
      <c r="L6170" t="n">
        <v>0</v>
      </c>
      <c r="M6170" t="n">
        <v>0</v>
      </c>
      <c r="N6170" t="n">
        <v>0</v>
      </c>
      <c r="O6170" t="n">
        <v>0</v>
      </c>
      <c r="P6170" t="n">
        <v>0</v>
      </c>
      <c r="Q6170" t="n">
        <v>0</v>
      </c>
      <c r="R6170" s="2" t="inlineStr"/>
    </row>
    <row r="6171" ht="15" customHeight="1">
      <c r="A6171" t="inlineStr">
        <is>
          <t>A 1449-2022</t>
        </is>
      </c>
      <c r="B6171" s="1" t="n">
        <v>44573</v>
      </c>
      <c r="C6171" s="1" t="n">
        <v>45810</v>
      </c>
      <c r="D6171" t="inlineStr">
        <is>
          <t>VÄRMLANDS LÄN</t>
        </is>
      </c>
      <c r="E6171" t="inlineStr">
        <is>
          <t>EDA</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1453-2022</t>
        </is>
      </c>
      <c r="B6172" s="1" t="n">
        <v>44573</v>
      </c>
      <c r="C6172" s="1" t="n">
        <v>45810</v>
      </c>
      <c r="D6172" t="inlineStr">
        <is>
          <t>VÄRMLANDS LÄN</t>
        </is>
      </c>
      <c r="E6172" t="inlineStr">
        <is>
          <t>ARVIKA</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1405-2022</t>
        </is>
      </c>
      <c r="B6173" s="1" t="n">
        <v>44573</v>
      </c>
      <c r="C6173" s="1" t="n">
        <v>45810</v>
      </c>
      <c r="D6173" t="inlineStr">
        <is>
          <t>VÄRMLANDS LÄN</t>
        </is>
      </c>
      <c r="E6173" t="inlineStr">
        <is>
          <t>EDA</t>
        </is>
      </c>
      <c r="G6173" t="n">
        <v>2.6</v>
      </c>
      <c r="H6173" t="n">
        <v>0</v>
      </c>
      <c r="I6173" t="n">
        <v>0</v>
      </c>
      <c r="J6173" t="n">
        <v>0</v>
      </c>
      <c r="K6173" t="n">
        <v>0</v>
      </c>
      <c r="L6173" t="n">
        <v>0</v>
      </c>
      <c r="M6173" t="n">
        <v>0</v>
      </c>
      <c r="N6173" t="n">
        <v>0</v>
      </c>
      <c r="O6173" t="n">
        <v>0</v>
      </c>
      <c r="P6173" t="n">
        <v>0</v>
      </c>
      <c r="Q6173" t="n">
        <v>0</v>
      </c>
      <c r="R6173" s="2" t="inlineStr"/>
    </row>
    <row r="6174" ht="15" customHeight="1">
      <c r="A6174" t="inlineStr">
        <is>
          <t>A 1496-2022</t>
        </is>
      </c>
      <c r="B6174" s="1" t="n">
        <v>44573</v>
      </c>
      <c r="C6174" s="1" t="n">
        <v>45810</v>
      </c>
      <c r="D6174" t="inlineStr">
        <is>
          <t>VÄRMLANDS LÄN</t>
        </is>
      </c>
      <c r="E6174" t="inlineStr">
        <is>
          <t>KARLSTAD</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1418-2022</t>
        </is>
      </c>
      <c r="B6175" s="1" t="n">
        <v>44573</v>
      </c>
      <c r="C6175" s="1" t="n">
        <v>45810</v>
      </c>
      <c r="D6175" t="inlineStr">
        <is>
          <t>VÄRMLANDS LÄN</t>
        </is>
      </c>
      <c r="E6175" t="inlineStr">
        <is>
          <t>ÅRJÄNG</t>
        </is>
      </c>
      <c r="G6175" t="n">
        <v>1.9</v>
      </c>
      <c r="H6175" t="n">
        <v>0</v>
      </c>
      <c r="I6175" t="n">
        <v>0</v>
      </c>
      <c r="J6175" t="n">
        <v>0</v>
      </c>
      <c r="K6175" t="n">
        <v>0</v>
      </c>
      <c r="L6175" t="n">
        <v>0</v>
      </c>
      <c r="M6175" t="n">
        <v>0</v>
      </c>
      <c r="N6175" t="n">
        <v>0</v>
      </c>
      <c r="O6175" t="n">
        <v>0</v>
      </c>
      <c r="P6175" t="n">
        <v>0</v>
      </c>
      <c r="Q6175" t="n">
        <v>0</v>
      </c>
      <c r="R6175" s="2" t="inlineStr"/>
    </row>
    <row r="6176" ht="15" customHeight="1">
      <c r="A6176" t="inlineStr">
        <is>
          <t>A 1450-2022</t>
        </is>
      </c>
      <c r="B6176" s="1" t="n">
        <v>44573</v>
      </c>
      <c r="C6176" s="1" t="n">
        <v>45810</v>
      </c>
      <c r="D6176" t="inlineStr">
        <is>
          <t>VÄRMLANDS LÄN</t>
        </is>
      </c>
      <c r="E6176" t="inlineStr">
        <is>
          <t>KRISTINEHAMN</t>
        </is>
      </c>
      <c r="F6176" t="inlineStr">
        <is>
          <t>Sveaskog</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1504-2022</t>
        </is>
      </c>
      <c r="B6177" s="1" t="n">
        <v>44573</v>
      </c>
      <c r="C6177" s="1" t="n">
        <v>45810</v>
      </c>
      <c r="D6177" t="inlineStr">
        <is>
          <t>VÄRMLANDS LÄN</t>
        </is>
      </c>
      <c r="E6177" t="inlineStr">
        <is>
          <t>ARVIKA</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1574-2022</t>
        </is>
      </c>
      <c r="B6178" s="1" t="n">
        <v>44573</v>
      </c>
      <c r="C6178" s="1" t="n">
        <v>45810</v>
      </c>
      <c r="D6178" t="inlineStr">
        <is>
          <t>VÄRMLANDS LÄN</t>
        </is>
      </c>
      <c r="E6178" t="inlineStr">
        <is>
          <t>ÅRJÄNG</t>
        </is>
      </c>
      <c r="G6178" t="n">
        <v>0.4</v>
      </c>
      <c r="H6178" t="n">
        <v>0</v>
      </c>
      <c r="I6178" t="n">
        <v>0</v>
      </c>
      <c r="J6178" t="n">
        <v>0</v>
      </c>
      <c r="K6178" t="n">
        <v>0</v>
      </c>
      <c r="L6178" t="n">
        <v>0</v>
      </c>
      <c r="M6178" t="n">
        <v>0</v>
      </c>
      <c r="N6178" t="n">
        <v>0</v>
      </c>
      <c r="O6178" t="n">
        <v>0</v>
      </c>
      <c r="P6178" t="n">
        <v>0</v>
      </c>
      <c r="Q6178" t="n">
        <v>0</v>
      </c>
      <c r="R6178" s="2" t="inlineStr"/>
    </row>
    <row r="6179" ht="15" customHeight="1">
      <c r="A6179" t="inlineStr">
        <is>
          <t>A 1567-2022</t>
        </is>
      </c>
      <c r="B6179" s="1" t="n">
        <v>44573</v>
      </c>
      <c r="C6179" s="1" t="n">
        <v>45810</v>
      </c>
      <c r="D6179" t="inlineStr">
        <is>
          <t>VÄRMLANDS LÄN</t>
        </is>
      </c>
      <c r="E6179" t="inlineStr">
        <is>
          <t>ÅRJÄNG</t>
        </is>
      </c>
      <c r="G6179" t="n">
        <v>1.8</v>
      </c>
      <c r="H6179" t="n">
        <v>0</v>
      </c>
      <c r="I6179" t="n">
        <v>0</v>
      </c>
      <c r="J6179" t="n">
        <v>0</v>
      </c>
      <c r="K6179" t="n">
        <v>0</v>
      </c>
      <c r="L6179" t="n">
        <v>0</v>
      </c>
      <c r="M6179" t="n">
        <v>0</v>
      </c>
      <c r="N6179" t="n">
        <v>0</v>
      </c>
      <c r="O6179" t="n">
        <v>0</v>
      </c>
      <c r="P6179" t="n">
        <v>0</v>
      </c>
      <c r="Q6179" t="n">
        <v>0</v>
      </c>
      <c r="R6179" s="2" t="inlineStr"/>
    </row>
    <row r="6180" ht="15" customHeight="1">
      <c r="A6180" t="inlineStr">
        <is>
          <t>A 1605-2022</t>
        </is>
      </c>
      <c r="B6180" s="1" t="n">
        <v>44573</v>
      </c>
      <c r="C6180" s="1" t="n">
        <v>45810</v>
      </c>
      <c r="D6180" t="inlineStr">
        <is>
          <t>VÄRMLANDS LÄN</t>
        </is>
      </c>
      <c r="E6180" t="inlineStr">
        <is>
          <t>SUNNE</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1674-2022</t>
        </is>
      </c>
      <c r="B6181" s="1" t="n">
        <v>44574</v>
      </c>
      <c r="C6181" s="1" t="n">
        <v>45810</v>
      </c>
      <c r="D6181" t="inlineStr">
        <is>
          <t>VÄRMLANDS LÄN</t>
        </is>
      </c>
      <c r="E6181" t="inlineStr">
        <is>
          <t>ARVIKA</t>
        </is>
      </c>
      <c r="F6181" t="inlineStr">
        <is>
          <t>Bergvik skog väst AB</t>
        </is>
      </c>
      <c r="G6181" t="n">
        <v>3.1</v>
      </c>
      <c r="H6181" t="n">
        <v>0</v>
      </c>
      <c r="I6181" t="n">
        <v>0</v>
      </c>
      <c r="J6181" t="n">
        <v>0</v>
      </c>
      <c r="K6181" t="n">
        <v>0</v>
      </c>
      <c r="L6181" t="n">
        <v>0</v>
      </c>
      <c r="M6181" t="n">
        <v>0</v>
      </c>
      <c r="N6181" t="n">
        <v>0</v>
      </c>
      <c r="O6181" t="n">
        <v>0</v>
      </c>
      <c r="P6181" t="n">
        <v>0</v>
      </c>
      <c r="Q6181" t="n">
        <v>0</v>
      </c>
      <c r="R6181" s="2" t="inlineStr"/>
    </row>
    <row r="6182" ht="15" customHeight="1">
      <c r="A6182" t="inlineStr">
        <is>
          <t>A 1723-2022</t>
        </is>
      </c>
      <c r="B6182" s="1" t="n">
        <v>44574</v>
      </c>
      <c r="C6182" s="1" t="n">
        <v>45810</v>
      </c>
      <c r="D6182" t="inlineStr">
        <is>
          <t>VÄRMLANDS LÄN</t>
        </is>
      </c>
      <c r="E6182" t="inlineStr">
        <is>
          <t>ARVIKA</t>
        </is>
      </c>
      <c r="F6182" t="inlineStr">
        <is>
          <t>Bergvik skog väst AB</t>
        </is>
      </c>
      <c r="G6182" t="n">
        <v>4.5</v>
      </c>
      <c r="H6182" t="n">
        <v>0</v>
      </c>
      <c r="I6182" t="n">
        <v>0</v>
      </c>
      <c r="J6182" t="n">
        <v>0</v>
      </c>
      <c r="K6182" t="n">
        <v>0</v>
      </c>
      <c r="L6182" t="n">
        <v>0</v>
      </c>
      <c r="M6182" t="n">
        <v>0</v>
      </c>
      <c r="N6182" t="n">
        <v>0</v>
      </c>
      <c r="O6182" t="n">
        <v>0</v>
      </c>
      <c r="P6182" t="n">
        <v>0</v>
      </c>
      <c r="Q6182" t="n">
        <v>0</v>
      </c>
      <c r="R6182" s="2" t="inlineStr"/>
    </row>
    <row r="6183" ht="15" customHeight="1">
      <c r="A6183" t="inlineStr">
        <is>
          <t>A 1759-2022</t>
        </is>
      </c>
      <c r="B6183" s="1" t="n">
        <v>44574</v>
      </c>
      <c r="C6183" s="1" t="n">
        <v>45810</v>
      </c>
      <c r="D6183" t="inlineStr">
        <is>
          <t>VÄRMLANDS LÄN</t>
        </is>
      </c>
      <c r="E6183" t="inlineStr">
        <is>
          <t>SUNNE</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1737-2022</t>
        </is>
      </c>
      <c r="B6184" s="1" t="n">
        <v>44574</v>
      </c>
      <c r="C6184" s="1" t="n">
        <v>45810</v>
      </c>
      <c r="D6184" t="inlineStr">
        <is>
          <t>VÄRMLANDS LÄN</t>
        </is>
      </c>
      <c r="E6184" t="inlineStr">
        <is>
          <t>ARVIKA</t>
        </is>
      </c>
      <c r="F6184" t="inlineStr">
        <is>
          <t>Bergvik skog väst AB</t>
        </is>
      </c>
      <c r="G6184" t="n">
        <v>5.2</v>
      </c>
      <c r="H6184" t="n">
        <v>0</v>
      </c>
      <c r="I6184" t="n">
        <v>0</v>
      </c>
      <c r="J6184" t="n">
        <v>0</v>
      </c>
      <c r="K6184" t="n">
        <v>0</v>
      </c>
      <c r="L6184" t="n">
        <v>0</v>
      </c>
      <c r="M6184" t="n">
        <v>0</v>
      </c>
      <c r="N6184" t="n">
        <v>0</v>
      </c>
      <c r="O6184" t="n">
        <v>0</v>
      </c>
      <c r="P6184" t="n">
        <v>0</v>
      </c>
      <c r="Q6184" t="n">
        <v>0</v>
      </c>
      <c r="R6184" s="2" t="inlineStr"/>
    </row>
    <row r="6185" ht="15" customHeight="1">
      <c r="A6185" t="inlineStr">
        <is>
          <t>A 1783-2022</t>
        </is>
      </c>
      <c r="B6185" s="1" t="n">
        <v>44574</v>
      </c>
      <c r="C6185" s="1" t="n">
        <v>45810</v>
      </c>
      <c r="D6185" t="inlineStr">
        <is>
          <t>VÄRMLANDS LÄN</t>
        </is>
      </c>
      <c r="E6185" t="inlineStr">
        <is>
          <t>SÄFFLE</t>
        </is>
      </c>
      <c r="G6185" t="n">
        <v>1.4</v>
      </c>
      <c r="H6185" t="n">
        <v>0</v>
      </c>
      <c r="I6185" t="n">
        <v>0</v>
      </c>
      <c r="J6185" t="n">
        <v>0</v>
      </c>
      <c r="K6185" t="n">
        <v>0</v>
      </c>
      <c r="L6185" t="n">
        <v>0</v>
      </c>
      <c r="M6185" t="n">
        <v>0</v>
      </c>
      <c r="N6185" t="n">
        <v>0</v>
      </c>
      <c r="O6185" t="n">
        <v>0</v>
      </c>
      <c r="P6185" t="n">
        <v>0</v>
      </c>
      <c r="Q6185" t="n">
        <v>0</v>
      </c>
      <c r="R6185" s="2" t="inlineStr"/>
    </row>
    <row r="6186" ht="15" customHeight="1">
      <c r="A6186" t="inlineStr">
        <is>
          <t>A 1839-2022</t>
        </is>
      </c>
      <c r="B6186" s="1" t="n">
        <v>44574</v>
      </c>
      <c r="C6186" s="1" t="n">
        <v>45810</v>
      </c>
      <c r="D6186" t="inlineStr">
        <is>
          <t>VÄRMLANDS LÄN</t>
        </is>
      </c>
      <c r="E6186" t="inlineStr">
        <is>
          <t>TORSBY</t>
        </is>
      </c>
      <c r="G6186" t="n">
        <v>5.3</v>
      </c>
      <c r="H6186" t="n">
        <v>0</v>
      </c>
      <c r="I6186" t="n">
        <v>0</v>
      </c>
      <c r="J6186" t="n">
        <v>0</v>
      </c>
      <c r="K6186" t="n">
        <v>0</v>
      </c>
      <c r="L6186" t="n">
        <v>0</v>
      </c>
      <c r="M6186" t="n">
        <v>0</v>
      </c>
      <c r="N6186" t="n">
        <v>0</v>
      </c>
      <c r="O6186" t="n">
        <v>0</v>
      </c>
      <c r="P6186" t="n">
        <v>0</v>
      </c>
      <c r="Q6186" t="n">
        <v>0</v>
      </c>
      <c r="R6186" s="2" t="inlineStr"/>
    </row>
    <row r="6187" ht="15" customHeight="1">
      <c r="A6187" t="inlineStr">
        <is>
          <t>A 1811-2022</t>
        </is>
      </c>
      <c r="B6187" s="1" t="n">
        <v>44574</v>
      </c>
      <c r="C6187" s="1" t="n">
        <v>45810</v>
      </c>
      <c r="D6187" t="inlineStr">
        <is>
          <t>VÄRMLANDS LÄN</t>
        </is>
      </c>
      <c r="E6187" t="inlineStr">
        <is>
          <t>KARLSTAD</t>
        </is>
      </c>
      <c r="G6187" t="n">
        <v>2.5</v>
      </c>
      <c r="H6187" t="n">
        <v>0</v>
      </c>
      <c r="I6187" t="n">
        <v>0</v>
      </c>
      <c r="J6187" t="n">
        <v>0</v>
      </c>
      <c r="K6187" t="n">
        <v>0</v>
      </c>
      <c r="L6187" t="n">
        <v>0</v>
      </c>
      <c r="M6187" t="n">
        <v>0</v>
      </c>
      <c r="N6187" t="n">
        <v>0</v>
      </c>
      <c r="O6187" t="n">
        <v>0</v>
      </c>
      <c r="P6187" t="n">
        <v>0</v>
      </c>
      <c r="Q6187" t="n">
        <v>0</v>
      </c>
      <c r="R6187" s="2" t="inlineStr"/>
    </row>
    <row r="6188" ht="15" customHeight="1">
      <c r="A6188" t="inlineStr">
        <is>
          <t>A 1911-2022</t>
        </is>
      </c>
      <c r="B6188" s="1" t="n">
        <v>44575</v>
      </c>
      <c r="C6188" s="1" t="n">
        <v>45810</v>
      </c>
      <c r="D6188" t="inlineStr">
        <is>
          <t>VÄRMLANDS LÄN</t>
        </is>
      </c>
      <c r="E6188" t="inlineStr">
        <is>
          <t>TORSBY</t>
        </is>
      </c>
      <c r="F6188" t="inlineStr">
        <is>
          <t>Kommuner</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1898-2022</t>
        </is>
      </c>
      <c r="B6189" s="1" t="n">
        <v>44575</v>
      </c>
      <c r="C6189" s="1" t="n">
        <v>45810</v>
      </c>
      <c r="D6189" t="inlineStr">
        <is>
          <t>VÄRMLANDS LÄN</t>
        </is>
      </c>
      <c r="E6189" t="inlineStr">
        <is>
          <t>GRUMS</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1928-2022</t>
        </is>
      </c>
      <c r="B6190" s="1" t="n">
        <v>44575</v>
      </c>
      <c r="C6190" s="1" t="n">
        <v>45810</v>
      </c>
      <c r="D6190" t="inlineStr">
        <is>
          <t>VÄRMLANDS LÄN</t>
        </is>
      </c>
      <c r="E6190" t="inlineStr">
        <is>
          <t>EDA</t>
        </is>
      </c>
      <c r="G6190" t="n">
        <v>7.5</v>
      </c>
      <c r="H6190" t="n">
        <v>0</v>
      </c>
      <c r="I6190" t="n">
        <v>0</v>
      </c>
      <c r="J6190" t="n">
        <v>0</v>
      </c>
      <c r="K6190" t="n">
        <v>0</v>
      </c>
      <c r="L6190" t="n">
        <v>0</v>
      </c>
      <c r="M6190" t="n">
        <v>0</v>
      </c>
      <c r="N6190" t="n">
        <v>0</v>
      </c>
      <c r="O6190" t="n">
        <v>0</v>
      </c>
      <c r="P6190" t="n">
        <v>0</v>
      </c>
      <c r="Q6190" t="n">
        <v>0</v>
      </c>
      <c r="R6190" s="2" t="inlineStr"/>
    </row>
    <row r="6191" ht="15" customHeight="1">
      <c r="A6191" t="inlineStr">
        <is>
          <t>A 1932-2022</t>
        </is>
      </c>
      <c r="B6191" s="1" t="n">
        <v>44575</v>
      </c>
      <c r="C6191" s="1" t="n">
        <v>45810</v>
      </c>
      <c r="D6191" t="inlineStr">
        <is>
          <t>VÄRMLANDS LÄN</t>
        </is>
      </c>
      <c r="E6191" t="inlineStr">
        <is>
          <t>ÅRJÄNG</t>
        </is>
      </c>
      <c r="G6191" t="n">
        <v>2.4</v>
      </c>
      <c r="H6191" t="n">
        <v>0</v>
      </c>
      <c r="I6191" t="n">
        <v>0</v>
      </c>
      <c r="J6191" t="n">
        <v>0</v>
      </c>
      <c r="K6191" t="n">
        <v>0</v>
      </c>
      <c r="L6191" t="n">
        <v>0</v>
      </c>
      <c r="M6191" t="n">
        <v>0</v>
      </c>
      <c r="N6191" t="n">
        <v>0</v>
      </c>
      <c r="O6191" t="n">
        <v>0</v>
      </c>
      <c r="P6191" t="n">
        <v>0</v>
      </c>
      <c r="Q6191" t="n">
        <v>0</v>
      </c>
      <c r="R6191" s="2" t="inlineStr"/>
    </row>
    <row r="6192" ht="15" customHeight="1">
      <c r="A6192" t="inlineStr">
        <is>
          <t>A 2062-2022</t>
        </is>
      </c>
      <c r="B6192" s="1" t="n">
        <v>44575</v>
      </c>
      <c r="C6192" s="1" t="n">
        <v>45810</v>
      </c>
      <c r="D6192" t="inlineStr">
        <is>
          <t>VÄRMLANDS LÄN</t>
        </is>
      </c>
      <c r="E6192" t="inlineStr">
        <is>
          <t>ÅRJÄNG</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2087-2022</t>
        </is>
      </c>
      <c r="B6193" s="1" t="n">
        <v>44576</v>
      </c>
      <c r="C6193" s="1" t="n">
        <v>45810</v>
      </c>
      <c r="D6193" t="inlineStr">
        <is>
          <t>VÄRMLANDS LÄN</t>
        </is>
      </c>
      <c r="E6193" t="inlineStr">
        <is>
          <t>KRISTINEHAMN</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2088-2022</t>
        </is>
      </c>
      <c r="B6194" s="1" t="n">
        <v>44576</v>
      </c>
      <c r="C6194" s="1" t="n">
        <v>45810</v>
      </c>
      <c r="D6194" t="inlineStr">
        <is>
          <t>VÄRMLANDS LÄN</t>
        </is>
      </c>
      <c r="E6194" t="inlineStr">
        <is>
          <t>KRISTINEHAMN</t>
        </is>
      </c>
      <c r="G6194" t="n">
        <v>3.3</v>
      </c>
      <c r="H6194" t="n">
        <v>0</v>
      </c>
      <c r="I6194" t="n">
        <v>0</v>
      </c>
      <c r="J6194" t="n">
        <v>0</v>
      </c>
      <c r="K6194" t="n">
        <v>0</v>
      </c>
      <c r="L6194" t="n">
        <v>0</v>
      </c>
      <c r="M6194" t="n">
        <v>0</v>
      </c>
      <c r="N6194" t="n">
        <v>0</v>
      </c>
      <c r="O6194" t="n">
        <v>0</v>
      </c>
      <c r="P6194" t="n">
        <v>0</v>
      </c>
      <c r="Q6194" t="n">
        <v>0</v>
      </c>
      <c r="R6194" s="2" t="inlineStr"/>
    </row>
    <row r="6195" ht="15" customHeight="1">
      <c r="A6195" t="inlineStr">
        <is>
          <t>A 2086-2022</t>
        </is>
      </c>
      <c r="B6195" s="1" t="n">
        <v>44576</v>
      </c>
      <c r="C6195" s="1" t="n">
        <v>45810</v>
      </c>
      <c r="D6195" t="inlineStr">
        <is>
          <t>VÄRMLANDS LÄN</t>
        </is>
      </c>
      <c r="E6195" t="inlineStr">
        <is>
          <t>GRUMS</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2109-2022</t>
        </is>
      </c>
      <c r="B6196" s="1" t="n">
        <v>44577</v>
      </c>
      <c r="C6196" s="1" t="n">
        <v>45810</v>
      </c>
      <c r="D6196" t="inlineStr">
        <is>
          <t>VÄRMLANDS LÄN</t>
        </is>
      </c>
      <c r="E6196" t="inlineStr">
        <is>
          <t>KRISTINEHAMN</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2091-2022</t>
        </is>
      </c>
      <c r="B6197" s="1" t="n">
        <v>44577</v>
      </c>
      <c r="C6197" s="1" t="n">
        <v>45810</v>
      </c>
      <c r="D6197" t="inlineStr">
        <is>
          <t>VÄRMLANDS LÄN</t>
        </is>
      </c>
      <c r="E6197" t="inlineStr">
        <is>
          <t>ÅRJÄNG</t>
        </is>
      </c>
      <c r="G6197" t="n">
        <v>8.5</v>
      </c>
      <c r="H6197" t="n">
        <v>0</v>
      </c>
      <c r="I6197" t="n">
        <v>0</v>
      </c>
      <c r="J6197" t="n">
        <v>0</v>
      </c>
      <c r="K6197" t="n">
        <v>0</v>
      </c>
      <c r="L6197" t="n">
        <v>0</v>
      </c>
      <c r="M6197" t="n">
        <v>0</v>
      </c>
      <c r="N6197" t="n">
        <v>0</v>
      </c>
      <c r="O6197" t="n">
        <v>0</v>
      </c>
      <c r="P6197" t="n">
        <v>0</v>
      </c>
      <c r="Q6197" t="n">
        <v>0</v>
      </c>
      <c r="R6197" s="2" t="inlineStr"/>
    </row>
    <row r="6198" ht="15" customHeight="1">
      <c r="A6198" t="inlineStr">
        <is>
          <t>A 2089-2022</t>
        </is>
      </c>
      <c r="B6198" s="1" t="n">
        <v>44577</v>
      </c>
      <c r="C6198" s="1" t="n">
        <v>45810</v>
      </c>
      <c r="D6198" t="inlineStr">
        <is>
          <t>VÄRMLANDS LÄN</t>
        </is>
      </c>
      <c r="E6198" t="inlineStr">
        <is>
          <t>GRUMS</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2135-2022</t>
        </is>
      </c>
      <c r="B6199" s="1" t="n">
        <v>44578</v>
      </c>
      <c r="C6199" s="1" t="n">
        <v>45810</v>
      </c>
      <c r="D6199" t="inlineStr">
        <is>
          <t>VÄRMLANDS LÄN</t>
        </is>
      </c>
      <c r="E6199" t="inlineStr">
        <is>
          <t>KARLSTAD</t>
        </is>
      </c>
      <c r="G6199" t="n">
        <v>1.6</v>
      </c>
      <c r="H6199" t="n">
        <v>0</v>
      </c>
      <c r="I6199" t="n">
        <v>0</v>
      </c>
      <c r="J6199" t="n">
        <v>0</v>
      </c>
      <c r="K6199" t="n">
        <v>0</v>
      </c>
      <c r="L6199" t="n">
        <v>0</v>
      </c>
      <c r="M6199" t="n">
        <v>0</v>
      </c>
      <c r="N6199" t="n">
        <v>0</v>
      </c>
      <c r="O6199" t="n">
        <v>0</v>
      </c>
      <c r="P6199" t="n">
        <v>0</v>
      </c>
      <c r="Q6199" t="n">
        <v>0</v>
      </c>
      <c r="R6199" s="2" t="inlineStr"/>
    </row>
    <row r="6200" ht="15" customHeight="1">
      <c r="A6200" t="inlineStr">
        <is>
          <t>A 2184-2022</t>
        </is>
      </c>
      <c r="B6200" s="1" t="n">
        <v>44578</v>
      </c>
      <c r="C6200" s="1" t="n">
        <v>45810</v>
      </c>
      <c r="D6200" t="inlineStr">
        <is>
          <t>VÄRMLANDS LÄN</t>
        </is>
      </c>
      <c r="E6200" t="inlineStr">
        <is>
          <t>ÅRJÄNG</t>
        </is>
      </c>
      <c r="G6200" t="n">
        <v>2.2</v>
      </c>
      <c r="H6200" t="n">
        <v>0</v>
      </c>
      <c r="I6200" t="n">
        <v>0</v>
      </c>
      <c r="J6200" t="n">
        <v>0</v>
      </c>
      <c r="K6200" t="n">
        <v>0</v>
      </c>
      <c r="L6200" t="n">
        <v>0</v>
      </c>
      <c r="M6200" t="n">
        <v>0</v>
      </c>
      <c r="N6200" t="n">
        <v>0</v>
      </c>
      <c r="O6200" t="n">
        <v>0</v>
      </c>
      <c r="P6200" t="n">
        <v>0</v>
      </c>
      <c r="Q6200" t="n">
        <v>0</v>
      </c>
      <c r="R6200" s="2" t="inlineStr"/>
    </row>
    <row r="6201" ht="15" customHeight="1">
      <c r="A6201" t="inlineStr">
        <is>
          <t>A 2214-2022</t>
        </is>
      </c>
      <c r="B6201" s="1" t="n">
        <v>44578</v>
      </c>
      <c r="C6201" s="1" t="n">
        <v>45810</v>
      </c>
      <c r="D6201" t="inlineStr">
        <is>
          <t>VÄRMLANDS LÄN</t>
        </is>
      </c>
      <c r="E6201" t="inlineStr">
        <is>
          <t>ARVIKA</t>
        </is>
      </c>
      <c r="F6201" t="inlineStr">
        <is>
          <t>Bergvik skog väst AB</t>
        </is>
      </c>
      <c r="G6201" t="n">
        <v>6.8</v>
      </c>
      <c r="H6201" t="n">
        <v>0</v>
      </c>
      <c r="I6201" t="n">
        <v>0</v>
      </c>
      <c r="J6201" t="n">
        <v>0</v>
      </c>
      <c r="K6201" t="n">
        <v>0</v>
      </c>
      <c r="L6201" t="n">
        <v>0</v>
      </c>
      <c r="M6201" t="n">
        <v>0</v>
      </c>
      <c r="N6201" t="n">
        <v>0</v>
      </c>
      <c r="O6201" t="n">
        <v>0</v>
      </c>
      <c r="P6201" t="n">
        <v>0</v>
      </c>
      <c r="Q6201" t="n">
        <v>0</v>
      </c>
      <c r="R6201" s="2" t="inlineStr"/>
    </row>
    <row r="6202" ht="15" customHeight="1">
      <c r="A6202" t="inlineStr">
        <is>
          <t>A 2278-2022</t>
        </is>
      </c>
      <c r="B6202" s="1" t="n">
        <v>44578</v>
      </c>
      <c r="C6202" s="1" t="n">
        <v>45810</v>
      </c>
      <c r="D6202" t="inlineStr">
        <is>
          <t>VÄRMLANDS LÄN</t>
        </is>
      </c>
      <c r="E6202" t="inlineStr">
        <is>
          <t>FORSHAGA</t>
        </is>
      </c>
      <c r="F6202" t="inlineStr">
        <is>
          <t>Bergvik skog väst AB</t>
        </is>
      </c>
      <c r="G6202" t="n">
        <v>3.2</v>
      </c>
      <c r="H6202" t="n">
        <v>0</v>
      </c>
      <c r="I6202" t="n">
        <v>0</v>
      </c>
      <c r="J6202" t="n">
        <v>0</v>
      </c>
      <c r="K6202" t="n">
        <v>0</v>
      </c>
      <c r="L6202" t="n">
        <v>0</v>
      </c>
      <c r="M6202" t="n">
        <v>0</v>
      </c>
      <c r="N6202" t="n">
        <v>0</v>
      </c>
      <c r="O6202" t="n">
        <v>0</v>
      </c>
      <c r="P6202" t="n">
        <v>0</v>
      </c>
      <c r="Q6202" t="n">
        <v>0</v>
      </c>
      <c r="R6202" s="2" t="inlineStr"/>
    </row>
    <row r="6203" ht="15" customHeight="1">
      <c r="A6203" t="inlineStr">
        <is>
          <t>A 2177-2022</t>
        </is>
      </c>
      <c r="B6203" s="1" t="n">
        <v>44578</v>
      </c>
      <c r="C6203" s="1" t="n">
        <v>45810</v>
      </c>
      <c r="D6203" t="inlineStr">
        <is>
          <t>VÄRMLANDS LÄN</t>
        </is>
      </c>
      <c r="E6203" t="inlineStr">
        <is>
          <t>SUNNE</t>
        </is>
      </c>
      <c r="G6203" t="n">
        <v>4.2</v>
      </c>
      <c r="H6203" t="n">
        <v>0</v>
      </c>
      <c r="I6203" t="n">
        <v>0</v>
      </c>
      <c r="J6203" t="n">
        <v>0</v>
      </c>
      <c r="K6203" t="n">
        <v>0</v>
      </c>
      <c r="L6203" t="n">
        <v>0</v>
      </c>
      <c r="M6203" t="n">
        <v>0</v>
      </c>
      <c r="N6203" t="n">
        <v>0</v>
      </c>
      <c r="O6203" t="n">
        <v>0</v>
      </c>
      <c r="P6203" t="n">
        <v>0</v>
      </c>
      <c r="Q6203" t="n">
        <v>0</v>
      </c>
      <c r="R6203" s="2" t="inlineStr"/>
    </row>
    <row r="6204" ht="15" customHeight="1">
      <c r="A6204" t="inlineStr">
        <is>
          <t>A 2314-2022</t>
        </is>
      </c>
      <c r="B6204" s="1" t="n">
        <v>44578</v>
      </c>
      <c r="C6204" s="1" t="n">
        <v>45810</v>
      </c>
      <c r="D6204" t="inlineStr">
        <is>
          <t>VÄRMLANDS LÄN</t>
        </is>
      </c>
      <c r="E6204" t="inlineStr">
        <is>
          <t>KIL</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2440-2022</t>
        </is>
      </c>
      <c r="B6205" s="1" t="n">
        <v>44579</v>
      </c>
      <c r="C6205" s="1" t="n">
        <v>45810</v>
      </c>
      <c r="D6205" t="inlineStr">
        <is>
          <t>VÄRMLANDS LÄN</t>
        </is>
      </c>
      <c r="E6205" t="inlineStr">
        <is>
          <t>FILIPSTAD</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2384-2022</t>
        </is>
      </c>
      <c r="B6206" s="1" t="n">
        <v>44579</v>
      </c>
      <c r="C6206" s="1" t="n">
        <v>45810</v>
      </c>
      <c r="D6206" t="inlineStr">
        <is>
          <t>VÄRMLANDS LÄN</t>
        </is>
      </c>
      <c r="E6206" t="inlineStr">
        <is>
          <t>SUNNE</t>
        </is>
      </c>
      <c r="G6206" t="n">
        <v>3.6</v>
      </c>
      <c r="H6206" t="n">
        <v>0</v>
      </c>
      <c r="I6206" t="n">
        <v>0</v>
      </c>
      <c r="J6206" t="n">
        <v>0</v>
      </c>
      <c r="K6206" t="n">
        <v>0</v>
      </c>
      <c r="L6206" t="n">
        <v>0</v>
      </c>
      <c r="M6206" t="n">
        <v>0</v>
      </c>
      <c r="N6206" t="n">
        <v>0</v>
      </c>
      <c r="O6206" t="n">
        <v>0</v>
      </c>
      <c r="P6206" t="n">
        <v>0</v>
      </c>
      <c r="Q6206" t="n">
        <v>0</v>
      </c>
      <c r="R6206" s="2" t="inlineStr"/>
    </row>
    <row r="6207" ht="15" customHeight="1">
      <c r="A6207" t="inlineStr">
        <is>
          <t>A 2414-2022</t>
        </is>
      </c>
      <c r="B6207" s="1" t="n">
        <v>44579</v>
      </c>
      <c r="C6207" s="1" t="n">
        <v>45810</v>
      </c>
      <c r="D6207" t="inlineStr">
        <is>
          <t>VÄRMLANDS LÄN</t>
        </is>
      </c>
      <c r="E6207" t="inlineStr">
        <is>
          <t>TORSBY</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2421-2022</t>
        </is>
      </c>
      <c r="B6208" s="1" t="n">
        <v>44579</v>
      </c>
      <c r="C6208" s="1" t="n">
        <v>45810</v>
      </c>
      <c r="D6208" t="inlineStr">
        <is>
          <t>VÄRMLANDS LÄN</t>
        </is>
      </c>
      <c r="E6208" t="inlineStr">
        <is>
          <t>TORSBY</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2397-2022</t>
        </is>
      </c>
      <c r="B6209" s="1" t="n">
        <v>44579</v>
      </c>
      <c r="C6209" s="1" t="n">
        <v>45810</v>
      </c>
      <c r="D6209" t="inlineStr">
        <is>
          <t>VÄRMLANDS LÄN</t>
        </is>
      </c>
      <c r="E6209" t="inlineStr">
        <is>
          <t>SUNNE</t>
        </is>
      </c>
      <c r="G6209" t="n">
        <v>9.5</v>
      </c>
      <c r="H6209" t="n">
        <v>0</v>
      </c>
      <c r="I6209" t="n">
        <v>0</v>
      </c>
      <c r="J6209" t="n">
        <v>0</v>
      </c>
      <c r="K6209" t="n">
        <v>0</v>
      </c>
      <c r="L6209" t="n">
        <v>0</v>
      </c>
      <c r="M6209" t="n">
        <v>0</v>
      </c>
      <c r="N6209" t="n">
        <v>0</v>
      </c>
      <c r="O6209" t="n">
        <v>0</v>
      </c>
      <c r="P6209" t="n">
        <v>0</v>
      </c>
      <c r="Q6209" t="n">
        <v>0</v>
      </c>
      <c r="R6209" s="2" t="inlineStr"/>
    </row>
    <row r="6210" ht="15" customHeight="1">
      <c r="A6210" t="inlineStr">
        <is>
          <t>A 2419-2022</t>
        </is>
      </c>
      <c r="B6210" s="1" t="n">
        <v>44579</v>
      </c>
      <c r="C6210" s="1" t="n">
        <v>45810</v>
      </c>
      <c r="D6210" t="inlineStr">
        <is>
          <t>VÄRMLANDS LÄN</t>
        </is>
      </c>
      <c r="E6210" t="inlineStr">
        <is>
          <t>HAGFORS</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2443-2022</t>
        </is>
      </c>
      <c r="B6211" s="1" t="n">
        <v>44579</v>
      </c>
      <c r="C6211" s="1" t="n">
        <v>45810</v>
      </c>
      <c r="D6211" t="inlineStr">
        <is>
          <t>VÄRMLANDS LÄN</t>
        </is>
      </c>
      <c r="E6211" t="inlineStr">
        <is>
          <t>FILIPSTAD</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2461-2022</t>
        </is>
      </c>
      <c r="B6212" s="1" t="n">
        <v>44579</v>
      </c>
      <c r="C6212" s="1" t="n">
        <v>45810</v>
      </c>
      <c r="D6212" t="inlineStr">
        <is>
          <t>VÄRMLANDS LÄN</t>
        </is>
      </c>
      <c r="E6212" t="inlineStr">
        <is>
          <t>SUNNE</t>
        </is>
      </c>
      <c r="F6212" t="inlineStr">
        <is>
          <t>Kommuner</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2519-2022</t>
        </is>
      </c>
      <c r="B6213" s="1" t="n">
        <v>44579</v>
      </c>
      <c r="C6213" s="1" t="n">
        <v>45810</v>
      </c>
      <c r="D6213" t="inlineStr">
        <is>
          <t>VÄRMLANDS LÄN</t>
        </is>
      </c>
      <c r="E6213" t="inlineStr">
        <is>
          <t>SUNNE</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2691-2022</t>
        </is>
      </c>
      <c r="B6214" s="1" t="n">
        <v>44580</v>
      </c>
      <c r="C6214" s="1" t="n">
        <v>45810</v>
      </c>
      <c r="D6214" t="inlineStr">
        <is>
          <t>VÄRMLANDS LÄN</t>
        </is>
      </c>
      <c r="E6214" t="inlineStr">
        <is>
          <t>SUNNE</t>
        </is>
      </c>
      <c r="F6214" t="inlineStr">
        <is>
          <t>Övriga Aktiebolag</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2699-2022</t>
        </is>
      </c>
      <c r="B6215" s="1" t="n">
        <v>44580</v>
      </c>
      <c r="C6215" s="1" t="n">
        <v>45810</v>
      </c>
      <c r="D6215" t="inlineStr">
        <is>
          <t>VÄRMLANDS LÄN</t>
        </is>
      </c>
      <c r="E6215" t="inlineStr">
        <is>
          <t>TORSBY</t>
        </is>
      </c>
      <c r="G6215" t="n">
        <v>0.4</v>
      </c>
      <c r="H6215" t="n">
        <v>0</v>
      </c>
      <c r="I6215" t="n">
        <v>0</v>
      </c>
      <c r="J6215" t="n">
        <v>0</v>
      </c>
      <c r="K6215" t="n">
        <v>0</v>
      </c>
      <c r="L6215" t="n">
        <v>0</v>
      </c>
      <c r="M6215" t="n">
        <v>0</v>
      </c>
      <c r="N6215" t="n">
        <v>0</v>
      </c>
      <c r="O6215" t="n">
        <v>0</v>
      </c>
      <c r="P6215" t="n">
        <v>0</v>
      </c>
      <c r="Q6215" t="n">
        <v>0</v>
      </c>
      <c r="R6215" s="2" t="inlineStr"/>
    </row>
    <row r="6216" ht="15" customHeight="1">
      <c r="A6216" t="inlineStr">
        <is>
          <t>A 2717-2022</t>
        </is>
      </c>
      <c r="B6216" s="1" t="n">
        <v>44580</v>
      </c>
      <c r="C6216" s="1" t="n">
        <v>45810</v>
      </c>
      <c r="D6216" t="inlineStr">
        <is>
          <t>VÄRMLANDS LÄN</t>
        </is>
      </c>
      <c r="E6216" t="inlineStr">
        <is>
          <t>SÄFFLE</t>
        </is>
      </c>
      <c r="G6216" t="n">
        <v>9.6</v>
      </c>
      <c r="H6216" t="n">
        <v>0</v>
      </c>
      <c r="I6216" t="n">
        <v>0</v>
      </c>
      <c r="J6216" t="n">
        <v>0</v>
      </c>
      <c r="K6216" t="n">
        <v>0</v>
      </c>
      <c r="L6216" t="n">
        <v>0</v>
      </c>
      <c r="M6216" t="n">
        <v>0</v>
      </c>
      <c r="N6216" t="n">
        <v>0</v>
      </c>
      <c r="O6216" t="n">
        <v>0</v>
      </c>
      <c r="P6216" t="n">
        <v>0</v>
      </c>
      <c r="Q6216" t="n">
        <v>0</v>
      </c>
      <c r="R6216" s="2" t="inlineStr"/>
    </row>
    <row r="6217" ht="15" customHeight="1">
      <c r="A6217" t="inlineStr">
        <is>
          <t>A 2556-2022</t>
        </is>
      </c>
      <c r="B6217" s="1" t="n">
        <v>44580</v>
      </c>
      <c r="C6217" s="1" t="n">
        <v>45810</v>
      </c>
      <c r="D6217" t="inlineStr">
        <is>
          <t>VÄRMLANDS LÄN</t>
        </is>
      </c>
      <c r="E6217" t="inlineStr">
        <is>
          <t>SÄFFLE</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2653-2022</t>
        </is>
      </c>
      <c r="B6218" s="1" t="n">
        <v>44580</v>
      </c>
      <c r="C6218" s="1" t="n">
        <v>45810</v>
      </c>
      <c r="D6218" t="inlineStr">
        <is>
          <t>VÄRMLANDS LÄN</t>
        </is>
      </c>
      <c r="E6218" t="inlineStr">
        <is>
          <t>ARVIKA</t>
        </is>
      </c>
      <c r="F6218" t="inlineStr">
        <is>
          <t>Bergvik skog väst AB</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2744-2022</t>
        </is>
      </c>
      <c r="B6219" s="1" t="n">
        <v>44580</v>
      </c>
      <c r="C6219" s="1" t="n">
        <v>45810</v>
      </c>
      <c r="D6219" t="inlineStr">
        <is>
          <t>VÄRMLANDS LÄN</t>
        </is>
      </c>
      <c r="E6219" t="inlineStr">
        <is>
          <t>SÄFFLE</t>
        </is>
      </c>
      <c r="G6219" t="n">
        <v>2.5</v>
      </c>
      <c r="H6219" t="n">
        <v>0</v>
      </c>
      <c r="I6219" t="n">
        <v>0</v>
      </c>
      <c r="J6219" t="n">
        <v>0</v>
      </c>
      <c r="K6219" t="n">
        <v>0</v>
      </c>
      <c r="L6219" t="n">
        <v>0</v>
      </c>
      <c r="M6219" t="n">
        <v>0</v>
      </c>
      <c r="N6219" t="n">
        <v>0</v>
      </c>
      <c r="O6219" t="n">
        <v>0</v>
      </c>
      <c r="P6219" t="n">
        <v>0</v>
      </c>
      <c r="Q6219" t="n">
        <v>0</v>
      </c>
      <c r="R6219" s="2" t="inlineStr"/>
    </row>
    <row r="6220" ht="15" customHeight="1">
      <c r="A6220" t="inlineStr">
        <is>
          <t>A 2743-2022</t>
        </is>
      </c>
      <c r="B6220" s="1" t="n">
        <v>44580</v>
      </c>
      <c r="C6220" s="1" t="n">
        <v>45810</v>
      </c>
      <c r="D6220" t="inlineStr">
        <is>
          <t>VÄRMLANDS LÄN</t>
        </is>
      </c>
      <c r="E6220" t="inlineStr">
        <is>
          <t>SÄFFLE</t>
        </is>
      </c>
      <c r="G6220" t="n">
        <v>0.6</v>
      </c>
      <c r="H6220" t="n">
        <v>0</v>
      </c>
      <c r="I6220" t="n">
        <v>0</v>
      </c>
      <c r="J6220" t="n">
        <v>0</v>
      </c>
      <c r="K6220" t="n">
        <v>0</v>
      </c>
      <c r="L6220" t="n">
        <v>0</v>
      </c>
      <c r="M6220" t="n">
        <v>0</v>
      </c>
      <c r="N6220" t="n">
        <v>0</v>
      </c>
      <c r="O6220" t="n">
        <v>0</v>
      </c>
      <c r="P6220" t="n">
        <v>0</v>
      </c>
      <c r="Q6220" t="n">
        <v>0</v>
      </c>
      <c r="R6220" s="2" t="inlineStr"/>
    </row>
    <row r="6221" ht="15" customHeight="1">
      <c r="A6221" t="inlineStr">
        <is>
          <t>A 2818-2022</t>
        </is>
      </c>
      <c r="B6221" s="1" t="n">
        <v>44581</v>
      </c>
      <c r="C6221" s="1" t="n">
        <v>45810</v>
      </c>
      <c r="D6221" t="inlineStr">
        <is>
          <t>VÄRMLANDS LÄN</t>
        </is>
      </c>
      <c r="E6221" t="inlineStr">
        <is>
          <t>FORSHAGA</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2843-2022</t>
        </is>
      </c>
      <c r="B6222" s="1" t="n">
        <v>44581</v>
      </c>
      <c r="C6222" s="1" t="n">
        <v>45810</v>
      </c>
      <c r="D6222" t="inlineStr">
        <is>
          <t>VÄRMLANDS LÄN</t>
        </is>
      </c>
      <c r="E6222" t="inlineStr">
        <is>
          <t>FORSHAGA</t>
        </is>
      </c>
      <c r="G6222" t="n">
        <v>2.7</v>
      </c>
      <c r="H6222" t="n">
        <v>0</v>
      </c>
      <c r="I6222" t="n">
        <v>0</v>
      </c>
      <c r="J6222" t="n">
        <v>0</v>
      </c>
      <c r="K6222" t="n">
        <v>0</v>
      </c>
      <c r="L6222" t="n">
        <v>0</v>
      </c>
      <c r="M6222" t="n">
        <v>0</v>
      </c>
      <c r="N6222" t="n">
        <v>0</v>
      </c>
      <c r="O6222" t="n">
        <v>0</v>
      </c>
      <c r="P6222" t="n">
        <v>0</v>
      </c>
      <c r="Q6222" t="n">
        <v>0</v>
      </c>
      <c r="R6222" s="2" t="inlineStr"/>
    </row>
    <row r="6223" ht="15" customHeight="1">
      <c r="A6223" t="inlineStr">
        <is>
          <t>A 2930-2022</t>
        </is>
      </c>
      <c r="B6223" s="1" t="n">
        <v>44581</v>
      </c>
      <c r="C6223" s="1" t="n">
        <v>45810</v>
      </c>
      <c r="D6223" t="inlineStr">
        <is>
          <t>VÄRMLANDS LÄN</t>
        </is>
      </c>
      <c r="E6223" t="inlineStr">
        <is>
          <t>SUNNE</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2966-2022</t>
        </is>
      </c>
      <c r="B6224" s="1" t="n">
        <v>44581</v>
      </c>
      <c r="C6224" s="1" t="n">
        <v>45810</v>
      </c>
      <c r="D6224" t="inlineStr">
        <is>
          <t>VÄRMLANDS LÄN</t>
        </is>
      </c>
      <c r="E6224" t="inlineStr">
        <is>
          <t>ÅRJÄNG</t>
        </is>
      </c>
      <c r="G6224" t="n">
        <v>4.7</v>
      </c>
      <c r="H6224" t="n">
        <v>0</v>
      </c>
      <c r="I6224" t="n">
        <v>0</v>
      </c>
      <c r="J6224" t="n">
        <v>0</v>
      </c>
      <c r="K6224" t="n">
        <v>0</v>
      </c>
      <c r="L6224" t="n">
        <v>0</v>
      </c>
      <c r="M6224" t="n">
        <v>0</v>
      </c>
      <c r="N6224" t="n">
        <v>0</v>
      </c>
      <c r="O6224" t="n">
        <v>0</v>
      </c>
      <c r="P6224" t="n">
        <v>0</v>
      </c>
      <c r="Q6224" t="n">
        <v>0</v>
      </c>
      <c r="R6224" s="2" t="inlineStr"/>
    </row>
    <row r="6225" ht="15" customHeight="1">
      <c r="A6225" t="inlineStr">
        <is>
          <t>A 2980-2022</t>
        </is>
      </c>
      <c r="B6225" s="1" t="n">
        <v>44581</v>
      </c>
      <c r="C6225" s="1" t="n">
        <v>45810</v>
      </c>
      <c r="D6225" t="inlineStr">
        <is>
          <t>VÄRMLANDS LÄN</t>
        </is>
      </c>
      <c r="E6225" t="inlineStr">
        <is>
          <t>SUNNE</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2985-2022</t>
        </is>
      </c>
      <c r="B6226" s="1" t="n">
        <v>44581</v>
      </c>
      <c r="C6226" s="1" t="n">
        <v>45810</v>
      </c>
      <c r="D6226" t="inlineStr">
        <is>
          <t>VÄRMLANDS LÄN</t>
        </is>
      </c>
      <c r="E6226" t="inlineStr">
        <is>
          <t>SUNNE</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2812-2022</t>
        </is>
      </c>
      <c r="B6227" s="1" t="n">
        <v>44581</v>
      </c>
      <c r="C6227" s="1" t="n">
        <v>45810</v>
      </c>
      <c r="D6227" t="inlineStr">
        <is>
          <t>VÄRMLANDS LÄN</t>
        </is>
      </c>
      <c r="E6227" t="inlineStr">
        <is>
          <t>KARLSTAD</t>
        </is>
      </c>
      <c r="G6227" t="n">
        <v>4.5</v>
      </c>
      <c r="H6227" t="n">
        <v>0</v>
      </c>
      <c r="I6227" t="n">
        <v>0</v>
      </c>
      <c r="J6227" t="n">
        <v>0</v>
      </c>
      <c r="K6227" t="n">
        <v>0</v>
      </c>
      <c r="L6227" t="n">
        <v>0</v>
      </c>
      <c r="M6227" t="n">
        <v>0</v>
      </c>
      <c r="N6227" t="n">
        <v>0</v>
      </c>
      <c r="O6227" t="n">
        <v>0</v>
      </c>
      <c r="P6227" t="n">
        <v>0</v>
      </c>
      <c r="Q6227" t="n">
        <v>0</v>
      </c>
      <c r="R6227" s="2" t="inlineStr"/>
    </row>
    <row r="6228" ht="15" customHeight="1">
      <c r="A6228" t="inlineStr">
        <is>
          <t>A 2834-2022</t>
        </is>
      </c>
      <c r="B6228" s="1" t="n">
        <v>44581</v>
      </c>
      <c r="C6228" s="1" t="n">
        <v>45810</v>
      </c>
      <c r="D6228" t="inlineStr">
        <is>
          <t>VÄRMLANDS LÄN</t>
        </is>
      </c>
      <c r="E6228" t="inlineStr">
        <is>
          <t>FORSHAGA</t>
        </is>
      </c>
      <c r="G6228" t="n">
        <v>3.5</v>
      </c>
      <c r="H6228" t="n">
        <v>0</v>
      </c>
      <c r="I6228" t="n">
        <v>0</v>
      </c>
      <c r="J6228" t="n">
        <v>0</v>
      </c>
      <c r="K6228" t="n">
        <v>0</v>
      </c>
      <c r="L6228" t="n">
        <v>0</v>
      </c>
      <c r="M6228" t="n">
        <v>0</v>
      </c>
      <c r="N6228" t="n">
        <v>0</v>
      </c>
      <c r="O6228" t="n">
        <v>0</v>
      </c>
      <c r="P6228" t="n">
        <v>0</v>
      </c>
      <c r="Q6228" t="n">
        <v>0</v>
      </c>
      <c r="R6228" s="2" t="inlineStr"/>
    </row>
    <row r="6229" ht="15" customHeight="1">
      <c r="A6229" t="inlineStr">
        <is>
          <t>A 2862-2022</t>
        </is>
      </c>
      <c r="B6229" s="1" t="n">
        <v>44581</v>
      </c>
      <c r="C6229" s="1" t="n">
        <v>45810</v>
      </c>
      <c r="D6229" t="inlineStr">
        <is>
          <t>VÄRMLANDS LÄN</t>
        </is>
      </c>
      <c r="E6229" t="inlineStr">
        <is>
          <t>SÄFFLE</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2988-2022</t>
        </is>
      </c>
      <c r="B6230" s="1" t="n">
        <v>44581</v>
      </c>
      <c r="C6230" s="1" t="n">
        <v>45810</v>
      </c>
      <c r="D6230" t="inlineStr">
        <is>
          <t>VÄRMLANDS LÄN</t>
        </is>
      </c>
      <c r="E6230" t="inlineStr">
        <is>
          <t>SÄFFLE</t>
        </is>
      </c>
      <c r="G6230" t="n">
        <v>10.4</v>
      </c>
      <c r="H6230" t="n">
        <v>0</v>
      </c>
      <c r="I6230" t="n">
        <v>0</v>
      </c>
      <c r="J6230" t="n">
        <v>0</v>
      </c>
      <c r="K6230" t="n">
        <v>0</v>
      </c>
      <c r="L6230" t="n">
        <v>0</v>
      </c>
      <c r="M6230" t="n">
        <v>0</v>
      </c>
      <c r="N6230" t="n">
        <v>0</v>
      </c>
      <c r="O6230" t="n">
        <v>0</v>
      </c>
      <c r="P6230" t="n">
        <v>0</v>
      </c>
      <c r="Q6230" t="n">
        <v>0</v>
      </c>
      <c r="R6230" s="2" t="inlineStr"/>
    </row>
    <row r="6231" ht="15" customHeight="1">
      <c r="A6231" t="inlineStr">
        <is>
          <t>A 3028-2022</t>
        </is>
      </c>
      <c r="B6231" s="1" t="n">
        <v>44582</v>
      </c>
      <c r="C6231" s="1" t="n">
        <v>45810</v>
      </c>
      <c r="D6231" t="inlineStr">
        <is>
          <t>VÄRMLANDS LÄN</t>
        </is>
      </c>
      <c r="E6231" t="inlineStr">
        <is>
          <t>EDA</t>
        </is>
      </c>
      <c r="G6231" t="n">
        <v>4.8</v>
      </c>
      <c r="H6231" t="n">
        <v>0</v>
      </c>
      <c r="I6231" t="n">
        <v>0</v>
      </c>
      <c r="J6231" t="n">
        <v>0</v>
      </c>
      <c r="K6231" t="n">
        <v>0</v>
      </c>
      <c r="L6231" t="n">
        <v>0</v>
      </c>
      <c r="M6231" t="n">
        <v>0</v>
      </c>
      <c r="N6231" t="n">
        <v>0</v>
      </c>
      <c r="O6231" t="n">
        <v>0</v>
      </c>
      <c r="P6231" t="n">
        <v>0</v>
      </c>
      <c r="Q6231" t="n">
        <v>0</v>
      </c>
      <c r="R6231" s="2" t="inlineStr"/>
    </row>
    <row r="6232" ht="15" customHeight="1">
      <c r="A6232" t="inlineStr">
        <is>
          <t>A 2978-2022</t>
        </is>
      </c>
      <c r="B6232" s="1" t="n">
        <v>44581</v>
      </c>
      <c r="C6232" s="1" t="n">
        <v>45810</v>
      </c>
      <c r="D6232" t="inlineStr">
        <is>
          <t>VÄRMLANDS LÄN</t>
        </is>
      </c>
      <c r="E6232" t="inlineStr">
        <is>
          <t>SUNNE</t>
        </is>
      </c>
      <c r="G6232" t="n">
        <v>2.3</v>
      </c>
      <c r="H6232" t="n">
        <v>0</v>
      </c>
      <c r="I6232" t="n">
        <v>0</v>
      </c>
      <c r="J6232" t="n">
        <v>0</v>
      </c>
      <c r="K6232" t="n">
        <v>0</v>
      </c>
      <c r="L6232" t="n">
        <v>0</v>
      </c>
      <c r="M6232" t="n">
        <v>0</v>
      </c>
      <c r="N6232" t="n">
        <v>0</v>
      </c>
      <c r="O6232" t="n">
        <v>0</v>
      </c>
      <c r="P6232" t="n">
        <v>0</v>
      </c>
      <c r="Q6232" t="n">
        <v>0</v>
      </c>
      <c r="R6232" s="2" t="inlineStr"/>
    </row>
    <row r="6233" ht="15" customHeight="1">
      <c r="A6233" t="inlineStr">
        <is>
          <t>A 2990-2022</t>
        </is>
      </c>
      <c r="B6233" s="1" t="n">
        <v>44581</v>
      </c>
      <c r="C6233" s="1" t="n">
        <v>45810</v>
      </c>
      <c r="D6233" t="inlineStr">
        <is>
          <t>VÄRMLANDS LÄN</t>
        </is>
      </c>
      <c r="E6233" t="inlineStr">
        <is>
          <t>KIL</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2994-2022</t>
        </is>
      </c>
      <c r="B6234" s="1" t="n">
        <v>44581</v>
      </c>
      <c r="C6234" s="1" t="n">
        <v>45810</v>
      </c>
      <c r="D6234" t="inlineStr">
        <is>
          <t>VÄRMLANDS LÄN</t>
        </is>
      </c>
      <c r="E6234" t="inlineStr">
        <is>
          <t>KIL</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2998-2022</t>
        </is>
      </c>
      <c r="B6235" s="1" t="n">
        <v>44581</v>
      </c>
      <c r="C6235" s="1" t="n">
        <v>45810</v>
      </c>
      <c r="D6235" t="inlineStr">
        <is>
          <t>VÄRMLANDS LÄN</t>
        </is>
      </c>
      <c r="E6235" t="inlineStr">
        <is>
          <t>KIL</t>
        </is>
      </c>
      <c r="G6235" t="n">
        <v>7.3</v>
      </c>
      <c r="H6235" t="n">
        <v>0</v>
      </c>
      <c r="I6235" t="n">
        <v>0</v>
      </c>
      <c r="J6235" t="n">
        <v>0</v>
      </c>
      <c r="K6235" t="n">
        <v>0</v>
      </c>
      <c r="L6235" t="n">
        <v>0</v>
      </c>
      <c r="M6235" t="n">
        <v>0</v>
      </c>
      <c r="N6235" t="n">
        <v>0</v>
      </c>
      <c r="O6235" t="n">
        <v>0</v>
      </c>
      <c r="P6235" t="n">
        <v>0</v>
      </c>
      <c r="Q6235" t="n">
        <v>0</v>
      </c>
      <c r="R6235" s="2" t="inlineStr"/>
    </row>
    <row r="6236" ht="15" customHeight="1">
      <c r="A6236" t="inlineStr">
        <is>
          <t>A 3027-2022</t>
        </is>
      </c>
      <c r="B6236" s="1" t="n">
        <v>44581</v>
      </c>
      <c r="C6236" s="1" t="n">
        <v>45810</v>
      </c>
      <c r="D6236" t="inlineStr">
        <is>
          <t>VÄRMLANDS LÄN</t>
        </is>
      </c>
      <c r="E6236" t="inlineStr">
        <is>
          <t>EDA</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2970-2022</t>
        </is>
      </c>
      <c r="B6237" s="1" t="n">
        <v>44581</v>
      </c>
      <c r="C6237" s="1" t="n">
        <v>45810</v>
      </c>
      <c r="D6237" t="inlineStr">
        <is>
          <t>VÄRMLANDS LÄN</t>
        </is>
      </c>
      <c r="E6237" t="inlineStr">
        <is>
          <t>ÅRJÄNG</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2989-2022</t>
        </is>
      </c>
      <c r="B6238" s="1" t="n">
        <v>44581</v>
      </c>
      <c r="C6238" s="1" t="n">
        <v>45810</v>
      </c>
      <c r="D6238" t="inlineStr">
        <is>
          <t>VÄRMLANDS LÄN</t>
        </is>
      </c>
      <c r="E6238" t="inlineStr">
        <is>
          <t>SÄFFLE</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2993-2022</t>
        </is>
      </c>
      <c r="B6239" s="1" t="n">
        <v>44581</v>
      </c>
      <c r="C6239" s="1" t="n">
        <v>45810</v>
      </c>
      <c r="D6239" t="inlineStr">
        <is>
          <t>VÄRMLANDS LÄN</t>
        </is>
      </c>
      <c r="E6239" t="inlineStr">
        <is>
          <t>KIL</t>
        </is>
      </c>
      <c r="G6239" t="n">
        <v>0.6</v>
      </c>
      <c r="H6239" t="n">
        <v>0</v>
      </c>
      <c r="I6239" t="n">
        <v>0</v>
      </c>
      <c r="J6239" t="n">
        <v>0</v>
      </c>
      <c r="K6239" t="n">
        <v>0</v>
      </c>
      <c r="L6239" t="n">
        <v>0</v>
      </c>
      <c r="M6239" t="n">
        <v>0</v>
      </c>
      <c r="N6239" t="n">
        <v>0</v>
      </c>
      <c r="O6239" t="n">
        <v>0</v>
      </c>
      <c r="P6239" t="n">
        <v>0</v>
      </c>
      <c r="Q6239" t="n">
        <v>0</v>
      </c>
      <c r="R6239" s="2" t="inlineStr"/>
    </row>
    <row r="6240" ht="15" customHeight="1">
      <c r="A6240" t="inlineStr">
        <is>
          <t>A 2997-2022</t>
        </is>
      </c>
      <c r="B6240" s="1" t="n">
        <v>44581</v>
      </c>
      <c r="C6240" s="1" t="n">
        <v>45810</v>
      </c>
      <c r="D6240" t="inlineStr">
        <is>
          <t>VÄRMLANDS LÄN</t>
        </is>
      </c>
      <c r="E6240" t="inlineStr">
        <is>
          <t>KIL</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3029-2022</t>
        </is>
      </c>
      <c r="B6241" s="1" t="n">
        <v>44582</v>
      </c>
      <c r="C6241" s="1" t="n">
        <v>45810</v>
      </c>
      <c r="D6241" t="inlineStr">
        <is>
          <t>VÄRMLANDS LÄN</t>
        </is>
      </c>
      <c r="E6241" t="inlineStr">
        <is>
          <t>EDA</t>
        </is>
      </c>
      <c r="G6241" t="n">
        <v>5</v>
      </c>
      <c r="H6241" t="n">
        <v>0</v>
      </c>
      <c r="I6241" t="n">
        <v>0</v>
      </c>
      <c r="J6241" t="n">
        <v>0</v>
      </c>
      <c r="K6241" t="n">
        <v>0</v>
      </c>
      <c r="L6241" t="n">
        <v>0</v>
      </c>
      <c r="M6241" t="n">
        <v>0</v>
      </c>
      <c r="N6241" t="n">
        <v>0</v>
      </c>
      <c r="O6241" t="n">
        <v>0</v>
      </c>
      <c r="P6241" t="n">
        <v>0</v>
      </c>
      <c r="Q6241" t="n">
        <v>0</v>
      </c>
      <c r="R6241" s="2" t="inlineStr"/>
    </row>
    <row r="6242" ht="15" customHeight="1">
      <c r="A6242" t="inlineStr">
        <is>
          <t>A 3071-2022</t>
        </is>
      </c>
      <c r="B6242" s="1" t="n">
        <v>44582</v>
      </c>
      <c r="C6242" s="1" t="n">
        <v>45810</v>
      </c>
      <c r="D6242" t="inlineStr">
        <is>
          <t>VÄRMLANDS LÄN</t>
        </is>
      </c>
      <c r="E6242" t="inlineStr">
        <is>
          <t>TORSBY</t>
        </is>
      </c>
      <c r="G6242" t="n">
        <v>7.9</v>
      </c>
      <c r="H6242" t="n">
        <v>0</v>
      </c>
      <c r="I6242" t="n">
        <v>0</v>
      </c>
      <c r="J6242" t="n">
        <v>0</v>
      </c>
      <c r="K6242" t="n">
        <v>0</v>
      </c>
      <c r="L6242" t="n">
        <v>0</v>
      </c>
      <c r="M6242" t="n">
        <v>0</v>
      </c>
      <c r="N6242" t="n">
        <v>0</v>
      </c>
      <c r="O6242" t="n">
        <v>0</v>
      </c>
      <c r="P6242" t="n">
        <v>0</v>
      </c>
      <c r="Q6242" t="n">
        <v>0</v>
      </c>
      <c r="R6242" s="2" t="inlineStr"/>
    </row>
    <row r="6243" ht="15" customHeight="1">
      <c r="A6243" t="inlineStr">
        <is>
          <t>A 3112-2022</t>
        </is>
      </c>
      <c r="B6243" s="1" t="n">
        <v>44582</v>
      </c>
      <c r="C6243" s="1" t="n">
        <v>45810</v>
      </c>
      <c r="D6243" t="inlineStr">
        <is>
          <t>VÄRMLANDS LÄN</t>
        </is>
      </c>
      <c r="E6243" t="inlineStr">
        <is>
          <t>KIL</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3030-2022</t>
        </is>
      </c>
      <c r="B6244" s="1" t="n">
        <v>44582</v>
      </c>
      <c r="C6244" s="1" t="n">
        <v>45810</v>
      </c>
      <c r="D6244" t="inlineStr">
        <is>
          <t>VÄRMLANDS LÄN</t>
        </is>
      </c>
      <c r="E6244" t="inlineStr">
        <is>
          <t>EDA</t>
        </is>
      </c>
      <c r="G6244" t="n">
        <v>3</v>
      </c>
      <c r="H6244" t="n">
        <v>0</v>
      </c>
      <c r="I6244" t="n">
        <v>0</v>
      </c>
      <c r="J6244" t="n">
        <v>0</v>
      </c>
      <c r="K6244" t="n">
        <v>0</v>
      </c>
      <c r="L6244" t="n">
        <v>0</v>
      </c>
      <c r="M6244" t="n">
        <v>0</v>
      </c>
      <c r="N6244" t="n">
        <v>0</v>
      </c>
      <c r="O6244" t="n">
        <v>0</v>
      </c>
      <c r="P6244" t="n">
        <v>0</v>
      </c>
      <c r="Q6244" t="n">
        <v>0</v>
      </c>
      <c r="R6244" s="2" t="inlineStr"/>
    </row>
    <row r="6245" ht="15" customHeight="1">
      <c r="A6245" t="inlineStr">
        <is>
          <t>A 3051-2022</t>
        </is>
      </c>
      <c r="B6245" s="1" t="n">
        <v>44582</v>
      </c>
      <c r="C6245" s="1" t="n">
        <v>45810</v>
      </c>
      <c r="D6245" t="inlineStr">
        <is>
          <t>VÄRMLANDS LÄN</t>
        </is>
      </c>
      <c r="E6245" t="inlineStr">
        <is>
          <t>GRUMS</t>
        </is>
      </c>
      <c r="G6245" t="n">
        <v>3.4</v>
      </c>
      <c r="H6245" t="n">
        <v>0</v>
      </c>
      <c r="I6245" t="n">
        <v>0</v>
      </c>
      <c r="J6245" t="n">
        <v>0</v>
      </c>
      <c r="K6245" t="n">
        <v>0</v>
      </c>
      <c r="L6245" t="n">
        <v>0</v>
      </c>
      <c r="M6245" t="n">
        <v>0</v>
      </c>
      <c r="N6245" t="n">
        <v>0</v>
      </c>
      <c r="O6245" t="n">
        <v>0</v>
      </c>
      <c r="P6245" t="n">
        <v>0</v>
      </c>
      <c r="Q6245" t="n">
        <v>0</v>
      </c>
      <c r="R6245" s="2" t="inlineStr"/>
    </row>
    <row r="6246" ht="15" customHeight="1">
      <c r="A6246" t="inlineStr">
        <is>
          <t>A 3157-2022</t>
        </is>
      </c>
      <c r="B6246" s="1" t="n">
        <v>44582</v>
      </c>
      <c r="C6246" s="1" t="n">
        <v>45810</v>
      </c>
      <c r="D6246" t="inlineStr">
        <is>
          <t>VÄRMLANDS LÄN</t>
        </is>
      </c>
      <c r="E6246" t="inlineStr">
        <is>
          <t>ÅRJÄNG</t>
        </is>
      </c>
      <c r="G6246" t="n">
        <v>1.9</v>
      </c>
      <c r="H6246" t="n">
        <v>0</v>
      </c>
      <c r="I6246" t="n">
        <v>0</v>
      </c>
      <c r="J6246" t="n">
        <v>0</v>
      </c>
      <c r="K6246" t="n">
        <v>0</v>
      </c>
      <c r="L6246" t="n">
        <v>0</v>
      </c>
      <c r="M6246" t="n">
        <v>0</v>
      </c>
      <c r="N6246" t="n">
        <v>0</v>
      </c>
      <c r="O6246" t="n">
        <v>0</v>
      </c>
      <c r="P6246" t="n">
        <v>0</v>
      </c>
      <c r="Q6246" t="n">
        <v>0</v>
      </c>
      <c r="R6246" s="2" t="inlineStr"/>
    </row>
    <row r="6247" ht="15" customHeight="1">
      <c r="A6247" t="inlineStr">
        <is>
          <t>A 3149-2022</t>
        </is>
      </c>
      <c r="B6247" s="1" t="n">
        <v>44582</v>
      </c>
      <c r="C6247" s="1" t="n">
        <v>45810</v>
      </c>
      <c r="D6247" t="inlineStr">
        <is>
          <t>VÄRMLANDS LÄN</t>
        </is>
      </c>
      <c r="E6247" t="inlineStr">
        <is>
          <t>HAGFORS</t>
        </is>
      </c>
      <c r="F6247" t="inlineStr">
        <is>
          <t>Bergvik skog väst AB</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3171-2022</t>
        </is>
      </c>
      <c r="B6248" s="1" t="n">
        <v>44582</v>
      </c>
      <c r="C6248" s="1" t="n">
        <v>45810</v>
      </c>
      <c r="D6248" t="inlineStr">
        <is>
          <t>VÄRMLANDS LÄN</t>
        </is>
      </c>
      <c r="E6248" t="inlineStr">
        <is>
          <t>SÄFFLE</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3169-2022</t>
        </is>
      </c>
      <c r="B6249" s="1" t="n">
        <v>44582</v>
      </c>
      <c r="C6249" s="1" t="n">
        <v>45810</v>
      </c>
      <c r="D6249" t="inlineStr">
        <is>
          <t>VÄRMLANDS LÄN</t>
        </is>
      </c>
      <c r="E6249" t="inlineStr">
        <is>
          <t>SÄFFLE</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3199-2022</t>
        </is>
      </c>
      <c r="B6250" s="1" t="n">
        <v>44582</v>
      </c>
      <c r="C6250" s="1" t="n">
        <v>45810</v>
      </c>
      <c r="D6250" t="inlineStr">
        <is>
          <t>VÄRMLANDS LÄN</t>
        </is>
      </c>
      <c r="E6250" t="inlineStr">
        <is>
          <t>HAGFORS</t>
        </is>
      </c>
      <c r="F6250" t="inlineStr">
        <is>
          <t>Bergvik skog väst AB</t>
        </is>
      </c>
      <c r="G6250" t="n">
        <v>5.4</v>
      </c>
      <c r="H6250" t="n">
        <v>0</v>
      </c>
      <c r="I6250" t="n">
        <v>0</v>
      </c>
      <c r="J6250" t="n">
        <v>0</v>
      </c>
      <c r="K6250" t="n">
        <v>0</v>
      </c>
      <c r="L6250" t="n">
        <v>0</v>
      </c>
      <c r="M6250" t="n">
        <v>0</v>
      </c>
      <c r="N6250" t="n">
        <v>0</v>
      </c>
      <c r="O6250" t="n">
        <v>0</v>
      </c>
      <c r="P6250" t="n">
        <v>0</v>
      </c>
      <c r="Q6250" t="n">
        <v>0</v>
      </c>
      <c r="R6250" s="2" t="inlineStr"/>
    </row>
    <row r="6251" ht="15" customHeight="1">
      <c r="A6251" t="inlineStr">
        <is>
          <t>A 3272-2022</t>
        </is>
      </c>
      <c r="B6251" s="1" t="n">
        <v>44584</v>
      </c>
      <c r="C6251" s="1" t="n">
        <v>45810</v>
      </c>
      <c r="D6251" t="inlineStr">
        <is>
          <t>VÄRMLANDS LÄN</t>
        </is>
      </c>
      <c r="E6251" t="inlineStr">
        <is>
          <t>HAGFORS</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3301-2022</t>
        </is>
      </c>
      <c r="B6252" s="1" t="n">
        <v>44584</v>
      </c>
      <c r="C6252" s="1" t="n">
        <v>45810</v>
      </c>
      <c r="D6252" t="inlineStr">
        <is>
          <t>VÄRMLANDS LÄN</t>
        </is>
      </c>
      <c r="E6252" t="inlineStr">
        <is>
          <t>KRISTINEHAMN</t>
        </is>
      </c>
      <c r="G6252" t="n">
        <v>6.1</v>
      </c>
      <c r="H6252" t="n">
        <v>0</v>
      </c>
      <c r="I6252" t="n">
        <v>0</v>
      </c>
      <c r="J6252" t="n">
        <v>0</v>
      </c>
      <c r="K6252" t="n">
        <v>0</v>
      </c>
      <c r="L6252" t="n">
        <v>0</v>
      </c>
      <c r="M6252" t="n">
        <v>0</v>
      </c>
      <c r="N6252" t="n">
        <v>0</v>
      </c>
      <c r="O6252" t="n">
        <v>0</v>
      </c>
      <c r="P6252" t="n">
        <v>0</v>
      </c>
      <c r="Q6252" t="n">
        <v>0</v>
      </c>
      <c r="R6252" s="2" t="inlineStr"/>
    </row>
    <row r="6253" ht="15" customHeight="1">
      <c r="A6253" t="inlineStr">
        <is>
          <t>A 3278-2022</t>
        </is>
      </c>
      <c r="B6253" s="1" t="n">
        <v>44584</v>
      </c>
      <c r="C6253" s="1" t="n">
        <v>45810</v>
      </c>
      <c r="D6253" t="inlineStr">
        <is>
          <t>VÄRMLANDS LÄN</t>
        </is>
      </c>
      <c r="E6253" t="inlineStr">
        <is>
          <t>KRISTINEHAMN</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3285-2022</t>
        </is>
      </c>
      <c r="B6254" s="1" t="n">
        <v>44584</v>
      </c>
      <c r="C6254" s="1" t="n">
        <v>45810</v>
      </c>
      <c r="D6254" t="inlineStr">
        <is>
          <t>VÄRMLANDS LÄN</t>
        </is>
      </c>
      <c r="E6254" t="inlineStr">
        <is>
          <t>EDA</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3292-2022</t>
        </is>
      </c>
      <c r="B6255" s="1" t="n">
        <v>44584</v>
      </c>
      <c r="C6255" s="1" t="n">
        <v>45810</v>
      </c>
      <c r="D6255" t="inlineStr">
        <is>
          <t>VÄRMLANDS LÄN</t>
        </is>
      </c>
      <c r="E6255" t="inlineStr">
        <is>
          <t>ÅRJÄNG</t>
        </is>
      </c>
      <c r="G6255" t="n">
        <v>4</v>
      </c>
      <c r="H6255" t="n">
        <v>0</v>
      </c>
      <c r="I6255" t="n">
        <v>0</v>
      </c>
      <c r="J6255" t="n">
        <v>0</v>
      </c>
      <c r="K6255" t="n">
        <v>0</v>
      </c>
      <c r="L6255" t="n">
        <v>0</v>
      </c>
      <c r="M6255" t="n">
        <v>0</v>
      </c>
      <c r="N6255" t="n">
        <v>0</v>
      </c>
      <c r="O6255" t="n">
        <v>0</v>
      </c>
      <c r="P6255" t="n">
        <v>0</v>
      </c>
      <c r="Q6255" t="n">
        <v>0</v>
      </c>
      <c r="R6255" s="2" t="inlineStr"/>
    </row>
    <row r="6256" ht="15" customHeight="1">
      <c r="A6256" t="inlineStr">
        <is>
          <t>A 3302-2022</t>
        </is>
      </c>
      <c r="B6256" s="1" t="n">
        <v>44584</v>
      </c>
      <c r="C6256" s="1" t="n">
        <v>45810</v>
      </c>
      <c r="D6256" t="inlineStr">
        <is>
          <t>VÄRMLANDS LÄN</t>
        </is>
      </c>
      <c r="E6256" t="inlineStr">
        <is>
          <t>KRISTINEHAMN</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3348-2022</t>
        </is>
      </c>
      <c r="B6257" s="1" t="n">
        <v>44585</v>
      </c>
      <c r="C6257" s="1" t="n">
        <v>45810</v>
      </c>
      <c r="D6257" t="inlineStr">
        <is>
          <t>VÄRMLANDS LÄN</t>
        </is>
      </c>
      <c r="E6257" t="inlineStr">
        <is>
          <t>EDA</t>
        </is>
      </c>
      <c r="F6257" t="inlineStr">
        <is>
          <t>Bergvik skog väst AB</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3355-2022</t>
        </is>
      </c>
      <c r="B6258" s="1" t="n">
        <v>44585</v>
      </c>
      <c r="C6258" s="1" t="n">
        <v>45810</v>
      </c>
      <c r="D6258" t="inlineStr">
        <is>
          <t>VÄRMLANDS LÄN</t>
        </is>
      </c>
      <c r="E6258" t="inlineStr">
        <is>
          <t>ARVIKA</t>
        </is>
      </c>
      <c r="G6258" t="n">
        <v>3.2</v>
      </c>
      <c r="H6258" t="n">
        <v>0</v>
      </c>
      <c r="I6258" t="n">
        <v>0</v>
      </c>
      <c r="J6258" t="n">
        <v>0</v>
      </c>
      <c r="K6258" t="n">
        <v>0</v>
      </c>
      <c r="L6258" t="n">
        <v>0</v>
      </c>
      <c r="M6258" t="n">
        <v>0</v>
      </c>
      <c r="N6258" t="n">
        <v>0</v>
      </c>
      <c r="O6258" t="n">
        <v>0</v>
      </c>
      <c r="P6258" t="n">
        <v>0</v>
      </c>
      <c r="Q6258" t="n">
        <v>0</v>
      </c>
      <c r="R6258" s="2" t="inlineStr"/>
    </row>
    <row r="6259" ht="15" customHeight="1">
      <c r="A6259" t="inlineStr">
        <is>
          <t>A 3369-2022</t>
        </is>
      </c>
      <c r="B6259" s="1" t="n">
        <v>44585</v>
      </c>
      <c r="C6259" s="1" t="n">
        <v>45810</v>
      </c>
      <c r="D6259" t="inlineStr">
        <is>
          <t>VÄRMLANDS LÄN</t>
        </is>
      </c>
      <c r="E6259" t="inlineStr">
        <is>
          <t>TORSBY</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3385-2022</t>
        </is>
      </c>
      <c r="B6260" s="1" t="n">
        <v>44585</v>
      </c>
      <c r="C6260" s="1" t="n">
        <v>45810</v>
      </c>
      <c r="D6260" t="inlineStr">
        <is>
          <t>VÄRMLANDS LÄN</t>
        </is>
      </c>
      <c r="E6260" t="inlineStr">
        <is>
          <t>TORSBY</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3397-2022</t>
        </is>
      </c>
      <c r="B6261" s="1" t="n">
        <v>44585</v>
      </c>
      <c r="C6261" s="1" t="n">
        <v>45810</v>
      </c>
      <c r="D6261" t="inlineStr">
        <is>
          <t>VÄRMLANDS LÄN</t>
        </is>
      </c>
      <c r="E6261" t="inlineStr">
        <is>
          <t>TORSBY</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3319-2022</t>
        </is>
      </c>
      <c r="B6262" s="1" t="n">
        <v>44585</v>
      </c>
      <c r="C6262" s="1" t="n">
        <v>45810</v>
      </c>
      <c r="D6262" t="inlineStr">
        <is>
          <t>VÄRMLANDS LÄN</t>
        </is>
      </c>
      <c r="E6262" t="inlineStr">
        <is>
          <t>ARVIKA</t>
        </is>
      </c>
      <c r="G6262" t="n">
        <v>2.8</v>
      </c>
      <c r="H6262" t="n">
        <v>0</v>
      </c>
      <c r="I6262" t="n">
        <v>0</v>
      </c>
      <c r="J6262" t="n">
        <v>0</v>
      </c>
      <c r="K6262" t="n">
        <v>0</v>
      </c>
      <c r="L6262" t="n">
        <v>0</v>
      </c>
      <c r="M6262" t="n">
        <v>0</v>
      </c>
      <c r="N6262" t="n">
        <v>0</v>
      </c>
      <c r="O6262" t="n">
        <v>0</v>
      </c>
      <c r="P6262" t="n">
        <v>0</v>
      </c>
      <c r="Q6262" t="n">
        <v>0</v>
      </c>
      <c r="R6262" s="2" t="inlineStr"/>
    </row>
    <row r="6263" ht="15" customHeight="1">
      <c r="A6263" t="inlineStr">
        <is>
          <t>A 3387-2022</t>
        </is>
      </c>
      <c r="B6263" s="1" t="n">
        <v>44585</v>
      </c>
      <c r="C6263" s="1" t="n">
        <v>45810</v>
      </c>
      <c r="D6263" t="inlineStr">
        <is>
          <t>VÄRMLANDS LÄN</t>
        </is>
      </c>
      <c r="E6263" t="inlineStr">
        <is>
          <t>TORSBY</t>
        </is>
      </c>
      <c r="G6263" t="n">
        <v>4.8</v>
      </c>
      <c r="H6263" t="n">
        <v>0</v>
      </c>
      <c r="I6263" t="n">
        <v>0</v>
      </c>
      <c r="J6263" t="n">
        <v>0</v>
      </c>
      <c r="K6263" t="n">
        <v>0</v>
      </c>
      <c r="L6263" t="n">
        <v>0</v>
      </c>
      <c r="M6263" t="n">
        <v>0</v>
      </c>
      <c r="N6263" t="n">
        <v>0</v>
      </c>
      <c r="O6263" t="n">
        <v>0</v>
      </c>
      <c r="P6263" t="n">
        <v>0</v>
      </c>
      <c r="Q6263" t="n">
        <v>0</v>
      </c>
      <c r="R6263" s="2" t="inlineStr"/>
    </row>
    <row r="6264" ht="15" customHeight="1">
      <c r="A6264" t="inlineStr">
        <is>
          <t>A 3382-2022</t>
        </is>
      </c>
      <c r="B6264" s="1" t="n">
        <v>44585</v>
      </c>
      <c r="C6264" s="1" t="n">
        <v>45810</v>
      </c>
      <c r="D6264" t="inlineStr">
        <is>
          <t>VÄRMLANDS LÄN</t>
        </is>
      </c>
      <c r="E6264" t="inlineStr">
        <is>
          <t>TORSBY</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3390-2022</t>
        </is>
      </c>
      <c r="B6265" s="1" t="n">
        <v>44585</v>
      </c>
      <c r="C6265" s="1" t="n">
        <v>45810</v>
      </c>
      <c r="D6265" t="inlineStr">
        <is>
          <t>VÄRMLANDS LÄN</t>
        </is>
      </c>
      <c r="E6265" t="inlineStr">
        <is>
          <t>TORSBY</t>
        </is>
      </c>
      <c r="G6265" t="n">
        <v>4.3</v>
      </c>
      <c r="H6265" t="n">
        <v>0</v>
      </c>
      <c r="I6265" t="n">
        <v>0</v>
      </c>
      <c r="J6265" t="n">
        <v>0</v>
      </c>
      <c r="K6265" t="n">
        <v>0</v>
      </c>
      <c r="L6265" t="n">
        <v>0</v>
      </c>
      <c r="M6265" t="n">
        <v>0</v>
      </c>
      <c r="N6265" t="n">
        <v>0</v>
      </c>
      <c r="O6265" t="n">
        <v>0</v>
      </c>
      <c r="P6265" t="n">
        <v>0</v>
      </c>
      <c r="Q6265" t="n">
        <v>0</v>
      </c>
      <c r="R6265" s="2" t="inlineStr"/>
    </row>
    <row r="6266" ht="15" customHeight="1">
      <c r="A6266" t="inlineStr">
        <is>
          <t>A 3440-2022</t>
        </is>
      </c>
      <c r="B6266" s="1" t="n">
        <v>44585</v>
      </c>
      <c r="C6266" s="1" t="n">
        <v>45810</v>
      </c>
      <c r="D6266" t="inlineStr">
        <is>
          <t>VÄRMLANDS LÄN</t>
        </is>
      </c>
      <c r="E6266" t="inlineStr">
        <is>
          <t>KARLSTAD</t>
        </is>
      </c>
      <c r="G6266" t="n">
        <v>2.2</v>
      </c>
      <c r="H6266" t="n">
        <v>0</v>
      </c>
      <c r="I6266" t="n">
        <v>0</v>
      </c>
      <c r="J6266" t="n">
        <v>0</v>
      </c>
      <c r="K6266" t="n">
        <v>0</v>
      </c>
      <c r="L6266" t="n">
        <v>0</v>
      </c>
      <c r="M6266" t="n">
        <v>0</v>
      </c>
      <c r="N6266" t="n">
        <v>0</v>
      </c>
      <c r="O6266" t="n">
        <v>0</v>
      </c>
      <c r="P6266" t="n">
        <v>0</v>
      </c>
      <c r="Q6266" t="n">
        <v>0</v>
      </c>
      <c r="R6266" s="2" t="inlineStr"/>
    </row>
    <row r="6267" ht="15" customHeight="1">
      <c r="A6267" t="inlineStr">
        <is>
          <t>A 3393-2022</t>
        </is>
      </c>
      <c r="B6267" s="1" t="n">
        <v>44585</v>
      </c>
      <c r="C6267" s="1" t="n">
        <v>45810</v>
      </c>
      <c r="D6267" t="inlineStr">
        <is>
          <t>VÄRMLANDS LÄN</t>
        </is>
      </c>
      <c r="E6267" t="inlineStr">
        <is>
          <t>TORSBY</t>
        </is>
      </c>
      <c r="G6267" t="n">
        <v>3.1</v>
      </c>
      <c r="H6267" t="n">
        <v>0</v>
      </c>
      <c r="I6267" t="n">
        <v>0</v>
      </c>
      <c r="J6267" t="n">
        <v>0</v>
      </c>
      <c r="K6267" t="n">
        <v>0</v>
      </c>
      <c r="L6267" t="n">
        <v>0</v>
      </c>
      <c r="M6267" t="n">
        <v>0</v>
      </c>
      <c r="N6267" t="n">
        <v>0</v>
      </c>
      <c r="O6267" t="n">
        <v>0</v>
      </c>
      <c r="P6267" t="n">
        <v>0</v>
      </c>
      <c r="Q6267" t="n">
        <v>0</v>
      </c>
      <c r="R6267" s="2" t="inlineStr"/>
    </row>
    <row r="6268" ht="15" customHeight="1">
      <c r="A6268" t="inlineStr">
        <is>
          <t>A 3443-2022</t>
        </is>
      </c>
      <c r="B6268" s="1" t="n">
        <v>44585</v>
      </c>
      <c r="C6268" s="1" t="n">
        <v>45810</v>
      </c>
      <c r="D6268" t="inlineStr">
        <is>
          <t>VÄRMLANDS LÄN</t>
        </is>
      </c>
      <c r="E6268" t="inlineStr">
        <is>
          <t>ARVIKA</t>
        </is>
      </c>
      <c r="G6268" t="n">
        <v>0.2</v>
      </c>
      <c r="H6268" t="n">
        <v>0</v>
      </c>
      <c r="I6268" t="n">
        <v>0</v>
      </c>
      <c r="J6268" t="n">
        <v>0</v>
      </c>
      <c r="K6268" t="n">
        <v>0</v>
      </c>
      <c r="L6268" t="n">
        <v>0</v>
      </c>
      <c r="M6268" t="n">
        <v>0</v>
      </c>
      <c r="N6268" t="n">
        <v>0</v>
      </c>
      <c r="O6268" t="n">
        <v>0</v>
      </c>
      <c r="P6268" t="n">
        <v>0</v>
      </c>
      <c r="Q6268" t="n">
        <v>0</v>
      </c>
      <c r="R6268" s="2" t="inlineStr"/>
    </row>
    <row r="6269" ht="15" customHeight="1">
      <c r="A6269" t="inlineStr">
        <is>
          <t>A 3530-2022</t>
        </is>
      </c>
      <c r="B6269" s="1" t="n">
        <v>44585</v>
      </c>
      <c r="C6269" s="1" t="n">
        <v>45810</v>
      </c>
      <c r="D6269" t="inlineStr">
        <is>
          <t>VÄRMLANDS LÄN</t>
        </is>
      </c>
      <c r="E6269" t="inlineStr">
        <is>
          <t>SUNNE</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3482-2022</t>
        </is>
      </c>
      <c r="B6270" s="1" t="n">
        <v>44585</v>
      </c>
      <c r="C6270" s="1" t="n">
        <v>45810</v>
      </c>
      <c r="D6270" t="inlineStr">
        <is>
          <t>VÄRMLANDS LÄN</t>
        </is>
      </c>
      <c r="E6270" t="inlineStr">
        <is>
          <t>SUNNE</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3471-2022</t>
        </is>
      </c>
      <c r="B6271" s="1" t="n">
        <v>44585</v>
      </c>
      <c r="C6271" s="1" t="n">
        <v>45810</v>
      </c>
      <c r="D6271" t="inlineStr">
        <is>
          <t>VÄRMLANDS LÄN</t>
        </is>
      </c>
      <c r="E6271" t="inlineStr">
        <is>
          <t>ÅRJÄNG</t>
        </is>
      </c>
      <c r="G6271" t="n">
        <v>6.2</v>
      </c>
      <c r="H6271" t="n">
        <v>0</v>
      </c>
      <c r="I6271" t="n">
        <v>0</v>
      </c>
      <c r="J6271" t="n">
        <v>0</v>
      </c>
      <c r="K6271" t="n">
        <v>0</v>
      </c>
      <c r="L6271" t="n">
        <v>0</v>
      </c>
      <c r="M6271" t="n">
        <v>0</v>
      </c>
      <c r="N6271" t="n">
        <v>0</v>
      </c>
      <c r="O6271" t="n">
        <v>0</v>
      </c>
      <c r="P6271" t="n">
        <v>0</v>
      </c>
      <c r="Q6271" t="n">
        <v>0</v>
      </c>
      <c r="R6271" s="2" t="inlineStr"/>
    </row>
    <row r="6272" ht="15" customHeight="1">
      <c r="A6272" t="inlineStr">
        <is>
          <t>A 3582-2022</t>
        </is>
      </c>
      <c r="B6272" s="1" t="n">
        <v>44586</v>
      </c>
      <c r="C6272" s="1" t="n">
        <v>45810</v>
      </c>
      <c r="D6272" t="inlineStr">
        <is>
          <t>VÄRMLANDS LÄN</t>
        </is>
      </c>
      <c r="E6272" t="inlineStr">
        <is>
          <t>SUNNE</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3643-2022</t>
        </is>
      </c>
      <c r="B6273" s="1" t="n">
        <v>44586</v>
      </c>
      <c r="C6273" s="1" t="n">
        <v>45810</v>
      </c>
      <c r="D6273" t="inlineStr">
        <is>
          <t>VÄRMLANDS LÄN</t>
        </is>
      </c>
      <c r="E6273" t="inlineStr">
        <is>
          <t>ARVIKA</t>
        </is>
      </c>
      <c r="F6273" t="inlineStr">
        <is>
          <t>Bergvik skog väst AB</t>
        </is>
      </c>
      <c r="G6273" t="n">
        <v>2.1</v>
      </c>
      <c r="H6273" t="n">
        <v>0</v>
      </c>
      <c r="I6273" t="n">
        <v>0</v>
      </c>
      <c r="J6273" t="n">
        <v>0</v>
      </c>
      <c r="K6273" t="n">
        <v>0</v>
      </c>
      <c r="L6273" t="n">
        <v>0</v>
      </c>
      <c r="M6273" t="n">
        <v>0</v>
      </c>
      <c r="N6273" t="n">
        <v>0</v>
      </c>
      <c r="O6273" t="n">
        <v>0</v>
      </c>
      <c r="P6273" t="n">
        <v>0</v>
      </c>
      <c r="Q6273" t="n">
        <v>0</v>
      </c>
      <c r="R6273" s="2" t="inlineStr"/>
    </row>
    <row r="6274" ht="15" customHeight="1">
      <c r="A6274" t="inlineStr">
        <is>
          <t>A 3656-2022</t>
        </is>
      </c>
      <c r="B6274" s="1" t="n">
        <v>44586</v>
      </c>
      <c r="C6274" s="1" t="n">
        <v>45810</v>
      </c>
      <c r="D6274" t="inlineStr">
        <is>
          <t>VÄRMLANDS LÄN</t>
        </is>
      </c>
      <c r="E6274" t="inlineStr">
        <is>
          <t>ÅRJÄNG</t>
        </is>
      </c>
      <c r="G6274" t="n">
        <v>11.7</v>
      </c>
      <c r="H6274" t="n">
        <v>0</v>
      </c>
      <c r="I6274" t="n">
        <v>0</v>
      </c>
      <c r="J6274" t="n">
        <v>0</v>
      </c>
      <c r="K6274" t="n">
        <v>0</v>
      </c>
      <c r="L6274" t="n">
        <v>0</v>
      </c>
      <c r="M6274" t="n">
        <v>0</v>
      </c>
      <c r="N6274" t="n">
        <v>0</v>
      </c>
      <c r="O6274" t="n">
        <v>0</v>
      </c>
      <c r="P6274" t="n">
        <v>0</v>
      </c>
      <c r="Q6274" t="n">
        <v>0</v>
      </c>
      <c r="R6274" s="2" t="inlineStr"/>
    </row>
    <row r="6275" ht="15" customHeight="1">
      <c r="A6275" t="inlineStr">
        <is>
          <t>A 3570-2022</t>
        </is>
      </c>
      <c r="B6275" s="1" t="n">
        <v>44586</v>
      </c>
      <c r="C6275" s="1" t="n">
        <v>45810</v>
      </c>
      <c r="D6275" t="inlineStr">
        <is>
          <t>VÄRMLANDS LÄN</t>
        </is>
      </c>
      <c r="E6275" t="inlineStr">
        <is>
          <t>EDA</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3684-2022</t>
        </is>
      </c>
      <c r="B6276" s="1" t="n">
        <v>44586</v>
      </c>
      <c r="C6276" s="1" t="n">
        <v>45810</v>
      </c>
      <c r="D6276" t="inlineStr">
        <is>
          <t>VÄRMLANDS LÄN</t>
        </is>
      </c>
      <c r="E6276" t="inlineStr">
        <is>
          <t>SUNNE</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3753-2022</t>
        </is>
      </c>
      <c r="B6277" s="1" t="n">
        <v>44586</v>
      </c>
      <c r="C6277" s="1" t="n">
        <v>45810</v>
      </c>
      <c r="D6277" t="inlineStr">
        <is>
          <t>VÄRMLANDS LÄN</t>
        </is>
      </c>
      <c r="E6277" t="inlineStr">
        <is>
          <t>EDA</t>
        </is>
      </c>
      <c r="G6277" t="n">
        <v>2.4</v>
      </c>
      <c r="H6277" t="n">
        <v>0</v>
      </c>
      <c r="I6277" t="n">
        <v>0</v>
      </c>
      <c r="J6277" t="n">
        <v>0</v>
      </c>
      <c r="K6277" t="n">
        <v>0</v>
      </c>
      <c r="L6277" t="n">
        <v>0</v>
      </c>
      <c r="M6277" t="n">
        <v>0</v>
      </c>
      <c r="N6277" t="n">
        <v>0</v>
      </c>
      <c r="O6277" t="n">
        <v>0</v>
      </c>
      <c r="P6277" t="n">
        <v>0</v>
      </c>
      <c r="Q6277" t="n">
        <v>0</v>
      </c>
      <c r="R6277" s="2" t="inlineStr"/>
    </row>
    <row r="6278" ht="15" customHeight="1">
      <c r="A6278" t="inlineStr">
        <is>
          <t>A 3749-2022</t>
        </is>
      </c>
      <c r="B6278" s="1" t="n">
        <v>44586</v>
      </c>
      <c r="C6278" s="1" t="n">
        <v>45810</v>
      </c>
      <c r="D6278" t="inlineStr">
        <is>
          <t>VÄRMLANDS LÄN</t>
        </is>
      </c>
      <c r="E6278" t="inlineStr">
        <is>
          <t>TORSBY</t>
        </is>
      </c>
      <c r="G6278" t="n">
        <v>6.3</v>
      </c>
      <c r="H6278" t="n">
        <v>0</v>
      </c>
      <c r="I6278" t="n">
        <v>0</v>
      </c>
      <c r="J6278" t="n">
        <v>0</v>
      </c>
      <c r="K6278" t="n">
        <v>0</v>
      </c>
      <c r="L6278" t="n">
        <v>0</v>
      </c>
      <c r="M6278" t="n">
        <v>0</v>
      </c>
      <c r="N6278" t="n">
        <v>0</v>
      </c>
      <c r="O6278" t="n">
        <v>0</v>
      </c>
      <c r="P6278" t="n">
        <v>0</v>
      </c>
      <c r="Q6278" t="n">
        <v>0</v>
      </c>
      <c r="R6278" s="2" t="inlineStr"/>
    </row>
    <row r="6279" ht="15" customHeight="1">
      <c r="A6279" t="inlineStr">
        <is>
          <t>A 3580-2022</t>
        </is>
      </c>
      <c r="B6279" s="1" t="n">
        <v>44586</v>
      </c>
      <c r="C6279" s="1" t="n">
        <v>45810</v>
      </c>
      <c r="D6279" t="inlineStr">
        <is>
          <t>VÄRMLANDS LÄN</t>
        </is>
      </c>
      <c r="E6279" t="inlineStr">
        <is>
          <t>ÅRJÄNG</t>
        </is>
      </c>
      <c r="G6279" t="n">
        <v>2.6</v>
      </c>
      <c r="H6279" t="n">
        <v>0</v>
      </c>
      <c r="I6279" t="n">
        <v>0</v>
      </c>
      <c r="J6279" t="n">
        <v>0</v>
      </c>
      <c r="K6279" t="n">
        <v>0</v>
      </c>
      <c r="L6279" t="n">
        <v>0</v>
      </c>
      <c r="M6279" t="n">
        <v>0</v>
      </c>
      <c r="N6279" t="n">
        <v>0</v>
      </c>
      <c r="O6279" t="n">
        <v>0</v>
      </c>
      <c r="P6279" t="n">
        <v>0</v>
      </c>
      <c r="Q6279" t="n">
        <v>0</v>
      </c>
      <c r="R6279" s="2" t="inlineStr"/>
    </row>
    <row r="6280" ht="15" customHeight="1">
      <c r="A6280" t="inlineStr">
        <is>
          <t>A 3804-2022</t>
        </is>
      </c>
      <c r="B6280" s="1" t="n">
        <v>44587</v>
      </c>
      <c r="C6280" s="1" t="n">
        <v>45810</v>
      </c>
      <c r="D6280" t="inlineStr">
        <is>
          <t>VÄRMLANDS LÄN</t>
        </is>
      </c>
      <c r="E6280" t="inlineStr">
        <is>
          <t>HAGFORS</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3841-2022</t>
        </is>
      </c>
      <c r="B6281" s="1" t="n">
        <v>44587</v>
      </c>
      <c r="C6281" s="1" t="n">
        <v>45810</v>
      </c>
      <c r="D6281" t="inlineStr">
        <is>
          <t>VÄRMLANDS LÄN</t>
        </is>
      </c>
      <c r="E6281" t="inlineStr">
        <is>
          <t>TORSBY</t>
        </is>
      </c>
      <c r="G6281" t="n">
        <v>6.4</v>
      </c>
      <c r="H6281" t="n">
        <v>0</v>
      </c>
      <c r="I6281" t="n">
        <v>0</v>
      </c>
      <c r="J6281" t="n">
        <v>0</v>
      </c>
      <c r="K6281" t="n">
        <v>0</v>
      </c>
      <c r="L6281" t="n">
        <v>0</v>
      </c>
      <c r="M6281" t="n">
        <v>0</v>
      </c>
      <c r="N6281" t="n">
        <v>0</v>
      </c>
      <c r="O6281" t="n">
        <v>0</v>
      </c>
      <c r="P6281" t="n">
        <v>0</v>
      </c>
      <c r="Q6281" t="n">
        <v>0</v>
      </c>
      <c r="R6281" s="2" t="inlineStr"/>
    </row>
    <row r="6282" ht="15" customHeight="1">
      <c r="A6282" t="inlineStr">
        <is>
          <t>A 3887-2022</t>
        </is>
      </c>
      <c r="B6282" s="1" t="n">
        <v>44587</v>
      </c>
      <c r="C6282" s="1" t="n">
        <v>45810</v>
      </c>
      <c r="D6282" t="inlineStr">
        <is>
          <t>VÄRMLANDS LÄN</t>
        </is>
      </c>
      <c r="E6282" t="inlineStr">
        <is>
          <t>TORSBY</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3917-2022</t>
        </is>
      </c>
      <c r="B6283" s="1" t="n">
        <v>44587</v>
      </c>
      <c r="C6283" s="1" t="n">
        <v>45810</v>
      </c>
      <c r="D6283" t="inlineStr">
        <is>
          <t>VÄRMLANDS LÄN</t>
        </is>
      </c>
      <c r="E6283" t="inlineStr">
        <is>
          <t>ÅRJÄNG</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3803-2022</t>
        </is>
      </c>
      <c r="B6284" s="1" t="n">
        <v>44587</v>
      </c>
      <c r="C6284" s="1" t="n">
        <v>45810</v>
      </c>
      <c r="D6284" t="inlineStr">
        <is>
          <t>VÄRMLANDS LÄN</t>
        </is>
      </c>
      <c r="E6284" t="inlineStr">
        <is>
          <t>HAGFORS</t>
        </is>
      </c>
      <c r="G6284" t="n">
        <v>4.4</v>
      </c>
      <c r="H6284" t="n">
        <v>0</v>
      </c>
      <c r="I6284" t="n">
        <v>0</v>
      </c>
      <c r="J6284" t="n">
        <v>0</v>
      </c>
      <c r="K6284" t="n">
        <v>0</v>
      </c>
      <c r="L6284" t="n">
        <v>0</v>
      </c>
      <c r="M6284" t="n">
        <v>0</v>
      </c>
      <c r="N6284" t="n">
        <v>0</v>
      </c>
      <c r="O6284" t="n">
        <v>0</v>
      </c>
      <c r="P6284" t="n">
        <v>0</v>
      </c>
      <c r="Q6284" t="n">
        <v>0</v>
      </c>
      <c r="R6284" s="2" t="inlineStr"/>
    </row>
    <row r="6285" ht="15" customHeight="1">
      <c r="A6285" t="inlineStr">
        <is>
          <t>A 3993-2022</t>
        </is>
      </c>
      <c r="B6285" s="1" t="n">
        <v>44587</v>
      </c>
      <c r="C6285" s="1" t="n">
        <v>45810</v>
      </c>
      <c r="D6285" t="inlineStr">
        <is>
          <t>VÄRMLANDS LÄN</t>
        </is>
      </c>
      <c r="E6285" t="inlineStr">
        <is>
          <t>KIL</t>
        </is>
      </c>
      <c r="G6285" t="n">
        <v>2.4</v>
      </c>
      <c r="H6285" t="n">
        <v>0</v>
      </c>
      <c r="I6285" t="n">
        <v>0</v>
      </c>
      <c r="J6285" t="n">
        <v>0</v>
      </c>
      <c r="K6285" t="n">
        <v>0</v>
      </c>
      <c r="L6285" t="n">
        <v>0</v>
      </c>
      <c r="M6285" t="n">
        <v>0</v>
      </c>
      <c r="N6285" t="n">
        <v>0</v>
      </c>
      <c r="O6285" t="n">
        <v>0</v>
      </c>
      <c r="P6285" t="n">
        <v>0</v>
      </c>
      <c r="Q6285" t="n">
        <v>0</v>
      </c>
      <c r="R6285" s="2" t="inlineStr"/>
    </row>
    <row r="6286" ht="15" customHeight="1">
      <c r="A6286" t="inlineStr">
        <is>
          <t>A 3950-2022</t>
        </is>
      </c>
      <c r="B6286" s="1" t="n">
        <v>44587</v>
      </c>
      <c r="C6286" s="1" t="n">
        <v>45810</v>
      </c>
      <c r="D6286" t="inlineStr">
        <is>
          <t>VÄRMLANDS LÄN</t>
        </is>
      </c>
      <c r="E6286" t="inlineStr">
        <is>
          <t>SÄFFLE</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3996-2022</t>
        </is>
      </c>
      <c r="B6287" s="1" t="n">
        <v>44587</v>
      </c>
      <c r="C6287" s="1" t="n">
        <v>45810</v>
      </c>
      <c r="D6287" t="inlineStr">
        <is>
          <t>VÄRMLANDS LÄN</t>
        </is>
      </c>
      <c r="E6287" t="inlineStr">
        <is>
          <t>KIL</t>
        </is>
      </c>
      <c r="G6287" t="n">
        <v>3.1</v>
      </c>
      <c r="H6287" t="n">
        <v>0</v>
      </c>
      <c r="I6287" t="n">
        <v>0</v>
      </c>
      <c r="J6287" t="n">
        <v>0</v>
      </c>
      <c r="K6287" t="n">
        <v>0</v>
      </c>
      <c r="L6287" t="n">
        <v>0</v>
      </c>
      <c r="M6287" t="n">
        <v>0</v>
      </c>
      <c r="N6287" t="n">
        <v>0</v>
      </c>
      <c r="O6287" t="n">
        <v>0</v>
      </c>
      <c r="P6287" t="n">
        <v>0</v>
      </c>
      <c r="Q6287" t="n">
        <v>0</v>
      </c>
      <c r="R6287" s="2" t="inlineStr"/>
    </row>
    <row r="6288" ht="15" customHeight="1">
      <c r="A6288" t="inlineStr">
        <is>
          <t>A 3995-2022</t>
        </is>
      </c>
      <c r="B6288" s="1" t="n">
        <v>44587</v>
      </c>
      <c r="C6288" s="1" t="n">
        <v>45810</v>
      </c>
      <c r="D6288" t="inlineStr">
        <is>
          <t>VÄRMLANDS LÄN</t>
        </is>
      </c>
      <c r="E6288" t="inlineStr">
        <is>
          <t>SUNNE</t>
        </is>
      </c>
      <c r="G6288" t="n">
        <v>4.4</v>
      </c>
      <c r="H6288" t="n">
        <v>0</v>
      </c>
      <c r="I6288" t="n">
        <v>0</v>
      </c>
      <c r="J6288" t="n">
        <v>0</v>
      </c>
      <c r="K6288" t="n">
        <v>0</v>
      </c>
      <c r="L6288" t="n">
        <v>0</v>
      </c>
      <c r="M6288" t="n">
        <v>0</v>
      </c>
      <c r="N6288" t="n">
        <v>0</v>
      </c>
      <c r="O6288" t="n">
        <v>0</v>
      </c>
      <c r="P6288" t="n">
        <v>0</v>
      </c>
      <c r="Q6288" t="n">
        <v>0</v>
      </c>
      <c r="R6288" s="2" t="inlineStr"/>
    </row>
    <row r="6289" ht="15" customHeight="1">
      <c r="A6289" t="inlineStr">
        <is>
          <t>A 4191-2022</t>
        </is>
      </c>
      <c r="B6289" s="1" t="n">
        <v>44588</v>
      </c>
      <c r="C6289" s="1" t="n">
        <v>45810</v>
      </c>
      <c r="D6289" t="inlineStr">
        <is>
          <t>VÄRMLANDS LÄN</t>
        </is>
      </c>
      <c r="E6289" t="inlineStr">
        <is>
          <t>FILIPSTAD</t>
        </is>
      </c>
      <c r="F6289" t="inlineStr">
        <is>
          <t>Kommuner</t>
        </is>
      </c>
      <c r="G6289" t="n">
        <v>2.1</v>
      </c>
      <c r="H6289" t="n">
        <v>0</v>
      </c>
      <c r="I6289" t="n">
        <v>0</v>
      </c>
      <c r="J6289" t="n">
        <v>0</v>
      </c>
      <c r="K6289" t="n">
        <v>0</v>
      </c>
      <c r="L6289" t="n">
        <v>0</v>
      </c>
      <c r="M6289" t="n">
        <v>0</v>
      </c>
      <c r="N6289" t="n">
        <v>0</v>
      </c>
      <c r="O6289" t="n">
        <v>0</v>
      </c>
      <c r="P6289" t="n">
        <v>0</v>
      </c>
      <c r="Q6289" t="n">
        <v>0</v>
      </c>
      <c r="R6289" s="2" t="inlineStr"/>
    </row>
    <row r="6290" ht="15" customHeight="1">
      <c r="A6290" t="inlineStr">
        <is>
          <t>A 4075-2022</t>
        </is>
      </c>
      <c r="B6290" s="1" t="n">
        <v>44588</v>
      </c>
      <c r="C6290" s="1" t="n">
        <v>45810</v>
      </c>
      <c r="D6290" t="inlineStr">
        <is>
          <t>VÄRMLANDS LÄN</t>
        </is>
      </c>
      <c r="E6290" t="inlineStr">
        <is>
          <t>ARVIKA</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4089-2022</t>
        </is>
      </c>
      <c r="B6291" s="1" t="n">
        <v>44588</v>
      </c>
      <c r="C6291" s="1" t="n">
        <v>45810</v>
      </c>
      <c r="D6291" t="inlineStr">
        <is>
          <t>VÄRMLANDS LÄN</t>
        </is>
      </c>
      <c r="E6291" t="inlineStr">
        <is>
          <t>SUNNE</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4096-2022</t>
        </is>
      </c>
      <c r="B6292" s="1" t="n">
        <v>44588</v>
      </c>
      <c r="C6292" s="1" t="n">
        <v>45810</v>
      </c>
      <c r="D6292" t="inlineStr">
        <is>
          <t>VÄRMLANDS LÄN</t>
        </is>
      </c>
      <c r="E6292" t="inlineStr">
        <is>
          <t>EDA</t>
        </is>
      </c>
      <c r="G6292" t="n">
        <v>4.4</v>
      </c>
      <c r="H6292" t="n">
        <v>0</v>
      </c>
      <c r="I6292" t="n">
        <v>0</v>
      </c>
      <c r="J6292" t="n">
        <v>0</v>
      </c>
      <c r="K6292" t="n">
        <v>0</v>
      </c>
      <c r="L6292" t="n">
        <v>0</v>
      </c>
      <c r="M6292" t="n">
        <v>0</v>
      </c>
      <c r="N6292" t="n">
        <v>0</v>
      </c>
      <c r="O6292" t="n">
        <v>0</v>
      </c>
      <c r="P6292" t="n">
        <v>0</v>
      </c>
      <c r="Q6292" t="n">
        <v>0</v>
      </c>
      <c r="R6292" s="2" t="inlineStr"/>
    </row>
    <row r="6293" ht="15" customHeight="1">
      <c r="A6293" t="inlineStr">
        <is>
          <t>A 4090-2022</t>
        </is>
      </c>
      <c r="B6293" s="1" t="n">
        <v>44588</v>
      </c>
      <c r="C6293" s="1" t="n">
        <v>45810</v>
      </c>
      <c r="D6293" t="inlineStr">
        <is>
          <t>VÄRMLANDS LÄN</t>
        </is>
      </c>
      <c r="E6293" t="inlineStr">
        <is>
          <t>ARVIKA</t>
        </is>
      </c>
      <c r="G6293" t="n">
        <v>3.4</v>
      </c>
      <c r="H6293" t="n">
        <v>0</v>
      </c>
      <c r="I6293" t="n">
        <v>0</v>
      </c>
      <c r="J6293" t="n">
        <v>0</v>
      </c>
      <c r="K6293" t="n">
        <v>0</v>
      </c>
      <c r="L6293" t="n">
        <v>0</v>
      </c>
      <c r="M6293" t="n">
        <v>0</v>
      </c>
      <c r="N6293" t="n">
        <v>0</v>
      </c>
      <c r="O6293" t="n">
        <v>0</v>
      </c>
      <c r="P6293" t="n">
        <v>0</v>
      </c>
      <c r="Q6293" t="n">
        <v>0</v>
      </c>
      <c r="R6293" s="2" t="inlineStr"/>
    </row>
    <row r="6294" ht="15" customHeight="1">
      <c r="A6294" t="inlineStr">
        <is>
          <t>A 4172-2022</t>
        </is>
      </c>
      <c r="B6294" s="1" t="n">
        <v>44588</v>
      </c>
      <c r="C6294" s="1" t="n">
        <v>45810</v>
      </c>
      <c r="D6294" t="inlineStr">
        <is>
          <t>VÄRMLANDS LÄN</t>
        </is>
      </c>
      <c r="E6294" t="inlineStr">
        <is>
          <t>TORSBY</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4178-2022</t>
        </is>
      </c>
      <c r="B6295" s="1" t="n">
        <v>44588</v>
      </c>
      <c r="C6295" s="1" t="n">
        <v>45810</v>
      </c>
      <c r="D6295" t="inlineStr">
        <is>
          <t>VÄRMLANDS LÄN</t>
        </is>
      </c>
      <c r="E6295" t="inlineStr">
        <is>
          <t>GRUMS</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4188-2022</t>
        </is>
      </c>
      <c r="B6296" s="1" t="n">
        <v>44588</v>
      </c>
      <c r="C6296" s="1" t="n">
        <v>45810</v>
      </c>
      <c r="D6296" t="inlineStr">
        <is>
          <t>VÄRMLANDS LÄN</t>
        </is>
      </c>
      <c r="E6296" t="inlineStr">
        <is>
          <t>KRISTINEHAMN</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4284-2022</t>
        </is>
      </c>
      <c r="B6297" s="1" t="n">
        <v>44588</v>
      </c>
      <c r="C6297" s="1" t="n">
        <v>45810</v>
      </c>
      <c r="D6297" t="inlineStr">
        <is>
          <t>VÄRMLANDS LÄN</t>
        </is>
      </c>
      <c r="E6297" t="inlineStr">
        <is>
          <t>KRISTINEHAMN</t>
        </is>
      </c>
      <c r="F6297" t="inlineStr">
        <is>
          <t>Sveaskog</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4304-2022</t>
        </is>
      </c>
      <c r="B6298" s="1" t="n">
        <v>44588</v>
      </c>
      <c r="C6298" s="1" t="n">
        <v>45810</v>
      </c>
      <c r="D6298" t="inlineStr">
        <is>
          <t>VÄRMLANDS LÄN</t>
        </is>
      </c>
      <c r="E6298" t="inlineStr">
        <is>
          <t>KRISTINEHAMN</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4400-2022</t>
        </is>
      </c>
      <c r="B6299" s="1" t="n">
        <v>44588</v>
      </c>
      <c r="C6299" s="1" t="n">
        <v>45810</v>
      </c>
      <c r="D6299" t="inlineStr">
        <is>
          <t>VÄRMLANDS LÄN</t>
        </is>
      </c>
      <c r="E6299" t="inlineStr">
        <is>
          <t>ÅRJÄNG</t>
        </is>
      </c>
      <c r="G6299" t="n">
        <v>3.4</v>
      </c>
      <c r="H6299" t="n">
        <v>0</v>
      </c>
      <c r="I6299" t="n">
        <v>0</v>
      </c>
      <c r="J6299" t="n">
        <v>0</v>
      </c>
      <c r="K6299" t="n">
        <v>0</v>
      </c>
      <c r="L6299" t="n">
        <v>0</v>
      </c>
      <c r="M6299" t="n">
        <v>0</v>
      </c>
      <c r="N6299" t="n">
        <v>0</v>
      </c>
      <c r="O6299" t="n">
        <v>0</v>
      </c>
      <c r="P6299" t="n">
        <v>0</v>
      </c>
      <c r="Q6299" t="n">
        <v>0</v>
      </c>
      <c r="R6299" s="2" t="inlineStr"/>
    </row>
    <row r="6300" ht="15" customHeight="1">
      <c r="A6300" t="inlineStr">
        <is>
          <t>A 4185-2022</t>
        </is>
      </c>
      <c r="B6300" s="1" t="n">
        <v>44588</v>
      </c>
      <c r="C6300" s="1" t="n">
        <v>45810</v>
      </c>
      <c r="D6300" t="inlineStr">
        <is>
          <t>VÄRMLANDS LÄN</t>
        </is>
      </c>
      <c r="E6300" t="inlineStr">
        <is>
          <t>KRISTINEHAMN</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4269-2022</t>
        </is>
      </c>
      <c r="B6301" s="1" t="n">
        <v>44588</v>
      </c>
      <c r="C6301" s="1" t="n">
        <v>45810</v>
      </c>
      <c r="D6301" t="inlineStr">
        <is>
          <t>VÄRMLANDS LÄN</t>
        </is>
      </c>
      <c r="E6301" t="inlineStr">
        <is>
          <t>EDA</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4049-2022</t>
        </is>
      </c>
      <c r="B6302" s="1" t="n">
        <v>44588</v>
      </c>
      <c r="C6302" s="1" t="n">
        <v>45810</v>
      </c>
      <c r="D6302" t="inlineStr">
        <is>
          <t>VÄRMLANDS LÄN</t>
        </is>
      </c>
      <c r="E6302" t="inlineStr">
        <is>
          <t>ARVIKA</t>
        </is>
      </c>
      <c r="F6302" t="inlineStr">
        <is>
          <t>Bergvik skog väst AB</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4230-2022</t>
        </is>
      </c>
      <c r="B6303" s="1" t="n">
        <v>44588</v>
      </c>
      <c r="C6303" s="1" t="n">
        <v>45810</v>
      </c>
      <c r="D6303" t="inlineStr">
        <is>
          <t>VÄRMLANDS LÄN</t>
        </is>
      </c>
      <c r="E6303" t="inlineStr">
        <is>
          <t>KARLSTAD</t>
        </is>
      </c>
      <c r="F6303" t="inlineStr">
        <is>
          <t>Bergvik skog väst AB</t>
        </is>
      </c>
      <c r="G6303" t="n">
        <v>10.1</v>
      </c>
      <c r="H6303" t="n">
        <v>0</v>
      </c>
      <c r="I6303" t="n">
        <v>0</v>
      </c>
      <c r="J6303" t="n">
        <v>0</v>
      </c>
      <c r="K6303" t="n">
        <v>0</v>
      </c>
      <c r="L6303" t="n">
        <v>0</v>
      </c>
      <c r="M6303" t="n">
        <v>0</v>
      </c>
      <c r="N6303" t="n">
        <v>0</v>
      </c>
      <c r="O6303" t="n">
        <v>0</v>
      </c>
      <c r="P6303" t="n">
        <v>0</v>
      </c>
      <c r="Q6303" t="n">
        <v>0</v>
      </c>
      <c r="R6303" s="2" t="inlineStr"/>
    </row>
    <row r="6304" ht="15" customHeight="1">
      <c r="A6304" t="inlineStr">
        <is>
          <t>A 4299-2022</t>
        </is>
      </c>
      <c r="B6304" s="1" t="n">
        <v>44588</v>
      </c>
      <c r="C6304" s="1" t="n">
        <v>45810</v>
      </c>
      <c r="D6304" t="inlineStr">
        <is>
          <t>VÄRMLANDS LÄN</t>
        </is>
      </c>
      <c r="E6304" t="inlineStr">
        <is>
          <t>ARVIKA</t>
        </is>
      </c>
      <c r="G6304" t="n">
        <v>2.4</v>
      </c>
      <c r="H6304" t="n">
        <v>0</v>
      </c>
      <c r="I6304" t="n">
        <v>0</v>
      </c>
      <c r="J6304" t="n">
        <v>0</v>
      </c>
      <c r="K6304" t="n">
        <v>0</v>
      </c>
      <c r="L6304" t="n">
        <v>0</v>
      </c>
      <c r="M6304" t="n">
        <v>0</v>
      </c>
      <c r="N6304" t="n">
        <v>0</v>
      </c>
      <c r="O6304" t="n">
        <v>0</v>
      </c>
      <c r="P6304" t="n">
        <v>0</v>
      </c>
      <c r="Q6304" t="n">
        <v>0</v>
      </c>
      <c r="R6304" s="2" t="inlineStr"/>
    </row>
    <row r="6305" ht="15" customHeight="1">
      <c r="A6305" t="inlineStr">
        <is>
          <t>A 4380-2022</t>
        </is>
      </c>
      <c r="B6305" s="1" t="n">
        <v>44588</v>
      </c>
      <c r="C6305" s="1" t="n">
        <v>45810</v>
      </c>
      <c r="D6305" t="inlineStr">
        <is>
          <t>VÄRMLANDS LÄN</t>
        </is>
      </c>
      <c r="E6305" t="inlineStr">
        <is>
          <t>GRUMS</t>
        </is>
      </c>
      <c r="F6305" t="inlineStr">
        <is>
          <t>Bergvik skog väst AB</t>
        </is>
      </c>
      <c r="G6305" t="n">
        <v>4.4</v>
      </c>
      <c r="H6305" t="n">
        <v>0</v>
      </c>
      <c r="I6305" t="n">
        <v>0</v>
      </c>
      <c r="J6305" t="n">
        <v>0</v>
      </c>
      <c r="K6305" t="n">
        <v>0</v>
      </c>
      <c r="L6305" t="n">
        <v>0</v>
      </c>
      <c r="M6305" t="n">
        <v>0</v>
      </c>
      <c r="N6305" t="n">
        <v>0</v>
      </c>
      <c r="O6305" t="n">
        <v>0</v>
      </c>
      <c r="P6305" t="n">
        <v>0</v>
      </c>
      <c r="Q6305" t="n">
        <v>0</v>
      </c>
      <c r="R6305" s="2" t="inlineStr"/>
    </row>
    <row r="6306" ht="15" customHeight="1">
      <c r="A6306" t="inlineStr">
        <is>
          <t>A 4439-2022</t>
        </is>
      </c>
      <c r="B6306" s="1" t="n">
        <v>44589</v>
      </c>
      <c r="C6306" s="1" t="n">
        <v>45810</v>
      </c>
      <c r="D6306" t="inlineStr">
        <is>
          <t>VÄRMLANDS LÄN</t>
        </is>
      </c>
      <c r="E6306" t="inlineStr">
        <is>
          <t>ARVIKA</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4448-2022</t>
        </is>
      </c>
      <c r="B6307" s="1" t="n">
        <v>44589</v>
      </c>
      <c r="C6307" s="1" t="n">
        <v>45810</v>
      </c>
      <c r="D6307" t="inlineStr">
        <is>
          <t>VÄRMLANDS LÄN</t>
        </is>
      </c>
      <c r="E6307" t="inlineStr">
        <is>
          <t>KIL</t>
        </is>
      </c>
      <c r="G6307" t="n">
        <v>0.4</v>
      </c>
      <c r="H6307" t="n">
        <v>0</v>
      </c>
      <c r="I6307" t="n">
        <v>0</v>
      </c>
      <c r="J6307" t="n">
        <v>0</v>
      </c>
      <c r="K6307" t="n">
        <v>0</v>
      </c>
      <c r="L6307" t="n">
        <v>0</v>
      </c>
      <c r="M6307" t="n">
        <v>0</v>
      </c>
      <c r="N6307" t="n">
        <v>0</v>
      </c>
      <c r="O6307" t="n">
        <v>0</v>
      </c>
      <c r="P6307" t="n">
        <v>0</v>
      </c>
      <c r="Q6307" t="n">
        <v>0</v>
      </c>
      <c r="R6307" s="2" t="inlineStr"/>
    </row>
    <row r="6308" ht="15" customHeight="1">
      <c r="A6308" t="inlineStr">
        <is>
          <t>A 4465-2022</t>
        </is>
      </c>
      <c r="B6308" s="1" t="n">
        <v>44589</v>
      </c>
      <c r="C6308" s="1" t="n">
        <v>45810</v>
      </c>
      <c r="D6308" t="inlineStr">
        <is>
          <t>VÄRMLANDS LÄN</t>
        </is>
      </c>
      <c r="E6308" t="inlineStr">
        <is>
          <t>ÅRJÄNG</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4445-2022</t>
        </is>
      </c>
      <c r="B6309" s="1" t="n">
        <v>44589</v>
      </c>
      <c r="C6309" s="1" t="n">
        <v>45810</v>
      </c>
      <c r="D6309" t="inlineStr">
        <is>
          <t>VÄRMLANDS LÄN</t>
        </is>
      </c>
      <c r="E6309" t="inlineStr">
        <is>
          <t>KIL</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4450-2022</t>
        </is>
      </c>
      <c r="B6310" s="1" t="n">
        <v>44589</v>
      </c>
      <c r="C6310" s="1" t="n">
        <v>45810</v>
      </c>
      <c r="D6310" t="inlineStr">
        <is>
          <t>VÄRMLANDS LÄN</t>
        </is>
      </c>
      <c r="E6310" t="inlineStr">
        <is>
          <t>KIL</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4353-2022</t>
        </is>
      </c>
      <c r="B6311" s="1" t="n">
        <v>44589</v>
      </c>
      <c r="C6311" s="1" t="n">
        <v>45810</v>
      </c>
      <c r="D6311" t="inlineStr">
        <is>
          <t>VÄRMLANDS LÄN</t>
        </is>
      </c>
      <c r="E6311" t="inlineStr">
        <is>
          <t>KIL</t>
        </is>
      </c>
      <c r="G6311" t="n">
        <v>5.9</v>
      </c>
      <c r="H6311" t="n">
        <v>0</v>
      </c>
      <c r="I6311" t="n">
        <v>0</v>
      </c>
      <c r="J6311" t="n">
        <v>0</v>
      </c>
      <c r="K6311" t="n">
        <v>0</v>
      </c>
      <c r="L6311" t="n">
        <v>0</v>
      </c>
      <c r="M6311" t="n">
        <v>0</v>
      </c>
      <c r="N6311" t="n">
        <v>0</v>
      </c>
      <c r="O6311" t="n">
        <v>0</v>
      </c>
      <c r="P6311" t="n">
        <v>0</v>
      </c>
      <c r="Q6311" t="n">
        <v>0</v>
      </c>
      <c r="R6311" s="2" t="inlineStr"/>
    </row>
    <row r="6312" ht="15" customHeight="1">
      <c r="A6312" t="inlineStr">
        <is>
          <t>A 4378-2022</t>
        </is>
      </c>
      <c r="B6312" s="1" t="n">
        <v>44589</v>
      </c>
      <c r="C6312" s="1" t="n">
        <v>45810</v>
      </c>
      <c r="D6312" t="inlineStr">
        <is>
          <t>VÄRMLANDS LÄN</t>
        </is>
      </c>
      <c r="E6312" t="inlineStr">
        <is>
          <t>ÅRJÄNG</t>
        </is>
      </c>
      <c r="G6312" t="n">
        <v>3.1</v>
      </c>
      <c r="H6312" t="n">
        <v>0</v>
      </c>
      <c r="I6312" t="n">
        <v>0</v>
      </c>
      <c r="J6312" t="n">
        <v>0</v>
      </c>
      <c r="K6312" t="n">
        <v>0</v>
      </c>
      <c r="L6312" t="n">
        <v>0</v>
      </c>
      <c r="M6312" t="n">
        <v>0</v>
      </c>
      <c r="N6312" t="n">
        <v>0</v>
      </c>
      <c r="O6312" t="n">
        <v>0</v>
      </c>
      <c r="P6312" t="n">
        <v>0</v>
      </c>
      <c r="Q6312" t="n">
        <v>0</v>
      </c>
      <c r="R6312" s="2" t="inlineStr"/>
    </row>
    <row r="6313" ht="15" customHeight="1">
      <c r="A6313" t="inlineStr">
        <is>
          <t>A 4373-2022</t>
        </is>
      </c>
      <c r="B6313" s="1" t="n">
        <v>44589</v>
      </c>
      <c r="C6313" s="1" t="n">
        <v>45810</v>
      </c>
      <c r="D6313" t="inlineStr">
        <is>
          <t>VÄRMLANDS LÄN</t>
        </is>
      </c>
      <c r="E6313" t="inlineStr">
        <is>
          <t>KARLSTAD</t>
        </is>
      </c>
      <c r="F6313" t="inlineStr">
        <is>
          <t>Bergvik skog väst AB</t>
        </is>
      </c>
      <c r="G6313" t="n">
        <v>17.9</v>
      </c>
      <c r="H6313" t="n">
        <v>0</v>
      </c>
      <c r="I6313" t="n">
        <v>0</v>
      </c>
      <c r="J6313" t="n">
        <v>0</v>
      </c>
      <c r="K6313" t="n">
        <v>0</v>
      </c>
      <c r="L6313" t="n">
        <v>0</v>
      </c>
      <c r="M6313" t="n">
        <v>0</v>
      </c>
      <c r="N6313" t="n">
        <v>0</v>
      </c>
      <c r="O6313" t="n">
        <v>0</v>
      </c>
      <c r="P6313" t="n">
        <v>0</v>
      </c>
      <c r="Q6313" t="n">
        <v>0</v>
      </c>
      <c r="R6313" s="2" t="inlineStr"/>
    </row>
    <row r="6314" ht="15" customHeight="1">
      <c r="A6314" t="inlineStr">
        <is>
          <t>A 4397-2022</t>
        </is>
      </c>
      <c r="B6314" s="1" t="n">
        <v>44589</v>
      </c>
      <c r="C6314" s="1" t="n">
        <v>45810</v>
      </c>
      <c r="D6314" t="inlineStr">
        <is>
          <t>VÄRMLANDS LÄN</t>
        </is>
      </c>
      <c r="E6314" t="inlineStr">
        <is>
          <t>SUNNE</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4506-2022</t>
        </is>
      </c>
      <c r="B6315" s="1" t="n">
        <v>44589</v>
      </c>
      <c r="C6315" s="1" t="n">
        <v>45810</v>
      </c>
      <c r="D6315" t="inlineStr">
        <is>
          <t>VÄRMLANDS LÄN</t>
        </is>
      </c>
      <c r="E6315" t="inlineStr">
        <is>
          <t>ARVIKA</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4392-2022</t>
        </is>
      </c>
      <c r="B6316" s="1" t="n">
        <v>44589</v>
      </c>
      <c r="C6316" s="1" t="n">
        <v>45810</v>
      </c>
      <c r="D6316" t="inlineStr">
        <is>
          <t>VÄRMLANDS LÄN</t>
        </is>
      </c>
      <c r="E6316" t="inlineStr">
        <is>
          <t>ÅRJÄNG</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4557-2022</t>
        </is>
      </c>
      <c r="B6317" s="1" t="n">
        <v>44591</v>
      </c>
      <c r="C6317" s="1" t="n">
        <v>45810</v>
      </c>
      <c r="D6317" t="inlineStr">
        <is>
          <t>VÄRMLANDS LÄN</t>
        </is>
      </c>
      <c r="E6317" t="inlineStr">
        <is>
          <t>TORSBY</t>
        </is>
      </c>
      <c r="G6317" t="n">
        <v>2.7</v>
      </c>
      <c r="H6317" t="n">
        <v>0</v>
      </c>
      <c r="I6317" t="n">
        <v>0</v>
      </c>
      <c r="J6317" t="n">
        <v>0</v>
      </c>
      <c r="K6317" t="n">
        <v>0</v>
      </c>
      <c r="L6317" t="n">
        <v>0</v>
      </c>
      <c r="M6317" t="n">
        <v>0</v>
      </c>
      <c r="N6317" t="n">
        <v>0</v>
      </c>
      <c r="O6317" t="n">
        <v>0</v>
      </c>
      <c r="P6317" t="n">
        <v>0</v>
      </c>
      <c r="Q6317" t="n">
        <v>0</v>
      </c>
      <c r="R6317" s="2" t="inlineStr"/>
    </row>
    <row r="6318" ht="15" customHeight="1">
      <c r="A6318" t="inlineStr">
        <is>
          <t>A 4571-2022</t>
        </is>
      </c>
      <c r="B6318" s="1" t="n">
        <v>44591</v>
      </c>
      <c r="C6318" s="1" t="n">
        <v>45810</v>
      </c>
      <c r="D6318" t="inlineStr">
        <is>
          <t>VÄRMLANDS LÄN</t>
        </is>
      </c>
      <c r="E6318" t="inlineStr">
        <is>
          <t>KRISTINEHAMN</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4556-2022</t>
        </is>
      </c>
      <c r="B6319" s="1" t="n">
        <v>44591</v>
      </c>
      <c r="C6319" s="1" t="n">
        <v>45810</v>
      </c>
      <c r="D6319" t="inlineStr">
        <is>
          <t>VÄRMLANDS LÄN</t>
        </is>
      </c>
      <c r="E6319" t="inlineStr">
        <is>
          <t>ARVIKA</t>
        </is>
      </c>
      <c r="G6319" t="n">
        <v>7.2</v>
      </c>
      <c r="H6319" t="n">
        <v>0</v>
      </c>
      <c r="I6319" t="n">
        <v>0</v>
      </c>
      <c r="J6319" t="n">
        <v>0</v>
      </c>
      <c r="K6319" t="n">
        <v>0</v>
      </c>
      <c r="L6319" t="n">
        <v>0</v>
      </c>
      <c r="M6319" t="n">
        <v>0</v>
      </c>
      <c r="N6319" t="n">
        <v>0</v>
      </c>
      <c r="O6319" t="n">
        <v>0</v>
      </c>
      <c r="P6319" t="n">
        <v>0</v>
      </c>
      <c r="Q6319" t="n">
        <v>0</v>
      </c>
      <c r="R6319" s="2" t="inlineStr"/>
    </row>
    <row r="6320" ht="15" customHeight="1">
      <c r="A6320" t="inlineStr">
        <is>
          <t>A 4566-2022</t>
        </is>
      </c>
      <c r="B6320" s="1" t="n">
        <v>44591</v>
      </c>
      <c r="C6320" s="1" t="n">
        <v>45810</v>
      </c>
      <c r="D6320" t="inlineStr">
        <is>
          <t>VÄRMLANDS LÄN</t>
        </is>
      </c>
      <c r="E6320" t="inlineStr">
        <is>
          <t>SUNNE</t>
        </is>
      </c>
      <c r="G6320" t="n">
        <v>2.1</v>
      </c>
      <c r="H6320" t="n">
        <v>0</v>
      </c>
      <c r="I6320" t="n">
        <v>0</v>
      </c>
      <c r="J6320" t="n">
        <v>0</v>
      </c>
      <c r="K6320" t="n">
        <v>0</v>
      </c>
      <c r="L6320" t="n">
        <v>0</v>
      </c>
      <c r="M6320" t="n">
        <v>0</v>
      </c>
      <c r="N6320" t="n">
        <v>0</v>
      </c>
      <c r="O6320" t="n">
        <v>0</v>
      </c>
      <c r="P6320" t="n">
        <v>0</v>
      </c>
      <c r="Q6320" t="n">
        <v>0</v>
      </c>
      <c r="R6320" s="2" t="inlineStr"/>
    </row>
    <row r="6321" ht="15" customHeight="1">
      <c r="A6321" t="inlineStr">
        <is>
          <t>A 4587-2022</t>
        </is>
      </c>
      <c r="B6321" s="1" t="n">
        <v>44591</v>
      </c>
      <c r="C6321" s="1" t="n">
        <v>45810</v>
      </c>
      <c r="D6321" t="inlineStr">
        <is>
          <t>VÄRMLANDS LÄN</t>
        </is>
      </c>
      <c r="E6321" t="inlineStr">
        <is>
          <t>SUNNE</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4640-2022</t>
        </is>
      </c>
      <c r="B6322" s="1" t="n">
        <v>44592</v>
      </c>
      <c r="C6322" s="1" t="n">
        <v>45810</v>
      </c>
      <c r="D6322" t="inlineStr">
        <is>
          <t>VÄRMLANDS LÄN</t>
        </is>
      </c>
      <c r="E6322" t="inlineStr">
        <is>
          <t>TORSBY</t>
        </is>
      </c>
      <c r="G6322" t="n">
        <v>9</v>
      </c>
      <c r="H6322" t="n">
        <v>0</v>
      </c>
      <c r="I6322" t="n">
        <v>0</v>
      </c>
      <c r="J6322" t="n">
        <v>0</v>
      </c>
      <c r="K6322" t="n">
        <v>0</v>
      </c>
      <c r="L6322" t="n">
        <v>0</v>
      </c>
      <c r="M6322" t="n">
        <v>0</v>
      </c>
      <c r="N6322" t="n">
        <v>0</v>
      </c>
      <c r="O6322" t="n">
        <v>0</v>
      </c>
      <c r="P6322" t="n">
        <v>0</v>
      </c>
      <c r="Q6322" t="n">
        <v>0</v>
      </c>
      <c r="R6322" s="2" t="inlineStr"/>
    </row>
    <row r="6323" ht="15" customHeight="1">
      <c r="A6323" t="inlineStr">
        <is>
          <t>A 4751-2022</t>
        </is>
      </c>
      <c r="B6323" s="1" t="n">
        <v>44592</v>
      </c>
      <c r="C6323" s="1" t="n">
        <v>45810</v>
      </c>
      <c r="D6323" t="inlineStr">
        <is>
          <t>VÄRMLANDS LÄN</t>
        </is>
      </c>
      <c r="E6323" t="inlineStr">
        <is>
          <t>ARVIKA</t>
        </is>
      </c>
      <c r="G6323" t="n">
        <v>4.2</v>
      </c>
      <c r="H6323" t="n">
        <v>0</v>
      </c>
      <c r="I6323" t="n">
        <v>0</v>
      </c>
      <c r="J6323" t="n">
        <v>0</v>
      </c>
      <c r="K6323" t="n">
        <v>0</v>
      </c>
      <c r="L6323" t="n">
        <v>0</v>
      </c>
      <c r="M6323" t="n">
        <v>0</v>
      </c>
      <c r="N6323" t="n">
        <v>0</v>
      </c>
      <c r="O6323" t="n">
        <v>0</v>
      </c>
      <c r="P6323" t="n">
        <v>0</v>
      </c>
      <c r="Q6323" t="n">
        <v>0</v>
      </c>
      <c r="R6323" s="2" t="inlineStr"/>
    </row>
    <row r="6324" ht="15" customHeight="1">
      <c r="A6324" t="inlineStr">
        <is>
          <t>A 4740-2022</t>
        </is>
      </c>
      <c r="B6324" s="1" t="n">
        <v>44592</v>
      </c>
      <c r="C6324" s="1" t="n">
        <v>45810</v>
      </c>
      <c r="D6324" t="inlineStr">
        <is>
          <t>VÄRMLANDS LÄN</t>
        </is>
      </c>
      <c r="E6324" t="inlineStr">
        <is>
          <t>ARVIKA</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4785-2022</t>
        </is>
      </c>
      <c r="B6325" s="1" t="n">
        <v>44592</v>
      </c>
      <c r="C6325" s="1" t="n">
        <v>45810</v>
      </c>
      <c r="D6325" t="inlineStr">
        <is>
          <t>VÄRMLANDS LÄN</t>
        </is>
      </c>
      <c r="E6325" t="inlineStr">
        <is>
          <t>SUNNE</t>
        </is>
      </c>
      <c r="G6325" t="n">
        <v>1.9</v>
      </c>
      <c r="H6325" t="n">
        <v>0</v>
      </c>
      <c r="I6325" t="n">
        <v>0</v>
      </c>
      <c r="J6325" t="n">
        <v>0</v>
      </c>
      <c r="K6325" t="n">
        <v>0</v>
      </c>
      <c r="L6325" t="n">
        <v>0</v>
      </c>
      <c r="M6325" t="n">
        <v>0</v>
      </c>
      <c r="N6325" t="n">
        <v>0</v>
      </c>
      <c r="O6325" t="n">
        <v>0</v>
      </c>
      <c r="P6325" t="n">
        <v>0</v>
      </c>
      <c r="Q6325" t="n">
        <v>0</v>
      </c>
      <c r="R6325" s="2" t="inlineStr"/>
    </row>
    <row r="6326" ht="15" customHeight="1">
      <c r="A6326" t="inlineStr">
        <is>
          <t>A 4832-2022</t>
        </is>
      </c>
      <c r="B6326" s="1" t="n">
        <v>44592</v>
      </c>
      <c r="C6326" s="1" t="n">
        <v>45810</v>
      </c>
      <c r="D6326" t="inlineStr">
        <is>
          <t>VÄRMLANDS LÄN</t>
        </is>
      </c>
      <c r="E6326" t="inlineStr">
        <is>
          <t>KIL</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4803-2022</t>
        </is>
      </c>
      <c r="B6327" s="1" t="n">
        <v>44592</v>
      </c>
      <c r="C6327" s="1" t="n">
        <v>45810</v>
      </c>
      <c r="D6327" t="inlineStr">
        <is>
          <t>VÄRMLANDS LÄN</t>
        </is>
      </c>
      <c r="E6327" t="inlineStr">
        <is>
          <t>ARVIKA</t>
        </is>
      </c>
      <c r="G6327" t="n">
        <v>3.9</v>
      </c>
      <c r="H6327" t="n">
        <v>0</v>
      </c>
      <c r="I6327" t="n">
        <v>0</v>
      </c>
      <c r="J6327" t="n">
        <v>0</v>
      </c>
      <c r="K6327" t="n">
        <v>0</v>
      </c>
      <c r="L6327" t="n">
        <v>0</v>
      </c>
      <c r="M6327" t="n">
        <v>0</v>
      </c>
      <c r="N6327" t="n">
        <v>0</v>
      </c>
      <c r="O6327" t="n">
        <v>0</v>
      </c>
      <c r="P6327" t="n">
        <v>0</v>
      </c>
      <c r="Q6327" t="n">
        <v>0</v>
      </c>
      <c r="R6327" s="2" t="inlineStr"/>
    </row>
    <row r="6328" ht="15" customHeight="1">
      <c r="A6328" t="inlineStr">
        <is>
          <t>A 4798-2022</t>
        </is>
      </c>
      <c r="B6328" s="1" t="n">
        <v>44592</v>
      </c>
      <c r="C6328" s="1" t="n">
        <v>45810</v>
      </c>
      <c r="D6328" t="inlineStr">
        <is>
          <t>VÄRMLANDS LÄN</t>
        </is>
      </c>
      <c r="E6328" t="inlineStr">
        <is>
          <t>ÅRJÄNG</t>
        </is>
      </c>
      <c r="G6328" t="n">
        <v>4.1</v>
      </c>
      <c r="H6328" t="n">
        <v>0</v>
      </c>
      <c r="I6328" t="n">
        <v>0</v>
      </c>
      <c r="J6328" t="n">
        <v>0</v>
      </c>
      <c r="K6328" t="n">
        <v>0</v>
      </c>
      <c r="L6328" t="n">
        <v>0</v>
      </c>
      <c r="M6328" t="n">
        <v>0</v>
      </c>
      <c r="N6328" t="n">
        <v>0</v>
      </c>
      <c r="O6328" t="n">
        <v>0</v>
      </c>
      <c r="P6328" t="n">
        <v>0</v>
      </c>
      <c r="Q6328" t="n">
        <v>0</v>
      </c>
      <c r="R6328" s="2" t="inlineStr"/>
    </row>
    <row r="6329" ht="15" customHeight="1">
      <c r="A6329" t="inlineStr">
        <is>
          <t>A 4942-2022</t>
        </is>
      </c>
      <c r="B6329" s="1" t="n">
        <v>44593</v>
      </c>
      <c r="C6329" s="1" t="n">
        <v>45810</v>
      </c>
      <c r="D6329" t="inlineStr">
        <is>
          <t>VÄRMLANDS LÄN</t>
        </is>
      </c>
      <c r="E6329" t="inlineStr">
        <is>
          <t>ÅRJÄNG</t>
        </is>
      </c>
      <c r="G6329" t="n">
        <v>1.6</v>
      </c>
      <c r="H6329" t="n">
        <v>0</v>
      </c>
      <c r="I6329" t="n">
        <v>0</v>
      </c>
      <c r="J6329" t="n">
        <v>0</v>
      </c>
      <c r="K6329" t="n">
        <v>0</v>
      </c>
      <c r="L6329" t="n">
        <v>0</v>
      </c>
      <c r="M6329" t="n">
        <v>0</v>
      </c>
      <c r="N6329" t="n">
        <v>0</v>
      </c>
      <c r="O6329" t="n">
        <v>0</v>
      </c>
      <c r="P6329" t="n">
        <v>0</v>
      </c>
      <c r="Q6329" t="n">
        <v>0</v>
      </c>
      <c r="R6329" s="2" t="inlineStr"/>
    </row>
    <row r="6330" ht="15" customHeight="1">
      <c r="A6330" t="inlineStr">
        <is>
          <t>A 4967-2022</t>
        </is>
      </c>
      <c r="B6330" s="1" t="n">
        <v>44593</v>
      </c>
      <c r="C6330" s="1" t="n">
        <v>45810</v>
      </c>
      <c r="D6330" t="inlineStr">
        <is>
          <t>VÄRMLANDS LÄN</t>
        </is>
      </c>
      <c r="E6330" t="inlineStr">
        <is>
          <t>TORSBY</t>
        </is>
      </c>
      <c r="G6330" t="n">
        <v>1.6</v>
      </c>
      <c r="H6330" t="n">
        <v>0</v>
      </c>
      <c r="I6330" t="n">
        <v>0</v>
      </c>
      <c r="J6330" t="n">
        <v>0</v>
      </c>
      <c r="K6330" t="n">
        <v>0</v>
      </c>
      <c r="L6330" t="n">
        <v>0</v>
      </c>
      <c r="M6330" t="n">
        <v>0</v>
      </c>
      <c r="N6330" t="n">
        <v>0</v>
      </c>
      <c r="O6330" t="n">
        <v>0</v>
      </c>
      <c r="P6330" t="n">
        <v>0</v>
      </c>
      <c r="Q6330" t="n">
        <v>0</v>
      </c>
      <c r="R6330" s="2" t="inlineStr"/>
    </row>
    <row r="6331" ht="15" customHeight="1">
      <c r="A6331" t="inlineStr">
        <is>
          <t>A 4915-2022</t>
        </is>
      </c>
      <c r="B6331" s="1" t="n">
        <v>44593</v>
      </c>
      <c r="C6331" s="1" t="n">
        <v>45810</v>
      </c>
      <c r="D6331" t="inlineStr">
        <is>
          <t>VÄRMLANDS LÄN</t>
        </is>
      </c>
      <c r="E6331" t="inlineStr">
        <is>
          <t>ÅRJÄNG</t>
        </is>
      </c>
      <c r="G6331" t="n">
        <v>3.7</v>
      </c>
      <c r="H6331" t="n">
        <v>0</v>
      </c>
      <c r="I6331" t="n">
        <v>0</v>
      </c>
      <c r="J6331" t="n">
        <v>0</v>
      </c>
      <c r="K6331" t="n">
        <v>0</v>
      </c>
      <c r="L6331" t="n">
        <v>0</v>
      </c>
      <c r="M6331" t="n">
        <v>0</v>
      </c>
      <c r="N6331" t="n">
        <v>0</v>
      </c>
      <c r="O6331" t="n">
        <v>0</v>
      </c>
      <c r="P6331" t="n">
        <v>0</v>
      </c>
      <c r="Q6331" t="n">
        <v>0</v>
      </c>
      <c r="R6331" s="2" t="inlineStr"/>
    </row>
    <row r="6332" ht="15" customHeight="1">
      <c r="A6332" t="inlineStr">
        <is>
          <t>A 4960-2022</t>
        </is>
      </c>
      <c r="B6332" s="1" t="n">
        <v>44593</v>
      </c>
      <c r="C6332" s="1" t="n">
        <v>45810</v>
      </c>
      <c r="D6332" t="inlineStr">
        <is>
          <t>VÄRMLANDS LÄN</t>
        </is>
      </c>
      <c r="E6332" t="inlineStr">
        <is>
          <t>TORSBY</t>
        </is>
      </c>
      <c r="G6332" t="n">
        <v>4.8</v>
      </c>
      <c r="H6332" t="n">
        <v>0</v>
      </c>
      <c r="I6332" t="n">
        <v>0</v>
      </c>
      <c r="J6332" t="n">
        <v>0</v>
      </c>
      <c r="K6332" t="n">
        <v>0</v>
      </c>
      <c r="L6332" t="n">
        <v>0</v>
      </c>
      <c r="M6332" t="n">
        <v>0</v>
      </c>
      <c r="N6332" t="n">
        <v>0</v>
      </c>
      <c r="O6332" t="n">
        <v>0</v>
      </c>
      <c r="P6332" t="n">
        <v>0</v>
      </c>
      <c r="Q6332" t="n">
        <v>0</v>
      </c>
      <c r="R6332" s="2" t="inlineStr"/>
    </row>
    <row r="6333" ht="15" customHeight="1">
      <c r="A6333" t="inlineStr">
        <is>
          <t>A 5040-2022</t>
        </is>
      </c>
      <c r="B6333" s="1" t="n">
        <v>44593</v>
      </c>
      <c r="C6333" s="1" t="n">
        <v>45810</v>
      </c>
      <c r="D6333" t="inlineStr">
        <is>
          <t>VÄRMLANDS LÄN</t>
        </is>
      </c>
      <c r="E6333" t="inlineStr">
        <is>
          <t>TORSBY</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5088-2022</t>
        </is>
      </c>
      <c r="B6334" s="1" t="n">
        <v>44593</v>
      </c>
      <c r="C6334" s="1" t="n">
        <v>45810</v>
      </c>
      <c r="D6334" t="inlineStr">
        <is>
          <t>VÄRMLANDS LÄN</t>
        </is>
      </c>
      <c r="E6334" t="inlineStr">
        <is>
          <t>SUNNE</t>
        </is>
      </c>
      <c r="G6334" t="n">
        <v>4.2</v>
      </c>
      <c r="H6334" t="n">
        <v>0</v>
      </c>
      <c r="I6334" t="n">
        <v>0</v>
      </c>
      <c r="J6334" t="n">
        <v>0</v>
      </c>
      <c r="K6334" t="n">
        <v>0</v>
      </c>
      <c r="L6334" t="n">
        <v>0</v>
      </c>
      <c r="M6334" t="n">
        <v>0</v>
      </c>
      <c r="N6334" t="n">
        <v>0</v>
      </c>
      <c r="O6334" t="n">
        <v>0</v>
      </c>
      <c r="P6334" t="n">
        <v>0</v>
      </c>
      <c r="Q6334" t="n">
        <v>0</v>
      </c>
      <c r="R6334" s="2" t="inlineStr"/>
    </row>
    <row r="6335" ht="15" customHeight="1">
      <c r="A6335" t="inlineStr">
        <is>
          <t>A 5038-2022</t>
        </is>
      </c>
      <c r="B6335" s="1" t="n">
        <v>44593</v>
      </c>
      <c r="C6335" s="1" t="n">
        <v>45810</v>
      </c>
      <c r="D6335" t="inlineStr">
        <is>
          <t>VÄRMLANDS LÄN</t>
        </is>
      </c>
      <c r="E6335" t="inlineStr">
        <is>
          <t>KARLSTAD</t>
        </is>
      </c>
      <c r="F6335" t="inlineStr">
        <is>
          <t>Kommuner</t>
        </is>
      </c>
      <c r="G6335" t="n">
        <v>0.2</v>
      </c>
      <c r="H6335" t="n">
        <v>0</v>
      </c>
      <c r="I6335" t="n">
        <v>0</v>
      </c>
      <c r="J6335" t="n">
        <v>0</v>
      </c>
      <c r="K6335" t="n">
        <v>0</v>
      </c>
      <c r="L6335" t="n">
        <v>0</v>
      </c>
      <c r="M6335" t="n">
        <v>0</v>
      </c>
      <c r="N6335" t="n">
        <v>0</v>
      </c>
      <c r="O6335" t="n">
        <v>0</v>
      </c>
      <c r="P6335" t="n">
        <v>0</v>
      </c>
      <c r="Q6335" t="n">
        <v>0</v>
      </c>
      <c r="R6335" s="2" t="inlineStr"/>
    </row>
    <row r="6336" ht="15" customHeight="1">
      <c r="A6336" t="inlineStr">
        <is>
          <t>A 5057-2022</t>
        </is>
      </c>
      <c r="B6336" s="1" t="n">
        <v>44593</v>
      </c>
      <c r="C6336" s="1" t="n">
        <v>45810</v>
      </c>
      <c r="D6336" t="inlineStr">
        <is>
          <t>VÄRMLANDS LÄN</t>
        </is>
      </c>
      <c r="E6336" t="inlineStr">
        <is>
          <t>KARLSTAD</t>
        </is>
      </c>
      <c r="F6336" t="inlineStr">
        <is>
          <t>Kommuner</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5015-2022</t>
        </is>
      </c>
      <c r="B6337" s="1" t="n">
        <v>44593</v>
      </c>
      <c r="C6337" s="1" t="n">
        <v>45810</v>
      </c>
      <c r="D6337" t="inlineStr">
        <is>
          <t>VÄRMLANDS LÄN</t>
        </is>
      </c>
      <c r="E6337" t="inlineStr">
        <is>
          <t>TORSBY</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5095-2022</t>
        </is>
      </c>
      <c r="B6338" s="1" t="n">
        <v>44593</v>
      </c>
      <c r="C6338" s="1" t="n">
        <v>45810</v>
      </c>
      <c r="D6338" t="inlineStr">
        <is>
          <t>VÄRMLANDS LÄN</t>
        </is>
      </c>
      <c r="E6338" t="inlineStr">
        <is>
          <t>ÅRJÄNG</t>
        </is>
      </c>
      <c r="G6338" t="n">
        <v>3.3</v>
      </c>
      <c r="H6338" t="n">
        <v>0</v>
      </c>
      <c r="I6338" t="n">
        <v>0</v>
      </c>
      <c r="J6338" t="n">
        <v>0</v>
      </c>
      <c r="K6338" t="n">
        <v>0</v>
      </c>
      <c r="L6338" t="n">
        <v>0</v>
      </c>
      <c r="M6338" t="n">
        <v>0</v>
      </c>
      <c r="N6338" t="n">
        <v>0</v>
      </c>
      <c r="O6338" t="n">
        <v>0</v>
      </c>
      <c r="P6338" t="n">
        <v>0</v>
      </c>
      <c r="Q6338" t="n">
        <v>0</v>
      </c>
      <c r="R6338" s="2" t="inlineStr"/>
    </row>
    <row r="6339" ht="15" customHeight="1">
      <c r="A6339" t="inlineStr">
        <is>
          <t>A 5280-2022</t>
        </is>
      </c>
      <c r="B6339" s="1" t="n">
        <v>44593</v>
      </c>
      <c r="C6339" s="1" t="n">
        <v>45810</v>
      </c>
      <c r="D6339" t="inlineStr">
        <is>
          <t>VÄRMLANDS LÄN</t>
        </is>
      </c>
      <c r="E6339" t="inlineStr">
        <is>
          <t>GRUMS</t>
        </is>
      </c>
      <c r="F6339" t="inlineStr">
        <is>
          <t>Bergvik skog väst AB</t>
        </is>
      </c>
      <c r="G6339" t="n">
        <v>37.1</v>
      </c>
      <c r="H6339" t="n">
        <v>0</v>
      </c>
      <c r="I6339" t="n">
        <v>0</v>
      </c>
      <c r="J6339" t="n">
        <v>0</v>
      </c>
      <c r="K6339" t="n">
        <v>0</v>
      </c>
      <c r="L6339" t="n">
        <v>0</v>
      </c>
      <c r="M6339" t="n">
        <v>0</v>
      </c>
      <c r="N6339" t="n">
        <v>0</v>
      </c>
      <c r="O6339" t="n">
        <v>0</v>
      </c>
      <c r="P6339" t="n">
        <v>0</v>
      </c>
      <c r="Q6339" t="n">
        <v>0</v>
      </c>
      <c r="R6339" s="2" t="inlineStr"/>
    </row>
    <row r="6340" ht="15" customHeight="1">
      <c r="A6340" t="inlineStr">
        <is>
          <t>A 5017-2022</t>
        </is>
      </c>
      <c r="B6340" s="1" t="n">
        <v>44593</v>
      </c>
      <c r="C6340" s="1" t="n">
        <v>45810</v>
      </c>
      <c r="D6340" t="inlineStr">
        <is>
          <t>VÄRMLANDS LÄN</t>
        </is>
      </c>
      <c r="E6340" t="inlineStr">
        <is>
          <t>KARLSTAD</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5056-2022</t>
        </is>
      </c>
      <c r="B6341" s="1" t="n">
        <v>44593</v>
      </c>
      <c r="C6341" s="1" t="n">
        <v>45810</v>
      </c>
      <c r="D6341" t="inlineStr">
        <is>
          <t>VÄRMLANDS LÄN</t>
        </is>
      </c>
      <c r="E6341" t="inlineStr">
        <is>
          <t>KARLSTAD</t>
        </is>
      </c>
      <c r="F6341" t="inlineStr">
        <is>
          <t>Kommuner</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5164-2022</t>
        </is>
      </c>
      <c r="B6342" s="1" t="n">
        <v>44594</v>
      </c>
      <c r="C6342" s="1" t="n">
        <v>45810</v>
      </c>
      <c r="D6342" t="inlineStr">
        <is>
          <t>VÄRMLANDS LÄN</t>
        </is>
      </c>
      <c r="E6342" t="inlineStr">
        <is>
          <t>HAGFORS</t>
        </is>
      </c>
      <c r="F6342" t="inlineStr">
        <is>
          <t>Bergvik skog väst AB</t>
        </is>
      </c>
      <c r="G6342" t="n">
        <v>3.8</v>
      </c>
      <c r="H6342" t="n">
        <v>0</v>
      </c>
      <c r="I6342" t="n">
        <v>0</v>
      </c>
      <c r="J6342" t="n">
        <v>0</v>
      </c>
      <c r="K6342" t="n">
        <v>0</v>
      </c>
      <c r="L6342" t="n">
        <v>0</v>
      </c>
      <c r="M6342" t="n">
        <v>0</v>
      </c>
      <c r="N6342" t="n">
        <v>0</v>
      </c>
      <c r="O6342" t="n">
        <v>0</v>
      </c>
      <c r="P6342" t="n">
        <v>0</v>
      </c>
      <c r="Q6342" t="n">
        <v>0</v>
      </c>
      <c r="R6342" s="2" t="inlineStr"/>
    </row>
    <row r="6343" ht="15" customHeight="1">
      <c r="A6343" t="inlineStr">
        <is>
          <t>A 5202-2022</t>
        </is>
      </c>
      <c r="B6343" s="1" t="n">
        <v>44594</v>
      </c>
      <c r="C6343" s="1" t="n">
        <v>45810</v>
      </c>
      <c r="D6343" t="inlineStr">
        <is>
          <t>VÄRMLANDS LÄN</t>
        </is>
      </c>
      <c r="E6343" t="inlineStr">
        <is>
          <t>HAGFORS</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5289-2022</t>
        </is>
      </c>
      <c r="B6344" s="1" t="n">
        <v>44594</v>
      </c>
      <c r="C6344" s="1" t="n">
        <v>45810</v>
      </c>
      <c r="D6344" t="inlineStr">
        <is>
          <t>VÄRMLANDS LÄN</t>
        </is>
      </c>
      <c r="E6344" t="inlineStr">
        <is>
          <t>TORSBY</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5342-2022</t>
        </is>
      </c>
      <c r="B6345" s="1" t="n">
        <v>44594</v>
      </c>
      <c r="C6345" s="1" t="n">
        <v>45810</v>
      </c>
      <c r="D6345" t="inlineStr">
        <is>
          <t>VÄRMLANDS LÄN</t>
        </is>
      </c>
      <c r="E6345" t="inlineStr">
        <is>
          <t>ÅRJÄNG</t>
        </is>
      </c>
      <c r="G6345" t="n">
        <v>1.5</v>
      </c>
      <c r="H6345" t="n">
        <v>0</v>
      </c>
      <c r="I6345" t="n">
        <v>0</v>
      </c>
      <c r="J6345" t="n">
        <v>0</v>
      </c>
      <c r="K6345" t="n">
        <v>0</v>
      </c>
      <c r="L6345" t="n">
        <v>0</v>
      </c>
      <c r="M6345" t="n">
        <v>0</v>
      </c>
      <c r="N6345" t="n">
        <v>0</v>
      </c>
      <c r="O6345" t="n">
        <v>0</v>
      </c>
      <c r="P6345" t="n">
        <v>0</v>
      </c>
      <c r="Q6345" t="n">
        <v>0</v>
      </c>
      <c r="R6345" s="2" t="inlineStr"/>
    </row>
    <row r="6346" ht="15" customHeight="1">
      <c r="A6346" t="inlineStr">
        <is>
          <t>A 5346-2022</t>
        </is>
      </c>
      <c r="B6346" s="1" t="n">
        <v>44594</v>
      </c>
      <c r="C6346" s="1" t="n">
        <v>45810</v>
      </c>
      <c r="D6346" t="inlineStr">
        <is>
          <t>VÄRMLANDS LÄN</t>
        </is>
      </c>
      <c r="E6346" t="inlineStr">
        <is>
          <t>ÅRJÄNG</t>
        </is>
      </c>
      <c r="G6346" t="n">
        <v>0.4</v>
      </c>
      <c r="H6346" t="n">
        <v>0</v>
      </c>
      <c r="I6346" t="n">
        <v>0</v>
      </c>
      <c r="J6346" t="n">
        <v>0</v>
      </c>
      <c r="K6346" t="n">
        <v>0</v>
      </c>
      <c r="L6346" t="n">
        <v>0</v>
      </c>
      <c r="M6346" t="n">
        <v>0</v>
      </c>
      <c r="N6346" t="n">
        <v>0</v>
      </c>
      <c r="O6346" t="n">
        <v>0</v>
      </c>
      <c r="P6346" t="n">
        <v>0</v>
      </c>
      <c r="Q6346" t="n">
        <v>0</v>
      </c>
      <c r="R6346" s="2" t="inlineStr"/>
    </row>
    <row r="6347" ht="15" customHeight="1">
      <c r="A6347" t="inlineStr">
        <is>
          <t>A 5440-2022</t>
        </is>
      </c>
      <c r="B6347" s="1" t="n">
        <v>44594</v>
      </c>
      <c r="C6347" s="1" t="n">
        <v>45810</v>
      </c>
      <c r="D6347" t="inlineStr">
        <is>
          <t>VÄRMLANDS LÄN</t>
        </is>
      </c>
      <c r="E6347" t="inlineStr">
        <is>
          <t>ARVIKA</t>
        </is>
      </c>
      <c r="G6347" t="n">
        <v>2.9</v>
      </c>
      <c r="H6347" t="n">
        <v>0</v>
      </c>
      <c r="I6347" t="n">
        <v>0</v>
      </c>
      <c r="J6347" t="n">
        <v>0</v>
      </c>
      <c r="K6347" t="n">
        <v>0</v>
      </c>
      <c r="L6347" t="n">
        <v>0</v>
      </c>
      <c r="M6347" t="n">
        <v>0</v>
      </c>
      <c r="N6347" t="n">
        <v>0</v>
      </c>
      <c r="O6347" t="n">
        <v>0</v>
      </c>
      <c r="P6347" t="n">
        <v>0</v>
      </c>
      <c r="Q6347" t="n">
        <v>0</v>
      </c>
      <c r="R6347" s="2" t="inlineStr"/>
    </row>
    <row r="6348" ht="15" customHeight="1">
      <c r="A6348" t="inlineStr">
        <is>
          <t>A 5361-2022</t>
        </is>
      </c>
      <c r="B6348" s="1" t="n">
        <v>44594</v>
      </c>
      <c r="C6348" s="1" t="n">
        <v>45810</v>
      </c>
      <c r="D6348" t="inlineStr">
        <is>
          <t>VÄRMLANDS LÄN</t>
        </is>
      </c>
      <c r="E6348" t="inlineStr">
        <is>
          <t>SUNNE</t>
        </is>
      </c>
      <c r="G6348" t="n">
        <v>3.2</v>
      </c>
      <c r="H6348" t="n">
        <v>0</v>
      </c>
      <c r="I6348" t="n">
        <v>0</v>
      </c>
      <c r="J6348" t="n">
        <v>0</v>
      </c>
      <c r="K6348" t="n">
        <v>0</v>
      </c>
      <c r="L6348" t="n">
        <v>0</v>
      </c>
      <c r="M6348" t="n">
        <v>0</v>
      </c>
      <c r="N6348" t="n">
        <v>0</v>
      </c>
      <c r="O6348" t="n">
        <v>0</v>
      </c>
      <c r="P6348" t="n">
        <v>0</v>
      </c>
      <c r="Q6348" t="n">
        <v>0</v>
      </c>
      <c r="R6348" s="2" t="inlineStr"/>
    </row>
    <row r="6349" ht="15" customHeight="1">
      <c r="A6349" t="inlineStr">
        <is>
          <t>A 5448-2022</t>
        </is>
      </c>
      <c r="B6349" s="1" t="n">
        <v>44594</v>
      </c>
      <c r="C6349" s="1" t="n">
        <v>45810</v>
      </c>
      <c r="D6349" t="inlineStr">
        <is>
          <t>VÄRMLANDS LÄN</t>
        </is>
      </c>
      <c r="E6349" t="inlineStr">
        <is>
          <t>KARLSTAD</t>
        </is>
      </c>
      <c r="G6349" t="n">
        <v>6.1</v>
      </c>
      <c r="H6349" t="n">
        <v>0</v>
      </c>
      <c r="I6349" t="n">
        <v>0</v>
      </c>
      <c r="J6349" t="n">
        <v>0</v>
      </c>
      <c r="K6349" t="n">
        <v>0</v>
      </c>
      <c r="L6349" t="n">
        <v>0</v>
      </c>
      <c r="M6349" t="n">
        <v>0</v>
      </c>
      <c r="N6349" t="n">
        <v>0</v>
      </c>
      <c r="O6349" t="n">
        <v>0</v>
      </c>
      <c r="P6349" t="n">
        <v>0</v>
      </c>
      <c r="Q6349" t="n">
        <v>0</v>
      </c>
      <c r="R6349" s="2" t="inlineStr"/>
    </row>
    <row r="6350" ht="15" customHeight="1">
      <c r="A6350" t="inlineStr">
        <is>
          <t>A 5417-2022</t>
        </is>
      </c>
      <c r="B6350" s="1" t="n">
        <v>44594</v>
      </c>
      <c r="C6350" s="1" t="n">
        <v>45810</v>
      </c>
      <c r="D6350" t="inlineStr">
        <is>
          <t>VÄRMLANDS LÄN</t>
        </is>
      </c>
      <c r="E6350" t="inlineStr">
        <is>
          <t>ARVIKA</t>
        </is>
      </c>
      <c r="G6350" t="n">
        <v>2.7</v>
      </c>
      <c r="H6350" t="n">
        <v>0</v>
      </c>
      <c r="I6350" t="n">
        <v>0</v>
      </c>
      <c r="J6350" t="n">
        <v>0</v>
      </c>
      <c r="K6350" t="n">
        <v>0</v>
      </c>
      <c r="L6350" t="n">
        <v>0</v>
      </c>
      <c r="M6350" t="n">
        <v>0</v>
      </c>
      <c r="N6350" t="n">
        <v>0</v>
      </c>
      <c r="O6350" t="n">
        <v>0</v>
      </c>
      <c r="P6350" t="n">
        <v>0</v>
      </c>
      <c r="Q6350" t="n">
        <v>0</v>
      </c>
      <c r="R6350" s="2" t="inlineStr"/>
    </row>
    <row r="6351" ht="15" customHeight="1">
      <c r="A6351" t="inlineStr">
        <is>
          <t>A 5461-2022</t>
        </is>
      </c>
      <c r="B6351" s="1" t="n">
        <v>44594</v>
      </c>
      <c r="C6351" s="1" t="n">
        <v>45810</v>
      </c>
      <c r="D6351" t="inlineStr">
        <is>
          <t>VÄRMLANDS LÄN</t>
        </is>
      </c>
      <c r="E6351" t="inlineStr">
        <is>
          <t>KARLSTAD</t>
        </is>
      </c>
      <c r="G6351" t="n">
        <v>3.3</v>
      </c>
      <c r="H6351" t="n">
        <v>0</v>
      </c>
      <c r="I6351" t="n">
        <v>0</v>
      </c>
      <c r="J6351" t="n">
        <v>0</v>
      </c>
      <c r="K6351" t="n">
        <v>0</v>
      </c>
      <c r="L6351" t="n">
        <v>0</v>
      </c>
      <c r="M6351" t="n">
        <v>0</v>
      </c>
      <c r="N6351" t="n">
        <v>0</v>
      </c>
      <c r="O6351" t="n">
        <v>0</v>
      </c>
      <c r="P6351" t="n">
        <v>0</v>
      </c>
      <c r="Q6351" t="n">
        <v>0</v>
      </c>
      <c r="R6351" s="2" t="inlineStr"/>
    </row>
    <row r="6352" ht="15" customHeight="1">
      <c r="A6352" t="inlineStr">
        <is>
          <t>A 5415-2022</t>
        </is>
      </c>
      <c r="B6352" s="1" t="n">
        <v>44594</v>
      </c>
      <c r="C6352" s="1" t="n">
        <v>45810</v>
      </c>
      <c r="D6352" t="inlineStr">
        <is>
          <t>VÄRMLANDS LÄN</t>
        </is>
      </c>
      <c r="E6352" t="inlineStr">
        <is>
          <t>KIL</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5458-2022</t>
        </is>
      </c>
      <c r="B6353" s="1" t="n">
        <v>44594</v>
      </c>
      <c r="C6353" s="1" t="n">
        <v>45810</v>
      </c>
      <c r="D6353" t="inlineStr">
        <is>
          <t>VÄRMLANDS LÄN</t>
        </is>
      </c>
      <c r="E6353" t="inlineStr">
        <is>
          <t>KARLSTAD</t>
        </is>
      </c>
      <c r="G6353" t="n">
        <v>1.9</v>
      </c>
      <c r="H6353" t="n">
        <v>0</v>
      </c>
      <c r="I6353" t="n">
        <v>0</v>
      </c>
      <c r="J6353" t="n">
        <v>0</v>
      </c>
      <c r="K6353" t="n">
        <v>0</v>
      </c>
      <c r="L6353" t="n">
        <v>0</v>
      </c>
      <c r="M6353" t="n">
        <v>0</v>
      </c>
      <c r="N6353" t="n">
        <v>0</v>
      </c>
      <c r="O6353" t="n">
        <v>0</v>
      </c>
      <c r="P6353" t="n">
        <v>0</v>
      </c>
      <c r="Q6353" t="n">
        <v>0</v>
      </c>
      <c r="R6353" s="2" t="inlineStr"/>
    </row>
    <row r="6354" ht="15" customHeight="1">
      <c r="A6354" t="inlineStr">
        <is>
          <t>A 5482-2022</t>
        </is>
      </c>
      <c r="B6354" s="1" t="n">
        <v>44595</v>
      </c>
      <c r="C6354" s="1" t="n">
        <v>45810</v>
      </c>
      <c r="D6354" t="inlineStr">
        <is>
          <t>VÄRMLANDS LÄN</t>
        </is>
      </c>
      <c r="E6354" t="inlineStr">
        <is>
          <t>HAGFORS</t>
        </is>
      </c>
      <c r="G6354" t="n">
        <v>4.9</v>
      </c>
      <c r="H6354" t="n">
        <v>0</v>
      </c>
      <c r="I6354" t="n">
        <v>0</v>
      </c>
      <c r="J6354" t="n">
        <v>0</v>
      </c>
      <c r="K6354" t="n">
        <v>0</v>
      </c>
      <c r="L6354" t="n">
        <v>0</v>
      </c>
      <c r="M6354" t="n">
        <v>0</v>
      </c>
      <c r="N6354" t="n">
        <v>0</v>
      </c>
      <c r="O6354" t="n">
        <v>0</v>
      </c>
      <c r="P6354" t="n">
        <v>0</v>
      </c>
      <c r="Q6354" t="n">
        <v>0</v>
      </c>
      <c r="R6354" s="2" t="inlineStr"/>
    </row>
    <row r="6355" ht="15" customHeight="1">
      <c r="A6355" t="inlineStr">
        <is>
          <t>A 5507-2022</t>
        </is>
      </c>
      <c r="B6355" s="1" t="n">
        <v>44595</v>
      </c>
      <c r="C6355" s="1" t="n">
        <v>45810</v>
      </c>
      <c r="D6355" t="inlineStr">
        <is>
          <t>VÄRMLANDS LÄN</t>
        </is>
      </c>
      <c r="E6355" t="inlineStr">
        <is>
          <t>KRISTINEHAMN</t>
        </is>
      </c>
      <c r="F6355" t="inlineStr">
        <is>
          <t>Kommuner</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5535-2022</t>
        </is>
      </c>
      <c r="B6356" s="1" t="n">
        <v>44595</v>
      </c>
      <c r="C6356" s="1" t="n">
        <v>45810</v>
      </c>
      <c r="D6356" t="inlineStr">
        <is>
          <t>VÄRMLANDS LÄN</t>
        </is>
      </c>
      <c r="E6356" t="inlineStr">
        <is>
          <t>KARLSTAD</t>
        </is>
      </c>
      <c r="G6356" t="n">
        <v>5.3</v>
      </c>
      <c r="H6356" t="n">
        <v>0</v>
      </c>
      <c r="I6356" t="n">
        <v>0</v>
      </c>
      <c r="J6356" t="n">
        <v>0</v>
      </c>
      <c r="K6356" t="n">
        <v>0</v>
      </c>
      <c r="L6356" t="n">
        <v>0</v>
      </c>
      <c r="M6356" t="n">
        <v>0</v>
      </c>
      <c r="N6356" t="n">
        <v>0</v>
      </c>
      <c r="O6356" t="n">
        <v>0</v>
      </c>
      <c r="P6356" t="n">
        <v>0</v>
      </c>
      <c r="Q6356" t="n">
        <v>0</v>
      </c>
      <c r="R6356" s="2" t="inlineStr"/>
    </row>
    <row r="6357" ht="15" customHeight="1">
      <c r="A6357" t="inlineStr">
        <is>
          <t>A 5483-2022</t>
        </is>
      </c>
      <c r="B6357" s="1" t="n">
        <v>44595</v>
      </c>
      <c r="C6357" s="1" t="n">
        <v>45810</v>
      </c>
      <c r="D6357" t="inlineStr">
        <is>
          <t>VÄRMLANDS LÄN</t>
        </is>
      </c>
      <c r="E6357" t="inlineStr">
        <is>
          <t>ARVIKA</t>
        </is>
      </c>
      <c r="G6357" t="n">
        <v>0.8</v>
      </c>
      <c r="H6357" t="n">
        <v>0</v>
      </c>
      <c r="I6357" t="n">
        <v>0</v>
      </c>
      <c r="J6357" t="n">
        <v>0</v>
      </c>
      <c r="K6357" t="n">
        <v>0</v>
      </c>
      <c r="L6357" t="n">
        <v>0</v>
      </c>
      <c r="M6357" t="n">
        <v>0</v>
      </c>
      <c r="N6357" t="n">
        <v>0</v>
      </c>
      <c r="O6357" t="n">
        <v>0</v>
      </c>
      <c r="P6357" t="n">
        <v>0</v>
      </c>
      <c r="Q6357" t="n">
        <v>0</v>
      </c>
      <c r="R6357" s="2" t="inlineStr"/>
    </row>
    <row r="6358" ht="15" customHeight="1">
      <c r="A6358" t="inlineStr">
        <is>
          <t>A 5505-2022</t>
        </is>
      </c>
      <c r="B6358" s="1" t="n">
        <v>44595</v>
      </c>
      <c r="C6358" s="1" t="n">
        <v>45810</v>
      </c>
      <c r="D6358" t="inlineStr">
        <is>
          <t>VÄRMLANDS LÄN</t>
        </is>
      </c>
      <c r="E6358" t="inlineStr">
        <is>
          <t>KRISTINEHAMN</t>
        </is>
      </c>
      <c r="F6358" t="inlineStr">
        <is>
          <t>Kommuner</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5559-2022</t>
        </is>
      </c>
      <c r="B6359" s="1" t="n">
        <v>44595</v>
      </c>
      <c r="C6359" s="1" t="n">
        <v>45810</v>
      </c>
      <c r="D6359" t="inlineStr">
        <is>
          <t>VÄRMLANDS LÄN</t>
        </is>
      </c>
      <c r="E6359" t="inlineStr">
        <is>
          <t>EDA</t>
        </is>
      </c>
      <c r="F6359" t="inlineStr">
        <is>
          <t>Kommuner</t>
        </is>
      </c>
      <c r="G6359" t="n">
        <v>8.300000000000001</v>
      </c>
      <c r="H6359" t="n">
        <v>0</v>
      </c>
      <c r="I6359" t="n">
        <v>0</v>
      </c>
      <c r="J6359" t="n">
        <v>0</v>
      </c>
      <c r="K6359" t="n">
        <v>0</v>
      </c>
      <c r="L6359" t="n">
        <v>0</v>
      </c>
      <c r="M6359" t="n">
        <v>0</v>
      </c>
      <c r="N6359" t="n">
        <v>0</v>
      </c>
      <c r="O6359" t="n">
        <v>0</v>
      </c>
      <c r="P6359" t="n">
        <v>0</v>
      </c>
      <c r="Q6359" t="n">
        <v>0</v>
      </c>
      <c r="R6359" s="2" t="inlineStr"/>
    </row>
    <row r="6360" ht="15" customHeight="1">
      <c r="A6360" t="inlineStr">
        <is>
          <t>A 5633-2022</t>
        </is>
      </c>
      <c r="B6360" s="1" t="n">
        <v>44595</v>
      </c>
      <c r="C6360" s="1" t="n">
        <v>45810</v>
      </c>
      <c r="D6360" t="inlineStr">
        <is>
          <t>VÄRMLANDS LÄN</t>
        </is>
      </c>
      <c r="E6360" t="inlineStr">
        <is>
          <t>GRUMS</t>
        </is>
      </c>
      <c r="G6360" t="n">
        <v>5.5</v>
      </c>
      <c r="H6360" t="n">
        <v>0</v>
      </c>
      <c r="I6360" t="n">
        <v>0</v>
      </c>
      <c r="J6360" t="n">
        <v>0</v>
      </c>
      <c r="K6360" t="n">
        <v>0</v>
      </c>
      <c r="L6360" t="n">
        <v>0</v>
      </c>
      <c r="M6360" t="n">
        <v>0</v>
      </c>
      <c r="N6360" t="n">
        <v>0</v>
      </c>
      <c r="O6360" t="n">
        <v>0</v>
      </c>
      <c r="P6360" t="n">
        <v>0</v>
      </c>
      <c r="Q6360" t="n">
        <v>0</v>
      </c>
      <c r="R6360" s="2" t="inlineStr"/>
    </row>
    <row r="6361" ht="15" customHeight="1">
      <c r="A6361" t="inlineStr">
        <is>
          <t>A 5667-2022</t>
        </is>
      </c>
      <c r="B6361" s="1" t="n">
        <v>44595</v>
      </c>
      <c r="C6361" s="1" t="n">
        <v>45810</v>
      </c>
      <c r="D6361" t="inlineStr">
        <is>
          <t>VÄRMLANDS LÄN</t>
        </is>
      </c>
      <c r="E6361" t="inlineStr">
        <is>
          <t>ÅRJÄNG</t>
        </is>
      </c>
      <c r="G6361" t="n">
        <v>4.4</v>
      </c>
      <c r="H6361" t="n">
        <v>0</v>
      </c>
      <c r="I6361" t="n">
        <v>0</v>
      </c>
      <c r="J6361" t="n">
        <v>0</v>
      </c>
      <c r="K6361" t="n">
        <v>0</v>
      </c>
      <c r="L6361" t="n">
        <v>0</v>
      </c>
      <c r="M6361" t="n">
        <v>0</v>
      </c>
      <c r="N6361" t="n">
        <v>0</v>
      </c>
      <c r="O6361" t="n">
        <v>0</v>
      </c>
      <c r="P6361" t="n">
        <v>0</v>
      </c>
      <c r="Q6361" t="n">
        <v>0</v>
      </c>
      <c r="R6361" s="2" t="inlineStr"/>
    </row>
    <row r="6362" ht="15" customHeight="1">
      <c r="A6362" t="inlineStr">
        <is>
          <t>A 5699-2022</t>
        </is>
      </c>
      <c r="B6362" s="1" t="n">
        <v>44596</v>
      </c>
      <c r="C6362" s="1" t="n">
        <v>45810</v>
      </c>
      <c r="D6362" t="inlineStr">
        <is>
          <t>VÄRMLANDS LÄN</t>
        </is>
      </c>
      <c r="E6362" t="inlineStr">
        <is>
          <t>EDA</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5750-2022</t>
        </is>
      </c>
      <c r="B6363" s="1" t="n">
        <v>44596</v>
      </c>
      <c r="C6363" s="1" t="n">
        <v>45810</v>
      </c>
      <c r="D6363" t="inlineStr">
        <is>
          <t>VÄRMLANDS LÄN</t>
        </is>
      </c>
      <c r="E6363" t="inlineStr">
        <is>
          <t>FILIPSTAD</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5698-2022</t>
        </is>
      </c>
      <c r="B6364" s="1" t="n">
        <v>44596</v>
      </c>
      <c r="C6364" s="1" t="n">
        <v>45810</v>
      </c>
      <c r="D6364" t="inlineStr">
        <is>
          <t>VÄRMLANDS LÄN</t>
        </is>
      </c>
      <c r="E6364" t="inlineStr">
        <is>
          <t>SÄFFLE</t>
        </is>
      </c>
      <c r="G6364" t="n">
        <v>0.5</v>
      </c>
      <c r="H6364" t="n">
        <v>0</v>
      </c>
      <c r="I6364" t="n">
        <v>0</v>
      </c>
      <c r="J6364" t="n">
        <v>0</v>
      </c>
      <c r="K6364" t="n">
        <v>0</v>
      </c>
      <c r="L6364" t="n">
        <v>0</v>
      </c>
      <c r="M6364" t="n">
        <v>0</v>
      </c>
      <c r="N6364" t="n">
        <v>0</v>
      </c>
      <c r="O6364" t="n">
        <v>0</v>
      </c>
      <c r="P6364" t="n">
        <v>0</v>
      </c>
      <c r="Q6364" t="n">
        <v>0</v>
      </c>
      <c r="R6364" s="2" t="inlineStr"/>
    </row>
    <row r="6365" ht="15" customHeight="1">
      <c r="A6365" t="inlineStr">
        <is>
          <t>A 5749-2022</t>
        </is>
      </c>
      <c r="B6365" s="1" t="n">
        <v>44596</v>
      </c>
      <c r="C6365" s="1" t="n">
        <v>45810</v>
      </c>
      <c r="D6365" t="inlineStr">
        <is>
          <t>VÄRMLANDS LÄN</t>
        </is>
      </c>
      <c r="E6365" t="inlineStr">
        <is>
          <t>HAGFORS</t>
        </is>
      </c>
      <c r="F6365" t="inlineStr">
        <is>
          <t>Bergvik skog väst AB</t>
        </is>
      </c>
      <c r="G6365" t="n">
        <v>6.1</v>
      </c>
      <c r="H6365" t="n">
        <v>0</v>
      </c>
      <c r="I6365" t="n">
        <v>0</v>
      </c>
      <c r="J6365" t="n">
        <v>0</v>
      </c>
      <c r="K6365" t="n">
        <v>0</v>
      </c>
      <c r="L6365" t="n">
        <v>0</v>
      </c>
      <c r="M6365" t="n">
        <v>0</v>
      </c>
      <c r="N6365" t="n">
        <v>0</v>
      </c>
      <c r="O6365" t="n">
        <v>0</v>
      </c>
      <c r="P6365" t="n">
        <v>0</v>
      </c>
      <c r="Q6365" t="n">
        <v>0</v>
      </c>
      <c r="R6365" s="2" t="inlineStr"/>
    </row>
    <row r="6366" ht="15" customHeight="1">
      <c r="A6366" t="inlineStr">
        <is>
          <t>A 5756-2022</t>
        </is>
      </c>
      <c r="B6366" s="1" t="n">
        <v>44596</v>
      </c>
      <c r="C6366" s="1" t="n">
        <v>45810</v>
      </c>
      <c r="D6366" t="inlineStr">
        <is>
          <t>VÄRMLANDS LÄN</t>
        </is>
      </c>
      <c r="E6366" t="inlineStr">
        <is>
          <t>ARVIKA</t>
        </is>
      </c>
      <c r="G6366" t="n">
        <v>3.5</v>
      </c>
      <c r="H6366" t="n">
        <v>0</v>
      </c>
      <c r="I6366" t="n">
        <v>0</v>
      </c>
      <c r="J6366" t="n">
        <v>0</v>
      </c>
      <c r="K6366" t="n">
        <v>0</v>
      </c>
      <c r="L6366" t="n">
        <v>0</v>
      </c>
      <c r="M6366" t="n">
        <v>0</v>
      </c>
      <c r="N6366" t="n">
        <v>0</v>
      </c>
      <c r="O6366" t="n">
        <v>0</v>
      </c>
      <c r="P6366" t="n">
        <v>0</v>
      </c>
      <c r="Q6366" t="n">
        <v>0</v>
      </c>
      <c r="R6366" s="2" t="inlineStr"/>
    </row>
    <row r="6367" ht="15" customHeight="1">
      <c r="A6367" t="inlineStr">
        <is>
          <t>A 5665-2022</t>
        </is>
      </c>
      <c r="B6367" s="1" t="n">
        <v>44596</v>
      </c>
      <c r="C6367" s="1" t="n">
        <v>45810</v>
      </c>
      <c r="D6367" t="inlineStr">
        <is>
          <t>VÄRMLANDS LÄN</t>
        </is>
      </c>
      <c r="E6367" t="inlineStr">
        <is>
          <t>ÅRJÄNG</t>
        </is>
      </c>
      <c r="F6367" t="inlineStr">
        <is>
          <t>Bergvik skog väst AB</t>
        </is>
      </c>
      <c r="G6367" t="n">
        <v>9.6</v>
      </c>
      <c r="H6367" t="n">
        <v>0</v>
      </c>
      <c r="I6367" t="n">
        <v>0</v>
      </c>
      <c r="J6367" t="n">
        <v>0</v>
      </c>
      <c r="K6367" t="n">
        <v>0</v>
      </c>
      <c r="L6367" t="n">
        <v>0</v>
      </c>
      <c r="M6367" t="n">
        <v>0</v>
      </c>
      <c r="N6367" t="n">
        <v>0</v>
      </c>
      <c r="O6367" t="n">
        <v>0</v>
      </c>
      <c r="P6367" t="n">
        <v>0</v>
      </c>
      <c r="Q6367" t="n">
        <v>0</v>
      </c>
      <c r="R6367" s="2" t="inlineStr"/>
    </row>
    <row r="6368" ht="15" customHeight="1">
      <c r="A6368" t="inlineStr">
        <is>
          <t>A 5754-2022</t>
        </is>
      </c>
      <c r="B6368" s="1" t="n">
        <v>44596</v>
      </c>
      <c r="C6368" s="1" t="n">
        <v>45810</v>
      </c>
      <c r="D6368" t="inlineStr">
        <is>
          <t>VÄRMLANDS LÄN</t>
        </is>
      </c>
      <c r="E6368" t="inlineStr">
        <is>
          <t>FILIPSTAD</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5758-2022</t>
        </is>
      </c>
      <c r="B6369" s="1" t="n">
        <v>44596</v>
      </c>
      <c r="C6369" s="1" t="n">
        <v>45810</v>
      </c>
      <c r="D6369" t="inlineStr">
        <is>
          <t>VÄRMLANDS LÄN</t>
        </is>
      </c>
      <c r="E6369" t="inlineStr">
        <is>
          <t>FORSHAGA</t>
        </is>
      </c>
      <c r="F6369" t="inlineStr">
        <is>
          <t>Bergvik skog väst AB</t>
        </is>
      </c>
      <c r="G6369" t="n">
        <v>3.1</v>
      </c>
      <c r="H6369" t="n">
        <v>0</v>
      </c>
      <c r="I6369" t="n">
        <v>0</v>
      </c>
      <c r="J6369" t="n">
        <v>0</v>
      </c>
      <c r="K6369" t="n">
        <v>0</v>
      </c>
      <c r="L6369" t="n">
        <v>0</v>
      </c>
      <c r="M6369" t="n">
        <v>0</v>
      </c>
      <c r="N6369" t="n">
        <v>0</v>
      </c>
      <c r="O6369" t="n">
        <v>0</v>
      </c>
      <c r="P6369" t="n">
        <v>0</v>
      </c>
      <c r="Q6369" t="n">
        <v>0</v>
      </c>
      <c r="R6369" s="2" t="inlineStr"/>
    </row>
    <row r="6370" ht="15" customHeight="1">
      <c r="A6370" t="inlineStr">
        <is>
          <t>A 5782-2022</t>
        </is>
      </c>
      <c r="B6370" s="1" t="n">
        <v>44596</v>
      </c>
      <c r="C6370" s="1" t="n">
        <v>45810</v>
      </c>
      <c r="D6370" t="inlineStr">
        <is>
          <t>VÄRMLANDS LÄN</t>
        </is>
      </c>
      <c r="E6370" t="inlineStr">
        <is>
          <t>ARVIKA</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5830-2022</t>
        </is>
      </c>
      <c r="B6371" s="1" t="n">
        <v>44596</v>
      </c>
      <c r="C6371" s="1" t="n">
        <v>45810</v>
      </c>
      <c r="D6371" t="inlineStr">
        <is>
          <t>VÄRMLANDS LÄN</t>
        </is>
      </c>
      <c r="E6371" t="inlineStr">
        <is>
          <t>ÅRJÄNG</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5836-2022</t>
        </is>
      </c>
      <c r="B6372" s="1" t="n">
        <v>44596</v>
      </c>
      <c r="C6372" s="1" t="n">
        <v>45810</v>
      </c>
      <c r="D6372" t="inlineStr">
        <is>
          <t>VÄRMLANDS LÄN</t>
        </is>
      </c>
      <c r="E6372" t="inlineStr">
        <is>
          <t>ÅRJÄNG</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5848-2022</t>
        </is>
      </c>
      <c r="B6373" s="1" t="n">
        <v>44596</v>
      </c>
      <c r="C6373" s="1" t="n">
        <v>45810</v>
      </c>
      <c r="D6373" t="inlineStr">
        <is>
          <t>VÄRMLANDS LÄN</t>
        </is>
      </c>
      <c r="E6373" t="inlineStr">
        <is>
          <t>KRISTINEHAMN</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5841-2022</t>
        </is>
      </c>
      <c r="B6374" s="1" t="n">
        <v>44596</v>
      </c>
      <c r="C6374" s="1" t="n">
        <v>45810</v>
      </c>
      <c r="D6374" t="inlineStr">
        <is>
          <t>VÄRMLANDS LÄN</t>
        </is>
      </c>
      <c r="E6374" t="inlineStr">
        <is>
          <t>GRUMS</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5928-2022</t>
        </is>
      </c>
      <c r="B6375" s="1" t="n">
        <v>44598</v>
      </c>
      <c r="C6375" s="1" t="n">
        <v>45810</v>
      </c>
      <c r="D6375" t="inlineStr">
        <is>
          <t>VÄRMLANDS LÄN</t>
        </is>
      </c>
      <c r="E6375" t="inlineStr">
        <is>
          <t>FILIPSTAD</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6061-2022</t>
        </is>
      </c>
      <c r="B6376" s="1" t="n">
        <v>44599</v>
      </c>
      <c r="C6376" s="1" t="n">
        <v>45810</v>
      </c>
      <c r="D6376" t="inlineStr">
        <is>
          <t>VÄRMLANDS LÄN</t>
        </is>
      </c>
      <c r="E6376" t="inlineStr">
        <is>
          <t>KARLSTAD</t>
        </is>
      </c>
      <c r="G6376" t="n">
        <v>1.7</v>
      </c>
      <c r="H6376" t="n">
        <v>0</v>
      </c>
      <c r="I6376" t="n">
        <v>0</v>
      </c>
      <c r="J6376" t="n">
        <v>0</v>
      </c>
      <c r="K6376" t="n">
        <v>0</v>
      </c>
      <c r="L6376" t="n">
        <v>0</v>
      </c>
      <c r="M6376" t="n">
        <v>0</v>
      </c>
      <c r="N6376" t="n">
        <v>0</v>
      </c>
      <c r="O6376" t="n">
        <v>0</v>
      </c>
      <c r="P6376" t="n">
        <v>0</v>
      </c>
      <c r="Q6376" t="n">
        <v>0</v>
      </c>
      <c r="R6376" s="2" t="inlineStr"/>
    </row>
    <row r="6377" ht="15" customHeight="1">
      <c r="A6377" t="inlineStr">
        <is>
          <t>A 6093-2022</t>
        </is>
      </c>
      <c r="B6377" s="1" t="n">
        <v>44599</v>
      </c>
      <c r="C6377" s="1" t="n">
        <v>45810</v>
      </c>
      <c r="D6377" t="inlineStr">
        <is>
          <t>VÄRMLANDS LÄN</t>
        </is>
      </c>
      <c r="E6377" t="inlineStr">
        <is>
          <t>GRUMS</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6163-2022</t>
        </is>
      </c>
      <c r="B6378" s="1" t="n">
        <v>44599</v>
      </c>
      <c r="C6378" s="1" t="n">
        <v>45810</v>
      </c>
      <c r="D6378" t="inlineStr">
        <is>
          <t>VÄRMLANDS LÄN</t>
        </is>
      </c>
      <c r="E6378" t="inlineStr">
        <is>
          <t>KARLSTAD</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6174-2022</t>
        </is>
      </c>
      <c r="B6379" s="1" t="n">
        <v>44599</v>
      </c>
      <c r="C6379" s="1" t="n">
        <v>45810</v>
      </c>
      <c r="D6379" t="inlineStr">
        <is>
          <t>VÄRMLANDS LÄN</t>
        </is>
      </c>
      <c r="E6379" t="inlineStr">
        <is>
          <t>KARLSTAD</t>
        </is>
      </c>
      <c r="G6379" t="n">
        <v>22.8</v>
      </c>
      <c r="H6379" t="n">
        <v>0</v>
      </c>
      <c r="I6379" t="n">
        <v>0</v>
      </c>
      <c r="J6379" t="n">
        <v>0</v>
      </c>
      <c r="K6379" t="n">
        <v>0</v>
      </c>
      <c r="L6379" t="n">
        <v>0</v>
      </c>
      <c r="M6379" t="n">
        <v>0</v>
      </c>
      <c r="N6379" t="n">
        <v>0</v>
      </c>
      <c r="O6379" t="n">
        <v>0</v>
      </c>
      <c r="P6379" t="n">
        <v>0</v>
      </c>
      <c r="Q6379" t="n">
        <v>0</v>
      </c>
      <c r="R6379" s="2" t="inlineStr"/>
    </row>
    <row r="6380" ht="15" customHeight="1">
      <c r="A6380" t="inlineStr">
        <is>
          <t>A 6227-2022</t>
        </is>
      </c>
      <c r="B6380" s="1" t="n">
        <v>44600</v>
      </c>
      <c r="C6380" s="1" t="n">
        <v>45810</v>
      </c>
      <c r="D6380" t="inlineStr">
        <is>
          <t>VÄRMLANDS LÄN</t>
        </is>
      </c>
      <c r="E6380" t="inlineStr">
        <is>
          <t>STORFORS</t>
        </is>
      </c>
      <c r="G6380" t="n">
        <v>3.4</v>
      </c>
      <c r="H6380" t="n">
        <v>0</v>
      </c>
      <c r="I6380" t="n">
        <v>0</v>
      </c>
      <c r="J6380" t="n">
        <v>0</v>
      </c>
      <c r="K6380" t="n">
        <v>0</v>
      </c>
      <c r="L6380" t="n">
        <v>0</v>
      </c>
      <c r="M6380" t="n">
        <v>0</v>
      </c>
      <c r="N6380" t="n">
        <v>0</v>
      </c>
      <c r="O6380" t="n">
        <v>0</v>
      </c>
      <c r="P6380" t="n">
        <v>0</v>
      </c>
      <c r="Q6380" t="n">
        <v>0</v>
      </c>
      <c r="R6380" s="2" t="inlineStr"/>
    </row>
    <row r="6381" ht="15" customHeight="1">
      <c r="A6381" t="inlineStr">
        <is>
          <t>A 6323-2022</t>
        </is>
      </c>
      <c r="B6381" s="1" t="n">
        <v>44600</v>
      </c>
      <c r="C6381" s="1" t="n">
        <v>45810</v>
      </c>
      <c r="D6381" t="inlineStr">
        <is>
          <t>VÄRMLANDS LÄN</t>
        </is>
      </c>
      <c r="E6381" t="inlineStr">
        <is>
          <t>KARLSTAD</t>
        </is>
      </c>
      <c r="G6381" t="n">
        <v>2.1</v>
      </c>
      <c r="H6381" t="n">
        <v>0</v>
      </c>
      <c r="I6381" t="n">
        <v>0</v>
      </c>
      <c r="J6381" t="n">
        <v>0</v>
      </c>
      <c r="K6381" t="n">
        <v>0</v>
      </c>
      <c r="L6381" t="n">
        <v>0</v>
      </c>
      <c r="M6381" t="n">
        <v>0</v>
      </c>
      <c r="N6381" t="n">
        <v>0</v>
      </c>
      <c r="O6381" t="n">
        <v>0</v>
      </c>
      <c r="P6381" t="n">
        <v>0</v>
      </c>
      <c r="Q6381" t="n">
        <v>0</v>
      </c>
      <c r="R6381" s="2" t="inlineStr"/>
    </row>
    <row r="6382" ht="15" customHeight="1">
      <c r="A6382" t="inlineStr">
        <is>
          <t>A 6330-2022</t>
        </is>
      </c>
      <c r="B6382" s="1" t="n">
        <v>44600</v>
      </c>
      <c r="C6382" s="1" t="n">
        <v>45810</v>
      </c>
      <c r="D6382" t="inlineStr">
        <is>
          <t>VÄRMLANDS LÄN</t>
        </is>
      </c>
      <c r="E6382" t="inlineStr">
        <is>
          <t>STORFORS</t>
        </is>
      </c>
      <c r="F6382" t="inlineStr">
        <is>
          <t>Bergvik skog väst AB</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6384-2022</t>
        </is>
      </c>
      <c r="B6383" s="1" t="n">
        <v>44600</v>
      </c>
      <c r="C6383" s="1" t="n">
        <v>45810</v>
      </c>
      <c r="D6383" t="inlineStr">
        <is>
          <t>VÄRMLANDS LÄN</t>
        </is>
      </c>
      <c r="E6383" t="inlineStr">
        <is>
          <t>SUNNE</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6438-2022</t>
        </is>
      </c>
      <c r="B6384" s="1" t="n">
        <v>44601</v>
      </c>
      <c r="C6384" s="1" t="n">
        <v>45810</v>
      </c>
      <c r="D6384" t="inlineStr">
        <is>
          <t>VÄRMLANDS LÄN</t>
        </is>
      </c>
      <c r="E6384" t="inlineStr">
        <is>
          <t>TORSBY</t>
        </is>
      </c>
      <c r="G6384" t="n">
        <v>2.9</v>
      </c>
      <c r="H6384" t="n">
        <v>0</v>
      </c>
      <c r="I6384" t="n">
        <v>0</v>
      </c>
      <c r="J6384" t="n">
        <v>0</v>
      </c>
      <c r="K6384" t="n">
        <v>0</v>
      </c>
      <c r="L6384" t="n">
        <v>0</v>
      </c>
      <c r="M6384" t="n">
        <v>0</v>
      </c>
      <c r="N6384" t="n">
        <v>0</v>
      </c>
      <c r="O6384" t="n">
        <v>0</v>
      </c>
      <c r="P6384" t="n">
        <v>0</v>
      </c>
      <c r="Q6384" t="n">
        <v>0</v>
      </c>
      <c r="R6384" s="2" t="inlineStr"/>
    </row>
    <row r="6385" ht="15" customHeight="1">
      <c r="A6385" t="inlineStr">
        <is>
          <t>A 6524-2022</t>
        </is>
      </c>
      <c r="B6385" s="1" t="n">
        <v>44601</v>
      </c>
      <c r="C6385" s="1" t="n">
        <v>45810</v>
      </c>
      <c r="D6385" t="inlineStr">
        <is>
          <t>VÄRMLANDS LÄN</t>
        </is>
      </c>
      <c r="E6385" t="inlineStr">
        <is>
          <t>ÅRJÄNG</t>
        </is>
      </c>
      <c r="G6385" t="n">
        <v>2.6</v>
      </c>
      <c r="H6385" t="n">
        <v>0</v>
      </c>
      <c r="I6385" t="n">
        <v>0</v>
      </c>
      <c r="J6385" t="n">
        <v>0</v>
      </c>
      <c r="K6385" t="n">
        <v>0</v>
      </c>
      <c r="L6385" t="n">
        <v>0</v>
      </c>
      <c r="M6385" t="n">
        <v>0</v>
      </c>
      <c r="N6385" t="n">
        <v>0</v>
      </c>
      <c r="O6385" t="n">
        <v>0</v>
      </c>
      <c r="P6385" t="n">
        <v>0</v>
      </c>
      <c r="Q6385" t="n">
        <v>0</v>
      </c>
      <c r="R6385" s="2" t="inlineStr"/>
    </row>
    <row r="6386" ht="15" customHeight="1">
      <c r="A6386" t="inlineStr">
        <is>
          <t>A 6541-2022</t>
        </is>
      </c>
      <c r="B6386" s="1" t="n">
        <v>44601</v>
      </c>
      <c r="C6386" s="1" t="n">
        <v>45810</v>
      </c>
      <c r="D6386" t="inlineStr">
        <is>
          <t>VÄRMLANDS LÄN</t>
        </is>
      </c>
      <c r="E6386" t="inlineStr">
        <is>
          <t>ÅRJÄNG</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6692-2022</t>
        </is>
      </c>
      <c r="B6387" s="1" t="n">
        <v>44602</v>
      </c>
      <c r="C6387" s="1" t="n">
        <v>45810</v>
      </c>
      <c r="D6387" t="inlineStr">
        <is>
          <t>VÄRMLANDS LÄN</t>
        </is>
      </c>
      <c r="E6387" t="inlineStr">
        <is>
          <t>SUNNE</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6708-2022</t>
        </is>
      </c>
      <c r="B6388" s="1" t="n">
        <v>44602</v>
      </c>
      <c r="C6388" s="1" t="n">
        <v>45810</v>
      </c>
      <c r="D6388" t="inlineStr">
        <is>
          <t>VÄRMLANDS LÄN</t>
        </is>
      </c>
      <c r="E6388" t="inlineStr">
        <is>
          <t>HAGFORS</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6697-2022</t>
        </is>
      </c>
      <c r="B6389" s="1" t="n">
        <v>44602</v>
      </c>
      <c r="C6389" s="1" t="n">
        <v>45810</v>
      </c>
      <c r="D6389" t="inlineStr">
        <is>
          <t>VÄRMLANDS LÄN</t>
        </is>
      </c>
      <c r="E6389" t="inlineStr">
        <is>
          <t>SUNNE</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6706-2022</t>
        </is>
      </c>
      <c r="B6390" s="1" t="n">
        <v>44602</v>
      </c>
      <c r="C6390" s="1" t="n">
        <v>45810</v>
      </c>
      <c r="D6390" t="inlineStr">
        <is>
          <t>VÄRMLANDS LÄN</t>
        </is>
      </c>
      <c r="E6390" t="inlineStr">
        <is>
          <t>SUNNE</t>
        </is>
      </c>
      <c r="G6390" t="n">
        <v>2.2</v>
      </c>
      <c r="H6390" t="n">
        <v>0</v>
      </c>
      <c r="I6390" t="n">
        <v>0</v>
      </c>
      <c r="J6390" t="n">
        <v>0</v>
      </c>
      <c r="K6390" t="n">
        <v>0</v>
      </c>
      <c r="L6390" t="n">
        <v>0</v>
      </c>
      <c r="M6390" t="n">
        <v>0</v>
      </c>
      <c r="N6390" t="n">
        <v>0</v>
      </c>
      <c r="O6390" t="n">
        <v>0</v>
      </c>
      <c r="P6390" t="n">
        <v>0</v>
      </c>
      <c r="Q6390" t="n">
        <v>0</v>
      </c>
      <c r="R6390" s="2" t="inlineStr"/>
    </row>
    <row r="6391" ht="15" customHeight="1">
      <c r="A6391" t="inlineStr">
        <is>
          <t>A 6773-2022</t>
        </is>
      </c>
      <c r="B6391" s="1" t="n">
        <v>44602</v>
      </c>
      <c r="C6391" s="1" t="n">
        <v>45810</v>
      </c>
      <c r="D6391" t="inlineStr">
        <is>
          <t>VÄRMLANDS LÄN</t>
        </is>
      </c>
      <c r="E6391" t="inlineStr">
        <is>
          <t>SÄFFLE</t>
        </is>
      </c>
      <c r="G6391" t="n">
        <v>1.8</v>
      </c>
      <c r="H6391" t="n">
        <v>0</v>
      </c>
      <c r="I6391" t="n">
        <v>0</v>
      </c>
      <c r="J6391" t="n">
        <v>0</v>
      </c>
      <c r="K6391" t="n">
        <v>0</v>
      </c>
      <c r="L6391" t="n">
        <v>0</v>
      </c>
      <c r="M6391" t="n">
        <v>0</v>
      </c>
      <c r="N6391" t="n">
        <v>0</v>
      </c>
      <c r="O6391" t="n">
        <v>0</v>
      </c>
      <c r="P6391" t="n">
        <v>0</v>
      </c>
      <c r="Q6391" t="n">
        <v>0</v>
      </c>
      <c r="R6391" s="2" t="inlineStr"/>
    </row>
    <row r="6392" ht="15" customHeight="1">
      <c r="A6392" t="inlineStr">
        <is>
          <t>A 6803-2022</t>
        </is>
      </c>
      <c r="B6392" s="1" t="n">
        <v>44602</v>
      </c>
      <c r="C6392" s="1" t="n">
        <v>45810</v>
      </c>
      <c r="D6392" t="inlineStr">
        <is>
          <t>VÄRMLANDS LÄN</t>
        </is>
      </c>
      <c r="E6392" t="inlineStr">
        <is>
          <t>EDA</t>
        </is>
      </c>
      <c r="G6392" t="n">
        <v>2.9</v>
      </c>
      <c r="H6392" t="n">
        <v>0</v>
      </c>
      <c r="I6392" t="n">
        <v>0</v>
      </c>
      <c r="J6392" t="n">
        <v>0</v>
      </c>
      <c r="K6392" t="n">
        <v>0</v>
      </c>
      <c r="L6392" t="n">
        <v>0</v>
      </c>
      <c r="M6392" t="n">
        <v>0</v>
      </c>
      <c r="N6392" t="n">
        <v>0</v>
      </c>
      <c r="O6392" t="n">
        <v>0</v>
      </c>
      <c r="P6392" t="n">
        <v>0</v>
      </c>
      <c r="Q6392" t="n">
        <v>0</v>
      </c>
      <c r="R6392" s="2" t="inlineStr"/>
    </row>
    <row r="6393" ht="15" customHeight="1">
      <c r="A6393" t="inlineStr">
        <is>
          <t>A 6858-2022</t>
        </is>
      </c>
      <c r="B6393" s="1" t="n">
        <v>44602</v>
      </c>
      <c r="C6393" s="1" t="n">
        <v>45810</v>
      </c>
      <c r="D6393" t="inlineStr">
        <is>
          <t>VÄRMLANDS LÄN</t>
        </is>
      </c>
      <c r="E6393" t="inlineStr">
        <is>
          <t>EDA</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6812-2022</t>
        </is>
      </c>
      <c r="B6394" s="1" t="n">
        <v>44602</v>
      </c>
      <c r="C6394" s="1" t="n">
        <v>45810</v>
      </c>
      <c r="D6394" t="inlineStr">
        <is>
          <t>VÄRMLANDS LÄN</t>
        </is>
      </c>
      <c r="E6394" t="inlineStr">
        <is>
          <t>STORFORS</t>
        </is>
      </c>
      <c r="G6394" t="n">
        <v>2.3</v>
      </c>
      <c r="H6394" t="n">
        <v>0</v>
      </c>
      <c r="I6394" t="n">
        <v>0</v>
      </c>
      <c r="J6394" t="n">
        <v>0</v>
      </c>
      <c r="K6394" t="n">
        <v>0</v>
      </c>
      <c r="L6394" t="n">
        <v>0</v>
      </c>
      <c r="M6394" t="n">
        <v>0</v>
      </c>
      <c r="N6394" t="n">
        <v>0</v>
      </c>
      <c r="O6394" t="n">
        <v>0</v>
      </c>
      <c r="P6394" t="n">
        <v>0</v>
      </c>
      <c r="Q6394" t="n">
        <v>0</v>
      </c>
      <c r="R6394" s="2" t="inlineStr"/>
    </row>
    <row r="6395" ht="15" customHeight="1">
      <c r="A6395" t="inlineStr">
        <is>
          <t>A 6838-2022</t>
        </is>
      </c>
      <c r="B6395" s="1" t="n">
        <v>44602</v>
      </c>
      <c r="C6395" s="1" t="n">
        <v>45810</v>
      </c>
      <c r="D6395" t="inlineStr">
        <is>
          <t>VÄRMLANDS LÄN</t>
        </is>
      </c>
      <c r="E6395" t="inlineStr">
        <is>
          <t>SÄFFLE</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6859-2022</t>
        </is>
      </c>
      <c r="B6396" s="1" t="n">
        <v>44602</v>
      </c>
      <c r="C6396" s="1" t="n">
        <v>45810</v>
      </c>
      <c r="D6396" t="inlineStr">
        <is>
          <t>VÄRMLANDS LÄN</t>
        </is>
      </c>
      <c r="E6396" t="inlineStr">
        <is>
          <t>EDA</t>
        </is>
      </c>
      <c r="G6396" t="n">
        <v>3.2</v>
      </c>
      <c r="H6396" t="n">
        <v>0</v>
      </c>
      <c r="I6396" t="n">
        <v>0</v>
      </c>
      <c r="J6396" t="n">
        <v>0</v>
      </c>
      <c r="K6396" t="n">
        <v>0</v>
      </c>
      <c r="L6396" t="n">
        <v>0</v>
      </c>
      <c r="M6396" t="n">
        <v>0</v>
      </c>
      <c r="N6396" t="n">
        <v>0</v>
      </c>
      <c r="O6396" t="n">
        <v>0</v>
      </c>
      <c r="P6396" t="n">
        <v>0</v>
      </c>
      <c r="Q6396" t="n">
        <v>0</v>
      </c>
      <c r="R6396" s="2" t="inlineStr"/>
    </row>
    <row r="6397" ht="15" customHeight="1">
      <c r="A6397" t="inlineStr">
        <is>
          <t>A 6980-2022</t>
        </is>
      </c>
      <c r="B6397" s="1" t="n">
        <v>44603</v>
      </c>
      <c r="C6397" s="1" t="n">
        <v>45810</v>
      </c>
      <c r="D6397" t="inlineStr">
        <is>
          <t>VÄRMLANDS LÄN</t>
        </is>
      </c>
      <c r="E6397" t="inlineStr">
        <is>
          <t>HAGFORS</t>
        </is>
      </c>
      <c r="G6397" t="n">
        <v>2</v>
      </c>
      <c r="H6397" t="n">
        <v>0</v>
      </c>
      <c r="I6397" t="n">
        <v>0</v>
      </c>
      <c r="J6397" t="n">
        <v>0</v>
      </c>
      <c r="K6397" t="n">
        <v>0</v>
      </c>
      <c r="L6397" t="n">
        <v>0</v>
      </c>
      <c r="M6397" t="n">
        <v>0</v>
      </c>
      <c r="N6397" t="n">
        <v>0</v>
      </c>
      <c r="O6397" t="n">
        <v>0</v>
      </c>
      <c r="P6397" t="n">
        <v>0</v>
      </c>
      <c r="Q6397" t="n">
        <v>0</v>
      </c>
      <c r="R6397" s="2" t="inlineStr"/>
    </row>
    <row r="6398" ht="15" customHeight="1">
      <c r="A6398" t="inlineStr">
        <is>
          <t>A 7091-2022</t>
        </is>
      </c>
      <c r="B6398" s="1" t="n">
        <v>44603</v>
      </c>
      <c r="C6398" s="1" t="n">
        <v>45810</v>
      </c>
      <c r="D6398" t="inlineStr">
        <is>
          <t>VÄRMLANDS LÄN</t>
        </is>
      </c>
      <c r="E6398" t="inlineStr">
        <is>
          <t>TORSBY</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6966-2022</t>
        </is>
      </c>
      <c r="B6399" s="1" t="n">
        <v>44603</v>
      </c>
      <c r="C6399" s="1" t="n">
        <v>45810</v>
      </c>
      <c r="D6399" t="inlineStr">
        <is>
          <t>VÄRMLANDS LÄN</t>
        </is>
      </c>
      <c r="E6399" t="inlineStr">
        <is>
          <t>SÄFFLE</t>
        </is>
      </c>
      <c r="G6399" t="n">
        <v>2.3</v>
      </c>
      <c r="H6399" t="n">
        <v>0</v>
      </c>
      <c r="I6399" t="n">
        <v>0</v>
      </c>
      <c r="J6399" t="n">
        <v>0</v>
      </c>
      <c r="K6399" t="n">
        <v>0</v>
      </c>
      <c r="L6399" t="n">
        <v>0</v>
      </c>
      <c r="M6399" t="n">
        <v>0</v>
      </c>
      <c r="N6399" t="n">
        <v>0</v>
      </c>
      <c r="O6399" t="n">
        <v>0</v>
      </c>
      <c r="P6399" t="n">
        <v>0</v>
      </c>
      <c r="Q6399" t="n">
        <v>0</v>
      </c>
      <c r="R6399" s="2" t="inlineStr"/>
    </row>
    <row r="6400" ht="15" customHeight="1">
      <c r="A6400" t="inlineStr">
        <is>
          <t>A 6971-2022</t>
        </is>
      </c>
      <c r="B6400" s="1" t="n">
        <v>44603</v>
      </c>
      <c r="C6400" s="1" t="n">
        <v>45810</v>
      </c>
      <c r="D6400" t="inlineStr">
        <is>
          <t>VÄRMLANDS LÄN</t>
        </is>
      </c>
      <c r="E6400" t="inlineStr">
        <is>
          <t>HAGFORS</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7007-2022</t>
        </is>
      </c>
      <c r="B6401" s="1" t="n">
        <v>44603</v>
      </c>
      <c r="C6401" s="1" t="n">
        <v>45810</v>
      </c>
      <c r="D6401" t="inlineStr">
        <is>
          <t>VÄRMLANDS LÄN</t>
        </is>
      </c>
      <c r="E6401" t="inlineStr">
        <is>
          <t>ARVIKA</t>
        </is>
      </c>
      <c r="G6401" t="n">
        <v>2</v>
      </c>
      <c r="H6401" t="n">
        <v>0</v>
      </c>
      <c r="I6401" t="n">
        <v>0</v>
      </c>
      <c r="J6401" t="n">
        <v>0</v>
      </c>
      <c r="K6401" t="n">
        <v>0</v>
      </c>
      <c r="L6401" t="n">
        <v>0</v>
      </c>
      <c r="M6401" t="n">
        <v>0</v>
      </c>
      <c r="N6401" t="n">
        <v>0</v>
      </c>
      <c r="O6401" t="n">
        <v>0</v>
      </c>
      <c r="P6401" t="n">
        <v>0</v>
      </c>
      <c r="Q6401" t="n">
        <v>0</v>
      </c>
      <c r="R6401" s="2" t="inlineStr"/>
    </row>
    <row r="6402" ht="15" customHeight="1">
      <c r="A6402" t="inlineStr">
        <is>
          <t>A 6973-2022</t>
        </is>
      </c>
      <c r="B6402" s="1" t="n">
        <v>44603</v>
      </c>
      <c r="C6402" s="1" t="n">
        <v>45810</v>
      </c>
      <c r="D6402" t="inlineStr">
        <is>
          <t>VÄRMLANDS LÄN</t>
        </is>
      </c>
      <c r="E6402" t="inlineStr">
        <is>
          <t>ÅRJÄNG</t>
        </is>
      </c>
      <c r="G6402" t="n">
        <v>6</v>
      </c>
      <c r="H6402" t="n">
        <v>0</v>
      </c>
      <c r="I6402" t="n">
        <v>0</v>
      </c>
      <c r="J6402" t="n">
        <v>0</v>
      </c>
      <c r="K6402" t="n">
        <v>0</v>
      </c>
      <c r="L6402" t="n">
        <v>0</v>
      </c>
      <c r="M6402" t="n">
        <v>0</v>
      </c>
      <c r="N6402" t="n">
        <v>0</v>
      </c>
      <c r="O6402" t="n">
        <v>0</v>
      </c>
      <c r="P6402" t="n">
        <v>0</v>
      </c>
      <c r="Q6402" t="n">
        <v>0</v>
      </c>
      <c r="R6402" s="2" t="inlineStr"/>
    </row>
    <row r="6403" ht="15" customHeight="1">
      <c r="A6403" t="inlineStr">
        <is>
          <t>A 7069-2022</t>
        </is>
      </c>
      <c r="B6403" s="1" t="n">
        <v>44603</v>
      </c>
      <c r="C6403" s="1" t="n">
        <v>45810</v>
      </c>
      <c r="D6403" t="inlineStr">
        <is>
          <t>VÄRMLANDS LÄN</t>
        </is>
      </c>
      <c r="E6403" t="inlineStr">
        <is>
          <t>TORSBY</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7144-2022</t>
        </is>
      </c>
      <c r="B6404" s="1" t="n">
        <v>44603</v>
      </c>
      <c r="C6404" s="1" t="n">
        <v>45810</v>
      </c>
      <c r="D6404" t="inlineStr">
        <is>
          <t>VÄRMLANDS LÄN</t>
        </is>
      </c>
      <c r="E6404" t="inlineStr">
        <is>
          <t>ARVIKA</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7230-2022</t>
        </is>
      </c>
      <c r="B6405" s="1" t="n">
        <v>44606</v>
      </c>
      <c r="C6405" s="1" t="n">
        <v>45810</v>
      </c>
      <c r="D6405" t="inlineStr">
        <is>
          <t>VÄRMLANDS LÄN</t>
        </is>
      </c>
      <c r="E6405" t="inlineStr">
        <is>
          <t>SUNNE</t>
        </is>
      </c>
      <c r="G6405" t="n">
        <v>0.5</v>
      </c>
      <c r="H6405" t="n">
        <v>0</v>
      </c>
      <c r="I6405" t="n">
        <v>0</v>
      </c>
      <c r="J6405" t="n">
        <v>0</v>
      </c>
      <c r="K6405" t="n">
        <v>0</v>
      </c>
      <c r="L6405" t="n">
        <v>0</v>
      </c>
      <c r="M6405" t="n">
        <v>0</v>
      </c>
      <c r="N6405" t="n">
        <v>0</v>
      </c>
      <c r="O6405" t="n">
        <v>0</v>
      </c>
      <c r="P6405" t="n">
        <v>0</v>
      </c>
      <c r="Q6405" t="n">
        <v>0</v>
      </c>
      <c r="R6405" s="2" t="inlineStr"/>
    </row>
    <row r="6406" ht="15" customHeight="1">
      <c r="A6406" t="inlineStr">
        <is>
          <t>A 7272-2022</t>
        </is>
      </c>
      <c r="B6406" s="1" t="n">
        <v>44606</v>
      </c>
      <c r="C6406" s="1" t="n">
        <v>45810</v>
      </c>
      <c r="D6406" t="inlineStr">
        <is>
          <t>VÄRMLANDS LÄN</t>
        </is>
      </c>
      <c r="E6406" t="inlineStr">
        <is>
          <t>GRUMS</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7289-2022</t>
        </is>
      </c>
      <c r="B6407" s="1" t="n">
        <v>44606</v>
      </c>
      <c r="C6407" s="1" t="n">
        <v>45810</v>
      </c>
      <c r="D6407" t="inlineStr">
        <is>
          <t>VÄRMLANDS LÄN</t>
        </is>
      </c>
      <c r="E6407" t="inlineStr">
        <is>
          <t>FORSHAGA</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7313-2022</t>
        </is>
      </c>
      <c r="B6408" s="1" t="n">
        <v>44606</v>
      </c>
      <c r="C6408" s="1" t="n">
        <v>45810</v>
      </c>
      <c r="D6408" t="inlineStr">
        <is>
          <t>VÄRMLANDS LÄN</t>
        </is>
      </c>
      <c r="E6408" t="inlineStr">
        <is>
          <t>ARVIKA</t>
        </is>
      </c>
      <c r="G6408" t="n">
        <v>2.6</v>
      </c>
      <c r="H6408" t="n">
        <v>0</v>
      </c>
      <c r="I6408" t="n">
        <v>0</v>
      </c>
      <c r="J6408" t="n">
        <v>0</v>
      </c>
      <c r="K6408" t="n">
        <v>0</v>
      </c>
      <c r="L6408" t="n">
        <v>0</v>
      </c>
      <c r="M6408" t="n">
        <v>0</v>
      </c>
      <c r="N6408" t="n">
        <v>0</v>
      </c>
      <c r="O6408" t="n">
        <v>0</v>
      </c>
      <c r="P6408" t="n">
        <v>0</v>
      </c>
      <c r="Q6408" t="n">
        <v>0</v>
      </c>
      <c r="R6408" s="2" t="inlineStr"/>
    </row>
    <row r="6409" ht="15" customHeight="1">
      <c r="A6409" t="inlineStr">
        <is>
          <t>A 7292-2022</t>
        </is>
      </c>
      <c r="B6409" s="1" t="n">
        <v>44606</v>
      </c>
      <c r="C6409" s="1" t="n">
        <v>45810</v>
      </c>
      <c r="D6409" t="inlineStr">
        <is>
          <t>VÄRMLANDS LÄN</t>
        </is>
      </c>
      <c r="E6409" t="inlineStr">
        <is>
          <t>FILIPSTAD</t>
        </is>
      </c>
      <c r="F6409" t="inlineStr">
        <is>
          <t>Bergvik skog väst AB</t>
        </is>
      </c>
      <c r="G6409" t="n">
        <v>4.8</v>
      </c>
      <c r="H6409" t="n">
        <v>0</v>
      </c>
      <c r="I6409" t="n">
        <v>0</v>
      </c>
      <c r="J6409" t="n">
        <v>0</v>
      </c>
      <c r="K6409" t="n">
        <v>0</v>
      </c>
      <c r="L6409" t="n">
        <v>0</v>
      </c>
      <c r="M6409" t="n">
        <v>0</v>
      </c>
      <c r="N6409" t="n">
        <v>0</v>
      </c>
      <c r="O6409" t="n">
        <v>0</v>
      </c>
      <c r="P6409" t="n">
        <v>0</v>
      </c>
      <c r="Q6409" t="n">
        <v>0</v>
      </c>
      <c r="R6409" s="2" t="inlineStr"/>
    </row>
    <row r="6410" ht="15" customHeight="1">
      <c r="A6410" t="inlineStr">
        <is>
          <t>A 7235-2022</t>
        </is>
      </c>
      <c r="B6410" s="1" t="n">
        <v>44606</v>
      </c>
      <c r="C6410" s="1" t="n">
        <v>45810</v>
      </c>
      <c r="D6410" t="inlineStr">
        <is>
          <t>VÄRMLANDS LÄN</t>
        </is>
      </c>
      <c r="E6410" t="inlineStr">
        <is>
          <t>ÅRJÄNG</t>
        </is>
      </c>
      <c r="G6410" t="n">
        <v>1.8</v>
      </c>
      <c r="H6410" t="n">
        <v>0</v>
      </c>
      <c r="I6410" t="n">
        <v>0</v>
      </c>
      <c r="J6410" t="n">
        <v>0</v>
      </c>
      <c r="K6410" t="n">
        <v>0</v>
      </c>
      <c r="L6410" t="n">
        <v>0</v>
      </c>
      <c r="M6410" t="n">
        <v>0</v>
      </c>
      <c r="N6410" t="n">
        <v>0</v>
      </c>
      <c r="O6410" t="n">
        <v>0</v>
      </c>
      <c r="P6410" t="n">
        <v>0</v>
      </c>
      <c r="Q6410" t="n">
        <v>0</v>
      </c>
      <c r="R6410" s="2" t="inlineStr"/>
    </row>
    <row r="6411" ht="15" customHeight="1">
      <c r="A6411" t="inlineStr">
        <is>
          <t>A 7360-2022</t>
        </is>
      </c>
      <c r="B6411" s="1" t="n">
        <v>44606</v>
      </c>
      <c r="C6411" s="1" t="n">
        <v>45810</v>
      </c>
      <c r="D6411" t="inlineStr">
        <is>
          <t>VÄRMLANDS LÄN</t>
        </is>
      </c>
      <c r="E6411" t="inlineStr">
        <is>
          <t>SUNNE</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7379-2022</t>
        </is>
      </c>
      <c r="B6412" s="1" t="n">
        <v>44606</v>
      </c>
      <c r="C6412" s="1" t="n">
        <v>45810</v>
      </c>
      <c r="D6412" t="inlineStr">
        <is>
          <t>VÄRMLANDS LÄN</t>
        </is>
      </c>
      <c r="E6412" t="inlineStr">
        <is>
          <t>ARVIKA</t>
        </is>
      </c>
      <c r="F6412" t="inlineStr">
        <is>
          <t>Bergvik skog väst AB</t>
        </is>
      </c>
      <c r="G6412" t="n">
        <v>3</v>
      </c>
      <c r="H6412" t="n">
        <v>0</v>
      </c>
      <c r="I6412" t="n">
        <v>0</v>
      </c>
      <c r="J6412" t="n">
        <v>0</v>
      </c>
      <c r="K6412" t="n">
        <v>0</v>
      </c>
      <c r="L6412" t="n">
        <v>0</v>
      </c>
      <c r="M6412" t="n">
        <v>0</v>
      </c>
      <c r="N6412" t="n">
        <v>0</v>
      </c>
      <c r="O6412" t="n">
        <v>0</v>
      </c>
      <c r="P6412" t="n">
        <v>0</v>
      </c>
      <c r="Q6412" t="n">
        <v>0</v>
      </c>
      <c r="R6412" s="2" t="inlineStr"/>
    </row>
    <row r="6413" ht="15" customHeight="1">
      <c r="A6413" t="inlineStr">
        <is>
          <t>A 7421-2022</t>
        </is>
      </c>
      <c r="B6413" s="1" t="n">
        <v>44606</v>
      </c>
      <c r="C6413" s="1" t="n">
        <v>45810</v>
      </c>
      <c r="D6413" t="inlineStr">
        <is>
          <t>VÄRMLANDS LÄN</t>
        </is>
      </c>
      <c r="E6413" t="inlineStr">
        <is>
          <t>HAGFORS</t>
        </is>
      </c>
      <c r="G6413" t="n">
        <v>2.6</v>
      </c>
      <c r="H6413" t="n">
        <v>0</v>
      </c>
      <c r="I6413" t="n">
        <v>0</v>
      </c>
      <c r="J6413" t="n">
        <v>0</v>
      </c>
      <c r="K6413" t="n">
        <v>0</v>
      </c>
      <c r="L6413" t="n">
        <v>0</v>
      </c>
      <c r="M6413" t="n">
        <v>0</v>
      </c>
      <c r="N6413" t="n">
        <v>0</v>
      </c>
      <c r="O6413" t="n">
        <v>0</v>
      </c>
      <c r="P6413" t="n">
        <v>0</v>
      </c>
      <c r="Q6413" t="n">
        <v>0</v>
      </c>
      <c r="R6413" s="2" t="inlineStr"/>
    </row>
    <row r="6414" ht="15" customHeight="1">
      <c r="A6414" t="inlineStr">
        <is>
          <t>A 7401-2022</t>
        </is>
      </c>
      <c r="B6414" s="1" t="n">
        <v>44606</v>
      </c>
      <c r="C6414" s="1" t="n">
        <v>45810</v>
      </c>
      <c r="D6414" t="inlineStr">
        <is>
          <t>VÄRMLANDS LÄN</t>
        </is>
      </c>
      <c r="E6414" t="inlineStr">
        <is>
          <t>HAGFORS</t>
        </is>
      </c>
      <c r="G6414" t="n">
        <v>2.5</v>
      </c>
      <c r="H6414" t="n">
        <v>0</v>
      </c>
      <c r="I6414" t="n">
        <v>0</v>
      </c>
      <c r="J6414" t="n">
        <v>0</v>
      </c>
      <c r="K6414" t="n">
        <v>0</v>
      </c>
      <c r="L6414" t="n">
        <v>0</v>
      </c>
      <c r="M6414" t="n">
        <v>0</v>
      </c>
      <c r="N6414" t="n">
        <v>0</v>
      </c>
      <c r="O6414" t="n">
        <v>0</v>
      </c>
      <c r="P6414" t="n">
        <v>0</v>
      </c>
      <c r="Q6414" t="n">
        <v>0</v>
      </c>
      <c r="R6414" s="2" t="inlineStr"/>
    </row>
    <row r="6415" ht="15" customHeight="1">
      <c r="A6415" t="inlineStr">
        <is>
          <t>A 7410-2022</t>
        </is>
      </c>
      <c r="B6415" s="1" t="n">
        <v>44606</v>
      </c>
      <c r="C6415" s="1" t="n">
        <v>45810</v>
      </c>
      <c r="D6415" t="inlineStr">
        <is>
          <t>VÄRMLANDS LÄN</t>
        </is>
      </c>
      <c r="E6415" t="inlineStr">
        <is>
          <t>SÄFFLE</t>
        </is>
      </c>
      <c r="G6415" t="n">
        <v>4.3</v>
      </c>
      <c r="H6415" t="n">
        <v>0</v>
      </c>
      <c r="I6415" t="n">
        <v>0</v>
      </c>
      <c r="J6415" t="n">
        <v>0</v>
      </c>
      <c r="K6415" t="n">
        <v>0</v>
      </c>
      <c r="L6415" t="n">
        <v>0</v>
      </c>
      <c r="M6415" t="n">
        <v>0</v>
      </c>
      <c r="N6415" t="n">
        <v>0</v>
      </c>
      <c r="O6415" t="n">
        <v>0</v>
      </c>
      <c r="P6415" t="n">
        <v>0</v>
      </c>
      <c r="Q6415" t="n">
        <v>0</v>
      </c>
      <c r="R6415" s="2" t="inlineStr"/>
    </row>
    <row r="6416" ht="15" customHeight="1">
      <c r="A6416" t="inlineStr">
        <is>
          <t>A 7415-2022</t>
        </is>
      </c>
      <c r="B6416" s="1" t="n">
        <v>44606</v>
      </c>
      <c r="C6416" s="1" t="n">
        <v>45810</v>
      </c>
      <c r="D6416" t="inlineStr">
        <is>
          <t>VÄRMLANDS LÄN</t>
        </is>
      </c>
      <c r="E6416" t="inlineStr">
        <is>
          <t>FILIPSTAD</t>
        </is>
      </c>
      <c r="F6416" t="inlineStr">
        <is>
          <t>Bergvik skog väst AB</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7363-2022</t>
        </is>
      </c>
      <c r="B6417" s="1" t="n">
        <v>44606</v>
      </c>
      <c r="C6417" s="1" t="n">
        <v>45810</v>
      </c>
      <c r="D6417" t="inlineStr">
        <is>
          <t>VÄRMLANDS LÄN</t>
        </is>
      </c>
      <c r="E6417" t="inlineStr">
        <is>
          <t>HAGFORS</t>
        </is>
      </c>
      <c r="F6417" t="inlineStr">
        <is>
          <t>Bergvik skog väst AB</t>
        </is>
      </c>
      <c r="G6417" t="n">
        <v>2.9</v>
      </c>
      <c r="H6417" t="n">
        <v>0</v>
      </c>
      <c r="I6417" t="n">
        <v>0</v>
      </c>
      <c r="J6417" t="n">
        <v>0</v>
      </c>
      <c r="K6417" t="n">
        <v>0</v>
      </c>
      <c r="L6417" t="n">
        <v>0</v>
      </c>
      <c r="M6417" t="n">
        <v>0</v>
      </c>
      <c r="N6417" t="n">
        <v>0</v>
      </c>
      <c r="O6417" t="n">
        <v>0</v>
      </c>
      <c r="P6417" t="n">
        <v>0</v>
      </c>
      <c r="Q6417" t="n">
        <v>0</v>
      </c>
      <c r="R6417" s="2" t="inlineStr"/>
    </row>
    <row r="6418" ht="15" customHeight="1">
      <c r="A6418" t="inlineStr">
        <is>
          <t>A 7414-2022</t>
        </is>
      </c>
      <c r="B6418" s="1" t="n">
        <v>44606</v>
      </c>
      <c r="C6418" s="1" t="n">
        <v>45810</v>
      </c>
      <c r="D6418" t="inlineStr">
        <is>
          <t>VÄRMLANDS LÄN</t>
        </is>
      </c>
      <c r="E6418" t="inlineStr">
        <is>
          <t>HAGFORS</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7304-2022</t>
        </is>
      </c>
      <c r="B6419" s="1" t="n">
        <v>44606</v>
      </c>
      <c r="C6419" s="1" t="n">
        <v>45810</v>
      </c>
      <c r="D6419" t="inlineStr">
        <is>
          <t>VÄRMLANDS LÄN</t>
        </is>
      </c>
      <c r="E6419" t="inlineStr">
        <is>
          <t>HAGFORS</t>
        </is>
      </c>
      <c r="G6419" t="n">
        <v>0.3</v>
      </c>
      <c r="H6419" t="n">
        <v>0</v>
      </c>
      <c r="I6419" t="n">
        <v>0</v>
      </c>
      <c r="J6419" t="n">
        <v>0</v>
      </c>
      <c r="K6419" t="n">
        <v>0</v>
      </c>
      <c r="L6419" t="n">
        <v>0</v>
      </c>
      <c r="M6419" t="n">
        <v>0</v>
      </c>
      <c r="N6419" t="n">
        <v>0</v>
      </c>
      <c r="O6419" t="n">
        <v>0</v>
      </c>
      <c r="P6419" t="n">
        <v>0</v>
      </c>
      <c r="Q6419" t="n">
        <v>0</v>
      </c>
      <c r="R6419" s="2" t="inlineStr"/>
    </row>
    <row r="6420" ht="15" customHeight="1">
      <c r="A6420" t="inlineStr">
        <is>
          <t>A 7494-2022</t>
        </is>
      </c>
      <c r="B6420" s="1" t="n">
        <v>44607</v>
      </c>
      <c r="C6420" s="1" t="n">
        <v>45810</v>
      </c>
      <c r="D6420" t="inlineStr">
        <is>
          <t>VÄRMLANDS LÄN</t>
        </is>
      </c>
      <c r="E6420" t="inlineStr">
        <is>
          <t>SUNNE</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7544-2022</t>
        </is>
      </c>
      <c r="B6421" s="1" t="n">
        <v>44607</v>
      </c>
      <c r="C6421" s="1" t="n">
        <v>45810</v>
      </c>
      <c r="D6421" t="inlineStr">
        <is>
          <t>VÄRMLANDS LÄN</t>
        </is>
      </c>
      <c r="E6421" t="inlineStr">
        <is>
          <t>TORSBY</t>
        </is>
      </c>
      <c r="G6421" t="n">
        <v>1.8</v>
      </c>
      <c r="H6421" t="n">
        <v>0</v>
      </c>
      <c r="I6421" t="n">
        <v>0</v>
      </c>
      <c r="J6421" t="n">
        <v>0</v>
      </c>
      <c r="K6421" t="n">
        <v>0</v>
      </c>
      <c r="L6421" t="n">
        <v>0</v>
      </c>
      <c r="M6421" t="n">
        <v>0</v>
      </c>
      <c r="N6421" t="n">
        <v>0</v>
      </c>
      <c r="O6421" t="n">
        <v>0</v>
      </c>
      <c r="P6421" t="n">
        <v>0</v>
      </c>
      <c r="Q6421" t="n">
        <v>0</v>
      </c>
      <c r="R6421" s="2" t="inlineStr"/>
    </row>
    <row r="6422" ht="15" customHeight="1">
      <c r="A6422" t="inlineStr">
        <is>
          <t>A 7485-2022</t>
        </is>
      </c>
      <c r="B6422" s="1" t="n">
        <v>44607</v>
      </c>
      <c r="C6422" s="1" t="n">
        <v>45810</v>
      </c>
      <c r="D6422" t="inlineStr">
        <is>
          <t>VÄRMLANDS LÄN</t>
        </is>
      </c>
      <c r="E6422" t="inlineStr">
        <is>
          <t>ÅRJÄNG</t>
        </is>
      </c>
      <c r="G6422" t="n">
        <v>2</v>
      </c>
      <c r="H6422" t="n">
        <v>0</v>
      </c>
      <c r="I6422" t="n">
        <v>0</v>
      </c>
      <c r="J6422" t="n">
        <v>0</v>
      </c>
      <c r="K6422" t="n">
        <v>0</v>
      </c>
      <c r="L6422" t="n">
        <v>0</v>
      </c>
      <c r="M6422" t="n">
        <v>0</v>
      </c>
      <c r="N6422" t="n">
        <v>0</v>
      </c>
      <c r="O6422" t="n">
        <v>0</v>
      </c>
      <c r="P6422" t="n">
        <v>0</v>
      </c>
      <c r="Q6422" t="n">
        <v>0</v>
      </c>
      <c r="R6422" s="2" t="inlineStr"/>
    </row>
    <row r="6423" ht="15" customHeight="1">
      <c r="A6423" t="inlineStr">
        <is>
          <t>A 7502-2022</t>
        </is>
      </c>
      <c r="B6423" s="1" t="n">
        <v>44607</v>
      </c>
      <c r="C6423" s="1" t="n">
        <v>45810</v>
      </c>
      <c r="D6423" t="inlineStr">
        <is>
          <t>VÄRMLANDS LÄN</t>
        </is>
      </c>
      <c r="E6423" t="inlineStr">
        <is>
          <t>SÄFFLE</t>
        </is>
      </c>
      <c r="G6423" t="n">
        <v>4.1</v>
      </c>
      <c r="H6423" t="n">
        <v>0</v>
      </c>
      <c r="I6423" t="n">
        <v>0</v>
      </c>
      <c r="J6423" t="n">
        <v>0</v>
      </c>
      <c r="K6423" t="n">
        <v>0</v>
      </c>
      <c r="L6423" t="n">
        <v>0</v>
      </c>
      <c r="M6423" t="n">
        <v>0</v>
      </c>
      <c r="N6423" t="n">
        <v>0</v>
      </c>
      <c r="O6423" t="n">
        <v>0</v>
      </c>
      <c r="P6423" t="n">
        <v>0</v>
      </c>
      <c r="Q6423" t="n">
        <v>0</v>
      </c>
      <c r="R6423" s="2" t="inlineStr"/>
    </row>
    <row r="6424" ht="15" customHeight="1">
      <c r="A6424" t="inlineStr">
        <is>
          <t>A 7543-2022</t>
        </is>
      </c>
      <c r="B6424" s="1" t="n">
        <v>44607</v>
      </c>
      <c r="C6424" s="1" t="n">
        <v>45810</v>
      </c>
      <c r="D6424" t="inlineStr">
        <is>
          <t>VÄRMLANDS LÄN</t>
        </is>
      </c>
      <c r="E6424" t="inlineStr">
        <is>
          <t>TORSBY</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7491-2022</t>
        </is>
      </c>
      <c r="B6425" s="1" t="n">
        <v>44607</v>
      </c>
      <c r="C6425" s="1" t="n">
        <v>45810</v>
      </c>
      <c r="D6425" t="inlineStr">
        <is>
          <t>VÄRMLANDS LÄN</t>
        </is>
      </c>
      <c r="E6425" t="inlineStr">
        <is>
          <t>KARLSTAD</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7499-2022</t>
        </is>
      </c>
      <c r="B6426" s="1" t="n">
        <v>44607</v>
      </c>
      <c r="C6426" s="1" t="n">
        <v>45810</v>
      </c>
      <c r="D6426" t="inlineStr">
        <is>
          <t>VÄRMLANDS LÄN</t>
        </is>
      </c>
      <c r="E6426" t="inlineStr">
        <is>
          <t>SÄFFLE</t>
        </is>
      </c>
      <c r="G6426" t="n">
        <v>8.6</v>
      </c>
      <c r="H6426" t="n">
        <v>0</v>
      </c>
      <c r="I6426" t="n">
        <v>0</v>
      </c>
      <c r="J6426" t="n">
        <v>0</v>
      </c>
      <c r="K6426" t="n">
        <v>0</v>
      </c>
      <c r="L6426" t="n">
        <v>0</v>
      </c>
      <c r="M6426" t="n">
        <v>0</v>
      </c>
      <c r="N6426" t="n">
        <v>0</v>
      </c>
      <c r="O6426" t="n">
        <v>0</v>
      </c>
      <c r="P6426" t="n">
        <v>0</v>
      </c>
      <c r="Q6426" t="n">
        <v>0</v>
      </c>
      <c r="R6426" s="2" t="inlineStr"/>
    </row>
    <row r="6427" ht="15" customHeight="1">
      <c r="A6427" t="inlineStr">
        <is>
          <t>A 7504-2022</t>
        </is>
      </c>
      <c r="B6427" s="1" t="n">
        <v>44607</v>
      </c>
      <c r="C6427" s="1" t="n">
        <v>45810</v>
      </c>
      <c r="D6427" t="inlineStr">
        <is>
          <t>VÄRMLANDS LÄN</t>
        </is>
      </c>
      <c r="E6427" t="inlineStr">
        <is>
          <t>SÄFFLE</t>
        </is>
      </c>
      <c r="G6427" t="n">
        <v>2</v>
      </c>
      <c r="H6427" t="n">
        <v>0</v>
      </c>
      <c r="I6427" t="n">
        <v>0</v>
      </c>
      <c r="J6427" t="n">
        <v>0</v>
      </c>
      <c r="K6427" t="n">
        <v>0</v>
      </c>
      <c r="L6427" t="n">
        <v>0</v>
      </c>
      <c r="M6427" t="n">
        <v>0</v>
      </c>
      <c r="N6427" t="n">
        <v>0</v>
      </c>
      <c r="O6427" t="n">
        <v>0</v>
      </c>
      <c r="P6427" t="n">
        <v>0</v>
      </c>
      <c r="Q6427" t="n">
        <v>0</v>
      </c>
      <c r="R6427" s="2" t="inlineStr"/>
    </row>
    <row r="6428" ht="15" customHeight="1">
      <c r="A6428" t="inlineStr">
        <is>
          <t>A 7602-2022</t>
        </is>
      </c>
      <c r="B6428" s="1" t="n">
        <v>44607</v>
      </c>
      <c r="C6428" s="1" t="n">
        <v>45810</v>
      </c>
      <c r="D6428" t="inlineStr">
        <is>
          <t>VÄRMLANDS LÄN</t>
        </is>
      </c>
      <c r="E6428" t="inlineStr">
        <is>
          <t>HAGFORS</t>
        </is>
      </c>
      <c r="F6428" t="inlineStr">
        <is>
          <t>Bergvik skog väst AB</t>
        </is>
      </c>
      <c r="G6428" t="n">
        <v>3.9</v>
      </c>
      <c r="H6428" t="n">
        <v>0</v>
      </c>
      <c r="I6428" t="n">
        <v>0</v>
      </c>
      <c r="J6428" t="n">
        <v>0</v>
      </c>
      <c r="K6428" t="n">
        <v>0</v>
      </c>
      <c r="L6428" t="n">
        <v>0</v>
      </c>
      <c r="M6428" t="n">
        <v>0</v>
      </c>
      <c r="N6428" t="n">
        <v>0</v>
      </c>
      <c r="O6428" t="n">
        <v>0</v>
      </c>
      <c r="P6428" t="n">
        <v>0</v>
      </c>
      <c r="Q6428" t="n">
        <v>0</v>
      </c>
      <c r="R6428" s="2" t="inlineStr"/>
    </row>
    <row r="6429" ht="15" customHeight="1">
      <c r="A6429" t="inlineStr">
        <is>
          <t>A 7653-2022</t>
        </is>
      </c>
      <c r="B6429" s="1" t="n">
        <v>44607</v>
      </c>
      <c r="C6429" s="1" t="n">
        <v>45810</v>
      </c>
      <c r="D6429" t="inlineStr">
        <is>
          <t>VÄRMLANDS LÄN</t>
        </is>
      </c>
      <c r="E6429" t="inlineStr">
        <is>
          <t>KIL</t>
        </is>
      </c>
      <c r="G6429" t="n">
        <v>2.1</v>
      </c>
      <c r="H6429" t="n">
        <v>0</v>
      </c>
      <c r="I6429" t="n">
        <v>0</v>
      </c>
      <c r="J6429" t="n">
        <v>0</v>
      </c>
      <c r="K6429" t="n">
        <v>0</v>
      </c>
      <c r="L6429" t="n">
        <v>0</v>
      </c>
      <c r="M6429" t="n">
        <v>0</v>
      </c>
      <c r="N6429" t="n">
        <v>0</v>
      </c>
      <c r="O6429" t="n">
        <v>0</v>
      </c>
      <c r="P6429" t="n">
        <v>0</v>
      </c>
      <c r="Q6429" t="n">
        <v>0</v>
      </c>
      <c r="R6429" s="2" t="inlineStr"/>
    </row>
    <row r="6430" ht="15" customHeight="1">
      <c r="A6430" t="inlineStr">
        <is>
          <t>A 7589-2022</t>
        </is>
      </c>
      <c r="B6430" s="1" t="n">
        <v>44607</v>
      </c>
      <c r="C6430" s="1" t="n">
        <v>45810</v>
      </c>
      <c r="D6430" t="inlineStr">
        <is>
          <t>VÄRMLANDS LÄN</t>
        </is>
      </c>
      <c r="E6430" t="inlineStr">
        <is>
          <t>GRUMS</t>
        </is>
      </c>
      <c r="G6430" t="n">
        <v>4.9</v>
      </c>
      <c r="H6430" t="n">
        <v>0</v>
      </c>
      <c r="I6430" t="n">
        <v>0</v>
      </c>
      <c r="J6430" t="n">
        <v>0</v>
      </c>
      <c r="K6430" t="n">
        <v>0</v>
      </c>
      <c r="L6430" t="n">
        <v>0</v>
      </c>
      <c r="M6430" t="n">
        <v>0</v>
      </c>
      <c r="N6430" t="n">
        <v>0</v>
      </c>
      <c r="O6430" t="n">
        <v>0</v>
      </c>
      <c r="P6430" t="n">
        <v>0</v>
      </c>
      <c r="Q6430" t="n">
        <v>0</v>
      </c>
      <c r="R6430" s="2" t="inlineStr"/>
    </row>
    <row r="6431" ht="15" customHeight="1">
      <c r="A6431" t="inlineStr">
        <is>
          <t>A 7746-2022</t>
        </is>
      </c>
      <c r="B6431" s="1" t="n">
        <v>44608</v>
      </c>
      <c r="C6431" s="1" t="n">
        <v>45810</v>
      </c>
      <c r="D6431" t="inlineStr">
        <is>
          <t>VÄRMLANDS LÄN</t>
        </is>
      </c>
      <c r="E6431" t="inlineStr">
        <is>
          <t>ÅRJÄNG</t>
        </is>
      </c>
      <c r="G6431" t="n">
        <v>3.1</v>
      </c>
      <c r="H6431" t="n">
        <v>0</v>
      </c>
      <c r="I6431" t="n">
        <v>0</v>
      </c>
      <c r="J6431" t="n">
        <v>0</v>
      </c>
      <c r="K6431" t="n">
        <v>0</v>
      </c>
      <c r="L6431" t="n">
        <v>0</v>
      </c>
      <c r="M6431" t="n">
        <v>0</v>
      </c>
      <c r="N6431" t="n">
        <v>0</v>
      </c>
      <c r="O6431" t="n">
        <v>0</v>
      </c>
      <c r="P6431" t="n">
        <v>0</v>
      </c>
      <c r="Q6431" t="n">
        <v>0</v>
      </c>
      <c r="R6431" s="2" t="inlineStr"/>
    </row>
    <row r="6432" ht="15" customHeight="1">
      <c r="A6432" t="inlineStr">
        <is>
          <t>A 7830-2022</t>
        </is>
      </c>
      <c r="B6432" s="1" t="n">
        <v>44608</v>
      </c>
      <c r="C6432" s="1" t="n">
        <v>45810</v>
      </c>
      <c r="D6432" t="inlineStr">
        <is>
          <t>VÄRMLANDS LÄN</t>
        </is>
      </c>
      <c r="E6432" t="inlineStr">
        <is>
          <t>FORSHAGA</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7828-2022</t>
        </is>
      </c>
      <c r="B6433" s="1" t="n">
        <v>44608</v>
      </c>
      <c r="C6433" s="1" t="n">
        <v>45810</v>
      </c>
      <c r="D6433" t="inlineStr">
        <is>
          <t>VÄRMLANDS LÄN</t>
        </is>
      </c>
      <c r="E6433" t="inlineStr">
        <is>
          <t>FORSHAGA</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7886-2022</t>
        </is>
      </c>
      <c r="B6434" s="1" t="n">
        <v>44608</v>
      </c>
      <c r="C6434" s="1" t="n">
        <v>45810</v>
      </c>
      <c r="D6434" t="inlineStr">
        <is>
          <t>VÄRMLANDS LÄN</t>
        </is>
      </c>
      <c r="E6434" t="inlineStr">
        <is>
          <t>EDA</t>
        </is>
      </c>
      <c r="F6434" t="inlineStr">
        <is>
          <t>Kyrkan</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7876-2022</t>
        </is>
      </c>
      <c r="B6435" s="1" t="n">
        <v>44608</v>
      </c>
      <c r="C6435" s="1" t="n">
        <v>45810</v>
      </c>
      <c r="D6435" t="inlineStr">
        <is>
          <t>VÄRMLANDS LÄN</t>
        </is>
      </c>
      <c r="E6435" t="inlineStr">
        <is>
          <t>SÄFFLE</t>
        </is>
      </c>
      <c r="G6435" t="n">
        <v>2.9</v>
      </c>
      <c r="H6435" t="n">
        <v>0</v>
      </c>
      <c r="I6435" t="n">
        <v>0</v>
      </c>
      <c r="J6435" t="n">
        <v>0</v>
      </c>
      <c r="K6435" t="n">
        <v>0</v>
      </c>
      <c r="L6435" t="n">
        <v>0</v>
      </c>
      <c r="M6435" t="n">
        <v>0</v>
      </c>
      <c r="N6435" t="n">
        <v>0</v>
      </c>
      <c r="O6435" t="n">
        <v>0</v>
      </c>
      <c r="P6435" t="n">
        <v>0</v>
      </c>
      <c r="Q6435" t="n">
        <v>0</v>
      </c>
      <c r="R6435" s="2" t="inlineStr"/>
    </row>
    <row r="6436" ht="15" customHeight="1">
      <c r="A6436" t="inlineStr">
        <is>
          <t>A 7888-2022</t>
        </is>
      </c>
      <c r="B6436" s="1" t="n">
        <v>44608</v>
      </c>
      <c r="C6436" s="1" t="n">
        <v>45810</v>
      </c>
      <c r="D6436" t="inlineStr">
        <is>
          <t>VÄRMLANDS LÄN</t>
        </is>
      </c>
      <c r="E6436" t="inlineStr">
        <is>
          <t>SÄFFLE</t>
        </is>
      </c>
      <c r="G6436" t="n">
        <v>3.1</v>
      </c>
      <c r="H6436" t="n">
        <v>0</v>
      </c>
      <c r="I6436" t="n">
        <v>0</v>
      </c>
      <c r="J6436" t="n">
        <v>0</v>
      </c>
      <c r="K6436" t="n">
        <v>0</v>
      </c>
      <c r="L6436" t="n">
        <v>0</v>
      </c>
      <c r="M6436" t="n">
        <v>0</v>
      </c>
      <c r="N6436" t="n">
        <v>0</v>
      </c>
      <c r="O6436" t="n">
        <v>0</v>
      </c>
      <c r="P6436" t="n">
        <v>0</v>
      </c>
      <c r="Q6436" t="n">
        <v>0</v>
      </c>
      <c r="R6436" s="2" t="inlineStr"/>
    </row>
    <row r="6437" ht="15" customHeight="1">
      <c r="A6437" t="inlineStr">
        <is>
          <t>A 7893-2022</t>
        </is>
      </c>
      <c r="B6437" s="1" t="n">
        <v>44608</v>
      </c>
      <c r="C6437" s="1" t="n">
        <v>45810</v>
      </c>
      <c r="D6437" t="inlineStr">
        <is>
          <t>VÄRMLANDS LÄN</t>
        </is>
      </c>
      <c r="E6437" t="inlineStr">
        <is>
          <t>KARLSTAD</t>
        </is>
      </c>
      <c r="G6437" t="n">
        <v>2.6</v>
      </c>
      <c r="H6437" t="n">
        <v>0</v>
      </c>
      <c r="I6437" t="n">
        <v>0</v>
      </c>
      <c r="J6437" t="n">
        <v>0</v>
      </c>
      <c r="K6437" t="n">
        <v>0</v>
      </c>
      <c r="L6437" t="n">
        <v>0</v>
      </c>
      <c r="M6437" t="n">
        <v>0</v>
      </c>
      <c r="N6437" t="n">
        <v>0</v>
      </c>
      <c r="O6437" t="n">
        <v>0</v>
      </c>
      <c r="P6437" t="n">
        <v>0</v>
      </c>
      <c r="Q6437" t="n">
        <v>0</v>
      </c>
      <c r="R6437" s="2" t="inlineStr"/>
    </row>
    <row r="6438" ht="15" customHeight="1">
      <c r="A6438" t="inlineStr">
        <is>
          <t>A 7921-2022</t>
        </is>
      </c>
      <c r="B6438" s="1" t="n">
        <v>44608</v>
      </c>
      <c r="C6438" s="1" t="n">
        <v>45810</v>
      </c>
      <c r="D6438" t="inlineStr">
        <is>
          <t>VÄRMLANDS LÄN</t>
        </is>
      </c>
      <c r="E6438" t="inlineStr">
        <is>
          <t>TORSBY</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7922-2022</t>
        </is>
      </c>
      <c r="B6439" s="1" t="n">
        <v>44608</v>
      </c>
      <c r="C6439" s="1" t="n">
        <v>45810</v>
      </c>
      <c r="D6439" t="inlineStr">
        <is>
          <t>VÄRMLANDS LÄN</t>
        </is>
      </c>
      <c r="E6439" t="inlineStr">
        <is>
          <t>GRUMS</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8048-2022</t>
        </is>
      </c>
      <c r="B6440" s="1" t="n">
        <v>44609</v>
      </c>
      <c r="C6440" s="1" t="n">
        <v>45810</v>
      </c>
      <c r="D6440" t="inlineStr">
        <is>
          <t>VÄRMLANDS LÄN</t>
        </is>
      </c>
      <c r="E6440" t="inlineStr">
        <is>
          <t>TORSBY</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8054-2022</t>
        </is>
      </c>
      <c r="B6441" s="1" t="n">
        <v>44609</v>
      </c>
      <c r="C6441" s="1" t="n">
        <v>45810</v>
      </c>
      <c r="D6441" t="inlineStr">
        <is>
          <t>VÄRMLANDS LÄN</t>
        </is>
      </c>
      <c r="E6441" t="inlineStr">
        <is>
          <t>TORSBY</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8033-2022</t>
        </is>
      </c>
      <c r="B6442" s="1" t="n">
        <v>44609</v>
      </c>
      <c r="C6442" s="1" t="n">
        <v>45810</v>
      </c>
      <c r="D6442" t="inlineStr">
        <is>
          <t>VÄRMLANDS LÄN</t>
        </is>
      </c>
      <c r="E6442" t="inlineStr">
        <is>
          <t>TORSBY</t>
        </is>
      </c>
      <c r="G6442" t="n">
        <v>1.8</v>
      </c>
      <c r="H6442" t="n">
        <v>0</v>
      </c>
      <c r="I6442" t="n">
        <v>0</v>
      </c>
      <c r="J6442" t="n">
        <v>0</v>
      </c>
      <c r="K6442" t="n">
        <v>0</v>
      </c>
      <c r="L6442" t="n">
        <v>0</v>
      </c>
      <c r="M6442" t="n">
        <v>0</v>
      </c>
      <c r="N6442" t="n">
        <v>0</v>
      </c>
      <c r="O6442" t="n">
        <v>0</v>
      </c>
      <c r="P6442" t="n">
        <v>0</v>
      </c>
      <c r="Q6442" t="n">
        <v>0</v>
      </c>
      <c r="R6442" s="2" t="inlineStr"/>
    </row>
    <row r="6443" ht="15" customHeight="1">
      <c r="A6443" t="inlineStr">
        <is>
          <t>A 8292-2022</t>
        </is>
      </c>
      <c r="B6443" s="1" t="n">
        <v>44609</v>
      </c>
      <c r="C6443" s="1" t="n">
        <v>45810</v>
      </c>
      <c r="D6443" t="inlineStr">
        <is>
          <t>VÄRMLANDS LÄN</t>
        </is>
      </c>
      <c r="E6443" t="inlineStr">
        <is>
          <t>ÅRJÄNG</t>
        </is>
      </c>
      <c r="G6443" t="n">
        <v>3.2</v>
      </c>
      <c r="H6443" t="n">
        <v>0</v>
      </c>
      <c r="I6443" t="n">
        <v>0</v>
      </c>
      <c r="J6443" t="n">
        <v>0</v>
      </c>
      <c r="K6443" t="n">
        <v>0</v>
      </c>
      <c r="L6443" t="n">
        <v>0</v>
      </c>
      <c r="M6443" t="n">
        <v>0</v>
      </c>
      <c r="N6443" t="n">
        <v>0</v>
      </c>
      <c r="O6443" t="n">
        <v>0</v>
      </c>
      <c r="P6443" t="n">
        <v>0</v>
      </c>
      <c r="Q6443" t="n">
        <v>0</v>
      </c>
      <c r="R6443" s="2" t="inlineStr"/>
    </row>
    <row r="6444" ht="15" customHeight="1">
      <c r="A6444" t="inlineStr">
        <is>
          <t>A 8202-2022</t>
        </is>
      </c>
      <c r="B6444" s="1" t="n">
        <v>44609</v>
      </c>
      <c r="C6444" s="1" t="n">
        <v>45810</v>
      </c>
      <c r="D6444" t="inlineStr">
        <is>
          <t>VÄRMLANDS LÄN</t>
        </is>
      </c>
      <c r="E6444" t="inlineStr">
        <is>
          <t>MUNKFORS</t>
        </is>
      </c>
      <c r="G6444" t="n">
        <v>7.4</v>
      </c>
      <c r="H6444" t="n">
        <v>0</v>
      </c>
      <c r="I6444" t="n">
        <v>0</v>
      </c>
      <c r="J6444" t="n">
        <v>0</v>
      </c>
      <c r="K6444" t="n">
        <v>0</v>
      </c>
      <c r="L6444" t="n">
        <v>0</v>
      </c>
      <c r="M6444" t="n">
        <v>0</v>
      </c>
      <c r="N6444" t="n">
        <v>0</v>
      </c>
      <c r="O6444" t="n">
        <v>0</v>
      </c>
      <c r="P6444" t="n">
        <v>0</v>
      </c>
      <c r="Q6444" t="n">
        <v>0</v>
      </c>
      <c r="R6444" s="2" t="inlineStr"/>
    </row>
    <row r="6445" ht="15" customHeight="1">
      <c r="A6445" t="inlineStr">
        <is>
          <t>A 8207-2022</t>
        </is>
      </c>
      <c r="B6445" s="1" t="n">
        <v>44609</v>
      </c>
      <c r="C6445" s="1" t="n">
        <v>45810</v>
      </c>
      <c r="D6445" t="inlineStr">
        <is>
          <t>VÄRMLANDS LÄN</t>
        </is>
      </c>
      <c r="E6445" t="inlineStr">
        <is>
          <t>ARVIKA</t>
        </is>
      </c>
      <c r="F6445" t="inlineStr">
        <is>
          <t>Bergvik skog väst AB</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8317-2022</t>
        </is>
      </c>
      <c r="B6446" s="1" t="n">
        <v>44610</v>
      </c>
      <c r="C6446" s="1" t="n">
        <v>45810</v>
      </c>
      <c r="D6446" t="inlineStr">
        <is>
          <t>VÄRMLANDS LÄN</t>
        </is>
      </c>
      <c r="E6446" t="inlineStr">
        <is>
          <t>SÄFFLE</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8340-2022</t>
        </is>
      </c>
      <c r="B6447" s="1" t="n">
        <v>44610</v>
      </c>
      <c r="C6447" s="1" t="n">
        <v>45810</v>
      </c>
      <c r="D6447" t="inlineStr">
        <is>
          <t>VÄRMLANDS LÄN</t>
        </is>
      </c>
      <c r="E6447" t="inlineStr">
        <is>
          <t>KIL</t>
        </is>
      </c>
      <c r="G6447" t="n">
        <v>3.8</v>
      </c>
      <c r="H6447" t="n">
        <v>0</v>
      </c>
      <c r="I6447" t="n">
        <v>0</v>
      </c>
      <c r="J6447" t="n">
        <v>0</v>
      </c>
      <c r="K6447" t="n">
        <v>0</v>
      </c>
      <c r="L6447" t="n">
        <v>0</v>
      </c>
      <c r="M6447" t="n">
        <v>0</v>
      </c>
      <c r="N6447" t="n">
        <v>0</v>
      </c>
      <c r="O6447" t="n">
        <v>0</v>
      </c>
      <c r="P6447" t="n">
        <v>0</v>
      </c>
      <c r="Q6447" t="n">
        <v>0</v>
      </c>
      <c r="R6447" s="2" t="inlineStr"/>
    </row>
    <row r="6448" ht="15" customHeight="1">
      <c r="A6448" t="inlineStr">
        <is>
          <t>A 8408-2022</t>
        </is>
      </c>
      <c r="B6448" s="1" t="n">
        <v>44610</v>
      </c>
      <c r="C6448" s="1" t="n">
        <v>45810</v>
      </c>
      <c r="D6448" t="inlineStr">
        <is>
          <t>VÄRMLANDS LÄN</t>
        </is>
      </c>
      <c r="E6448" t="inlineStr">
        <is>
          <t>ÅRJÄNG</t>
        </is>
      </c>
      <c r="G6448" t="n">
        <v>3.9</v>
      </c>
      <c r="H6448" t="n">
        <v>0</v>
      </c>
      <c r="I6448" t="n">
        <v>0</v>
      </c>
      <c r="J6448" t="n">
        <v>0</v>
      </c>
      <c r="K6448" t="n">
        <v>0</v>
      </c>
      <c r="L6448" t="n">
        <v>0</v>
      </c>
      <c r="M6448" t="n">
        <v>0</v>
      </c>
      <c r="N6448" t="n">
        <v>0</v>
      </c>
      <c r="O6448" t="n">
        <v>0</v>
      </c>
      <c r="P6448" t="n">
        <v>0</v>
      </c>
      <c r="Q6448" t="n">
        <v>0</v>
      </c>
      <c r="R6448" s="2" t="inlineStr"/>
    </row>
    <row r="6449" ht="15" customHeight="1">
      <c r="A6449" t="inlineStr">
        <is>
          <t>A 8297-2022</t>
        </is>
      </c>
      <c r="B6449" s="1" t="n">
        <v>44610</v>
      </c>
      <c r="C6449" s="1" t="n">
        <v>45810</v>
      </c>
      <c r="D6449" t="inlineStr">
        <is>
          <t>VÄRMLANDS LÄN</t>
        </is>
      </c>
      <c r="E6449" t="inlineStr">
        <is>
          <t>EDA</t>
        </is>
      </c>
      <c r="G6449" t="n">
        <v>1.2</v>
      </c>
      <c r="H6449" t="n">
        <v>0</v>
      </c>
      <c r="I6449" t="n">
        <v>0</v>
      </c>
      <c r="J6449" t="n">
        <v>0</v>
      </c>
      <c r="K6449" t="n">
        <v>0</v>
      </c>
      <c r="L6449" t="n">
        <v>0</v>
      </c>
      <c r="M6449" t="n">
        <v>0</v>
      </c>
      <c r="N6449" t="n">
        <v>0</v>
      </c>
      <c r="O6449" t="n">
        <v>0</v>
      </c>
      <c r="P6449" t="n">
        <v>0</v>
      </c>
      <c r="Q6449" t="n">
        <v>0</v>
      </c>
      <c r="R6449" s="2" t="inlineStr"/>
    </row>
    <row r="6450" ht="15" customHeight="1">
      <c r="A6450" t="inlineStr">
        <is>
          <t>A 8304-2022</t>
        </is>
      </c>
      <c r="B6450" s="1" t="n">
        <v>44610</v>
      </c>
      <c r="C6450" s="1" t="n">
        <v>45810</v>
      </c>
      <c r="D6450" t="inlineStr">
        <is>
          <t>VÄRMLANDS LÄN</t>
        </is>
      </c>
      <c r="E6450" t="inlineStr">
        <is>
          <t>HAGFORS</t>
        </is>
      </c>
      <c r="F6450" t="inlineStr">
        <is>
          <t>Bergvik skog väst AB</t>
        </is>
      </c>
      <c r="G6450" t="n">
        <v>2.3</v>
      </c>
      <c r="H6450" t="n">
        <v>0</v>
      </c>
      <c r="I6450" t="n">
        <v>0</v>
      </c>
      <c r="J6450" t="n">
        <v>0</v>
      </c>
      <c r="K6450" t="n">
        <v>0</v>
      </c>
      <c r="L6450" t="n">
        <v>0</v>
      </c>
      <c r="M6450" t="n">
        <v>0</v>
      </c>
      <c r="N6450" t="n">
        <v>0</v>
      </c>
      <c r="O6450" t="n">
        <v>0</v>
      </c>
      <c r="P6450" t="n">
        <v>0</v>
      </c>
      <c r="Q6450" t="n">
        <v>0</v>
      </c>
      <c r="R6450" s="2" t="inlineStr"/>
    </row>
    <row r="6451" ht="15" customHeight="1">
      <c r="A6451" t="inlineStr">
        <is>
          <t>A 8348-2022</t>
        </is>
      </c>
      <c r="B6451" s="1" t="n">
        <v>44610</v>
      </c>
      <c r="C6451" s="1" t="n">
        <v>45810</v>
      </c>
      <c r="D6451" t="inlineStr">
        <is>
          <t>VÄRMLANDS LÄN</t>
        </is>
      </c>
      <c r="E6451" t="inlineStr">
        <is>
          <t>KIL</t>
        </is>
      </c>
      <c r="G6451" t="n">
        <v>6</v>
      </c>
      <c r="H6451" t="n">
        <v>0</v>
      </c>
      <c r="I6451" t="n">
        <v>0</v>
      </c>
      <c r="J6451" t="n">
        <v>0</v>
      </c>
      <c r="K6451" t="n">
        <v>0</v>
      </c>
      <c r="L6451" t="n">
        <v>0</v>
      </c>
      <c r="M6451" t="n">
        <v>0</v>
      </c>
      <c r="N6451" t="n">
        <v>0</v>
      </c>
      <c r="O6451" t="n">
        <v>0</v>
      </c>
      <c r="P6451" t="n">
        <v>0</v>
      </c>
      <c r="Q6451" t="n">
        <v>0</v>
      </c>
      <c r="R6451" s="2" t="inlineStr"/>
    </row>
    <row r="6452" ht="15" customHeight="1">
      <c r="A6452" t="inlineStr">
        <is>
          <t>A 8438-2022</t>
        </is>
      </c>
      <c r="B6452" s="1" t="n">
        <v>44612</v>
      </c>
      <c r="C6452" s="1" t="n">
        <v>45810</v>
      </c>
      <c r="D6452" t="inlineStr">
        <is>
          <t>VÄRMLANDS LÄN</t>
        </is>
      </c>
      <c r="E6452" t="inlineStr">
        <is>
          <t>ÅRJÄNG</t>
        </is>
      </c>
      <c r="G6452" t="n">
        <v>3.4</v>
      </c>
      <c r="H6452" t="n">
        <v>0</v>
      </c>
      <c r="I6452" t="n">
        <v>0</v>
      </c>
      <c r="J6452" t="n">
        <v>0</v>
      </c>
      <c r="K6452" t="n">
        <v>0</v>
      </c>
      <c r="L6452" t="n">
        <v>0</v>
      </c>
      <c r="M6452" t="n">
        <v>0</v>
      </c>
      <c r="N6452" t="n">
        <v>0</v>
      </c>
      <c r="O6452" t="n">
        <v>0</v>
      </c>
      <c r="P6452" t="n">
        <v>0</v>
      </c>
      <c r="Q6452" t="n">
        <v>0</v>
      </c>
      <c r="R6452" s="2" t="inlineStr"/>
    </row>
    <row r="6453" ht="15" customHeight="1">
      <c r="A6453" t="inlineStr">
        <is>
          <t>A 8449-2022</t>
        </is>
      </c>
      <c r="B6453" s="1" t="n">
        <v>44612</v>
      </c>
      <c r="C6453" s="1" t="n">
        <v>45810</v>
      </c>
      <c r="D6453" t="inlineStr">
        <is>
          <t>VÄRMLANDS LÄN</t>
        </is>
      </c>
      <c r="E6453" t="inlineStr">
        <is>
          <t>KIL</t>
        </is>
      </c>
      <c r="G6453" t="n">
        <v>2.6</v>
      </c>
      <c r="H6453" t="n">
        <v>0</v>
      </c>
      <c r="I6453" t="n">
        <v>0</v>
      </c>
      <c r="J6453" t="n">
        <v>0</v>
      </c>
      <c r="K6453" t="n">
        <v>0</v>
      </c>
      <c r="L6453" t="n">
        <v>0</v>
      </c>
      <c r="M6453" t="n">
        <v>0</v>
      </c>
      <c r="N6453" t="n">
        <v>0</v>
      </c>
      <c r="O6453" t="n">
        <v>0</v>
      </c>
      <c r="P6453" t="n">
        <v>0</v>
      </c>
      <c r="Q6453" t="n">
        <v>0</v>
      </c>
      <c r="R6453" s="2" t="inlineStr"/>
    </row>
    <row r="6454" ht="15" customHeight="1">
      <c r="A6454" t="inlineStr">
        <is>
          <t>A 8614-2022</t>
        </is>
      </c>
      <c r="B6454" s="1" t="n">
        <v>44613</v>
      </c>
      <c r="C6454" s="1" t="n">
        <v>45810</v>
      </c>
      <c r="D6454" t="inlineStr">
        <is>
          <t>VÄRMLANDS LÄN</t>
        </is>
      </c>
      <c r="E6454" t="inlineStr">
        <is>
          <t>ARVIKA</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8625-2022</t>
        </is>
      </c>
      <c r="B6455" s="1" t="n">
        <v>44613</v>
      </c>
      <c r="C6455" s="1" t="n">
        <v>45810</v>
      </c>
      <c r="D6455" t="inlineStr">
        <is>
          <t>VÄRMLANDS LÄN</t>
        </is>
      </c>
      <c r="E6455" t="inlineStr">
        <is>
          <t>ÅRJÄNG</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8578-2022</t>
        </is>
      </c>
      <c r="B6456" s="1" t="n">
        <v>44613</v>
      </c>
      <c r="C6456" s="1" t="n">
        <v>45810</v>
      </c>
      <c r="D6456" t="inlineStr">
        <is>
          <t>VÄRMLANDS LÄN</t>
        </is>
      </c>
      <c r="E6456" t="inlineStr">
        <is>
          <t>ARVIKA</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8585-2022</t>
        </is>
      </c>
      <c r="B6457" s="1" t="n">
        <v>44613</v>
      </c>
      <c r="C6457" s="1" t="n">
        <v>45810</v>
      </c>
      <c r="D6457" t="inlineStr">
        <is>
          <t>VÄRMLANDS LÄN</t>
        </is>
      </c>
      <c r="E6457" t="inlineStr">
        <is>
          <t>SUNNE</t>
        </is>
      </c>
      <c r="G6457" t="n">
        <v>0.4</v>
      </c>
      <c r="H6457" t="n">
        <v>0</v>
      </c>
      <c r="I6457" t="n">
        <v>0</v>
      </c>
      <c r="J6457" t="n">
        <v>0</v>
      </c>
      <c r="K6457" t="n">
        <v>0</v>
      </c>
      <c r="L6457" t="n">
        <v>0</v>
      </c>
      <c r="M6457" t="n">
        <v>0</v>
      </c>
      <c r="N6457" t="n">
        <v>0</v>
      </c>
      <c r="O6457" t="n">
        <v>0</v>
      </c>
      <c r="P6457" t="n">
        <v>0</v>
      </c>
      <c r="Q6457" t="n">
        <v>0</v>
      </c>
      <c r="R6457" s="2" t="inlineStr"/>
    </row>
    <row r="6458" ht="15" customHeight="1">
      <c r="A6458" t="inlineStr">
        <is>
          <t>A 8601-2022</t>
        </is>
      </c>
      <c r="B6458" s="1" t="n">
        <v>44613</v>
      </c>
      <c r="C6458" s="1" t="n">
        <v>45810</v>
      </c>
      <c r="D6458" t="inlineStr">
        <is>
          <t>VÄRMLANDS LÄN</t>
        </is>
      </c>
      <c r="E6458" t="inlineStr">
        <is>
          <t>ÅRJÄNG</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8634-2022</t>
        </is>
      </c>
      <c r="B6459" s="1" t="n">
        <v>44613</v>
      </c>
      <c r="C6459" s="1" t="n">
        <v>45810</v>
      </c>
      <c r="D6459" t="inlineStr">
        <is>
          <t>VÄRMLANDS LÄN</t>
        </is>
      </c>
      <c r="E6459" t="inlineStr">
        <is>
          <t>ARVIKA</t>
        </is>
      </c>
      <c r="F6459" t="inlineStr">
        <is>
          <t>Bergvik skog väst AB</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8482-2022</t>
        </is>
      </c>
      <c r="B6460" s="1" t="n">
        <v>44613</v>
      </c>
      <c r="C6460" s="1" t="n">
        <v>45810</v>
      </c>
      <c r="D6460" t="inlineStr">
        <is>
          <t>VÄRMLANDS LÄN</t>
        </is>
      </c>
      <c r="E6460" t="inlineStr">
        <is>
          <t>FILIPSTAD</t>
        </is>
      </c>
      <c r="F6460" t="inlineStr">
        <is>
          <t>Bergvik skog väst AB</t>
        </is>
      </c>
      <c r="G6460" t="n">
        <v>5.2</v>
      </c>
      <c r="H6460" t="n">
        <v>0</v>
      </c>
      <c r="I6460" t="n">
        <v>0</v>
      </c>
      <c r="J6460" t="n">
        <v>0</v>
      </c>
      <c r="K6460" t="n">
        <v>0</v>
      </c>
      <c r="L6460" t="n">
        <v>0</v>
      </c>
      <c r="M6460" t="n">
        <v>0</v>
      </c>
      <c r="N6460" t="n">
        <v>0</v>
      </c>
      <c r="O6460" t="n">
        <v>0</v>
      </c>
      <c r="P6460" t="n">
        <v>0</v>
      </c>
      <c r="Q6460" t="n">
        <v>0</v>
      </c>
      <c r="R6460" s="2" t="inlineStr"/>
    </row>
    <row r="6461" ht="15" customHeight="1">
      <c r="A6461" t="inlineStr">
        <is>
          <t>A 8678-2022</t>
        </is>
      </c>
      <c r="B6461" s="1" t="n">
        <v>44613</v>
      </c>
      <c r="C6461" s="1" t="n">
        <v>45810</v>
      </c>
      <c r="D6461" t="inlineStr">
        <is>
          <t>VÄRMLANDS LÄN</t>
        </is>
      </c>
      <c r="E6461" t="inlineStr">
        <is>
          <t>ÅRJÄNG</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8483-2022</t>
        </is>
      </c>
      <c r="B6462" s="1" t="n">
        <v>44613</v>
      </c>
      <c r="C6462" s="1" t="n">
        <v>45810</v>
      </c>
      <c r="D6462" t="inlineStr">
        <is>
          <t>VÄRMLANDS LÄN</t>
        </is>
      </c>
      <c r="E6462" t="inlineStr">
        <is>
          <t>KARLSTAD</t>
        </is>
      </c>
      <c r="F6462" t="inlineStr">
        <is>
          <t>Bergvik skog väst AB</t>
        </is>
      </c>
      <c r="G6462" t="n">
        <v>0.5</v>
      </c>
      <c r="H6462" t="n">
        <v>0</v>
      </c>
      <c r="I6462" t="n">
        <v>0</v>
      </c>
      <c r="J6462" t="n">
        <v>0</v>
      </c>
      <c r="K6462" t="n">
        <v>0</v>
      </c>
      <c r="L6462" t="n">
        <v>0</v>
      </c>
      <c r="M6462" t="n">
        <v>0</v>
      </c>
      <c r="N6462" t="n">
        <v>0</v>
      </c>
      <c r="O6462" t="n">
        <v>0</v>
      </c>
      <c r="P6462" t="n">
        <v>0</v>
      </c>
      <c r="Q6462" t="n">
        <v>0</v>
      </c>
      <c r="R6462" s="2" t="inlineStr"/>
    </row>
    <row r="6463" ht="15" customHeight="1">
      <c r="A6463" t="inlineStr">
        <is>
          <t>A 8496-2022</t>
        </is>
      </c>
      <c r="B6463" s="1" t="n">
        <v>44613</v>
      </c>
      <c r="C6463" s="1" t="n">
        <v>45810</v>
      </c>
      <c r="D6463" t="inlineStr">
        <is>
          <t>VÄRMLANDS LÄN</t>
        </is>
      </c>
      <c r="E6463" t="inlineStr">
        <is>
          <t>HAGFORS</t>
        </is>
      </c>
      <c r="F6463" t="inlineStr">
        <is>
          <t>Bergvik skog väst AB</t>
        </is>
      </c>
      <c r="G6463" t="n">
        <v>4</v>
      </c>
      <c r="H6463" t="n">
        <v>0</v>
      </c>
      <c r="I6463" t="n">
        <v>0</v>
      </c>
      <c r="J6463" t="n">
        <v>0</v>
      </c>
      <c r="K6463" t="n">
        <v>0</v>
      </c>
      <c r="L6463" t="n">
        <v>0</v>
      </c>
      <c r="M6463" t="n">
        <v>0</v>
      </c>
      <c r="N6463" t="n">
        <v>0</v>
      </c>
      <c r="O6463" t="n">
        <v>0</v>
      </c>
      <c r="P6463" t="n">
        <v>0</v>
      </c>
      <c r="Q6463" t="n">
        <v>0</v>
      </c>
      <c r="R6463" s="2" t="inlineStr"/>
    </row>
    <row r="6464" ht="15" customHeight="1">
      <c r="A6464" t="inlineStr">
        <is>
          <t>A 8577-2022</t>
        </is>
      </c>
      <c r="B6464" s="1" t="n">
        <v>44613</v>
      </c>
      <c r="C6464" s="1" t="n">
        <v>45810</v>
      </c>
      <c r="D6464" t="inlineStr">
        <is>
          <t>VÄRMLANDS LÄN</t>
        </is>
      </c>
      <c r="E6464" t="inlineStr">
        <is>
          <t>HAGFORS</t>
        </is>
      </c>
      <c r="F6464" t="inlineStr">
        <is>
          <t>Bergvik skog väst AB</t>
        </is>
      </c>
      <c r="G6464" t="n">
        <v>1.9</v>
      </c>
      <c r="H6464" t="n">
        <v>0</v>
      </c>
      <c r="I6464" t="n">
        <v>0</v>
      </c>
      <c r="J6464" t="n">
        <v>0</v>
      </c>
      <c r="K6464" t="n">
        <v>0</v>
      </c>
      <c r="L6464" t="n">
        <v>0</v>
      </c>
      <c r="M6464" t="n">
        <v>0</v>
      </c>
      <c r="N6464" t="n">
        <v>0</v>
      </c>
      <c r="O6464" t="n">
        <v>0</v>
      </c>
      <c r="P6464" t="n">
        <v>0</v>
      </c>
      <c r="Q6464" t="n">
        <v>0</v>
      </c>
      <c r="R6464" s="2" t="inlineStr"/>
    </row>
    <row r="6465" ht="15" customHeight="1">
      <c r="A6465" t="inlineStr">
        <is>
          <t>A 8818-2022</t>
        </is>
      </c>
      <c r="B6465" s="1" t="n">
        <v>44614</v>
      </c>
      <c r="C6465" s="1" t="n">
        <v>45810</v>
      </c>
      <c r="D6465" t="inlineStr">
        <is>
          <t>VÄRMLANDS LÄN</t>
        </is>
      </c>
      <c r="E6465" t="inlineStr">
        <is>
          <t>ÅRJÄNG</t>
        </is>
      </c>
      <c r="G6465" t="n">
        <v>8.199999999999999</v>
      </c>
      <c r="H6465" t="n">
        <v>0</v>
      </c>
      <c r="I6465" t="n">
        <v>0</v>
      </c>
      <c r="J6465" t="n">
        <v>0</v>
      </c>
      <c r="K6465" t="n">
        <v>0</v>
      </c>
      <c r="L6465" t="n">
        <v>0</v>
      </c>
      <c r="M6465" t="n">
        <v>0</v>
      </c>
      <c r="N6465" t="n">
        <v>0</v>
      </c>
      <c r="O6465" t="n">
        <v>0</v>
      </c>
      <c r="P6465" t="n">
        <v>0</v>
      </c>
      <c r="Q6465" t="n">
        <v>0</v>
      </c>
      <c r="R6465" s="2" t="inlineStr"/>
    </row>
    <row r="6466" ht="15" customHeight="1">
      <c r="A6466" t="inlineStr">
        <is>
          <t>A 8788-2022</t>
        </is>
      </c>
      <c r="B6466" s="1" t="n">
        <v>44614</v>
      </c>
      <c r="C6466" s="1" t="n">
        <v>45810</v>
      </c>
      <c r="D6466" t="inlineStr">
        <is>
          <t>VÄRMLANDS LÄN</t>
        </is>
      </c>
      <c r="E6466" t="inlineStr">
        <is>
          <t>GRUMS</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8766-2022</t>
        </is>
      </c>
      <c r="B6467" s="1" t="n">
        <v>44614</v>
      </c>
      <c r="C6467" s="1" t="n">
        <v>45810</v>
      </c>
      <c r="D6467" t="inlineStr">
        <is>
          <t>VÄRMLANDS LÄN</t>
        </is>
      </c>
      <c r="E6467" t="inlineStr">
        <is>
          <t>SUNNE</t>
        </is>
      </c>
      <c r="F6467" t="inlineStr">
        <is>
          <t>Bergvik skog väst AB</t>
        </is>
      </c>
      <c r="G6467" t="n">
        <v>1.6</v>
      </c>
      <c r="H6467" t="n">
        <v>0</v>
      </c>
      <c r="I6467" t="n">
        <v>0</v>
      </c>
      <c r="J6467" t="n">
        <v>0</v>
      </c>
      <c r="K6467" t="n">
        <v>0</v>
      </c>
      <c r="L6467" t="n">
        <v>0</v>
      </c>
      <c r="M6467" t="n">
        <v>0</v>
      </c>
      <c r="N6467" t="n">
        <v>0</v>
      </c>
      <c r="O6467" t="n">
        <v>0</v>
      </c>
      <c r="P6467" t="n">
        <v>0</v>
      </c>
      <c r="Q6467" t="n">
        <v>0</v>
      </c>
      <c r="R6467" s="2" t="inlineStr"/>
    </row>
    <row r="6468" ht="15" customHeight="1">
      <c r="A6468" t="inlineStr">
        <is>
          <t>A 8851-2022</t>
        </is>
      </c>
      <c r="B6468" s="1" t="n">
        <v>44614</v>
      </c>
      <c r="C6468" s="1" t="n">
        <v>45810</v>
      </c>
      <c r="D6468" t="inlineStr">
        <is>
          <t>VÄRMLANDS LÄN</t>
        </is>
      </c>
      <c r="E6468" t="inlineStr">
        <is>
          <t>SUNNE</t>
        </is>
      </c>
      <c r="F6468" t="inlineStr">
        <is>
          <t>Bergvik skog väst AB</t>
        </is>
      </c>
      <c r="G6468" t="n">
        <v>9.6</v>
      </c>
      <c r="H6468" t="n">
        <v>0</v>
      </c>
      <c r="I6468" t="n">
        <v>0</v>
      </c>
      <c r="J6468" t="n">
        <v>0</v>
      </c>
      <c r="K6468" t="n">
        <v>0</v>
      </c>
      <c r="L6468" t="n">
        <v>0</v>
      </c>
      <c r="M6468" t="n">
        <v>0</v>
      </c>
      <c r="N6468" t="n">
        <v>0</v>
      </c>
      <c r="O6468" t="n">
        <v>0</v>
      </c>
      <c r="P6468" t="n">
        <v>0</v>
      </c>
      <c r="Q6468" t="n">
        <v>0</v>
      </c>
      <c r="R6468" s="2" t="inlineStr"/>
    </row>
    <row r="6469" ht="15" customHeight="1">
      <c r="A6469" t="inlineStr">
        <is>
          <t>A 8880-2022</t>
        </is>
      </c>
      <c r="B6469" s="1" t="n">
        <v>44614</v>
      </c>
      <c r="C6469" s="1" t="n">
        <v>45810</v>
      </c>
      <c r="D6469" t="inlineStr">
        <is>
          <t>VÄRMLANDS LÄN</t>
        </is>
      </c>
      <c r="E6469" t="inlineStr">
        <is>
          <t>GRUMS</t>
        </is>
      </c>
      <c r="G6469" t="n">
        <v>2.5</v>
      </c>
      <c r="H6469" t="n">
        <v>0</v>
      </c>
      <c r="I6469" t="n">
        <v>0</v>
      </c>
      <c r="J6469" t="n">
        <v>0</v>
      </c>
      <c r="K6469" t="n">
        <v>0</v>
      </c>
      <c r="L6469" t="n">
        <v>0</v>
      </c>
      <c r="M6469" t="n">
        <v>0</v>
      </c>
      <c r="N6469" t="n">
        <v>0</v>
      </c>
      <c r="O6469" t="n">
        <v>0</v>
      </c>
      <c r="P6469" t="n">
        <v>0</v>
      </c>
      <c r="Q6469" t="n">
        <v>0</v>
      </c>
      <c r="R6469" s="2" t="inlineStr"/>
    </row>
    <row r="6470" ht="15" customHeight="1">
      <c r="A6470" t="inlineStr">
        <is>
          <t>A 8942-2022</t>
        </is>
      </c>
      <c r="B6470" s="1" t="n">
        <v>44614</v>
      </c>
      <c r="C6470" s="1" t="n">
        <v>45810</v>
      </c>
      <c r="D6470" t="inlineStr">
        <is>
          <t>VÄRMLANDS LÄN</t>
        </is>
      </c>
      <c r="E6470" t="inlineStr">
        <is>
          <t>EDA</t>
        </is>
      </c>
      <c r="G6470" t="n">
        <v>2.1</v>
      </c>
      <c r="H6470" t="n">
        <v>0</v>
      </c>
      <c r="I6470" t="n">
        <v>0</v>
      </c>
      <c r="J6470" t="n">
        <v>0</v>
      </c>
      <c r="K6470" t="n">
        <v>0</v>
      </c>
      <c r="L6470" t="n">
        <v>0</v>
      </c>
      <c r="M6470" t="n">
        <v>0</v>
      </c>
      <c r="N6470" t="n">
        <v>0</v>
      </c>
      <c r="O6470" t="n">
        <v>0</v>
      </c>
      <c r="P6470" t="n">
        <v>0</v>
      </c>
      <c r="Q6470" t="n">
        <v>0</v>
      </c>
      <c r="R6470" s="2" t="inlineStr"/>
    </row>
    <row r="6471" ht="15" customHeight="1">
      <c r="A6471" t="inlineStr">
        <is>
          <t>A 8938-2022</t>
        </is>
      </c>
      <c r="B6471" s="1" t="n">
        <v>44614</v>
      </c>
      <c r="C6471" s="1" t="n">
        <v>45810</v>
      </c>
      <c r="D6471" t="inlineStr">
        <is>
          <t>VÄRMLANDS LÄN</t>
        </is>
      </c>
      <c r="E6471" t="inlineStr">
        <is>
          <t>ÅRJÄNG</t>
        </is>
      </c>
      <c r="G6471" t="n">
        <v>11.9</v>
      </c>
      <c r="H6471" t="n">
        <v>0</v>
      </c>
      <c r="I6471" t="n">
        <v>0</v>
      </c>
      <c r="J6471" t="n">
        <v>0</v>
      </c>
      <c r="K6471" t="n">
        <v>0</v>
      </c>
      <c r="L6471" t="n">
        <v>0</v>
      </c>
      <c r="M6471" t="n">
        <v>0</v>
      </c>
      <c r="N6471" t="n">
        <v>0</v>
      </c>
      <c r="O6471" t="n">
        <v>0</v>
      </c>
      <c r="P6471" t="n">
        <v>0</v>
      </c>
      <c r="Q6471" t="n">
        <v>0</v>
      </c>
      <c r="R6471" s="2" t="inlineStr"/>
    </row>
    <row r="6472" ht="15" customHeight="1">
      <c r="A6472" t="inlineStr">
        <is>
          <t>A 8945-2022</t>
        </is>
      </c>
      <c r="B6472" s="1" t="n">
        <v>44614</v>
      </c>
      <c r="C6472" s="1" t="n">
        <v>45810</v>
      </c>
      <c r="D6472" t="inlineStr">
        <is>
          <t>VÄRMLANDS LÄN</t>
        </is>
      </c>
      <c r="E6472" t="inlineStr">
        <is>
          <t>EDA</t>
        </is>
      </c>
      <c r="G6472" t="n">
        <v>5</v>
      </c>
      <c r="H6472" t="n">
        <v>0</v>
      </c>
      <c r="I6472" t="n">
        <v>0</v>
      </c>
      <c r="J6472" t="n">
        <v>0</v>
      </c>
      <c r="K6472" t="n">
        <v>0</v>
      </c>
      <c r="L6472" t="n">
        <v>0</v>
      </c>
      <c r="M6472" t="n">
        <v>0</v>
      </c>
      <c r="N6472" t="n">
        <v>0</v>
      </c>
      <c r="O6472" t="n">
        <v>0</v>
      </c>
      <c r="P6472" t="n">
        <v>0</v>
      </c>
      <c r="Q6472" t="n">
        <v>0</v>
      </c>
      <c r="R6472" s="2" t="inlineStr"/>
    </row>
    <row r="6473" ht="15" customHeight="1">
      <c r="A6473" t="inlineStr">
        <is>
          <t>A 8920-2022</t>
        </is>
      </c>
      <c r="B6473" s="1" t="n">
        <v>44614</v>
      </c>
      <c r="C6473" s="1" t="n">
        <v>45810</v>
      </c>
      <c r="D6473" t="inlineStr">
        <is>
          <t>VÄRMLANDS LÄN</t>
        </is>
      </c>
      <c r="E6473" t="inlineStr">
        <is>
          <t>KRISTINEHAMN</t>
        </is>
      </c>
      <c r="G6473" t="n">
        <v>6.2</v>
      </c>
      <c r="H6473" t="n">
        <v>0</v>
      </c>
      <c r="I6473" t="n">
        <v>0</v>
      </c>
      <c r="J6473" t="n">
        <v>0</v>
      </c>
      <c r="K6473" t="n">
        <v>0</v>
      </c>
      <c r="L6473" t="n">
        <v>0</v>
      </c>
      <c r="M6473" t="n">
        <v>0</v>
      </c>
      <c r="N6473" t="n">
        <v>0</v>
      </c>
      <c r="O6473" t="n">
        <v>0</v>
      </c>
      <c r="P6473" t="n">
        <v>0</v>
      </c>
      <c r="Q6473" t="n">
        <v>0</v>
      </c>
      <c r="R6473" s="2" t="inlineStr"/>
    </row>
    <row r="6474" ht="15" customHeight="1">
      <c r="A6474" t="inlineStr">
        <is>
          <t>A 8943-2022</t>
        </is>
      </c>
      <c r="B6474" s="1" t="n">
        <v>44614</v>
      </c>
      <c r="C6474" s="1" t="n">
        <v>45810</v>
      </c>
      <c r="D6474" t="inlineStr">
        <is>
          <t>VÄRMLANDS LÄN</t>
        </is>
      </c>
      <c r="E6474" t="inlineStr">
        <is>
          <t>EDA</t>
        </is>
      </c>
      <c r="G6474" t="n">
        <v>2.1</v>
      </c>
      <c r="H6474" t="n">
        <v>0</v>
      </c>
      <c r="I6474" t="n">
        <v>0</v>
      </c>
      <c r="J6474" t="n">
        <v>0</v>
      </c>
      <c r="K6474" t="n">
        <v>0</v>
      </c>
      <c r="L6474" t="n">
        <v>0</v>
      </c>
      <c r="M6474" t="n">
        <v>0</v>
      </c>
      <c r="N6474" t="n">
        <v>0</v>
      </c>
      <c r="O6474" t="n">
        <v>0</v>
      </c>
      <c r="P6474" t="n">
        <v>0</v>
      </c>
      <c r="Q6474" t="n">
        <v>0</v>
      </c>
      <c r="R6474" s="2" t="inlineStr"/>
    </row>
    <row r="6475" ht="15" customHeight="1">
      <c r="A6475" t="inlineStr">
        <is>
          <t>A 8944-2022</t>
        </is>
      </c>
      <c r="B6475" s="1" t="n">
        <v>44614</v>
      </c>
      <c r="C6475" s="1" t="n">
        <v>45810</v>
      </c>
      <c r="D6475" t="inlineStr">
        <is>
          <t>VÄRMLANDS LÄN</t>
        </is>
      </c>
      <c r="E6475" t="inlineStr">
        <is>
          <t>EDA</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8739-2022</t>
        </is>
      </c>
      <c r="B6476" s="1" t="n">
        <v>44615</v>
      </c>
      <c r="C6476" s="1" t="n">
        <v>45810</v>
      </c>
      <c r="D6476" t="inlineStr">
        <is>
          <t>VÄRMLANDS LÄN</t>
        </is>
      </c>
      <c r="E6476" t="inlineStr">
        <is>
          <t>TORSBY</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9057-2022</t>
        </is>
      </c>
      <c r="B6477" s="1" t="n">
        <v>44615</v>
      </c>
      <c r="C6477" s="1" t="n">
        <v>45810</v>
      </c>
      <c r="D6477" t="inlineStr">
        <is>
          <t>VÄRMLANDS LÄN</t>
        </is>
      </c>
      <c r="E6477" t="inlineStr">
        <is>
          <t>TORSBY</t>
        </is>
      </c>
      <c r="G6477" t="n">
        <v>2.9</v>
      </c>
      <c r="H6477" t="n">
        <v>0</v>
      </c>
      <c r="I6477" t="n">
        <v>0</v>
      </c>
      <c r="J6477" t="n">
        <v>0</v>
      </c>
      <c r="K6477" t="n">
        <v>0</v>
      </c>
      <c r="L6477" t="n">
        <v>0</v>
      </c>
      <c r="M6477" t="n">
        <v>0</v>
      </c>
      <c r="N6477" t="n">
        <v>0</v>
      </c>
      <c r="O6477" t="n">
        <v>0</v>
      </c>
      <c r="P6477" t="n">
        <v>0</v>
      </c>
      <c r="Q6477" t="n">
        <v>0</v>
      </c>
      <c r="R6477" s="2" t="inlineStr"/>
    </row>
    <row r="6478" ht="15" customHeight="1">
      <c r="A6478" t="inlineStr">
        <is>
          <t>A 9109-2022</t>
        </is>
      </c>
      <c r="B6478" s="1" t="n">
        <v>44615</v>
      </c>
      <c r="C6478" s="1" t="n">
        <v>45810</v>
      </c>
      <c r="D6478" t="inlineStr">
        <is>
          <t>VÄRMLANDS LÄN</t>
        </is>
      </c>
      <c r="E6478" t="inlineStr">
        <is>
          <t>SÄFFLE</t>
        </is>
      </c>
      <c r="G6478" t="n">
        <v>2.4</v>
      </c>
      <c r="H6478" t="n">
        <v>0</v>
      </c>
      <c r="I6478" t="n">
        <v>0</v>
      </c>
      <c r="J6478" t="n">
        <v>0</v>
      </c>
      <c r="K6478" t="n">
        <v>0</v>
      </c>
      <c r="L6478" t="n">
        <v>0</v>
      </c>
      <c r="M6478" t="n">
        <v>0</v>
      </c>
      <c r="N6478" t="n">
        <v>0</v>
      </c>
      <c r="O6478" t="n">
        <v>0</v>
      </c>
      <c r="P6478" t="n">
        <v>0</v>
      </c>
      <c r="Q6478" t="n">
        <v>0</v>
      </c>
      <c r="R6478" s="2" t="inlineStr"/>
    </row>
    <row r="6479" ht="15" customHeight="1">
      <c r="A6479" t="inlineStr">
        <is>
          <t>A 9080-2022</t>
        </is>
      </c>
      <c r="B6479" s="1" t="n">
        <v>44615</v>
      </c>
      <c r="C6479" s="1" t="n">
        <v>45810</v>
      </c>
      <c r="D6479" t="inlineStr">
        <is>
          <t>VÄRMLANDS LÄN</t>
        </is>
      </c>
      <c r="E6479" t="inlineStr">
        <is>
          <t>ARVIKA</t>
        </is>
      </c>
      <c r="G6479" t="n">
        <v>3.3</v>
      </c>
      <c r="H6479" t="n">
        <v>0</v>
      </c>
      <c r="I6479" t="n">
        <v>0</v>
      </c>
      <c r="J6479" t="n">
        <v>0</v>
      </c>
      <c r="K6479" t="n">
        <v>0</v>
      </c>
      <c r="L6479" t="n">
        <v>0</v>
      </c>
      <c r="M6479" t="n">
        <v>0</v>
      </c>
      <c r="N6479" t="n">
        <v>0</v>
      </c>
      <c r="O6479" t="n">
        <v>0</v>
      </c>
      <c r="P6479" t="n">
        <v>0</v>
      </c>
      <c r="Q6479" t="n">
        <v>0</v>
      </c>
      <c r="R6479" s="2" t="inlineStr"/>
    </row>
    <row r="6480" ht="15" customHeight="1">
      <c r="A6480" t="inlineStr">
        <is>
          <t>A 9122-2022</t>
        </is>
      </c>
      <c r="B6480" s="1" t="n">
        <v>44615</v>
      </c>
      <c r="C6480" s="1" t="n">
        <v>45810</v>
      </c>
      <c r="D6480" t="inlineStr">
        <is>
          <t>VÄRMLANDS LÄN</t>
        </is>
      </c>
      <c r="E6480" t="inlineStr">
        <is>
          <t>ARVIKA</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9138-2022</t>
        </is>
      </c>
      <c r="B6481" s="1" t="n">
        <v>44615</v>
      </c>
      <c r="C6481" s="1" t="n">
        <v>45810</v>
      </c>
      <c r="D6481" t="inlineStr">
        <is>
          <t>VÄRMLANDS LÄN</t>
        </is>
      </c>
      <c r="E6481" t="inlineStr">
        <is>
          <t>SUNNE</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9236-2022</t>
        </is>
      </c>
      <c r="B6482" s="1" t="n">
        <v>44616</v>
      </c>
      <c r="C6482" s="1" t="n">
        <v>45810</v>
      </c>
      <c r="D6482" t="inlineStr">
        <is>
          <t>VÄRMLANDS LÄN</t>
        </is>
      </c>
      <c r="E6482" t="inlineStr">
        <is>
          <t>ARVIKA</t>
        </is>
      </c>
      <c r="F6482" t="inlineStr">
        <is>
          <t>Bergvik skog väst AB</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9266-2022</t>
        </is>
      </c>
      <c r="B6483" s="1" t="n">
        <v>44616</v>
      </c>
      <c r="C6483" s="1" t="n">
        <v>45810</v>
      </c>
      <c r="D6483" t="inlineStr">
        <is>
          <t>VÄRMLANDS LÄN</t>
        </is>
      </c>
      <c r="E6483" t="inlineStr">
        <is>
          <t>ARVIKA</t>
        </is>
      </c>
      <c r="F6483" t="inlineStr">
        <is>
          <t>Bergvik skog väst AB</t>
        </is>
      </c>
      <c r="G6483" t="n">
        <v>1.7</v>
      </c>
      <c r="H6483" t="n">
        <v>0</v>
      </c>
      <c r="I6483" t="n">
        <v>0</v>
      </c>
      <c r="J6483" t="n">
        <v>0</v>
      </c>
      <c r="K6483" t="n">
        <v>0</v>
      </c>
      <c r="L6483" t="n">
        <v>0</v>
      </c>
      <c r="M6483" t="n">
        <v>0</v>
      </c>
      <c r="N6483" t="n">
        <v>0</v>
      </c>
      <c r="O6483" t="n">
        <v>0</v>
      </c>
      <c r="P6483" t="n">
        <v>0</v>
      </c>
      <c r="Q6483" t="n">
        <v>0</v>
      </c>
      <c r="R6483" s="2" t="inlineStr"/>
    </row>
    <row r="6484" ht="15" customHeight="1">
      <c r="A6484" t="inlineStr">
        <is>
          <t>A 9321-2022</t>
        </is>
      </c>
      <c r="B6484" s="1" t="n">
        <v>44616</v>
      </c>
      <c r="C6484" s="1" t="n">
        <v>45810</v>
      </c>
      <c r="D6484" t="inlineStr">
        <is>
          <t>VÄRMLANDS LÄN</t>
        </is>
      </c>
      <c r="E6484" t="inlineStr">
        <is>
          <t>ARVIKA</t>
        </is>
      </c>
      <c r="G6484" t="n">
        <v>3.4</v>
      </c>
      <c r="H6484" t="n">
        <v>0</v>
      </c>
      <c r="I6484" t="n">
        <v>0</v>
      </c>
      <c r="J6484" t="n">
        <v>0</v>
      </c>
      <c r="K6484" t="n">
        <v>0</v>
      </c>
      <c r="L6484" t="n">
        <v>0</v>
      </c>
      <c r="M6484" t="n">
        <v>0</v>
      </c>
      <c r="N6484" t="n">
        <v>0</v>
      </c>
      <c r="O6484" t="n">
        <v>0</v>
      </c>
      <c r="P6484" t="n">
        <v>0</v>
      </c>
      <c r="Q6484" t="n">
        <v>0</v>
      </c>
      <c r="R6484" s="2" t="inlineStr"/>
    </row>
    <row r="6485" ht="15" customHeight="1">
      <c r="A6485" t="inlineStr">
        <is>
          <t>A 9407-2022</t>
        </is>
      </c>
      <c r="B6485" s="1" t="n">
        <v>44616</v>
      </c>
      <c r="C6485" s="1" t="n">
        <v>45810</v>
      </c>
      <c r="D6485" t="inlineStr">
        <is>
          <t>VÄRMLANDS LÄN</t>
        </is>
      </c>
      <c r="E6485" t="inlineStr">
        <is>
          <t>ÅRJÄNG</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9264-2022</t>
        </is>
      </c>
      <c r="B6486" s="1" t="n">
        <v>44616</v>
      </c>
      <c r="C6486" s="1" t="n">
        <v>45810</v>
      </c>
      <c r="D6486" t="inlineStr">
        <is>
          <t>VÄRMLANDS LÄN</t>
        </is>
      </c>
      <c r="E6486" t="inlineStr">
        <is>
          <t>FORSHAGA</t>
        </is>
      </c>
      <c r="G6486" t="n">
        <v>3.5</v>
      </c>
      <c r="H6486" t="n">
        <v>0</v>
      </c>
      <c r="I6486" t="n">
        <v>0</v>
      </c>
      <c r="J6486" t="n">
        <v>0</v>
      </c>
      <c r="K6486" t="n">
        <v>0</v>
      </c>
      <c r="L6486" t="n">
        <v>0</v>
      </c>
      <c r="M6486" t="n">
        <v>0</v>
      </c>
      <c r="N6486" t="n">
        <v>0</v>
      </c>
      <c r="O6486" t="n">
        <v>0</v>
      </c>
      <c r="P6486" t="n">
        <v>0</v>
      </c>
      <c r="Q6486" t="n">
        <v>0</v>
      </c>
      <c r="R6486" s="2" t="inlineStr"/>
    </row>
    <row r="6487" ht="15" customHeight="1">
      <c r="A6487" t="inlineStr">
        <is>
          <t>A 9296-2022</t>
        </is>
      </c>
      <c r="B6487" s="1" t="n">
        <v>44616</v>
      </c>
      <c r="C6487" s="1" t="n">
        <v>45810</v>
      </c>
      <c r="D6487" t="inlineStr">
        <is>
          <t>VÄRMLANDS LÄN</t>
        </is>
      </c>
      <c r="E6487" t="inlineStr">
        <is>
          <t>SÄFFLE</t>
        </is>
      </c>
      <c r="G6487" t="n">
        <v>12.1</v>
      </c>
      <c r="H6487" t="n">
        <v>0</v>
      </c>
      <c r="I6487" t="n">
        <v>0</v>
      </c>
      <c r="J6487" t="n">
        <v>0</v>
      </c>
      <c r="K6487" t="n">
        <v>0</v>
      </c>
      <c r="L6487" t="n">
        <v>0</v>
      </c>
      <c r="M6487" t="n">
        <v>0</v>
      </c>
      <c r="N6487" t="n">
        <v>0</v>
      </c>
      <c r="O6487" t="n">
        <v>0</v>
      </c>
      <c r="P6487" t="n">
        <v>0</v>
      </c>
      <c r="Q6487" t="n">
        <v>0</v>
      </c>
      <c r="R6487" s="2" t="inlineStr"/>
    </row>
    <row r="6488" ht="15" customHeight="1">
      <c r="A6488" t="inlineStr">
        <is>
          <t>A 9318-2022</t>
        </is>
      </c>
      <c r="B6488" s="1" t="n">
        <v>44616</v>
      </c>
      <c r="C6488" s="1" t="n">
        <v>45810</v>
      </c>
      <c r="D6488" t="inlineStr">
        <is>
          <t>VÄRMLANDS LÄN</t>
        </is>
      </c>
      <c r="E6488" t="inlineStr">
        <is>
          <t>STORFORS</t>
        </is>
      </c>
      <c r="F6488" t="inlineStr">
        <is>
          <t>Bergvik skog väst AB</t>
        </is>
      </c>
      <c r="G6488" t="n">
        <v>9.300000000000001</v>
      </c>
      <c r="H6488" t="n">
        <v>0</v>
      </c>
      <c r="I6488" t="n">
        <v>0</v>
      </c>
      <c r="J6488" t="n">
        <v>0</v>
      </c>
      <c r="K6488" t="n">
        <v>0</v>
      </c>
      <c r="L6488" t="n">
        <v>0</v>
      </c>
      <c r="M6488" t="n">
        <v>0</v>
      </c>
      <c r="N6488" t="n">
        <v>0</v>
      </c>
      <c r="O6488" t="n">
        <v>0</v>
      </c>
      <c r="P6488" t="n">
        <v>0</v>
      </c>
      <c r="Q6488" t="n">
        <v>0</v>
      </c>
      <c r="R6488" s="2" t="inlineStr"/>
    </row>
    <row r="6489" ht="15" customHeight="1">
      <c r="A6489" t="inlineStr">
        <is>
          <t>A 9349-2022</t>
        </is>
      </c>
      <c r="B6489" s="1" t="n">
        <v>44616</v>
      </c>
      <c r="C6489" s="1" t="n">
        <v>45810</v>
      </c>
      <c r="D6489" t="inlineStr">
        <is>
          <t>VÄRMLANDS LÄN</t>
        </is>
      </c>
      <c r="E6489" t="inlineStr">
        <is>
          <t>FORSHAGA</t>
        </is>
      </c>
      <c r="G6489" t="n">
        <v>2.6</v>
      </c>
      <c r="H6489" t="n">
        <v>0</v>
      </c>
      <c r="I6489" t="n">
        <v>0</v>
      </c>
      <c r="J6489" t="n">
        <v>0</v>
      </c>
      <c r="K6489" t="n">
        <v>0</v>
      </c>
      <c r="L6489" t="n">
        <v>0</v>
      </c>
      <c r="M6489" t="n">
        <v>0</v>
      </c>
      <c r="N6489" t="n">
        <v>0</v>
      </c>
      <c r="O6489" t="n">
        <v>0</v>
      </c>
      <c r="P6489" t="n">
        <v>0</v>
      </c>
      <c r="Q6489" t="n">
        <v>0</v>
      </c>
      <c r="R6489" s="2" t="inlineStr"/>
    </row>
    <row r="6490" ht="15" customHeight="1">
      <c r="A6490" t="inlineStr">
        <is>
          <t>A 9358-2022</t>
        </is>
      </c>
      <c r="B6490" s="1" t="n">
        <v>44616</v>
      </c>
      <c r="C6490" s="1" t="n">
        <v>45810</v>
      </c>
      <c r="D6490" t="inlineStr">
        <is>
          <t>VÄRMLANDS LÄN</t>
        </is>
      </c>
      <c r="E6490" t="inlineStr">
        <is>
          <t>ARVIKA</t>
        </is>
      </c>
      <c r="G6490" t="n">
        <v>3.8</v>
      </c>
      <c r="H6490" t="n">
        <v>0</v>
      </c>
      <c r="I6490" t="n">
        <v>0</v>
      </c>
      <c r="J6490" t="n">
        <v>0</v>
      </c>
      <c r="K6490" t="n">
        <v>0</v>
      </c>
      <c r="L6490" t="n">
        <v>0</v>
      </c>
      <c r="M6490" t="n">
        <v>0</v>
      </c>
      <c r="N6490" t="n">
        <v>0</v>
      </c>
      <c r="O6490" t="n">
        <v>0</v>
      </c>
      <c r="P6490" t="n">
        <v>0</v>
      </c>
      <c r="Q6490" t="n">
        <v>0</v>
      </c>
      <c r="R6490" s="2" t="inlineStr"/>
    </row>
    <row r="6491" ht="15" customHeight="1">
      <c r="A6491" t="inlineStr">
        <is>
          <t>A 9271-2022</t>
        </is>
      </c>
      <c r="B6491" s="1" t="n">
        <v>44616</v>
      </c>
      <c r="C6491" s="1" t="n">
        <v>45810</v>
      </c>
      <c r="D6491" t="inlineStr">
        <is>
          <t>VÄRMLANDS LÄN</t>
        </is>
      </c>
      <c r="E6491" t="inlineStr">
        <is>
          <t>FORSHAGA</t>
        </is>
      </c>
      <c r="G6491" t="n">
        <v>0.4</v>
      </c>
      <c r="H6491" t="n">
        <v>0</v>
      </c>
      <c r="I6491" t="n">
        <v>0</v>
      </c>
      <c r="J6491" t="n">
        <v>0</v>
      </c>
      <c r="K6491" t="n">
        <v>0</v>
      </c>
      <c r="L6491" t="n">
        <v>0</v>
      </c>
      <c r="M6491" t="n">
        <v>0</v>
      </c>
      <c r="N6491" t="n">
        <v>0</v>
      </c>
      <c r="O6491" t="n">
        <v>0</v>
      </c>
      <c r="P6491" t="n">
        <v>0</v>
      </c>
      <c r="Q6491" t="n">
        <v>0</v>
      </c>
      <c r="R6491" s="2" t="inlineStr"/>
    </row>
    <row r="6492" ht="15" customHeight="1">
      <c r="A6492" t="inlineStr">
        <is>
          <t>A 9319-2022</t>
        </is>
      </c>
      <c r="B6492" s="1" t="n">
        <v>44616</v>
      </c>
      <c r="C6492" s="1" t="n">
        <v>45810</v>
      </c>
      <c r="D6492" t="inlineStr">
        <is>
          <t>VÄRMLANDS LÄN</t>
        </is>
      </c>
      <c r="E6492" t="inlineStr">
        <is>
          <t>ARVIKA</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9350-2022</t>
        </is>
      </c>
      <c r="B6493" s="1" t="n">
        <v>44616</v>
      </c>
      <c r="C6493" s="1" t="n">
        <v>45810</v>
      </c>
      <c r="D6493" t="inlineStr">
        <is>
          <t>VÄRMLANDS LÄN</t>
        </is>
      </c>
      <c r="E6493" t="inlineStr">
        <is>
          <t>FORSHAGA</t>
        </is>
      </c>
      <c r="G6493" t="n">
        <v>4.6</v>
      </c>
      <c r="H6493" t="n">
        <v>0</v>
      </c>
      <c r="I6493" t="n">
        <v>0</v>
      </c>
      <c r="J6493" t="n">
        <v>0</v>
      </c>
      <c r="K6493" t="n">
        <v>0</v>
      </c>
      <c r="L6493" t="n">
        <v>0</v>
      </c>
      <c r="M6493" t="n">
        <v>0</v>
      </c>
      <c r="N6493" t="n">
        <v>0</v>
      </c>
      <c r="O6493" t="n">
        <v>0</v>
      </c>
      <c r="P6493" t="n">
        <v>0</v>
      </c>
      <c r="Q6493" t="n">
        <v>0</v>
      </c>
      <c r="R6493" s="2" t="inlineStr"/>
    </row>
    <row r="6494" ht="15" customHeight="1">
      <c r="A6494" t="inlineStr">
        <is>
          <t>A 9359-2022</t>
        </is>
      </c>
      <c r="B6494" s="1" t="n">
        <v>44616</v>
      </c>
      <c r="C6494" s="1" t="n">
        <v>45810</v>
      </c>
      <c r="D6494" t="inlineStr">
        <is>
          <t>VÄRMLANDS LÄN</t>
        </is>
      </c>
      <c r="E6494" t="inlineStr">
        <is>
          <t>SÄFFLE</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9369-2022</t>
        </is>
      </c>
      <c r="B6495" s="1" t="n">
        <v>44616</v>
      </c>
      <c r="C6495" s="1" t="n">
        <v>45810</v>
      </c>
      <c r="D6495" t="inlineStr">
        <is>
          <t>VÄRMLANDS LÄN</t>
        </is>
      </c>
      <c r="E6495" t="inlineStr">
        <is>
          <t>ÅRJÄNG</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9374-2022</t>
        </is>
      </c>
      <c r="B6496" s="1" t="n">
        <v>44616</v>
      </c>
      <c r="C6496" s="1" t="n">
        <v>45810</v>
      </c>
      <c r="D6496" t="inlineStr">
        <is>
          <t>VÄRMLANDS LÄN</t>
        </is>
      </c>
      <c r="E6496" t="inlineStr">
        <is>
          <t>ARVIKA</t>
        </is>
      </c>
      <c r="F6496" t="inlineStr">
        <is>
          <t>Bergvik skog väst AB</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9630-2022</t>
        </is>
      </c>
      <c r="B6497" s="1" t="n">
        <v>44617</v>
      </c>
      <c r="C6497" s="1" t="n">
        <v>45810</v>
      </c>
      <c r="D6497" t="inlineStr">
        <is>
          <t>VÄRMLANDS LÄN</t>
        </is>
      </c>
      <c r="E6497" t="inlineStr">
        <is>
          <t>ÅRJÄNG</t>
        </is>
      </c>
      <c r="G6497" t="n">
        <v>0.3</v>
      </c>
      <c r="H6497" t="n">
        <v>0</v>
      </c>
      <c r="I6497" t="n">
        <v>0</v>
      </c>
      <c r="J6497" t="n">
        <v>0</v>
      </c>
      <c r="K6497" t="n">
        <v>0</v>
      </c>
      <c r="L6497" t="n">
        <v>0</v>
      </c>
      <c r="M6497" t="n">
        <v>0</v>
      </c>
      <c r="N6497" t="n">
        <v>0</v>
      </c>
      <c r="O6497" t="n">
        <v>0</v>
      </c>
      <c r="P6497" t="n">
        <v>0</v>
      </c>
      <c r="Q6497" t="n">
        <v>0</v>
      </c>
      <c r="R6497" s="2" t="inlineStr"/>
    </row>
    <row r="6498" ht="15" customHeight="1">
      <c r="A6498" t="inlineStr">
        <is>
          <t>A 9615-2022</t>
        </is>
      </c>
      <c r="B6498" s="1" t="n">
        <v>44617</v>
      </c>
      <c r="C6498" s="1" t="n">
        <v>45810</v>
      </c>
      <c r="D6498" t="inlineStr">
        <is>
          <t>VÄRMLANDS LÄN</t>
        </is>
      </c>
      <c r="E6498" t="inlineStr">
        <is>
          <t>ARVIKA</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9657-2022</t>
        </is>
      </c>
      <c r="B6499" s="1" t="n">
        <v>44617</v>
      </c>
      <c r="C6499" s="1" t="n">
        <v>45810</v>
      </c>
      <c r="D6499" t="inlineStr">
        <is>
          <t>VÄRMLANDS LÄN</t>
        </is>
      </c>
      <c r="E6499" t="inlineStr">
        <is>
          <t>ARVIKA</t>
        </is>
      </c>
      <c r="F6499" t="inlineStr">
        <is>
          <t>Bergvik skog väst AB</t>
        </is>
      </c>
      <c r="G6499" t="n">
        <v>8.800000000000001</v>
      </c>
      <c r="H6499" t="n">
        <v>0</v>
      </c>
      <c r="I6499" t="n">
        <v>0</v>
      </c>
      <c r="J6499" t="n">
        <v>0</v>
      </c>
      <c r="K6499" t="n">
        <v>0</v>
      </c>
      <c r="L6499" t="n">
        <v>0</v>
      </c>
      <c r="M6499" t="n">
        <v>0</v>
      </c>
      <c r="N6499" t="n">
        <v>0</v>
      </c>
      <c r="O6499" t="n">
        <v>0</v>
      </c>
      <c r="P6499" t="n">
        <v>0</v>
      </c>
      <c r="Q6499" t="n">
        <v>0</v>
      </c>
      <c r="R6499" s="2" t="inlineStr"/>
    </row>
    <row r="6500" ht="15" customHeight="1">
      <c r="A6500" t="inlineStr">
        <is>
          <t>A 9608-2022</t>
        </is>
      </c>
      <c r="B6500" s="1" t="n">
        <v>44617</v>
      </c>
      <c r="C6500" s="1" t="n">
        <v>45810</v>
      </c>
      <c r="D6500" t="inlineStr">
        <is>
          <t>VÄRMLANDS LÄN</t>
        </is>
      </c>
      <c r="E6500" t="inlineStr">
        <is>
          <t>SUNNE</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9672-2022</t>
        </is>
      </c>
      <c r="B6501" s="1" t="n">
        <v>44617</v>
      </c>
      <c r="C6501" s="1" t="n">
        <v>45810</v>
      </c>
      <c r="D6501" t="inlineStr">
        <is>
          <t>VÄRMLANDS LÄN</t>
        </is>
      </c>
      <c r="E6501" t="inlineStr">
        <is>
          <t>ARVIKA</t>
        </is>
      </c>
      <c r="F6501" t="inlineStr">
        <is>
          <t>Bergvik skog väst AB</t>
        </is>
      </c>
      <c r="G6501" t="n">
        <v>3.8</v>
      </c>
      <c r="H6501" t="n">
        <v>0</v>
      </c>
      <c r="I6501" t="n">
        <v>0</v>
      </c>
      <c r="J6501" t="n">
        <v>0</v>
      </c>
      <c r="K6501" t="n">
        <v>0</v>
      </c>
      <c r="L6501" t="n">
        <v>0</v>
      </c>
      <c r="M6501" t="n">
        <v>0</v>
      </c>
      <c r="N6501" t="n">
        <v>0</v>
      </c>
      <c r="O6501" t="n">
        <v>0</v>
      </c>
      <c r="P6501" t="n">
        <v>0</v>
      </c>
      <c r="Q6501" t="n">
        <v>0</v>
      </c>
      <c r="R6501" s="2" t="inlineStr"/>
    </row>
    <row r="6502" ht="15" customHeight="1">
      <c r="A6502" t="inlineStr">
        <is>
          <t>A 9776-2022</t>
        </is>
      </c>
      <c r="B6502" s="1" t="n">
        <v>44619</v>
      </c>
      <c r="C6502" s="1" t="n">
        <v>45810</v>
      </c>
      <c r="D6502" t="inlineStr">
        <is>
          <t>VÄRMLANDS LÄN</t>
        </is>
      </c>
      <c r="E6502" t="inlineStr">
        <is>
          <t>EDA</t>
        </is>
      </c>
      <c r="G6502" t="n">
        <v>2.4</v>
      </c>
      <c r="H6502" t="n">
        <v>0</v>
      </c>
      <c r="I6502" t="n">
        <v>0</v>
      </c>
      <c r="J6502" t="n">
        <v>0</v>
      </c>
      <c r="K6502" t="n">
        <v>0</v>
      </c>
      <c r="L6502" t="n">
        <v>0</v>
      </c>
      <c r="M6502" t="n">
        <v>0</v>
      </c>
      <c r="N6502" t="n">
        <v>0</v>
      </c>
      <c r="O6502" t="n">
        <v>0</v>
      </c>
      <c r="P6502" t="n">
        <v>0</v>
      </c>
      <c r="Q6502" t="n">
        <v>0</v>
      </c>
      <c r="R6502" s="2" t="inlineStr"/>
    </row>
    <row r="6503" ht="15" customHeight="1">
      <c r="A6503" t="inlineStr">
        <is>
          <t>A 9799-2022</t>
        </is>
      </c>
      <c r="B6503" s="1" t="n">
        <v>44620</v>
      </c>
      <c r="C6503" s="1" t="n">
        <v>45810</v>
      </c>
      <c r="D6503" t="inlineStr">
        <is>
          <t>VÄRMLANDS LÄN</t>
        </is>
      </c>
      <c r="E6503" t="inlineStr">
        <is>
          <t>GRUMS</t>
        </is>
      </c>
      <c r="G6503" t="n">
        <v>1.6</v>
      </c>
      <c r="H6503" t="n">
        <v>0</v>
      </c>
      <c r="I6503" t="n">
        <v>0</v>
      </c>
      <c r="J6503" t="n">
        <v>0</v>
      </c>
      <c r="K6503" t="n">
        <v>0</v>
      </c>
      <c r="L6503" t="n">
        <v>0</v>
      </c>
      <c r="M6503" t="n">
        <v>0</v>
      </c>
      <c r="N6503" t="n">
        <v>0</v>
      </c>
      <c r="O6503" t="n">
        <v>0</v>
      </c>
      <c r="P6503" t="n">
        <v>0</v>
      </c>
      <c r="Q6503" t="n">
        <v>0</v>
      </c>
      <c r="R6503" s="2" t="inlineStr"/>
    </row>
    <row r="6504" ht="15" customHeight="1">
      <c r="A6504" t="inlineStr">
        <is>
          <t>A 9855-2022</t>
        </is>
      </c>
      <c r="B6504" s="1" t="n">
        <v>44620</v>
      </c>
      <c r="C6504" s="1" t="n">
        <v>45810</v>
      </c>
      <c r="D6504" t="inlineStr">
        <is>
          <t>VÄRMLANDS LÄN</t>
        </is>
      </c>
      <c r="E6504" t="inlineStr">
        <is>
          <t>ARVIKA</t>
        </is>
      </c>
      <c r="F6504" t="inlineStr">
        <is>
          <t>Bergvik skog väst AB</t>
        </is>
      </c>
      <c r="G6504" t="n">
        <v>5.7</v>
      </c>
      <c r="H6504" t="n">
        <v>0</v>
      </c>
      <c r="I6504" t="n">
        <v>0</v>
      </c>
      <c r="J6504" t="n">
        <v>0</v>
      </c>
      <c r="K6504" t="n">
        <v>0</v>
      </c>
      <c r="L6504" t="n">
        <v>0</v>
      </c>
      <c r="M6504" t="n">
        <v>0</v>
      </c>
      <c r="N6504" t="n">
        <v>0</v>
      </c>
      <c r="O6504" t="n">
        <v>0</v>
      </c>
      <c r="P6504" t="n">
        <v>0</v>
      </c>
      <c r="Q6504" t="n">
        <v>0</v>
      </c>
      <c r="R6504" s="2" t="inlineStr"/>
    </row>
    <row r="6505" ht="15" customHeight="1">
      <c r="A6505" t="inlineStr">
        <is>
          <t>A 9857-2022</t>
        </is>
      </c>
      <c r="B6505" s="1" t="n">
        <v>44620</v>
      </c>
      <c r="C6505" s="1" t="n">
        <v>45810</v>
      </c>
      <c r="D6505" t="inlineStr">
        <is>
          <t>VÄRMLANDS LÄN</t>
        </is>
      </c>
      <c r="E6505" t="inlineStr">
        <is>
          <t>ARVIKA</t>
        </is>
      </c>
      <c r="F6505" t="inlineStr">
        <is>
          <t>Bergvik skog väst AB</t>
        </is>
      </c>
      <c r="G6505" t="n">
        <v>2.3</v>
      </c>
      <c r="H6505" t="n">
        <v>0</v>
      </c>
      <c r="I6505" t="n">
        <v>0</v>
      </c>
      <c r="J6505" t="n">
        <v>0</v>
      </c>
      <c r="K6505" t="n">
        <v>0</v>
      </c>
      <c r="L6505" t="n">
        <v>0</v>
      </c>
      <c r="M6505" t="n">
        <v>0</v>
      </c>
      <c r="N6505" t="n">
        <v>0</v>
      </c>
      <c r="O6505" t="n">
        <v>0</v>
      </c>
      <c r="P6505" t="n">
        <v>0</v>
      </c>
      <c r="Q6505" t="n">
        <v>0</v>
      </c>
      <c r="R6505" s="2" t="inlineStr"/>
    </row>
    <row r="6506" ht="15" customHeight="1">
      <c r="A6506" t="inlineStr">
        <is>
          <t>A 9805-2022</t>
        </is>
      </c>
      <c r="B6506" s="1" t="n">
        <v>44620</v>
      </c>
      <c r="C6506" s="1" t="n">
        <v>45810</v>
      </c>
      <c r="D6506" t="inlineStr">
        <is>
          <t>VÄRMLANDS LÄN</t>
        </is>
      </c>
      <c r="E6506" t="inlineStr">
        <is>
          <t>ARVIKA</t>
        </is>
      </c>
      <c r="F6506" t="inlineStr">
        <is>
          <t>Bergvik skog väst AB</t>
        </is>
      </c>
      <c r="G6506" t="n">
        <v>4</v>
      </c>
      <c r="H6506" t="n">
        <v>0</v>
      </c>
      <c r="I6506" t="n">
        <v>0</v>
      </c>
      <c r="J6506" t="n">
        <v>0</v>
      </c>
      <c r="K6506" t="n">
        <v>0</v>
      </c>
      <c r="L6506" t="n">
        <v>0</v>
      </c>
      <c r="M6506" t="n">
        <v>0</v>
      </c>
      <c r="N6506" t="n">
        <v>0</v>
      </c>
      <c r="O6506" t="n">
        <v>0</v>
      </c>
      <c r="P6506" t="n">
        <v>0</v>
      </c>
      <c r="Q6506" t="n">
        <v>0</v>
      </c>
      <c r="R6506" s="2" t="inlineStr"/>
    </row>
    <row r="6507" ht="15" customHeight="1">
      <c r="A6507" t="inlineStr">
        <is>
          <t>A 9850-2022</t>
        </is>
      </c>
      <c r="B6507" s="1" t="n">
        <v>44620</v>
      </c>
      <c r="C6507" s="1" t="n">
        <v>45810</v>
      </c>
      <c r="D6507" t="inlineStr">
        <is>
          <t>VÄRMLANDS LÄN</t>
        </is>
      </c>
      <c r="E6507" t="inlineStr">
        <is>
          <t>SÄFFLE</t>
        </is>
      </c>
      <c r="G6507" t="n">
        <v>2.4</v>
      </c>
      <c r="H6507" t="n">
        <v>0</v>
      </c>
      <c r="I6507" t="n">
        <v>0</v>
      </c>
      <c r="J6507" t="n">
        <v>0</v>
      </c>
      <c r="K6507" t="n">
        <v>0</v>
      </c>
      <c r="L6507" t="n">
        <v>0</v>
      </c>
      <c r="M6507" t="n">
        <v>0</v>
      </c>
      <c r="N6507" t="n">
        <v>0</v>
      </c>
      <c r="O6507" t="n">
        <v>0</v>
      </c>
      <c r="P6507" t="n">
        <v>0</v>
      </c>
      <c r="Q6507" t="n">
        <v>0</v>
      </c>
      <c r="R6507" s="2" t="inlineStr"/>
    </row>
    <row r="6508" ht="15" customHeight="1">
      <c r="A6508" t="inlineStr">
        <is>
          <t>A 9865-2022</t>
        </is>
      </c>
      <c r="B6508" s="1" t="n">
        <v>44620</v>
      </c>
      <c r="C6508" s="1" t="n">
        <v>45810</v>
      </c>
      <c r="D6508" t="inlineStr">
        <is>
          <t>VÄRMLANDS LÄN</t>
        </is>
      </c>
      <c r="E6508" t="inlineStr">
        <is>
          <t>ARVIKA</t>
        </is>
      </c>
      <c r="G6508" t="n">
        <v>11.2</v>
      </c>
      <c r="H6508" t="n">
        <v>0</v>
      </c>
      <c r="I6508" t="n">
        <v>0</v>
      </c>
      <c r="J6508" t="n">
        <v>0</v>
      </c>
      <c r="K6508" t="n">
        <v>0</v>
      </c>
      <c r="L6508" t="n">
        <v>0</v>
      </c>
      <c r="M6508" t="n">
        <v>0</v>
      </c>
      <c r="N6508" t="n">
        <v>0</v>
      </c>
      <c r="O6508" t="n">
        <v>0</v>
      </c>
      <c r="P6508" t="n">
        <v>0</v>
      </c>
      <c r="Q6508" t="n">
        <v>0</v>
      </c>
      <c r="R6508" s="2" t="inlineStr"/>
    </row>
    <row r="6509" ht="15" customHeight="1">
      <c r="A6509" t="inlineStr">
        <is>
          <t>A 9873-2022</t>
        </is>
      </c>
      <c r="B6509" s="1" t="n">
        <v>44620</v>
      </c>
      <c r="C6509" s="1" t="n">
        <v>45810</v>
      </c>
      <c r="D6509" t="inlineStr">
        <is>
          <t>VÄRMLANDS LÄN</t>
        </is>
      </c>
      <c r="E6509" t="inlineStr">
        <is>
          <t>KIL</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9896-2022</t>
        </is>
      </c>
      <c r="B6510" s="1" t="n">
        <v>44620</v>
      </c>
      <c r="C6510" s="1" t="n">
        <v>45810</v>
      </c>
      <c r="D6510" t="inlineStr">
        <is>
          <t>VÄRMLANDS LÄN</t>
        </is>
      </c>
      <c r="E6510" t="inlineStr">
        <is>
          <t>KARLSTAD</t>
        </is>
      </c>
      <c r="F6510" t="inlineStr">
        <is>
          <t>Bergvik skog väst AB</t>
        </is>
      </c>
      <c r="G6510" t="n">
        <v>4.5</v>
      </c>
      <c r="H6510" t="n">
        <v>0</v>
      </c>
      <c r="I6510" t="n">
        <v>0</v>
      </c>
      <c r="J6510" t="n">
        <v>0</v>
      </c>
      <c r="K6510" t="n">
        <v>0</v>
      </c>
      <c r="L6510" t="n">
        <v>0</v>
      </c>
      <c r="M6510" t="n">
        <v>0</v>
      </c>
      <c r="N6510" t="n">
        <v>0</v>
      </c>
      <c r="O6510" t="n">
        <v>0</v>
      </c>
      <c r="P6510" t="n">
        <v>0</v>
      </c>
      <c r="Q6510" t="n">
        <v>0</v>
      </c>
      <c r="R6510" s="2" t="inlineStr"/>
    </row>
    <row r="6511" ht="15" customHeight="1">
      <c r="A6511" t="inlineStr">
        <is>
          <t>A 9885-2022</t>
        </is>
      </c>
      <c r="B6511" s="1" t="n">
        <v>44620</v>
      </c>
      <c r="C6511" s="1" t="n">
        <v>45810</v>
      </c>
      <c r="D6511" t="inlineStr">
        <is>
          <t>VÄRMLANDS LÄN</t>
        </is>
      </c>
      <c r="E6511" t="inlineStr">
        <is>
          <t>ÅRJÄNG</t>
        </is>
      </c>
      <c r="G6511" t="n">
        <v>3.2</v>
      </c>
      <c r="H6511" t="n">
        <v>0</v>
      </c>
      <c r="I6511" t="n">
        <v>0</v>
      </c>
      <c r="J6511" t="n">
        <v>0</v>
      </c>
      <c r="K6511" t="n">
        <v>0</v>
      </c>
      <c r="L6511" t="n">
        <v>0</v>
      </c>
      <c r="M6511" t="n">
        <v>0</v>
      </c>
      <c r="N6511" t="n">
        <v>0</v>
      </c>
      <c r="O6511" t="n">
        <v>0</v>
      </c>
      <c r="P6511" t="n">
        <v>0</v>
      </c>
      <c r="Q6511" t="n">
        <v>0</v>
      </c>
      <c r="R6511" s="2" t="inlineStr"/>
    </row>
    <row r="6512" ht="15" customHeight="1">
      <c r="A6512" t="inlineStr">
        <is>
          <t>A 9894-2022</t>
        </is>
      </c>
      <c r="B6512" s="1" t="n">
        <v>44620</v>
      </c>
      <c r="C6512" s="1" t="n">
        <v>45810</v>
      </c>
      <c r="D6512" t="inlineStr">
        <is>
          <t>VÄRMLANDS LÄN</t>
        </is>
      </c>
      <c r="E6512" t="inlineStr">
        <is>
          <t>SUNNE</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9939-2022</t>
        </is>
      </c>
      <c r="B6513" s="1" t="n">
        <v>44620</v>
      </c>
      <c r="C6513" s="1" t="n">
        <v>45810</v>
      </c>
      <c r="D6513" t="inlineStr">
        <is>
          <t>VÄRMLANDS LÄN</t>
        </is>
      </c>
      <c r="E6513" t="inlineStr">
        <is>
          <t>GRUMS</t>
        </is>
      </c>
      <c r="G6513" t="n">
        <v>5.7</v>
      </c>
      <c r="H6513" t="n">
        <v>0</v>
      </c>
      <c r="I6513" t="n">
        <v>0</v>
      </c>
      <c r="J6513" t="n">
        <v>0</v>
      </c>
      <c r="K6513" t="n">
        <v>0</v>
      </c>
      <c r="L6513" t="n">
        <v>0</v>
      </c>
      <c r="M6513" t="n">
        <v>0</v>
      </c>
      <c r="N6513" t="n">
        <v>0</v>
      </c>
      <c r="O6513" t="n">
        <v>0</v>
      </c>
      <c r="P6513" t="n">
        <v>0</v>
      </c>
      <c r="Q6513" t="n">
        <v>0</v>
      </c>
      <c r="R6513" s="2" t="inlineStr"/>
    </row>
    <row r="6514" ht="15" customHeight="1">
      <c r="A6514" t="inlineStr">
        <is>
          <t>A 10006-2022</t>
        </is>
      </c>
      <c r="B6514" s="1" t="n">
        <v>44621</v>
      </c>
      <c r="C6514" s="1" t="n">
        <v>45810</v>
      </c>
      <c r="D6514" t="inlineStr">
        <is>
          <t>VÄRMLANDS LÄN</t>
        </is>
      </c>
      <c r="E6514" t="inlineStr">
        <is>
          <t>ÅRJÄNG</t>
        </is>
      </c>
      <c r="G6514" t="n">
        <v>3.7</v>
      </c>
      <c r="H6514" t="n">
        <v>0</v>
      </c>
      <c r="I6514" t="n">
        <v>0</v>
      </c>
      <c r="J6514" t="n">
        <v>0</v>
      </c>
      <c r="K6514" t="n">
        <v>0</v>
      </c>
      <c r="L6514" t="n">
        <v>0</v>
      </c>
      <c r="M6514" t="n">
        <v>0</v>
      </c>
      <c r="N6514" t="n">
        <v>0</v>
      </c>
      <c r="O6514" t="n">
        <v>0</v>
      </c>
      <c r="P6514" t="n">
        <v>0</v>
      </c>
      <c r="Q6514" t="n">
        <v>0</v>
      </c>
      <c r="R6514" s="2" t="inlineStr"/>
    </row>
    <row r="6515" ht="15" customHeight="1">
      <c r="A6515" t="inlineStr">
        <is>
          <t>A 10029-2022</t>
        </is>
      </c>
      <c r="B6515" s="1" t="n">
        <v>44621</v>
      </c>
      <c r="C6515" s="1" t="n">
        <v>45810</v>
      </c>
      <c r="D6515" t="inlineStr">
        <is>
          <t>VÄRMLANDS LÄN</t>
        </is>
      </c>
      <c r="E6515" t="inlineStr">
        <is>
          <t>SUNNE</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10109-2022</t>
        </is>
      </c>
      <c r="B6516" s="1" t="n">
        <v>44621</v>
      </c>
      <c r="C6516" s="1" t="n">
        <v>45810</v>
      </c>
      <c r="D6516" t="inlineStr">
        <is>
          <t>VÄRMLANDS LÄN</t>
        </is>
      </c>
      <c r="E6516" t="inlineStr">
        <is>
          <t>KARLSTAD</t>
        </is>
      </c>
      <c r="G6516" t="n">
        <v>7.2</v>
      </c>
      <c r="H6516" t="n">
        <v>0</v>
      </c>
      <c r="I6516" t="n">
        <v>0</v>
      </c>
      <c r="J6516" t="n">
        <v>0</v>
      </c>
      <c r="K6516" t="n">
        <v>0</v>
      </c>
      <c r="L6516" t="n">
        <v>0</v>
      </c>
      <c r="M6516" t="n">
        <v>0</v>
      </c>
      <c r="N6516" t="n">
        <v>0</v>
      </c>
      <c r="O6516" t="n">
        <v>0</v>
      </c>
      <c r="P6516" t="n">
        <v>0</v>
      </c>
      <c r="Q6516" t="n">
        <v>0</v>
      </c>
      <c r="R6516" s="2" t="inlineStr"/>
    </row>
    <row r="6517" ht="15" customHeight="1">
      <c r="A6517" t="inlineStr">
        <is>
          <t>A 10155-2022</t>
        </is>
      </c>
      <c r="B6517" s="1" t="n">
        <v>44622</v>
      </c>
      <c r="C6517" s="1" t="n">
        <v>45810</v>
      </c>
      <c r="D6517" t="inlineStr">
        <is>
          <t>VÄRMLANDS LÄN</t>
        </is>
      </c>
      <c r="E6517" t="inlineStr">
        <is>
          <t>KARLSTAD</t>
        </is>
      </c>
      <c r="G6517" t="n">
        <v>3</v>
      </c>
      <c r="H6517" t="n">
        <v>0</v>
      </c>
      <c r="I6517" t="n">
        <v>0</v>
      </c>
      <c r="J6517" t="n">
        <v>0</v>
      </c>
      <c r="K6517" t="n">
        <v>0</v>
      </c>
      <c r="L6517" t="n">
        <v>0</v>
      </c>
      <c r="M6517" t="n">
        <v>0</v>
      </c>
      <c r="N6517" t="n">
        <v>0</v>
      </c>
      <c r="O6517" t="n">
        <v>0</v>
      </c>
      <c r="P6517" t="n">
        <v>0</v>
      </c>
      <c r="Q6517" t="n">
        <v>0</v>
      </c>
      <c r="R6517" s="2" t="inlineStr"/>
    </row>
    <row r="6518" ht="15" customHeight="1">
      <c r="A6518" t="inlineStr">
        <is>
          <t>A 10162-2022</t>
        </is>
      </c>
      <c r="B6518" s="1" t="n">
        <v>44622</v>
      </c>
      <c r="C6518" s="1" t="n">
        <v>45810</v>
      </c>
      <c r="D6518" t="inlineStr">
        <is>
          <t>VÄRMLANDS LÄN</t>
        </is>
      </c>
      <c r="E6518" t="inlineStr">
        <is>
          <t>KARLSTAD</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10236-2022</t>
        </is>
      </c>
      <c r="B6519" s="1" t="n">
        <v>44622</v>
      </c>
      <c r="C6519" s="1" t="n">
        <v>45810</v>
      </c>
      <c r="D6519" t="inlineStr">
        <is>
          <t>VÄRMLANDS LÄN</t>
        </is>
      </c>
      <c r="E6519" t="inlineStr">
        <is>
          <t>HAGFORS</t>
        </is>
      </c>
      <c r="G6519" t="n">
        <v>2.2</v>
      </c>
      <c r="H6519" t="n">
        <v>0</v>
      </c>
      <c r="I6519" t="n">
        <v>0</v>
      </c>
      <c r="J6519" t="n">
        <v>0</v>
      </c>
      <c r="K6519" t="n">
        <v>0</v>
      </c>
      <c r="L6519" t="n">
        <v>0</v>
      </c>
      <c r="M6519" t="n">
        <v>0</v>
      </c>
      <c r="N6519" t="n">
        <v>0</v>
      </c>
      <c r="O6519" t="n">
        <v>0</v>
      </c>
      <c r="P6519" t="n">
        <v>0</v>
      </c>
      <c r="Q6519" t="n">
        <v>0</v>
      </c>
      <c r="R6519" s="2" t="inlineStr"/>
    </row>
    <row r="6520" ht="15" customHeight="1">
      <c r="A6520" t="inlineStr">
        <is>
          <t>A 10305-2022</t>
        </is>
      </c>
      <c r="B6520" s="1" t="n">
        <v>44622</v>
      </c>
      <c r="C6520" s="1" t="n">
        <v>45810</v>
      </c>
      <c r="D6520" t="inlineStr">
        <is>
          <t>VÄRMLANDS LÄN</t>
        </is>
      </c>
      <c r="E6520" t="inlineStr">
        <is>
          <t>HAGFORS</t>
        </is>
      </c>
      <c r="G6520" t="n">
        <v>3</v>
      </c>
      <c r="H6520" t="n">
        <v>0</v>
      </c>
      <c r="I6520" t="n">
        <v>0</v>
      </c>
      <c r="J6520" t="n">
        <v>0</v>
      </c>
      <c r="K6520" t="n">
        <v>0</v>
      </c>
      <c r="L6520" t="n">
        <v>0</v>
      </c>
      <c r="M6520" t="n">
        <v>0</v>
      </c>
      <c r="N6520" t="n">
        <v>0</v>
      </c>
      <c r="O6520" t="n">
        <v>0</v>
      </c>
      <c r="P6520" t="n">
        <v>0</v>
      </c>
      <c r="Q6520" t="n">
        <v>0</v>
      </c>
      <c r="R6520" s="2" t="inlineStr"/>
    </row>
    <row r="6521" ht="15" customHeight="1">
      <c r="A6521" t="inlineStr">
        <is>
          <t>A 10224-2022</t>
        </is>
      </c>
      <c r="B6521" s="1" t="n">
        <v>44622</v>
      </c>
      <c r="C6521" s="1" t="n">
        <v>45810</v>
      </c>
      <c r="D6521" t="inlineStr">
        <is>
          <t>VÄRMLANDS LÄN</t>
        </is>
      </c>
      <c r="E6521" t="inlineStr">
        <is>
          <t>SUNNE</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10364-2022</t>
        </is>
      </c>
      <c r="B6522" s="1" t="n">
        <v>44623</v>
      </c>
      <c r="C6522" s="1" t="n">
        <v>45810</v>
      </c>
      <c r="D6522" t="inlineStr">
        <is>
          <t>VÄRMLANDS LÄN</t>
        </is>
      </c>
      <c r="E6522" t="inlineStr">
        <is>
          <t>KIL</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10366-2022</t>
        </is>
      </c>
      <c r="B6523" s="1" t="n">
        <v>44623</v>
      </c>
      <c r="C6523" s="1" t="n">
        <v>45810</v>
      </c>
      <c r="D6523" t="inlineStr">
        <is>
          <t>VÄRMLANDS LÄN</t>
        </is>
      </c>
      <c r="E6523" t="inlineStr">
        <is>
          <t>KIL</t>
        </is>
      </c>
      <c r="G6523" t="n">
        <v>10.1</v>
      </c>
      <c r="H6523" t="n">
        <v>0</v>
      </c>
      <c r="I6523" t="n">
        <v>0</v>
      </c>
      <c r="J6523" t="n">
        <v>0</v>
      </c>
      <c r="K6523" t="n">
        <v>0</v>
      </c>
      <c r="L6523" t="n">
        <v>0</v>
      </c>
      <c r="M6523" t="n">
        <v>0</v>
      </c>
      <c r="N6523" t="n">
        <v>0</v>
      </c>
      <c r="O6523" t="n">
        <v>0</v>
      </c>
      <c r="P6523" t="n">
        <v>0</v>
      </c>
      <c r="Q6523" t="n">
        <v>0</v>
      </c>
      <c r="R6523" s="2" t="inlineStr"/>
    </row>
    <row r="6524" ht="15" customHeight="1">
      <c r="A6524" t="inlineStr">
        <is>
          <t>A 10374-2022</t>
        </is>
      </c>
      <c r="B6524" s="1" t="n">
        <v>44623</v>
      </c>
      <c r="C6524" s="1" t="n">
        <v>45810</v>
      </c>
      <c r="D6524" t="inlineStr">
        <is>
          <t>VÄRMLANDS LÄN</t>
        </is>
      </c>
      <c r="E6524" t="inlineStr">
        <is>
          <t>KIL</t>
        </is>
      </c>
      <c r="G6524" t="n">
        <v>1.5</v>
      </c>
      <c r="H6524" t="n">
        <v>0</v>
      </c>
      <c r="I6524" t="n">
        <v>0</v>
      </c>
      <c r="J6524" t="n">
        <v>0</v>
      </c>
      <c r="K6524" t="n">
        <v>0</v>
      </c>
      <c r="L6524" t="n">
        <v>0</v>
      </c>
      <c r="M6524" t="n">
        <v>0</v>
      </c>
      <c r="N6524" t="n">
        <v>0</v>
      </c>
      <c r="O6524" t="n">
        <v>0</v>
      </c>
      <c r="P6524" t="n">
        <v>0</v>
      </c>
      <c r="Q6524" t="n">
        <v>0</v>
      </c>
      <c r="R6524" s="2" t="inlineStr"/>
    </row>
    <row r="6525" ht="15" customHeight="1">
      <c r="A6525" t="inlineStr">
        <is>
          <t>A 10379-2022</t>
        </is>
      </c>
      <c r="B6525" s="1" t="n">
        <v>44623</v>
      </c>
      <c r="C6525" s="1" t="n">
        <v>45810</v>
      </c>
      <c r="D6525" t="inlineStr">
        <is>
          <t>VÄRMLANDS LÄN</t>
        </is>
      </c>
      <c r="E6525" t="inlineStr">
        <is>
          <t>SÄFFLE</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10376-2022</t>
        </is>
      </c>
      <c r="B6526" s="1" t="n">
        <v>44623</v>
      </c>
      <c r="C6526" s="1" t="n">
        <v>45810</v>
      </c>
      <c r="D6526" t="inlineStr">
        <is>
          <t>VÄRMLANDS LÄN</t>
        </is>
      </c>
      <c r="E6526" t="inlineStr">
        <is>
          <t>KARLSTAD</t>
        </is>
      </c>
      <c r="G6526" t="n">
        <v>0.4</v>
      </c>
      <c r="H6526" t="n">
        <v>0</v>
      </c>
      <c r="I6526" t="n">
        <v>0</v>
      </c>
      <c r="J6526" t="n">
        <v>0</v>
      </c>
      <c r="K6526" t="n">
        <v>0</v>
      </c>
      <c r="L6526" t="n">
        <v>0</v>
      </c>
      <c r="M6526" t="n">
        <v>0</v>
      </c>
      <c r="N6526" t="n">
        <v>0</v>
      </c>
      <c r="O6526" t="n">
        <v>0</v>
      </c>
      <c r="P6526" t="n">
        <v>0</v>
      </c>
      <c r="Q6526" t="n">
        <v>0</v>
      </c>
      <c r="R6526" s="2" t="inlineStr"/>
    </row>
    <row r="6527" ht="15" customHeight="1">
      <c r="A6527" t="inlineStr">
        <is>
          <t>A 10485-2022</t>
        </is>
      </c>
      <c r="B6527" s="1" t="n">
        <v>44623</v>
      </c>
      <c r="C6527" s="1" t="n">
        <v>45810</v>
      </c>
      <c r="D6527" t="inlineStr">
        <is>
          <t>VÄRMLANDS LÄN</t>
        </is>
      </c>
      <c r="E6527" t="inlineStr">
        <is>
          <t>KARLSTAD</t>
        </is>
      </c>
      <c r="G6527" t="n">
        <v>2.5</v>
      </c>
      <c r="H6527" t="n">
        <v>0</v>
      </c>
      <c r="I6527" t="n">
        <v>0</v>
      </c>
      <c r="J6527" t="n">
        <v>0</v>
      </c>
      <c r="K6527" t="n">
        <v>0</v>
      </c>
      <c r="L6527" t="n">
        <v>0</v>
      </c>
      <c r="M6527" t="n">
        <v>0</v>
      </c>
      <c r="N6527" t="n">
        <v>0</v>
      </c>
      <c r="O6527" t="n">
        <v>0</v>
      </c>
      <c r="P6527" t="n">
        <v>0</v>
      </c>
      <c r="Q6527" t="n">
        <v>0</v>
      </c>
      <c r="R6527" s="2" t="inlineStr"/>
    </row>
    <row r="6528" ht="15" customHeight="1">
      <c r="A6528" t="inlineStr">
        <is>
          <t>A 10547-2022</t>
        </is>
      </c>
      <c r="B6528" s="1" t="n">
        <v>44623</v>
      </c>
      <c r="C6528" s="1" t="n">
        <v>45810</v>
      </c>
      <c r="D6528" t="inlineStr">
        <is>
          <t>VÄRMLANDS LÄN</t>
        </is>
      </c>
      <c r="E6528" t="inlineStr">
        <is>
          <t>SUNNE</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10519-2022</t>
        </is>
      </c>
      <c r="B6529" s="1" t="n">
        <v>44623</v>
      </c>
      <c r="C6529" s="1" t="n">
        <v>45810</v>
      </c>
      <c r="D6529" t="inlineStr">
        <is>
          <t>VÄRMLANDS LÄN</t>
        </is>
      </c>
      <c r="E6529" t="inlineStr">
        <is>
          <t>ÅRJÄNG</t>
        </is>
      </c>
      <c r="G6529" t="n">
        <v>3.4</v>
      </c>
      <c r="H6529" t="n">
        <v>0</v>
      </c>
      <c r="I6529" t="n">
        <v>0</v>
      </c>
      <c r="J6529" t="n">
        <v>0</v>
      </c>
      <c r="K6529" t="n">
        <v>0</v>
      </c>
      <c r="L6529" t="n">
        <v>0</v>
      </c>
      <c r="M6529" t="n">
        <v>0</v>
      </c>
      <c r="N6529" t="n">
        <v>0</v>
      </c>
      <c r="O6529" t="n">
        <v>0</v>
      </c>
      <c r="P6529" t="n">
        <v>0</v>
      </c>
      <c r="Q6529" t="n">
        <v>0</v>
      </c>
      <c r="R6529" s="2" t="inlineStr"/>
    </row>
    <row r="6530" ht="15" customHeight="1">
      <c r="A6530" t="inlineStr">
        <is>
          <t>A 10518-2022</t>
        </is>
      </c>
      <c r="B6530" s="1" t="n">
        <v>44623</v>
      </c>
      <c r="C6530" s="1" t="n">
        <v>45810</v>
      </c>
      <c r="D6530" t="inlineStr">
        <is>
          <t>VÄRMLANDS LÄN</t>
        </is>
      </c>
      <c r="E6530" t="inlineStr">
        <is>
          <t>ÅRJÄNG</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10541-2022</t>
        </is>
      </c>
      <c r="B6531" s="1" t="n">
        <v>44623</v>
      </c>
      <c r="C6531" s="1" t="n">
        <v>45810</v>
      </c>
      <c r="D6531" t="inlineStr">
        <is>
          <t>VÄRMLANDS LÄN</t>
        </is>
      </c>
      <c r="E6531" t="inlineStr">
        <is>
          <t>SUNNE</t>
        </is>
      </c>
      <c r="G6531" t="n">
        <v>2.2</v>
      </c>
      <c r="H6531" t="n">
        <v>0</v>
      </c>
      <c r="I6531" t="n">
        <v>0</v>
      </c>
      <c r="J6531" t="n">
        <v>0</v>
      </c>
      <c r="K6531" t="n">
        <v>0</v>
      </c>
      <c r="L6531" t="n">
        <v>0</v>
      </c>
      <c r="M6531" t="n">
        <v>0</v>
      </c>
      <c r="N6531" t="n">
        <v>0</v>
      </c>
      <c r="O6531" t="n">
        <v>0</v>
      </c>
      <c r="P6531" t="n">
        <v>0</v>
      </c>
      <c r="Q6531" t="n">
        <v>0</v>
      </c>
      <c r="R6531" s="2" t="inlineStr"/>
    </row>
    <row r="6532" ht="15" customHeight="1">
      <c r="A6532" t="inlineStr">
        <is>
          <t>A 10562-2022</t>
        </is>
      </c>
      <c r="B6532" s="1" t="n">
        <v>44623</v>
      </c>
      <c r="C6532" s="1" t="n">
        <v>45810</v>
      </c>
      <c r="D6532" t="inlineStr">
        <is>
          <t>VÄRMLANDS LÄN</t>
        </is>
      </c>
      <c r="E6532" t="inlineStr">
        <is>
          <t>SUNNE</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10612-2022</t>
        </is>
      </c>
      <c r="B6533" s="1" t="n">
        <v>44624</v>
      </c>
      <c r="C6533" s="1" t="n">
        <v>45810</v>
      </c>
      <c r="D6533" t="inlineStr">
        <is>
          <t>VÄRMLANDS LÄN</t>
        </is>
      </c>
      <c r="E6533" t="inlineStr">
        <is>
          <t>ÅRJÄNG</t>
        </is>
      </c>
      <c r="G6533" t="n">
        <v>6.8</v>
      </c>
      <c r="H6533" t="n">
        <v>0</v>
      </c>
      <c r="I6533" t="n">
        <v>0</v>
      </c>
      <c r="J6533" t="n">
        <v>0</v>
      </c>
      <c r="K6533" t="n">
        <v>0</v>
      </c>
      <c r="L6533" t="n">
        <v>0</v>
      </c>
      <c r="M6533" t="n">
        <v>0</v>
      </c>
      <c r="N6533" t="n">
        <v>0</v>
      </c>
      <c r="O6533" t="n">
        <v>0</v>
      </c>
      <c r="P6533" t="n">
        <v>0</v>
      </c>
      <c r="Q6533" t="n">
        <v>0</v>
      </c>
      <c r="R6533" s="2" t="inlineStr"/>
    </row>
    <row r="6534" ht="15" customHeight="1">
      <c r="A6534" t="inlineStr">
        <is>
          <t>A 10627-2022</t>
        </is>
      </c>
      <c r="B6534" s="1" t="n">
        <v>44624</v>
      </c>
      <c r="C6534" s="1" t="n">
        <v>45810</v>
      </c>
      <c r="D6534" t="inlineStr">
        <is>
          <t>VÄRMLANDS LÄN</t>
        </is>
      </c>
      <c r="E6534" t="inlineStr">
        <is>
          <t>ÅRJÄNG</t>
        </is>
      </c>
      <c r="G6534" t="n">
        <v>2.1</v>
      </c>
      <c r="H6534" t="n">
        <v>0</v>
      </c>
      <c r="I6534" t="n">
        <v>0</v>
      </c>
      <c r="J6534" t="n">
        <v>0</v>
      </c>
      <c r="K6534" t="n">
        <v>0</v>
      </c>
      <c r="L6534" t="n">
        <v>0</v>
      </c>
      <c r="M6534" t="n">
        <v>0</v>
      </c>
      <c r="N6534" t="n">
        <v>0</v>
      </c>
      <c r="O6534" t="n">
        <v>0</v>
      </c>
      <c r="P6534" t="n">
        <v>0</v>
      </c>
      <c r="Q6534" t="n">
        <v>0</v>
      </c>
      <c r="R6534" s="2" t="inlineStr"/>
    </row>
    <row r="6535" ht="15" customHeight="1">
      <c r="A6535" t="inlineStr">
        <is>
          <t>A 10640-2022</t>
        </is>
      </c>
      <c r="B6535" s="1" t="n">
        <v>44624</v>
      </c>
      <c r="C6535" s="1" t="n">
        <v>45810</v>
      </c>
      <c r="D6535" t="inlineStr">
        <is>
          <t>VÄRMLANDS LÄN</t>
        </is>
      </c>
      <c r="E6535" t="inlineStr">
        <is>
          <t>HAGFORS</t>
        </is>
      </c>
      <c r="F6535" t="inlineStr">
        <is>
          <t>Bergvik skog väst AB</t>
        </is>
      </c>
      <c r="G6535" t="n">
        <v>6.7</v>
      </c>
      <c r="H6535" t="n">
        <v>0</v>
      </c>
      <c r="I6535" t="n">
        <v>0</v>
      </c>
      <c r="J6535" t="n">
        <v>0</v>
      </c>
      <c r="K6535" t="n">
        <v>0</v>
      </c>
      <c r="L6535" t="n">
        <v>0</v>
      </c>
      <c r="M6535" t="n">
        <v>0</v>
      </c>
      <c r="N6535" t="n">
        <v>0</v>
      </c>
      <c r="O6535" t="n">
        <v>0</v>
      </c>
      <c r="P6535" t="n">
        <v>0</v>
      </c>
      <c r="Q6535" t="n">
        <v>0</v>
      </c>
      <c r="R6535" s="2" t="inlineStr"/>
    </row>
    <row r="6536" ht="15" customHeight="1">
      <c r="A6536" t="inlineStr">
        <is>
          <t>A 10608-2022</t>
        </is>
      </c>
      <c r="B6536" s="1" t="n">
        <v>44624</v>
      </c>
      <c r="C6536" s="1" t="n">
        <v>45810</v>
      </c>
      <c r="D6536" t="inlineStr">
        <is>
          <t>VÄRMLANDS LÄN</t>
        </is>
      </c>
      <c r="E6536" t="inlineStr">
        <is>
          <t>TORSBY</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10668-2022</t>
        </is>
      </c>
      <c r="B6537" s="1" t="n">
        <v>44624</v>
      </c>
      <c r="C6537" s="1" t="n">
        <v>45810</v>
      </c>
      <c r="D6537" t="inlineStr">
        <is>
          <t>VÄRMLANDS LÄN</t>
        </is>
      </c>
      <c r="E6537" t="inlineStr">
        <is>
          <t>SÄFFLE</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10701-2022</t>
        </is>
      </c>
      <c r="B6538" s="1" t="n">
        <v>44625</v>
      </c>
      <c r="C6538" s="1" t="n">
        <v>45810</v>
      </c>
      <c r="D6538" t="inlineStr">
        <is>
          <t>VÄRMLANDS LÄN</t>
        </is>
      </c>
      <c r="E6538" t="inlineStr">
        <is>
          <t>EDA</t>
        </is>
      </c>
      <c r="G6538" t="n">
        <v>0.3</v>
      </c>
      <c r="H6538" t="n">
        <v>0</v>
      </c>
      <c r="I6538" t="n">
        <v>0</v>
      </c>
      <c r="J6538" t="n">
        <v>0</v>
      </c>
      <c r="K6538" t="n">
        <v>0</v>
      </c>
      <c r="L6538" t="n">
        <v>0</v>
      </c>
      <c r="M6538" t="n">
        <v>0</v>
      </c>
      <c r="N6538" t="n">
        <v>0</v>
      </c>
      <c r="O6538" t="n">
        <v>0</v>
      </c>
      <c r="P6538" t="n">
        <v>0</v>
      </c>
      <c r="Q6538" t="n">
        <v>0</v>
      </c>
      <c r="R6538" s="2" t="inlineStr"/>
    </row>
    <row r="6539" ht="15" customHeight="1">
      <c r="A6539" t="inlineStr">
        <is>
          <t>A 10742-2022</t>
        </is>
      </c>
      <c r="B6539" s="1" t="n">
        <v>44627</v>
      </c>
      <c r="C6539" s="1" t="n">
        <v>45810</v>
      </c>
      <c r="D6539" t="inlineStr">
        <is>
          <t>VÄRMLANDS LÄN</t>
        </is>
      </c>
      <c r="E6539" t="inlineStr">
        <is>
          <t>ARVIKA</t>
        </is>
      </c>
      <c r="G6539" t="n">
        <v>5</v>
      </c>
      <c r="H6539" t="n">
        <v>0</v>
      </c>
      <c r="I6539" t="n">
        <v>0</v>
      </c>
      <c r="J6539" t="n">
        <v>0</v>
      </c>
      <c r="K6539" t="n">
        <v>0</v>
      </c>
      <c r="L6539" t="n">
        <v>0</v>
      </c>
      <c r="M6539" t="n">
        <v>0</v>
      </c>
      <c r="N6539" t="n">
        <v>0</v>
      </c>
      <c r="O6539" t="n">
        <v>0</v>
      </c>
      <c r="P6539" t="n">
        <v>0</v>
      </c>
      <c r="Q6539" t="n">
        <v>0</v>
      </c>
      <c r="R6539" s="2" t="inlineStr"/>
    </row>
    <row r="6540" ht="15" customHeight="1">
      <c r="A6540" t="inlineStr">
        <is>
          <t>A 10765-2022</t>
        </is>
      </c>
      <c r="B6540" s="1" t="n">
        <v>44627</v>
      </c>
      <c r="C6540" s="1" t="n">
        <v>45810</v>
      </c>
      <c r="D6540" t="inlineStr">
        <is>
          <t>VÄRMLANDS LÄN</t>
        </is>
      </c>
      <c r="E6540" t="inlineStr">
        <is>
          <t>FORSHAGA</t>
        </is>
      </c>
      <c r="G6540" t="n">
        <v>6.1</v>
      </c>
      <c r="H6540" t="n">
        <v>0</v>
      </c>
      <c r="I6540" t="n">
        <v>0</v>
      </c>
      <c r="J6540" t="n">
        <v>0</v>
      </c>
      <c r="K6540" t="n">
        <v>0</v>
      </c>
      <c r="L6540" t="n">
        <v>0</v>
      </c>
      <c r="M6540" t="n">
        <v>0</v>
      </c>
      <c r="N6540" t="n">
        <v>0</v>
      </c>
      <c r="O6540" t="n">
        <v>0</v>
      </c>
      <c r="P6540" t="n">
        <v>0</v>
      </c>
      <c r="Q6540" t="n">
        <v>0</v>
      </c>
      <c r="R6540" s="2" t="inlineStr"/>
    </row>
    <row r="6541" ht="15" customHeight="1">
      <c r="A6541" t="inlineStr">
        <is>
          <t>A 10802-2022</t>
        </is>
      </c>
      <c r="B6541" s="1" t="n">
        <v>44627</v>
      </c>
      <c r="C6541" s="1" t="n">
        <v>45810</v>
      </c>
      <c r="D6541" t="inlineStr">
        <is>
          <t>VÄRMLANDS LÄN</t>
        </is>
      </c>
      <c r="E6541" t="inlineStr">
        <is>
          <t>KARLSTAD</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10842-2022</t>
        </is>
      </c>
      <c r="B6542" s="1" t="n">
        <v>44627</v>
      </c>
      <c r="C6542" s="1" t="n">
        <v>45810</v>
      </c>
      <c r="D6542" t="inlineStr">
        <is>
          <t>VÄRMLANDS LÄN</t>
        </is>
      </c>
      <c r="E6542" t="inlineStr">
        <is>
          <t>ARVIKA</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10814-2022</t>
        </is>
      </c>
      <c r="B6543" s="1" t="n">
        <v>44627</v>
      </c>
      <c r="C6543" s="1" t="n">
        <v>45810</v>
      </c>
      <c r="D6543" t="inlineStr">
        <is>
          <t>VÄRMLANDS LÄN</t>
        </is>
      </c>
      <c r="E6543" t="inlineStr">
        <is>
          <t>EDA</t>
        </is>
      </c>
      <c r="F6543" t="inlineStr">
        <is>
          <t>Bergvik skog väst AB</t>
        </is>
      </c>
      <c r="G6543" t="n">
        <v>0.5</v>
      </c>
      <c r="H6543" t="n">
        <v>0</v>
      </c>
      <c r="I6543" t="n">
        <v>0</v>
      </c>
      <c r="J6543" t="n">
        <v>0</v>
      </c>
      <c r="K6543" t="n">
        <v>0</v>
      </c>
      <c r="L6543" t="n">
        <v>0</v>
      </c>
      <c r="M6543" t="n">
        <v>0</v>
      </c>
      <c r="N6543" t="n">
        <v>0</v>
      </c>
      <c r="O6543" t="n">
        <v>0</v>
      </c>
      <c r="P6543" t="n">
        <v>0</v>
      </c>
      <c r="Q6543" t="n">
        <v>0</v>
      </c>
      <c r="R6543" s="2" t="inlineStr"/>
    </row>
    <row r="6544" ht="15" customHeight="1">
      <c r="A6544" t="inlineStr">
        <is>
          <t>A 10846-2022</t>
        </is>
      </c>
      <c r="B6544" s="1" t="n">
        <v>44627</v>
      </c>
      <c r="C6544" s="1" t="n">
        <v>45810</v>
      </c>
      <c r="D6544" t="inlineStr">
        <is>
          <t>VÄRMLANDS LÄN</t>
        </is>
      </c>
      <c r="E6544" t="inlineStr">
        <is>
          <t>ARVIKA</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10796-2022</t>
        </is>
      </c>
      <c r="B6545" s="1" t="n">
        <v>44627</v>
      </c>
      <c r="C6545" s="1" t="n">
        <v>45810</v>
      </c>
      <c r="D6545" t="inlineStr">
        <is>
          <t>VÄRMLANDS LÄN</t>
        </is>
      </c>
      <c r="E6545" t="inlineStr">
        <is>
          <t>KARLSTAD</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10874-2022</t>
        </is>
      </c>
      <c r="B6546" s="1" t="n">
        <v>44627</v>
      </c>
      <c r="C6546" s="1" t="n">
        <v>45810</v>
      </c>
      <c r="D6546" t="inlineStr">
        <is>
          <t>VÄRMLANDS LÄN</t>
        </is>
      </c>
      <c r="E6546" t="inlineStr">
        <is>
          <t>SÄFFLE</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10898-2022</t>
        </is>
      </c>
      <c r="B6547" s="1" t="n">
        <v>44627</v>
      </c>
      <c r="C6547" s="1" t="n">
        <v>45810</v>
      </c>
      <c r="D6547" t="inlineStr">
        <is>
          <t>VÄRMLANDS LÄN</t>
        </is>
      </c>
      <c r="E6547" t="inlineStr">
        <is>
          <t>ÅRJÄNG</t>
        </is>
      </c>
      <c r="G6547" t="n">
        <v>10.2</v>
      </c>
      <c r="H6547" t="n">
        <v>0</v>
      </c>
      <c r="I6547" t="n">
        <v>0</v>
      </c>
      <c r="J6547" t="n">
        <v>0</v>
      </c>
      <c r="K6547" t="n">
        <v>0</v>
      </c>
      <c r="L6547" t="n">
        <v>0</v>
      </c>
      <c r="M6547" t="n">
        <v>0</v>
      </c>
      <c r="N6547" t="n">
        <v>0</v>
      </c>
      <c r="O6547" t="n">
        <v>0</v>
      </c>
      <c r="P6547" t="n">
        <v>0</v>
      </c>
      <c r="Q6547" t="n">
        <v>0</v>
      </c>
      <c r="R6547" s="2" t="inlineStr"/>
    </row>
    <row r="6548" ht="15" customHeight="1">
      <c r="A6548" t="inlineStr">
        <is>
          <t>A 10894-2022</t>
        </is>
      </c>
      <c r="B6548" s="1" t="n">
        <v>44627</v>
      </c>
      <c r="C6548" s="1" t="n">
        <v>45810</v>
      </c>
      <c r="D6548" t="inlineStr">
        <is>
          <t>VÄRMLANDS LÄN</t>
        </is>
      </c>
      <c r="E6548" t="inlineStr">
        <is>
          <t>GRUMS</t>
        </is>
      </c>
      <c r="G6548" t="n">
        <v>1.9</v>
      </c>
      <c r="H6548" t="n">
        <v>0</v>
      </c>
      <c r="I6548" t="n">
        <v>0</v>
      </c>
      <c r="J6548" t="n">
        <v>0</v>
      </c>
      <c r="K6548" t="n">
        <v>0</v>
      </c>
      <c r="L6548" t="n">
        <v>0</v>
      </c>
      <c r="M6548" t="n">
        <v>0</v>
      </c>
      <c r="N6548" t="n">
        <v>0</v>
      </c>
      <c r="O6548" t="n">
        <v>0</v>
      </c>
      <c r="P6548" t="n">
        <v>0</v>
      </c>
      <c r="Q6548" t="n">
        <v>0</v>
      </c>
      <c r="R6548" s="2" t="inlineStr"/>
    </row>
    <row r="6549" ht="15" customHeight="1">
      <c r="A6549" t="inlineStr">
        <is>
          <t>A 10875-2022</t>
        </is>
      </c>
      <c r="B6549" s="1" t="n">
        <v>44627</v>
      </c>
      <c r="C6549" s="1" t="n">
        <v>45810</v>
      </c>
      <c r="D6549" t="inlineStr">
        <is>
          <t>VÄRMLANDS LÄN</t>
        </is>
      </c>
      <c r="E6549" t="inlineStr">
        <is>
          <t>SÄFFLE</t>
        </is>
      </c>
      <c r="G6549" t="n">
        <v>2.2</v>
      </c>
      <c r="H6549" t="n">
        <v>0</v>
      </c>
      <c r="I6549" t="n">
        <v>0</v>
      </c>
      <c r="J6549" t="n">
        <v>0</v>
      </c>
      <c r="K6549" t="n">
        <v>0</v>
      </c>
      <c r="L6549" t="n">
        <v>0</v>
      </c>
      <c r="M6549" t="n">
        <v>0</v>
      </c>
      <c r="N6549" t="n">
        <v>0</v>
      </c>
      <c r="O6549" t="n">
        <v>0</v>
      </c>
      <c r="P6549" t="n">
        <v>0</v>
      </c>
      <c r="Q6549" t="n">
        <v>0</v>
      </c>
      <c r="R6549" s="2" t="inlineStr"/>
    </row>
    <row r="6550" ht="15" customHeight="1">
      <c r="A6550" t="inlineStr">
        <is>
          <t>A 10884-2022</t>
        </is>
      </c>
      <c r="B6550" s="1" t="n">
        <v>44627</v>
      </c>
      <c r="C6550" s="1" t="n">
        <v>45810</v>
      </c>
      <c r="D6550" t="inlineStr">
        <is>
          <t>VÄRMLANDS LÄN</t>
        </is>
      </c>
      <c r="E6550" t="inlineStr">
        <is>
          <t>ÅRJÄNG</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10892-2022</t>
        </is>
      </c>
      <c r="B6551" s="1" t="n">
        <v>44627</v>
      </c>
      <c r="C6551" s="1" t="n">
        <v>45810</v>
      </c>
      <c r="D6551" t="inlineStr">
        <is>
          <t>VÄRMLANDS LÄN</t>
        </is>
      </c>
      <c r="E6551" t="inlineStr">
        <is>
          <t>GRUMS</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10899-2022</t>
        </is>
      </c>
      <c r="B6552" s="1" t="n">
        <v>44627</v>
      </c>
      <c r="C6552" s="1" t="n">
        <v>45810</v>
      </c>
      <c r="D6552" t="inlineStr">
        <is>
          <t>VÄRMLANDS LÄN</t>
        </is>
      </c>
      <c r="E6552" t="inlineStr">
        <is>
          <t>ÅRJÄNG</t>
        </is>
      </c>
      <c r="G6552" t="n">
        <v>2.9</v>
      </c>
      <c r="H6552" t="n">
        <v>0</v>
      </c>
      <c r="I6552" t="n">
        <v>0</v>
      </c>
      <c r="J6552" t="n">
        <v>0</v>
      </c>
      <c r="K6552" t="n">
        <v>0</v>
      </c>
      <c r="L6552" t="n">
        <v>0</v>
      </c>
      <c r="M6552" t="n">
        <v>0</v>
      </c>
      <c r="N6552" t="n">
        <v>0</v>
      </c>
      <c r="O6552" t="n">
        <v>0</v>
      </c>
      <c r="P6552" t="n">
        <v>0</v>
      </c>
      <c r="Q6552" t="n">
        <v>0</v>
      </c>
      <c r="R6552" s="2" t="inlineStr"/>
    </row>
    <row r="6553" ht="15" customHeight="1">
      <c r="A6553" t="inlineStr">
        <is>
          <t>A 10850-2022</t>
        </is>
      </c>
      <c r="B6553" s="1" t="n">
        <v>44627</v>
      </c>
      <c r="C6553" s="1" t="n">
        <v>45810</v>
      </c>
      <c r="D6553" t="inlineStr">
        <is>
          <t>VÄRMLANDS LÄN</t>
        </is>
      </c>
      <c r="E6553" t="inlineStr">
        <is>
          <t>ARVIKA</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10893-2022</t>
        </is>
      </c>
      <c r="B6554" s="1" t="n">
        <v>44627</v>
      </c>
      <c r="C6554" s="1" t="n">
        <v>45810</v>
      </c>
      <c r="D6554" t="inlineStr">
        <is>
          <t>VÄRMLANDS LÄN</t>
        </is>
      </c>
      <c r="E6554" t="inlineStr">
        <is>
          <t>GRUMS</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11030-2022</t>
        </is>
      </c>
      <c r="B6555" s="1" t="n">
        <v>44628</v>
      </c>
      <c r="C6555" s="1" t="n">
        <v>45810</v>
      </c>
      <c r="D6555" t="inlineStr">
        <is>
          <t>VÄRMLANDS LÄN</t>
        </is>
      </c>
      <c r="E6555" t="inlineStr">
        <is>
          <t>ÅRJÄNG</t>
        </is>
      </c>
      <c r="G6555" t="n">
        <v>3.1</v>
      </c>
      <c r="H6555" t="n">
        <v>0</v>
      </c>
      <c r="I6555" t="n">
        <v>0</v>
      </c>
      <c r="J6555" t="n">
        <v>0</v>
      </c>
      <c r="K6555" t="n">
        <v>0</v>
      </c>
      <c r="L6555" t="n">
        <v>0</v>
      </c>
      <c r="M6555" t="n">
        <v>0</v>
      </c>
      <c r="N6555" t="n">
        <v>0</v>
      </c>
      <c r="O6555" t="n">
        <v>0</v>
      </c>
      <c r="P6555" t="n">
        <v>0</v>
      </c>
      <c r="Q6555" t="n">
        <v>0</v>
      </c>
      <c r="R6555" s="2" t="inlineStr"/>
    </row>
    <row r="6556" ht="15" customHeight="1">
      <c r="A6556" t="inlineStr">
        <is>
          <t>A 11025-2022</t>
        </is>
      </c>
      <c r="B6556" s="1" t="n">
        <v>44628</v>
      </c>
      <c r="C6556" s="1" t="n">
        <v>45810</v>
      </c>
      <c r="D6556" t="inlineStr">
        <is>
          <t>VÄRMLANDS LÄN</t>
        </is>
      </c>
      <c r="E6556" t="inlineStr">
        <is>
          <t>HAGFORS</t>
        </is>
      </c>
      <c r="F6556" t="inlineStr">
        <is>
          <t>Bergvik skog väst AB</t>
        </is>
      </c>
      <c r="G6556" t="n">
        <v>3.7</v>
      </c>
      <c r="H6556" t="n">
        <v>0</v>
      </c>
      <c r="I6556" t="n">
        <v>0</v>
      </c>
      <c r="J6556" t="n">
        <v>0</v>
      </c>
      <c r="K6556" t="n">
        <v>0</v>
      </c>
      <c r="L6556" t="n">
        <v>0</v>
      </c>
      <c r="M6556" t="n">
        <v>0</v>
      </c>
      <c r="N6556" t="n">
        <v>0</v>
      </c>
      <c r="O6556" t="n">
        <v>0</v>
      </c>
      <c r="P6556" t="n">
        <v>0</v>
      </c>
      <c r="Q6556" t="n">
        <v>0</v>
      </c>
      <c r="R6556" s="2" t="inlineStr"/>
    </row>
    <row r="6557" ht="15" customHeight="1">
      <c r="A6557" t="inlineStr">
        <is>
          <t>A 11037-2022</t>
        </is>
      </c>
      <c r="B6557" s="1" t="n">
        <v>44628</v>
      </c>
      <c r="C6557" s="1" t="n">
        <v>45810</v>
      </c>
      <c r="D6557" t="inlineStr">
        <is>
          <t>VÄRMLANDS LÄN</t>
        </is>
      </c>
      <c r="E6557" t="inlineStr">
        <is>
          <t>ÅRJÄNG</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11043-2022</t>
        </is>
      </c>
      <c r="B6558" s="1" t="n">
        <v>44628</v>
      </c>
      <c r="C6558" s="1" t="n">
        <v>45810</v>
      </c>
      <c r="D6558" t="inlineStr">
        <is>
          <t>VÄRMLANDS LÄN</t>
        </is>
      </c>
      <c r="E6558" t="inlineStr">
        <is>
          <t>ÅRJÄNG</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11050-2022</t>
        </is>
      </c>
      <c r="B6559" s="1" t="n">
        <v>44628</v>
      </c>
      <c r="C6559" s="1" t="n">
        <v>45810</v>
      </c>
      <c r="D6559" t="inlineStr">
        <is>
          <t>VÄRMLANDS LÄN</t>
        </is>
      </c>
      <c r="E6559" t="inlineStr">
        <is>
          <t>TORSBY</t>
        </is>
      </c>
      <c r="G6559" t="n">
        <v>4.9</v>
      </c>
      <c r="H6559" t="n">
        <v>0</v>
      </c>
      <c r="I6559" t="n">
        <v>0</v>
      </c>
      <c r="J6559" t="n">
        <v>0</v>
      </c>
      <c r="K6559" t="n">
        <v>0</v>
      </c>
      <c r="L6559" t="n">
        <v>0</v>
      </c>
      <c r="M6559" t="n">
        <v>0</v>
      </c>
      <c r="N6559" t="n">
        <v>0</v>
      </c>
      <c r="O6559" t="n">
        <v>0</v>
      </c>
      <c r="P6559" t="n">
        <v>0</v>
      </c>
      <c r="Q6559" t="n">
        <v>0</v>
      </c>
      <c r="R6559" s="2" t="inlineStr"/>
    </row>
    <row r="6560" ht="15" customHeight="1">
      <c r="A6560" t="inlineStr">
        <is>
          <t>A 11104-2022</t>
        </is>
      </c>
      <c r="B6560" s="1" t="n">
        <v>44628</v>
      </c>
      <c r="C6560" s="1" t="n">
        <v>45810</v>
      </c>
      <c r="D6560" t="inlineStr">
        <is>
          <t>VÄRMLANDS LÄN</t>
        </is>
      </c>
      <c r="E6560" t="inlineStr">
        <is>
          <t>HAGFORS</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11103-2022</t>
        </is>
      </c>
      <c r="B6561" s="1" t="n">
        <v>44628</v>
      </c>
      <c r="C6561" s="1" t="n">
        <v>45810</v>
      </c>
      <c r="D6561" t="inlineStr">
        <is>
          <t>VÄRMLANDS LÄN</t>
        </is>
      </c>
      <c r="E6561" t="inlineStr">
        <is>
          <t>GRUMS</t>
        </is>
      </c>
      <c r="G6561" t="n">
        <v>5.7</v>
      </c>
      <c r="H6561" t="n">
        <v>0</v>
      </c>
      <c r="I6561" t="n">
        <v>0</v>
      </c>
      <c r="J6561" t="n">
        <v>0</v>
      </c>
      <c r="K6561" t="n">
        <v>0</v>
      </c>
      <c r="L6561" t="n">
        <v>0</v>
      </c>
      <c r="M6561" t="n">
        <v>0</v>
      </c>
      <c r="N6561" t="n">
        <v>0</v>
      </c>
      <c r="O6561" t="n">
        <v>0</v>
      </c>
      <c r="P6561" t="n">
        <v>0</v>
      </c>
      <c r="Q6561" t="n">
        <v>0</v>
      </c>
      <c r="R6561" s="2" t="inlineStr"/>
    </row>
    <row r="6562" ht="15" customHeight="1">
      <c r="A6562" t="inlineStr">
        <is>
          <t>A 11146-2022</t>
        </is>
      </c>
      <c r="B6562" s="1" t="n">
        <v>44629</v>
      </c>
      <c r="C6562" s="1" t="n">
        <v>45810</v>
      </c>
      <c r="D6562" t="inlineStr">
        <is>
          <t>VÄRMLANDS LÄN</t>
        </is>
      </c>
      <c r="E6562" t="inlineStr">
        <is>
          <t>EDA</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11153-2022</t>
        </is>
      </c>
      <c r="B6563" s="1" t="n">
        <v>44629</v>
      </c>
      <c r="C6563" s="1" t="n">
        <v>45810</v>
      </c>
      <c r="D6563" t="inlineStr">
        <is>
          <t>VÄRMLANDS LÄN</t>
        </is>
      </c>
      <c r="E6563" t="inlineStr">
        <is>
          <t>HAGFORS</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11179-2022</t>
        </is>
      </c>
      <c r="B6564" s="1" t="n">
        <v>44629</v>
      </c>
      <c r="C6564" s="1" t="n">
        <v>45810</v>
      </c>
      <c r="D6564" t="inlineStr">
        <is>
          <t>VÄRMLANDS LÄN</t>
        </is>
      </c>
      <c r="E6564" t="inlineStr">
        <is>
          <t>GRUMS</t>
        </is>
      </c>
      <c r="G6564" t="n">
        <v>3.5</v>
      </c>
      <c r="H6564" t="n">
        <v>0</v>
      </c>
      <c r="I6564" t="n">
        <v>0</v>
      </c>
      <c r="J6564" t="n">
        <v>0</v>
      </c>
      <c r="K6564" t="n">
        <v>0</v>
      </c>
      <c r="L6564" t="n">
        <v>0</v>
      </c>
      <c r="M6564" t="n">
        <v>0</v>
      </c>
      <c r="N6564" t="n">
        <v>0</v>
      </c>
      <c r="O6564" t="n">
        <v>0</v>
      </c>
      <c r="P6564" t="n">
        <v>0</v>
      </c>
      <c r="Q6564" t="n">
        <v>0</v>
      </c>
      <c r="R6564" s="2" t="inlineStr"/>
    </row>
    <row r="6565" ht="15" customHeight="1">
      <c r="A6565" t="inlineStr">
        <is>
          <t>A 11184-2022</t>
        </is>
      </c>
      <c r="B6565" s="1" t="n">
        <v>44629</v>
      </c>
      <c r="C6565" s="1" t="n">
        <v>45810</v>
      </c>
      <c r="D6565" t="inlineStr">
        <is>
          <t>VÄRMLANDS LÄN</t>
        </is>
      </c>
      <c r="E6565" t="inlineStr">
        <is>
          <t>SÄFFLE</t>
        </is>
      </c>
      <c r="G6565" t="n">
        <v>3.8</v>
      </c>
      <c r="H6565" t="n">
        <v>0</v>
      </c>
      <c r="I6565" t="n">
        <v>0</v>
      </c>
      <c r="J6565" t="n">
        <v>0</v>
      </c>
      <c r="K6565" t="n">
        <v>0</v>
      </c>
      <c r="L6565" t="n">
        <v>0</v>
      </c>
      <c r="M6565" t="n">
        <v>0</v>
      </c>
      <c r="N6565" t="n">
        <v>0</v>
      </c>
      <c r="O6565" t="n">
        <v>0</v>
      </c>
      <c r="P6565" t="n">
        <v>0</v>
      </c>
      <c r="Q6565" t="n">
        <v>0</v>
      </c>
      <c r="R6565" s="2" t="inlineStr"/>
    </row>
    <row r="6566" ht="15" customHeight="1">
      <c r="A6566" t="inlineStr">
        <is>
          <t>A 11211-2022</t>
        </is>
      </c>
      <c r="B6566" s="1" t="n">
        <v>44629</v>
      </c>
      <c r="C6566" s="1" t="n">
        <v>45810</v>
      </c>
      <c r="D6566" t="inlineStr">
        <is>
          <t>VÄRMLANDS LÄN</t>
        </is>
      </c>
      <c r="E6566" t="inlineStr">
        <is>
          <t>SÄFFLE</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11240-2022</t>
        </is>
      </c>
      <c r="B6567" s="1" t="n">
        <v>44629</v>
      </c>
      <c r="C6567" s="1" t="n">
        <v>45810</v>
      </c>
      <c r="D6567" t="inlineStr">
        <is>
          <t>VÄRMLANDS LÄN</t>
        </is>
      </c>
      <c r="E6567" t="inlineStr">
        <is>
          <t>SÄFFLE</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11178-2022</t>
        </is>
      </c>
      <c r="B6568" s="1" t="n">
        <v>44629</v>
      </c>
      <c r="C6568" s="1" t="n">
        <v>45810</v>
      </c>
      <c r="D6568" t="inlineStr">
        <is>
          <t>VÄRMLANDS LÄN</t>
        </is>
      </c>
      <c r="E6568" t="inlineStr">
        <is>
          <t>ARVIKA</t>
        </is>
      </c>
      <c r="G6568" t="n">
        <v>2.2</v>
      </c>
      <c r="H6568" t="n">
        <v>0</v>
      </c>
      <c r="I6568" t="n">
        <v>0</v>
      </c>
      <c r="J6568" t="n">
        <v>0</v>
      </c>
      <c r="K6568" t="n">
        <v>0</v>
      </c>
      <c r="L6568" t="n">
        <v>0</v>
      </c>
      <c r="M6568" t="n">
        <v>0</v>
      </c>
      <c r="N6568" t="n">
        <v>0</v>
      </c>
      <c r="O6568" t="n">
        <v>0</v>
      </c>
      <c r="P6568" t="n">
        <v>0</v>
      </c>
      <c r="Q6568" t="n">
        <v>0</v>
      </c>
      <c r="R6568" s="2" t="inlineStr"/>
    </row>
    <row r="6569" ht="15" customHeight="1">
      <c r="A6569" t="inlineStr">
        <is>
          <t>A 11210-2022</t>
        </is>
      </c>
      <c r="B6569" s="1" t="n">
        <v>44629</v>
      </c>
      <c r="C6569" s="1" t="n">
        <v>45810</v>
      </c>
      <c r="D6569" t="inlineStr">
        <is>
          <t>VÄRMLANDS LÄN</t>
        </is>
      </c>
      <c r="E6569" t="inlineStr">
        <is>
          <t>SÄFFLE</t>
        </is>
      </c>
      <c r="G6569" t="n">
        <v>1.8</v>
      </c>
      <c r="H6569" t="n">
        <v>0</v>
      </c>
      <c r="I6569" t="n">
        <v>0</v>
      </c>
      <c r="J6569" t="n">
        <v>0</v>
      </c>
      <c r="K6569" t="n">
        <v>0</v>
      </c>
      <c r="L6569" t="n">
        <v>0</v>
      </c>
      <c r="M6569" t="n">
        <v>0</v>
      </c>
      <c r="N6569" t="n">
        <v>0</v>
      </c>
      <c r="O6569" t="n">
        <v>0</v>
      </c>
      <c r="P6569" t="n">
        <v>0</v>
      </c>
      <c r="Q6569" t="n">
        <v>0</v>
      </c>
      <c r="R6569" s="2" t="inlineStr"/>
    </row>
    <row r="6570" ht="15" customHeight="1">
      <c r="A6570" t="inlineStr">
        <is>
          <t>A 11214-2022</t>
        </is>
      </c>
      <c r="B6570" s="1" t="n">
        <v>44629</v>
      </c>
      <c r="C6570" s="1" t="n">
        <v>45810</v>
      </c>
      <c r="D6570" t="inlineStr">
        <is>
          <t>VÄRMLANDS LÄN</t>
        </is>
      </c>
      <c r="E6570" t="inlineStr">
        <is>
          <t>SÄFFLE</t>
        </is>
      </c>
      <c r="G6570" t="n">
        <v>6.8</v>
      </c>
      <c r="H6570" t="n">
        <v>0</v>
      </c>
      <c r="I6570" t="n">
        <v>0</v>
      </c>
      <c r="J6570" t="n">
        <v>0</v>
      </c>
      <c r="K6570" t="n">
        <v>0</v>
      </c>
      <c r="L6570" t="n">
        <v>0</v>
      </c>
      <c r="M6570" t="n">
        <v>0</v>
      </c>
      <c r="N6570" t="n">
        <v>0</v>
      </c>
      <c r="O6570" t="n">
        <v>0</v>
      </c>
      <c r="P6570" t="n">
        <v>0</v>
      </c>
      <c r="Q6570" t="n">
        <v>0</v>
      </c>
      <c r="R6570" s="2" t="inlineStr"/>
    </row>
    <row r="6571" ht="15" customHeight="1">
      <c r="A6571" t="inlineStr">
        <is>
          <t>A 11221-2022</t>
        </is>
      </c>
      <c r="B6571" s="1" t="n">
        <v>44629</v>
      </c>
      <c r="C6571" s="1" t="n">
        <v>45810</v>
      </c>
      <c r="D6571" t="inlineStr">
        <is>
          <t>VÄRMLANDS LÄN</t>
        </is>
      </c>
      <c r="E6571" t="inlineStr">
        <is>
          <t>SÄFFLE</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11245-2022</t>
        </is>
      </c>
      <c r="B6572" s="1" t="n">
        <v>44629</v>
      </c>
      <c r="C6572" s="1" t="n">
        <v>45810</v>
      </c>
      <c r="D6572" t="inlineStr">
        <is>
          <t>VÄRMLANDS LÄN</t>
        </is>
      </c>
      <c r="E6572" t="inlineStr">
        <is>
          <t>SÄFFLE</t>
        </is>
      </c>
      <c r="G6572" t="n">
        <v>2.2</v>
      </c>
      <c r="H6572" t="n">
        <v>0</v>
      </c>
      <c r="I6572" t="n">
        <v>0</v>
      </c>
      <c r="J6572" t="n">
        <v>0</v>
      </c>
      <c r="K6572" t="n">
        <v>0</v>
      </c>
      <c r="L6572" t="n">
        <v>0</v>
      </c>
      <c r="M6572" t="n">
        <v>0</v>
      </c>
      <c r="N6572" t="n">
        <v>0</v>
      </c>
      <c r="O6572" t="n">
        <v>0</v>
      </c>
      <c r="P6572" t="n">
        <v>0</v>
      </c>
      <c r="Q6572" t="n">
        <v>0</v>
      </c>
      <c r="R6572" s="2" t="inlineStr"/>
    </row>
    <row r="6573" ht="15" customHeight="1">
      <c r="A6573" t="inlineStr">
        <is>
          <t>A 11335-2022</t>
        </is>
      </c>
      <c r="B6573" s="1" t="n">
        <v>44630</v>
      </c>
      <c r="C6573" s="1" t="n">
        <v>45810</v>
      </c>
      <c r="D6573" t="inlineStr">
        <is>
          <t>VÄRMLANDS LÄN</t>
        </is>
      </c>
      <c r="E6573" t="inlineStr">
        <is>
          <t>SUNNE</t>
        </is>
      </c>
      <c r="G6573" t="n">
        <v>3.9</v>
      </c>
      <c r="H6573" t="n">
        <v>0</v>
      </c>
      <c r="I6573" t="n">
        <v>0</v>
      </c>
      <c r="J6573" t="n">
        <v>0</v>
      </c>
      <c r="K6573" t="n">
        <v>0</v>
      </c>
      <c r="L6573" t="n">
        <v>0</v>
      </c>
      <c r="M6573" t="n">
        <v>0</v>
      </c>
      <c r="N6573" t="n">
        <v>0</v>
      </c>
      <c r="O6573" t="n">
        <v>0</v>
      </c>
      <c r="P6573" t="n">
        <v>0</v>
      </c>
      <c r="Q6573" t="n">
        <v>0</v>
      </c>
      <c r="R6573" s="2" t="inlineStr"/>
    </row>
    <row r="6574" ht="15" customHeight="1">
      <c r="A6574" t="inlineStr">
        <is>
          <t>A 11427-2022</t>
        </is>
      </c>
      <c r="B6574" s="1" t="n">
        <v>44630</v>
      </c>
      <c r="C6574" s="1" t="n">
        <v>45810</v>
      </c>
      <c r="D6574" t="inlineStr">
        <is>
          <t>VÄRMLANDS LÄN</t>
        </is>
      </c>
      <c r="E6574" t="inlineStr">
        <is>
          <t>SUNNE</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11447-2022</t>
        </is>
      </c>
      <c r="B6575" s="1" t="n">
        <v>44630</v>
      </c>
      <c r="C6575" s="1" t="n">
        <v>45810</v>
      </c>
      <c r="D6575" t="inlineStr">
        <is>
          <t>VÄRMLANDS LÄN</t>
        </is>
      </c>
      <c r="E6575" t="inlineStr">
        <is>
          <t>TORSBY</t>
        </is>
      </c>
      <c r="G6575" t="n">
        <v>2.4</v>
      </c>
      <c r="H6575" t="n">
        <v>0</v>
      </c>
      <c r="I6575" t="n">
        <v>0</v>
      </c>
      <c r="J6575" t="n">
        <v>0</v>
      </c>
      <c r="K6575" t="n">
        <v>0</v>
      </c>
      <c r="L6575" t="n">
        <v>0</v>
      </c>
      <c r="M6575" t="n">
        <v>0</v>
      </c>
      <c r="N6575" t="n">
        <v>0</v>
      </c>
      <c r="O6575" t="n">
        <v>0</v>
      </c>
      <c r="P6575" t="n">
        <v>0</v>
      </c>
      <c r="Q6575" t="n">
        <v>0</v>
      </c>
      <c r="R6575" s="2" t="inlineStr"/>
    </row>
    <row r="6576" ht="15" customHeight="1">
      <c r="A6576" t="inlineStr">
        <is>
          <t>A 11424-2022</t>
        </is>
      </c>
      <c r="B6576" s="1" t="n">
        <v>44630</v>
      </c>
      <c r="C6576" s="1" t="n">
        <v>45810</v>
      </c>
      <c r="D6576" t="inlineStr">
        <is>
          <t>VÄRMLANDS LÄN</t>
        </is>
      </c>
      <c r="E6576" t="inlineStr">
        <is>
          <t>SUNNE</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11523-2022</t>
        </is>
      </c>
      <c r="B6577" s="1" t="n">
        <v>44631</v>
      </c>
      <c r="C6577" s="1" t="n">
        <v>45810</v>
      </c>
      <c r="D6577" t="inlineStr">
        <is>
          <t>VÄRMLANDS LÄN</t>
        </is>
      </c>
      <c r="E6577" t="inlineStr">
        <is>
          <t>ARVIKA</t>
        </is>
      </c>
      <c r="G6577" t="n">
        <v>4.1</v>
      </c>
      <c r="H6577" t="n">
        <v>0</v>
      </c>
      <c r="I6577" t="n">
        <v>0</v>
      </c>
      <c r="J6577" t="n">
        <v>0</v>
      </c>
      <c r="K6577" t="n">
        <v>0</v>
      </c>
      <c r="L6577" t="n">
        <v>0</v>
      </c>
      <c r="M6577" t="n">
        <v>0</v>
      </c>
      <c r="N6577" t="n">
        <v>0</v>
      </c>
      <c r="O6577" t="n">
        <v>0</v>
      </c>
      <c r="P6577" t="n">
        <v>0</v>
      </c>
      <c r="Q6577" t="n">
        <v>0</v>
      </c>
      <c r="R6577" s="2" t="inlineStr"/>
    </row>
    <row r="6578" ht="15" customHeight="1">
      <c r="A6578" t="inlineStr">
        <is>
          <t>A 11585-2022</t>
        </is>
      </c>
      <c r="B6578" s="1" t="n">
        <v>44631</v>
      </c>
      <c r="C6578" s="1" t="n">
        <v>45810</v>
      </c>
      <c r="D6578" t="inlineStr">
        <is>
          <t>VÄRMLANDS LÄN</t>
        </is>
      </c>
      <c r="E6578" t="inlineStr">
        <is>
          <t>ÅRJÄNG</t>
        </is>
      </c>
      <c r="F6578" t="inlineStr">
        <is>
          <t>Bergvik skog väst AB</t>
        </is>
      </c>
      <c r="G6578" t="n">
        <v>3.5</v>
      </c>
      <c r="H6578" t="n">
        <v>0</v>
      </c>
      <c r="I6578" t="n">
        <v>0</v>
      </c>
      <c r="J6578" t="n">
        <v>0</v>
      </c>
      <c r="K6578" t="n">
        <v>0</v>
      </c>
      <c r="L6578" t="n">
        <v>0</v>
      </c>
      <c r="M6578" t="n">
        <v>0</v>
      </c>
      <c r="N6578" t="n">
        <v>0</v>
      </c>
      <c r="O6578" t="n">
        <v>0</v>
      </c>
      <c r="P6578" t="n">
        <v>0</v>
      </c>
      <c r="Q6578" t="n">
        <v>0</v>
      </c>
      <c r="R6578" s="2" t="inlineStr"/>
    </row>
    <row r="6579" ht="15" customHeight="1">
      <c r="A6579" t="inlineStr">
        <is>
          <t>A 11620-2022</t>
        </is>
      </c>
      <c r="B6579" s="1" t="n">
        <v>44631</v>
      </c>
      <c r="C6579" s="1" t="n">
        <v>45810</v>
      </c>
      <c r="D6579" t="inlineStr">
        <is>
          <t>VÄRMLANDS LÄN</t>
        </is>
      </c>
      <c r="E6579" t="inlineStr">
        <is>
          <t>ÅRJÄNG</t>
        </is>
      </c>
      <c r="F6579" t="inlineStr">
        <is>
          <t>Bergvik skog väst AB</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11508-2022</t>
        </is>
      </c>
      <c r="B6580" s="1" t="n">
        <v>44631</v>
      </c>
      <c r="C6580" s="1" t="n">
        <v>45810</v>
      </c>
      <c r="D6580" t="inlineStr">
        <is>
          <t>VÄRMLANDS LÄN</t>
        </is>
      </c>
      <c r="E6580" t="inlineStr">
        <is>
          <t>ÅRJÄNG</t>
        </is>
      </c>
      <c r="F6580" t="inlineStr">
        <is>
          <t>Bergvik skog väst AB</t>
        </is>
      </c>
      <c r="G6580" t="n">
        <v>3.3</v>
      </c>
      <c r="H6580" t="n">
        <v>0</v>
      </c>
      <c r="I6580" t="n">
        <v>0</v>
      </c>
      <c r="J6580" t="n">
        <v>0</v>
      </c>
      <c r="K6580" t="n">
        <v>0</v>
      </c>
      <c r="L6580" t="n">
        <v>0</v>
      </c>
      <c r="M6580" t="n">
        <v>0</v>
      </c>
      <c r="N6580" t="n">
        <v>0</v>
      </c>
      <c r="O6580" t="n">
        <v>0</v>
      </c>
      <c r="P6580" t="n">
        <v>0</v>
      </c>
      <c r="Q6580" t="n">
        <v>0</v>
      </c>
      <c r="R6580" s="2" t="inlineStr"/>
    </row>
    <row r="6581" ht="15" customHeight="1">
      <c r="A6581" t="inlineStr">
        <is>
          <t>A 11548-2022</t>
        </is>
      </c>
      <c r="B6581" s="1" t="n">
        <v>44631</v>
      </c>
      <c r="C6581" s="1" t="n">
        <v>45810</v>
      </c>
      <c r="D6581" t="inlineStr">
        <is>
          <t>VÄRMLANDS LÄN</t>
        </is>
      </c>
      <c r="E6581" t="inlineStr">
        <is>
          <t>ÅRJÄNG</t>
        </is>
      </c>
      <c r="F6581" t="inlineStr">
        <is>
          <t>Bergvik skog väst AB</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11582-2022</t>
        </is>
      </c>
      <c r="B6582" s="1" t="n">
        <v>44631</v>
      </c>
      <c r="C6582" s="1" t="n">
        <v>45810</v>
      </c>
      <c r="D6582" t="inlineStr">
        <is>
          <t>VÄRMLANDS LÄN</t>
        </is>
      </c>
      <c r="E6582" t="inlineStr">
        <is>
          <t>KIL</t>
        </is>
      </c>
      <c r="G6582" t="n">
        <v>4.3</v>
      </c>
      <c r="H6582" t="n">
        <v>0</v>
      </c>
      <c r="I6582" t="n">
        <v>0</v>
      </c>
      <c r="J6582" t="n">
        <v>0</v>
      </c>
      <c r="K6582" t="n">
        <v>0</v>
      </c>
      <c r="L6582" t="n">
        <v>0</v>
      </c>
      <c r="M6582" t="n">
        <v>0</v>
      </c>
      <c r="N6582" t="n">
        <v>0</v>
      </c>
      <c r="O6582" t="n">
        <v>0</v>
      </c>
      <c r="P6582" t="n">
        <v>0</v>
      </c>
      <c r="Q6582" t="n">
        <v>0</v>
      </c>
      <c r="R6582" s="2" t="inlineStr"/>
    </row>
    <row r="6583" ht="15" customHeight="1">
      <c r="A6583" t="inlineStr">
        <is>
          <t>A 11684-2022</t>
        </is>
      </c>
      <c r="B6583" s="1" t="n">
        <v>44631</v>
      </c>
      <c r="C6583" s="1" t="n">
        <v>45810</v>
      </c>
      <c r="D6583" t="inlineStr">
        <is>
          <t>VÄRMLANDS LÄN</t>
        </is>
      </c>
      <c r="E6583" t="inlineStr">
        <is>
          <t>ÅRJÄNG</t>
        </is>
      </c>
      <c r="G6583" t="n">
        <v>3</v>
      </c>
      <c r="H6583" t="n">
        <v>0</v>
      </c>
      <c r="I6583" t="n">
        <v>0</v>
      </c>
      <c r="J6583" t="n">
        <v>0</v>
      </c>
      <c r="K6583" t="n">
        <v>0</v>
      </c>
      <c r="L6583" t="n">
        <v>0</v>
      </c>
      <c r="M6583" t="n">
        <v>0</v>
      </c>
      <c r="N6583" t="n">
        <v>0</v>
      </c>
      <c r="O6583" t="n">
        <v>0</v>
      </c>
      <c r="P6583" t="n">
        <v>0</v>
      </c>
      <c r="Q6583" t="n">
        <v>0</v>
      </c>
      <c r="R6583" s="2" t="inlineStr"/>
    </row>
    <row r="6584" ht="15" customHeight="1">
      <c r="A6584" t="inlineStr">
        <is>
          <t>A 11665-2022</t>
        </is>
      </c>
      <c r="B6584" s="1" t="n">
        <v>44632</v>
      </c>
      <c r="C6584" s="1" t="n">
        <v>45810</v>
      </c>
      <c r="D6584" t="inlineStr">
        <is>
          <t>VÄRMLANDS LÄN</t>
        </is>
      </c>
      <c r="E6584" t="inlineStr">
        <is>
          <t>TORSBY</t>
        </is>
      </c>
      <c r="G6584" t="n">
        <v>4.1</v>
      </c>
      <c r="H6584" t="n">
        <v>0</v>
      </c>
      <c r="I6584" t="n">
        <v>0</v>
      </c>
      <c r="J6584" t="n">
        <v>0</v>
      </c>
      <c r="K6584" t="n">
        <v>0</v>
      </c>
      <c r="L6584" t="n">
        <v>0</v>
      </c>
      <c r="M6584" t="n">
        <v>0</v>
      </c>
      <c r="N6584" t="n">
        <v>0</v>
      </c>
      <c r="O6584" t="n">
        <v>0</v>
      </c>
      <c r="P6584" t="n">
        <v>0</v>
      </c>
      <c r="Q6584" t="n">
        <v>0</v>
      </c>
      <c r="R6584" s="2" t="inlineStr"/>
    </row>
    <row r="6585" ht="15" customHeight="1">
      <c r="A6585" t="inlineStr">
        <is>
          <t>A 11667-2022</t>
        </is>
      </c>
      <c r="B6585" s="1" t="n">
        <v>44632</v>
      </c>
      <c r="C6585" s="1" t="n">
        <v>45810</v>
      </c>
      <c r="D6585" t="inlineStr">
        <is>
          <t>VÄRMLANDS LÄN</t>
        </is>
      </c>
      <c r="E6585" t="inlineStr">
        <is>
          <t>TORSBY</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11664-2022</t>
        </is>
      </c>
      <c r="B6586" s="1" t="n">
        <v>44632</v>
      </c>
      <c r="C6586" s="1" t="n">
        <v>45810</v>
      </c>
      <c r="D6586" t="inlineStr">
        <is>
          <t>VÄRMLANDS LÄN</t>
        </is>
      </c>
      <c r="E6586" t="inlineStr">
        <is>
          <t>TORSBY</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11666-2022</t>
        </is>
      </c>
      <c r="B6587" s="1" t="n">
        <v>44632</v>
      </c>
      <c r="C6587" s="1" t="n">
        <v>45810</v>
      </c>
      <c r="D6587" t="inlineStr">
        <is>
          <t>VÄRMLANDS LÄN</t>
        </is>
      </c>
      <c r="E6587" t="inlineStr">
        <is>
          <t>TORSBY</t>
        </is>
      </c>
      <c r="G6587" t="n">
        <v>3.6</v>
      </c>
      <c r="H6587" t="n">
        <v>0</v>
      </c>
      <c r="I6587" t="n">
        <v>0</v>
      </c>
      <c r="J6587" t="n">
        <v>0</v>
      </c>
      <c r="K6587" t="n">
        <v>0</v>
      </c>
      <c r="L6587" t="n">
        <v>0</v>
      </c>
      <c r="M6587" t="n">
        <v>0</v>
      </c>
      <c r="N6587" t="n">
        <v>0</v>
      </c>
      <c r="O6587" t="n">
        <v>0</v>
      </c>
      <c r="P6587" t="n">
        <v>0</v>
      </c>
      <c r="Q6587" t="n">
        <v>0</v>
      </c>
      <c r="R6587" s="2" t="inlineStr"/>
    </row>
    <row r="6588" ht="15" customHeight="1">
      <c r="A6588" t="inlineStr">
        <is>
          <t>A 11671-2022</t>
        </is>
      </c>
      <c r="B6588" s="1" t="n">
        <v>44633</v>
      </c>
      <c r="C6588" s="1" t="n">
        <v>45810</v>
      </c>
      <c r="D6588" t="inlineStr">
        <is>
          <t>VÄRMLANDS LÄN</t>
        </is>
      </c>
      <c r="E6588" t="inlineStr">
        <is>
          <t>KARLSTAD</t>
        </is>
      </c>
      <c r="G6588" t="n">
        <v>6.3</v>
      </c>
      <c r="H6588" t="n">
        <v>0</v>
      </c>
      <c r="I6588" t="n">
        <v>0</v>
      </c>
      <c r="J6588" t="n">
        <v>0</v>
      </c>
      <c r="K6588" t="n">
        <v>0</v>
      </c>
      <c r="L6588" t="n">
        <v>0</v>
      </c>
      <c r="M6588" t="n">
        <v>0</v>
      </c>
      <c r="N6588" t="n">
        <v>0</v>
      </c>
      <c r="O6588" t="n">
        <v>0</v>
      </c>
      <c r="P6588" t="n">
        <v>0</v>
      </c>
      <c r="Q6588" t="n">
        <v>0</v>
      </c>
      <c r="R6588" s="2" t="inlineStr"/>
    </row>
    <row r="6589" ht="15" customHeight="1">
      <c r="A6589" t="inlineStr">
        <is>
          <t>A 11697-2022</t>
        </is>
      </c>
      <c r="B6589" s="1" t="n">
        <v>44634</v>
      </c>
      <c r="C6589" s="1" t="n">
        <v>45810</v>
      </c>
      <c r="D6589" t="inlineStr">
        <is>
          <t>VÄRMLANDS LÄN</t>
        </is>
      </c>
      <c r="E6589" t="inlineStr">
        <is>
          <t>KARLSTAD</t>
        </is>
      </c>
      <c r="G6589" t="n">
        <v>3.8</v>
      </c>
      <c r="H6589" t="n">
        <v>0</v>
      </c>
      <c r="I6589" t="n">
        <v>0</v>
      </c>
      <c r="J6589" t="n">
        <v>0</v>
      </c>
      <c r="K6589" t="n">
        <v>0</v>
      </c>
      <c r="L6589" t="n">
        <v>0</v>
      </c>
      <c r="M6589" t="n">
        <v>0</v>
      </c>
      <c r="N6589" t="n">
        <v>0</v>
      </c>
      <c r="O6589" t="n">
        <v>0</v>
      </c>
      <c r="P6589" t="n">
        <v>0</v>
      </c>
      <c r="Q6589" t="n">
        <v>0</v>
      </c>
      <c r="R6589" s="2" t="inlineStr"/>
    </row>
    <row r="6590" ht="15" customHeight="1">
      <c r="A6590" t="inlineStr">
        <is>
          <t>A 11746-2022</t>
        </is>
      </c>
      <c r="B6590" s="1" t="n">
        <v>44634</v>
      </c>
      <c r="C6590" s="1" t="n">
        <v>45810</v>
      </c>
      <c r="D6590" t="inlineStr">
        <is>
          <t>VÄRMLANDS LÄN</t>
        </is>
      </c>
      <c r="E6590" t="inlineStr">
        <is>
          <t>KRISTINEHAMN</t>
        </is>
      </c>
      <c r="G6590" t="n">
        <v>4.5</v>
      </c>
      <c r="H6590" t="n">
        <v>0</v>
      </c>
      <c r="I6590" t="n">
        <v>0</v>
      </c>
      <c r="J6590" t="n">
        <v>0</v>
      </c>
      <c r="K6590" t="n">
        <v>0</v>
      </c>
      <c r="L6590" t="n">
        <v>0</v>
      </c>
      <c r="M6590" t="n">
        <v>0</v>
      </c>
      <c r="N6590" t="n">
        <v>0</v>
      </c>
      <c r="O6590" t="n">
        <v>0</v>
      </c>
      <c r="P6590" t="n">
        <v>0</v>
      </c>
      <c r="Q6590" t="n">
        <v>0</v>
      </c>
      <c r="R6590" s="2" t="inlineStr"/>
    </row>
    <row r="6591" ht="15" customHeight="1">
      <c r="A6591" t="inlineStr">
        <is>
          <t>A 11700-2022</t>
        </is>
      </c>
      <c r="B6591" s="1" t="n">
        <v>44634</v>
      </c>
      <c r="C6591" s="1" t="n">
        <v>45810</v>
      </c>
      <c r="D6591" t="inlineStr">
        <is>
          <t>VÄRMLANDS LÄN</t>
        </is>
      </c>
      <c r="E6591" t="inlineStr">
        <is>
          <t>KARLSTAD</t>
        </is>
      </c>
      <c r="G6591" t="n">
        <v>3.4</v>
      </c>
      <c r="H6591" t="n">
        <v>0</v>
      </c>
      <c r="I6591" t="n">
        <v>0</v>
      </c>
      <c r="J6591" t="n">
        <v>0</v>
      </c>
      <c r="K6591" t="n">
        <v>0</v>
      </c>
      <c r="L6591" t="n">
        <v>0</v>
      </c>
      <c r="M6591" t="n">
        <v>0</v>
      </c>
      <c r="N6591" t="n">
        <v>0</v>
      </c>
      <c r="O6591" t="n">
        <v>0</v>
      </c>
      <c r="P6591" t="n">
        <v>0</v>
      </c>
      <c r="Q6591" t="n">
        <v>0</v>
      </c>
      <c r="R6591" s="2" t="inlineStr"/>
    </row>
    <row r="6592" ht="15" customHeight="1">
      <c r="A6592" t="inlineStr">
        <is>
          <t>A 11731-2022</t>
        </is>
      </c>
      <c r="B6592" s="1" t="n">
        <v>44634</v>
      </c>
      <c r="C6592" s="1" t="n">
        <v>45810</v>
      </c>
      <c r="D6592" t="inlineStr">
        <is>
          <t>VÄRMLANDS LÄN</t>
        </is>
      </c>
      <c r="E6592" t="inlineStr">
        <is>
          <t>SUNNE</t>
        </is>
      </c>
      <c r="G6592" t="n">
        <v>3.7</v>
      </c>
      <c r="H6592" t="n">
        <v>0</v>
      </c>
      <c r="I6592" t="n">
        <v>0</v>
      </c>
      <c r="J6592" t="n">
        <v>0</v>
      </c>
      <c r="K6592" t="n">
        <v>0</v>
      </c>
      <c r="L6592" t="n">
        <v>0</v>
      </c>
      <c r="M6592" t="n">
        <v>0</v>
      </c>
      <c r="N6592" t="n">
        <v>0</v>
      </c>
      <c r="O6592" t="n">
        <v>0</v>
      </c>
      <c r="P6592" t="n">
        <v>0</v>
      </c>
      <c r="Q6592" t="n">
        <v>0</v>
      </c>
      <c r="R6592" s="2" t="inlineStr"/>
    </row>
    <row r="6593" ht="15" customHeight="1">
      <c r="A6593" t="inlineStr">
        <is>
          <t>A 11698-2022</t>
        </is>
      </c>
      <c r="B6593" s="1" t="n">
        <v>44634</v>
      </c>
      <c r="C6593" s="1" t="n">
        <v>45810</v>
      </c>
      <c r="D6593" t="inlineStr">
        <is>
          <t>VÄRMLANDS LÄN</t>
        </is>
      </c>
      <c r="E6593" t="inlineStr">
        <is>
          <t>SÄFFLE</t>
        </is>
      </c>
      <c r="G6593" t="n">
        <v>5.8</v>
      </c>
      <c r="H6593" t="n">
        <v>0</v>
      </c>
      <c r="I6593" t="n">
        <v>0</v>
      </c>
      <c r="J6593" t="n">
        <v>0</v>
      </c>
      <c r="K6593" t="n">
        <v>0</v>
      </c>
      <c r="L6593" t="n">
        <v>0</v>
      </c>
      <c r="M6593" t="n">
        <v>0</v>
      </c>
      <c r="N6593" t="n">
        <v>0</v>
      </c>
      <c r="O6593" t="n">
        <v>0</v>
      </c>
      <c r="P6593" t="n">
        <v>0</v>
      </c>
      <c r="Q6593" t="n">
        <v>0</v>
      </c>
      <c r="R6593" s="2" t="inlineStr"/>
    </row>
    <row r="6594" ht="15" customHeight="1">
      <c r="A6594" t="inlineStr">
        <is>
          <t>A 11732-2022</t>
        </is>
      </c>
      <c r="B6594" s="1" t="n">
        <v>44634</v>
      </c>
      <c r="C6594" s="1" t="n">
        <v>45810</v>
      </c>
      <c r="D6594" t="inlineStr">
        <is>
          <t>VÄRMLANDS LÄN</t>
        </is>
      </c>
      <c r="E6594" t="inlineStr">
        <is>
          <t>SUNNE</t>
        </is>
      </c>
      <c r="G6594" t="n">
        <v>2.4</v>
      </c>
      <c r="H6594" t="n">
        <v>0</v>
      </c>
      <c r="I6594" t="n">
        <v>0</v>
      </c>
      <c r="J6594" t="n">
        <v>0</v>
      </c>
      <c r="K6594" t="n">
        <v>0</v>
      </c>
      <c r="L6594" t="n">
        <v>0</v>
      </c>
      <c r="M6594" t="n">
        <v>0</v>
      </c>
      <c r="N6594" t="n">
        <v>0</v>
      </c>
      <c r="O6594" t="n">
        <v>0</v>
      </c>
      <c r="P6594" t="n">
        <v>0</v>
      </c>
      <c r="Q6594" t="n">
        <v>0</v>
      </c>
      <c r="R6594" s="2" t="inlineStr"/>
    </row>
    <row r="6595" ht="15" customHeight="1">
      <c r="A6595" t="inlineStr">
        <is>
          <t>A 11745-2022</t>
        </is>
      </c>
      <c r="B6595" s="1" t="n">
        <v>44634</v>
      </c>
      <c r="C6595" s="1" t="n">
        <v>45810</v>
      </c>
      <c r="D6595" t="inlineStr">
        <is>
          <t>VÄRMLANDS LÄN</t>
        </is>
      </c>
      <c r="E6595" t="inlineStr">
        <is>
          <t>HAGFORS</t>
        </is>
      </c>
      <c r="G6595" t="n">
        <v>2.4</v>
      </c>
      <c r="H6595" t="n">
        <v>0</v>
      </c>
      <c r="I6595" t="n">
        <v>0</v>
      </c>
      <c r="J6595" t="n">
        <v>0</v>
      </c>
      <c r="K6595" t="n">
        <v>0</v>
      </c>
      <c r="L6595" t="n">
        <v>0</v>
      </c>
      <c r="M6595" t="n">
        <v>0</v>
      </c>
      <c r="N6595" t="n">
        <v>0</v>
      </c>
      <c r="O6595" t="n">
        <v>0</v>
      </c>
      <c r="P6595" t="n">
        <v>0</v>
      </c>
      <c r="Q6595" t="n">
        <v>0</v>
      </c>
      <c r="R6595" s="2" t="inlineStr"/>
    </row>
    <row r="6596" ht="15" customHeight="1">
      <c r="A6596" t="inlineStr">
        <is>
          <t>A 11812-2022</t>
        </is>
      </c>
      <c r="B6596" s="1" t="n">
        <v>44634</v>
      </c>
      <c r="C6596" s="1" t="n">
        <v>45810</v>
      </c>
      <c r="D6596" t="inlineStr">
        <is>
          <t>VÄRMLANDS LÄN</t>
        </is>
      </c>
      <c r="E6596" t="inlineStr">
        <is>
          <t>KRISTINEHAMN</t>
        </is>
      </c>
      <c r="G6596" t="n">
        <v>11.5</v>
      </c>
      <c r="H6596" t="n">
        <v>0</v>
      </c>
      <c r="I6596" t="n">
        <v>0</v>
      </c>
      <c r="J6596" t="n">
        <v>0</v>
      </c>
      <c r="K6596" t="n">
        <v>0</v>
      </c>
      <c r="L6596" t="n">
        <v>0</v>
      </c>
      <c r="M6596" t="n">
        <v>0</v>
      </c>
      <c r="N6596" t="n">
        <v>0</v>
      </c>
      <c r="O6596" t="n">
        <v>0</v>
      </c>
      <c r="P6596" t="n">
        <v>0</v>
      </c>
      <c r="Q6596" t="n">
        <v>0</v>
      </c>
      <c r="R6596" s="2" t="inlineStr"/>
    </row>
    <row r="6597" ht="15" customHeight="1">
      <c r="A6597" t="inlineStr">
        <is>
          <t>A 11829-2022</t>
        </is>
      </c>
      <c r="B6597" s="1" t="n">
        <v>44634</v>
      </c>
      <c r="C6597" s="1" t="n">
        <v>45810</v>
      </c>
      <c r="D6597" t="inlineStr">
        <is>
          <t>VÄRMLANDS LÄN</t>
        </is>
      </c>
      <c r="E6597" t="inlineStr">
        <is>
          <t>KARLSTAD</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11936-2022</t>
        </is>
      </c>
      <c r="B6598" s="1" t="n">
        <v>44635</v>
      </c>
      <c r="C6598" s="1" t="n">
        <v>45810</v>
      </c>
      <c r="D6598" t="inlineStr">
        <is>
          <t>VÄRMLANDS LÄN</t>
        </is>
      </c>
      <c r="E6598" t="inlineStr">
        <is>
          <t>ÅRJÄNG</t>
        </is>
      </c>
      <c r="G6598" t="n">
        <v>11.1</v>
      </c>
      <c r="H6598" t="n">
        <v>0</v>
      </c>
      <c r="I6598" t="n">
        <v>0</v>
      </c>
      <c r="J6598" t="n">
        <v>0</v>
      </c>
      <c r="K6598" t="n">
        <v>0</v>
      </c>
      <c r="L6598" t="n">
        <v>0</v>
      </c>
      <c r="M6598" t="n">
        <v>0</v>
      </c>
      <c r="N6598" t="n">
        <v>0</v>
      </c>
      <c r="O6598" t="n">
        <v>0</v>
      </c>
      <c r="P6598" t="n">
        <v>0</v>
      </c>
      <c r="Q6598" t="n">
        <v>0</v>
      </c>
      <c r="R6598" s="2" t="inlineStr"/>
    </row>
    <row r="6599" ht="15" customHeight="1">
      <c r="A6599" t="inlineStr">
        <is>
          <t>A 11922-2022</t>
        </is>
      </c>
      <c r="B6599" s="1" t="n">
        <v>44635</v>
      </c>
      <c r="C6599" s="1" t="n">
        <v>45810</v>
      </c>
      <c r="D6599" t="inlineStr">
        <is>
          <t>VÄRMLANDS LÄN</t>
        </is>
      </c>
      <c r="E6599" t="inlineStr">
        <is>
          <t>TORSBY</t>
        </is>
      </c>
      <c r="G6599" t="n">
        <v>2.6</v>
      </c>
      <c r="H6599" t="n">
        <v>0</v>
      </c>
      <c r="I6599" t="n">
        <v>0</v>
      </c>
      <c r="J6599" t="n">
        <v>0</v>
      </c>
      <c r="K6599" t="n">
        <v>0</v>
      </c>
      <c r="L6599" t="n">
        <v>0</v>
      </c>
      <c r="M6599" t="n">
        <v>0</v>
      </c>
      <c r="N6599" t="n">
        <v>0</v>
      </c>
      <c r="O6599" t="n">
        <v>0</v>
      </c>
      <c r="P6599" t="n">
        <v>0</v>
      </c>
      <c r="Q6599" t="n">
        <v>0</v>
      </c>
      <c r="R6599" s="2" t="inlineStr"/>
    </row>
    <row r="6600" ht="15" customHeight="1">
      <c r="A6600" t="inlineStr">
        <is>
          <t>A 11977-2022</t>
        </is>
      </c>
      <c r="B6600" s="1" t="n">
        <v>44635</v>
      </c>
      <c r="C6600" s="1" t="n">
        <v>45810</v>
      </c>
      <c r="D6600" t="inlineStr">
        <is>
          <t>VÄRMLANDS LÄN</t>
        </is>
      </c>
      <c r="E6600" t="inlineStr">
        <is>
          <t>KARLSTAD</t>
        </is>
      </c>
      <c r="F6600" t="inlineStr">
        <is>
          <t>Bergvik skog väst AB</t>
        </is>
      </c>
      <c r="G6600" t="n">
        <v>8.9</v>
      </c>
      <c r="H6600" t="n">
        <v>0</v>
      </c>
      <c r="I6600" t="n">
        <v>0</v>
      </c>
      <c r="J6600" t="n">
        <v>0</v>
      </c>
      <c r="K6600" t="n">
        <v>0</v>
      </c>
      <c r="L6600" t="n">
        <v>0</v>
      </c>
      <c r="M6600" t="n">
        <v>0</v>
      </c>
      <c r="N6600" t="n">
        <v>0</v>
      </c>
      <c r="O6600" t="n">
        <v>0</v>
      </c>
      <c r="P6600" t="n">
        <v>0</v>
      </c>
      <c r="Q6600" t="n">
        <v>0</v>
      </c>
      <c r="R6600" s="2" t="inlineStr"/>
    </row>
    <row r="6601" ht="15" customHeight="1">
      <c r="A6601" t="inlineStr">
        <is>
          <t>A 11934-2022</t>
        </is>
      </c>
      <c r="B6601" s="1" t="n">
        <v>44635</v>
      </c>
      <c r="C6601" s="1" t="n">
        <v>45810</v>
      </c>
      <c r="D6601" t="inlineStr">
        <is>
          <t>VÄRMLANDS LÄN</t>
        </is>
      </c>
      <c r="E6601" t="inlineStr">
        <is>
          <t>ÅRJÄNG</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11944-2022</t>
        </is>
      </c>
      <c r="B6602" s="1" t="n">
        <v>44635</v>
      </c>
      <c r="C6602" s="1" t="n">
        <v>45810</v>
      </c>
      <c r="D6602" t="inlineStr">
        <is>
          <t>VÄRMLANDS LÄN</t>
        </is>
      </c>
      <c r="E6602" t="inlineStr">
        <is>
          <t>SÄFFLE</t>
        </is>
      </c>
      <c r="G6602" t="n">
        <v>2.4</v>
      </c>
      <c r="H6602" t="n">
        <v>0</v>
      </c>
      <c r="I6602" t="n">
        <v>0</v>
      </c>
      <c r="J6602" t="n">
        <v>0</v>
      </c>
      <c r="K6602" t="n">
        <v>0</v>
      </c>
      <c r="L6602" t="n">
        <v>0</v>
      </c>
      <c r="M6602" t="n">
        <v>0</v>
      </c>
      <c r="N6602" t="n">
        <v>0</v>
      </c>
      <c r="O6602" t="n">
        <v>0</v>
      </c>
      <c r="P6602" t="n">
        <v>0</v>
      </c>
      <c r="Q6602" t="n">
        <v>0</v>
      </c>
      <c r="R6602" s="2" t="inlineStr"/>
    </row>
    <row r="6603" ht="15" customHeight="1">
      <c r="A6603" t="inlineStr">
        <is>
          <t>A 11918-2022</t>
        </is>
      </c>
      <c r="B6603" s="1" t="n">
        <v>44635</v>
      </c>
      <c r="C6603" s="1" t="n">
        <v>45810</v>
      </c>
      <c r="D6603" t="inlineStr">
        <is>
          <t>VÄRMLANDS LÄN</t>
        </is>
      </c>
      <c r="E6603" t="inlineStr">
        <is>
          <t>TORSBY</t>
        </is>
      </c>
      <c r="G6603" t="n">
        <v>6.4</v>
      </c>
      <c r="H6603" t="n">
        <v>0</v>
      </c>
      <c r="I6603" t="n">
        <v>0</v>
      </c>
      <c r="J6603" t="n">
        <v>0</v>
      </c>
      <c r="K6603" t="n">
        <v>0</v>
      </c>
      <c r="L6603" t="n">
        <v>0</v>
      </c>
      <c r="M6603" t="n">
        <v>0</v>
      </c>
      <c r="N6603" t="n">
        <v>0</v>
      </c>
      <c r="O6603" t="n">
        <v>0</v>
      </c>
      <c r="P6603" t="n">
        <v>0</v>
      </c>
      <c r="Q6603" t="n">
        <v>0</v>
      </c>
      <c r="R6603" s="2" t="inlineStr"/>
    </row>
    <row r="6604" ht="15" customHeight="1">
      <c r="A6604" t="inlineStr">
        <is>
          <t>A 11980-2022</t>
        </is>
      </c>
      <c r="B6604" s="1" t="n">
        <v>44635</v>
      </c>
      <c r="C6604" s="1" t="n">
        <v>45810</v>
      </c>
      <c r="D6604" t="inlineStr">
        <is>
          <t>VÄRMLANDS LÄN</t>
        </is>
      </c>
      <c r="E6604" t="inlineStr">
        <is>
          <t>HAGFORS</t>
        </is>
      </c>
      <c r="F6604" t="inlineStr">
        <is>
          <t>Bergvik skog väst AB</t>
        </is>
      </c>
      <c r="G6604" t="n">
        <v>15.5</v>
      </c>
      <c r="H6604" t="n">
        <v>0</v>
      </c>
      <c r="I6604" t="n">
        <v>0</v>
      </c>
      <c r="J6604" t="n">
        <v>0</v>
      </c>
      <c r="K6604" t="n">
        <v>0</v>
      </c>
      <c r="L6604" t="n">
        <v>0</v>
      </c>
      <c r="M6604" t="n">
        <v>0</v>
      </c>
      <c r="N6604" t="n">
        <v>0</v>
      </c>
      <c r="O6604" t="n">
        <v>0</v>
      </c>
      <c r="P6604" t="n">
        <v>0</v>
      </c>
      <c r="Q6604" t="n">
        <v>0</v>
      </c>
      <c r="R6604" s="2" t="inlineStr"/>
    </row>
    <row r="6605" ht="15" customHeight="1">
      <c r="A6605" t="inlineStr">
        <is>
          <t>A 12000-2022</t>
        </is>
      </c>
      <c r="B6605" s="1" t="n">
        <v>44635</v>
      </c>
      <c r="C6605" s="1" t="n">
        <v>45810</v>
      </c>
      <c r="D6605" t="inlineStr">
        <is>
          <t>VÄRMLANDS LÄN</t>
        </is>
      </c>
      <c r="E6605" t="inlineStr">
        <is>
          <t>GRUMS</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12043-2022</t>
        </is>
      </c>
      <c r="B6606" s="1" t="n">
        <v>44636</v>
      </c>
      <c r="C6606" s="1" t="n">
        <v>45810</v>
      </c>
      <c r="D6606" t="inlineStr">
        <is>
          <t>VÄRMLANDS LÄN</t>
        </is>
      </c>
      <c r="E6606" t="inlineStr">
        <is>
          <t>KIL</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12091-2022</t>
        </is>
      </c>
      <c r="B6607" s="1" t="n">
        <v>44636</v>
      </c>
      <c r="C6607" s="1" t="n">
        <v>45810</v>
      </c>
      <c r="D6607" t="inlineStr">
        <is>
          <t>VÄRMLANDS LÄN</t>
        </is>
      </c>
      <c r="E6607" t="inlineStr">
        <is>
          <t>SUNNE</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12068-2022</t>
        </is>
      </c>
      <c r="B6608" s="1" t="n">
        <v>44636</v>
      </c>
      <c r="C6608" s="1" t="n">
        <v>45810</v>
      </c>
      <c r="D6608" t="inlineStr">
        <is>
          <t>VÄRMLANDS LÄN</t>
        </is>
      </c>
      <c r="E6608" t="inlineStr">
        <is>
          <t>ÅRJÄNG</t>
        </is>
      </c>
      <c r="G6608" t="n">
        <v>4.3</v>
      </c>
      <c r="H6608" t="n">
        <v>0</v>
      </c>
      <c r="I6608" t="n">
        <v>0</v>
      </c>
      <c r="J6608" t="n">
        <v>0</v>
      </c>
      <c r="K6608" t="n">
        <v>0</v>
      </c>
      <c r="L6608" t="n">
        <v>0</v>
      </c>
      <c r="M6608" t="n">
        <v>0</v>
      </c>
      <c r="N6608" t="n">
        <v>0</v>
      </c>
      <c r="O6608" t="n">
        <v>0</v>
      </c>
      <c r="P6608" t="n">
        <v>0</v>
      </c>
      <c r="Q6608" t="n">
        <v>0</v>
      </c>
      <c r="R6608" s="2" t="inlineStr"/>
    </row>
    <row r="6609" ht="15" customHeight="1">
      <c r="A6609" t="inlineStr">
        <is>
          <t>A 12087-2022</t>
        </is>
      </c>
      <c r="B6609" s="1" t="n">
        <v>44636</v>
      </c>
      <c r="C6609" s="1" t="n">
        <v>45810</v>
      </c>
      <c r="D6609" t="inlineStr">
        <is>
          <t>VÄRMLANDS LÄN</t>
        </is>
      </c>
      <c r="E6609" t="inlineStr">
        <is>
          <t>EDA</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12110-2022</t>
        </is>
      </c>
      <c r="B6610" s="1" t="n">
        <v>44636</v>
      </c>
      <c r="C6610" s="1" t="n">
        <v>45810</v>
      </c>
      <c r="D6610" t="inlineStr">
        <is>
          <t>VÄRMLANDS LÄN</t>
        </is>
      </c>
      <c r="E6610" t="inlineStr">
        <is>
          <t>EDA</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12113-2022</t>
        </is>
      </c>
      <c r="B6611" s="1" t="n">
        <v>44636</v>
      </c>
      <c r="C6611" s="1" t="n">
        <v>45810</v>
      </c>
      <c r="D6611" t="inlineStr">
        <is>
          <t>VÄRMLANDS LÄN</t>
        </is>
      </c>
      <c r="E6611" t="inlineStr">
        <is>
          <t>EDA</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12114-2022</t>
        </is>
      </c>
      <c r="B6612" s="1" t="n">
        <v>44636</v>
      </c>
      <c r="C6612" s="1" t="n">
        <v>45810</v>
      </c>
      <c r="D6612" t="inlineStr">
        <is>
          <t>VÄRMLANDS LÄN</t>
        </is>
      </c>
      <c r="E6612" t="inlineStr">
        <is>
          <t>MUNKFORS</t>
        </is>
      </c>
      <c r="G6612" t="n">
        <v>3.1</v>
      </c>
      <c r="H6612" t="n">
        <v>0</v>
      </c>
      <c r="I6612" t="n">
        <v>0</v>
      </c>
      <c r="J6612" t="n">
        <v>0</v>
      </c>
      <c r="K6612" t="n">
        <v>0</v>
      </c>
      <c r="L6612" t="n">
        <v>0</v>
      </c>
      <c r="M6612" t="n">
        <v>0</v>
      </c>
      <c r="N6612" t="n">
        <v>0</v>
      </c>
      <c r="O6612" t="n">
        <v>0</v>
      </c>
      <c r="P6612" t="n">
        <v>0</v>
      </c>
      <c r="Q6612" t="n">
        <v>0</v>
      </c>
      <c r="R6612" s="2" t="inlineStr"/>
    </row>
    <row r="6613" ht="15" customHeight="1">
      <c r="A6613" t="inlineStr">
        <is>
          <t>A 12310-2022</t>
        </is>
      </c>
      <c r="B6613" s="1" t="n">
        <v>44636</v>
      </c>
      <c r="C6613" s="1" t="n">
        <v>45810</v>
      </c>
      <c r="D6613" t="inlineStr">
        <is>
          <t>VÄRMLANDS LÄN</t>
        </is>
      </c>
      <c r="E6613" t="inlineStr">
        <is>
          <t>TORSBY</t>
        </is>
      </c>
      <c r="G6613" t="n">
        <v>7.2</v>
      </c>
      <c r="H6613" t="n">
        <v>0</v>
      </c>
      <c r="I6613" t="n">
        <v>0</v>
      </c>
      <c r="J6613" t="n">
        <v>0</v>
      </c>
      <c r="K6613" t="n">
        <v>0</v>
      </c>
      <c r="L6613" t="n">
        <v>0</v>
      </c>
      <c r="M6613" t="n">
        <v>0</v>
      </c>
      <c r="N6613" t="n">
        <v>0</v>
      </c>
      <c r="O6613" t="n">
        <v>0</v>
      </c>
      <c r="P6613" t="n">
        <v>0</v>
      </c>
      <c r="Q6613" t="n">
        <v>0</v>
      </c>
      <c r="R6613" s="2" t="inlineStr"/>
    </row>
    <row r="6614" ht="15" customHeight="1">
      <c r="A6614" t="inlineStr">
        <is>
          <t>A 12321-2022</t>
        </is>
      </c>
      <c r="B6614" s="1" t="n">
        <v>44637</v>
      </c>
      <c r="C6614" s="1" t="n">
        <v>45810</v>
      </c>
      <c r="D6614" t="inlineStr">
        <is>
          <t>VÄRMLANDS LÄN</t>
        </is>
      </c>
      <c r="E6614" t="inlineStr">
        <is>
          <t>KRISTINEHAMN</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12365-2022</t>
        </is>
      </c>
      <c r="B6615" s="1" t="n">
        <v>44637</v>
      </c>
      <c r="C6615" s="1" t="n">
        <v>45810</v>
      </c>
      <c r="D6615" t="inlineStr">
        <is>
          <t>VÄRMLANDS LÄN</t>
        </is>
      </c>
      <c r="E6615" t="inlineStr">
        <is>
          <t>TORSBY</t>
        </is>
      </c>
      <c r="G6615" t="n">
        <v>3.5</v>
      </c>
      <c r="H6615" t="n">
        <v>0</v>
      </c>
      <c r="I6615" t="n">
        <v>0</v>
      </c>
      <c r="J6615" t="n">
        <v>0</v>
      </c>
      <c r="K6615" t="n">
        <v>0</v>
      </c>
      <c r="L6615" t="n">
        <v>0</v>
      </c>
      <c r="M6615" t="n">
        <v>0</v>
      </c>
      <c r="N6615" t="n">
        <v>0</v>
      </c>
      <c r="O6615" t="n">
        <v>0</v>
      </c>
      <c r="P6615" t="n">
        <v>0</v>
      </c>
      <c r="Q6615" t="n">
        <v>0</v>
      </c>
      <c r="R6615" s="2" t="inlineStr"/>
    </row>
    <row r="6616" ht="15" customHeight="1">
      <c r="A6616" t="inlineStr">
        <is>
          <t>A 12247-2022</t>
        </is>
      </c>
      <c r="B6616" s="1" t="n">
        <v>44637</v>
      </c>
      <c r="C6616" s="1" t="n">
        <v>45810</v>
      </c>
      <c r="D6616" t="inlineStr">
        <is>
          <t>VÄRMLANDS LÄN</t>
        </is>
      </c>
      <c r="E6616" t="inlineStr">
        <is>
          <t>FILIPSTAD</t>
        </is>
      </c>
      <c r="G6616" t="n">
        <v>1.9</v>
      </c>
      <c r="H6616" t="n">
        <v>0</v>
      </c>
      <c r="I6616" t="n">
        <v>0</v>
      </c>
      <c r="J6616" t="n">
        <v>0</v>
      </c>
      <c r="K6616" t="n">
        <v>0</v>
      </c>
      <c r="L6616" t="n">
        <v>0</v>
      </c>
      <c r="M6616" t="n">
        <v>0</v>
      </c>
      <c r="N6616" t="n">
        <v>0</v>
      </c>
      <c r="O6616" t="n">
        <v>0</v>
      </c>
      <c r="P6616" t="n">
        <v>0</v>
      </c>
      <c r="Q6616" t="n">
        <v>0</v>
      </c>
      <c r="R6616" s="2" t="inlineStr"/>
    </row>
    <row r="6617" ht="15" customHeight="1">
      <c r="A6617" t="inlineStr">
        <is>
          <t>A 12319-2022</t>
        </is>
      </c>
      <c r="B6617" s="1" t="n">
        <v>44637</v>
      </c>
      <c r="C6617" s="1" t="n">
        <v>45810</v>
      </c>
      <c r="D6617" t="inlineStr">
        <is>
          <t>VÄRMLANDS LÄN</t>
        </is>
      </c>
      <c r="E6617" t="inlineStr">
        <is>
          <t>KRISTINEHAMN</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12484-2022</t>
        </is>
      </c>
      <c r="B6618" s="1" t="n">
        <v>44638</v>
      </c>
      <c r="C6618" s="1" t="n">
        <v>45810</v>
      </c>
      <c r="D6618" t="inlineStr">
        <is>
          <t>VÄRMLANDS LÄN</t>
        </is>
      </c>
      <c r="E6618" t="inlineStr">
        <is>
          <t>FORSHAGA</t>
        </is>
      </c>
      <c r="G6618" t="n">
        <v>2.6</v>
      </c>
      <c r="H6618" t="n">
        <v>0</v>
      </c>
      <c r="I6618" t="n">
        <v>0</v>
      </c>
      <c r="J6618" t="n">
        <v>0</v>
      </c>
      <c r="K6618" t="n">
        <v>0</v>
      </c>
      <c r="L6618" t="n">
        <v>0</v>
      </c>
      <c r="M6618" t="n">
        <v>0</v>
      </c>
      <c r="N6618" t="n">
        <v>0</v>
      </c>
      <c r="O6618" t="n">
        <v>0</v>
      </c>
      <c r="P6618" t="n">
        <v>0</v>
      </c>
      <c r="Q6618" t="n">
        <v>0</v>
      </c>
      <c r="R6618" s="2" t="inlineStr"/>
    </row>
    <row r="6619" ht="15" customHeight="1">
      <c r="A6619" t="inlineStr">
        <is>
          <t>A 12434-2022</t>
        </is>
      </c>
      <c r="B6619" s="1" t="n">
        <v>44638</v>
      </c>
      <c r="C6619" s="1" t="n">
        <v>45810</v>
      </c>
      <c r="D6619" t="inlineStr">
        <is>
          <t>VÄRMLANDS LÄN</t>
        </is>
      </c>
      <c r="E6619" t="inlineStr">
        <is>
          <t>HAGFORS</t>
        </is>
      </c>
      <c r="G6619" t="n">
        <v>1.6</v>
      </c>
      <c r="H6619" t="n">
        <v>0</v>
      </c>
      <c r="I6619" t="n">
        <v>0</v>
      </c>
      <c r="J6619" t="n">
        <v>0</v>
      </c>
      <c r="K6619" t="n">
        <v>0</v>
      </c>
      <c r="L6619" t="n">
        <v>0</v>
      </c>
      <c r="M6619" t="n">
        <v>0</v>
      </c>
      <c r="N6619" t="n">
        <v>0</v>
      </c>
      <c r="O6619" t="n">
        <v>0</v>
      </c>
      <c r="P6619" t="n">
        <v>0</v>
      </c>
      <c r="Q6619" t="n">
        <v>0</v>
      </c>
      <c r="R6619" s="2" t="inlineStr"/>
    </row>
    <row r="6620" ht="15" customHeight="1">
      <c r="A6620" t="inlineStr">
        <is>
          <t>A 12442-2022</t>
        </is>
      </c>
      <c r="B6620" s="1" t="n">
        <v>44638</v>
      </c>
      <c r="C6620" s="1" t="n">
        <v>45810</v>
      </c>
      <c r="D6620" t="inlineStr">
        <is>
          <t>VÄRMLANDS LÄN</t>
        </is>
      </c>
      <c r="E6620" t="inlineStr">
        <is>
          <t>SUNNE</t>
        </is>
      </c>
      <c r="G6620" t="n">
        <v>2.3</v>
      </c>
      <c r="H6620" t="n">
        <v>0</v>
      </c>
      <c r="I6620" t="n">
        <v>0</v>
      </c>
      <c r="J6620" t="n">
        <v>0</v>
      </c>
      <c r="K6620" t="n">
        <v>0</v>
      </c>
      <c r="L6620" t="n">
        <v>0</v>
      </c>
      <c r="M6620" t="n">
        <v>0</v>
      </c>
      <c r="N6620" t="n">
        <v>0</v>
      </c>
      <c r="O6620" t="n">
        <v>0</v>
      </c>
      <c r="P6620" t="n">
        <v>0</v>
      </c>
      <c r="Q6620" t="n">
        <v>0</v>
      </c>
      <c r="R6620" s="2" t="inlineStr"/>
    </row>
    <row r="6621" ht="15" customHeight="1">
      <c r="A6621" t="inlineStr">
        <is>
          <t>A 12431-2022</t>
        </is>
      </c>
      <c r="B6621" s="1" t="n">
        <v>44638</v>
      </c>
      <c r="C6621" s="1" t="n">
        <v>45810</v>
      </c>
      <c r="D6621" t="inlineStr">
        <is>
          <t>VÄRMLANDS LÄN</t>
        </is>
      </c>
      <c r="E6621" t="inlineStr">
        <is>
          <t>HAGFORS</t>
        </is>
      </c>
      <c r="G6621" t="n">
        <v>11.3</v>
      </c>
      <c r="H6621" t="n">
        <v>0</v>
      </c>
      <c r="I6621" t="n">
        <v>0</v>
      </c>
      <c r="J6621" t="n">
        <v>0</v>
      </c>
      <c r="K6621" t="n">
        <v>0</v>
      </c>
      <c r="L6621" t="n">
        <v>0</v>
      </c>
      <c r="M6621" t="n">
        <v>0</v>
      </c>
      <c r="N6621" t="n">
        <v>0</v>
      </c>
      <c r="O6621" t="n">
        <v>0</v>
      </c>
      <c r="P6621" t="n">
        <v>0</v>
      </c>
      <c r="Q6621" t="n">
        <v>0</v>
      </c>
      <c r="R6621" s="2" t="inlineStr"/>
    </row>
    <row r="6622" ht="15" customHeight="1">
      <c r="A6622" t="inlineStr">
        <is>
          <t>A 12514-2022</t>
        </is>
      </c>
      <c r="B6622" s="1" t="n">
        <v>44638</v>
      </c>
      <c r="C6622" s="1" t="n">
        <v>45810</v>
      </c>
      <c r="D6622" t="inlineStr">
        <is>
          <t>VÄRMLANDS LÄN</t>
        </is>
      </c>
      <c r="E6622" t="inlineStr">
        <is>
          <t>ÅRJÄNG</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12583-2022</t>
        </is>
      </c>
      <c r="B6623" s="1" t="n">
        <v>44639</v>
      </c>
      <c r="C6623" s="1" t="n">
        <v>45810</v>
      </c>
      <c r="D6623" t="inlineStr">
        <is>
          <t>VÄRMLANDS LÄN</t>
        </is>
      </c>
      <c r="E6623" t="inlineStr">
        <is>
          <t>ÅRJÄNG</t>
        </is>
      </c>
      <c r="G6623" t="n">
        <v>1.6</v>
      </c>
      <c r="H6623" t="n">
        <v>0</v>
      </c>
      <c r="I6623" t="n">
        <v>0</v>
      </c>
      <c r="J6623" t="n">
        <v>0</v>
      </c>
      <c r="K6623" t="n">
        <v>0</v>
      </c>
      <c r="L6623" t="n">
        <v>0</v>
      </c>
      <c r="M6623" t="n">
        <v>0</v>
      </c>
      <c r="N6623" t="n">
        <v>0</v>
      </c>
      <c r="O6623" t="n">
        <v>0</v>
      </c>
      <c r="P6623" t="n">
        <v>0</v>
      </c>
      <c r="Q6623" t="n">
        <v>0</v>
      </c>
      <c r="R6623" s="2" t="inlineStr"/>
    </row>
    <row r="6624" ht="15" customHeight="1">
      <c r="A6624" t="inlineStr">
        <is>
          <t>A 12697-2022</t>
        </is>
      </c>
      <c r="B6624" s="1" t="n">
        <v>44641</v>
      </c>
      <c r="C6624" s="1" t="n">
        <v>45810</v>
      </c>
      <c r="D6624" t="inlineStr">
        <is>
          <t>VÄRMLANDS LÄN</t>
        </is>
      </c>
      <c r="E6624" t="inlineStr">
        <is>
          <t>SÄFFLE</t>
        </is>
      </c>
      <c r="G6624" t="n">
        <v>4.9</v>
      </c>
      <c r="H6624" t="n">
        <v>0</v>
      </c>
      <c r="I6624" t="n">
        <v>0</v>
      </c>
      <c r="J6624" t="n">
        <v>0</v>
      </c>
      <c r="K6624" t="n">
        <v>0</v>
      </c>
      <c r="L6624" t="n">
        <v>0</v>
      </c>
      <c r="M6624" t="n">
        <v>0</v>
      </c>
      <c r="N6624" t="n">
        <v>0</v>
      </c>
      <c r="O6624" t="n">
        <v>0</v>
      </c>
      <c r="P6624" t="n">
        <v>0</v>
      </c>
      <c r="Q6624" t="n">
        <v>0</v>
      </c>
      <c r="R6624" s="2" t="inlineStr"/>
    </row>
    <row r="6625" ht="15" customHeight="1">
      <c r="A6625" t="inlineStr">
        <is>
          <t>A 12693-2022</t>
        </is>
      </c>
      <c r="B6625" s="1" t="n">
        <v>44641</v>
      </c>
      <c r="C6625" s="1" t="n">
        <v>45810</v>
      </c>
      <c r="D6625" t="inlineStr">
        <is>
          <t>VÄRMLANDS LÄN</t>
        </is>
      </c>
      <c r="E6625" t="inlineStr">
        <is>
          <t>ÅRJÄNG</t>
        </is>
      </c>
      <c r="F6625" t="inlineStr">
        <is>
          <t>Bergvik skog väst AB</t>
        </is>
      </c>
      <c r="G6625" t="n">
        <v>3.3</v>
      </c>
      <c r="H6625" t="n">
        <v>0</v>
      </c>
      <c r="I6625" t="n">
        <v>0</v>
      </c>
      <c r="J6625" t="n">
        <v>0</v>
      </c>
      <c r="K6625" t="n">
        <v>0</v>
      </c>
      <c r="L6625" t="n">
        <v>0</v>
      </c>
      <c r="M6625" t="n">
        <v>0</v>
      </c>
      <c r="N6625" t="n">
        <v>0</v>
      </c>
      <c r="O6625" t="n">
        <v>0</v>
      </c>
      <c r="P6625" t="n">
        <v>0</v>
      </c>
      <c r="Q6625" t="n">
        <v>0</v>
      </c>
      <c r="R6625" s="2" t="inlineStr"/>
    </row>
    <row r="6626" ht="15" customHeight="1">
      <c r="A6626" t="inlineStr">
        <is>
          <t>A 12709-2022</t>
        </is>
      </c>
      <c r="B6626" s="1" t="n">
        <v>44641</v>
      </c>
      <c r="C6626" s="1" t="n">
        <v>45810</v>
      </c>
      <c r="D6626" t="inlineStr">
        <is>
          <t>VÄRMLANDS LÄN</t>
        </is>
      </c>
      <c r="E6626" t="inlineStr">
        <is>
          <t>SÄFFLE</t>
        </is>
      </c>
      <c r="G6626" t="n">
        <v>1.8</v>
      </c>
      <c r="H6626" t="n">
        <v>0</v>
      </c>
      <c r="I6626" t="n">
        <v>0</v>
      </c>
      <c r="J6626" t="n">
        <v>0</v>
      </c>
      <c r="K6626" t="n">
        <v>0</v>
      </c>
      <c r="L6626" t="n">
        <v>0</v>
      </c>
      <c r="M6626" t="n">
        <v>0</v>
      </c>
      <c r="N6626" t="n">
        <v>0</v>
      </c>
      <c r="O6626" t="n">
        <v>0</v>
      </c>
      <c r="P6626" t="n">
        <v>0</v>
      </c>
      <c r="Q6626" t="n">
        <v>0</v>
      </c>
      <c r="R6626" s="2" t="inlineStr"/>
    </row>
    <row r="6627" ht="15" customHeight="1">
      <c r="A6627" t="inlineStr">
        <is>
          <t>A 12700-2022</t>
        </is>
      </c>
      <c r="B6627" s="1" t="n">
        <v>44641</v>
      </c>
      <c r="C6627" s="1" t="n">
        <v>45810</v>
      </c>
      <c r="D6627" t="inlineStr">
        <is>
          <t>VÄRMLANDS LÄN</t>
        </is>
      </c>
      <c r="E6627" t="inlineStr">
        <is>
          <t>ARVIKA</t>
        </is>
      </c>
      <c r="F6627" t="inlineStr">
        <is>
          <t>Bergvik skog väst AB</t>
        </is>
      </c>
      <c r="G6627" t="n">
        <v>20.3</v>
      </c>
      <c r="H6627" t="n">
        <v>0</v>
      </c>
      <c r="I6627" t="n">
        <v>0</v>
      </c>
      <c r="J6627" t="n">
        <v>0</v>
      </c>
      <c r="K6627" t="n">
        <v>0</v>
      </c>
      <c r="L6627" t="n">
        <v>0</v>
      </c>
      <c r="M6627" t="n">
        <v>0</v>
      </c>
      <c r="N6627" t="n">
        <v>0</v>
      </c>
      <c r="O6627" t="n">
        <v>0</v>
      </c>
      <c r="P6627" t="n">
        <v>0</v>
      </c>
      <c r="Q6627" t="n">
        <v>0</v>
      </c>
      <c r="R6627" s="2" t="inlineStr"/>
    </row>
    <row r="6628" ht="15" customHeight="1">
      <c r="A6628" t="inlineStr">
        <is>
          <t>A 12603-2022</t>
        </is>
      </c>
      <c r="B6628" s="1" t="n">
        <v>44641</v>
      </c>
      <c r="C6628" s="1" t="n">
        <v>45810</v>
      </c>
      <c r="D6628" t="inlineStr">
        <is>
          <t>VÄRMLANDS LÄN</t>
        </is>
      </c>
      <c r="E6628" t="inlineStr">
        <is>
          <t>SUNNE</t>
        </is>
      </c>
      <c r="F6628" t="inlineStr">
        <is>
          <t>Bergvik skog väst AB</t>
        </is>
      </c>
      <c r="G6628" t="n">
        <v>3.6</v>
      </c>
      <c r="H6628" t="n">
        <v>0</v>
      </c>
      <c r="I6628" t="n">
        <v>0</v>
      </c>
      <c r="J6628" t="n">
        <v>0</v>
      </c>
      <c r="K6628" t="n">
        <v>0</v>
      </c>
      <c r="L6628" t="n">
        <v>0</v>
      </c>
      <c r="M6628" t="n">
        <v>0</v>
      </c>
      <c r="N6628" t="n">
        <v>0</v>
      </c>
      <c r="O6628" t="n">
        <v>0</v>
      </c>
      <c r="P6628" t="n">
        <v>0</v>
      </c>
      <c r="Q6628" t="n">
        <v>0</v>
      </c>
      <c r="R6628" s="2" t="inlineStr"/>
    </row>
    <row r="6629" ht="15" customHeight="1">
      <c r="A6629" t="inlineStr">
        <is>
          <t>A 12615-2022</t>
        </is>
      </c>
      <c r="B6629" s="1" t="n">
        <v>44641</v>
      </c>
      <c r="C6629" s="1" t="n">
        <v>45810</v>
      </c>
      <c r="D6629" t="inlineStr">
        <is>
          <t>VÄRMLANDS LÄN</t>
        </is>
      </c>
      <c r="E6629" t="inlineStr">
        <is>
          <t>EDA</t>
        </is>
      </c>
      <c r="G6629" t="n">
        <v>2.6</v>
      </c>
      <c r="H6629" t="n">
        <v>0</v>
      </c>
      <c r="I6629" t="n">
        <v>0</v>
      </c>
      <c r="J6629" t="n">
        <v>0</v>
      </c>
      <c r="K6629" t="n">
        <v>0</v>
      </c>
      <c r="L6629" t="n">
        <v>0</v>
      </c>
      <c r="M6629" t="n">
        <v>0</v>
      </c>
      <c r="N6629" t="n">
        <v>0</v>
      </c>
      <c r="O6629" t="n">
        <v>0</v>
      </c>
      <c r="P6629" t="n">
        <v>0</v>
      </c>
      <c r="Q6629" t="n">
        <v>0</v>
      </c>
      <c r="R6629" s="2" t="inlineStr"/>
    </row>
    <row r="6630" ht="15" customHeight="1">
      <c r="A6630" t="inlineStr">
        <is>
          <t>A 12841-2022</t>
        </is>
      </c>
      <c r="B6630" s="1" t="n">
        <v>44642</v>
      </c>
      <c r="C6630" s="1" t="n">
        <v>45810</v>
      </c>
      <c r="D6630" t="inlineStr">
        <is>
          <t>VÄRMLANDS LÄN</t>
        </is>
      </c>
      <c r="E6630" t="inlineStr">
        <is>
          <t>ARVIKA</t>
        </is>
      </c>
      <c r="G6630" t="n">
        <v>1.8</v>
      </c>
      <c r="H6630" t="n">
        <v>0</v>
      </c>
      <c r="I6630" t="n">
        <v>0</v>
      </c>
      <c r="J6630" t="n">
        <v>0</v>
      </c>
      <c r="K6630" t="n">
        <v>0</v>
      </c>
      <c r="L6630" t="n">
        <v>0</v>
      </c>
      <c r="M6630" t="n">
        <v>0</v>
      </c>
      <c r="N6630" t="n">
        <v>0</v>
      </c>
      <c r="O6630" t="n">
        <v>0</v>
      </c>
      <c r="P6630" t="n">
        <v>0</v>
      </c>
      <c r="Q6630" t="n">
        <v>0</v>
      </c>
      <c r="R6630" s="2" t="inlineStr"/>
    </row>
    <row r="6631" ht="15" customHeight="1">
      <c r="A6631" t="inlineStr">
        <is>
          <t>A 12888-2022</t>
        </is>
      </c>
      <c r="B6631" s="1" t="n">
        <v>44642</v>
      </c>
      <c r="C6631" s="1" t="n">
        <v>45810</v>
      </c>
      <c r="D6631" t="inlineStr">
        <is>
          <t>VÄRMLANDS LÄN</t>
        </is>
      </c>
      <c r="E6631" t="inlineStr">
        <is>
          <t>SUNNE</t>
        </is>
      </c>
      <c r="G6631" t="n">
        <v>7.2</v>
      </c>
      <c r="H6631" t="n">
        <v>0</v>
      </c>
      <c r="I6631" t="n">
        <v>0</v>
      </c>
      <c r="J6631" t="n">
        <v>0</v>
      </c>
      <c r="K6631" t="n">
        <v>0</v>
      </c>
      <c r="L6631" t="n">
        <v>0</v>
      </c>
      <c r="M6631" t="n">
        <v>0</v>
      </c>
      <c r="N6631" t="n">
        <v>0</v>
      </c>
      <c r="O6631" t="n">
        <v>0</v>
      </c>
      <c r="P6631" t="n">
        <v>0</v>
      </c>
      <c r="Q6631" t="n">
        <v>0</v>
      </c>
      <c r="R6631" s="2" t="inlineStr"/>
    </row>
    <row r="6632" ht="15" customHeight="1">
      <c r="A6632" t="inlineStr">
        <is>
          <t>A 12907-2022</t>
        </is>
      </c>
      <c r="B6632" s="1" t="n">
        <v>44642</v>
      </c>
      <c r="C6632" s="1" t="n">
        <v>45810</v>
      </c>
      <c r="D6632" t="inlineStr">
        <is>
          <t>VÄRMLANDS LÄN</t>
        </is>
      </c>
      <c r="E6632" t="inlineStr">
        <is>
          <t>ÅRJÄNG</t>
        </is>
      </c>
      <c r="G6632" t="n">
        <v>7.3</v>
      </c>
      <c r="H6632" t="n">
        <v>0</v>
      </c>
      <c r="I6632" t="n">
        <v>0</v>
      </c>
      <c r="J6632" t="n">
        <v>0</v>
      </c>
      <c r="K6632" t="n">
        <v>0</v>
      </c>
      <c r="L6632" t="n">
        <v>0</v>
      </c>
      <c r="M6632" t="n">
        <v>0</v>
      </c>
      <c r="N6632" t="n">
        <v>0</v>
      </c>
      <c r="O6632" t="n">
        <v>0</v>
      </c>
      <c r="P6632" t="n">
        <v>0</v>
      </c>
      <c r="Q6632" t="n">
        <v>0</v>
      </c>
      <c r="R6632" s="2" t="inlineStr"/>
    </row>
    <row r="6633" ht="15" customHeight="1">
      <c r="A6633" t="inlineStr">
        <is>
          <t>A 12849-2022</t>
        </is>
      </c>
      <c r="B6633" s="1" t="n">
        <v>44642</v>
      </c>
      <c r="C6633" s="1" t="n">
        <v>45810</v>
      </c>
      <c r="D6633" t="inlineStr">
        <is>
          <t>VÄRMLANDS LÄN</t>
        </is>
      </c>
      <c r="E6633" t="inlineStr">
        <is>
          <t>ARVIKA</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12998-2022</t>
        </is>
      </c>
      <c r="B6634" s="1" t="n">
        <v>44643</v>
      </c>
      <c r="C6634" s="1" t="n">
        <v>45810</v>
      </c>
      <c r="D6634" t="inlineStr">
        <is>
          <t>VÄRMLANDS LÄN</t>
        </is>
      </c>
      <c r="E6634" t="inlineStr">
        <is>
          <t>EDA</t>
        </is>
      </c>
      <c r="G6634" t="n">
        <v>0.5</v>
      </c>
      <c r="H6634" t="n">
        <v>0</v>
      </c>
      <c r="I6634" t="n">
        <v>0</v>
      </c>
      <c r="J6634" t="n">
        <v>0</v>
      </c>
      <c r="K6634" t="n">
        <v>0</v>
      </c>
      <c r="L6634" t="n">
        <v>0</v>
      </c>
      <c r="M6634" t="n">
        <v>0</v>
      </c>
      <c r="N6634" t="n">
        <v>0</v>
      </c>
      <c r="O6634" t="n">
        <v>0</v>
      </c>
      <c r="P6634" t="n">
        <v>0</v>
      </c>
      <c r="Q6634" t="n">
        <v>0</v>
      </c>
      <c r="R6634" s="2" t="inlineStr"/>
    </row>
    <row r="6635" ht="15" customHeight="1">
      <c r="A6635" t="inlineStr">
        <is>
          <t>A 13042-2022</t>
        </is>
      </c>
      <c r="B6635" s="1" t="n">
        <v>44643</v>
      </c>
      <c r="C6635" s="1" t="n">
        <v>45810</v>
      </c>
      <c r="D6635" t="inlineStr">
        <is>
          <t>VÄRMLANDS LÄN</t>
        </is>
      </c>
      <c r="E6635" t="inlineStr">
        <is>
          <t>ÅRJÄNG</t>
        </is>
      </c>
      <c r="G6635" t="n">
        <v>2.5</v>
      </c>
      <c r="H6635" t="n">
        <v>0</v>
      </c>
      <c r="I6635" t="n">
        <v>0</v>
      </c>
      <c r="J6635" t="n">
        <v>0</v>
      </c>
      <c r="K6635" t="n">
        <v>0</v>
      </c>
      <c r="L6635" t="n">
        <v>0</v>
      </c>
      <c r="M6635" t="n">
        <v>0</v>
      </c>
      <c r="N6635" t="n">
        <v>0</v>
      </c>
      <c r="O6635" t="n">
        <v>0</v>
      </c>
      <c r="P6635" t="n">
        <v>0</v>
      </c>
      <c r="Q6635" t="n">
        <v>0</v>
      </c>
      <c r="R6635" s="2" t="inlineStr"/>
    </row>
    <row r="6636" ht="15" customHeight="1">
      <c r="A6636" t="inlineStr">
        <is>
          <t>A 13063-2022</t>
        </is>
      </c>
      <c r="B6636" s="1" t="n">
        <v>44643</v>
      </c>
      <c r="C6636" s="1" t="n">
        <v>45810</v>
      </c>
      <c r="D6636" t="inlineStr">
        <is>
          <t>VÄRMLANDS LÄN</t>
        </is>
      </c>
      <c r="E6636" t="inlineStr">
        <is>
          <t>ÅRJÄNG</t>
        </is>
      </c>
      <c r="G6636" t="n">
        <v>9.5</v>
      </c>
      <c r="H6636" t="n">
        <v>0</v>
      </c>
      <c r="I6636" t="n">
        <v>0</v>
      </c>
      <c r="J6636" t="n">
        <v>0</v>
      </c>
      <c r="K6636" t="n">
        <v>0</v>
      </c>
      <c r="L6636" t="n">
        <v>0</v>
      </c>
      <c r="M6636" t="n">
        <v>0</v>
      </c>
      <c r="N6636" t="n">
        <v>0</v>
      </c>
      <c r="O6636" t="n">
        <v>0</v>
      </c>
      <c r="P6636" t="n">
        <v>0</v>
      </c>
      <c r="Q6636" t="n">
        <v>0</v>
      </c>
      <c r="R6636" s="2" t="inlineStr"/>
    </row>
    <row r="6637" ht="15" customHeight="1">
      <c r="A6637" t="inlineStr">
        <is>
          <t>A 13156-2022</t>
        </is>
      </c>
      <c r="B6637" s="1" t="n">
        <v>44643</v>
      </c>
      <c r="C6637" s="1" t="n">
        <v>45810</v>
      </c>
      <c r="D6637" t="inlineStr">
        <is>
          <t>VÄRMLANDS LÄN</t>
        </is>
      </c>
      <c r="E6637" t="inlineStr">
        <is>
          <t>ÅRJÄNG</t>
        </is>
      </c>
      <c r="G6637" t="n">
        <v>7.8</v>
      </c>
      <c r="H6637" t="n">
        <v>0</v>
      </c>
      <c r="I6637" t="n">
        <v>0</v>
      </c>
      <c r="J6637" t="n">
        <v>0</v>
      </c>
      <c r="K6637" t="n">
        <v>0</v>
      </c>
      <c r="L6637" t="n">
        <v>0</v>
      </c>
      <c r="M6637" t="n">
        <v>0</v>
      </c>
      <c r="N6637" t="n">
        <v>0</v>
      </c>
      <c r="O6637" t="n">
        <v>0</v>
      </c>
      <c r="P6637" t="n">
        <v>0</v>
      </c>
      <c r="Q6637" t="n">
        <v>0</v>
      </c>
      <c r="R6637" s="2" t="inlineStr"/>
    </row>
    <row r="6638" ht="15" customHeight="1">
      <c r="A6638" t="inlineStr">
        <is>
          <t>A 13152-2022</t>
        </is>
      </c>
      <c r="B6638" s="1" t="n">
        <v>44643</v>
      </c>
      <c r="C6638" s="1" t="n">
        <v>45810</v>
      </c>
      <c r="D6638" t="inlineStr">
        <is>
          <t>VÄRMLANDS LÄN</t>
        </is>
      </c>
      <c r="E6638" t="inlineStr">
        <is>
          <t>ÅRJÄNG</t>
        </is>
      </c>
      <c r="G6638" t="n">
        <v>4</v>
      </c>
      <c r="H6638" t="n">
        <v>0</v>
      </c>
      <c r="I6638" t="n">
        <v>0</v>
      </c>
      <c r="J6638" t="n">
        <v>0</v>
      </c>
      <c r="K6638" t="n">
        <v>0</v>
      </c>
      <c r="L6638" t="n">
        <v>0</v>
      </c>
      <c r="M6638" t="n">
        <v>0</v>
      </c>
      <c r="N6638" t="n">
        <v>0</v>
      </c>
      <c r="O6638" t="n">
        <v>0</v>
      </c>
      <c r="P6638" t="n">
        <v>0</v>
      </c>
      <c r="Q6638" t="n">
        <v>0</v>
      </c>
      <c r="R6638" s="2" t="inlineStr"/>
    </row>
    <row r="6639" ht="15" customHeight="1">
      <c r="A6639" t="inlineStr">
        <is>
          <t>A 13052-2022</t>
        </is>
      </c>
      <c r="B6639" s="1" t="n">
        <v>44643</v>
      </c>
      <c r="C6639" s="1" t="n">
        <v>45810</v>
      </c>
      <c r="D6639" t="inlineStr">
        <is>
          <t>VÄRMLANDS LÄN</t>
        </is>
      </c>
      <c r="E6639" t="inlineStr">
        <is>
          <t>SÄFFLE</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13060-2022</t>
        </is>
      </c>
      <c r="B6640" s="1" t="n">
        <v>44643</v>
      </c>
      <c r="C6640" s="1" t="n">
        <v>45810</v>
      </c>
      <c r="D6640" t="inlineStr">
        <is>
          <t>VÄRMLANDS LÄN</t>
        </is>
      </c>
      <c r="E6640" t="inlineStr">
        <is>
          <t>ÅRJÄNG</t>
        </is>
      </c>
      <c r="G6640" t="n">
        <v>2.6</v>
      </c>
      <c r="H6640" t="n">
        <v>0</v>
      </c>
      <c r="I6640" t="n">
        <v>0</v>
      </c>
      <c r="J6640" t="n">
        <v>0</v>
      </c>
      <c r="K6640" t="n">
        <v>0</v>
      </c>
      <c r="L6640" t="n">
        <v>0</v>
      </c>
      <c r="M6640" t="n">
        <v>0</v>
      </c>
      <c r="N6640" t="n">
        <v>0</v>
      </c>
      <c r="O6640" t="n">
        <v>0</v>
      </c>
      <c r="P6640" t="n">
        <v>0</v>
      </c>
      <c r="Q6640" t="n">
        <v>0</v>
      </c>
      <c r="R6640" s="2" t="inlineStr"/>
    </row>
    <row r="6641" ht="15" customHeight="1">
      <c r="A6641" t="inlineStr">
        <is>
          <t>A 13166-2022</t>
        </is>
      </c>
      <c r="B6641" s="1" t="n">
        <v>44643</v>
      </c>
      <c r="C6641" s="1" t="n">
        <v>45810</v>
      </c>
      <c r="D6641" t="inlineStr">
        <is>
          <t>VÄRMLANDS LÄN</t>
        </is>
      </c>
      <c r="E6641" t="inlineStr">
        <is>
          <t>ÅRJÄNG</t>
        </is>
      </c>
      <c r="G6641" t="n">
        <v>7.3</v>
      </c>
      <c r="H6641" t="n">
        <v>0</v>
      </c>
      <c r="I6641" t="n">
        <v>0</v>
      </c>
      <c r="J6641" t="n">
        <v>0</v>
      </c>
      <c r="K6641" t="n">
        <v>0</v>
      </c>
      <c r="L6641" t="n">
        <v>0</v>
      </c>
      <c r="M6641" t="n">
        <v>0</v>
      </c>
      <c r="N6641" t="n">
        <v>0</v>
      </c>
      <c r="O6641" t="n">
        <v>0</v>
      </c>
      <c r="P6641" t="n">
        <v>0</v>
      </c>
      <c r="Q6641" t="n">
        <v>0</v>
      </c>
      <c r="R6641" s="2" t="inlineStr"/>
    </row>
    <row r="6642" ht="15" customHeight="1">
      <c r="A6642" t="inlineStr">
        <is>
          <t>A 13123-2022</t>
        </is>
      </c>
      <c r="B6642" s="1" t="n">
        <v>44644</v>
      </c>
      <c r="C6642" s="1" t="n">
        <v>45810</v>
      </c>
      <c r="D6642" t="inlineStr">
        <is>
          <t>VÄRMLANDS LÄN</t>
        </is>
      </c>
      <c r="E6642" t="inlineStr">
        <is>
          <t>ÅRJÄNG</t>
        </is>
      </c>
      <c r="G6642" t="n">
        <v>2.4</v>
      </c>
      <c r="H6642" t="n">
        <v>0</v>
      </c>
      <c r="I6642" t="n">
        <v>0</v>
      </c>
      <c r="J6642" t="n">
        <v>0</v>
      </c>
      <c r="K6642" t="n">
        <v>0</v>
      </c>
      <c r="L6642" t="n">
        <v>0</v>
      </c>
      <c r="M6642" t="n">
        <v>0</v>
      </c>
      <c r="N6642" t="n">
        <v>0</v>
      </c>
      <c r="O6642" t="n">
        <v>0</v>
      </c>
      <c r="P6642" t="n">
        <v>0</v>
      </c>
      <c r="Q6642" t="n">
        <v>0</v>
      </c>
      <c r="R6642" s="2" t="inlineStr"/>
    </row>
    <row r="6643" ht="15" customHeight="1">
      <c r="A6643" t="inlineStr">
        <is>
          <t>A 13207-2022</t>
        </is>
      </c>
      <c r="B6643" s="1" t="n">
        <v>44644</v>
      </c>
      <c r="C6643" s="1" t="n">
        <v>45810</v>
      </c>
      <c r="D6643" t="inlineStr">
        <is>
          <t>VÄRMLANDS LÄN</t>
        </is>
      </c>
      <c r="E6643" t="inlineStr">
        <is>
          <t>TORSBY</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13146-2022</t>
        </is>
      </c>
      <c r="B6644" s="1" t="n">
        <v>44644</v>
      </c>
      <c r="C6644" s="1" t="n">
        <v>45810</v>
      </c>
      <c r="D6644" t="inlineStr">
        <is>
          <t>VÄRMLANDS LÄN</t>
        </is>
      </c>
      <c r="E6644" t="inlineStr">
        <is>
          <t>SÄFFLE</t>
        </is>
      </c>
      <c r="G6644" t="n">
        <v>2.4</v>
      </c>
      <c r="H6644" t="n">
        <v>0</v>
      </c>
      <c r="I6644" t="n">
        <v>0</v>
      </c>
      <c r="J6644" t="n">
        <v>0</v>
      </c>
      <c r="K6644" t="n">
        <v>0</v>
      </c>
      <c r="L6644" t="n">
        <v>0</v>
      </c>
      <c r="M6644" t="n">
        <v>0</v>
      </c>
      <c r="N6644" t="n">
        <v>0</v>
      </c>
      <c r="O6644" t="n">
        <v>0</v>
      </c>
      <c r="P6644" t="n">
        <v>0</v>
      </c>
      <c r="Q6644" t="n">
        <v>0</v>
      </c>
      <c r="R6644" s="2" t="inlineStr"/>
    </row>
    <row r="6645" ht="15" customHeight="1">
      <c r="A6645" t="inlineStr">
        <is>
          <t>A 13160-2022</t>
        </is>
      </c>
      <c r="B6645" s="1" t="n">
        <v>44644</v>
      </c>
      <c r="C6645" s="1" t="n">
        <v>45810</v>
      </c>
      <c r="D6645" t="inlineStr">
        <is>
          <t>VÄRMLANDS LÄN</t>
        </is>
      </c>
      <c r="E6645" t="inlineStr">
        <is>
          <t>ÅRJÄNG</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13354-2022</t>
        </is>
      </c>
      <c r="B6646" s="1" t="n">
        <v>44645</v>
      </c>
      <c r="C6646" s="1" t="n">
        <v>45810</v>
      </c>
      <c r="D6646" t="inlineStr">
        <is>
          <t>VÄRMLANDS LÄN</t>
        </is>
      </c>
      <c r="E6646" t="inlineStr">
        <is>
          <t>HAMMARÖ</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13393-2022</t>
        </is>
      </c>
      <c r="B6647" s="1" t="n">
        <v>44645</v>
      </c>
      <c r="C6647" s="1" t="n">
        <v>45810</v>
      </c>
      <c r="D6647" t="inlineStr">
        <is>
          <t>VÄRMLANDS LÄN</t>
        </is>
      </c>
      <c r="E6647" t="inlineStr">
        <is>
          <t>GRUMS</t>
        </is>
      </c>
      <c r="F6647" t="inlineStr">
        <is>
          <t>Bergvik skog väst AB</t>
        </is>
      </c>
      <c r="G6647" t="n">
        <v>2.7</v>
      </c>
      <c r="H6647" t="n">
        <v>0</v>
      </c>
      <c r="I6647" t="n">
        <v>0</v>
      </c>
      <c r="J6647" t="n">
        <v>0</v>
      </c>
      <c r="K6647" t="n">
        <v>0</v>
      </c>
      <c r="L6647" t="n">
        <v>0</v>
      </c>
      <c r="M6647" t="n">
        <v>0</v>
      </c>
      <c r="N6647" t="n">
        <v>0</v>
      </c>
      <c r="O6647" t="n">
        <v>0</v>
      </c>
      <c r="P6647" t="n">
        <v>0</v>
      </c>
      <c r="Q6647" t="n">
        <v>0</v>
      </c>
      <c r="R6647" s="2" t="inlineStr"/>
    </row>
    <row r="6648" ht="15" customHeight="1">
      <c r="A6648" t="inlineStr">
        <is>
          <t>A 13356-2022</t>
        </is>
      </c>
      <c r="B6648" s="1" t="n">
        <v>44645</v>
      </c>
      <c r="C6648" s="1" t="n">
        <v>45810</v>
      </c>
      <c r="D6648" t="inlineStr">
        <is>
          <t>VÄRMLANDS LÄN</t>
        </is>
      </c>
      <c r="E6648" t="inlineStr">
        <is>
          <t>HAMMARÖ</t>
        </is>
      </c>
      <c r="G6648" t="n">
        <v>1.6</v>
      </c>
      <c r="H6648" t="n">
        <v>0</v>
      </c>
      <c r="I6648" t="n">
        <v>0</v>
      </c>
      <c r="J6648" t="n">
        <v>0</v>
      </c>
      <c r="K6648" t="n">
        <v>0</v>
      </c>
      <c r="L6648" t="n">
        <v>0</v>
      </c>
      <c r="M6648" t="n">
        <v>0</v>
      </c>
      <c r="N6648" t="n">
        <v>0</v>
      </c>
      <c r="O6648" t="n">
        <v>0</v>
      </c>
      <c r="P6648" t="n">
        <v>0</v>
      </c>
      <c r="Q6648" t="n">
        <v>0</v>
      </c>
      <c r="R6648" s="2" t="inlineStr"/>
    </row>
    <row r="6649" ht="15" customHeight="1">
      <c r="A6649" t="inlineStr">
        <is>
          <t>A 13399-2022</t>
        </is>
      </c>
      <c r="B6649" s="1" t="n">
        <v>44645</v>
      </c>
      <c r="C6649" s="1" t="n">
        <v>45810</v>
      </c>
      <c r="D6649" t="inlineStr">
        <is>
          <t>VÄRMLANDS LÄN</t>
        </is>
      </c>
      <c r="E6649" t="inlineStr">
        <is>
          <t>ARVIKA</t>
        </is>
      </c>
      <c r="F6649" t="inlineStr">
        <is>
          <t>Bergvik skog väst AB</t>
        </is>
      </c>
      <c r="G6649" t="n">
        <v>5.9</v>
      </c>
      <c r="H6649" t="n">
        <v>0</v>
      </c>
      <c r="I6649" t="n">
        <v>0</v>
      </c>
      <c r="J6649" t="n">
        <v>0</v>
      </c>
      <c r="K6649" t="n">
        <v>0</v>
      </c>
      <c r="L6649" t="n">
        <v>0</v>
      </c>
      <c r="M6649" t="n">
        <v>0</v>
      </c>
      <c r="N6649" t="n">
        <v>0</v>
      </c>
      <c r="O6649" t="n">
        <v>0</v>
      </c>
      <c r="P6649" t="n">
        <v>0</v>
      </c>
      <c r="Q6649" t="n">
        <v>0</v>
      </c>
      <c r="R6649" s="2" t="inlineStr"/>
    </row>
    <row r="6650" ht="15" customHeight="1">
      <c r="A6650" t="inlineStr">
        <is>
          <t>A 13466-2022</t>
        </is>
      </c>
      <c r="B6650" s="1" t="n">
        <v>44645</v>
      </c>
      <c r="C6650" s="1" t="n">
        <v>45810</v>
      </c>
      <c r="D6650" t="inlineStr">
        <is>
          <t>VÄRMLANDS LÄN</t>
        </is>
      </c>
      <c r="E6650" t="inlineStr">
        <is>
          <t>GRUMS</t>
        </is>
      </c>
      <c r="F6650" t="inlineStr">
        <is>
          <t>Bergvik skog väst AB</t>
        </is>
      </c>
      <c r="G6650" t="n">
        <v>2.4</v>
      </c>
      <c r="H6650" t="n">
        <v>0</v>
      </c>
      <c r="I6650" t="n">
        <v>0</v>
      </c>
      <c r="J6650" t="n">
        <v>0</v>
      </c>
      <c r="K6650" t="n">
        <v>0</v>
      </c>
      <c r="L6650" t="n">
        <v>0</v>
      </c>
      <c r="M6650" t="n">
        <v>0</v>
      </c>
      <c r="N6650" t="n">
        <v>0</v>
      </c>
      <c r="O6650" t="n">
        <v>0</v>
      </c>
      <c r="P6650" t="n">
        <v>0</v>
      </c>
      <c r="Q6650" t="n">
        <v>0</v>
      </c>
      <c r="R6650" s="2" t="inlineStr"/>
    </row>
    <row r="6651" ht="15" customHeight="1">
      <c r="A6651" t="inlineStr">
        <is>
          <t>A 13579-2022</t>
        </is>
      </c>
      <c r="B6651" s="1" t="n">
        <v>44648</v>
      </c>
      <c r="C6651" s="1" t="n">
        <v>45810</v>
      </c>
      <c r="D6651" t="inlineStr">
        <is>
          <t>VÄRMLANDS LÄN</t>
        </is>
      </c>
      <c r="E6651" t="inlineStr">
        <is>
          <t>ARVIKA</t>
        </is>
      </c>
      <c r="F6651" t="inlineStr">
        <is>
          <t>Bergvik skog väst AB</t>
        </is>
      </c>
      <c r="G6651" t="n">
        <v>3.9</v>
      </c>
      <c r="H6651" t="n">
        <v>0</v>
      </c>
      <c r="I6651" t="n">
        <v>0</v>
      </c>
      <c r="J6651" t="n">
        <v>0</v>
      </c>
      <c r="K6651" t="n">
        <v>0</v>
      </c>
      <c r="L6651" t="n">
        <v>0</v>
      </c>
      <c r="M6651" t="n">
        <v>0</v>
      </c>
      <c r="N6651" t="n">
        <v>0</v>
      </c>
      <c r="O6651" t="n">
        <v>0</v>
      </c>
      <c r="P6651" t="n">
        <v>0</v>
      </c>
      <c r="Q6651" t="n">
        <v>0</v>
      </c>
      <c r="R6651" s="2" t="inlineStr"/>
    </row>
    <row r="6652" ht="15" customHeight="1">
      <c r="A6652" t="inlineStr">
        <is>
          <t>A 13599-2022</t>
        </is>
      </c>
      <c r="B6652" s="1" t="n">
        <v>44648</v>
      </c>
      <c r="C6652" s="1" t="n">
        <v>45810</v>
      </c>
      <c r="D6652" t="inlineStr">
        <is>
          <t>VÄRMLANDS LÄN</t>
        </is>
      </c>
      <c r="E6652" t="inlineStr">
        <is>
          <t>MUNKFORS</t>
        </is>
      </c>
      <c r="G6652" t="n">
        <v>0.6</v>
      </c>
      <c r="H6652" t="n">
        <v>0</v>
      </c>
      <c r="I6652" t="n">
        <v>0</v>
      </c>
      <c r="J6652" t="n">
        <v>0</v>
      </c>
      <c r="K6652" t="n">
        <v>0</v>
      </c>
      <c r="L6652" t="n">
        <v>0</v>
      </c>
      <c r="M6652" t="n">
        <v>0</v>
      </c>
      <c r="N6652" t="n">
        <v>0</v>
      </c>
      <c r="O6652" t="n">
        <v>0</v>
      </c>
      <c r="P6652" t="n">
        <v>0</v>
      </c>
      <c r="Q6652" t="n">
        <v>0</v>
      </c>
      <c r="R6652" s="2" t="inlineStr"/>
    </row>
    <row r="6653" ht="15" customHeight="1">
      <c r="A6653" t="inlineStr">
        <is>
          <t>A 13505-2022</t>
        </is>
      </c>
      <c r="B6653" s="1" t="n">
        <v>44648</v>
      </c>
      <c r="C6653" s="1" t="n">
        <v>45810</v>
      </c>
      <c r="D6653" t="inlineStr">
        <is>
          <t>VÄRMLANDS LÄN</t>
        </is>
      </c>
      <c r="E6653" t="inlineStr">
        <is>
          <t>KRISTINEHAMN</t>
        </is>
      </c>
      <c r="G6653" t="n">
        <v>0.5</v>
      </c>
      <c r="H6653" t="n">
        <v>0</v>
      </c>
      <c r="I6653" t="n">
        <v>0</v>
      </c>
      <c r="J6653" t="n">
        <v>0</v>
      </c>
      <c r="K6653" t="n">
        <v>0</v>
      </c>
      <c r="L6653" t="n">
        <v>0</v>
      </c>
      <c r="M6653" t="n">
        <v>0</v>
      </c>
      <c r="N6653" t="n">
        <v>0</v>
      </c>
      <c r="O6653" t="n">
        <v>0</v>
      </c>
      <c r="P6653" t="n">
        <v>0</v>
      </c>
      <c r="Q6653" t="n">
        <v>0</v>
      </c>
      <c r="R6653" s="2" t="inlineStr"/>
    </row>
    <row r="6654" ht="15" customHeight="1">
      <c r="A6654" t="inlineStr">
        <is>
          <t>A 13514-2022</t>
        </is>
      </c>
      <c r="B6654" s="1" t="n">
        <v>44648</v>
      </c>
      <c r="C6654" s="1" t="n">
        <v>45810</v>
      </c>
      <c r="D6654" t="inlineStr">
        <is>
          <t>VÄRMLANDS LÄN</t>
        </is>
      </c>
      <c r="E6654" t="inlineStr">
        <is>
          <t>ARVIKA</t>
        </is>
      </c>
      <c r="F6654" t="inlineStr">
        <is>
          <t>Bergvik skog väst AB</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13572-2022</t>
        </is>
      </c>
      <c r="B6655" s="1" t="n">
        <v>44648</v>
      </c>
      <c r="C6655" s="1" t="n">
        <v>45810</v>
      </c>
      <c r="D6655" t="inlineStr">
        <is>
          <t>VÄRMLANDS LÄN</t>
        </is>
      </c>
      <c r="E6655" t="inlineStr">
        <is>
          <t>MUNKFORS</t>
        </is>
      </c>
      <c r="G6655" t="n">
        <v>2</v>
      </c>
      <c r="H6655" t="n">
        <v>0</v>
      </c>
      <c r="I6655" t="n">
        <v>0</v>
      </c>
      <c r="J6655" t="n">
        <v>0</v>
      </c>
      <c r="K6655" t="n">
        <v>0</v>
      </c>
      <c r="L6655" t="n">
        <v>0</v>
      </c>
      <c r="M6655" t="n">
        <v>0</v>
      </c>
      <c r="N6655" t="n">
        <v>0</v>
      </c>
      <c r="O6655" t="n">
        <v>0</v>
      </c>
      <c r="P6655" t="n">
        <v>0</v>
      </c>
      <c r="Q6655" t="n">
        <v>0</v>
      </c>
      <c r="R6655" s="2" t="inlineStr"/>
    </row>
    <row r="6656" ht="15" customHeight="1">
      <c r="A6656" t="inlineStr">
        <is>
          <t>A 13578-2022</t>
        </is>
      </c>
      <c r="B6656" s="1" t="n">
        <v>44648</v>
      </c>
      <c r="C6656" s="1" t="n">
        <v>45810</v>
      </c>
      <c r="D6656" t="inlineStr">
        <is>
          <t>VÄRMLANDS LÄN</t>
        </is>
      </c>
      <c r="E6656" t="inlineStr">
        <is>
          <t>MUNKFORS</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13596-2022</t>
        </is>
      </c>
      <c r="B6657" s="1" t="n">
        <v>44648</v>
      </c>
      <c r="C6657" s="1" t="n">
        <v>45810</v>
      </c>
      <c r="D6657" t="inlineStr">
        <is>
          <t>VÄRMLANDS LÄN</t>
        </is>
      </c>
      <c r="E6657" t="inlineStr">
        <is>
          <t>MUNKFORS</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13576-2022</t>
        </is>
      </c>
      <c r="B6658" s="1" t="n">
        <v>44648</v>
      </c>
      <c r="C6658" s="1" t="n">
        <v>45810</v>
      </c>
      <c r="D6658" t="inlineStr">
        <is>
          <t>VÄRMLANDS LÄN</t>
        </is>
      </c>
      <c r="E6658" t="inlineStr">
        <is>
          <t>MUNKFORS</t>
        </is>
      </c>
      <c r="G6658" t="n">
        <v>1.9</v>
      </c>
      <c r="H6658" t="n">
        <v>0</v>
      </c>
      <c r="I6658" t="n">
        <v>0</v>
      </c>
      <c r="J6658" t="n">
        <v>0</v>
      </c>
      <c r="K6658" t="n">
        <v>0</v>
      </c>
      <c r="L6658" t="n">
        <v>0</v>
      </c>
      <c r="M6658" t="n">
        <v>0</v>
      </c>
      <c r="N6658" t="n">
        <v>0</v>
      </c>
      <c r="O6658" t="n">
        <v>0</v>
      </c>
      <c r="P6658" t="n">
        <v>0</v>
      </c>
      <c r="Q6658" t="n">
        <v>0</v>
      </c>
      <c r="R6658" s="2" t="inlineStr"/>
    </row>
    <row r="6659" ht="15" customHeight="1">
      <c r="A6659" t="inlineStr">
        <is>
          <t>A 13593-2022</t>
        </is>
      </c>
      <c r="B6659" s="1" t="n">
        <v>44648</v>
      </c>
      <c r="C6659" s="1" t="n">
        <v>45810</v>
      </c>
      <c r="D6659" t="inlineStr">
        <is>
          <t>VÄRMLANDS LÄN</t>
        </is>
      </c>
      <c r="E6659" t="inlineStr">
        <is>
          <t>ÅRJÄNG</t>
        </is>
      </c>
      <c r="G6659" t="n">
        <v>2.3</v>
      </c>
      <c r="H6659" t="n">
        <v>0</v>
      </c>
      <c r="I6659" t="n">
        <v>0</v>
      </c>
      <c r="J6659" t="n">
        <v>0</v>
      </c>
      <c r="K6659" t="n">
        <v>0</v>
      </c>
      <c r="L6659" t="n">
        <v>0</v>
      </c>
      <c r="M6659" t="n">
        <v>0</v>
      </c>
      <c r="N6659" t="n">
        <v>0</v>
      </c>
      <c r="O6659" t="n">
        <v>0</v>
      </c>
      <c r="P6659" t="n">
        <v>0</v>
      </c>
      <c r="Q6659" t="n">
        <v>0</v>
      </c>
      <c r="R6659" s="2" t="inlineStr"/>
    </row>
    <row r="6660" ht="15" customHeight="1">
      <c r="A6660" t="inlineStr">
        <is>
          <t>A 13618-2022</t>
        </is>
      </c>
      <c r="B6660" s="1" t="n">
        <v>44648</v>
      </c>
      <c r="C6660" s="1" t="n">
        <v>45810</v>
      </c>
      <c r="D6660" t="inlineStr">
        <is>
          <t>VÄRMLANDS LÄN</t>
        </is>
      </c>
      <c r="E6660" t="inlineStr">
        <is>
          <t>SUNNE</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13635-2022</t>
        </is>
      </c>
      <c r="B6661" s="1" t="n">
        <v>44648</v>
      </c>
      <c r="C6661" s="1" t="n">
        <v>45810</v>
      </c>
      <c r="D6661" t="inlineStr">
        <is>
          <t>VÄRMLANDS LÄN</t>
        </is>
      </c>
      <c r="E6661" t="inlineStr">
        <is>
          <t>EDA</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13654-2022</t>
        </is>
      </c>
      <c r="B6662" s="1" t="n">
        <v>44648</v>
      </c>
      <c r="C6662" s="1" t="n">
        <v>45810</v>
      </c>
      <c r="D6662" t="inlineStr">
        <is>
          <t>VÄRMLANDS LÄN</t>
        </is>
      </c>
      <c r="E6662" t="inlineStr">
        <is>
          <t>ÅRJÄNG</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13698-2022</t>
        </is>
      </c>
      <c r="B6663" s="1" t="n">
        <v>44648</v>
      </c>
      <c r="C6663" s="1" t="n">
        <v>45810</v>
      </c>
      <c r="D6663" t="inlineStr">
        <is>
          <t>VÄRMLANDS LÄN</t>
        </is>
      </c>
      <c r="E6663" t="inlineStr">
        <is>
          <t>TORSBY</t>
        </is>
      </c>
      <c r="G6663" t="n">
        <v>0.5</v>
      </c>
      <c r="H6663" t="n">
        <v>0</v>
      </c>
      <c r="I6663" t="n">
        <v>0</v>
      </c>
      <c r="J6663" t="n">
        <v>0</v>
      </c>
      <c r="K6663" t="n">
        <v>0</v>
      </c>
      <c r="L6663" t="n">
        <v>0</v>
      </c>
      <c r="M6663" t="n">
        <v>0</v>
      </c>
      <c r="N6663" t="n">
        <v>0</v>
      </c>
      <c r="O6663" t="n">
        <v>0</v>
      </c>
      <c r="P6663" t="n">
        <v>0</v>
      </c>
      <c r="Q6663" t="n">
        <v>0</v>
      </c>
      <c r="R6663" s="2" t="inlineStr"/>
    </row>
    <row r="6664" ht="15" customHeight="1">
      <c r="A6664" t="inlineStr">
        <is>
          <t>A 13644-2022</t>
        </is>
      </c>
      <c r="B6664" s="1" t="n">
        <v>44648</v>
      </c>
      <c r="C6664" s="1" t="n">
        <v>45810</v>
      </c>
      <c r="D6664" t="inlineStr">
        <is>
          <t>VÄRMLANDS LÄN</t>
        </is>
      </c>
      <c r="E6664" t="inlineStr">
        <is>
          <t>SUNNE</t>
        </is>
      </c>
      <c r="G6664" t="n">
        <v>1.5</v>
      </c>
      <c r="H6664" t="n">
        <v>0</v>
      </c>
      <c r="I6664" t="n">
        <v>0</v>
      </c>
      <c r="J6664" t="n">
        <v>0</v>
      </c>
      <c r="K6664" t="n">
        <v>0</v>
      </c>
      <c r="L6664" t="n">
        <v>0</v>
      </c>
      <c r="M6664" t="n">
        <v>0</v>
      </c>
      <c r="N6664" t="n">
        <v>0</v>
      </c>
      <c r="O6664" t="n">
        <v>0</v>
      </c>
      <c r="P6664" t="n">
        <v>0</v>
      </c>
      <c r="Q6664" t="n">
        <v>0</v>
      </c>
      <c r="R6664" s="2" t="inlineStr"/>
    </row>
    <row r="6665" ht="15" customHeight="1">
      <c r="A6665" t="inlineStr">
        <is>
          <t>A 13757-2022</t>
        </is>
      </c>
      <c r="B6665" s="1" t="n">
        <v>44649</v>
      </c>
      <c r="C6665" s="1" t="n">
        <v>45810</v>
      </c>
      <c r="D6665" t="inlineStr">
        <is>
          <t>VÄRMLANDS LÄN</t>
        </is>
      </c>
      <c r="E6665" t="inlineStr">
        <is>
          <t>SÄFFLE</t>
        </is>
      </c>
      <c r="G6665" t="n">
        <v>15.1</v>
      </c>
      <c r="H6665" t="n">
        <v>0</v>
      </c>
      <c r="I6665" t="n">
        <v>0</v>
      </c>
      <c r="J6665" t="n">
        <v>0</v>
      </c>
      <c r="K6665" t="n">
        <v>0</v>
      </c>
      <c r="L6665" t="n">
        <v>0</v>
      </c>
      <c r="M6665" t="n">
        <v>0</v>
      </c>
      <c r="N6665" t="n">
        <v>0</v>
      </c>
      <c r="O6665" t="n">
        <v>0</v>
      </c>
      <c r="P6665" t="n">
        <v>0</v>
      </c>
      <c r="Q6665" t="n">
        <v>0</v>
      </c>
      <c r="R6665" s="2" t="inlineStr"/>
    </row>
    <row r="6666" ht="15" customHeight="1">
      <c r="A6666" t="inlineStr">
        <is>
          <t>A 13766-2022</t>
        </is>
      </c>
      <c r="B6666" s="1" t="n">
        <v>44649</v>
      </c>
      <c r="C6666" s="1" t="n">
        <v>45810</v>
      </c>
      <c r="D6666" t="inlineStr">
        <is>
          <t>VÄRMLANDS LÄN</t>
        </is>
      </c>
      <c r="E6666" t="inlineStr">
        <is>
          <t>HAGFORS</t>
        </is>
      </c>
      <c r="F6666" t="inlineStr">
        <is>
          <t>Bergvik skog väst AB</t>
        </is>
      </c>
      <c r="G6666" t="n">
        <v>6.8</v>
      </c>
      <c r="H6666" t="n">
        <v>0</v>
      </c>
      <c r="I6666" t="n">
        <v>0</v>
      </c>
      <c r="J6666" t="n">
        <v>0</v>
      </c>
      <c r="K6666" t="n">
        <v>0</v>
      </c>
      <c r="L6666" t="n">
        <v>0</v>
      </c>
      <c r="M6666" t="n">
        <v>0</v>
      </c>
      <c r="N6666" t="n">
        <v>0</v>
      </c>
      <c r="O6666" t="n">
        <v>0</v>
      </c>
      <c r="P6666" t="n">
        <v>0</v>
      </c>
      <c r="Q6666" t="n">
        <v>0</v>
      </c>
      <c r="R6666" s="2" t="inlineStr"/>
    </row>
    <row r="6667" ht="15" customHeight="1">
      <c r="A6667" t="inlineStr">
        <is>
          <t>A 13806-2022</t>
        </is>
      </c>
      <c r="B6667" s="1" t="n">
        <v>44649</v>
      </c>
      <c r="C6667" s="1" t="n">
        <v>45810</v>
      </c>
      <c r="D6667" t="inlineStr">
        <is>
          <t>VÄRMLANDS LÄN</t>
        </is>
      </c>
      <c r="E6667" t="inlineStr">
        <is>
          <t>KARLSTAD</t>
        </is>
      </c>
      <c r="F6667" t="inlineStr">
        <is>
          <t>Naturvårdsverket</t>
        </is>
      </c>
      <c r="G6667" t="n">
        <v>14.3</v>
      </c>
      <c r="H6667" t="n">
        <v>0</v>
      </c>
      <c r="I6667" t="n">
        <v>0</v>
      </c>
      <c r="J6667" t="n">
        <v>0</v>
      </c>
      <c r="K6667" t="n">
        <v>0</v>
      </c>
      <c r="L6667" t="n">
        <v>0</v>
      </c>
      <c r="M6667" t="n">
        <v>0</v>
      </c>
      <c r="N6667" t="n">
        <v>0</v>
      </c>
      <c r="O6667" t="n">
        <v>0</v>
      </c>
      <c r="P6667" t="n">
        <v>0</v>
      </c>
      <c r="Q6667" t="n">
        <v>0</v>
      </c>
      <c r="R6667" s="2" t="inlineStr"/>
    </row>
    <row r="6668" ht="15" customHeight="1">
      <c r="A6668" t="inlineStr">
        <is>
          <t>A 13830-2022</t>
        </is>
      </c>
      <c r="B6668" s="1" t="n">
        <v>44649</v>
      </c>
      <c r="C6668" s="1" t="n">
        <v>45810</v>
      </c>
      <c r="D6668" t="inlineStr">
        <is>
          <t>VÄRMLANDS LÄN</t>
        </is>
      </c>
      <c r="E6668" t="inlineStr">
        <is>
          <t>KARLSTAD</t>
        </is>
      </c>
      <c r="F6668" t="inlineStr">
        <is>
          <t>Naturvårdsverket</t>
        </is>
      </c>
      <c r="G6668" t="n">
        <v>2.6</v>
      </c>
      <c r="H6668" t="n">
        <v>0</v>
      </c>
      <c r="I6668" t="n">
        <v>0</v>
      </c>
      <c r="J6668" t="n">
        <v>0</v>
      </c>
      <c r="K6668" t="n">
        <v>0</v>
      </c>
      <c r="L6668" t="n">
        <v>0</v>
      </c>
      <c r="M6668" t="n">
        <v>0</v>
      </c>
      <c r="N6668" t="n">
        <v>0</v>
      </c>
      <c r="O6668" t="n">
        <v>0</v>
      </c>
      <c r="P6668" t="n">
        <v>0</v>
      </c>
      <c r="Q6668" t="n">
        <v>0</v>
      </c>
      <c r="R6668" s="2" t="inlineStr"/>
    </row>
    <row r="6669" ht="15" customHeight="1">
      <c r="A6669" t="inlineStr">
        <is>
          <t>A 13840-2022</t>
        </is>
      </c>
      <c r="B6669" s="1" t="n">
        <v>44649</v>
      </c>
      <c r="C6669" s="1" t="n">
        <v>45810</v>
      </c>
      <c r="D6669" t="inlineStr">
        <is>
          <t>VÄRMLANDS LÄN</t>
        </is>
      </c>
      <c r="E6669" t="inlineStr">
        <is>
          <t>HAGFORS</t>
        </is>
      </c>
      <c r="F6669" t="inlineStr">
        <is>
          <t>Bergvik skog väst AB</t>
        </is>
      </c>
      <c r="G6669" t="n">
        <v>17.9</v>
      </c>
      <c r="H6669" t="n">
        <v>0</v>
      </c>
      <c r="I6669" t="n">
        <v>0</v>
      </c>
      <c r="J6669" t="n">
        <v>0</v>
      </c>
      <c r="K6669" t="n">
        <v>0</v>
      </c>
      <c r="L6669" t="n">
        <v>0</v>
      </c>
      <c r="M6669" t="n">
        <v>0</v>
      </c>
      <c r="N6669" t="n">
        <v>0</v>
      </c>
      <c r="O6669" t="n">
        <v>0</v>
      </c>
      <c r="P6669" t="n">
        <v>0</v>
      </c>
      <c r="Q6669" t="n">
        <v>0</v>
      </c>
      <c r="R6669" s="2" t="inlineStr"/>
    </row>
    <row r="6670" ht="15" customHeight="1">
      <c r="A6670" t="inlineStr">
        <is>
          <t>A 13745-2022</t>
        </is>
      </c>
      <c r="B6670" s="1" t="n">
        <v>44649</v>
      </c>
      <c r="C6670" s="1" t="n">
        <v>45810</v>
      </c>
      <c r="D6670" t="inlineStr">
        <is>
          <t>VÄRMLANDS LÄN</t>
        </is>
      </c>
      <c r="E6670" t="inlineStr">
        <is>
          <t>KARLSTAD</t>
        </is>
      </c>
      <c r="F6670" t="inlineStr">
        <is>
          <t>Bergvik skog väst AB</t>
        </is>
      </c>
      <c r="G6670" t="n">
        <v>20.8</v>
      </c>
      <c r="H6670" t="n">
        <v>0</v>
      </c>
      <c r="I6670" t="n">
        <v>0</v>
      </c>
      <c r="J6670" t="n">
        <v>0</v>
      </c>
      <c r="K6670" t="n">
        <v>0</v>
      </c>
      <c r="L6670" t="n">
        <v>0</v>
      </c>
      <c r="M6670" t="n">
        <v>0</v>
      </c>
      <c r="N6670" t="n">
        <v>0</v>
      </c>
      <c r="O6670" t="n">
        <v>0</v>
      </c>
      <c r="P6670" t="n">
        <v>0</v>
      </c>
      <c r="Q6670" t="n">
        <v>0</v>
      </c>
      <c r="R6670" s="2" t="inlineStr"/>
    </row>
    <row r="6671" ht="15" customHeight="1">
      <c r="A6671" t="inlineStr">
        <is>
          <t>A 13803-2022</t>
        </is>
      </c>
      <c r="B6671" s="1" t="n">
        <v>44649</v>
      </c>
      <c r="C6671" s="1" t="n">
        <v>45810</v>
      </c>
      <c r="D6671" t="inlineStr">
        <is>
          <t>VÄRMLANDS LÄN</t>
        </is>
      </c>
      <c r="E6671" t="inlineStr">
        <is>
          <t>HAGFORS</t>
        </is>
      </c>
      <c r="F6671" t="inlineStr">
        <is>
          <t>Bergvik skog väst AB</t>
        </is>
      </c>
      <c r="G6671" t="n">
        <v>3.6</v>
      </c>
      <c r="H6671" t="n">
        <v>0</v>
      </c>
      <c r="I6671" t="n">
        <v>0</v>
      </c>
      <c r="J6671" t="n">
        <v>0</v>
      </c>
      <c r="K6671" t="n">
        <v>0</v>
      </c>
      <c r="L6671" t="n">
        <v>0</v>
      </c>
      <c r="M6671" t="n">
        <v>0</v>
      </c>
      <c r="N6671" t="n">
        <v>0</v>
      </c>
      <c r="O6671" t="n">
        <v>0</v>
      </c>
      <c r="P6671" t="n">
        <v>0</v>
      </c>
      <c r="Q6671" t="n">
        <v>0</v>
      </c>
      <c r="R6671" s="2" t="inlineStr"/>
    </row>
    <row r="6672" ht="15" customHeight="1">
      <c r="A6672" t="inlineStr">
        <is>
          <t>A 13843-2022</t>
        </is>
      </c>
      <c r="B6672" s="1" t="n">
        <v>44649</v>
      </c>
      <c r="C6672" s="1" t="n">
        <v>45810</v>
      </c>
      <c r="D6672" t="inlineStr">
        <is>
          <t>VÄRMLANDS LÄN</t>
        </is>
      </c>
      <c r="E6672" t="inlineStr">
        <is>
          <t>GRUMS</t>
        </is>
      </c>
      <c r="F6672" t="inlineStr">
        <is>
          <t>Bergvik skog väst AB</t>
        </is>
      </c>
      <c r="G6672" t="n">
        <v>11.8</v>
      </c>
      <c r="H6672" t="n">
        <v>0</v>
      </c>
      <c r="I6672" t="n">
        <v>0</v>
      </c>
      <c r="J6672" t="n">
        <v>0</v>
      </c>
      <c r="K6672" t="n">
        <v>0</v>
      </c>
      <c r="L6672" t="n">
        <v>0</v>
      </c>
      <c r="M6672" t="n">
        <v>0</v>
      </c>
      <c r="N6672" t="n">
        <v>0</v>
      </c>
      <c r="O6672" t="n">
        <v>0</v>
      </c>
      <c r="P6672" t="n">
        <v>0</v>
      </c>
      <c r="Q6672" t="n">
        <v>0</v>
      </c>
      <c r="R6672" s="2" t="inlineStr"/>
    </row>
    <row r="6673" ht="15" customHeight="1">
      <c r="A6673" t="inlineStr">
        <is>
          <t>A 13797-2022</t>
        </is>
      </c>
      <c r="B6673" s="1" t="n">
        <v>44649</v>
      </c>
      <c r="C6673" s="1" t="n">
        <v>45810</v>
      </c>
      <c r="D6673" t="inlineStr">
        <is>
          <t>VÄRMLANDS LÄN</t>
        </is>
      </c>
      <c r="E6673" t="inlineStr">
        <is>
          <t>HAGFORS</t>
        </is>
      </c>
      <c r="F6673" t="inlineStr">
        <is>
          <t>Bergvik skog väst AB</t>
        </is>
      </c>
      <c r="G6673" t="n">
        <v>14.1</v>
      </c>
      <c r="H6673" t="n">
        <v>0</v>
      </c>
      <c r="I6673" t="n">
        <v>0</v>
      </c>
      <c r="J6673" t="n">
        <v>0</v>
      </c>
      <c r="K6673" t="n">
        <v>0</v>
      </c>
      <c r="L6673" t="n">
        <v>0</v>
      </c>
      <c r="M6673" t="n">
        <v>0</v>
      </c>
      <c r="N6673" t="n">
        <v>0</v>
      </c>
      <c r="O6673" t="n">
        <v>0</v>
      </c>
      <c r="P6673" t="n">
        <v>0</v>
      </c>
      <c r="Q6673" t="n">
        <v>0</v>
      </c>
      <c r="R6673" s="2" t="inlineStr"/>
    </row>
    <row r="6674" ht="15" customHeight="1">
      <c r="A6674" t="inlineStr">
        <is>
          <t>A 13850-2022</t>
        </is>
      </c>
      <c r="B6674" s="1" t="n">
        <v>44649</v>
      </c>
      <c r="C6674" s="1" t="n">
        <v>45810</v>
      </c>
      <c r="D6674" t="inlineStr">
        <is>
          <t>VÄRMLANDS LÄN</t>
        </is>
      </c>
      <c r="E6674" t="inlineStr">
        <is>
          <t>HAGFORS</t>
        </is>
      </c>
      <c r="F6674" t="inlineStr">
        <is>
          <t>Bergvik skog väst AB</t>
        </is>
      </c>
      <c r="G6674" t="n">
        <v>5.3</v>
      </c>
      <c r="H6674" t="n">
        <v>0</v>
      </c>
      <c r="I6674" t="n">
        <v>0</v>
      </c>
      <c r="J6674" t="n">
        <v>0</v>
      </c>
      <c r="K6674" t="n">
        <v>0</v>
      </c>
      <c r="L6674" t="n">
        <v>0</v>
      </c>
      <c r="M6674" t="n">
        <v>0</v>
      </c>
      <c r="N6674" t="n">
        <v>0</v>
      </c>
      <c r="O6674" t="n">
        <v>0</v>
      </c>
      <c r="P6674" t="n">
        <v>0</v>
      </c>
      <c r="Q6674" t="n">
        <v>0</v>
      </c>
      <c r="R6674" s="2" t="inlineStr"/>
    </row>
    <row r="6675" ht="15" customHeight="1">
      <c r="A6675" t="inlineStr">
        <is>
          <t>A 13864-2022</t>
        </is>
      </c>
      <c r="B6675" s="1" t="n">
        <v>44649</v>
      </c>
      <c r="C6675" s="1" t="n">
        <v>45810</v>
      </c>
      <c r="D6675" t="inlineStr">
        <is>
          <t>VÄRMLANDS LÄN</t>
        </is>
      </c>
      <c r="E6675" t="inlineStr">
        <is>
          <t>KARLSTAD</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13835-2022</t>
        </is>
      </c>
      <c r="B6676" s="1" t="n">
        <v>44649</v>
      </c>
      <c r="C6676" s="1" t="n">
        <v>45810</v>
      </c>
      <c r="D6676" t="inlineStr">
        <is>
          <t>VÄRMLANDS LÄN</t>
        </is>
      </c>
      <c r="E6676" t="inlineStr">
        <is>
          <t>SÄFFLE</t>
        </is>
      </c>
      <c r="G6676" t="n">
        <v>0.5</v>
      </c>
      <c r="H6676" t="n">
        <v>0</v>
      </c>
      <c r="I6676" t="n">
        <v>0</v>
      </c>
      <c r="J6676" t="n">
        <v>0</v>
      </c>
      <c r="K6676" t="n">
        <v>0</v>
      </c>
      <c r="L6676" t="n">
        <v>0</v>
      </c>
      <c r="M6676" t="n">
        <v>0</v>
      </c>
      <c r="N6676" t="n">
        <v>0</v>
      </c>
      <c r="O6676" t="n">
        <v>0</v>
      </c>
      <c r="P6676" t="n">
        <v>0</v>
      </c>
      <c r="Q6676" t="n">
        <v>0</v>
      </c>
      <c r="R6676" s="2" t="inlineStr"/>
    </row>
    <row r="6677" ht="15" customHeight="1">
      <c r="A6677" t="inlineStr">
        <is>
          <t>A 13957-2022</t>
        </is>
      </c>
      <c r="B6677" s="1" t="n">
        <v>44650</v>
      </c>
      <c r="C6677" s="1" t="n">
        <v>45810</v>
      </c>
      <c r="D6677" t="inlineStr">
        <is>
          <t>VÄRMLANDS LÄN</t>
        </is>
      </c>
      <c r="E6677" t="inlineStr">
        <is>
          <t>ÅRJÄNG</t>
        </is>
      </c>
      <c r="G6677" t="n">
        <v>1.1</v>
      </c>
      <c r="H6677" t="n">
        <v>0</v>
      </c>
      <c r="I6677" t="n">
        <v>0</v>
      </c>
      <c r="J6677" t="n">
        <v>0</v>
      </c>
      <c r="K6677" t="n">
        <v>0</v>
      </c>
      <c r="L6677" t="n">
        <v>0</v>
      </c>
      <c r="M6677" t="n">
        <v>0</v>
      </c>
      <c r="N6677" t="n">
        <v>0</v>
      </c>
      <c r="O6677" t="n">
        <v>0</v>
      </c>
      <c r="P6677" t="n">
        <v>0</v>
      </c>
      <c r="Q6677" t="n">
        <v>0</v>
      </c>
      <c r="R6677" s="2" t="inlineStr"/>
    </row>
    <row r="6678" ht="15" customHeight="1">
      <c r="A6678" t="inlineStr">
        <is>
          <t>A 13896-2022</t>
        </is>
      </c>
      <c r="B6678" s="1" t="n">
        <v>44650</v>
      </c>
      <c r="C6678" s="1" t="n">
        <v>45810</v>
      </c>
      <c r="D6678" t="inlineStr">
        <is>
          <t>VÄRMLANDS LÄN</t>
        </is>
      </c>
      <c r="E6678" t="inlineStr">
        <is>
          <t>TORSBY</t>
        </is>
      </c>
      <c r="G6678" t="n">
        <v>3.2</v>
      </c>
      <c r="H6678" t="n">
        <v>0</v>
      </c>
      <c r="I6678" t="n">
        <v>0</v>
      </c>
      <c r="J6678" t="n">
        <v>0</v>
      </c>
      <c r="K6678" t="n">
        <v>0</v>
      </c>
      <c r="L6678" t="n">
        <v>0</v>
      </c>
      <c r="M6678" t="n">
        <v>0</v>
      </c>
      <c r="N6678" t="n">
        <v>0</v>
      </c>
      <c r="O6678" t="n">
        <v>0</v>
      </c>
      <c r="P6678" t="n">
        <v>0</v>
      </c>
      <c r="Q6678" t="n">
        <v>0</v>
      </c>
      <c r="R6678" s="2" t="inlineStr"/>
    </row>
    <row r="6679" ht="15" customHeight="1">
      <c r="A6679" t="inlineStr">
        <is>
          <t>A 13882-2022</t>
        </is>
      </c>
      <c r="B6679" s="1" t="n">
        <v>44650</v>
      </c>
      <c r="C6679" s="1" t="n">
        <v>45810</v>
      </c>
      <c r="D6679" t="inlineStr">
        <is>
          <t>VÄRMLANDS LÄN</t>
        </is>
      </c>
      <c r="E6679" t="inlineStr">
        <is>
          <t>KARLSTAD</t>
        </is>
      </c>
      <c r="F6679" t="inlineStr">
        <is>
          <t>Bergvik skog väst AB</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13999-2022</t>
        </is>
      </c>
      <c r="B6680" s="1" t="n">
        <v>44650</v>
      </c>
      <c r="C6680" s="1" t="n">
        <v>45810</v>
      </c>
      <c r="D6680" t="inlineStr">
        <is>
          <t>VÄRMLANDS LÄN</t>
        </is>
      </c>
      <c r="E6680" t="inlineStr">
        <is>
          <t>KARLSTAD</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14077-2022</t>
        </is>
      </c>
      <c r="B6681" s="1" t="n">
        <v>44651</v>
      </c>
      <c r="C6681" s="1" t="n">
        <v>45810</v>
      </c>
      <c r="D6681" t="inlineStr">
        <is>
          <t>VÄRMLANDS LÄN</t>
        </is>
      </c>
      <c r="E6681" t="inlineStr">
        <is>
          <t>FILIPSTAD</t>
        </is>
      </c>
      <c r="F6681" t="inlineStr">
        <is>
          <t>Bergvik skog väst AB</t>
        </is>
      </c>
      <c r="G6681" t="n">
        <v>18.7</v>
      </c>
      <c r="H6681" t="n">
        <v>0</v>
      </c>
      <c r="I6681" t="n">
        <v>0</v>
      </c>
      <c r="J6681" t="n">
        <v>0</v>
      </c>
      <c r="K6681" t="n">
        <v>0</v>
      </c>
      <c r="L6681" t="n">
        <v>0</v>
      </c>
      <c r="M6681" t="n">
        <v>0</v>
      </c>
      <c r="N6681" t="n">
        <v>0</v>
      </c>
      <c r="O6681" t="n">
        <v>0</v>
      </c>
      <c r="P6681" t="n">
        <v>0</v>
      </c>
      <c r="Q6681" t="n">
        <v>0</v>
      </c>
      <c r="R6681" s="2" t="inlineStr"/>
    </row>
    <row r="6682" ht="15" customHeight="1">
      <c r="A6682" t="inlineStr">
        <is>
          <t>A 14145-2022</t>
        </is>
      </c>
      <c r="B6682" s="1" t="n">
        <v>44651</v>
      </c>
      <c r="C6682" s="1" t="n">
        <v>45810</v>
      </c>
      <c r="D6682" t="inlineStr">
        <is>
          <t>VÄRMLANDS LÄN</t>
        </is>
      </c>
      <c r="E6682" t="inlineStr">
        <is>
          <t>TORSBY</t>
        </is>
      </c>
      <c r="G6682" t="n">
        <v>2</v>
      </c>
      <c r="H6682" t="n">
        <v>0</v>
      </c>
      <c r="I6682" t="n">
        <v>0</v>
      </c>
      <c r="J6682" t="n">
        <v>0</v>
      </c>
      <c r="K6682" t="n">
        <v>0</v>
      </c>
      <c r="L6682" t="n">
        <v>0</v>
      </c>
      <c r="M6682" t="n">
        <v>0</v>
      </c>
      <c r="N6682" t="n">
        <v>0</v>
      </c>
      <c r="O6682" t="n">
        <v>0</v>
      </c>
      <c r="P6682" t="n">
        <v>0</v>
      </c>
      <c r="Q6682" t="n">
        <v>0</v>
      </c>
      <c r="R6682" s="2" t="inlineStr"/>
    </row>
    <row r="6683" ht="15" customHeight="1">
      <c r="A6683" t="inlineStr">
        <is>
          <t>A 14074-2022</t>
        </is>
      </c>
      <c r="B6683" s="1" t="n">
        <v>44651</v>
      </c>
      <c r="C6683" s="1" t="n">
        <v>45810</v>
      </c>
      <c r="D6683" t="inlineStr">
        <is>
          <t>VÄRMLANDS LÄN</t>
        </is>
      </c>
      <c r="E6683" t="inlineStr">
        <is>
          <t>FILIPSTAD</t>
        </is>
      </c>
      <c r="F6683" t="inlineStr">
        <is>
          <t>Bergvik skog väst AB</t>
        </is>
      </c>
      <c r="G6683" t="n">
        <v>1.6</v>
      </c>
      <c r="H6683" t="n">
        <v>0</v>
      </c>
      <c r="I6683" t="n">
        <v>0</v>
      </c>
      <c r="J6683" t="n">
        <v>0</v>
      </c>
      <c r="K6683" t="n">
        <v>0</v>
      </c>
      <c r="L6683" t="n">
        <v>0</v>
      </c>
      <c r="M6683" t="n">
        <v>0</v>
      </c>
      <c r="N6683" t="n">
        <v>0</v>
      </c>
      <c r="O6683" t="n">
        <v>0</v>
      </c>
      <c r="P6683" t="n">
        <v>0</v>
      </c>
      <c r="Q6683" t="n">
        <v>0</v>
      </c>
      <c r="R6683" s="2" t="inlineStr"/>
    </row>
    <row r="6684" ht="15" customHeight="1">
      <c r="A6684" t="inlineStr">
        <is>
          <t>A 14178-2022</t>
        </is>
      </c>
      <c r="B6684" s="1" t="n">
        <v>44651</v>
      </c>
      <c r="C6684" s="1" t="n">
        <v>45810</v>
      </c>
      <c r="D6684" t="inlineStr">
        <is>
          <t>VÄRMLANDS LÄN</t>
        </is>
      </c>
      <c r="E6684" t="inlineStr">
        <is>
          <t>KRISTINEHAMN</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14168-2022</t>
        </is>
      </c>
      <c r="B6685" s="1" t="n">
        <v>44651</v>
      </c>
      <c r="C6685" s="1" t="n">
        <v>45810</v>
      </c>
      <c r="D6685" t="inlineStr">
        <is>
          <t>VÄRMLANDS LÄN</t>
        </is>
      </c>
      <c r="E6685" t="inlineStr">
        <is>
          <t>TORSBY</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14180-2022</t>
        </is>
      </c>
      <c r="B6686" s="1" t="n">
        <v>44651</v>
      </c>
      <c r="C6686" s="1" t="n">
        <v>45810</v>
      </c>
      <c r="D6686" t="inlineStr">
        <is>
          <t>VÄRMLANDS LÄN</t>
        </is>
      </c>
      <c r="E6686" t="inlineStr">
        <is>
          <t>KRISTINEHAMN</t>
        </is>
      </c>
      <c r="G6686" t="n">
        <v>0.4</v>
      </c>
      <c r="H6686" t="n">
        <v>0</v>
      </c>
      <c r="I6686" t="n">
        <v>0</v>
      </c>
      <c r="J6686" t="n">
        <v>0</v>
      </c>
      <c r="K6686" t="n">
        <v>0</v>
      </c>
      <c r="L6686" t="n">
        <v>0</v>
      </c>
      <c r="M6686" t="n">
        <v>0</v>
      </c>
      <c r="N6686" t="n">
        <v>0</v>
      </c>
      <c r="O6686" t="n">
        <v>0</v>
      </c>
      <c r="P6686" t="n">
        <v>0</v>
      </c>
      <c r="Q6686" t="n">
        <v>0</v>
      </c>
      <c r="R6686" s="2" t="inlineStr"/>
    </row>
    <row r="6687" ht="15" customHeight="1">
      <c r="A6687" t="inlineStr">
        <is>
          <t>A 14183-2022</t>
        </is>
      </c>
      <c r="B6687" s="1" t="n">
        <v>44651</v>
      </c>
      <c r="C6687" s="1" t="n">
        <v>45810</v>
      </c>
      <c r="D6687" t="inlineStr">
        <is>
          <t>VÄRMLANDS LÄN</t>
        </is>
      </c>
      <c r="E6687" t="inlineStr">
        <is>
          <t>KRISTINEHAMN</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14401-2022</t>
        </is>
      </c>
      <c r="B6688" s="1" t="n">
        <v>44652</v>
      </c>
      <c r="C6688" s="1" t="n">
        <v>45810</v>
      </c>
      <c r="D6688" t="inlineStr">
        <is>
          <t>VÄRMLANDS LÄN</t>
        </is>
      </c>
      <c r="E6688" t="inlineStr">
        <is>
          <t>KARLSTAD</t>
        </is>
      </c>
      <c r="F6688" t="inlineStr">
        <is>
          <t>Naturvårdsverket</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14320-2022</t>
        </is>
      </c>
      <c r="B6689" s="1" t="n">
        <v>44652</v>
      </c>
      <c r="C6689" s="1" t="n">
        <v>45810</v>
      </c>
      <c r="D6689" t="inlineStr">
        <is>
          <t>VÄRMLANDS LÄN</t>
        </is>
      </c>
      <c r="E6689" t="inlineStr">
        <is>
          <t>TORSBY</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14310-2022</t>
        </is>
      </c>
      <c r="B6690" s="1" t="n">
        <v>44652</v>
      </c>
      <c r="C6690" s="1" t="n">
        <v>45810</v>
      </c>
      <c r="D6690" t="inlineStr">
        <is>
          <t>VÄRMLANDS LÄN</t>
        </is>
      </c>
      <c r="E6690" t="inlineStr">
        <is>
          <t>ÅRJÄNG</t>
        </is>
      </c>
      <c r="G6690" t="n">
        <v>2.5</v>
      </c>
      <c r="H6690" t="n">
        <v>0</v>
      </c>
      <c r="I6690" t="n">
        <v>0</v>
      </c>
      <c r="J6690" t="n">
        <v>0</v>
      </c>
      <c r="K6690" t="n">
        <v>0</v>
      </c>
      <c r="L6690" t="n">
        <v>0</v>
      </c>
      <c r="M6690" t="n">
        <v>0</v>
      </c>
      <c r="N6690" t="n">
        <v>0</v>
      </c>
      <c r="O6690" t="n">
        <v>0</v>
      </c>
      <c r="P6690" t="n">
        <v>0</v>
      </c>
      <c r="Q6690" t="n">
        <v>0</v>
      </c>
      <c r="R6690" s="2" t="inlineStr"/>
    </row>
    <row r="6691" ht="15" customHeight="1">
      <c r="A6691" t="inlineStr">
        <is>
          <t>A 14378-2022</t>
        </is>
      </c>
      <c r="B6691" s="1" t="n">
        <v>44652</v>
      </c>
      <c r="C6691" s="1" t="n">
        <v>45810</v>
      </c>
      <c r="D6691" t="inlineStr">
        <is>
          <t>VÄRMLANDS LÄN</t>
        </is>
      </c>
      <c r="E6691" t="inlineStr">
        <is>
          <t>SUNNE</t>
        </is>
      </c>
      <c r="G6691" t="n">
        <v>3</v>
      </c>
      <c r="H6691" t="n">
        <v>0</v>
      </c>
      <c r="I6691" t="n">
        <v>0</v>
      </c>
      <c r="J6691" t="n">
        <v>0</v>
      </c>
      <c r="K6691" t="n">
        <v>0</v>
      </c>
      <c r="L6691" t="n">
        <v>0</v>
      </c>
      <c r="M6691" t="n">
        <v>0</v>
      </c>
      <c r="N6691" t="n">
        <v>0</v>
      </c>
      <c r="O6691" t="n">
        <v>0</v>
      </c>
      <c r="P6691" t="n">
        <v>0</v>
      </c>
      <c r="Q6691" t="n">
        <v>0</v>
      </c>
      <c r="R6691" s="2" t="inlineStr"/>
    </row>
    <row r="6692" ht="15" customHeight="1">
      <c r="A6692" t="inlineStr">
        <is>
          <t>A 14467-2022</t>
        </is>
      </c>
      <c r="B6692" s="1" t="n">
        <v>44654</v>
      </c>
      <c r="C6692" s="1" t="n">
        <v>45810</v>
      </c>
      <c r="D6692" t="inlineStr">
        <is>
          <t>VÄRMLANDS LÄN</t>
        </is>
      </c>
      <c r="E6692" t="inlineStr">
        <is>
          <t>KARLSTAD</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14507-2022</t>
        </is>
      </c>
      <c r="B6693" s="1" t="n">
        <v>44655</v>
      </c>
      <c r="C6693" s="1" t="n">
        <v>45810</v>
      </c>
      <c r="D6693" t="inlineStr">
        <is>
          <t>VÄRMLANDS LÄN</t>
        </is>
      </c>
      <c r="E6693" t="inlineStr">
        <is>
          <t>ÅRJÄNG</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14560-2022</t>
        </is>
      </c>
      <c r="B6694" s="1" t="n">
        <v>44655</v>
      </c>
      <c r="C6694" s="1" t="n">
        <v>45810</v>
      </c>
      <c r="D6694" t="inlineStr">
        <is>
          <t>VÄRMLANDS LÄN</t>
        </is>
      </c>
      <c r="E6694" t="inlineStr">
        <is>
          <t>EDA</t>
        </is>
      </c>
      <c r="F6694" t="inlineStr">
        <is>
          <t>Kommuner</t>
        </is>
      </c>
      <c r="G6694" t="n">
        <v>2.7</v>
      </c>
      <c r="H6694" t="n">
        <v>0</v>
      </c>
      <c r="I6694" t="n">
        <v>0</v>
      </c>
      <c r="J6694" t="n">
        <v>0</v>
      </c>
      <c r="K6694" t="n">
        <v>0</v>
      </c>
      <c r="L6694" t="n">
        <v>0</v>
      </c>
      <c r="M6694" t="n">
        <v>0</v>
      </c>
      <c r="N6694" t="n">
        <v>0</v>
      </c>
      <c r="O6694" t="n">
        <v>0</v>
      </c>
      <c r="P6694" t="n">
        <v>0</v>
      </c>
      <c r="Q6694" t="n">
        <v>0</v>
      </c>
      <c r="R6694" s="2" t="inlineStr"/>
    </row>
    <row r="6695" ht="15" customHeight="1">
      <c r="A6695" t="inlineStr">
        <is>
          <t>A 14582-2022</t>
        </is>
      </c>
      <c r="B6695" s="1" t="n">
        <v>44655</v>
      </c>
      <c r="C6695" s="1" t="n">
        <v>45810</v>
      </c>
      <c r="D6695" t="inlineStr">
        <is>
          <t>VÄRMLANDS LÄN</t>
        </is>
      </c>
      <c r="E6695" t="inlineStr">
        <is>
          <t>FILIPSTAD</t>
        </is>
      </c>
      <c r="F6695" t="inlineStr">
        <is>
          <t>Bergvik skog väst AB</t>
        </is>
      </c>
      <c r="G6695" t="n">
        <v>4</v>
      </c>
      <c r="H6695" t="n">
        <v>0</v>
      </c>
      <c r="I6695" t="n">
        <v>0</v>
      </c>
      <c r="J6695" t="n">
        <v>0</v>
      </c>
      <c r="K6695" t="n">
        <v>0</v>
      </c>
      <c r="L6695" t="n">
        <v>0</v>
      </c>
      <c r="M6695" t="n">
        <v>0</v>
      </c>
      <c r="N6695" t="n">
        <v>0</v>
      </c>
      <c r="O6695" t="n">
        <v>0</v>
      </c>
      <c r="P6695" t="n">
        <v>0</v>
      </c>
      <c r="Q6695" t="n">
        <v>0</v>
      </c>
      <c r="R6695" s="2" t="inlineStr"/>
    </row>
    <row r="6696" ht="15" customHeight="1">
      <c r="A6696" t="inlineStr">
        <is>
          <t>A 14615-2022</t>
        </is>
      </c>
      <c r="B6696" s="1" t="n">
        <v>44655</v>
      </c>
      <c r="C6696" s="1" t="n">
        <v>45810</v>
      </c>
      <c r="D6696" t="inlineStr">
        <is>
          <t>VÄRMLANDS LÄN</t>
        </is>
      </c>
      <c r="E6696" t="inlineStr">
        <is>
          <t>ARVIKA</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14635-2022</t>
        </is>
      </c>
      <c r="B6697" s="1" t="n">
        <v>44655</v>
      </c>
      <c r="C6697" s="1" t="n">
        <v>45810</v>
      </c>
      <c r="D6697" t="inlineStr">
        <is>
          <t>VÄRMLANDS LÄN</t>
        </is>
      </c>
      <c r="E6697" t="inlineStr">
        <is>
          <t>SÄFFLE</t>
        </is>
      </c>
      <c r="F6697" t="inlineStr">
        <is>
          <t>Bergvik skog väst AB</t>
        </is>
      </c>
      <c r="G6697" t="n">
        <v>3.7</v>
      </c>
      <c r="H6697" t="n">
        <v>0</v>
      </c>
      <c r="I6697" t="n">
        <v>0</v>
      </c>
      <c r="J6697" t="n">
        <v>0</v>
      </c>
      <c r="K6697" t="n">
        <v>0</v>
      </c>
      <c r="L6697" t="n">
        <v>0</v>
      </c>
      <c r="M6697" t="n">
        <v>0</v>
      </c>
      <c r="N6697" t="n">
        <v>0</v>
      </c>
      <c r="O6697" t="n">
        <v>0</v>
      </c>
      <c r="P6697" t="n">
        <v>0</v>
      </c>
      <c r="Q6697" t="n">
        <v>0</v>
      </c>
      <c r="R6697" s="2" t="inlineStr"/>
    </row>
    <row r="6698" ht="15" customHeight="1">
      <c r="A6698" t="inlineStr">
        <is>
          <t>A 14481-2022</t>
        </is>
      </c>
      <c r="B6698" s="1" t="n">
        <v>44655</v>
      </c>
      <c r="C6698" s="1" t="n">
        <v>45810</v>
      </c>
      <c r="D6698" t="inlineStr">
        <is>
          <t>VÄRMLANDS LÄN</t>
        </is>
      </c>
      <c r="E6698" t="inlineStr">
        <is>
          <t>SUNNE</t>
        </is>
      </c>
      <c r="G6698" t="n">
        <v>7.7</v>
      </c>
      <c r="H6698" t="n">
        <v>0</v>
      </c>
      <c r="I6698" t="n">
        <v>0</v>
      </c>
      <c r="J6698" t="n">
        <v>0</v>
      </c>
      <c r="K6698" t="n">
        <v>0</v>
      </c>
      <c r="L6698" t="n">
        <v>0</v>
      </c>
      <c r="M6698" t="n">
        <v>0</v>
      </c>
      <c r="N6698" t="n">
        <v>0</v>
      </c>
      <c r="O6698" t="n">
        <v>0</v>
      </c>
      <c r="P6698" t="n">
        <v>0</v>
      </c>
      <c r="Q6698" t="n">
        <v>0</v>
      </c>
      <c r="R6698" s="2" t="inlineStr"/>
    </row>
    <row r="6699" ht="15" customHeight="1">
      <c r="A6699" t="inlineStr">
        <is>
          <t>A 14509-2022</t>
        </is>
      </c>
      <c r="B6699" s="1" t="n">
        <v>44655</v>
      </c>
      <c r="C6699" s="1" t="n">
        <v>45810</v>
      </c>
      <c r="D6699" t="inlineStr">
        <is>
          <t>VÄRMLANDS LÄN</t>
        </is>
      </c>
      <c r="E6699" t="inlineStr">
        <is>
          <t>ÅRJÄNG</t>
        </is>
      </c>
      <c r="G6699" t="n">
        <v>0.2</v>
      </c>
      <c r="H6699" t="n">
        <v>0</v>
      </c>
      <c r="I6699" t="n">
        <v>0</v>
      </c>
      <c r="J6699" t="n">
        <v>0</v>
      </c>
      <c r="K6699" t="n">
        <v>0</v>
      </c>
      <c r="L6699" t="n">
        <v>0</v>
      </c>
      <c r="M6699" t="n">
        <v>0</v>
      </c>
      <c r="N6699" t="n">
        <v>0</v>
      </c>
      <c r="O6699" t="n">
        <v>0</v>
      </c>
      <c r="P6699" t="n">
        <v>0</v>
      </c>
      <c r="Q6699" t="n">
        <v>0</v>
      </c>
      <c r="R6699" s="2" t="inlineStr"/>
    </row>
    <row r="6700" ht="15" customHeight="1">
      <c r="A6700" t="inlineStr">
        <is>
          <t>A 14613-2022</t>
        </is>
      </c>
      <c r="B6700" s="1" t="n">
        <v>44655</v>
      </c>
      <c r="C6700" s="1" t="n">
        <v>45810</v>
      </c>
      <c r="D6700" t="inlineStr">
        <is>
          <t>VÄRMLANDS LÄN</t>
        </is>
      </c>
      <c r="E6700" t="inlineStr">
        <is>
          <t>MUNKFORS</t>
        </is>
      </c>
      <c r="F6700" t="inlineStr">
        <is>
          <t>Bergvik skog väst AB</t>
        </is>
      </c>
      <c r="G6700" t="n">
        <v>21.3</v>
      </c>
      <c r="H6700" t="n">
        <v>0</v>
      </c>
      <c r="I6700" t="n">
        <v>0</v>
      </c>
      <c r="J6700" t="n">
        <v>0</v>
      </c>
      <c r="K6700" t="n">
        <v>0</v>
      </c>
      <c r="L6700" t="n">
        <v>0</v>
      </c>
      <c r="M6700" t="n">
        <v>0</v>
      </c>
      <c r="N6700" t="n">
        <v>0</v>
      </c>
      <c r="O6700" t="n">
        <v>0</v>
      </c>
      <c r="P6700" t="n">
        <v>0</v>
      </c>
      <c r="Q6700" t="n">
        <v>0</v>
      </c>
      <c r="R6700" s="2" t="inlineStr"/>
    </row>
    <row r="6701" ht="15" customHeight="1">
      <c r="A6701" t="inlineStr">
        <is>
          <t>A 14660-2022</t>
        </is>
      </c>
      <c r="B6701" s="1" t="n">
        <v>44655</v>
      </c>
      <c r="C6701" s="1" t="n">
        <v>45810</v>
      </c>
      <c r="D6701" t="inlineStr">
        <is>
          <t>VÄRMLANDS LÄN</t>
        </is>
      </c>
      <c r="E6701" t="inlineStr">
        <is>
          <t>SUNNE</t>
        </is>
      </c>
      <c r="G6701" t="n">
        <v>3.4</v>
      </c>
      <c r="H6701" t="n">
        <v>0</v>
      </c>
      <c r="I6701" t="n">
        <v>0</v>
      </c>
      <c r="J6701" t="n">
        <v>0</v>
      </c>
      <c r="K6701" t="n">
        <v>0</v>
      </c>
      <c r="L6701" t="n">
        <v>0</v>
      </c>
      <c r="M6701" t="n">
        <v>0</v>
      </c>
      <c r="N6701" t="n">
        <v>0</v>
      </c>
      <c r="O6701" t="n">
        <v>0</v>
      </c>
      <c r="P6701" t="n">
        <v>0</v>
      </c>
      <c r="Q6701" t="n">
        <v>0</v>
      </c>
      <c r="R6701" s="2" t="inlineStr"/>
    </row>
    <row r="6702" ht="15" customHeight="1">
      <c r="A6702" t="inlineStr">
        <is>
          <t>A 14649-2022</t>
        </is>
      </c>
      <c r="B6702" s="1" t="n">
        <v>44655</v>
      </c>
      <c r="C6702" s="1" t="n">
        <v>45810</v>
      </c>
      <c r="D6702" t="inlineStr">
        <is>
          <t>VÄRMLANDS LÄN</t>
        </is>
      </c>
      <c r="E6702" t="inlineStr">
        <is>
          <t>ARVIKA</t>
        </is>
      </c>
      <c r="F6702" t="inlineStr">
        <is>
          <t>Kommuner</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14729-2022</t>
        </is>
      </c>
      <c r="B6703" s="1" t="n">
        <v>44655</v>
      </c>
      <c r="C6703" s="1" t="n">
        <v>45810</v>
      </c>
      <c r="D6703" t="inlineStr">
        <is>
          <t>VÄRMLANDS LÄN</t>
        </is>
      </c>
      <c r="E6703" t="inlineStr">
        <is>
          <t>KIL</t>
        </is>
      </c>
      <c r="G6703" t="n">
        <v>2.6</v>
      </c>
      <c r="H6703" t="n">
        <v>0</v>
      </c>
      <c r="I6703" t="n">
        <v>0</v>
      </c>
      <c r="J6703" t="n">
        <v>0</v>
      </c>
      <c r="K6703" t="n">
        <v>0</v>
      </c>
      <c r="L6703" t="n">
        <v>0</v>
      </c>
      <c r="M6703" t="n">
        <v>0</v>
      </c>
      <c r="N6703" t="n">
        <v>0</v>
      </c>
      <c r="O6703" t="n">
        <v>0</v>
      </c>
      <c r="P6703" t="n">
        <v>0</v>
      </c>
      <c r="Q6703" t="n">
        <v>0</v>
      </c>
      <c r="R6703" s="2" t="inlineStr"/>
    </row>
    <row r="6704" ht="15" customHeight="1">
      <c r="A6704" t="inlineStr">
        <is>
          <t>A 14732-2022</t>
        </is>
      </c>
      <c r="B6704" s="1" t="n">
        <v>44655</v>
      </c>
      <c r="C6704" s="1" t="n">
        <v>45810</v>
      </c>
      <c r="D6704" t="inlineStr">
        <is>
          <t>VÄRMLANDS LÄN</t>
        </is>
      </c>
      <c r="E6704" t="inlineStr">
        <is>
          <t>KIL</t>
        </is>
      </c>
      <c r="G6704" t="n">
        <v>3.3</v>
      </c>
      <c r="H6704" t="n">
        <v>0</v>
      </c>
      <c r="I6704" t="n">
        <v>0</v>
      </c>
      <c r="J6704" t="n">
        <v>0</v>
      </c>
      <c r="K6704" t="n">
        <v>0</v>
      </c>
      <c r="L6704" t="n">
        <v>0</v>
      </c>
      <c r="M6704" t="n">
        <v>0</v>
      </c>
      <c r="N6704" t="n">
        <v>0</v>
      </c>
      <c r="O6704" t="n">
        <v>0</v>
      </c>
      <c r="P6704" t="n">
        <v>0</v>
      </c>
      <c r="Q6704" t="n">
        <v>0</v>
      </c>
      <c r="R6704" s="2" t="inlineStr"/>
    </row>
    <row r="6705" ht="15" customHeight="1">
      <c r="A6705" t="inlineStr">
        <is>
          <t>A 14802-2022</t>
        </is>
      </c>
      <c r="B6705" s="1" t="n">
        <v>44656</v>
      </c>
      <c r="C6705" s="1" t="n">
        <v>45810</v>
      </c>
      <c r="D6705" t="inlineStr">
        <is>
          <t>VÄRMLANDS LÄN</t>
        </is>
      </c>
      <c r="E6705" t="inlineStr">
        <is>
          <t>KRISTINEHAMN</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14835-2022</t>
        </is>
      </c>
      <c r="B6706" s="1" t="n">
        <v>44656</v>
      </c>
      <c r="C6706" s="1" t="n">
        <v>45810</v>
      </c>
      <c r="D6706" t="inlineStr">
        <is>
          <t>VÄRMLANDS LÄN</t>
        </is>
      </c>
      <c r="E6706" t="inlineStr">
        <is>
          <t>SUNNE</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14772-2022</t>
        </is>
      </c>
      <c r="B6707" s="1" t="n">
        <v>44656</v>
      </c>
      <c r="C6707" s="1" t="n">
        <v>45810</v>
      </c>
      <c r="D6707" t="inlineStr">
        <is>
          <t>VÄRMLANDS LÄN</t>
        </is>
      </c>
      <c r="E6707" t="inlineStr">
        <is>
          <t>KRISTINEHAMN</t>
        </is>
      </c>
      <c r="G6707" t="n">
        <v>4.3</v>
      </c>
      <c r="H6707" t="n">
        <v>0</v>
      </c>
      <c r="I6707" t="n">
        <v>0</v>
      </c>
      <c r="J6707" t="n">
        <v>0</v>
      </c>
      <c r="K6707" t="n">
        <v>0</v>
      </c>
      <c r="L6707" t="n">
        <v>0</v>
      </c>
      <c r="M6707" t="n">
        <v>0</v>
      </c>
      <c r="N6707" t="n">
        <v>0</v>
      </c>
      <c r="O6707" t="n">
        <v>0</v>
      </c>
      <c r="P6707" t="n">
        <v>0</v>
      </c>
      <c r="Q6707" t="n">
        <v>0</v>
      </c>
      <c r="R6707" s="2" t="inlineStr"/>
    </row>
    <row r="6708" ht="15" customHeight="1">
      <c r="A6708" t="inlineStr">
        <is>
          <t>A 14798-2022</t>
        </is>
      </c>
      <c r="B6708" s="1" t="n">
        <v>44656</v>
      </c>
      <c r="C6708" s="1" t="n">
        <v>45810</v>
      </c>
      <c r="D6708" t="inlineStr">
        <is>
          <t>VÄRMLANDS LÄN</t>
        </is>
      </c>
      <c r="E6708" t="inlineStr">
        <is>
          <t>SÄFFLE</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14829-2022</t>
        </is>
      </c>
      <c r="B6709" s="1" t="n">
        <v>44656</v>
      </c>
      <c r="C6709" s="1" t="n">
        <v>45810</v>
      </c>
      <c r="D6709" t="inlineStr">
        <is>
          <t>VÄRMLANDS LÄN</t>
        </is>
      </c>
      <c r="E6709" t="inlineStr">
        <is>
          <t>ARVIKA</t>
        </is>
      </c>
      <c r="G6709" t="n">
        <v>4</v>
      </c>
      <c r="H6709" t="n">
        <v>0</v>
      </c>
      <c r="I6709" t="n">
        <v>0</v>
      </c>
      <c r="J6709" t="n">
        <v>0</v>
      </c>
      <c r="K6709" t="n">
        <v>0</v>
      </c>
      <c r="L6709" t="n">
        <v>0</v>
      </c>
      <c r="M6709" t="n">
        <v>0</v>
      </c>
      <c r="N6709" t="n">
        <v>0</v>
      </c>
      <c r="O6709" t="n">
        <v>0</v>
      </c>
      <c r="P6709" t="n">
        <v>0</v>
      </c>
      <c r="Q6709" t="n">
        <v>0</v>
      </c>
      <c r="R6709" s="2" t="inlineStr"/>
    </row>
    <row r="6710" ht="15" customHeight="1">
      <c r="A6710" t="inlineStr">
        <is>
          <t>A 14854-2022</t>
        </is>
      </c>
      <c r="B6710" s="1" t="n">
        <v>44656</v>
      </c>
      <c r="C6710" s="1" t="n">
        <v>45810</v>
      </c>
      <c r="D6710" t="inlineStr">
        <is>
          <t>VÄRMLANDS LÄN</t>
        </is>
      </c>
      <c r="E6710" t="inlineStr">
        <is>
          <t>KARLSTAD</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14851-2022</t>
        </is>
      </c>
      <c r="B6711" s="1" t="n">
        <v>44656</v>
      </c>
      <c r="C6711" s="1" t="n">
        <v>45810</v>
      </c>
      <c r="D6711" t="inlineStr">
        <is>
          <t>VÄRMLANDS LÄN</t>
        </is>
      </c>
      <c r="E6711" t="inlineStr">
        <is>
          <t>EDA</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14916-2022</t>
        </is>
      </c>
      <c r="B6712" s="1" t="n">
        <v>44657</v>
      </c>
      <c r="C6712" s="1" t="n">
        <v>45810</v>
      </c>
      <c r="D6712" t="inlineStr">
        <is>
          <t>VÄRMLANDS LÄN</t>
        </is>
      </c>
      <c r="E6712" t="inlineStr">
        <is>
          <t>KARLSTAD</t>
        </is>
      </c>
      <c r="G6712" t="n">
        <v>8</v>
      </c>
      <c r="H6712" t="n">
        <v>0</v>
      </c>
      <c r="I6712" t="n">
        <v>0</v>
      </c>
      <c r="J6712" t="n">
        <v>0</v>
      </c>
      <c r="K6712" t="n">
        <v>0</v>
      </c>
      <c r="L6712" t="n">
        <v>0</v>
      </c>
      <c r="M6712" t="n">
        <v>0</v>
      </c>
      <c r="N6712" t="n">
        <v>0</v>
      </c>
      <c r="O6712" t="n">
        <v>0</v>
      </c>
      <c r="P6712" t="n">
        <v>0</v>
      </c>
      <c r="Q6712" t="n">
        <v>0</v>
      </c>
      <c r="R6712" s="2" t="inlineStr"/>
    </row>
    <row r="6713" ht="15" customHeight="1">
      <c r="A6713" t="inlineStr">
        <is>
          <t>A 14987-2022</t>
        </is>
      </c>
      <c r="B6713" s="1" t="n">
        <v>44657</v>
      </c>
      <c r="C6713" s="1" t="n">
        <v>45810</v>
      </c>
      <c r="D6713" t="inlineStr">
        <is>
          <t>VÄRMLANDS LÄN</t>
        </is>
      </c>
      <c r="E6713" t="inlineStr">
        <is>
          <t>SUNNE</t>
        </is>
      </c>
      <c r="F6713" t="inlineStr">
        <is>
          <t>Bergvik skog väst AB</t>
        </is>
      </c>
      <c r="G6713" t="n">
        <v>8.4</v>
      </c>
      <c r="H6713" t="n">
        <v>0</v>
      </c>
      <c r="I6713" t="n">
        <v>0</v>
      </c>
      <c r="J6713" t="n">
        <v>0</v>
      </c>
      <c r="K6713" t="n">
        <v>0</v>
      </c>
      <c r="L6713" t="n">
        <v>0</v>
      </c>
      <c r="M6713" t="n">
        <v>0</v>
      </c>
      <c r="N6713" t="n">
        <v>0</v>
      </c>
      <c r="O6713" t="n">
        <v>0</v>
      </c>
      <c r="P6713" t="n">
        <v>0</v>
      </c>
      <c r="Q6713" t="n">
        <v>0</v>
      </c>
      <c r="R6713" s="2" t="inlineStr"/>
    </row>
    <row r="6714" ht="15" customHeight="1">
      <c r="A6714" t="inlineStr">
        <is>
          <t>A 15036-2022</t>
        </is>
      </c>
      <c r="B6714" s="1" t="n">
        <v>44657</v>
      </c>
      <c r="C6714" s="1" t="n">
        <v>45810</v>
      </c>
      <c r="D6714" t="inlineStr">
        <is>
          <t>VÄRMLANDS LÄN</t>
        </is>
      </c>
      <c r="E6714" t="inlineStr">
        <is>
          <t>SUNNE</t>
        </is>
      </c>
      <c r="F6714" t="inlineStr">
        <is>
          <t>Bergvik skog väst AB</t>
        </is>
      </c>
      <c r="G6714" t="n">
        <v>5.2</v>
      </c>
      <c r="H6714" t="n">
        <v>0</v>
      </c>
      <c r="I6714" t="n">
        <v>0</v>
      </c>
      <c r="J6714" t="n">
        <v>0</v>
      </c>
      <c r="K6714" t="n">
        <v>0</v>
      </c>
      <c r="L6714" t="n">
        <v>0</v>
      </c>
      <c r="M6714" t="n">
        <v>0</v>
      </c>
      <c r="N6714" t="n">
        <v>0</v>
      </c>
      <c r="O6714" t="n">
        <v>0</v>
      </c>
      <c r="P6714" t="n">
        <v>0</v>
      </c>
      <c r="Q6714" t="n">
        <v>0</v>
      </c>
      <c r="R6714" s="2" t="inlineStr"/>
    </row>
    <row r="6715" ht="15" customHeight="1">
      <c r="A6715" t="inlineStr">
        <is>
          <t>A 15029-2022</t>
        </is>
      </c>
      <c r="B6715" s="1" t="n">
        <v>44657</v>
      </c>
      <c r="C6715" s="1" t="n">
        <v>45810</v>
      </c>
      <c r="D6715" t="inlineStr">
        <is>
          <t>VÄRMLANDS LÄN</t>
        </is>
      </c>
      <c r="E6715" t="inlineStr">
        <is>
          <t>SUNNE</t>
        </is>
      </c>
      <c r="F6715" t="inlineStr">
        <is>
          <t>Bergvik skog väst AB</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15039-2022</t>
        </is>
      </c>
      <c r="B6716" s="1" t="n">
        <v>44657</v>
      </c>
      <c r="C6716" s="1" t="n">
        <v>45810</v>
      </c>
      <c r="D6716" t="inlineStr">
        <is>
          <t>VÄRMLANDS LÄN</t>
        </is>
      </c>
      <c r="E6716" t="inlineStr">
        <is>
          <t>KIL</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15095-2022</t>
        </is>
      </c>
      <c r="B6717" s="1" t="n">
        <v>44657</v>
      </c>
      <c r="C6717" s="1" t="n">
        <v>45810</v>
      </c>
      <c r="D6717" t="inlineStr">
        <is>
          <t>VÄRMLANDS LÄN</t>
        </is>
      </c>
      <c r="E6717" t="inlineStr">
        <is>
          <t>KRISTINEHAMN</t>
        </is>
      </c>
      <c r="G6717" t="n">
        <v>1.7</v>
      </c>
      <c r="H6717" t="n">
        <v>0</v>
      </c>
      <c r="I6717" t="n">
        <v>0</v>
      </c>
      <c r="J6717" t="n">
        <v>0</v>
      </c>
      <c r="K6717" t="n">
        <v>0</v>
      </c>
      <c r="L6717" t="n">
        <v>0</v>
      </c>
      <c r="M6717" t="n">
        <v>0</v>
      </c>
      <c r="N6717" t="n">
        <v>0</v>
      </c>
      <c r="O6717" t="n">
        <v>0</v>
      </c>
      <c r="P6717" t="n">
        <v>0</v>
      </c>
      <c r="Q6717" t="n">
        <v>0</v>
      </c>
      <c r="R6717" s="2" t="inlineStr"/>
    </row>
    <row r="6718" ht="15" customHeight="1">
      <c r="A6718" t="inlineStr">
        <is>
          <t>A 15096-2022</t>
        </is>
      </c>
      <c r="B6718" s="1" t="n">
        <v>44657</v>
      </c>
      <c r="C6718" s="1" t="n">
        <v>45810</v>
      </c>
      <c r="D6718" t="inlineStr">
        <is>
          <t>VÄRMLANDS LÄN</t>
        </is>
      </c>
      <c r="E6718" t="inlineStr">
        <is>
          <t>KRISTINEHAMN</t>
        </is>
      </c>
      <c r="G6718" t="n">
        <v>3.5</v>
      </c>
      <c r="H6718" t="n">
        <v>0</v>
      </c>
      <c r="I6718" t="n">
        <v>0</v>
      </c>
      <c r="J6718" t="n">
        <v>0</v>
      </c>
      <c r="K6718" t="n">
        <v>0</v>
      </c>
      <c r="L6718" t="n">
        <v>0</v>
      </c>
      <c r="M6718" t="n">
        <v>0</v>
      </c>
      <c r="N6718" t="n">
        <v>0</v>
      </c>
      <c r="O6718" t="n">
        <v>0</v>
      </c>
      <c r="P6718" t="n">
        <v>0</v>
      </c>
      <c r="Q6718" t="n">
        <v>0</v>
      </c>
      <c r="R6718" s="2" t="inlineStr"/>
    </row>
    <row r="6719" ht="15" customHeight="1">
      <c r="A6719" t="inlineStr">
        <is>
          <t>A 15152-2022</t>
        </is>
      </c>
      <c r="B6719" s="1" t="n">
        <v>44658</v>
      </c>
      <c r="C6719" s="1" t="n">
        <v>45810</v>
      </c>
      <c r="D6719" t="inlineStr">
        <is>
          <t>VÄRMLANDS LÄN</t>
        </is>
      </c>
      <c r="E6719" t="inlineStr">
        <is>
          <t>STORFORS</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15170-2022</t>
        </is>
      </c>
      <c r="B6720" s="1" t="n">
        <v>44658</v>
      </c>
      <c r="C6720" s="1" t="n">
        <v>45810</v>
      </c>
      <c r="D6720" t="inlineStr">
        <is>
          <t>VÄRMLANDS LÄN</t>
        </is>
      </c>
      <c r="E6720" t="inlineStr">
        <is>
          <t>SUNNE</t>
        </is>
      </c>
      <c r="G6720" t="n">
        <v>3.7</v>
      </c>
      <c r="H6720" t="n">
        <v>0</v>
      </c>
      <c r="I6720" t="n">
        <v>0</v>
      </c>
      <c r="J6720" t="n">
        <v>0</v>
      </c>
      <c r="K6720" t="n">
        <v>0</v>
      </c>
      <c r="L6720" t="n">
        <v>0</v>
      </c>
      <c r="M6720" t="n">
        <v>0</v>
      </c>
      <c r="N6720" t="n">
        <v>0</v>
      </c>
      <c r="O6720" t="n">
        <v>0</v>
      </c>
      <c r="P6720" t="n">
        <v>0</v>
      </c>
      <c r="Q6720" t="n">
        <v>0</v>
      </c>
      <c r="R6720" s="2" t="inlineStr"/>
    </row>
    <row r="6721" ht="15" customHeight="1">
      <c r="A6721" t="inlineStr">
        <is>
          <t>A 15185-2022</t>
        </is>
      </c>
      <c r="B6721" s="1" t="n">
        <v>44658</v>
      </c>
      <c r="C6721" s="1" t="n">
        <v>45810</v>
      </c>
      <c r="D6721" t="inlineStr">
        <is>
          <t>VÄRMLANDS LÄN</t>
        </is>
      </c>
      <c r="E6721" t="inlineStr">
        <is>
          <t>SÄFFLE</t>
        </is>
      </c>
      <c r="F6721" t="inlineStr">
        <is>
          <t>Bergvik skog väst AB</t>
        </is>
      </c>
      <c r="G6721" t="n">
        <v>2.5</v>
      </c>
      <c r="H6721" t="n">
        <v>0</v>
      </c>
      <c r="I6721" t="n">
        <v>0</v>
      </c>
      <c r="J6721" t="n">
        <v>0</v>
      </c>
      <c r="K6721" t="n">
        <v>0</v>
      </c>
      <c r="L6721" t="n">
        <v>0</v>
      </c>
      <c r="M6721" t="n">
        <v>0</v>
      </c>
      <c r="N6721" t="n">
        <v>0</v>
      </c>
      <c r="O6721" t="n">
        <v>0</v>
      </c>
      <c r="P6721" t="n">
        <v>0</v>
      </c>
      <c r="Q6721" t="n">
        <v>0</v>
      </c>
      <c r="R6721" s="2" t="inlineStr"/>
    </row>
    <row r="6722" ht="15" customHeight="1">
      <c r="A6722" t="inlineStr">
        <is>
          <t>A 15172-2022</t>
        </is>
      </c>
      <c r="B6722" s="1" t="n">
        <v>44658</v>
      </c>
      <c r="C6722" s="1" t="n">
        <v>45810</v>
      </c>
      <c r="D6722" t="inlineStr">
        <is>
          <t>VÄRMLANDS LÄN</t>
        </is>
      </c>
      <c r="E6722" t="inlineStr">
        <is>
          <t>SUNNE</t>
        </is>
      </c>
      <c r="G6722" t="n">
        <v>2</v>
      </c>
      <c r="H6722" t="n">
        <v>0</v>
      </c>
      <c r="I6722" t="n">
        <v>0</v>
      </c>
      <c r="J6722" t="n">
        <v>0</v>
      </c>
      <c r="K6722" t="n">
        <v>0</v>
      </c>
      <c r="L6722" t="n">
        <v>0</v>
      </c>
      <c r="M6722" t="n">
        <v>0</v>
      </c>
      <c r="N6722" t="n">
        <v>0</v>
      </c>
      <c r="O6722" t="n">
        <v>0</v>
      </c>
      <c r="P6722" t="n">
        <v>0</v>
      </c>
      <c r="Q6722" t="n">
        <v>0</v>
      </c>
      <c r="R6722" s="2" t="inlineStr"/>
    </row>
    <row r="6723" ht="15" customHeight="1">
      <c r="A6723" t="inlineStr">
        <is>
          <t>A 15189-2022</t>
        </is>
      </c>
      <c r="B6723" s="1" t="n">
        <v>44658</v>
      </c>
      <c r="C6723" s="1" t="n">
        <v>45810</v>
      </c>
      <c r="D6723" t="inlineStr">
        <is>
          <t>VÄRMLANDS LÄN</t>
        </is>
      </c>
      <c r="E6723" t="inlineStr">
        <is>
          <t>SÄFFLE</t>
        </is>
      </c>
      <c r="F6723" t="inlineStr">
        <is>
          <t>Bergvik skog väst AB</t>
        </is>
      </c>
      <c r="G6723" t="n">
        <v>5.2</v>
      </c>
      <c r="H6723" t="n">
        <v>0</v>
      </c>
      <c r="I6723" t="n">
        <v>0</v>
      </c>
      <c r="J6723" t="n">
        <v>0</v>
      </c>
      <c r="K6723" t="n">
        <v>0</v>
      </c>
      <c r="L6723" t="n">
        <v>0</v>
      </c>
      <c r="M6723" t="n">
        <v>0</v>
      </c>
      <c r="N6723" t="n">
        <v>0</v>
      </c>
      <c r="O6723" t="n">
        <v>0</v>
      </c>
      <c r="P6723" t="n">
        <v>0</v>
      </c>
      <c r="Q6723" t="n">
        <v>0</v>
      </c>
      <c r="R6723" s="2" t="inlineStr"/>
    </row>
    <row r="6724" ht="15" customHeight="1">
      <c r="A6724" t="inlineStr">
        <is>
          <t>A 15255-2022</t>
        </is>
      </c>
      <c r="B6724" s="1" t="n">
        <v>44659</v>
      </c>
      <c r="C6724" s="1" t="n">
        <v>45810</v>
      </c>
      <c r="D6724" t="inlineStr">
        <is>
          <t>VÄRMLANDS LÄN</t>
        </is>
      </c>
      <c r="E6724" t="inlineStr">
        <is>
          <t>SUNNE</t>
        </is>
      </c>
      <c r="G6724" t="n">
        <v>16.4</v>
      </c>
      <c r="H6724" t="n">
        <v>0</v>
      </c>
      <c r="I6724" t="n">
        <v>0</v>
      </c>
      <c r="J6724" t="n">
        <v>0</v>
      </c>
      <c r="K6724" t="n">
        <v>0</v>
      </c>
      <c r="L6724" t="n">
        <v>0</v>
      </c>
      <c r="M6724" t="n">
        <v>0</v>
      </c>
      <c r="N6724" t="n">
        <v>0</v>
      </c>
      <c r="O6724" t="n">
        <v>0</v>
      </c>
      <c r="P6724" t="n">
        <v>0</v>
      </c>
      <c r="Q6724" t="n">
        <v>0</v>
      </c>
      <c r="R6724" s="2" t="inlineStr"/>
    </row>
    <row r="6725" ht="15" customHeight="1">
      <c r="A6725" t="inlineStr">
        <is>
          <t>A 15260-2022</t>
        </is>
      </c>
      <c r="B6725" s="1" t="n">
        <v>44659</v>
      </c>
      <c r="C6725" s="1" t="n">
        <v>45810</v>
      </c>
      <c r="D6725" t="inlineStr">
        <is>
          <t>VÄRMLANDS LÄN</t>
        </is>
      </c>
      <c r="E6725" t="inlineStr">
        <is>
          <t>SÄFFLE</t>
        </is>
      </c>
      <c r="F6725" t="inlineStr">
        <is>
          <t>Bergvik skog väst AB</t>
        </is>
      </c>
      <c r="G6725" t="n">
        <v>4.2</v>
      </c>
      <c r="H6725" t="n">
        <v>0</v>
      </c>
      <c r="I6725" t="n">
        <v>0</v>
      </c>
      <c r="J6725" t="n">
        <v>0</v>
      </c>
      <c r="K6725" t="n">
        <v>0</v>
      </c>
      <c r="L6725" t="n">
        <v>0</v>
      </c>
      <c r="M6725" t="n">
        <v>0</v>
      </c>
      <c r="N6725" t="n">
        <v>0</v>
      </c>
      <c r="O6725" t="n">
        <v>0</v>
      </c>
      <c r="P6725" t="n">
        <v>0</v>
      </c>
      <c r="Q6725" t="n">
        <v>0</v>
      </c>
      <c r="R6725" s="2" t="inlineStr"/>
    </row>
    <row r="6726" ht="15" customHeight="1">
      <c r="A6726" t="inlineStr">
        <is>
          <t>A 15308-2022</t>
        </is>
      </c>
      <c r="B6726" s="1" t="n">
        <v>44659</v>
      </c>
      <c r="C6726" s="1" t="n">
        <v>45810</v>
      </c>
      <c r="D6726" t="inlineStr">
        <is>
          <t>VÄRMLANDS LÄN</t>
        </is>
      </c>
      <c r="E6726" t="inlineStr">
        <is>
          <t>ÅRJÄNG</t>
        </is>
      </c>
      <c r="G6726" t="n">
        <v>10.7</v>
      </c>
      <c r="H6726" t="n">
        <v>0</v>
      </c>
      <c r="I6726" t="n">
        <v>0</v>
      </c>
      <c r="J6726" t="n">
        <v>0</v>
      </c>
      <c r="K6726" t="n">
        <v>0</v>
      </c>
      <c r="L6726" t="n">
        <v>0</v>
      </c>
      <c r="M6726" t="n">
        <v>0</v>
      </c>
      <c r="N6726" t="n">
        <v>0</v>
      </c>
      <c r="O6726" t="n">
        <v>0</v>
      </c>
      <c r="P6726" t="n">
        <v>0</v>
      </c>
      <c r="Q6726" t="n">
        <v>0</v>
      </c>
      <c r="R6726" s="2" t="inlineStr"/>
    </row>
    <row r="6727" ht="15" customHeight="1">
      <c r="A6727" t="inlineStr">
        <is>
          <t>A 15314-2022</t>
        </is>
      </c>
      <c r="B6727" s="1" t="n">
        <v>44659</v>
      </c>
      <c r="C6727" s="1" t="n">
        <v>45810</v>
      </c>
      <c r="D6727" t="inlineStr">
        <is>
          <t>VÄRMLANDS LÄN</t>
        </is>
      </c>
      <c r="E6727" t="inlineStr">
        <is>
          <t>ARVIKA</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15306-2022</t>
        </is>
      </c>
      <c r="B6728" s="1" t="n">
        <v>44659</v>
      </c>
      <c r="C6728" s="1" t="n">
        <v>45810</v>
      </c>
      <c r="D6728" t="inlineStr">
        <is>
          <t>VÄRMLANDS LÄN</t>
        </is>
      </c>
      <c r="E6728" t="inlineStr">
        <is>
          <t>ARVIKA</t>
        </is>
      </c>
      <c r="G6728" t="n">
        <v>1.8</v>
      </c>
      <c r="H6728" t="n">
        <v>0</v>
      </c>
      <c r="I6728" t="n">
        <v>0</v>
      </c>
      <c r="J6728" t="n">
        <v>0</v>
      </c>
      <c r="K6728" t="n">
        <v>0</v>
      </c>
      <c r="L6728" t="n">
        <v>0</v>
      </c>
      <c r="M6728" t="n">
        <v>0</v>
      </c>
      <c r="N6728" t="n">
        <v>0</v>
      </c>
      <c r="O6728" t="n">
        <v>0</v>
      </c>
      <c r="P6728" t="n">
        <v>0</v>
      </c>
      <c r="Q6728" t="n">
        <v>0</v>
      </c>
      <c r="R6728" s="2" t="inlineStr"/>
    </row>
    <row r="6729" ht="15" customHeight="1">
      <c r="A6729" t="inlineStr">
        <is>
          <t>A 15380-2022</t>
        </is>
      </c>
      <c r="B6729" s="1" t="n">
        <v>44659</v>
      </c>
      <c r="C6729" s="1" t="n">
        <v>45810</v>
      </c>
      <c r="D6729" t="inlineStr">
        <is>
          <t>VÄRMLANDS LÄN</t>
        </is>
      </c>
      <c r="E6729" t="inlineStr">
        <is>
          <t>EDA</t>
        </is>
      </c>
      <c r="G6729" t="n">
        <v>2.3</v>
      </c>
      <c r="H6729" t="n">
        <v>0</v>
      </c>
      <c r="I6729" t="n">
        <v>0</v>
      </c>
      <c r="J6729" t="n">
        <v>0</v>
      </c>
      <c r="K6729" t="n">
        <v>0</v>
      </c>
      <c r="L6729" t="n">
        <v>0</v>
      </c>
      <c r="M6729" t="n">
        <v>0</v>
      </c>
      <c r="N6729" t="n">
        <v>0</v>
      </c>
      <c r="O6729" t="n">
        <v>0</v>
      </c>
      <c r="P6729" t="n">
        <v>0</v>
      </c>
      <c r="Q6729" t="n">
        <v>0</v>
      </c>
      <c r="R6729" s="2" t="inlineStr"/>
    </row>
    <row r="6730" ht="15" customHeight="1">
      <c r="A6730" t="inlineStr">
        <is>
          <t>A 15412-2022</t>
        </is>
      </c>
      <c r="B6730" s="1" t="n">
        <v>44659</v>
      </c>
      <c r="C6730" s="1" t="n">
        <v>45810</v>
      </c>
      <c r="D6730" t="inlineStr">
        <is>
          <t>VÄRMLANDS LÄN</t>
        </is>
      </c>
      <c r="E6730" t="inlineStr">
        <is>
          <t>SÄFFLE</t>
        </is>
      </c>
      <c r="G6730" t="n">
        <v>1.9</v>
      </c>
      <c r="H6730" t="n">
        <v>0</v>
      </c>
      <c r="I6730" t="n">
        <v>0</v>
      </c>
      <c r="J6730" t="n">
        <v>0</v>
      </c>
      <c r="K6730" t="n">
        <v>0</v>
      </c>
      <c r="L6730" t="n">
        <v>0</v>
      </c>
      <c r="M6730" t="n">
        <v>0</v>
      </c>
      <c r="N6730" t="n">
        <v>0</v>
      </c>
      <c r="O6730" t="n">
        <v>0</v>
      </c>
      <c r="P6730" t="n">
        <v>0</v>
      </c>
      <c r="Q6730" t="n">
        <v>0</v>
      </c>
      <c r="R6730" s="2" t="inlineStr"/>
    </row>
    <row r="6731" ht="15" customHeight="1">
      <c r="A6731" t="inlineStr">
        <is>
          <t>A 15303-2022</t>
        </is>
      </c>
      <c r="B6731" s="1" t="n">
        <v>44659</v>
      </c>
      <c r="C6731" s="1" t="n">
        <v>45810</v>
      </c>
      <c r="D6731" t="inlineStr">
        <is>
          <t>VÄRMLANDS LÄN</t>
        </is>
      </c>
      <c r="E6731" t="inlineStr">
        <is>
          <t>KRISTINEHAMN</t>
        </is>
      </c>
      <c r="F6731" t="inlineStr">
        <is>
          <t>Bergvik skog väst AB</t>
        </is>
      </c>
      <c r="G6731" t="n">
        <v>8.6</v>
      </c>
      <c r="H6731" t="n">
        <v>0</v>
      </c>
      <c r="I6731" t="n">
        <v>0</v>
      </c>
      <c r="J6731" t="n">
        <v>0</v>
      </c>
      <c r="K6731" t="n">
        <v>0</v>
      </c>
      <c r="L6731" t="n">
        <v>0</v>
      </c>
      <c r="M6731" t="n">
        <v>0</v>
      </c>
      <c r="N6731" t="n">
        <v>0</v>
      </c>
      <c r="O6731" t="n">
        <v>0</v>
      </c>
      <c r="P6731" t="n">
        <v>0</v>
      </c>
      <c r="Q6731" t="n">
        <v>0</v>
      </c>
      <c r="R6731" s="2" t="inlineStr"/>
    </row>
    <row r="6732" ht="15" customHeight="1">
      <c r="A6732" t="inlineStr">
        <is>
          <t>A 15258-2022</t>
        </is>
      </c>
      <c r="B6732" s="1" t="n">
        <v>44659</v>
      </c>
      <c r="C6732" s="1" t="n">
        <v>45810</v>
      </c>
      <c r="D6732" t="inlineStr">
        <is>
          <t>VÄRMLANDS LÄN</t>
        </is>
      </c>
      <c r="E6732" t="inlineStr">
        <is>
          <t>EDA</t>
        </is>
      </c>
      <c r="G6732" t="n">
        <v>1.2</v>
      </c>
      <c r="H6732" t="n">
        <v>0</v>
      </c>
      <c r="I6732" t="n">
        <v>0</v>
      </c>
      <c r="J6732" t="n">
        <v>0</v>
      </c>
      <c r="K6732" t="n">
        <v>0</v>
      </c>
      <c r="L6732" t="n">
        <v>0</v>
      </c>
      <c r="M6732" t="n">
        <v>0</v>
      </c>
      <c r="N6732" t="n">
        <v>0</v>
      </c>
      <c r="O6732" t="n">
        <v>0</v>
      </c>
      <c r="P6732" t="n">
        <v>0</v>
      </c>
      <c r="Q6732" t="n">
        <v>0</v>
      </c>
      <c r="R6732" s="2" t="inlineStr"/>
    </row>
    <row r="6733" ht="15" customHeight="1">
      <c r="A6733" t="inlineStr">
        <is>
          <t>A 15419-2022</t>
        </is>
      </c>
      <c r="B6733" s="1" t="n">
        <v>44659</v>
      </c>
      <c r="C6733" s="1" t="n">
        <v>45810</v>
      </c>
      <c r="D6733" t="inlineStr">
        <is>
          <t>VÄRMLANDS LÄN</t>
        </is>
      </c>
      <c r="E6733" t="inlineStr">
        <is>
          <t>KRISTINEHAMN</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15327-2022</t>
        </is>
      </c>
      <c r="B6734" s="1" t="n">
        <v>44659</v>
      </c>
      <c r="C6734" s="1" t="n">
        <v>45810</v>
      </c>
      <c r="D6734" t="inlineStr">
        <is>
          <t>VÄRMLANDS LÄN</t>
        </is>
      </c>
      <c r="E6734" t="inlineStr">
        <is>
          <t>ÅRJÄNG</t>
        </is>
      </c>
      <c r="G6734" t="n">
        <v>4</v>
      </c>
      <c r="H6734" t="n">
        <v>0</v>
      </c>
      <c r="I6734" t="n">
        <v>0</v>
      </c>
      <c r="J6734" t="n">
        <v>0</v>
      </c>
      <c r="K6734" t="n">
        <v>0</v>
      </c>
      <c r="L6734" t="n">
        <v>0</v>
      </c>
      <c r="M6734" t="n">
        <v>0</v>
      </c>
      <c r="N6734" t="n">
        <v>0</v>
      </c>
      <c r="O6734" t="n">
        <v>0</v>
      </c>
      <c r="P6734" t="n">
        <v>0</v>
      </c>
      <c r="Q6734" t="n">
        <v>0</v>
      </c>
      <c r="R6734" s="2" t="inlineStr"/>
    </row>
    <row r="6735" ht="15" customHeight="1">
      <c r="A6735" t="inlineStr">
        <is>
          <t>A 15461-2022</t>
        </is>
      </c>
      <c r="B6735" s="1" t="n">
        <v>44661</v>
      </c>
      <c r="C6735" s="1" t="n">
        <v>45810</v>
      </c>
      <c r="D6735" t="inlineStr">
        <is>
          <t>VÄRMLANDS LÄN</t>
        </is>
      </c>
      <c r="E6735" t="inlineStr">
        <is>
          <t>TORSBY</t>
        </is>
      </c>
      <c r="G6735" t="n">
        <v>13.1</v>
      </c>
      <c r="H6735" t="n">
        <v>0</v>
      </c>
      <c r="I6735" t="n">
        <v>0</v>
      </c>
      <c r="J6735" t="n">
        <v>0</v>
      </c>
      <c r="K6735" t="n">
        <v>0</v>
      </c>
      <c r="L6735" t="n">
        <v>0</v>
      </c>
      <c r="M6735" t="n">
        <v>0</v>
      </c>
      <c r="N6735" t="n">
        <v>0</v>
      </c>
      <c r="O6735" t="n">
        <v>0</v>
      </c>
      <c r="P6735" t="n">
        <v>0</v>
      </c>
      <c r="Q6735" t="n">
        <v>0</v>
      </c>
      <c r="R6735" s="2" t="inlineStr"/>
    </row>
    <row r="6736" ht="15" customHeight="1">
      <c r="A6736" t="inlineStr">
        <is>
          <t>A 15460-2022</t>
        </is>
      </c>
      <c r="B6736" s="1" t="n">
        <v>44661</v>
      </c>
      <c r="C6736" s="1" t="n">
        <v>45810</v>
      </c>
      <c r="D6736" t="inlineStr">
        <is>
          <t>VÄRMLANDS LÄN</t>
        </is>
      </c>
      <c r="E6736" t="inlineStr">
        <is>
          <t>TORSBY</t>
        </is>
      </c>
      <c r="G6736" t="n">
        <v>3</v>
      </c>
      <c r="H6736" t="n">
        <v>0</v>
      </c>
      <c r="I6736" t="n">
        <v>0</v>
      </c>
      <c r="J6736" t="n">
        <v>0</v>
      </c>
      <c r="K6736" t="n">
        <v>0</v>
      </c>
      <c r="L6736" t="n">
        <v>0</v>
      </c>
      <c r="M6736" t="n">
        <v>0</v>
      </c>
      <c r="N6736" t="n">
        <v>0</v>
      </c>
      <c r="O6736" t="n">
        <v>0</v>
      </c>
      <c r="P6736" t="n">
        <v>0</v>
      </c>
      <c r="Q6736" t="n">
        <v>0</v>
      </c>
      <c r="R6736" s="2" t="inlineStr"/>
    </row>
    <row r="6737" ht="15" customHeight="1">
      <c r="A6737" t="inlineStr">
        <is>
          <t>A 15553-2022</t>
        </is>
      </c>
      <c r="B6737" s="1" t="n">
        <v>44662</v>
      </c>
      <c r="C6737" s="1" t="n">
        <v>45810</v>
      </c>
      <c r="D6737" t="inlineStr">
        <is>
          <t>VÄRMLANDS LÄN</t>
        </is>
      </c>
      <c r="E6737" t="inlineStr">
        <is>
          <t>FORSHAGA</t>
        </is>
      </c>
      <c r="G6737" t="n">
        <v>7.8</v>
      </c>
      <c r="H6737" t="n">
        <v>0</v>
      </c>
      <c r="I6737" t="n">
        <v>0</v>
      </c>
      <c r="J6737" t="n">
        <v>0</v>
      </c>
      <c r="K6737" t="n">
        <v>0</v>
      </c>
      <c r="L6737" t="n">
        <v>0</v>
      </c>
      <c r="M6737" t="n">
        <v>0</v>
      </c>
      <c r="N6737" t="n">
        <v>0</v>
      </c>
      <c r="O6737" t="n">
        <v>0</v>
      </c>
      <c r="P6737" t="n">
        <v>0</v>
      </c>
      <c r="Q6737" t="n">
        <v>0</v>
      </c>
      <c r="R6737" s="2" t="inlineStr"/>
    </row>
    <row r="6738" ht="15" customHeight="1">
      <c r="A6738" t="inlineStr">
        <is>
          <t>A 15563-2022</t>
        </is>
      </c>
      <c r="B6738" s="1" t="n">
        <v>44662</v>
      </c>
      <c r="C6738" s="1" t="n">
        <v>45810</v>
      </c>
      <c r="D6738" t="inlineStr">
        <is>
          <t>VÄRMLANDS LÄN</t>
        </is>
      </c>
      <c r="E6738" t="inlineStr">
        <is>
          <t>FORSHAGA</t>
        </is>
      </c>
      <c r="G6738" t="n">
        <v>3.7</v>
      </c>
      <c r="H6738" t="n">
        <v>0</v>
      </c>
      <c r="I6738" t="n">
        <v>0</v>
      </c>
      <c r="J6738" t="n">
        <v>0</v>
      </c>
      <c r="K6738" t="n">
        <v>0</v>
      </c>
      <c r="L6738" t="n">
        <v>0</v>
      </c>
      <c r="M6738" t="n">
        <v>0</v>
      </c>
      <c r="N6738" t="n">
        <v>0</v>
      </c>
      <c r="O6738" t="n">
        <v>0</v>
      </c>
      <c r="P6738" t="n">
        <v>0</v>
      </c>
      <c r="Q6738" t="n">
        <v>0</v>
      </c>
      <c r="R6738" s="2" t="inlineStr"/>
    </row>
    <row r="6739" ht="15" customHeight="1">
      <c r="A6739" t="inlineStr">
        <is>
          <t>A 15497-2022</t>
        </is>
      </c>
      <c r="B6739" s="1" t="n">
        <v>44662</v>
      </c>
      <c r="C6739" s="1" t="n">
        <v>45810</v>
      </c>
      <c r="D6739" t="inlineStr">
        <is>
          <t>VÄRMLANDS LÄN</t>
        </is>
      </c>
      <c r="E6739" t="inlineStr">
        <is>
          <t>EDA</t>
        </is>
      </c>
      <c r="G6739" t="n">
        <v>1</v>
      </c>
      <c r="H6739" t="n">
        <v>0</v>
      </c>
      <c r="I6739" t="n">
        <v>0</v>
      </c>
      <c r="J6739" t="n">
        <v>0</v>
      </c>
      <c r="K6739" t="n">
        <v>0</v>
      </c>
      <c r="L6739" t="n">
        <v>0</v>
      </c>
      <c r="M6739" t="n">
        <v>0</v>
      </c>
      <c r="N6739" t="n">
        <v>0</v>
      </c>
      <c r="O6739" t="n">
        <v>0</v>
      </c>
      <c r="P6739" t="n">
        <v>0</v>
      </c>
      <c r="Q6739" t="n">
        <v>0</v>
      </c>
      <c r="R6739" s="2" t="inlineStr"/>
    </row>
    <row r="6740" ht="15" customHeight="1">
      <c r="A6740" t="inlineStr">
        <is>
          <t>A 15551-2022</t>
        </is>
      </c>
      <c r="B6740" s="1" t="n">
        <v>44662</v>
      </c>
      <c r="C6740" s="1" t="n">
        <v>45810</v>
      </c>
      <c r="D6740" t="inlineStr">
        <is>
          <t>VÄRMLANDS LÄN</t>
        </is>
      </c>
      <c r="E6740" t="inlineStr">
        <is>
          <t>KRISTINEHAMN</t>
        </is>
      </c>
      <c r="G6740" t="n">
        <v>0.5</v>
      </c>
      <c r="H6740" t="n">
        <v>0</v>
      </c>
      <c r="I6740" t="n">
        <v>0</v>
      </c>
      <c r="J6740" t="n">
        <v>0</v>
      </c>
      <c r="K6740" t="n">
        <v>0</v>
      </c>
      <c r="L6740" t="n">
        <v>0</v>
      </c>
      <c r="M6740" t="n">
        <v>0</v>
      </c>
      <c r="N6740" t="n">
        <v>0</v>
      </c>
      <c r="O6740" t="n">
        <v>0</v>
      </c>
      <c r="P6740" t="n">
        <v>0</v>
      </c>
      <c r="Q6740" t="n">
        <v>0</v>
      </c>
      <c r="R6740" s="2" t="inlineStr"/>
    </row>
    <row r="6741" ht="15" customHeight="1">
      <c r="A6741" t="inlineStr">
        <is>
          <t>A 15558-2022</t>
        </is>
      </c>
      <c r="B6741" s="1" t="n">
        <v>44662</v>
      </c>
      <c r="C6741" s="1" t="n">
        <v>45810</v>
      </c>
      <c r="D6741" t="inlineStr">
        <is>
          <t>VÄRMLANDS LÄN</t>
        </is>
      </c>
      <c r="E6741" t="inlineStr">
        <is>
          <t>KARLSTAD</t>
        </is>
      </c>
      <c r="G6741" t="n">
        <v>2.2</v>
      </c>
      <c r="H6741" t="n">
        <v>0</v>
      </c>
      <c r="I6741" t="n">
        <v>0</v>
      </c>
      <c r="J6741" t="n">
        <v>0</v>
      </c>
      <c r="K6741" t="n">
        <v>0</v>
      </c>
      <c r="L6741" t="n">
        <v>0</v>
      </c>
      <c r="M6741" t="n">
        <v>0</v>
      </c>
      <c r="N6741" t="n">
        <v>0</v>
      </c>
      <c r="O6741" t="n">
        <v>0</v>
      </c>
      <c r="P6741" t="n">
        <v>0</v>
      </c>
      <c r="Q6741" t="n">
        <v>0</v>
      </c>
      <c r="R6741" s="2" t="inlineStr"/>
    </row>
    <row r="6742" ht="15" customHeight="1">
      <c r="A6742" t="inlineStr">
        <is>
          <t>A 15581-2022</t>
        </is>
      </c>
      <c r="B6742" s="1" t="n">
        <v>44662</v>
      </c>
      <c r="C6742" s="1" t="n">
        <v>45810</v>
      </c>
      <c r="D6742" t="inlineStr">
        <is>
          <t>VÄRMLANDS LÄN</t>
        </is>
      </c>
      <c r="E6742" t="inlineStr">
        <is>
          <t>KRISTINEHAMN</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15543-2022</t>
        </is>
      </c>
      <c r="B6743" s="1" t="n">
        <v>44662</v>
      </c>
      <c r="C6743" s="1" t="n">
        <v>45810</v>
      </c>
      <c r="D6743" t="inlineStr">
        <is>
          <t>VÄRMLANDS LÄN</t>
        </is>
      </c>
      <c r="E6743" t="inlineStr">
        <is>
          <t>KRISTINEHAMN</t>
        </is>
      </c>
      <c r="G6743" t="n">
        <v>1.7</v>
      </c>
      <c r="H6743" t="n">
        <v>0</v>
      </c>
      <c r="I6743" t="n">
        <v>0</v>
      </c>
      <c r="J6743" t="n">
        <v>0</v>
      </c>
      <c r="K6743" t="n">
        <v>0</v>
      </c>
      <c r="L6743" t="n">
        <v>0</v>
      </c>
      <c r="M6743" t="n">
        <v>0</v>
      </c>
      <c r="N6743" t="n">
        <v>0</v>
      </c>
      <c r="O6743" t="n">
        <v>0</v>
      </c>
      <c r="P6743" t="n">
        <v>0</v>
      </c>
      <c r="Q6743" t="n">
        <v>0</v>
      </c>
      <c r="R6743" s="2" t="inlineStr"/>
    </row>
    <row r="6744" ht="15" customHeight="1">
      <c r="A6744" t="inlineStr">
        <is>
          <t>A 15691-2022</t>
        </is>
      </c>
      <c r="B6744" s="1" t="n">
        <v>44663</v>
      </c>
      <c r="C6744" s="1" t="n">
        <v>45810</v>
      </c>
      <c r="D6744" t="inlineStr">
        <is>
          <t>VÄRMLANDS LÄN</t>
        </is>
      </c>
      <c r="E6744" t="inlineStr">
        <is>
          <t>SÄFFLE</t>
        </is>
      </c>
      <c r="G6744" t="n">
        <v>9</v>
      </c>
      <c r="H6744" t="n">
        <v>0</v>
      </c>
      <c r="I6744" t="n">
        <v>0</v>
      </c>
      <c r="J6744" t="n">
        <v>0</v>
      </c>
      <c r="K6744" t="n">
        <v>0</v>
      </c>
      <c r="L6744" t="n">
        <v>0</v>
      </c>
      <c r="M6744" t="n">
        <v>0</v>
      </c>
      <c r="N6744" t="n">
        <v>0</v>
      </c>
      <c r="O6744" t="n">
        <v>0</v>
      </c>
      <c r="P6744" t="n">
        <v>0</v>
      </c>
      <c r="Q6744" t="n">
        <v>0</v>
      </c>
      <c r="R6744" s="2" t="inlineStr"/>
    </row>
    <row r="6745" ht="15" customHeight="1">
      <c r="A6745" t="inlineStr">
        <is>
          <t>A 15720-2022</t>
        </is>
      </c>
      <c r="B6745" s="1" t="n">
        <v>44663</v>
      </c>
      <c r="C6745" s="1" t="n">
        <v>45810</v>
      </c>
      <c r="D6745" t="inlineStr">
        <is>
          <t>VÄRMLANDS LÄN</t>
        </is>
      </c>
      <c r="E6745" t="inlineStr">
        <is>
          <t>ARVIKA</t>
        </is>
      </c>
      <c r="G6745" t="n">
        <v>3</v>
      </c>
      <c r="H6745" t="n">
        <v>0</v>
      </c>
      <c r="I6745" t="n">
        <v>0</v>
      </c>
      <c r="J6745" t="n">
        <v>0</v>
      </c>
      <c r="K6745" t="n">
        <v>0</v>
      </c>
      <c r="L6745" t="n">
        <v>0</v>
      </c>
      <c r="M6745" t="n">
        <v>0</v>
      </c>
      <c r="N6745" t="n">
        <v>0</v>
      </c>
      <c r="O6745" t="n">
        <v>0</v>
      </c>
      <c r="P6745" t="n">
        <v>0</v>
      </c>
      <c r="Q6745" t="n">
        <v>0</v>
      </c>
      <c r="R6745" s="2" t="inlineStr"/>
    </row>
    <row r="6746" ht="15" customHeight="1">
      <c r="A6746" t="inlineStr">
        <is>
          <t>A 15747-2022</t>
        </is>
      </c>
      <c r="B6746" s="1" t="n">
        <v>44663</v>
      </c>
      <c r="C6746" s="1" t="n">
        <v>45810</v>
      </c>
      <c r="D6746" t="inlineStr">
        <is>
          <t>VÄRMLANDS LÄN</t>
        </is>
      </c>
      <c r="E6746" t="inlineStr">
        <is>
          <t>SUNNE</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15738-2022</t>
        </is>
      </c>
      <c r="B6747" s="1" t="n">
        <v>44663</v>
      </c>
      <c r="C6747" s="1" t="n">
        <v>45810</v>
      </c>
      <c r="D6747" t="inlineStr">
        <is>
          <t>VÄRMLANDS LÄN</t>
        </is>
      </c>
      <c r="E6747" t="inlineStr">
        <is>
          <t>HAGFORS</t>
        </is>
      </c>
      <c r="F6747" t="inlineStr">
        <is>
          <t>Bergvik skog väst AB</t>
        </is>
      </c>
      <c r="G6747" t="n">
        <v>4.8</v>
      </c>
      <c r="H6747" t="n">
        <v>0</v>
      </c>
      <c r="I6747" t="n">
        <v>0</v>
      </c>
      <c r="J6747" t="n">
        <v>0</v>
      </c>
      <c r="K6747" t="n">
        <v>0</v>
      </c>
      <c r="L6747" t="n">
        <v>0</v>
      </c>
      <c r="M6747" t="n">
        <v>0</v>
      </c>
      <c r="N6747" t="n">
        <v>0</v>
      </c>
      <c r="O6747" t="n">
        <v>0</v>
      </c>
      <c r="P6747" t="n">
        <v>0</v>
      </c>
      <c r="Q6747" t="n">
        <v>0</v>
      </c>
      <c r="R6747" s="2" t="inlineStr"/>
    </row>
    <row r="6748" ht="15" customHeight="1">
      <c r="A6748" t="inlineStr">
        <is>
          <t>A 15696-2022</t>
        </is>
      </c>
      <c r="B6748" s="1" t="n">
        <v>44663</v>
      </c>
      <c r="C6748" s="1" t="n">
        <v>45810</v>
      </c>
      <c r="D6748" t="inlineStr">
        <is>
          <t>VÄRMLANDS LÄN</t>
        </is>
      </c>
      <c r="E6748" t="inlineStr">
        <is>
          <t>ÅRJÄNG</t>
        </is>
      </c>
      <c r="G6748" t="n">
        <v>2</v>
      </c>
      <c r="H6748" t="n">
        <v>0</v>
      </c>
      <c r="I6748" t="n">
        <v>0</v>
      </c>
      <c r="J6748" t="n">
        <v>0</v>
      </c>
      <c r="K6748" t="n">
        <v>0</v>
      </c>
      <c r="L6748" t="n">
        <v>0</v>
      </c>
      <c r="M6748" t="n">
        <v>0</v>
      </c>
      <c r="N6748" t="n">
        <v>0</v>
      </c>
      <c r="O6748" t="n">
        <v>0</v>
      </c>
      <c r="P6748" t="n">
        <v>0</v>
      </c>
      <c r="Q6748" t="n">
        <v>0</v>
      </c>
      <c r="R6748" s="2" t="inlineStr"/>
    </row>
    <row r="6749" ht="15" customHeight="1">
      <c r="A6749" t="inlineStr">
        <is>
          <t>A 15722-2022</t>
        </is>
      </c>
      <c r="B6749" s="1" t="n">
        <v>44663</v>
      </c>
      <c r="C6749" s="1" t="n">
        <v>45810</v>
      </c>
      <c r="D6749" t="inlineStr">
        <is>
          <t>VÄRMLANDS LÄN</t>
        </is>
      </c>
      <c r="E6749" t="inlineStr">
        <is>
          <t>ARVIKA</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15826-2022</t>
        </is>
      </c>
      <c r="B6750" s="1" t="n">
        <v>44664</v>
      </c>
      <c r="C6750" s="1" t="n">
        <v>45810</v>
      </c>
      <c r="D6750" t="inlineStr">
        <is>
          <t>VÄRMLANDS LÄN</t>
        </is>
      </c>
      <c r="E6750" t="inlineStr">
        <is>
          <t>HAGFORS</t>
        </is>
      </c>
      <c r="F6750" t="inlineStr">
        <is>
          <t>Bergvik skog väst AB</t>
        </is>
      </c>
      <c r="G6750" t="n">
        <v>8</v>
      </c>
      <c r="H6750" t="n">
        <v>0</v>
      </c>
      <c r="I6750" t="n">
        <v>0</v>
      </c>
      <c r="J6750" t="n">
        <v>0</v>
      </c>
      <c r="K6750" t="n">
        <v>0</v>
      </c>
      <c r="L6750" t="n">
        <v>0</v>
      </c>
      <c r="M6750" t="n">
        <v>0</v>
      </c>
      <c r="N6750" t="n">
        <v>0</v>
      </c>
      <c r="O6750" t="n">
        <v>0</v>
      </c>
      <c r="P6750" t="n">
        <v>0</v>
      </c>
      <c r="Q6750" t="n">
        <v>0</v>
      </c>
      <c r="R6750" s="2" t="inlineStr"/>
    </row>
    <row r="6751" ht="15" customHeight="1">
      <c r="A6751" t="inlineStr">
        <is>
          <t>A 15836-2022</t>
        </is>
      </c>
      <c r="B6751" s="1" t="n">
        <v>44664</v>
      </c>
      <c r="C6751" s="1" t="n">
        <v>45810</v>
      </c>
      <c r="D6751" t="inlineStr">
        <is>
          <t>VÄRMLANDS LÄN</t>
        </is>
      </c>
      <c r="E6751" t="inlineStr">
        <is>
          <t>KARLSTAD</t>
        </is>
      </c>
      <c r="G6751" t="n">
        <v>5.6</v>
      </c>
      <c r="H6751" t="n">
        <v>0</v>
      </c>
      <c r="I6751" t="n">
        <v>0</v>
      </c>
      <c r="J6751" t="n">
        <v>0</v>
      </c>
      <c r="K6751" t="n">
        <v>0</v>
      </c>
      <c r="L6751" t="n">
        <v>0</v>
      </c>
      <c r="M6751" t="n">
        <v>0</v>
      </c>
      <c r="N6751" t="n">
        <v>0</v>
      </c>
      <c r="O6751" t="n">
        <v>0</v>
      </c>
      <c r="P6751" t="n">
        <v>0</v>
      </c>
      <c r="Q6751" t="n">
        <v>0</v>
      </c>
      <c r="R6751" s="2" t="inlineStr"/>
    </row>
    <row r="6752" ht="15" customHeight="1">
      <c r="A6752" t="inlineStr">
        <is>
          <t>A 15869-2022</t>
        </is>
      </c>
      <c r="B6752" s="1" t="n">
        <v>44664</v>
      </c>
      <c r="C6752" s="1" t="n">
        <v>45810</v>
      </c>
      <c r="D6752" t="inlineStr">
        <is>
          <t>VÄRMLANDS LÄN</t>
        </is>
      </c>
      <c r="E6752" t="inlineStr">
        <is>
          <t>HAGFORS</t>
        </is>
      </c>
      <c r="F6752" t="inlineStr">
        <is>
          <t>Bergvik skog väst AB</t>
        </is>
      </c>
      <c r="G6752" t="n">
        <v>3.7</v>
      </c>
      <c r="H6752" t="n">
        <v>0</v>
      </c>
      <c r="I6752" t="n">
        <v>0</v>
      </c>
      <c r="J6752" t="n">
        <v>0</v>
      </c>
      <c r="K6752" t="n">
        <v>0</v>
      </c>
      <c r="L6752" t="n">
        <v>0</v>
      </c>
      <c r="M6752" t="n">
        <v>0</v>
      </c>
      <c r="N6752" t="n">
        <v>0</v>
      </c>
      <c r="O6752" t="n">
        <v>0</v>
      </c>
      <c r="P6752" t="n">
        <v>0</v>
      </c>
      <c r="Q6752" t="n">
        <v>0</v>
      </c>
      <c r="R6752" s="2" t="inlineStr"/>
    </row>
    <row r="6753" ht="15" customHeight="1">
      <c r="A6753" t="inlineStr">
        <is>
          <t>A 15903-2022</t>
        </is>
      </c>
      <c r="B6753" s="1" t="n">
        <v>44664</v>
      </c>
      <c r="C6753" s="1" t="n">
        <v>45810</v>
      </c>
      <c r="D6753" t="inlineStr">
        <is>
          <t>VÄRMLANDS LÄN</t>
        </is>
      </c>
      <c r="E6753" t="inlineStr">
        <is>
          <t>ÅRJÄNG</t>
        </is>
      </c>
      <c r="G6753" t="n">
        <v>5</v>
      </c>
      <c r="H6753" t="n">
        <v>0</v>
      </c>
      <c r="I6753" t="n">
        <v>0</v>
      </c>
      <c r="J6753" t="n">
        <v>0</v>
      </c>
      <c r="K6753" t="n">
        <v>0</v>
      </c>
      <c r="L6753" t="n">
        <v>0</v>
      </c>
      <c r="M6753" t="n">
        <v>0</v>
      </c>
      <c r="N6753" t="n">
        <v>0</v>
      </c>
      <c r="O6753" t="n">
        <v>0</v>
      </c>
      <c r="P6753" t="n">
        <v>0</v>
      </c>
      <c r="Q6753" t="n">
        <v>0</v>
      </c>
      <c r="R6753" s="2" t="inlineStr"/>
    </row>
    <row r="6754" ht="15" customHeight="1">
      <c r="A6754" t="inlineStr">
        <is>
          <t>A 15932-2022</t>
        </is>
      </c>
      <c r="B6754" s="1" t="n">
        <v>44664</v>
      </c>
      <c r="C6754" s="1" t="n">
        <v>45810</v>
      </c>
      <c r="D6754" t="inlineStr">
        <is>
          <t>VÄRMLANDS LÄN</t>
        </is>
      </c>
      <c r="E6754" t="inlineStr">
        <is>
          <t>FILIPSTAD</t>
        </is>
      </c>
      <c r="F6754" t="inlineStr">
        <is>
          <t>Bergvik skog väst AB</t>
        </is>
      </c>
      <c r="G6754" t="n">
        <v>11.5</v>
      </c>
      <c r="H6754" t="n">
        <v>0</v>
      </c>
      <c r="I6754" t="n">
        <v>0</v>
      </c>
      <c r="J6754" t="n">
        <v>0</v>
      </c>
      <c r="K6754" t="n">
        <v>0</v>
      </c>
      <c r="L6754" t="n">
        <v>0</v>
      </c>
      <c r="M6754" t="n">
        <v>0</v>
      </c>
      <c r="N6754" t="n">
        <v>0</v>
      </c>
      <c r="O6754" t="n">
        <v>0</v>
      </c>
      <c r="P6754" t="n">
        <v>0</v>
      </c>
      <c r="Q6754" t="n">
        <v>0</v>
      </c>
      <c r="R6754" s="2" t="inlineStr"/>
    </row>
    <row r="6755" ht="15" customHeight="1">
      <c r="A6755" t="inlineStr">
        <is>
          <t>A 15886-2022</t>
        </is>
      </c>
      <c r="B6755" s="1" t="n">
        <v>44664</v>
      </c>
      <c r="C6755" s="1" t="n">
        <v>45810</v>
      </c>
      <c r="D6755" t="inlineStr">
        <is>
          <t>VÄRMLANDS LÄN</t>
        </is>
      </c>
      <c r="E6755" t="inlineStr">
        <is>
          <t>HAGFORS</t>
        </is>
      </c>
      <c r="G6755" t="n">
        <v>3.1</v>
      </c>
      <c r="H6755" t="n">
        <v>0</v>
      </c>
      <c r="I6755" t="n">
        <v>0</v>
      </c>
      <c r="J6755" t="n">
        <v>0</v>
      </c>
      <c r="K6755" t="n">
        <v>0</v>
      </c>
      <c r="L6755" t="n">
        <v>0</v>
      </c>
      <c r="M6755" t="n">
        <v>0</v>
      </c>
      <c r="N6755" t="n">
        <v>0</v>
      </c>
      <c r="O6755" t="n">
        <v>0</v>
      </c>
      <c r="P6755" t="n">
        <v>0</v>
      </c>
      <c r="Q6755" t="n">
        <v>0</v>
      </c>
      <c r="R6755" s="2" t="inlineStr"/>
    </row>
    <row r="6756" ht="15" customHeight="1">
      <c r="A6756" t="inlineStr">
        <is>
          <t>A 15901-2022</t>
        </is>
      </c>
      <c r="B6756" s="1" t="n">
        <v>44664</v>
      </c>
      <c r="C6756" s="1" t="n">
        <v>45810</v>
      </c>
      <c r="D6756" t="inlineStr">
        <is>
          <t>VÄRMLANDS LÄN</t>
        </is>
      </c>
      <c r="E6756" t="inlineStr">
        <is>
          <t>FILIPSTAD</t>
        </is>
      </c>
      <c r="F6756" t="inlineStr">
        <is>
          <t>Bergvik skog väst AB</t>
        </is>
      </c>
      <c r="G6756" t="n">
        <v>23.7</v>
      </c>
      <c r="H6756" t="n">
        <v>0</v>
      </c>
      <c r="I6756" t="n">
        <v>0</v>
      </c>
      <c r="J6756" t="n">
        <v>0</v>
      </c>
      <c r="K6756" t="n">
        <v>0</v>
      </c>
      <c r="L6756" t="n">
        <v>0</v>
      </c>
      <c r="M6756" t="n">
        <v>0</v>
      </c>
      <c r="N6756" t="n">
        <v>0</v>
      </c>
      <c r="O6756" t="n">
        <v>0</v>
      </c>
      <c r="P6756" t="n">
        <v>0</v>
      </c>
      <c r="Q6756" t="n">
        <v>0</v>
      </c>
      <c r="R6756" s="2" t="inlineStr"/>
    </row>
    <row r="6757" ht="15" customHeight="1">
      <c r="A6757" t="inlineStr">
        <is>
          <t>A 15831-2022</t>
        </is>
      </c>
      <c r="B6757" s="1" t="n">
        <v>44664</v>
      </c>
      <c r="C6757" s="1" t="n">
        <v>45810</v>
      </c>
      <c r="D6757" t="inlineStr">
        <is>
          <t>VÄRMLANDS LÄN</t>
        </is>
      </c>
      <c r="E6757" t="inlineStr">
        <is>
          <t>KARLSTAD</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15922-2022</t>
        </is>
      </c>
      <c r="B6758" s="1" t="n">
        <v>44664</v>
      </c>
      <c r="C6758" s="1" t="n">
        <v>45810</v>
      </c>
      <c r="D6758" t="inlineStr">
        <is>
          <t>VÄRMLANDS LÄN</t>
        </is>
      </c>
      <c r="E6758" t="inlineStr">
        <is>
          <t>FORSHAGA</t>
        </is>
      </c>
      <c r="F6758" t="inlineStr">
        <is>
          <t>Bergvik skog väst AB</t>
        </is>
      </c>
      <c r="G6758" t="n">
        <v>9.1</v>
      </c>
      <c r="H6758" t="n">
        <v>0</v>
      </c>
      <c r="I6758" t="n">
        <v>0</v>
      </c>
      <c r="J6758" t="n">
        <v>0</v>
      </c>
      <c r="K6758" t="n">
        <v>0</v>
      </c>
      <c r="L6758" t="n">
        <v>0</v>
      </c>
      <c r="M6758" t="n">
        <v>0</v>
      </c>
      <c r="N6758" t="n">
        <v>0</v>
      </c>
      <c r="O6758" t="n">
        <v>0</v>
      </c>
      <c r="P6758" t="n">
        <v>0</v>
      </c>
      <c r="Q6758" t="n">
        <v>0</v>
      </c>
      <c r="R6758" s="2" t="inlineStr"/>
    </row>
    <row r="6759" ht="15" customHeight="1">
      <c r="A6759" t="inlineStr">
        <is>
          <t>A 16073-2022</t>
        </is>
      </c>
      <c r="B6759" s="1" t="n">
        <v>44665</v>
      </c>
      <c r="C6759" s="1" t="n">
        <v>45810</v>
      </c>
      <c r="D6759" t="inlineStr">
        <is>
          <t>VÄRMLANDS LÄN</t>
        </is>
      </c>
      <c r="E6759" t="inlineStr">
        <is>
          <t>MUNKFORS</t>
        </is>
      </c>
      <c r="F6759" t="inlineStr">
        <is>
          <t>Bergvik skog väst AB</t>
        </is>
      </c>
      <c r="G6759" t="n">
        <v>2.6</v>
      </c>
      <c r="H6759" t="n">
        <v>0</v>
      </c>
      <c r="I6759" t="n">
        <v>0</v>
      </c>
      <c r="J6759" t="n">
        <v>0</v>
      </c>
      <c r="K6759" t="n">
        <v>0</v>
      </c>
      <c r="L6759" t="n">
        <v>0</v>
      </c>
      <c r="M6759" t="n">
        <v>0</v>
      </c>
      <c r="N6759" t="n">
        <v>0</v>
      </c>
      <c r="O6759" t="n">
        <v>0</v>
      </c>
      <c r="P6759" t="n">
        <v>0</v>
      </c>
      <c r="Q6759" t="n">
        <v>0</v>
      </c>
      <c r="R6759" s="2" t="inlineStr"/>
    </row>
    <row r="6760" ht="15" customHeight="1">
      <c r="A6760" t="inlineStr">
        <is>
          <t>A 16007-2022</t>
        </is>
      </c>
      <c r="B6760" s="1" t="n">
        <v>44665</v>
      </c>
      <c r="C6760" s="1" t="n">
        <v>45810</v>
      </c>
      <c r="D6760" t="inlineStr">
        <is>
          <t>VÄRMLANDS LÄN</t>
        </is>
      </c>
      <c r="E6760" t="inlineStr">
        <is>
          <t>HAGFORS</t>
        </is>
      </c>
      <c r="F6760" t="inlineStr">
        <is>
          <t>Bergvik skog väst AB</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16018-2022</t>
        </is>
      </c>
      <c r="B6761" s="1" t="n">
        <v>44665</v>
      </c>
      <c r="C6761" s="1" t="n">
        <v>45810</v>
      </c>
      <c r="D6761" t="inlineStr">
        <is>
          <t>VÄRMLANDS LÄN</t>
        </is>
      </c>
      <c r="E6761" t="inlineStr">
        <is>
          <t>FORSHAGA</t>
        </is>
      </c>
      <c r="F6761" t="inlineStr">
        <is>
          <t>Bergvik skog väst AB</t>
        </is>
      </c>
      <c r="G6761" t="n">
        <v>3.9</v>
      </c>
      <c r="H6761" t="n">
        <v>0</v>
      </c>
      <c r="I6761" t="n">
        <v>0</v>
      </c>
      <c r="J6761" t="n">
        <v>0</v>
      </c>
      <c r="K6761" t="n">
        <v>0</v>
      </c>
      <c r="L6761" t="n">
        <v>0</v>
      </c>
      <c r="M6761" t="n">
        <v>0</v>
      </c>
      <c r="N6761" t="n">
        <v>0</v>
      </c>
      <c r="O6761" t="n">
        <v>0</v>
      </c>
      <c r="P6761" t="n">
        <v>0</v>
      </c>
      <c r="Q6761" t="n">
        <v>0</v>
      </c>
      <c r="R6761" s="2" t="inlineStr"/>
    </row>
    <row r="6762" ht="15" customHeight="1">
      <c r="A6762" t="inlineStr">
        <is>
          <t>A 16080-2022</t>
        </is>
      </c>
      <c r="B6762" s="1" t="n">
        <v>44665</v>
      </c>
      <c r="C6762" s="1" t="n">
        <v>45810</v>
      </c>
      <c r="D6762" t="inlineStr">
        <is>
          <t>VÄRMLANDS LÄN</t>
        </is>
      </c>
      <c r="E6762" t="inlineStr">
        <is>
          <t>TORSBY</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16104-2022</t>
        </is>
      </c>
      <c r="B6763" s="1" t="n">
        <v>44665</v>
      </c>
      <c r="C6763" s="1" t="n">
        <v>45810</v>
      </c>
      <c r="D6763" t="inlineStr">
        <is>
          <t>VÄRMLANDS LÄN</t>
        </is>
      </c>
      <c r="E6763" t="inlineStr">
        <is>
          <t>ARVIKA</t>
        </is>
      </c>
      <c r="F6763" t="inlineStr">
        <is>
          <t>Bergvik skog väst AB</t>
        </is>
      </c>
      <c r="G6763" t="n">
        <v>13.2</v>
      </c>
      <c r="H6763" t="n">
        <v>0</v>
      </c>
      <c r="I6763" t="n">
        <v>0</v>
      </c>
      <c r="J6763" t="n">
        <v>0</v>
      </c>
      <c r="K6763" t="n">
        <v>0</v>
      </c>
      <c r="L6763" t="n">
        <v>0</v>
      </c>
      <c r="M6763" t="n">
        <v>0</v>
      </c>
      <c r="N6763" t="n">
        <v>0</v>
      </c>
      <c r="O6763" t="n">
        <v>0</v>
      </c>
      <c r="P6763" t="n">
        <v>0</v>
      </c>
      <c r="Q6763" t="n">
        <v>0</v>
      </c>
      <c r="R6763" s="2" t="inlineStr"/>
    </row>
    <row r="6764" ht="15" customHeight="1">
      <c r="A6764" t="inlineStr">
        <is>
          <t>A 16096-2022</t>
        </is>
      </c>
      <c r="B6764" s="1" t="n">
        <v>44665</v>
      </c>
      <c r="C6764" s="1" t="n">
        <v>45810</v>
      </c>
      <c r="D6764" t="inlineStr">
        <is>
          <t>VÄRMLANDS LÄN</t>
        </is>
      </c>
      <c r="E6764" t="inlineStr">
        <is>
          <t>SÄFFLE</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16010-2022</t>
        </is>
      </c>
      <c r="B6765" s="1" t="n">
        <v>44665</v>
      </c>
      <c r="C6765" s="1" t="n">
        <v>45810</v>
      </c>
      <c r="D6765" t="inlineStr">
        <is>
          <t>VÄRMLANDS LÄN</t>
        </is>
      </c>
      <c r="E6765" t="inlineStr">
        <is>
          <t>TORSBY</t>
        </is>
      </c>
      <c r="F6765" t="inlineStr">
        <is>
          <t>Bergvik skog väst AB</t>
        </is>
      </c>
      <c r="G6765" t="n">
        <v>18.7</v>
      </c>
      <c r="H6765" t="n">
        <v>0</v>
      </c>
      <c r="I6765" t="n">
        <v>0</v>
      </c>
      <c r="J6765" t="n">
        <v>0</v>
      </c>
      <c r="K6765" t="n">
        <v>0</v>
      </c>
      <c r="L6765" t="n">
        <v>0</v>
      </c>
      <c r="M6765" t="n">
        <v>0</v>
      </c>
      <c r="N6765" t="n">
        <v>0</v>
      </c>
      <c r="O6765" t="n">
        <v>0</v>
      </c>
      <c r="P6765" t="n">
        <v>0</v>
      </c>
      <c r="Q6765" t="n">
        <v>0</v>
      </c>
      <c r="R6765" s="2" t="inlineStr"/>
    </row>
    <row r="6766" ht="15" customHeight="1">
      <c r="A6766" t="inlineStr">
        <is>
          <t>A 16065-2022</t>
        </is>
      </c>
      <c r="B6766" s="1" t="n">
        <v>44665</v>
      </c>
      <c r="C6766" s="1" t="n">
        <v>45810</v>
      </c>
      <c r="D6766" t="inlineStr">
        <is>
          <t>VÄRMLANDS LÄN</t>
        </is>
      </c>
      <c r="E6766" t="inlineStr">
        <is>
          <t>EDA</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16097-2022</t>
        </is>
      </c>
      <c r="B6767" s="1" t="n">
        <v>44665</v>
      </c>
      <c r="C6767" s="1" t="n">
        <v>45810</v>
      </c>
      <c r="D6767" t="inlineStr">
        <is>
          <t>VÄRMLANDS LÄN</t>
        </is>
      </c>
      <c r="E6767" t="inlineStr">
        <is>
          <t>ARVIKA</t>
        </is>
      </c>
      <c r="F6767" t="inlineStr">
        <is>
          <t>Bergvik skog väst AB</t>
        </is>
      </c>
      <c r="G6767" t="n">
        <v>4.1</v>
      </c>
      <c r="H6767" t="n">
        <v>0</v>
      </c>
      <c r="I6767" t="n">
        <v>0</v>
      </c>
      <c r="J6767" t="n">
        <v>0</v>
      </c>
      <c r="K6767" t="n">
        <v>0</v>
      </c>
      <c r="L6767" t="n">
        <v>0</v>
      </c>
      <c r="M6767" t="n">
        <v>0</v>
      </c>
      <c r="N6767" t="n">
        <v>0</v>
      </c>
      <c r="O6767" t="n">
        <v>0</v>
      </c>
      <c r="P6767" t="n">
        <v>0</v>
      </c>
      <c r="Q6767" t="n">
        <v>0</v>
      </c>
      <c r="R6767" s="2" t="inlineStr"/>
    </row>
    <row r="6768" ht="15" customHeight="1">
      <c r="A6768" t="inlineStr">
        <is>
          <t>A 16154-2022</t>
        </is>
      </c>
      <c r="B6768" s="1" t="n">
        <v>44666</v>
      </c>
      <c r="C6768" s="1" t="n">
        <v>45810</v>
      </c>
      <c r="D6768" t="inlineStr">
        <is>
          <t>VÄRMLANDS LÄN</t>
        </is>
      </c>
      <c r="E6768" t="inlineStr">
        <is>
          <t>KARLSTAD</t>
        </is>
      </c>
      <c r="G6768" t="n">
        <v>3.1</v>
      </c>
      <c r="H6768" t="n">
        <v>0</v>
      </c>
      <c r="I6768" t="n">
        <v>0</v>
      </c>
      <c r="J6768" t="n">
        <v>0</v>
      </c>
      <c r="K6768" t="n">
        <v>0</v>
      </c>
      <c r="L6768" t="n">
        <v>0</v>
      </c>
      <c r="M6768" t="n">
        <v>0</v>
      </c>
      <c r="N6768" t="n">
        <v>0</v>
      </c>
      <c r="O6768" t="n">
        <v>0</v>
      </c>
      <c r="P6768" t="n">
        <v>0</v>
      </c>
      <c r="Q6768" t="n">
        <v>0</v>
      </c>
      <c r="R6768" s="2" t="inlineStr"/>
    </row>
    <row r="6769" ht="15" customHeight="1">
      <c r="A6769" t="inlineStr">
        <is>
          <t>A 16256-2022</t>
        </is>
      </c>
      <c r="B6769" s="1" t="n">
        <v>44669</v>
      </c>
      <c r="C6769" s="1" t="n">
        <v>45810</v>
      </c>
      <c r="D6769" t="inlineStr">
        <is>
          <t>VÄRMLANDS LÄN</t>
        </is>
      </c>
      <c r="E6769" t="inlineStr">
        <is>
          <t>ARVIKA</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16251-2022</t>
        </is>
      </c>
      <c r="B6770" s="1" t="n">
        <v>44669</v>
      </c>
      <c r="C6770" s="1" t="n">
        <v>45810</v>
      </c>
      <c r="D6770" t="inlineStr">
        <is>
          <t>VÄRMLANDS LÄN</t>
        </is>
      </c>
      <c r="E6770" t="inlineStr">
        <is>
          <t>ARVIKA</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16240-2022</t>
        </is>
      </c>
      <c r="B6771" s="1" t="n">
        <v>44669</v>
      </c>
      <c r="C6771" s="1" t="n">
        <v>45810</v>
      </c>
      <c r="D6771" t="inlineStr">
        <is>
          <t>VÄRMLANDS LÄN</t>
        </is>
      </c>
      <c r="E6771" t="inlineStr">
        <is>
          <t>ARVIKA</t>
        </is>
      </c>
      <c r="G6771" t="n">
        <v>3.7</v>
      </c>
      <c r="H6771" t="n">
        <v>0</v>
      </c>
      <c r="I6771" t="n">
        <v>0</v>
      </c>
      <c r="J6771" t="n">
        <v>0</v>
      </c>
      <c r="K6771" t="n">
        <v>0</v>
      </c>
      <c r="L6771" t="n">
        <v>0</v>
      </c>
      <c r="M6771" t="n">
        <v>0</v>
      </c>
      <c r="N6771" t="n">
        <v>0</v>
      </c>
      <c r="O6771" t="n">
        <v>0</v>
      </c>
      <c r="P6771" t="n">
        <v>0</v>
      </c>
      <c r="Q6771" t="n">
        <v>0</v>
      </c>
      <c r="R6771" s="2" t="inlineStr"/>
      <c r="U6771">
        <f>HYPERLINK("https://klasma.github.io/Logging_1784/knärot/A 16240-2022 karta knärot.png", "A 16240-2022")</f>
        <v/>
      </c>
      <c r="V6771">
        <f>HYPERLINK("https://klasma.github.io/Logging_1784/klagomål/A 16240-2022 FSC-klagomål.docx", "A 16240-2022")</f>
        <v/>
      </c>
      <c r="W6771">
        <f>HYPERLINK("https://klasma.github.io/Logging_1784/klagomålsmail/A 16240-2022 FSC-klagomål mail.docx", "A 16240-2022")</f>
        <v/>
      </c>
      <c r="X6771">
        <f>HYPERLINK("https://klasma.github.io/Logging_1784/tillsyn/A 16240-2022 tillsynsbegäran.docx", "A 16240-2022")</f>
        <v/>
      </c>
      <c r="Y6771">
        <f>HYPERLINK("https://klasma.github.io/Logging_1784/tillsynsmail/A 16240-2022 tillsynsbegäran mail.docx", "A 16240-2022")</f>
        <v/>
      </c>
    </row>
    <row r="6772" ht="15" customHeight="1">
      <c r="A6772" t="inlineStr">
        <is>
          <t>A 16217-2022</t>
        </is>
      </c>
      <c r="B6772" s="1" t="n">
        <v>44669</v>
      </c>
      <c r="C6772" s="1" t="n">
        <v>45810</v>
      </c>
      <c r="D6772" t="inlineStr">
        <is>
          <t>VÄRMLANDS LÄN</t>
        </is>
      </c>
      <c r="E6772" t="inlineStr">
        <is>
          <t>KARLSTAD</t>
        </is>
      </c>
      <c r="G6772" t="n">
        <v>1.6</v>
      </c>
      <c r="H6772" t="n">
        <v>0</v>
      </c>
      <c r="I6772" t="n">
        <v>0</v>
      </c>
      <c r="J6772" t="n">
        <v>0</v>
      </c>
      <c r="K6772" t="n">
        <v>0</v>
      </c>
      <c r="L6772" t="n">
        <v>0</v>
      </c>
      <c r="M6772" t="n">
        <v>0</v>
      </c>
      <c r="N6772" t="n">
        <v>0</v>
      </c>
      <c r="O6772" t="n">
        <v>0</v>
      </c>
      <c r="P6772" t="n">
        <v>0</v>
      </c>
      <c r="Q6772" t="n">
        <v>0</v>
      </c>
      <c r="R6772" s="2" t="inlineStr"/>
    </row>
    <row r="6773" ht="15" customHeight="1">
      <c r="A6773" t="inlineStr">
        <is>
          <t>A 16259-2022</t>
        </is>
      </c>
      <c r="B6773" s="1" t="n">
        <v>44669</v>
      </c>
      <c r="C6773" s="1" t="n">
        <v>45810</v>
      </c>
      <c r="D6773" t="inlineStr">
        <is>
          <t>VÄRMLANDS LÄN</t>
        </is>
      </c>
      <c r="E6773" t="inlineStr">
        <is>
          <t>ARVIKA</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16303-2022</t>
        </is>
      </c>
      <c r="B6774" s="1" t="n">
        <v>44670</v>
      </c>
      <c r="C6774" s="1" t="n">
        <v>45810</v>
      </c>
      <c r="D6774" t="inlineStr">
        <is>
          <t>VÄRMLANDS LÄN</t>
        </is>
      </c>
      <c r="E6774" t="inlineStr">
        <is>
          <t>FILIPSTAD</t>
        </is>
      </c>
      <c r="G6774" t="n">
        <v>2.9</v>
      </c>
      <c r="H6774" t="n">
        <v>0</v>
      </c>
      <c r="I6774" t="n">
        <v>0</v>
      </c>
      <c r="J6774" t="n">
        <v>0</v>
      </c>
      <c r="K6774" t="n">
        <v>0</v>
      </c>
      <c r="L6774" t="n">
        <v>0</v>
      </c>
      <c r="M6774" t="n">
        <v>0</v>
      </c>
      <c r="N6774" t="n">
        <v>0</v>
      </c>
      <c r="O6774" t="n">
        <v>0</v>
      </c>
      <c r="P6774" t="n">
        <v>0</v>
      </c>
      <c r="Q6774" t="n">
        <v>0</v>
      </c>
      <c r="R6774" s="2" t="inlineStr"/>
    </row>
    <row r="6775" ht="15" customHeight="1">
      <c r="A6775" t="inlineStr">
        <is>
          <t>A 16334-2022</t>
        </is>
      </c>
      <c r="B6775" s="1" t="n">
        <v>44670</v>
      </c>
      <c r="C6775" s="1" t="n">
        <v>45810</v>
      </c>
      <c r="D6775" t="inlineStr">
        <is>
          <t>VÄRMLANDS LÄN</t>
        </is>
      </c>
      <c r="E6775" t="inlineStr">
        <is>
          <t>EDA</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16467-2022</t>
        </is>
      </c>
      <c r="B6776" s="1" t="n">
        <v>44671</v>
      </c>
      <c r="C6776" s="1" t="n">
        <v>45810</v>
      </c>
      <c r="D6776" t="inlineStr">
        <is>
          <t>VÄRMLANDS LÄN</t>
        </is>
      </c>
      <c r="E6776" t="inlineStr">
        <is>
          <t>ARVIKA</t>
        </is>
      </c>
      <c r="F6776" t="inlineStr">
        <is>
          <t>Bergvik skog väst AB</t>
        </is>
      </c>
      <c r="G6776" t="n">
        <v>6</v>
      </c>
      <c r="H6776" t="n">
        <v>0</v>
      </c>
      <c r="I6776" t="n">
        <v>0</v>
      </c>
      <c r="J6776" t="n">
        <v>0</v>
      </c>
      <c r="K6776" t="n">
        <v>0</v>
      </c>
      <c r="L6776" t="n">
        <v>0</v>
      </c>
      <c r="M6776" t="n">
        <v>0</v>
      </c>
      <c r="N6776" t="n">
        <v>0</v>
      </c>
      <c r="O6776" t="n">
        <v>0</v>
      </c>
      <c r="P6776" t="n">
        <v>0</v>
      </c>
      <c r="Q6776" t="n">
        <v>0</v>
      </c>
      <c r="R6776" s="2" t="inlineStr"/>
    </row>
    <row r="6777" ht="15" customHeight="1">
      <c r="A6777" t="inlineStr">
        <is>
          <t>A 16383-2022</t>
        </is>
      </c>
      <c r="B6777" s="1" t="n">
        <v>44671</v>
      </c>
      <c r="C6777" s="1" t="n">
        <v>45810</v>
      </c>
      <c r="D6777" t="inlineStr">
        <is>
          <t>VÄRMLANDS LÄN</t>
        </is>
      </c>
      <c r="E6777" t="inlineStr">
        <is>
          <t>ÅRJÄNG</t>
        </is>
      </c>
      <c r="G6777" t="n">
        <v>1.8</v>
      </c>
      <c r="H6777" t="n">
        <v>0</v>
      </c>
      <c r="I6777" t="n">
        <v>0</v>
      </c>
      <c r="J6777" t="n">
        <v>0</v>
      </c>
      <c r="K6777" t="n">
        <v>0</v>
      </c>
      <c r="L6777" t="n">
        <v>0</v>
      </c>
      <c r="M6777" t="n">
        <v>0</v>
      </c>
      <c r="N6777" t="n">
        <v>0</v>
      </c>
      <c r="O6777" t="n">
        <v>0</v>
      </c>
      <c r="P6777" t="n">
        <v>0</v>
      </c>
      <c r="Q6777" t="n">
        <v>0</v>
      </c>
      <c r="R6777" s="2" t="inlineStr"/>
    </row>
    <row r="6778" ht="15" customHeight="1">
      <c r="A6778" t="inlineStr">
        <is>
          <t>A 16399-2022</t>
        </is>
      </c>
      <c r="B6778" s="1" t="n">
        <v>44671</v>
      </c>
      <c r="C6778" s="1" t="n">
        <v>45810</v>
      </c>
      <c r="D6778" t="inlineStr">
        <is>
          <t>VÄRMLANDS LÄN</t>
        </is>
      </c>
      <c r="E6778" t="inlineStr">
        <is>
          <t>ÅRJÄNG</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16457-2022</t>
        </is>
      </c>
      <c r="B6779" s="1" t="n">
        <v>44671</v>
      </c>
      <c r="C6779" s="1" t="n">
        <v>45810</v>
      </c>
      <c r="D6779" t="inlineStr">
        <is>
          <t>VÄRMLANDS LÄN</t>
        </is>
      </c>
      <c r="E6779" t="inlineStr">
        <is>
          <t>KARLSTAD</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16505-2022</t>
        </is>
      </c>
      <c r="B6780" s="1" t="n">
        <v>44671</v>
      </c>
      <c r="C6780" s="1" t="n">
        <v>45810</v>
      </c>
      <c r="D6780" t="inlineStr">
        <is>
          <t>VÄRMLANDS LÄN</t>
        </is>
      </c>
      <c r="E6780" t="inlineStr">
        <is>
          <t>EDA</t>
        </is>
      </c>
      <c r="G6780" t="n">
        <v>2.2</v>
      </c>
      <c r="H6780" t="n">
        <v>0</v>
      </c>
      <c r="I6780" t="n">
        <v>0</v>
      </c>
      <c r="J6780" t="n">
        <v>0</v>
      </c>
      <c r="K6780" t="n">
        <v>0</v>
      </c>
      <c r="L6780" t="n">
        <v>0</v>
      </c>
      <c r="M6780" t="n">
        <v>0</v>
      </c>
      <c r="N6780" t="n">
        <v>0</v>
      </c>
      <c r="O6780" t="n">
        <v>0</v>
      </c>
      <c r="P6780" t="n">
        <v>0</v>
      </c>
      <c r="Q6780" t="n">
        <v>0</v>
      </c>
      <c r="R6780" s="2" t="inlineStr"/>
    </row>
    <row r="6781" ht="15" customHeight="1">
      <c r="A6781" t="inlineStr">
        <is>
          <t>A 16400-2022</t>
        </is>
      </c>
      <c r="B6781" s="1" t="n">
        <v>44671</v>
      </c>
      <c r="C6781" s="1" t="n">
        <v>45810</v>
      </c>
      <c r="D6781" t="inlineStr">
        <is>
          <t>VÄRMLANDS LÄN</t>
        </is>
      </c>
      <c r="E6781" t="inlineStr">
        <is>
          <t>ÅRJÄNG</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16466-2022</t>
        </is>
      </c>
      <c r="B6782" s="1" t="n">
        <v>44671</v>
      </c>
      <c r="C6782" s="1" t="n">
        <v>45810</v>
      </c>
      <c r="D6782" t="inlineStr">
        <is>
          <t>VÄRMLANDS LÄN</t>
        </is>
      </c>
      <c r="E6782" t="inlineStr">
        <is>
          <t>ARVIKA</t>
        </is>
      </c>
      <c r="G6782" t="n">
        <v>2.8</v>
      </c>
      <c r="H6782" t="n">
        <v>0</v>
      </c>
      <c r="I6782" t="n">
        <v>0</v>
      </c>
      <c r="J6782" t="n">
        <v>0</v>
      </c>
      <c r="K6782" t="n">
        <v>0</v>
      </c>
      <c r="L6782" t="n">
        <v>0</v>
      </c>
      <c r="M6782" t="n">
        <v>0</v>
      </c>
      <c r="N6782" t="n">
        <v>0</v>
      </c>
      <c r="O6782" t="n">
        <v>0</v>
      </c>
      <c r="P6782" t="n">
        <v>0</v>
      </c>
      <c r="Q6782" t="n">
        <v>0</v>
      </c>
      <c r="R6782" s="2" t="inlineStr"/>
    </row>
    <row r="6783" ht="15" customHeight="1">
      <c r="A6783" t="inlineStr">
        <is>
          <t>A 16491-2022</t>
        </is>
      </c>
      <c r="B6783" s="1" t="n">
        <v>44671</v>
      </c>
      <c r="C6783" s="1" t="n">
        <v>45810</v>
      </c>
      <c r="D6783" t="inlineStr">
        <is>
          <t>VÄRMLANDS LÄN</t>
        </is>
      </c>
      <c r="E6783" t="inlineStr">
        <is>
          <t>KARLSTAD</t>
        </is>
      </c>
      <c r="G6783" t="n">
        <v>2.4</v>
      </c>
      <c r="H6783" t="n">
        <v>0</v>
      </c>
      <c r="I6783" t="n">
        <v>0</v>
      </c>
      <c r="J6783" t="n">
        <v>0</v>
      </c>
      <c r="K6783" t="n">
        <v>0</v>
      </c>
      <c r="L6783" t="n">
        <v>0</v>
      </c>
      <c r="M6783" t="n">
        <v>0</v>
      </c>
      <c r="N6783" t="n">
        <v>0</v>
      </c>
      <c r="O6783" t="n">
        <v>0</v>
      </c>
      <c r="P6783" t="n">
        <v>0</v>
      </c>
      <c r="Q6783" t="n">
        <v>0</v>
      </c>
      <c r="R6783" s="2" t="inlineStr"/>
    </row>
    <row r="6784" ht="15" customHeight="1">
      <c r="A6784" t="inlineStr">
        <is>
          <t>A 16425-2022</t>
        </is>
      </c>
      <c r="B6784" s="1" t="n">
        <v>44671</v>
      </c>
      <c r="C6784" s="1" t="n">
        <v>45810</v>
      </c>
      <c r="D6784" t="inlineStr">
        <is>
          <t>VÄRMLANDS LÄN</t>
        </is>
      </c>
      <c r="E6784" t="inlineStr">
        <is>
          <t>TORSBY</t>
        </is>
      </c>
      <c r="G6784" t="n">
        <v>3</v>
      </c>
      <c r="H6784" t="n">
        <v>0</v>
      </c>
      <c r="I6784" t="n">
        <v>0</v>
      </c>
      <c r="J6784" t="n">
        <v>0</v>
      </c>
      <c r="K6784" t="n">
        <v>0</v>
      </c>
      <c r="L6784" t="n">
        <v>0</v>
      </c>
      <c r="M6784" t="n">
        <v>0</v>
      </c>
      <c r="N6784" t="n">
        <v>0</v>
      </c>
      <c r="O6784" t="n">
        <v>0</v>
      </c>
      <c r="P6784" t="n">
        <v>0</v>
      </c>
      <c r="Q6784" t="n">
        <v>0</v>
      </c>
      <c r="R6784" s="2" t="inlineStr"/>
    </row>
    <row r="6785" ht="15" customHeight="1">
      <c r="A6785" t="inlineStr">
        <is>
          <t>A 16484-2022</t>
        </is>
      </c>
      <c r="B6785" s="1" t="n">
        <v>44671</v>
      </c>
      <c r="C6785" s="1" t="n">
        <v>45810</v>
      </c>
      <c r="D6785" t="inlineStr">
        <is>
          <t>VÄRMLANDS LÄN</t>
        </is>
      </c>
      <c r="E6785" t="inlineStr">
        <is>
          <t>SÄFFLE</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16498-2022</t>
        </is>
      </c>
      <c r="B6786" s="1" t="n">
        <v>44671</v>
      </c>
      <c r="C6786" s="1" t="n">
        <v>45810</v>
      </c>
      <c r="D6786" t="inlineStr">
        <is>
          <t>VÄRMLANDS LÄN</t>
        </is>
      </c>
      <c r="E6786" t="inlineStr">
        <is>
          <t>TORSBY</t>
        </is>
      </c>
      <c r="F6786" t="inlineStr">
        <is>
          <t>Kommuner</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16494-2022</t>
        </is>
      </c>
      <c r="B6787" s="1" t="n">
        <v>44671</v>
      </c>
      <c r="C6787" s="1" t="n">
        <v>45810</v>
      </c>
      <c r="D6787" t="inlineStr">
        <is>
          <t>VÄRMLANDS LÄN</t>
        </is>
      </c>
      <c r="E6787" t="inlineStr">
        <is>
          <t>SÄFFLE</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16553-2022</t>
        </is>
      </c>
      <c r="B6788" s="1" t="n">
        <v>44672</v>
      </c>
      <c r="C6788" s="1" t="n">
        <v>45810</v>
      </c>
      <c r="D6788" t="inlineStr">
        <is>
          <t>VÄRMLANDS LÄN</t>
        </is>
      </c>
      <c r="E6788" t="inlineStr">
        <is>
          <t>SUNNE</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16560-2022</t>
        </is>
      </c>
      <c r="B6789" s="1" t="n">
        <v>44672</v>
      </c>
      <c r="C6789" s="1" t="n">
        <v>45810</v>
      </c>
      <c r="D6789" t="inlineStr">
        <is>
          <t>VÄRMLANDS LÄN</t>
        </is>
      </c>
      <c r="E6789" t="inlineStr">
        <is>
          <t>KARLSTAD</t>
        </is>
      </c>
      <c r="G6789" t="n">
        <v>7.7</v>
      </c>
      <c r="H6789" t="n">
        <v>0</v>
      </c>
      <c r="I6789" t="n">
        <v>0</v>
      </c>
      <c r="J6789" t="n">
        <v>0</v>
      </c>
      <c r="K6789" t="n">
        <v>0</v>
      </c>
      <c r="L6789" t="n">
        <v>0</v>
      </c>
      <c r="M6789" t="n">
        <v>0</v>
      </c>
      <c r="N6789" t="n">
        <v>0</v>
      </c>
      <c r="O6789" t="n">
        <v>0</v>
      </c>
      <c r="P6789" t="n">
        <v>0</v>
      </c>
      <c r="Q6789" t="n">
        <v>0</v>
      </c>
      <c r="R6789" s="2" t="inlineStr"/>
    </row>
    <row r="6790" ht="15" customHeight="1">
      <c r="A6790" t="inlineStr">
        <is>
          <t>A 16589-2022</t>
        </is>
      </c>
      <c r="B6790" s="1" t="n">
        <v>44672</v>
      </c>
      <c r="C6790" s="1" t="n">
        <v>45810</v>
      </c>
      <c r="D6790" t="inlineStr">
        <is>
          <t>VÄRMLANDS LÄN</t>
        </is>
      </c>
      <c r="E6790" t="inlineStr">
        <is>
          <t>SUNNE</t>
        </is>
      </c>
      <c r="G6790" t="n">
        <v>5.4</v>
      </c>
      <c r="H6790" t="n">
        <v>0</v>
      </c>
      <c r="I6790" t="n">
        <v>0</v>
      </c>
      <c r="J6790" t="n">
        <v>0</v>
      </c>
      <c r="K6790" t="n">
        <v>0</v>
      </c>
      <c r="L6790" t="n">
        <v>0</v>
      </c>
      <c r="M6790" t="n">
        <v>0</v>
      </c>
      <c r="N6790" t="n">
        <v>0</v>
      </c>
      <c r="O6790" t="n">
        <v>0</v>
      </c>
      <c r="P6790" t="n">
        <v>0</v>
      </c>
      <c r="Q6790" t="n">
        <v>0</v>
      </c>
      <c r="R6790" s="2" t="inlineStr"/>
    </row>
    <row r="6791" ht="15" customHeight="1">
      <c r="A6791" t="inlineStr">
        <is>
          <t>A 16628-2022</t>
        </is>
      </c>
      <c r="B6791" s="1" t="n">
        <v>44672</v>
      </c>
      <c r="C6791" s="1" t="n">
        <v>45810</v>
      </c>
      <c r="D6791" t="inlineStr">
        <is>
          <t>VÄRMLANDS LÄN</t>
        </is>
      </c>
      <c r="E6791" t="inlineStr">
        <is>
          <t>KARLSTAD</t>
        </is>
      </c>
      <c r="F6791" t="inlineStr">
        <is>
          <t>Naturvårdsverket</t>
        </is>
      </c>
      <c r="G6791" t="n">
        <v>6.5</v>
      </c>
      <c r="H6791" t="n">
        <v>0</v>
      </c>
      <c r="I6791" t="n">
        <v>0</v>
      </c>
      <c r="J6791" t="n">
        <v>0</v>
      </c>
      <c r="K6791" t="n">
        <v>0</v>
      </c>
      <c r="L6791" t="n">
        <v>0</v>
      </c>
      <c r="M6791" t="n">
        <v>0</v>
      </c>
      <c r="N6791" t="n">
        <v>0</v>
      </c>
      <c r="O6791" t="n">
        <v>0</v>
      </c>
      <c r="P6791" t="n">
        <v>0</v>
      </c>
      <c r="Q6791" t="n">
        <v>0</v>
      </c>
      <c r="R6791" s="2" t="inlineStr"/>
    </row>
    <row r="6792" ht="15" customHeight="1">
      <c r="A6792" t="inlineStr">
        <is>
          <t>A 16563-2022</t>
        </is>
      </c>
      <c r="B6792" s="1" t="n">
        <v>44672</v>
      </c>
      <c r="C6792" s="1" t="n">
        <v>45810</v>
      </c>
      <c r="D6792" t="inlineStr">
        <is>
          <t>VÄRMLANDS LÄN</t>
        </is>
      </c>
      <c r="E6792" t="inlineStr">
        <is>
          <t>KARLSTAD</t>
        </is>
      </c>
      <c r="G6792" t="n">
        <v>7.5</v>
      </c>
      <c r="H6792" t="n">
        <v>0</v>
      </c>
      <c r="I6792" t="n">
        <v>0</v>
      </c>
      <c r="J6792" t="n">
        <v>0</v>
      </c>
      <c r="K6792" t="n">
        <v>0</v>
      </c>
      <c r="L6792" t="n">
        <v>0</v>
      </c>
      <c r="M6792" t="n">
        <v>0</v>
      </c>
      <c r="N6792" t="n">
        <v>0</v>
      </c>
      <c r="O6792" t="n">
        <v>0</v>
      </c>
      <c r="P6792" t="n">
        <v>0</v>
      </c>
      <c r="Q6792" t="n">
        <v>0</v>
      </c>
      <c r="R6792" s="2" t="inlineStr"/>
    </row>
    <row r="6793" ht="15" customHeight="1">
      <c r="A6793" t="inlineStr">
        <is>
          <t>A 16642-2022</t>
        </is>
      </c>
      <c r="B6793" s="1" t="n">
        <v>44672</v>
      </c>
      <c r="C6793" s="1" t="n">
        <v>45810</v>
      </c>
      <c r="D6793" t="inlineStr">
        <is>
          <t>VÄRMLANDS LÄN</t>
        </is>
      </c>
      <c r="E6793" t="inlineStr">
        <is>
          <t>ÅRJÄNG</t>
        </is>
      </c>
      <c r="G6793" t="n">
        <v>3.5</v>
      </c>
      <c r="H6793" t="n">
        <v>0</v>
      </c>
      <c r="I6793" t="n">
        <v>0</v>
      </c>
      <c r="J6793" t="n">
        <v>0</v>
      </c>
      <c r="K6793" t="n">
        <v>0</v>
      </c>
      <c r="L6793" t="n">
        <v>0</v>
      </c>
      <c r="M6793" t="n">
        <v>0</v>
      </c>
      <c r="N6793" t="n">
        <v>0</v>
      </c>
      <c r="O6793" t="n">
        <v>0</v>
      </c>
      <c r="P6793" t="n">
        <v>0</v>
      </c>
      <c r="Q6793" t="n">
        <v>0</v>
      </c>
      <c r="R6793" s="2" t="inlineStr"/>
    </row>
    <row r="6794" ht="15" customHeight="1">
      <c r="A6794" t="inlineStr">
        <is>
          <t>A 16591-2022</t>
        </is>
      </c>
      <c r="B6794" s="1" t="n">
        <v>44672</v>
      </c>
      <c r="C6794" s="1" t="n">
        <v>45810</v>
      </c>
      <c r="D6794" t="inlineStr">
        <is>
          <t>VÄRMLANDS LÄN</t>
        </is>
      </c>
      <c r="E6794" t="inlineStr">
        <is>
          <t>FILIPSTAD</t>
        </is>
      </c>
      <c r="G6794" t="n">
        <v>2.9</v>
      </c>
      <c r="H6794" t="n">
        <v>0</v>
      </c>
      <c r="I6794" t="n">
        <v>0</v>
      </c>
      <c r="J6794" t="n">
        <v>0</v>
      </c>
      <c r="K6794" t="n">
        <v>0</v>
      </c>
      <c r="L6794" t="n">
        <v>0</v>
      </c>
      <c r="M6794" t="n">
        <v>0</v>
      </c>
      <c r="N6794" t="n">
        <v>0</v>
      </c>
      <c r="O6794" t="n">
        <v>0</v>
      </c>
      <c r="P6794" t="n">
        <v>0</v>
      </c>
      <c r="Q6794" t="n">
        <v>0</v>
      </c>
      <c r="R6794" s="2" t="inlineStr"/>
    </row>
    <row r="6795" ht="15" customHeight="1">
      <c r="A6795" t="inlineStr">
        <is>
          <t>A 16613-2022</t>
        </is>
      </c>
      <c r="B6795" s="1" t="n">
        <v>44672</v>
      </c>
      <c r="C6795" s="1" t="n">
        <v>45810</v>
      </c>
      <c r="D6795" t="inlineStr">
        <is>
          <t>VÄRMLANDS LÄN</t>
        </is>
      </c>
      <c r="E6795" t="inlineStr">
        <is>
          <t>ÅRJÄNG</t>
        </is>
      </c>
      <c r="G6795" t="n">
        <v>2.3</v>
      </c>
      <c r="H6795" t="n">
        <v>0</v>
      </c>
      <c r="I6795" t="n">
        <v>0</v>
      </c>
      <c r="J6795" t="n">
        <v>0</v>
      </c>
      <c r="K6795" t="n">
        <v>0</v>
      </c>
      <c r="L6795" t="n">
        <v>0</v>
      </c>
      <c r="M6795" t="n">
        <v>0</v>
      </c>
      <c r="N6795" t="n">
        <v>0</v>
      </c>
      <c r="O6795" t="n">
        <v>0</v>
      </c>
      <c r="P6795" t="n">
        <v>0</v>
      </c>
      <c r="Q6795" t="n">
        <v>0</v>
      </c>
      <c r="R6795" s="2" t="inlineStr"/>
    </row>
    <row r="6796" ht="15" customHeight="1">
      <c r="A6796" t="inlineStr">
        <is>
          <t>A 16874-2022</t>
        </is>
      </c>
      <c r="B6796" s="1" t="n">
        <v>44675</v>
      </c>
      <c r="C6796" s="1" t="n">
        <v>45810</v>
      </c>
      <c r="D6796" t="inlineStr">
        <is>
          <t>VÄRMLANDS LÄN</t>
        </is>
      </c>
      <c r="E6796" t="inlineStr">
        <is>
          <t>KIL</t>
        </is>
      </c>
      <c r="G6796" t="n">
        <v>3.3</v>
      </c>
      <c r="H6796" t="n">
        <v>0</v>
      </c>
      <c r="I6796" t="n">
        <v>0</v>
      </c>
      <c r="J6796" t="n">
        <v>0</v>
      </c>
      <c r="K6796" t="n">
        <v>0</v>
      </c>
      <c r="L6796" t="n">
        <v>0</v>
      </c>
      <c r="M6796" t="n">
        <v>0</v>
      </c>
      <c r="N6796" t="n">
        <v>0</v>
      </c>
      <c r="O6796" t="n">
        <v>0</v>
      </c>
      <c r="P6796" t="n">
        <v>0</v>
      </c>
      <c r="Q6796" t="n">
        <v>0</v>
      </c>
      <c r="R6796" s="2" t="inlineStr"/>
    </row>
    <row r="6797" ht="15" customHeight="1">
      <c r="A6797" t="inlineStr">
        <is>
          <t>A 17006-2022</t>
        </is>
      </c>
      <c r="B6797" s="1" t="n">
        <v>44676</v>
      </c>
      <c r="C6797" s="1" t="n">
        <v>45810</v>
      </c>
      <c r="D6797" t="inlineStr">
        <is>
          <t>VÄRMLANDS LÄN</t>
        </is>
      </c>
      <c r="E6797" t="inlineStr">
        <is>
          <t>SÄFFLE</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17033-2022</t>
        </is>
      </c>
      <c r="B6798" s="1" t="n">
        <v>44676</v>
      </c>
      <c r="C6798" s="1" t="n">
        <v>45810</v>
      </c>
      <c r="D6798" t="inlineStr">
        <is>
          <t>VÄRMLANDS LÄN</t>
        </is>
      </c>
      <c r="E6798" t="inlineStr">
        <is>
          <t>SUNNE</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17031-2022</t>
        </is>
      </c>
      <c r="B6799" s="1" t="n">
        <v>44676</v>
      </c>
      <c r="C6799" s="1" t="n">
        <v>45810</v>
      </c>
      <c r="D6799" t="inlineStr">
        <is>
          <t>VÄRMLANDS LÄN</t>
        </is>
      </c>
      <c r="E6799" t="inlineStr">
        <is>
          <t>SUNNE</t>
        </is>
      </c>
      <c r="G6799" t="n">
        <v>1.7</v>
      </c>
      <c r="H6799" t="n">
        <v>0</v>
      </c>
      <c r="I6799" t="n">
        <v>0</v>
      </c>
      <c r="J6799" t="n">
        <v>0</v>
      </c>
      <c r="K6799" t="n">
        <v>0</v>
      </c>
      <c r="L6799" t="n">
        <v>0</v>
      </c>
      <c r="M6799" t="n">
        <v>0</v>
      </c>
      <c r="N6799" t="n">
        <v>0</v>
      </c>
      <c r="O6799" t="n">
        <v>0</v>
      </c>
      <c r="P6799" t="n">
        <v>0</v>
      </c>
      <c r="Q6799" t="n">
        <v>0</v>
      </c>
      <c r="R6799" s="2" t="inlineStr"/>
    </row>
    <row r="6800" ht="15" customHeight="1">
      <c r="A6800" t="inlineStr">
        <is>
          <t>A 17081-2022</t>
        </is>
      </c>
      <c r="B6800" s="1" t="n">
        <v>44677</v>
      </c>
      <c r="C6800" s="1" t="n">
        <v>45810</v>
      </c>
      <c r="D6800" t="inlineStr">
        <is>
          <t>VÄRMLANDS LÄN</t>
        </is>
      </c>
      <c r="E6800" t="inlineStr">
        <is>
          <t>EDA</t>
        </is>
      </c>
      <c r="G6800" t="n">
        <v>8.199999999999999</v>
      </c>
      <c r="H6800" t="n">
        <v>0</v>
      </c>
      <c r="I6800" t="n">
        <v>0</v>
      </c>
      <c r="J6800" t="n">
        <v>0</v>
      </c>
      <c r="K6800" t="n">
        <v>0</v>
      </c>
      <c r="L6800" t="n">
        <v>0</v>
      </c>
      <c r="M6800" t="n">
        <v>0</v>
      </c>
      <c r="N6800" t="n">
        <v>0</v>
      </c>
      <c r="O6800" t="n">
        <v>0</v>
      </c>
      <c r="P6800" t="n">
        <v>0</v>
      </c>
      <c r="Q6800" t="n">
        <v>0</v>
      </c>
      <c r="R6800" s="2" t="inlineStr"/>
    </row>
    <row r="6801" ht="15" customHeight="1">
      <c r="A6801" t="inlineStr">
        <is>
          <t>A 17177-2022</t>
        </is>
      </c>
      <c r="B6801" s="1" t="n">
        <v>44677</v>
      </c>
      <c r="C6801" s="1" t="n">
        <v>45810</v>
      </c>
      <c r="D6801" t="inlineStr">
        <is>
          <t>VÄRMLANDS LÄN</t>
        </is>
      </c>
      <c r="E6801" t="inlineStr">
        <is>
          <t>KRISTINEHAMN</t>
        </is>
      </c>
      <c r="G6801" t="n">
        <v>1.4</v>
      </c>
      <c r="H6801" t="n">
        <v>0</v>
      </c>
      <c r="I6801" t="n">
        <v>0</v>
      </c>
      <c r="J6801" t="n">
        <v>0</v>
      </c>
      <c r="K6801" t="n">
        <v>0</v>
      </c>
      <c r="L6801" t="n">
        <v>0</v>
      </c>
      <c r="M6801" t="n">
        <v>0</v>
      </c>
      <c r="N6801" t="n">
        <v>0</v>
      </c>
      <c r="O6801" t="n">
        <v>0</v>
      </c>
      <c r="P6801" t="n">
        <v>0</v>
      </c>
      <c r="Q6801" t="n">
        <v>0</v>
      </c>
      <c r="R6801" s="2" t="inlineStr"/>
    </row>
    <row r="6802" ht="15" customHeight="1">
      <c r="A6802" t="inlineStr">
        <is>
          <t>A 17110-2022</t>
        </is>
      </c>
      <c r="B6802" s="1" t="n">
        <v>44677</v>
      </c>
      <c r="C6802" s="1" t="n">
        <v>45810</v>
      </c>
      <c r="D6802" t="inlineStr">
        <is>
          <t>VÄRMLANDS LÄN</t>
        </is>
      </c>
      <c r="E6802" t="inlineStr">
        <is>
          <t>KRISTINEHAMN</t>
        </is>
      </c>
      <c r="G6802" t="n">
        <v>5.6</v>
      </c>
      <c r="H6802" t="n">
        <v>0</v>
      </c>
      <c r="I6802" t="n">
        <v>0</v>
      </c>
      <c r="J6802" t="n">
        <v>0</v>
      </c>
      <c r="K6802" t="n">
        <v>0</v>
      </c>
      <c r="L6802" t="n">
        <v>0</v>
      </c>
      <c r="M6802" t="n">
        <v>0</v>
      </c>
      <c r="N6802" t="n">
        <v>0</v>
      </c>
      <c r="O6802" t="n">
        <v>0</v>
      </c>
      <c r="P6802" t="n">
        <v>0</v>
      </c>
      <c r="Q6802" t="n">
        <v>0</v>
      </c>
      <c r="R6802" s="2" t="inlineStr"/>
    </row>
    <row r="6803" ht="15" customHeight="1">
      <c r="A6803" t="inlineStr">
        <is>
          <t>A 17079-2022</t>
        </is>
      </c>
      <c r="B6803" s="1" t="n">
        <v>44677</v>
      </c>
      <c r="C6803" s="1" t="n">
        <v>45810</v>
      </c>
      <c r="D6803" t="inlineStr">
        <is>
          <t>VÄRMLANDS LÄN</t>
        </is>
      </c>
      <c r="E6803" t="inlineStr">
        <is>
          <t>ARVIKA</t>
        </is>
      </c>
      <c r="F6803" t="inlineStr">
        <is>
          <t>Bergvik skog väst AB</t>
        </is>
      </c>
      <c r="G6803" t="n">
        <v>6</v>
      </c>
      <c r="H6803" t="n">
        <v>0</v>
      </c>
      <c r="I6803" t="n">
        <v>0</v>
      </c>
      <c r="J6803" t="n">
        <v>0</v>
      </c>
      <c r="K6803" t="n">
        <v>0</v>
      </c>
      <c r="L6803" t="n">
        <v>0</v>
      </c>
      <c r="M6803" t="n">
        <v>0</v>
      </c>
      <c r="N6803" t="n">
        <v>0</v>
      </c>
      <c r="O6803" t="n">
        <v>0</v>
      </c>
      <c r="P6803" t="n">
        <v>0</v>
      </c>
      <c r="Q6803" t="n">
        <v>0</v>
      </c>
      <c r="R6803" s="2" t="inlineStr"/>
    </row>
    <row r="6804" ht="15" customHeight="1">
      <c r="A6804" t="inlineStr">
        <is>
          <t>A 17141-2022</t>
        </is>
      </c>
      <c r="B6804" s="1" t="n">
        <v>44677</v>
      </c>
      <c r="C6804" s="1" t="n">
        <v>45810</v>
      </c>
      <c r="D6804" t="inlineStr">
        <is>
          <t>VÄRMLANDS LÄN</t>
        </is>
      </c>
      <c r="E6804" t="inlineStr">
        <is>
          <t>ARVIKA</t>
        </is>
      </c>
      <c r="F6804" t="inlineStr">
        <is>
          <t>Bergvik skog väst AB</t>
        </is>
      </c>
      <c r="G6804" t="n">
        <v>1.3</v>
      </c>
      <c r="H6804" t="n">
        <v>0</v>
      </c>
      <c r="I6804" t="n">
        <v>0</v>
      </c>
      <c r="J6804" t="n">
        <v>0</v>
      </c>
      <c r="K6804" t="n">
        <v>0</v>
      </c>
      <c r="L6804" t="n">
        <v>0</v>
      </c>
      <c r="M6804" t="n">
        <v>0</v>
      </c>
      <c r="N6804" t="n">
        <v>0</v>
      </c>
      <c r="O6804" t="n">
        <v>0</v>
      </c>
      <c r="P6804" t="n">
        <v>0</v>
      </c>
      <c r="Q6804" t="n">
        <v>0</v>
      </c>
      <c r="R6804" s="2" t="inlineStr"/>
    </row>
    <row r="6805" ht="15" customHeight="1">
      <c r="A6805" t="inlineStr">
        <is>
          <t>A 17135-2022</t>
        </is>
      </c>
      <c r="B6805" s="1" t="n">
        <v>44677</v>
      </c>
      <c r="C6805" s="1" t="n">
        <v>45810</v>
      </c>
      <c r="D6805" t="inlineStr">
        <is>
          <t>VÄRMLANDS LÄN</t>
        </is>
      </c>
      <c r="E6805" t="inlineStr">
        <is>
          <t>ÅRJÄNG</t>
        </is>
      </c>
      <c r="G6805" t="n">
        <v>9</v>
      </c>
      <c r="H6805" t="n">
        <v>0</v>
      </c>
      <c r="I6805" t="n">
        <v>0</v>
      </c>
      <c r="J6805" t="n">
        <v>0</v>
      </c>
      <c r="K6805" t="n">
        <v>0</v>
      </c>
      <c r="L6805" t="n">
        <v>0</v>
      </c>
      <c r="M6805" t="n">
        <v>0</v>
      </c>
      <c r="N6805" t="n">
        <v>0</v>
      </c>
      <c r="O6805" t="n">
        <v>0</v>
      </c>
      <c r="P6805" t="n">
        <v>0</v>
      </c>
      <c r="Q6805" t="n">
        <v>0</v>
      </c>
      <c r="R6805" s="2" t="inlineStr"/>
    </row>
    <row r="6806" ht="15" customHeight="1">
      <c r="A6806" t="inlineStr">
        <is>
          <t>A 17361-2022</t>
        </is>
      </c>
      <c r="B6806" s="1" t="n">
        <v>44678</v>
      </c>
      <c r="C6806" s="1" t="n">
        <v>45810</v>
      </c>
      <c r="D6806" t="inlineStr">
        <is>
          <t>VÄRMLANDS LÄN</t>
        </is>
      </c>
      <c r="E6806" t="inlineStr">
        <is>
          <t>ÅRJÄNG</t>
        </is>
      </c>
      <c r="G6806" t="n">
        <v>5.7</v>
      </c>
      <c r="H6806" t="n">
        <v>0</v>
      </c>
      <c r="I6806" t="n">
        <v>0</v>
      </c>
      <c r="J6806" t="n">
        <v>0</v>
      </c>
      <c r="K6806" t="n">
        <v>0</v>
      </c>
      <c r="L6806" t="n">
        <v>0</v>
      </c>
      <c r="M6806" t="n">
        <v>0</v>
      </c>
      <c r="N6806" t="n">
        <v>0</v>
      </c>
      <c r="O6806" t="n">
        <v>0</v>
      </c>
      <c r="P6806" t="n">
        <v>0</v>
      </c>
      <c r="Q6806" t="n">
        <v>0</v>
      </c>
      <c r="R6806" s="2" t="inlineStr"/>
    </row>
    <row r="6807" ht="15" customHeight="1">
      <c r="A6807" t="inlineStr">
        <is>
          <t>A 17230-2022</t>
        </is>
      </c>
      <c r="B6807" s="1" t="n">
        <v>44678</v>
      </c>
      <c r="C6807" s="1" t="n">
        <v>45810</v>
      </c>
      <c r="D6807" t="inlineStr">
        <is>
          <t>VÄRMLANDS LÄN</t>
        </is>
      </c>
      <c r="E6807" t="inlineStr">
        <is>
          <t>EDA</t>
        </is>
      </c>
      <c r="G6807" t="n">
        <v>5.3</v>
      </c>
      <c r="H6807" t="n">
        <v>0</v>
      </c>
      <c r="I6807" t="n">
        <v>0</v>
      </c>
      <c r="J6807" t="n">
        <v>0</v>
      </c>
      <c r="K6807" t="n">
        <v>0</v>
      </c>
      <c r="L6807" t="n">
        <v>0</v>
      </c>
      <c r="M6807" t="n">
        <v>0</v>
      </c>
      <c r="N6807" t="n">
        <v>0</v>
      </c>
      <c r="O6807" t="n">
        <v>0</v>
      </c>
      <c r="P6807" t="n">
        <v>0</v>
      </c>
      <c r="Q6807" t="n">
        <v>0</v>
      </c>
      <c r="R6807" s="2" t="inlineStr"/>
    </row>
    <row r="6808" ht="15" customHeight="1">
      <c r="A6808" t="inlineStr">
        <is>
          <t>A 17318-2022</t>
        </is>
      </c>
      <c r="B6808" s="1" t="n">
        <v>44678</v>
      </c>
      <c r="C6808" s="1" t="n">
        <v>45810</v>
      </c>
      <c r="D6808" t="inlineStr">
        <is>
          <t>VÄRMLANDS LÄN</t>
        </is>
      </c>
      <c r="E6808" t="inlineStr">
        <is>
          <t>KARLSTAD</t>
        </is>
      </c>
      <c r="F6808" t="inlineStr">
        <is>
          <t>Naturvårdsverket</t>
        </is>
      </c>
      <c r="G6808" t="n">
        <v>2.8</v>
      </c>
      <c r="H6808" t="n">
        <v>0</v>
      </c>
      <c r="I6808" t="n">
        <v>0</v>
      </c>
      <c r="J6808" t="n">
        <v>0</v>
      </c>
      <c r="K6808" t="n">
        <v>0</v>
      </c>
      <c r="L6808" t="n">
        <v>0</v>
      </c>
      <c r="M6808" t="n">
        <v>0</v>
      </c>
      <c r="N6808" t="n">
        <v>0</v>
      </c>
      <c r="O6808" t="n">
        <v>0</v>
      </c>
      <c r="P6808" t="n">
        <v>0</v>
      </c>
      <c r="Q6808" t="n">
        <v>0</v>
      </c>
      <c r="R6808" s="2" t="inlineStr"/>
    </row>
    <row r="6809" ht="15" customHeight="1">
      <c r="A6809" t="inlineStr">
        <is>
          <t>A 17352-2022</t>
        </is>
      </c>
      <c r="B6809" s="1" t="n">
        <v>44678</v>
      </c>
      <c r="C6809" s="1" t="n">
        <v>45810</v>
      </c>
      <c r="D6809" t="inlineStr">
        <is>
          <t>VÄRMLANDS LÄN</t>
        </is>
      </c>
      <c r="E6809" t="inlineStr">
        <is>
          <t>ÅRJÄNG</t>
        </is>
      </c>
      <c r="G6809" t="n">
        <v>1.6</v>
      </c>
      <c r="H6809" t="n">
        <v>0</v>
      </c>
      <c r="I6809" t="n">
        <v>0</v>
      </c>
      <c r="J6809" t="n">
        <v>0</v>
      </c>
      <c r="K6809" t="n">
        <v>0</v>
      </c>
      <c r="L6809" t="n">
        <v>0</v>
      </c>
      <c r="M6809" t="n">
        <v>0</v>
      </c>
      <c r="N6809" t="n">
        <v>0</v>
      </c>
      <c r="O6809" t="n">
        <v>0</v>
      </c>
      <c r="P6809" t="n">
        <v>0</v>
      </c>
      <c r="Q6809" t="n">
        <v>0</v>
      </c>
      <c r="R6809" s="2" t="inlineStr"/>
    </row>
    <row r="6810" ht="15" customHeight="1">
      <c r="A6810" t="inlineStr">
        <is>
          <t>A 17358-2022</t>
        </is>
      </c>
      <c r="B6810" s="1" t="n">
        <v>44678</v>
      </c>
      <c r="C6810" s="1" t="n">
        <v>45810</v>
      </c>
      <c r="D6810" t="inlineStr">
        <is>
          <t>VÄRMLANDS LÄN</t>
        </is>
      </c>
      <c r="E6810" t="inlineStr">
        <is>
          <t>HAGFORS</t>
        </is>
      </c>
      <c r="F6810" t="inlineStr">
        <is>
          <t>Bergvik skog väst AB</t>
        </is>
      </c>
      <c r="G6810" t="n">
        <v>5</v>
      </c>
      <c r="H6810" t="n">
        <v>0</v>
      </c>
      <c r="I6810" t="n">
        <v>0</v>
      </c>
      <c r="J6810" t="n">
        <v>0</v>
      </c>
      <c r="K6810" t="n">
        <v>0</v>
      </c>
      <c r="L6810" t="n">
        <v>0</v>
      </c>
      <c r="M6810" t="n">
        <v>0</v>
      </c>
      <c r="N6810" t="n">
        <v>0</v>
      </c>
      <c r="O6810" t="n">
        <v>0</v>
      </c>
      <c r="P6810" t="n">
        <v>0</v>
      </c>
      <c r="Q6810" t="n">
        <v>0</v>
      </c>
      <c r="R6810" s="2" t="inlineStr"/>
    </row>
    <row r="6811" ht="15" customHeight="1">
      <c r="A6811" t="inlineStr">
        <is>
          <t>A 17402-2022</t>
        </is>
      </c>
      <c r="B6811" s="1" t="n">
        <v>44678</v>
      </c>
      <c r="C6811" s="1" t="n">
        <v>45810</v>
      </c>
      <c r="D6811" t="inlineStr">
        <is>
          <t>VÄRMLANDS LÄN</t>
        </is>
      </c>
      <c r="E6811" t="inlineStr">
        <is>
          <t>HAGFORS</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17396-2022</t>
        </is>
      </c>
      <c r="B6812" s="1" t="n">
        <v>44678</v>
      </c>
      <c r="C6812" s="1" t="n">
        <v>45810</v>
      </c>
      <c r="D6812" t="inlineStr">
        <is>
          <t>VÄRMLANDS LÄN</t>
        </is>
      </c>
      <c r="E6812" t="inlineStr">
        <is>
          <t>SÄFFLE</t>
        </is>
      </c>
      <c r="G6812" t="n">
        <v>2.2</v>
      </c>
      <c r="H6812" t="n">
        <v>0</v>
      </c>
      <c r="I6812" t="n">
        <v>0</v>
      </c>
      <c r="J6812" t="n">
        <v>0</v>
      </c>
      <c r="K6812" t="n">
        <v>0</v>
      </c>
      <c r="L6812" t="n">
        <v>0</v>
      </c>
      <c r="M6812" t="n">
        <v>0</v>
      </c>
      <c r="N6812" t="n">
        <v>0</v>
      </c>
      <c r="O6812" t="n">
        <v>0</v>
      </c>
      <c r="P6812" t="n">
        <v>0</v>
      </c>
      <c r="Q6812" t="n">
        <v>0</v>
      </c>
      <c r="R6812" s="2" t="inlineStr"/>
    </row>
    <row r="6813" ht="15" customHeight="1">
      <c r="A6813" t="inlineStr">
        <is>
          <t>A 17408-2022</t>
        </is>
      </c>
      <c r="B6813" s="1" t="n">
        <v>44678</v>
      </c>
      <c r="C6813" s="1" t="n">
        <v>45810</v>
      </c>
      <c r="D6813" t="inlineStr">
        <is>
          <t>VÄRMLANDS LÄN</t>
        </is>
      </c>
      <c r="E6813" t="inlineStr">
        <is>
          <t>KIL</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17505-2022</t>
        </is>
      </c>
      <c r="B6814" s="1" t="n">
        <v>44679</v>
      </c>
      <c r="C6814" s="1" t="n">
        <v>45810</v>
      </c>
      <c r="D6814" t="inlineStr">
        <is>
          <t>VÄRMLANDS LÄN</t>
        </is>
      </c>
      <c r="E6814" t="inlineStr">
        <is>
          <t>SÄFFLE</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17496-2022</t>
        </is>
      </c>
      <c r="B6815" s="1" t="n">
        <v>44679</v>
      </c>
      <c r="C6815" s="1" t="n">
        <v>45810</v>
      </c>
      <c r="D6815" t="inlineStr">
        <is>
          <t>VÄRMLANDS LÄN</t>
        </is>
      </c>
      <c r="E6815" t="inlineStr">
        <is>
          <t>SÄFFLE</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17512-2022</t>
        </is>
      </c>
      <c r="B6816" s="1" t="n">
        <v>44679</v>
      </c>
      <c r="C6816" s="1" t="n">
        <v>45810</v>
      </c>
      <c r="D6816" t="inlineStr">
        <is>
          <t>VÄRMLANDS LÄN</t>
        </is>
      </c>
      <c r="E6816" t="inlineStr">
        <is>
          <t>SUNNE</t>
        </is>
      </c>
      <c r="G6816" t="n">
        <v>0.5</v>
      </c>
      <c r="H6816" t="n">
        <v>0</v>
      </c>
      <c r="I6816" t="n">
        <v>0</v>
      </c>
      <c r="J6816" t="n">
        <v>0</v>
      </c>
      <c r="K6816" t="n">
        <v>0</v>
      </c>
      <c r="L6816" t="n">
        <v>0</v>
      </c>
      <c r="M6816" t="n">
        <v>0</v>
      </c>
      <c r="N6816" t="n">
        <v>0</v>
      </c>
      <c r="O6816" t="n">
        <v>0</v>
      </c>
      <c r="P6816" t="n">
        <v>0</v>
      </c>
      <c r="Q6816" t="n">
        <v>0</v>
      </c>
      <c r="R6816" s="2" t="inlineStr"/>
    </row>
    <row r="6817" ht="15" customHeight="1">
      <c r="A6817" t="inlineStr">
        <is>
          <t>A 17516-2022</t>
        </is>
      </c>
      <c r="B6817" s="1" t="n">
        <v>44679</v>
      </c>
      <c r="C6817" s="1" t="n">
        <v>45810</v>
      </c>
      <c r="D6817" t="inlineStr">
        <is>
          <t>VÄRMLANDS LÄN</t>
        </is>
      </c>
      <c r="E6817" t="inlineStr">
        <is>
          <t>KARLSTAD</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17514-2022</t>
        </is>
      </c>
      <c r="B6818" s="1" t="n">
        <v>44679</v>
      </c>
      <c r="C6818" s="1" t="n">
        <v>45810</v>
      </c>
      <c r="D6818" t="inlineStr">
        <is>
          <t>VÄRMLANDS LÄN</t>
        </is>
      </c>
      <c r="E6818" t="inlineStr">
        <is>
          <t>SUNNE</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17456-2022</t>
        </is>
      </c>
      <c r="B6819" s="1" t="n">
        <v>44679</v>
      </c>
      <c r="C6819" s="1" t="n">
        <v>45810</v>
      </c>
      <c r="D6819" t="inlineStr">
        <is>
          <t>VÄRMLANDS LÄN</t>
        </is>
      </c>
      <c r="E6819" t="inlineStr">
        <is>
          <t>ARVIKA</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17617-2022</t>
        </is>
      </c>
      <c r="B6820" s="1" t="n">
        <v>44680</v>
      </c>
      <c r="C6820" s="1" t="n">
        <v>45810</v>
      </c>
      <c r="D6820" t="inlineStr">
        <is>
          <t>VÄRMLANDS LÄN</t>
        </is>
      </c>
      <c r="E6820" t="inlineStr">
        <is>
          <t>FORSHAGA</t>
        </is>
      </c>
      <c r="F6820" t="inlineStr">
        <is>
          <t>Bergvik skog väst AB</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17623-2022</t>
        </is>
      </c>
      <c r="B6821" s="1" t="n">
        <v>44680</v>
      </c>
      <c r="C6821" s="1" t="n">
        <v>45810</v>
      </c>
      <c r="D6821" t="inlineStr">
        <is>
          <t>VÄRMLANDS LÄN</t>
        </is>
      </c>
      <c r="E6821" t="inlineStr">
        <is>
          <t>ARVIKA</t>
        </is>
      </c>
      <c r="G6821" t="n">
        <v>2.4</v>
      </c>
      <c r="H6821" t="n">
        <v>0</v>
      </c>
      <c r="I6821" t="n">
        <v>0</v>
      </c>
      <c r="J6821" t="n">
        <v>0</v>
      </c>
      <c r="K6821" t="n">
        <v>0</v>
      </c>
      <c r="L6821" t="n">
        <v>0</v>
      </c>
      <c r="M6821" t="n">
        <v>0</v>
      </c>
      <c r="N6821" t="n">
        <v>0</v>
      </c>
      <c r="O6821" t="n">
        <v>0</v>
      </c>
      <c r="P6821" t="n">
        <v>0</v>
      </c>
      <c r="Q6821" t="n">
        <v>0</v>
      </c>
      <c r="R6821" s="2" t="inlineStr"/>
    </row>
    <row r="6822" ht="15" customHeight="1">
      <c r="A6822" t="inlineStr">
        <is>
          <t>A 17652-2022</t>
        </is>
      </c>
      <c r="B6822" s="1" t="n">
        <v>44680</v>
      </c>
      <c r="C6822" s="1" t="n">
        <v>45810</v>
      </c>
      <c r="D6822" t="inlineStr">
        <is>
          <t>VÄRMLANDS LÄN</t>
        </is>
      </c>
      <c r="E6822" t="inlineStr">
        <is>
          <t>KRISTINEHAMN</t>
        </is>
      </c>
      <c r="F6822" t="inlineStr">
        <is>
          <t>Naturvårdsverket</t>
        </is>
      </c>
      <c r="G6822" t="n">
        <v>7.1</v>
      </c>
      <c r="H6822" t="n">
        <v>0</v>
      </c>
      <c r="I6822" t="n">
        <v>0</v>
      </c>
      <c r="J6822" t="n">
        <v>0</v>
      </c>
      <c r="K6822" t="n">
        <v>0</v>
      </c>
      <c r="L6822" t="n">
        <v>0</v>
      </c>
      <c r="M6822" t="n">
        <v>0</v>
      </c>
      <c r="N6822" t="n">
        <v>0</v>
      </c>
      <c r="O6822" t="n">
        <v>0</v>
      </c>
      <c r="P6822" t="n">
        <v>0</v>
      </c>
      <c r="Q6822" t="n">
        <v>0</v>
      </c>
      <c r="R6822" s="2" t="inlineStr"/>
    </row>
    <row r="6823" ht="15" customHeight="1">
      <c r="A6823" t="inlineStr">
        <is>
          <t>A 17635-2022</t>
        </is>
      </c>
      <c r="B6823" s="1" t="n">
        <v>44680</v>
      </c>
      <c r="C6823" s="1" t="n">
        <v>45810</v>
      </c>
      <c r="D6823" t="inlineStr">
        <is>
          <t>VÄRMLANDS LÄN</t>
        </is>
      </c>
      <c r="E6823" t="inlineStr">
        <is>
          <t>KIL</t>
        </is>
      </c>
      <c r="G6823" t="n">
        <v>0.9</v>
      </c>
      <c r="H6823" t="n">
        <v>0</v>
      </c>
      <c r="I6823" t="n">
        <v>0</v>
      </c>
      <c r="J6823" t="n">
        <v>0</v>
      </c>
      <c r="K6823" t="n">
        <v>0</v>
      </c>
      <c r="L6823" t="n">
        <v>0</v>
      </c>
      <c r="M6823" t="n">
        <v>0</v>
      </c>
      <c r="N6823" t="n">
        <v>0</v>
      </c>
      <c r="O6823" t="n">
        <v>0</v>
      </c>
      <c r="P6823" t="n">
        <v>0</v>
      </c>
      <c r="Q6823" t="n">
        <v>0</v>
      </c>
      <c r="R6823" s="2" t="inlineStr"/>
    </row>
    <row r="6824" ht="15" customHeight="1">
      <c r="A6824" t="inlineStr">
        <is>
          <t>A 17663-2022</t>
        </is>
      </c>
      <c r="B6824" s="1" t="n">
        <v>44680</v>
      </c>
      <c r="C6824" s="1" t="n">
        <v>45810</v>
      </c>
      <c r="D6824" t="inlineStr">
        <is>
          <t>VÄRMLANDS LÄN</t>
        </is>
      </c>
      <c r="E6824" t="inlineStr">
        <is>
          <t>ARVIKA</t>
        </is>
      </c>
      <c r="F6824" t="inlineStr">
        <is>
          <t>Bergvik skog väst AB</t>
        </is>
      </c>
      <c r="G6824" t="n">
        <v>13.2</v>
      </c>
      <c r="H6824" t="n">
        <v>0</v>
      </c>
      <c r="I6824" t="n">
        <v>0</v>
      </c>
      <c r="J6824" t="n">
        <v>0</v>
      </c>
      <c r="K6824" t="n">
        <v>0</v>
      </c>
      <c r="L6824" t="n">
        <v>0</v>
      </c>
      <c r="M6824" t="n">
        <v>0</v>
      </c>
      <c r="N6824" t="n">
        <v>0</v>
      </c>
      <c r="O6824" t="n">
        <v>0</v>
      </c>
      <c r="P6824" t="n">
        <v>0</v>
      </c>
      <c r="Q6824" t="n">
        <v>0</v>
      </c>
      <c r="R6824" s="2" t="inlineStr"/>
    </row>
    <row r="6825" ht="15" customHeight="1">
      <c r="A6825" t="inlineStr">
        <is>
          <t>A 17722-2022</t>
        </is>
      </c>
      <c r="B6825" s="1" t="n">
        <v>44680</v>
      </c>
      <c r="C6825" s="1" t="n">
        <v>45810</v>
      </c>
      <c r="D6825" t="inlineStr">
        <is>
          <t>VÄRMLANDS LÄN</t>
        </is>
      </c>
      <c r="E6825" t="inlineStr">
        <is>
          <t>ÅRJÄNG</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17765-2022</t>
        </is>
      </c>
      <c r="B6826" s="1" t="n">
        <v>44681</v>
      </c>
      <c r="C6826" s="1" t="n">
        <v>45810</v>
      </c>
      <c r="D6826" t="inlineStr">
        <is>
          <t>VÄRMLANDS LÄN</t>
        </is>
      </c>
      <c r="E6826" t="inlineStr">
        <is>
          <t>TORSBY</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17799-2022</t>
        </is>
      </c>
      <c r="B6827" s="1" t="n">
        <v>44683</v>
      </c>
      <c r="C6827" s="1" t="n">
        <v>45810</v>
      </c>
      <c r="D6827" t="inlineStr">
        <is>
          <t>VÄRMLANDS LÄN</t>
        </is>
      </c>
      <c r="E6827" t="inlineStr">
        <is>
          <t>EDA</t>
        </is>
      </c>
      <c r="G6827" t="n">
        <v>0.4</v>
      </c>
      <c r="H6827" t="n">
        <v>0</v>
      </c>
      <c r="I6827" t="n">
        <v>0</v>
      </c>
      <c r="J6827" t="n">
        <v>0</v>
      </c>
      <c r="K6827" t="n">
        <v>0</v>
      </c>
      <c r="L6827" t="n">
        <v>0</v>
      </c>
      <c r="M6827" t="n">
        <v>0</v>
      </c>
      <c r="N6827" t="n">
        <v>0</v>
      </c>
      <c r="O6827" t="n">
        <v>0</v>
      </c>
      <c r="P6827" t="n">
        <v>0</v>
      </c>
      <c r="Q6827" t="n">
        <v>0</v>
      </c>
      <c r="R6827" s="2" t="inlineStr"/>
    </row>
    <row r="6828" ht="15" customHeight="1">
      <c r="A6828" t="inlineStr">
        <is>
          <t>A 17833-2022</t>
        </is>
      </c>
      <c r="B6828" s="1" t="n">
        <v>44683</v>
      </c>
      <c r="C6828" s="1" t="n">
        <v>45810</v>
      </c>
      <c r="D6828" t="inlineStr">
        <is>
          <t>VÄRMLANDS LÄN</t>
        </is>
      </c>
      <c r="E6828" t="inlineStr">
        <is>
          <t>HAGFORS</t>
        </is>
      </c>
      <c r="G6828" t="n">
        <v>2.3</v>
      </c>
      <c r="H6828" t="n">
        <v>0</v>
      </c>
      <c r="I6828" t="n">
        <v>0</v>
      </c>
      <c r="J6828" t="n">
        <v>0</v>
      </c>
      <c r="K6828" t="n">
        <v>0</v>
      </c>
      <c r="L6828" t="n">
        <v>0</v>
      </c>
      <c r="M6828" t="n">
        <v>0</v>
      </c>
      <c r="N6828" t="n">
        <v>0</v>
      </c>
      <c r="O6828" t="n">
        <v>0</v>
      </c>
      <c r="P6828" t="n">
        <v>0</v>
      </c>
      <c r="Q6828" t="n">
        <v>0</v>
      </c>
      <c r="R6828" s="2" t="inlineStr"/>
    </row>
    <row r="6829" ht="15" customHeight="1">
      <c r="A6829" t="inlineStr">
        <is>
          <t>A 17860-2022</t>
        </is>
      </c>
      <c r="B6829" s="1" t="n">
        <v>44683</v>
      </c>
      <c r="C6829" s="1" t="n">
        <v>45810</v>
      </c>
      <c r="D6829" t="inlineStr">
        <is>
          <t>VÄRMLANDS LÄN</t>
        </is>
      </c>
      <c r="E6829" t="inlineStr">
        <is>
          <t>KRISTINEHAMN</t>
        </is>
      </c>
      <c r="G6829" t="n">
        <v>2.3</v>
      </c>
      <c r="H6829" t="n">
        <v>0</v>
      </c>
      <c r="I6829" t="n">
        <v>0</v>
      </c>
      <c r="J6829" t="n">
        <v>0</v>
      </c>
      <c r="K6829" t="n">
        <v>0</v>
      </c>
      <c r="L6829" t="n">
        <v>0</v>
      </c>
      <c r="M6829" t="n">
        <v>0</v>
      </c>
      <c r="N6829" t="n">
        <v>0</v>
      </c>
      <c r="O6829" t="n">
        <v>0</v>
      </c>
      <c r="P6829" t="n">
        <v>0</v>
      </c>
      <c r="Q6829" t="n">
        <v>0</v>
      </c>
      <c r="R6829" s="2" t="inlineStr"/>
    </row>
    <row r="6830" ht="15" customHeight="1">
      <c r="A6830" t="inlineStr">
        <is>
          <t>A 17867-2022</t>
        </is>
      </c>
      <c r="B6830" s="1" t="n">
        <v>44683</v>
      </c>
      <c r="C6830" s="1" t="n">
        <v>45810</v>
      </c>
      <c r="D6830" t="inlineStr">
        <is>
          <t>VÄRMLANDS LÄN</t>
        </is>
      </c>
      <c r="E6830" t="inlineStr">
        <is>
          <t>KRISTINEHAMN</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17923-2022</t>
        </is>
      </c>
      <c r="B6831" s="1" t="n">
        <v>44683</v>
      </c>
      <c r="C6831" s="1" t="n">
        <v>45810</v>
      </c>
      <c r="D6831" t="inlineStr">
        <is>
          <t>VÄRMLANDS LÄN</t>
        </is>
      </c>
      <c r="E6831" t="inlineStr">
        <is>
          <t>HAGFORS</t>
        </is>
      </c>
      <c r="F6831" t="inlineStr">
        <is>
          <t>Bergvik skog väst AB</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17801-2022</t>
        </is>
      </c>
      <c r="B6832" s="1" t="n">
        <v>44683</v>
      </c>
      <c r="C6832" s="1" t="n">
        <v>45810</v>
      </c>
      <c r="D6832" t="inlineStr">
        <is>
          <t>VÄRMLANDS LÄN</t>
        </is>
      </c>
      <c r="E6832" t="inlineStr">
        <is>
          <t>ARVIKA</t>
        </is>
      </c>
      <c r="F6832" t="inlineStr">
        <is>
          <t>Bergvik skog väst AB</t>
        </is>
      </c>
      <c r="G6832" t="n">
        <v>2</v>
      </c>
      <c r="H6832" t="n">
        <v>0</v>
      </c>
      <c r="I6832" t="n">
        <v>0</v>
      </c>
      <c r="J6832" t="n">
        <v>0</v>
      </c>
      <c r="K6832" t="n">
        <v>0</v>
      </c>
      <c r="L6832" t="n">
        <v>0</v>
      </c>
      <c r="M6832" t="n">
        <v>0</v>
      </c>
      <c r="N6832" t="n">
        <v>0</v>
      </c>
      <c r="O6832" t="n">
        <v>0</v>
      </c>
      <c r="P6832" t="n">
        <v>0</v>
      </c>
      <c r="Q6832" t="n">
        <v>0</v>
      </c>
      <c r="R6832" s="2" t="inlineStr"/>
    </row>
    <row r="6833" ht="15" customHeight="1">
      <c r="A6833" t="inlineStr">
        <is>
          <t>A 17916-2022</t>
        </is>
      </c>
      <c r="B6833" s="1" t="n">
        <v>44683</v>
      </c>
      <c r="C6833" s="1" t="n">
        <v>45810</v>
      </c>
      <c r="D6833" t="inlineStr">
        <is>
          <t>VÄRMLANDS LÄN</t>
        </is>
      </c>
      <c r="E6833" t="inlineStr">
        <is>
          <t>KARLSTAD</t>
        </is>
      </c>
      <c r="F6833" t="inlineStr">
        <is>
          <t>Kyrkan</t>
        </is>
      </c>
      <c r="G6833" t="n">
        <v>10.9</v>
      </c>
      <c r="H6833" t="n">
        <v>0</v>
      </c>
      <c r="I6833" t="n">
        <v>0</v>
      </c>
      <c r="J6833" t="n">
        <v>0</v>
      </c>
      <c r="K6833" t="n">
        <v>0</v>
      </c>
      <c r="L6833" t="n">
        <v>0</v>
      </c>
      <c r="M6833" t="n">
        <v>0</v>
      </c>
      <c r="N6833" t="n">
        <v>0</v>
      </c>
      <c r="O6833" t="n">
        <v>0</v>
      </c>
      <c r="P6833" t="n">
        <v>0</v>
      </c>
      <c r="Q6833" t="n">
        <v>0</v>
      </c>
      <c r="R6833" s="2" t="inlineStr"/>
    </row>
    <row r="6834" ht="15" customHeight="1">
      <c r="A6834" t="inlineStr">
        <is>
          <t>A 17802-2022</t>
        </is>
      </c>
      <c r="B6834" s="1" t="n">
        <v>44683</v>
      </c>
      <c r="C6834" s="1" t="n">
        <v>45810</v>
      </c>
      <c r="D6834" t="inlineStr">
        <is>
          <t>VÄRMLANDS LÄN</t>
        </is>
      </c>
      <c r="E6834" t="inlineStr">
        <is>
          <t>EDA</t>
        </is>
      </c>
      <c r="G6834" t="n">
        <v>4.4</v>
      </c>
      <c r="H6834" t="n">
        <v>0</v>
      </c>
      <c r="I6834" t="n">
        <v>0</v>
      </c>
      <c r="J6834" t="n">
        <v>0</v>
      </c>
      <c r="K6834" t="n">
        <v>0</v>
      </c>
      <c r="L6834" t="n">
        <v>0</v>
      </c>
      <c r="M6834" t="n">
        <v>0</v>
      </c>
      <c r="N6834" t="n">
        <v>0</v>
      </c>
      <c r="O6834" t="n">
        <v>0</v>
      </c>
      <c r="P6834" t="n">
        <v>0</v>
      </c>
      <c r="Q6834" t="n">
        <v>0</v>
      </c>
      <c r="R6834" s="2" t="inlineStr"/>
    </row>
    <row r="6835" ht="15" customHeight="1">
      <c r="A6835" t="inlineStr">
        <is>
          <t>A 17904-2022</t>
        </is>
      </c>
      <c r="B6835" s="1" t="n">
        <v>44683</v>
      </c>
      <c r="C6835" s="1" t="n">
        <v>45810</v>
      </c>
      <c r="D6835" t="inlineStr">
        <is>
          <t>VÄRMLANDS LÄN</t>
        </is>
      </c>
      <c r="E6835" t="inlineStr">
        <is>
          <t>SÄFFLE</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17944-2022</t>
        </is>
      </c>
      <c r="B6836" s="1" t="n">
        <v>44683</v>
      </c>
      <c r="C6836" s="1" t="n">
        <v>45810</v>
      </c>
      <c r="D6836" t="inlineStr">
        <is>
          <t>VÄRMLANDS LÄN</t>
        </is>
      </c>
      <c r="E6836" t="inlineStr">
        <is>
          <t>KRISTINEHAMN</t>
        </is>
      </c>
      <c r="G6836" t="n">
        <v>1.3</v>
      </c>
      <c r="H6836" t="n">
        <v>0</v>
      </c>
      <c r="I6836" t="n">
        <v>0</v>
      </c>
      <c r="J6836" t="n">
        <v>0</v>
      </c>
      <c r="K6836" t="n">
        <v>0</v>
      </c>
      <c r="L6836" t="n">
        <v>0</v>
      </c>
      <c r="M6836" t="n">
        <v>0</v>
      </c>
      <c r="N6836" t="n">
        <v>0</v>
      </c>
      <c r="O6836" t="n">
        <v>0</v>
      </c>
      <c r="P6836" t="n">
        <v>0</v>
      </c>
      <c r="Q6836" t="n">
        <v>0</v>
      </c>
      <c r="R6836" s="2" t="inlineStr"/>
    </row>
    <row r="6837" ht="15" customHeight="1">
      <c r="A6837" t="inlineStr">
        <is>
          <t>A 17914-2022</t>
        </is>
      </c>
      <c r="B6837" s="1" t="n">
        <v>44683</v>
      </c>
      <c r="C6837" s="1" t="n">
        <v>45810</v>
      </c>
      <c r="D6837" t="inlineStr">
        <is>
          <t>VÄRMLANDS LÄN</t>
        </is>
      </c>
      <c r="E6837" t="inlineStr">
        <is>
          <t>HAGFORS</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18177-2022</t>
        </is>
      </c>
      <c r="B6838" s="1" t="n">
        <v>44684</v>
      </c>
      <c r="C6838" s="1" t="n">
        <v>45810</v>
      </c>
      <c r="D6838" t="inlineStr">
        <is>
          <t>VÄRMLANDS LÄN</t>
        </is>
      </c>
      <c r="E6838" t="inlineStr">
        <is>
          <t>FORSHAGA</t>
        </is>
      </c>
      <c r="F6838" t="inlineStr">
        <is>
          <t>Bergvik skog väst AB</t>
        </is>
      </c>
      <c r="G6838" t="n">
        <v>13.7</v>
      </c>
      <c r="H6838" t="n">
        <v>0</v>
      </c>
      <c r="I6838" t="n">
        <v>0</v>
      </c>
      <c r="J6838" t="n">
        <v>0</v>
      </c>
      <c r="K6838" t="n">
        <v>0</v>
      </c>
      <c r="L6838" t="n">
        <v>0</v>
      </c>
      <c r="M6838" t="n">
        <v>0</v>
      </c>
      <c r="N6838" t="n">
        <v>0</v>
      </c>
      <c r="O6838" t="n">
        <v>0</v>
      </c>
      <c r="P6838" t="n">
        <v>0</v>
      </c>
      <c r="Q6838" t="n">
        <v>0</v>
      </c>
      <c r="R6838" s="2" t="inlineStr"/>
    </row>
    <row r="6839" ht="15" customHeight="1">
      <c r="A6839" t="inlineStr">
        <is>
          <t>A 18101-2022</t>
        </is>
      </c>
      <c r="B6839" s="1" t="n">
        <v>44684</v>
      </c>
      <c r="C6839" s="1" t="n">
        <v>45810</v>
      </c>
      <c r="D6839" t="inlineStr">
        <is>
          <t>VÄRMLANDS LÄN</t>
        </is>
      </c>
      <c r="E6839" t="inlineStr">
        <is>
          <t>TORSBY</t>
        </is>
      </c>
      <c r="G6839" t="n">
        <v>1.7</v>
      </c>
      <c r="H6839" t="n">
        <v>0</v>
      </c>
      <c r="I6839" t="n">
        <v>0</v>
      </c>
      <c r="J6839" t="n">
        <v>0</v>
      </c>
      <c r="K6839" t="n">
        <v>0</v>
      </c>
      <c r="L6839" t="n">
        <v>0</v>
      </c>
      <c r="M6839" t="n">
        <v>0</v>
      </c>
      <c r="N6839" t="n">
        <v>0</v>
      </c>
      <c r="O6839" t="n">
        <v>0</v>
      </c>
      <c r="P6839" t="n">
        <v>0</v>
      </c>
      <c r="Q6839" t="n">
        <v>0</v>
      </c>
      <c r="R6839" s="2" t="inlineStr"/>
    </row>
    <row r="6840" ht="15" customHeight="1">
      <c r="A6840" t="inlineStr">
        <is>
          <t>A 18115-2022</t>
        </is>
      </c>
      <c r="B6840" s="1" t="n">
        <v>44684</v>
      </c>
      <c r="C6840" s="1" t="n">
        <v>45810</v>
      </c>
      <c r="D6840" t="inlineStr">
        <is>
          <t>VÄRMLANDS LÄN</t>
        </is>
      </c>
      <c r="E6840" t="inlineStr">
        <is>
          <t>SUNNE</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18095-2022</t>
        </is>
      </c>
      <c r="B6841" s="1" t="n">
        <v>44684</v>
      </c>
      <c r="C6841" s="1" t="n">
        <v>45810</v>
      </c>
      <c r="D6841" t="inlineStr">
        <is>
          <t>VÄRMLANDS LÄN</t>
        </is>
      </c>
      <c r="E6841" t="inlineStr">
        <is>
          <t>ÅRJÄNG</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18105-2022</t>
        </is>
      </c>
      <c r="B6842" s="1" t="n">
        <v>44684</v>
      </c>
      <c r="C6842" s="1" t="n">
        <v>45810</v>
      </c>
      <c r="D6842" t="inlineStr">
        <is>
          <t>VÄRMLANDS LÄN</t>
        </is>
      </c>
      <c r="E6842" t="inlineStr">
        <is>
          <t>TORSBY</t>
        </is>
      </c>
      <c r="G6842" t="n">
        <v>2.1</v>
      </c>
      <c r="H6842" t="n">
        <v>0</v>
      </c>
      <c r="I6842" t="n">
        <v>0</v>
      </c>
      <c r="J6842" t="n">
        <v>0</v>
      </c>
      <c r="K6842" t="n">
        <v>0</v>
      </c>
      <c r="L6842" t="n">
        <v>0</v>
      </c>
      <c r="M6842" t="n">
        <v>0</v>
      </c>
      <c r="N6842" t="n">
        <v>0</v>
      </c>
      <c r="O6842" t="n">
        <v>0</v>
      </c>
      <c r="P6842" t="n">
        <v>0</v>
      </c>
      <c r="Q6842" t="n">
        <v>0</v>
      </c>
      <c r="R6842" s="2" t="inlineStr"/>
    </row>
    <row r="6843" ht="15" customHeight="1">
      <c r="A6843" t="inlineStr">
        <is>
          <t>A 18138-2022</t>
        </is>
      </c>
      <c r="B6843" s="1" t="n">
        <v>44684</v>
      </c>
      <c r="C6843" s="1" t="n">
        <v>45810</v>
      </c>
      <c r="D6843" t="inlineStr">
        <is>
          <t>VÄRMLANDS LÄN</t>
        </is>
      </c>
      <c r="E6843" t="inlineStr">
        <is>
          <t>FILIPSTAD</t>
        </is>
      </c>
      <c r="G6843" t="n">
        <v>2.7</v>
      </c>
      <c r="H6843" t="n">
        <v>0</v>
      </c>
      <c r="I6843" t="n">
        <v>0</v>
      </c>
      <c r="J6843" t="n">
        <v>0</v>
      </c>
      <c r="K6843" t="n">
        <v>0</v>
      </c>
      <c r="L6843" t="n">
        <v>0</v>
      </c>
      <c r="M6843" t="n">
        <v>0</v>
      </c>
      <c r="N6843" t="n">
        <v>0</v>
      </c>
      <c r="O6843" t="n">
        <v>0</v>
      </c>
      <c r="P6843" t="n">
        <v>0</v>
      </c>
      <c r="Q6843" t="n">
        <v>0</v>
      </c>
      <c r="R6843" s="2" t="inlineStr"/>
    </row>
    <row r="6844" ht="15" customHeight="1">
      <c r="A6844" t="inlineStr">
        <is>
          <t>A 18099-2022</t>
        </is>
      </c>
      <c r="B6844" s="1" t="n">
        <v>44684</v>
      </c>
      <c r="C6844" s="1" t="n">
        <v>45810</v>
      </c>
      <c r="D6844" t="inlineStr">
        <is>
          <t>VÄRMLANDS LÄN</t>
        </is>
      </c>
      <c r="E6844" t="inlineStr">
        <is>
          <t>TORSBY</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18303-2022</t>
        </is>
      </c>
      <c r="B6845" s="1" t="n">
        <v>44685</v>
      </c>
      <c r="C6845" s="1" t="n">
        <v>45810</v>
      </c>
      <c r="D6845" t="inlineStr">
        <is>
          <t>VÄRMLANDS LÄN</t>
        </is>
      </c>
      <c r="E6845" t="inlineStr">
        <is>
          <t>MUNKFORS</t>
        </is>
      </c>
      <c r="F6845" t="inlineStr">
        <is>
          <t>Bergvik skog väst AB</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18311-2022</t>
        </is>
      </c>
      <c r="B6846" s="1" t="n">
        <v>44685</v>
      </c>
      <c r="C6846" s="1" t="n">
        <v>45810</v>
      </c>
      <c r="D6846" t="inlineStr">
        <is>
          <t>VÄRMLANDS LÄN</t>
        </is>
      </c>
      <c r="E6846" t="inlineStr">
        <is>
          <t>SUNNE</t>
        </is>
      </c>
      <c r="G6846" t="n">
        <v>2.6</v>
      </c>
      <c r="H6846" t="n">
        <v>0</v>
      </c>
      <c r="I6846" t="n">
        <v>0</v>
      </c>
      <c r="J6846" t="n">
        <v>0</v>
      </c>
      <c r="K6846" t="n">
        <v>0</v>
      </c>
      <c r="L6846" t="n">
        <v>0</v>
      </c>
      <c r="M6846" t="n">
        <v>0</v>
      </c>
      <c r="N6846" t="n">
        <v>0</v>
      </c>
      <c r="O6846" t="n">
        <v>0</v>
      </c>
      <c r="P6846" t="n">
        <v>0</v>
      </c>
      <c r="Q6846" t="n">
        <v>0</v>
      </c>
      <c r="R6846" s="2" t="inlineStr"/>
    </row>
    <row r="6847" ht="15" customHeight="1">
      <c r="A6847" t="inlineStr">
        <is>
          <t>A 18332-2022</t>
        </is>
      </c>
      <c r="B6847" s="1" t="n">
        <v>44685</v>
      </c>
      <c r="C6847" s="1" t="n">
        <v>45810</v>
      </c>
      <c r="D6847" t="inlineStr">
        <is>
          <t>VÄRMLANDS LÄN</t>
        </is>
      </c>
      <c r="E6847" t="inlineStr">
        <is>
          <t>KARLSTAD</t>
        </is>
      </c>
      <c r="F6847" t="inlineStr">
        <is>
          <t>Naturvårdsverket</t>
        </is>
      </c>
      <c r="G6847" t="n">
        <v>22.1</v>
      </c>
      <c r="H6847" t="n">
        <v>0</v>
      </c>
      <c r="I6847" t="n">
        <v>0</v>
      </c>
      <c r="J6847" t="n">
        <v>0</v>
      </c>
      <c r="K6847" t="n">
        <v>0</v>
      </c>
      <c r="L6847" t="n">
        <v>0</v>
      </c>
      <c r="M6847" t="n">
        <v>0</v>
      </c>
      <c r="N6847" t="n">
        <v>0</v>
      </c>
      <c r="O6847" t="n">
        <v>0</v>
      </c>
      <c r="P6847" t="n">
        <v>0</v>
      </c>
      <c r="Q6847" t="n">
        <v>0</v>
      </c>
      <c r="R6847" s="2" t="inlineStr"/>
    </row>
    <row r="6848" ht="15" customHeight="1">
      <c r="A6848" t="inlineStr">
        <is>
          <t>A 18246-2022</t>
        </is>
      </c>
      <c r="B6848" s="1" t="n">
        <v>44685</v>
      </c>
      <c r="C6848" s="1" t="n">
        <v>45810</v>
      </c>
      <c r="D6848" t="inlineStr">
        <is>
          <t>VÄRMLANDS LÄN</t>
        </is>
      </c>
      <c r="E6848" t="inlineStr">
        <is>
          <t>EDA</t>
        </is>
      </c>
      <c r="G6848" t="n">
        <v>0.8</v>
      </c>
      <c r="H6848" t="n">
        <v>0</v>
      </c>
      <c r="I6848" t="n">
        <v>0</v>
      </c>
      <c r="J6848" t="n">
        <v>0</v>
      </c>
      <c r="K6848" t="n">
        <v>0</v>
      </c>
      <c r="L6848" t="n">
        <v>0</v>
      </c>
      <c r="M6848" t="n">
        <v>0</v>
      </c>
      <c r="N6848" t="n">
        <v>0</v>
      </c>
      <c r="O6848" t="n">
        <v>0</v>
      </c>
      <c r="P6848" t="n">
        <v>0</v>
      </c>
      <c r="Q6848" t="n">
        <v>0</v>
      </c>
      <c r="R6848" s="2" t="inlineStr"/>
    </row>
    <row r="6849" ht="15" customHeight="1">
      <c r="A6849" t="inlineStr">
        <is>
          <t>A 18334-2022</t>
        </is>
      </c>
      <c r="B6849" s="1" t="n">
        <v>44685</v>
      </c>
      <c r="C6849" s="1" t="n">
        <v>45810</v>
      </c>
      <c r="D6849" t="inlineStr">
        <is>
          <t>VÄRMLANDS LÄN</t>
        </is>
      </c>
      <c r="E6849" t="inlineStr">
        <is>
          <t>HAGFORS</t>
        </is>
      </c>
      <c r="F6849" t="inlineStr">
        <is>
          <t>Bergvik skog väst AB</t>
        </is>
      </c>
      <c r="G6849" t="n">
        <v>3.9</v>
      </c>
      <c r="H6849" t="n">
        <v>0</v>
      </c>
      <c r="I6849" t="n">
        <v>0</v>
      </c>
      <c r="J6849" t="n">
        <v>0</v>
      </c>
      <c r="K6849" t="n">
        <v>0</v>
      </c>
      <c r="L6849" t="n">
        <v>0</v>
      </c>
      <c r="M6849" t="n">
        <v>0</v>
      </c>
      <c r="N6849" t="n">
        <v>0</v>
      </c>
      <c r="O6849" t="n">
        <v>0</v>
      </c>
      <c r="P6849" t="n">
        <v>0</v>
      </c>
      <c r="Q6849" t="n">
        <v>0</v>
      </c>
      <c r="R6849" s="2" t="inlineStr"/>
    </row>
    <row r="6850" ht="15" customHeight="1">
      <c r="A6850" t="inlineStr">
        <is>
          <t>A 18347-2022</t>
        </is>
      </c>
      <c r="B6850" s="1" t="n">
        <v>44685</v>
      </c>
      <c r="C6850" s="1" t="n">
        <v>45810</v>
      </c>
      <c r="D6850" t="inlineStr">
        <is>
          <t>VÄRMLANDS LÄN</t>
        </is>
      </c>
      <c r="E6850" t="inlineStr">
        <is>
          <t>TORSBY</t>
        </is>
      </c>
      <c r="F6850" t="inlineStr">
        <is>
          <t>Bergvik skog väst AB</t>
        </is>
      </c>
      <c r="G6850" t="n">
        <v>14.6</v>
      </c>
      <c r="H6850" t="n">
        <v>0</v>
      </c>
      <c r="I6850" t="n">
        <v>0</v>
      </c>
      <c r="J6850" t="n">
        <v>0</v>
      </c>
      <c r="K6850" t="n">
        <v>0</v>
      </c>
      <c r="L6850" t="n">
        <v>0</v>
      </c>
      <c r="M6850" t="n">
        <v>0</v>
      </c>
      <c r="N6850" t="n">
        <v>0</v>
      </c>
      <c r="O6850" t="n">
        <v>0</v>
      </c>
      <c r="P6850" t="n">
        <v>0</v>
      </c>
      <c r="Q6850" t="n">
        <v>0</v>
      </c>
      <c r="R6850" s="2" t="inlineStr"/>
    </row>
    <row r="6851" ht="15" customHeight="1">
      <c r="A6851" t="inlineStr">
        <is>
          <t>A 18253-2022</t>
        </is>
      </c>
      <c r="B6851" s="1" t="n">
        <v>44685</v>
      </c>
      <c r="C6851" s="1" t="n">
        <v>45810</v>
      </c>
      <c r="D6851" t="inlineStr">
        <is>
          <t>VÄRMLANDS LÄN</t>
        </is>
      </c>
      <c r="E6851" t="inlineStr">
        <is>
          <t>KARLSTAD</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18389-2022</t>
        </is>
      </c>
      <c r="B6852" s="1" t="n">
        <v>44685</v>
      </c>
      <c r="C6852" s="1" t="n">
        <v>45810</v>
      </c>
      <c r="D6852" t="inlineStr">
        <is>
          <t>VÄRMLANDS LÄN</t>
        </is>
      </c>
      <c r="E6852" t="inlineStr">
        <is>
          <t>ÅRJÄNG</t>
        </is>
      </c>
      <c r="G6852" t="n">
        <v>11.1</v>
      </c>
      <c r="H6852" t="n">
        <v>0</v>
      </c>
      <c r="I6852" t="n">
        <v>0</v>
      </c>
      <c r="J6852" t="n">
        <v>0</v>
      </c>
      <c r="K6852" t="n">
        <v>0</v>
      </c>
      <c r="L6852" t="n">
        <v>0</v>
      </c>
      <c r="M6852" t="n">
        <v>0</v>
      </c>
      <c r="N6852" t="n">
        <v>0</v>
      </c>
      <c r="O6852" t="n">
        <v>0</v>
      </c>
      <c r="P6852" t="n">
        <v>0</v>
      </c>
      <c r="Q6852" t="n">
        <v>0</v>
      </c>
      <c r="R6852" s="2" t="inlineStr"/>
    </row>
    <row r="6853" ht="15" customHeight="1">
      <c r="A6853" t="inlineStr">
        <is>
          <t>A 18406-2022</t>
        </is>
      </c>
      <c r="B6853" s="1" t="n">
        <v>44686</v>
      </c>
      <c r="C6853" s="1" t="n">
        <v>45810</v>
      </c>
      <c r="D6853" t="inlineStr">
        <is>
          <t>VÄRMLANDS LÄN</t>
        </is>
      </c>
      <c r="E6853" t="inlineStr">
        <is>
          <t>SUNNE</t>
        </is>
      </c>
      <c r="G6853" t="n">
        <v>0.4</v>
      </c>
      <c r="H6853" t="n">
        <v>0</v>
      </c>
      <c r="I6853" t="n">
        <v>0</v>
      </c>
      <c r="J6853" t="n">
        <v>0</v>
      </c>
      <c r="K6853" t="n">
        <v>0</v>
      </c>
      <c r="L6853" t="n">
        <v>0</v>
      </c>
      <c r="M6853" t="n">
        <v>0</v>
      </c>
      <c r="N6853" t="n">
        <v>0</v>
      </c>
      <c r="O6853" t="n">
        <v>0</v>
      </c>
      <c r="P6853" t="n">
        <v>0</v>
      </c>
      <c r="Q6853" t="n">
        <v>0</v>
      </c>
      <c r="R6853" s="2" t="inlineStr"/>
    </row>
    <row r="6854" ht="15" customHeight="1">
      <c r="A6854" t="inlineStr">
        <is>
          <t>A 18420-2022</t>
        </is>
      </c>
      <c r="B6854" s="1" t="n">
        <v>44686</v>
      </c>
      <c r="C6854" s="1" t="n">
        <v>45810</v>
      </c>
      <c r="D6854" t="inlineStr">
        <is>
          <t>VÄRMLANDS LÄN</t>
        </is>
      </c>
      <c r="E6854" t="inlineStr">
        <is>
          <t>ÅRJÄNG</t>
        </is>
      </c>
      <c r="G6854" t="n">
        <v>3.2</v>
      </c>
      <c r="H6854" t="n">
        <v>0</v>
      </c>
      <c r="I6854" t="n">
        <v>0</v>
      </c>
      <c r="J6854" t="n">
        <v>0</v>
      </c>
      <c r="K6854" t="n">
        <v>0</v>
      </c>
      <c r="L6854" t="n">
        <v>0</v>
      </c>
      <c r="M6854" t="n">
        <v>0</v>
      </c>
      <c r="N6854" t="n">
        <v>0</v>
      </c>
      <c r="O6854" t="n">
        <v>0</v>
      </c>
      <c r="P6854" t="n">
        <v>0</v>
      </c>
      <c r="Q6854" t="n">
        <v>0</v>
      </c>
      <c r="R6854" s="2" t="inlineStr"/>
    </row>
    <row r="6855" ht="15" customHeight="1">
      <c r="A6855" t="inlineStr">
        <is>
          <t>A 18470-2022</t>
        </is>
      </c>
      <c r="B6855" s="1" t="n">
        <v>44686</v>
      </c>
      <c r="C6855" s="1" t="n">
        <v>45810</v>
      </c>
      <c r="D6855" t="inlineStr">
        <is>
          <t>VÄRMLANDS LÄN</t>
        </is>
      </c>
      <c r="E6855" t="inlineStr">
        <is>
          <t>KARLSTAD</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18502-2022</t>
        </is>
      </c>
      <c r="B6856" s="1" t="n">
        <v>44686</v>
      </c>
      <c r="C6856" s="1" t="n">
        <v>45810</v>
      </c>
      <c r="D6856" t="inlineStr">
        <is>
          <t>VÄRMLANDS LÄN</t>
        </is>
      </c>
      <c r="E6856" t="inlineStr">
        <is>
          <t>SUNNE</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18451-2022</t>
        </is>
      </c>
      <c r="B6857" s="1" t="n">
        <v>44686</v>
      </c>
      <c r="C6857" s="1" t="n">
        <v>45810</v>
      </c>
      <c r="D6857" t="inlineStr">
        <is>
          <t>VÄRMLANDS LÄN</t>
        </is>
      </c>
      <c r="E6857" t="inlineStr">
        <is>
          <t>KIL</t>
        </is>
      </c>
      <c r="G6857" t="n">
        <v>4.1</v>
      </c>
      <c r="H6857" t="n">
        <v>0</v>
      </c>
      <c r="I6857" t="n">
        <v>0</v>
      </c>
      <c r="J6857" t="n">
        <v>0</v>
      </c>
      <c r="K6857" t="n">
        <v>0</v>
      </c>
      <c r="L6857" t="n">
        <v>0</v>
      </c>
      <c r="M6857" t="n">
        <v>0</v>
      </c>
      <c r="N6857" t="n">
        <v>0</v>
      </c>
      <c r="O6857" t="n">
        <v>0</v>
      </c>
      <c r="P6857" t="n">
        <v>0</v>
      </c>
      <c r="Q6857" t="n">
        <v>0</v>
      </c>
      <c r="R6857" s="2" t="inlineStr"/>
    </row>
    <row r="6858" ht="15" customHeight="1">
      <c r="A6858" t="inlineStr">
        <is>
          <t>A 18471-2022</t>
        </is>
      </c>
      <c r="B6858" s="1" t="n">
        <v>44686</v>
      </c>
      <c r="C6858" s="1" t="n">
        <v>45810</v>
      </c>
      <c r="D6858" t="inlineStr">
        <is>
          <t>VÄRMLANDS LÄN</t>
        </is>
      </c>
      <c r="E6858" t="inlineStr">
        <is>
          <t>KARLSTAD</t>
        </is>
      </c>
      <c r="G6858" t="n">
        <v>2</v>
      </c>
      <c r="H6858" t="n">
        <v>0</v>
      </c>
      <c r="I6858" t="n">
        <v>0</v>
      </c>
      <c r="J6858" t="n">
        <v>0</v>
      </c>
      <c r="K6858" t="n">
        <v>0</v>
      </c>
      <c r="L6858" t="n">
        <v>0</v>
      </c>
      <c r="M6858" t="n">
        <v>0</v>
      </c>
      <c r="N6858" t="n">
        <v>0</v>
      </c>
      <c r="O6858" t="n">
        <v>0</v>
      </c>
      <c r="P6858" t="n">
        <v>0</v>
      </c>
      <c r="Q6858" t="n">
        <v>0</v>
      </c>
      <c r="R6858" s="2" t="inlineStr"/>
    </row>
    <row r="6859" ht="15" customHeight="1">
      <c r="A6859" t="inlineStr">
        <is>
          <t>A 18479-2022</t>
        </is>
      </c>
      <c r="B6859" s="1" t="n">
        <v>44686</v>
      </c>
      <c r="C6859" s="1" t="n">
        <v>45810</v>
      </c>
      <c r="D6859" t="inlineStr">
        <is>
          <t>VÄRMLANDS LÄN</t>
        </is>
      </c>
      <c r="E6859" t="inlineStr">
        <is>
          <t>SÄFFLE</t>
        </is>
      </c>
      <c r="G6859" t="n">
        <v>2.4</v>
      </c>
      <c r="H6859" t="n">
        <v>0</v>
      </c>
      <c r="I6859" t="n">
        <v>0</v>
      </c>
      <c r="J6859" t="n">
        <v>0</v>
      </c>
      <c r="K6859" t="n">
        <v>0</v>
      </c>
      <c r="L6859" t="n">
        <v>0</v>
      </c>
      <c r="M6859" t="n">
        <v>0</v>
      </c>
      <c r="N6859" t="n">
        <v>0</v>
      </c>
      <c r="O6859" t="n">
        <v>0</v>
      </c>
      <c r="P6859" t="n">
        <v>0</v>
      </c>
      <c r="Q6859" t="n">
        <v>0</v>
      </c>
      <c r="R6859" s="2" t="inlineStr"/>
    </row>
    <row r="6860" ht="15" customHeight="1">
      <c r="A6860" t="inlineStr">
        <is>
          <t>A 18699-2022</t>
        </is>
      </c>
      <c r="B6860" s="1" t="n">
        <v>44687</v>
      </c>
      <c r="C6860" s="1" t="n">
        <v>45810</v>
      </c>
      <c r="D6860" t="inlineStr">
        <is>
          <t>VÄRMLANDS LÄN</t>
        </is>
      </c>
      <c r="E6860" t="inlineStr">
        <is>
          <t>HAGFORS</t>
        </is>
      </c>
      <c r="F6860" t="inlineStr">
        <is>
          <t>Bergvik skog väst AB</t>
        </is>
      </c>
      <c r="G6860" t="n">
        <v>20.2</v>
      </c>
      <c r="H6860" t="n">
        <v>0</v>
      </c>
      <c r="I6860" t="n">
        <v>0</v>
      </c>
      <c r="J6860" t="n">
        <v>0</v>
      </c>
      <c r="K6860" t="n">
        <v>0</v>
      </c>
      <c r="L6860" t="n">
        <v>0</v>
      </c>
      <c r="M6860" t="n">
        <v>0</v>
      </c>
      <c r="N6860" t="n">
        <v>0</v>
      </c>
      <c r="O6860" t="n">
        <v>0</v>
      </c>
      <c r="P6860" t="n">
        <v>0</v>
      </c>
      <c r="Q6860" t="n">
        <v>0</v>
      </c>
      <c r="R6860" s="2" t="inlineStr"/>
    </row>
    <row r="6861" ht="15" customHeight="1">
      <c r="A6861" t="inlineStr">
        <is>
          <t>A 18617-2022</t>
        </is>
      </c>
      <c r="B6861" s="1" t="n">
        <v>44687</v>
      </c>
      <c r="C6861" s="1" t="n">
        <v>45810</v>
      </c>
      <c r="D6861" t="inlineStr">
        <is>
          <t>VÄRMLANDS LÄN</t>
        </is>
      </c>
      <c r="E6861" t="inlineStr">
        <is>
          <t>HAGFORS</t>
        </is>
      </c>
      <c r="F6861" t="inlineStr">
        <is>
          <t>Bergvik skog väst AB</t>
        </is>
      </c>
      <c r="G6861" t="n">
        <v>6.8</v>
      </c>
      <c r="H6861" t="n">
        <v>0</v>
      </c>
      <c r="I6861" t="n">
        <v>0</v>
      </c>
      <c r="J6861" t="n">
        <v>0</v>
      </c>
      <c r="K6861" t="n">
        <v>0</v>
      </c>
      <c r="L6861" t="n">
        <v>0</v>
      </c>
      <c r="M6861" t="n">
        <v>0</v>
      </c>
      <c r="N6861" t="n">
        <v>0</v>
      </c>
      <c r="O6861" t="n">
        <v>0</v>
      </c>
      <c r="P6861" t="n">
        <v>0</v>
      </c>
      <c r="Q6861" t="n">
        <v>0</v>
      </c>
      <c r="R6861" s="2" t="inlineStr"/>
    </row>
    <row r="6862" ht="15" customHeight="1">
      <c r="A6862" t="inlineStr">
        <is>
          <t>A 18628-2022</t>
        </is>
      </c>
      <c r="B6862" s="1" t="n">
        <v>44687</v>
      </c>
      <c r="C6862" s="1" t="n">
        <v>45810</v>
      </c>
      <c r="D6862" t="inlineStr">
        <is>
          <t>VÄRMLANDS LÄN</t>
        </is>
      </c>
      <c r="E6862" t="inlineStr">
        <is>
          <t>TORSBY</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18637-2022</t>
        </is>
      </c>
      <c r="B6863" s="1" t="n">
        <v>44687</v>
      </c>
      <c r="C6863" s="1" t="n">
        <v>45810</v>
      </c>
      <c r="D6863" t="inlineStr">
        <is>
          <t>VÄRMLANDS LÄN</t>
        </is>
      </c>
      <c r="E6863" t="inlineStr">
        <is>
          <t>HAGFORS</t>
        </is>
      </c>
      <c r="F6863" t="inlineStr">
        <is>
          <t>Bergvik skog väst AB</t>
        </is>
      </c>
      <c r="G6863" t="n">
        <v>7.6</v>
      </c>
      <c r="H6863" t="n">
        <v>0</v>
      </c>
      <c r="I6863" t="n">
        <v>0</v>
      </c>
      <c r="J6863" t="n">
        <v>0</v>
      </c>
      <c r="K6863" t="n">
        <v>0</v>
      </c>
      <c r="L6863" t="n">
        <v>0</v>
      </c>
      <c r="M6863" t="n">
        <v>0</v>
      </c>
      <c r="N6863" t="n">
        <v>0</v>
      </c>
      <c r="O6863" t="n">
        <v>0</v>
      </c>
      <c r="P6863" t="n">
        <v>0</v>
      </c>
      <c r="Q6863" t="n">
        <v>0</v>
      </c>
      <c r="R6863" s="2" t="inlineStr"/>
    </row>
    <row r="6864" ht="15" customHeight="1">
      <c r="A6864" t="inlineStr">
        <is>
          <t>A 18697-2022</t>
        </is>
      </c>
      <c r="B6864" s="1" t="n">
        <v>44687</v>
      </c>
      <c r="C6864" s="1" t="n">
        <v>45810</v>
      </c>
      <c r="D6864" t="inlineStr">
        <is>
          <t>VÄRMLANDS LÄN</t>
        </is>
      </c>
      <c r="E6864" t="inlineStr">
        <is>
          <t>KARLSTAD</t>
        </is>
      </c>
      <c r="F6864" t="inlineStr">
        <is>
          <t>Bergvik skog väst AB</t>
        </is>
      </c>
      <c r="G6864" t="n">
        <v>12.5</v>
      </c>
      <c r="H6864" t="n">
        <v>0</v>
      </c>
      <c r="I6864" t="n">
        <v>0</v>
      </c>
      <c r="J6864" t="n">
        <v>0</v>
      </c>
      <c r="K6864" t="n">
        <v>0</v>
      </c>
      <c r="L6864" t="n">
        <v>0</v>
      </c>
      <c r="M6864" t="n">
        <v>0</v>
      </c>
      <c r="N6864" t="n">
        <v>0</v>
      </c>
      <c r="O6864" t="n">
        <v>0</v>
      </c>
      <c r="P6864" t="n">
        <v>0</v>
      </c>
      <c r="Q6864" t="n">
        <v>0</v>
      </c>
      <c r="R6864" s="2" t="inlineStr"/>
    </row>
    <row r="6865" ht="15" customHeight="1">
      <c r="A6865" t="inlineStr">
        <is>
          <t>A 18702-2022</t>
        </is>
      </c>
      <c r="B6865" s="1" t="n">
        <v>44687</v>
      </c>
      <c r="C6865" s="1" t="n">
        <v>45810</v>
      </c>
      <c r="D6865" t="inlineStr">
        <is>
          <t>VÄRMLANDS LÄN</t>
        </is>
      </c>
      <c r="E6865" t="inlineStr">
        <is>
          <t>ÅRJÄNG</t>
        </is>
      </c>
      <c r="G6865" t="n">
        <v>1.6</v>
      </c>
      <c r="H6865" t="n">
        <v>0</v>
      </c>
      <c r="I6865" t="n">
        <v>0</v>
      </c>
      <c r="J6865" t="n">
        <v>0</v>
      </c>
      <c r="K6865" t="n">
        <v>0</v>
      </c>
      <c r="L6865" t="n">
        <v>0</v>
      </c>
      <c r="M6865" t="n">
        <v>0</v>
      </c>
      <c r="N6865" t="n">
        <v>0</v>
      </c>
      <c r="O6865" t="n">
        <v>0</v>
      </c>
      <c r="P6865" t="n">
        <v>0</v>
      </c>
      <c r="Q6865" t="n">
        <v>0</v>
      </c>
      <c r="R6865" s="2" t="inlineStr"/>
    </row>
    <row r="6866" ht="15" customHeight="1">
      <c r="A6866" t="inlineStr">
        <is>
          <t>A 18779-2022</t>
        </is>
      </c>
      <c r="B6866" s="1" t="n">
        <v>44689</v>
      </c>
      <c r="C6866" s="1" t="n">
        <v>45810</v>
      </c>
      <c r="D6866" t="inlineStr">
        <is>
          <t>VÄRMLANDS LÄN</t>
        </is>
      </c>
      <c r="E6866" t="inlineStr">
        <is>
          <t>TORSBY</t>
        </is>
      </c>
      <c r="G6866" t="n">
        <v>5.1</v>
      </c>
      <c r="H6866" t="n">
        <v>0</v>
      </c>
      <c r="I6866" t="n">
        <v>0</v>
      </c>
      <c r="J6866" t="n">
        <v>0</v>
      </c>
      <c r="K6866" t="n">
        <v>0</v>
      </c>
      <c r="L6866" t="n">
        <v>0</v>
      </c>
      <c r="M6866" t="n">
        <v>0</v>
      </c>
      <c r="N6866" t="n">
        <v>0</v>
      </c>
      <c r="O6866" t="n">
        <v>0</v>
      </c>
      <c r="P6866" t="n">
        <v>0</v>
      </c>
      <c r="Q6866" t="n">
        <v>0</v>
      </c>
      <c r="R6866" s="2" t="inlineStr"/>
    </row>
    <row r="6867" ht="15" customHeight="1">
      <c r="A6867" t="inlineStr">
        <is>
          <t>A 18791-2022</t>
        </is>
      </c>
      <c r="B6867" s="1" t="n">
        <v>44690</v>
      </c>
      <c r="C6867" s="1" t="n">
        <v>45810</v>
      </c>
      <c r="D6867" t="inlineStr">
        <is>
          <t>VÄRMLANDS LÄN</t>
        </is>
      </c>
      <c r="E6867" t="inlineStr">
        <is>
          <t>GRUMS</t>
        </is>
      </c>
      <c r="F6867" t="inlineStr">
        <is>
          <t>Bergvik skog väst AB</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18840-2022</t>
        </is>
      </c>
      <c r="B6868" s="1" t="n">
        <v>44690</v>
      </c>
      <c r="C6868" s="1" t="n">
        <v>45810</v>
      </c>
      <c r="D6868" t="inlineStr">
        <is>
          <t>VÄRMLANDS LÄN</t>
        </is>
      </c>
      <c r="E6868" t="inlineStr">
        <is>
          <t>ÅRJÄNG</t>
        </is>
      </c>
      <c r="G6868" t="n">
        <v>2.9</v>
      </c>
      <c r="H6868" t="n">
        <v>0</v>
      </c>
      <c r="I6868" t="n">
        <v>0</v>
      </c>
      <c r="J6868" t="n">
        <v>0</v>
      </c>
      <c r="K6868" t="n">
        <v>0</v>
      </c>
      <c r="L6868" t="n">
        <v>0</v>
      </c>
      <c r="M6868" t="n">
        <v>0</v>
      </c>
      <c r="N6868" t="n">
        <v>0</v>
      </c>
      <c r="O6868" t="n">
        <v>0</v>
      </c>
      <c r="P6868" t="n">
        <v>0</v>
      </c>
      <c r="Q6868" t="n">
        <v>0</v>
      </c>
      <c r="R6868" s="2" t="inlineStr"/>
    </row>
    <row r="6869" ht="15" customHeight="1">
      <c r="A6869" t="inlineStr">
        <is>
          <t>A 18897-2022</t>
        </is>
      </c>
      <c r="B6869" s="1" t="n">
        <v>44690</v>
      </c>
      <c r="C6869" s="1" t="n">
        <v>45810</v>
      </c>
      <c r="D6869" t="inlineStr">
        <is>
          <t>VÄRMLANDS LÄN</t>
        </is>
      </c>
      <c r="E6869" t="inlineStr">
        <is>
          <t>TORSBY</t>
        </is>
      </c>
      <c r="F6869" t="inlineStr">
        <is>
          <t>Bergvik skog väst AB</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18877-2022</t>
        </is>
      </c>
      <c r="B6870" s="1" t="n">
        <v>44690</v>
      </c>
      <c r="C6870" s="1" t="n">
        <v>45810</v>
      </c>
      <c r="D6870" t="inlineStr">
        <is>
          <t>VÄRMLANDS LÄN</t>
        </is>
      </c>
      <c r="E6870" t="inlineStr">
        <is>
          <t>TORSBY</t>
        </is>
      </c>
      <c r="G6870" t="n">
        <v>3.1</v>
      </c>
      <c r="H6870" t="n">
        <v>0</v>
      </c>
      <c r="I6870" t="n">
        <v>0</v>
      </c>
      <c r="J6870" t="n">
        <v>0</v>
      </c>
      <c r="K6870" t="n">
        <v>0</v>
      </c>
      <c r="L6870" t="n">
        <v>0</v>
      </c>
      <c r="M6870" t="n">
        <v>0</v>
      </c>
      <c r="N6870" t="n">
        <v>0</v>
      </c>
      <c r="O6870" t="n">
        <v>0</v>
      </c>
      <c r="P6870" t="n">
        <v>0</v>
      </c>
      <c r="Q6870" t="n">
        <v>0</v>
      </c>
      <c r="R6870" s="2" t="inlineStr"/>
    </row>
    <row r="6871" ht="15" customHeight="1">
      <c r="A6871" t="inlineStr">
        <is>
          <t>A 18895-2022</t>
        </is>
      </c>
      <c r="B6871" s="1" t="n">
        <v>44690</v>
      </c>
      <c r="C6871" s="1" t="n">
        <v>45810</v>
      </c>
      <c r="D6871" t="inlineStr">
        <is>
          <t>VÄRMLANDS LÄN</t>
        </is>
      </c>
      <c r="E6871" t="inlineStr">
        <is>
          <t>FORSHAGA</t>
        </is>
      </c>
      <c r="F6871" t="inlineStr">
        <is>
          <t>Bergvik skog väst AB</t>
        </is>
      </c>
      <c r="G6871" t="n">
        <v>3.4</v>
      </c>
      <c r="H6871" t="n">
        <v>0</v>
      </c>
      <c r="I6871" t="n">
        <v>0</v>
      </c>
      <c r="J6871" t="n">
        <v>0</v>
      </c>
      <c r="K6871" t="n">
        <v>0</v>
      </c>
      <c r="L6871" t="n">
        <v>0</v>
      </c>
      <c r="M6871" t="n">
        <v>0</v>
      </c>
      <c r="N6871" t="n">
        <v>0</v>
      </c>
      <c r="O6871" t="n">
        <v>0</v>
      </c>
      <c r="P6871" t="n">
        <v>0</v>
      </c>
      <c r="Q6871" t="n">
        <v>0</v>
      </c>
      <c r="R6871" s="2" t="inlineStr"/>
    </row>
    <row r="6872" ht="15" customHeight="1">
      <c r="A6872" t="inlineStr">
        <is>
          <t>A 18903-2022</t>
        </is>
      </c>
      <c r="B6872" s="1" t="n">
        <v>44690</v>
      </c>
      <c r="C6872" s="1" t="n">
        <v>45810</v>
      </c>
      <c r="D6872" t="inlineStr">
        <is>
          <t>VÄRMLANDS LÄN</t>
        </is>
      </c>
      <c r="E6872" t="inlineStr">
        <is>
          <t>TORSBY</t>
        </is>
      </c>
      <c r="F6872" t="inlineStr">
        <is>
          <t>Bergvik skog väst AB</t>
        </is>
      </c>
      <c r="G6872" t="n">
        <v>1.8</v>
      </c>
      <c r="H6872" t="n">
        <v>0</v>
      </c>
      <c r="I6872" t="n">
        <v>0</v>
      </c>
      <c r="J6872" t="n">
        <v>0</v>
      </c>
      <c r="K6872" t="n">
        <v>0</v>
      </c>
      <c r="L6872" t="n">
        <v>0</v>
      </c>
      <c r="M6872" t="n">
        <v>0</v>
      </c>
      <c r="N6872" t="n">
        <v>0</v>
      </c>
      <c r="O6872" t="n">
        <v>0</v>
      </c>
      <c r="P6872" t="n">
        <v>0</v>
      </c>
      <c r="Q6872" t="n">
        <v>0</v>
      </c>
      <c r="R6872" s="2" t="inlineStr"/>
    </row>
    <row r="6873" ht="15" customHeight="1">
      <c r="A6873" t="inlineStr">
        <is>
          <t>A 18875-2022</t>
        </is>
      </c>
      <c r="B6873" s="1" t="n">
        <v>44690</v>
      </c>
      <c r="C6873" s="1" t="n">
        <v>45810</v>
      </c>
      <c r="D6873" t="inlineStr">
        <is>
          <t>VÄRMLANDS LÄN</t>
        </is>
      </c>
      <c r="E6873" t="inlineStr">
        <is>
          <t>ARVIKA</t>
        </is>
      </c>
      <c r="F6873" t="inlineStr">
        <is>
          <t>Bergvik skog väst AB</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19018-2022</t>
        </is>
      </c>
      <c r="B6874" s="1" t="n">
        <v>44691</v>
      </c>
      <c r="C6874" s="1" t="n">
        <v>45810</v>
      </c>
      <c r="D6874" t="inlineStr">
        <is>
          <t>VÄRMLANDS LÄN</t>
        </is>
      </c>
      <c r="E6874" t="inlineStr">
        <is>
          <t>FILIPSTAD</t>
        </is>
      </c>
      <c r="F6874" t="inlineStr">
        <is>
          <t>Bergvik skog väst AB</t>
        </is>
      </c>
      <c r="G6874" t="n">
        <v>4.4</v>
      </c>
      <c r="H6874" t="n">
        <v>0</v>
      </c>
      <c r="I6874" t="n">
        <v>0</v>
      </c>
      <c r="J6874" t="n">
        <v>0</v>
      </c>
      <c r="K6874" t="n">
        <v>0</v>
      </c>
      <c r="L6874" t="n">
        <v>0</v>
      </c>
      <c r="M6874" t="n">
        <v>0</v>
      </c>
      <c r="N6874" t="n">
        <v>0</v>
      </c>
      <c r="O6874" t="n">
        <v>0</v>
      </c>
      <c r="P6874" t="n">
        <v>0</v>
      </c>
      <c r="Q6874" t="n">
        <v>0</v>
      </c>
      <c r="R6874" s="2" t="inlineStr"/>
    </row>
    <row r="6875" ht="15" customHeight="1">
      <c r="A6875" t="inlineStr">
        <is>
          <t>A 19137-2022</t>
        </is>
      </c>
      <c r="B6875" s="1" t="n">
        <v>44691</v>
      </c>
      <c r="C6875" s="1" t="n">
        <v>45810</v>
      </c>
      <c r="D6875" t="inlineStr">
        <is>
          <t>VÄRMLANDS LÄN</t>
        </is>
      </c>
      <c r="E6875" t="inlineStr">
        <is>
          <t>ARVIKA</t>
        </is>
      </c>
      <c r="G6875" t="n">
        <v>9.5</v>
      </c>
      <c r="H6875" t="n">
        <v>0</v>
      </c>
      <c r="I6875" t="n">
        <v>0</v>
      </c>
      <c r="J6875" t="n">
        <v>0</v>
      </c>
      <c r="K6875" t="n">
        <v>0</v>
      </c>
      <c r="L6875" t="n">
        <v>0</v>
      </c>
      <c r="M6875" t="n">
        <v>0</v>
      </c>
      <c r="N6875" t="n">
        <v>0</v>
      </c>
      <c r="O6875" t="n">
        <v>0</v>
      </c>
      <c r="P6875" t="n">
        <v>0</v>
      </c>
      <c r="Q6875" t="n">
        <v>0</v>
      </c>
      <c r="R6875" s="2" t="inlineStr"/>
    </row>
    <row r="6876" ht="15" customHeight="1">
      <c r="A6876" t="inlineStr">
        <is>
          <t>A 19171-2022</t>
        </is>
      </c>
      <c r="B6876" s="1" t="n">
        <v>44691</v>
      </c>
      <c r="C6876" s="1" t="n">
        <v>45810</v>
      </c>
      <c r="D6876" t="inlineStr">
        <is>
          <t>VÄRMLANDS LÄN</t>
        </is>
      </c>
      <c r="E6876" t="inlineStr">
        <is>
          <t>TORSBY</t>
        </is>
      </c>
      <c r="F6876" t="inlineStr">
        <is>
          <t>Bergvik skog väst AB</t>
        </is>
      </c>
      <c r="G6876" t="n">
        <v>23.3</v>
      </c>
      <c r="H6876" t="n">
        <v>0</v>
      </c>
      <c r="I6876" t="n">
        <v>0</v>
      </c>
      <c r="J6876" t="n">
        <v>0</v>
      </c>
      <c r="K6876" t="n">
        <v>0</v>
      </c>
      <c r="L6876" t="n">
        <v>0</v>
      </c>
      <c r="M6876" t="n">
        <v>0</v>
      </c>
      <c r="N6876" t="n">
        <v>0</v>
      </c>
      <c r="O6876" t="n">
        <v>0</v>
      </c>
      <c r="P6876" t="n">
        <v>0</v>
      </c>
      <c r="Q6876" t="n">
        <v>0</v>
      </c>
      <c r="R6876" s="2" t="inlineStr"/>
    </row>
    <row r="6877" ht="15" customHeight="1">
      <c r="A6877" t="inlineStr">
        <is>
          <t>A 19030-2022</t>
        </is>
      </c>
      <c r="B6877" s="1" t="n">
        <v>44691</v>
      </c>
      <c r="C6877" s="1" t="n">
        <v>45810</v>
      </c>
      <c r="D6877" t="inlineStr">
        <is>
          <t>VÄRMLANDS LÄN</t>
        </is>
      </c>
      <c r="E6877" t="inlineStr">
        <is>
          <t>FILIPSTAD</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19127-2022</t>
        </is>
      </c>
      <c r="B6878" s="1" t="n">
        <v>44691</v>
      </c>
      <c r="C6878" s="1" t="n">
        <v>45810</v>
      </c>
      <c r="D6878" t="inlineStr">
        <is>
          <t>VÄRMLANDS LÄN</t>
        </is>
      </c>
      <c r="E6878" t="inlineStr">
        <is>
          <t>ÅRJÄNG</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19270-2022</t>
        </is>
      </c>
      <c r="B6879" s="1" t="n">
        <v>44692</v>
      </c>
      <c r="C6879" s="1" t="n">
        <v>45810</v>
      </c>
      <c r="D6879" t="inlineStr">
        <is>
          <t>VÄRMLANDS LÄN</t>
        </is>
      </c>
      <c r="E6879" t="inlineStr">
        <is>
          <t>EDA</t>
        </is>
      </c>
      <c r="G6879" t="n">
        <v>3.7</v>
      </c>
      <c r="H6879" t="n">
        <v>0</v>
      </c>
      <c r="I6879" t="n">
        <v>0</v>
      </c>
      <c r="J6879" t="n">
        <v>0</v>
      </c>
      <c r="K6879" t="n">
        <v>0</v>
      </c>
      <c r="L6879" t="n">
        <v>0</v>
      </c>
      <c r="M6879" t="n">
        <v>0</v>
      </c>
      <c r="N6879" t="n">
        <v>0</v>
      </c>
      <c r="O6879" t="n">
        <v>0</v>
      </c>
      <c r="P6879" t="n">
        <v>0</v>
      </c>
      <c r="Q6879" t="n">
        <v>0</v>
      </c>
      <c r="R6879" s="2" t="inlineStr"/>
    </row>
    <row r="6880" ht="15" customHeight="1">
      <c r="A6880" t="inlineStr">
        <is>
          <t>A 19282-2022</t>
        </is>
      </c>
      <c r="B6880" s="1" t="n">
        <v>44692</v>
      </c>
      <c r="C6880" s="1" t="n">
        <v>45810</v>
      </c>
      <c r="D6880" t="inlineStr">
        <is>
          <t>VÄRMLANDS LÄN</t>
        </is>
      </c>
      <c r="E6880" t="inlineStr">
        <is>
          <t>EDA</t>
        </is>
      </c>
      <c r="G6880" t="n">
        <v>5.1</v>
      </c>
      <c r="H6880" t="n">
        <v>0</v>
      </c>
      <c r="I6880" t="n">
        <v>0</v>
      </c>
      <c r="J6880" t="n">
        <v>0</v>
      </c>
      <c r="K6880" t="n">
        <v>0</v>
      </c>
      <c r="L6880" t="n">
        <v>0</v>
      </c>
      <c r="M6880" t="n">
        <v>0</v>
      </c>
      <c r="N6880" t="n">
        <v>0</v>
      </c>
      <c r="O6880" t="n">
        <v>0</v>
      </c>
      <c r="P6880" t="n">
        <v>0</v>
      </c>
      <c r="Q6880" t="n">
        <v>0</v>
      </c>
      <c r="R6880" s="2" t="inlineStr"/>
    </row>
    <row r="6881" ht="15" customHeight="1">
      <c r="A6881" t="inlineStr">
        <is>
          <t>A 19320-2022</t>
        </is>
      </c>
      <c r="B6881" s="1" t="n">
        <v>44692</v>
      </c>
      <c r="C6881" s="1" t="n">
        <v>45810</v>
      </c>
      <c r="D6881" t="inlineStr">
        <is>
          <t>VÄRMLANDS LÄN</t>
        </is>
      </c>
      <c r="E6881" t="inlineStr">
        <is>
          <t>MUNKFORS</t>
        </is>
      </c>
      <c r="G6881" t="n">
        <v>6.2</v>
      </c>
      <c r="H6881" t="n">
        <v>0</v>
      </c>
      <c r="I6881" t="n">
        <v>0</v>
      </c>
      <c r="J6881" t="n">
        <v>0</v>
      </c>
      <c r="K6881" t="n">
        <v>0</v>
      </c>
      <c r="L6881" t="n">
        <v>0</v>
      </c>
      <c r="M6881" t="n">
        <v>0</v>
      </c>
      <c r="N6881" t="n">
        <v>0</v>
      </c>
      <c r="O6881" t="n">
        <v>0</v>
      </c>
      <c r="P6881" t="n">
        <v>0</v>
      </c>
      <c r="Q6881" t="n">
        <v>0</v>
      </c>
      <c r="R6881" s="2" t="inlineStr"/>
    </row>
    <row r="6882" ht="15" customHeight="1">
      <c r="A6882" t="inlineStr">
        <is>
          <t>A 19340-2022</t>
        </is>
      </c>
      <c r="B6882" s="1" t="n">
        <v>44692</v>
      </c>
      <c r="C6882" s="1" t="n">
        <v>45810</v>
      </c>
      <c r="D6882" t="inlineStr">
        <is>
          <t>VÄRMLANDS LÄN</t>
        </is>
      </c>
      <c r="E6882" t="inlineStr">
        <is>
          <t>SUNNE</t>
        </is>
      </c>
      <c r="G6882" t="n">
        <v>2.3</v>
      </c>
      <c r="H6882" t="n">
        <v>0</v>
      </c>
      <c r="I6882" t="n">
        <v>0</v>
      </c>
      <c r="J6882" t="n">
        <v>0</v>
      </c>
      <c r="K6882" t="n">
        <v>0</v>
      </c>
      <c r="L6882" t="n">
        <v>0</v>
      </c>
      <c r="M6882" t="n">
        <v>0</v>
      </c>
      <c r="N6882" t="n">
        <v>0</v>
      </c>
      <c r="O6882" t="n">
        <v>0</v>
      </c>
      <c r="P6882" t="n">
        <v>0</v>
      </c>
      <c r="Q6882" t="n">
        <v>0</v>
      </c>
      <c r="R6882" s="2" t="inlineStr"/>
    </row>
    <row r="6883" ht="15" customHeight="1">
      <c r="A6883" t="inlineStr">
        <is>
          <t>A 19307-2022</t>
        </is>
      </c>
      <c r="B6883" s="1" t="n">
        <v>44692</v>
      </c>
      <c r="C6883" s="1" t="n">
        <v>45810</v>
      </c>
      <c r="D6883" t="inlineStr">
        <is>
          <t>VÄRMLANDS LÄN</t>
        </is>
      </c>
      <c r="E6883" t="inlineStr">
        <is>
          <t>TORSBY</t>
        </is>
      </c>
      <c r="G6883" t="n">
        <v>3.2</v>
      </c>
      <c r="H6883" t="n">
        <v>0</v>
      </c>
      <c r="I6883" t="n">
        <v>0</v>
      </c>
      <c r="J6883" t="n">
        <v>0</v>
      </c>
      <c r="K6883" t="n">
        <v>0</v>
      </c>
      <c r="L6883" t="n">
        <v>0</v>
      </c>
      <c r="M6883" t="n">
        <v>0</v>
      </c>
      <c r="N6883" t="n">
        <v>0</v>
      </c>
      <c r="O6883" t="n">
        <v>0</v>
      </c>
      <c r="P6883" t="n">
        <v>0</v>
      </c>
      <c r="Q6883" t="n">
        <v>0</v>
      </c>
      <c r="R6883" s="2" t="inlineStr"/>
    </row>
    <row r="6884" ht="15" customHeight="1">
      <c r="A6884" t="inlineStr">
        <is>
          <t>A 19324-2022</t>
        </is>
      </c>
      <c r="B6884" s="1" t="n">
        <v>44692</v>
      </c>
      <c r="C6884" s="1" t="n">
        <v>45810</v>
      </c>
      <c r="D6884" t="inlineStr">
        <is>
          <t>VÄRMLANDS LÄN</t>
        </is>
      </c>
      <c r="E6884" t="inlineStr">
        <is>
          <t>STORFORS</t>
        </is>
      </c>
      <c r="G6884" t="n">
        <v>1.8</v>
      </c>
      <c r="H6884" t="n">
        <v>0</v>
      </c>
      <c r="I6884" t="n">
        <v>0</v>
      </c>
      <c r="J6884" t="n">
        <v>0</v>
      </c>
      <c r="K6884" t="n">
        <v>0</v>
      </c>
      <c r="L6884" t="n">
        <v>0</v>
      </c>
      <c r="M6884" t="n">
        <v>0</v>
      </c>
      <c r="N6884" t="n">
        <v>0</v>
      </c>
      <c r="O6884" t="n">
        <v>0</v>
      </c>
      <c r="P6884" t="n">
        <v>0</v>
      </c>
      <c r="Q6884" t="n">
        <v>0</v>
      </c>
      <c r="R6884" s="2" t="inlineStr"/>
    </row>
    <row r="6885" ht="15" customHeight="1">
      <c r="A6885" t="inlineStr">
        <is>
          <t>A 19469-2022</t>
        </is>
      </c>
      <c r="B6885" s="1" t="n">
        <v>44693</v>
      </c>
      <c r="C6885" s="1" t="n">
        <v>45810</v>
      </c>
      <c r="D6885" t="inlineStr">
        <is>
          <t>VÄRMLANDS LÄN</t>
        </is>
      </c>
      <c r="E6885" t="inlineStr">
        <is>
          <t>FORSHAGA</t>
        </is>
      </c>
      <c r="F6885" t="inlineStr">
        <is>
          <t>Bergvik skog väst AB</t>
        </is>
      </c>
      <c r="G6885" t="n">
        <v>11.1</v>
      </c>
      <c r="H6885" t="n">
        <v>0</v>
      </c>
      <c r="I6885" t="n">
        <v>0</v>
      </c>
      <c r="J6885" t="n">
        <v>0</v>
      </c>
      <c r="K6885" t="n">
        <v>0</v>
      </c>
      <c r="L6885" t="n">
        <v>0</v>
      </c>
      <c r="M6885" t="n">
        <v>0</v>
      </c>
      <c r="N6885" t="n">
        <v>0</v>
      </c>
      <c r="O6885" t="n">
        <v>0</v>
      </c>
      <c r="P6885" t="n">
        <v>0</v>
      </c>
      <c r="Q6885" t="n">
        <v>0</v>
      </c>
      <c r="R6885" s="2" t="inlineStr"/>
    </row>
    <row r="6886" ht="15" customHeight="1">
      <c r="A6886" t="inlineStr">
        <is>
          <t>A 19454-2022</t>
        </is>
      </c>
      <c r="B6886" s="1" t="n">
        <v>44693</v>
      </c>
      <c r="C6886" s="1" t="n">
        <v>45810</v>
      </c>
      <c r="D6886" t="inlineStr">
        <is>
          <t>VÄRMLANDS LÄN</t>
        </is>
      </c>
      <c r="E6886" t="inlineStr">
        <is>
          <t>SUNNE</t>
        </is>
      </c>
      <c r="G6886" t="n">
        <v>8.9</v>
      </c>
      <c r="H6886" t="n">
        <v>0</v>
      </c>
      <c r="I6886" t="n">
        <v>0</v>
      </c>
      <c r="J6886" t="n">
        <v>0</v>
      </c>
      <c r="K6886" t="n">
        <v>0</v>
      </c>
      <c r="L6886" t="n">
        <v>0</v>
      </c>
      <c r="M6886" t="n">
        <v>0</v>
      </c>
      <c r="N6886" t="n">
        <v>0</v>
      </c>
      <c r="O6886" t="n">
        <v>0</v>
      </c>
      <c r="P6886" t="n">
        <v>0</v>
      </c>
      <c r="Q6886" t="n">
        <v>0</v>
      </c>
      <c r="R6886" s="2" t="inlineStr"/>
    </row>
    <row r="6887" ht="15" customHeight="1">
      <c r="A6887" t="inlineStr">
        <is>
          <t>A 19523-2022</t>
        </is>
      </c>
      <c r="B6887" s="1" t="n">
        <v>44693</v>
      </c>
      <c r="C6887" s="1" t="n">
        <v>45810</v>
      </c>
      <c r="D6887" t="inlineStr">
        <is>
          <t>VÄRMLANDS LÄN</t>
        </is>
      </c>
      <c r="E6887" t="inlineStr">
        <is>
          <t>SUNNE</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19526-2022</t>
        </is>
      </c>
      <c r="B6888" s="1" t="n">
        <v>44693</v>
      </c>
      <c r="C6888" s="1" t="n">
        <v>45810</v>
      </c>
      <c r="D6888" t="inlineStr">
        <is>
          <t>VÄRMLANDS LÄN</t>
        </is>
      </c>
      <c r="E6888" t="inlineStr">
        <is>
          <t>SUNNE</t>
        </is>
      </c>
      <c r="G6888" t="n">
        <v>2.4</v>
      </c>
      <c r="H6888" t="n">
        <v>0</v>
      </c>
      <c r="I6888" t="n">
        <v>0</v>
      </c>
      <c r="J6888" t="n">
        <v>0</v>
      </c>
      <c r="K6888" t="n">
        <v>0</v>
      </c>
      <c r="L6888" t="n">
        <v>0</v>
      </c>
      <c r="M6888" t="n">
        <v>0</v>
      </c>
      <c r="N6888" t="n">
        <v>0</v>
      </c>
      <c r="O6888" t="n">
        <v>0</v>
      </c>
      <c r="P6888" t="n">
        <v>0</v>
      </c>
      <c r="Q6888" t="n">
        <v>0</v>
      </c>
      <c r="R6888" s="2" t="inlineStr"/>
    </row>
    <row r="6889" ht="15" customHeight="1">
      <c r="A6889" t="inlineStr">
        <is>
          <t>A 19489-2022</t>
        </is>
      </c>
      <c r="B6889" s="1" t="n">
        <v>44693</v>
      </c>
      <c r="C6889" s="1" t="n">
        <v>45810</v>
      </c>
      <c r="D6889" t="inlineStr">
        <is>
          <t>VÄRMLANDS LÄN</t>
        </is>
      </c>
      <c r="E6889" t="inlineStr">
        <is>
          <t>TORSBY</t>
        </is>
      </c>
      <c r="G6889" t="n">
        <v>2.3</v>
      </c>
      <c r="H6889" t="n">
        <v>0</v>
      </c>
      <c r="I6889" t="n">
        <v>0</v>
      </c>
      <c r="J6889" t="n">
        <v>0</v>
      </c>
      <c r="K6889" t="n">
        <v>0</v>
      </c>
      <c r="L6889" t="n">
        <v>0</v>
      </c>
      <c r="M6889" t="n">
        <v>0</v>
      </c>
      <c r="N6889" t="n">
        <v>0</v>
      </c>
      <c r="O6889" t="n">
        <v>0</v>
      </c>
      <c r="P6889" t="n">
        <v>0</v>
      </c>
      <c r="Q6889" t="n">
        <v>0</v>
      </c>
      <c r="R6889" s="2" t="inlineStr"/>
    </row>
    <row r="6890" ht="15" customHeight="1">
      <c r="A6890" t="inlineStr">
        <is>
          <t>A 19520-2022</t>
        </is>
      </c>
      <c r="B6890" s="1" t="n">
        <v>44693</v>
      </c>
      <c r="C6890" s="1" t="n">
        <v>45810</v>
      </c>
      <c r="D6890" t="inlineStr">
        <is>
          <t>VÄRMLANDS LÄN</t>
        </is>
      </c>
      <c r="E6890" t="inlineStr">
        <is>
          <t>EDA</t>
        </is>
      </c>
      <c r="G6890" t="n">
        <v>5.6</v>
      </c>
      <c r="H6890" t="n">
        <v>0</v>
      </c>
      <c r="I6890" t="n">
        <v>0</v>
      </c>
      <c r="J6890" t="n">
        <v>0</v>
      </c>
      <c r="K6890" t="n">
        <v>0</v>
      </c>
      <c r="L6890" t="n">
        <v>0</v>
      </c>
      <c r="M6890" t="n">
        <v>0</v>
      </c>
      <c r="N6890" t="n">
        <v>0</v>
      </c>
      <c r="O6890" t="n">
        <v>0</v>
      </c>
      <c r="P6890" t="n">
        <v>0</v>
      </c>
      <c r="Q6890" t="n">
        <v>0</v>
      </c>
      <c r="R6890" s="2" t="inlineStr"/>
    </row>
    <row r="6891" ht="15" customHeight="1">
      <c r="A6891" t="inlineStr">
        <is>
          <t>A 19632-2022</t>
        </is>
      </c>
      <c r="B6891" s="1" t="n">
        <v>44694</v>
      </c>
      <c r="C6891" s="1" t="n">
        <v>45810</v>
      </c>
      <c r="D6891" t="inlineStr">
        <is>
          <t>VÄRMLANDS LÄN</t>
        </is>
      </c>
      <c r="E6891" t="inlineStr">
        <is>
          <t>TORSBY</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19662-2022</t>
        </is>
      </c>
      <c r="B6892" s="1" t="n">
        <v>44694</v>
      </c>
      <c r="C6892" s="1" t="n">
        <v>45810</v>
      </c>
      <c r="D6892" t="inlineStr">
        <is>
          <t>VÄRMLANDS LÄN</t>
        </is>
      </c>
      <c r="E6892" t="inlineStr">
        <is>
          <t>FORSHAGA</t>
        </is>
      </c>
      <c r="G6892" t="n">
        <v>7.7</v>
      </c>
      <c r="H6892" t="n">
        <v>0</v>
      </c>
      <c r="I6892" t="n">
        <v>0</v>
      </c>
      <c r="J6892" t="n">
        <v>0</v>
      </c>
      <c r="K6892" t="n">
        <v>0</v>
      </c>
      <c r="L6892" t="n">
        <v>0</v>
      </c>
      <c r="M6892" t="n">
        <v>0</v>
      </c>
      <c r="N6892" t="n">
        <v>0</v>
      </c>
      <c r="O6892" t="n">
        <v>0</v>
      </c>
      <c r="P6892" t="n">
        <v>0</v>
      </c>
      <c r="Q6892" t="n">
        <v>0</v>
      </c>
      <c r="R6892" s="2" t="inlineStr"/>
    </row>
    <row r="6893" ht="15" customHeight="1">
      <c r="A6893" t="inlineStr">
        <is>
          <t>A 19669-2022</t>
        </is>
      </c>
      <c r="B6893" s="1" t="n">
        <v>44694</v>
      </c>
      <c r="C6893" s="1" t="n">
        <v>45810</v>
      </c>
      <c r="D6893" t="inlineStr">
        <is>
          <t>VÄRMLANDS LÄN</t>
        </is>
      </c>
      <c r="E6893" t="inlineStr">
        <is>
          <t>GRUMS</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19691-2022</t>
        </is>
      </c>
      <c r="B6894" s="1" t="n">
        <v>44694</v>
      </c>
      <c r="C6894" s="1" t="n">
        <v>45810</v>
      </c>
      <c r="D6894" t="inlineStr">
        <is>
          <t>VÄRMLANDS LÄN</t>
        </is>
      </c>
      <c r="E6894" t="inlineStr">
        <is>
          <t>EDA</t>
        </is>
      </c>
      <c r="G6894" t="n">
        <v>0.9</v>
      </c>
      <c r="H6894" t="n">
        <v>0</v>
      </c>
      <c r="I6894" t="n">
        <v>0</v>
      </c>
      <c r="J6894" t="n">
        <v>0</v>
      </c>
      <c r="K6894" t="n">
        <v>0</v>
      </c>
      <c r="L6894" t="n">
        <v>0</v>
      </c>
      <c r="M6894" t="n">
        <v>0</v>
      </c>
      <c r="N6894" t="n">
        <v>0</v>
      </c>
      <c r="O6894" t="n">
        <v>0</v>
      </c>
      <c r="P6894" t="n">
        <v>0</v>
      </c>
      <c r="Q6894" t="n">
        <v>0</v>
      </c>
      <c r="R6894" s="2" t="inlineStr"/>
    </row>
    <row r="6895" ht="15" customHeight="1">
      <c r="A6895" t="inlineStr">
        <is>
          <t>A 19702-2022</t>
        </is>
      </c>
      <c r="B6895" s="1" t="n">
        <v>44694</v>
      </c>
      <c r="C6895" s="1" t="n">
        <v>45810</v>
      </c>
      <c r="D6895" t="inlineStr">
        <is>
          <t>VÄRMLANDS LÄN</t>
        </is>
      </c>
      <c r="E6895" t="inlineStr">
        <is>
          <t>HAGFORS</t>
        </is>
      </c>
      <c r="F6895" t="inlineStr">
        <is>
          <t>Bergvik skog väst AB</t>
        </is>
      </c>
      <c r="G6895" t="n">
        <v>24.6</v>
      </c>
      <c r="H6895" t="n">
        <v>0</v>
      </c>
      <c r="I6895" t="n">
        <v>0</v>
      </c>
      <c r="J6895" t="n">
        <v>0</v>
      </c>
      <c r="K6895" t="n">
        <v>0</v>
      </c>
      <c r="L6895" t="n">
        <v>0</v>
      </c>
      <c r="M6895" t="n">
        <v>0</v>
      </c>
      <c r="N6895" t="n">
        <v>0</v>
      </c>
      <c r="O6895" t="n">
        <v>0</v>
      </c>
      <c r="P6895" t="n">
        <v>0</v>
      </c>
      <c r="Q6895" t="n">
        <v>0</v>
      </c>
      <c r="R6895" s="2" t="inlineStr"/>
    </row>
    <row r="6896" ht="15" customHeight="1">
      <c r="A6896" t="inlineStr">
        <is>
          <t>A 19737-2022</t>
        </is>
      </c>
      <c r="B6896" s="1" t="n">
        <v>44694</v>
      </c>
      <c r="C6896" s="1" t="n">
        <v>45810</v>
      </c>
      <c r="D6896" t="inlineStr">
        <is>
          <t>VÄRMLANDS LÄN</t>
        </is>
      </c>
      <c r="E6896" t="inlineStr">
        <is>
          <t>SUNNE</t>
        </is>
      </c>
      <c r="G6896" t="n">
        <v>3.1</v>
      </c>
      <c r="H6896" t="n">
        <v>0</v>
      </c>
      <c r="I6896" t="n">
        <v>0</v>
      </c>
      <c r="J6896" t="n">
        <v>0</v>
      </c>
      <c r="K6896" t="n">
        <v>0</v>
      </c>
      <c r="L6896" t="n">
        <v>0</v>
      </c>
      <c r="M6896" t="n">
        <v>0</v>
      </c>
      <c r="N6896" t="n">
        <v>0</v>
      </c>
      <c r="O6896" t="n">
        <v>0</v>
      </c>
      <c r="P6896" t="n">
        <v>0</v>
      </c>
      <c r="Q6896" t="n">
        <v>0</v>
      </c>
      <c r="R6896" s="2" t="inlineStr"/>
    </row>
    <row r="6897" ht="15" customHeight="1">
      <c r="A6897" t="inlineStr">
        <is>
          <t>A 19743-2022</t>
        </is>
      </c>
      <c r="B6897" s="1" t="n">
        <v>44694</v>
      </c>
      <c r="C6897" s="1" t="n">
        <v>45810</v>
      </c>
      <c r="D6897" t="inlineStr">
        <is>
          <t>VÄRMLANDS LÄN</t>
        </is>
      </c>
      <c r="E6897" t="inlineStr">
        <is>
          <t>HAGFORS</t>
        </is>
      </c>
      <c r="F6897" t="inlineStr">
        <is>
          <t>Bergvik skog väst AB</t>
        </is>
      </c>
      <c r="G6897" t="n">
        <v>3.8</v>
      </c>
      <c r="H6897" t="n">
        <v>0</v>
      </c>
      <c r="I6897" t="n">
        <v>0</v>
      </c>
      <c r="J6897" t="n">
        <v>0</v>
      </c>
      <c r="K6897" t="n">
        <v>0</v>
      </c>
      <c r="L6897" t="n">
        <v>0</v>
      </c>
      <c r="M6897" t="n">
        <v>0</v>
      </c>
      <c r="N6897" t="n">
        <v>0</v>
      </c>
      <c r="O6897" t="n">
        <v>0</v>
      </c>
      <c r="P6897" t="n">
        <v>0</v>
      </c>
      <c r="Q6897" t="n">
        <v>0</v>
      </c>
      <c r="R6897" s="2" t="inlineStr"/>
    </row>
    <row r="6898" ht="15" customHeight="1">
      <c r="A6898" t="inlineStr">
        <is>
          <t>A 19626-2022</t>
        </is>
      </c>
      <c r="B6898" s="1" t="n">
        <v>44694</v>
      </c>
      <c r="C6898" s="1" t="n">
        <v>45810</v>
      </c>
      <c r="D6898" t="inlineStr">
        <is>
          <t>VÄRMLANDS LÄN</t>
        </is>
      </c>
      <c r="E6898" t="inlineStr">
        <is>
          <t>FILIPSTAD</t>
        </is>
      </c>
      <c r="G6898" t="n">
        <v>2.2</v>
      </c>
      <c r="H6898" t="n">
        <v>0</v>
      </c>
      <c r="I6898" t="n">
        <v>0</v>
      </c>
      <c r="J6898" t="n">
        <v>0</v>
      </c>
      <c r="K6898" t="n">
        <v>0</v>
      </c>
      <c r="L6898" t="n">
        <v>0</v>
      </c>
      <c r="M6898" t="n">
        <v>0</v>
      </c>
      <c r="N6898" t="n">
        <v>0</v>
      </c>
      <c r="O6898" t="n">
        <v>0</v>
      </c>
      <c r="P6898" t="n">
        <v>0</v>
      </c>
      <c r="Q6898" t="n">
        <v>0</v>
      </c>
      <c r="R6898" s="2" t="inlineStr"/>
    </row>
    <row r="6899" ht="15" customHeight="1">
      <c r="A6899" t="inlineStr">
        <is>
          <t>A 19677-2022</t>
        </is>
      </c>
      <c r="B6899" s="1" t="n">
        <v>44694</v>
      </c>
      <c r="C6899" s="1" t="n">
        <v>45810</v>
      </c>
      <c r="D6899" t="inlineStr">
        <is>
          <t>VÄRMLANDS LÄN</t>
        </is>
      </c>
      <c r="E6899" t="inlineStr">
        <is>
          <t>FORSHAGA</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19739-2022</t>
        </is>
      </c>
      <c r="B6900" s="1" t="n">
        <v>44694</v>
      </c>
      <c r="C6900" s="1" t="n">
        <v>45810</v>
      </c>
      <c r="D6900" t="inlineStr">
        <is>
          <t>VÄRMLANDS LÄN</t>
        </is>
      </c>
      <c r="E6900" t="inlineStr">
        <is>
          <t>SUNNE</t>
        </is>
      </c>
      <c r="G6900" t="n">
        <v>3.3</v>
      </c>
      <c r="H6900" t="n">
        <v>0</v>
      </c>
      <c r="I6900" t="n">
        <v>0</v>
      </c>
      <c r="J6900" t="n">
        <v>0</v>
      </c>
      <c r="K6900" t="n">
        <v>0</v>
      </c>
      <c r="L6900" t="n">
        <v>0</v>
      </c>
      <c r="M6900" t="n">
        <v>0</v>
      </c>
      <c r="N6900" t="n">
        <v>0</v>
      </c>
      <c r="O6900" t="n">
        <v>0</v>
      </c>
      <c r="P6900" t="n">
        <v>0</v>
      </c>
      <c r="Q6900" t="n">
        <v>0</v>
      </c>
      <c r="R6900" s="2" t="inlineStr"/>
    </row>
    <row r="6901" ht="15" customHeight="1">
      <c r="A6901" t="inlineStr">
        <is>
          <t>A 19696-2022</t>
        </is>
      </c>
      <c r="B6901" s="1" t="n">
        <v>44694</v>
      </c>
      <c r="C6901" s="1" t="n">
        <v>45810</v>
      </c>
      <c r="D6901" t="inlineStr">
        <is>
          <t>VÄRMLANDS LÄN</t>
        </is>
      </c>
      <c r="E6901" t="inlineStr">
        <is>
          <t>KRISTINEHAMN</t>
        </is>
      </c>
      <c r="F6901" t="inlineStr">
        <is>
          <t>Bergvik skog väst AB</t>
        </is>
      </c>
      <c r="G6901" t="n">
        <v>1.5</v>
      </c>
      <c r="H6901" t="n">
        <v>0</v>
      </c>
      <c r="I6901" t="n">
        <v>0</v>
      </c>
      <c r="J6901" t="n">
        <v>0</v>
      </c>
      <c r="K6901" t="n">
        <v>0</v>
      </c>
      <c r="L6901" t="n">
        <v>0</v>
      </c>
      <c r="M6901" t="n">
        <v>0</v>
      </c>
      <c r="N6901" t="n">
        <v>0</v>
      </c>
      <c r="O6901" t="n">
        <v>0</v>
      </c>
      <c r="P6901" t="n">
        <v>0</v>
      </c>
      <c r="Q6901" t="n">
        <v>0</v>
      </c>
      <c r="R6901" s="2" t="inlineStr"/>
    </row>
    <row r="6902" ht="15" customHeight="1">
      <c r="A6902" t="inlineStr">
        <is>
          <t>A 19776-2022</t>
        </is>
      </c>
      <c r="B6902" s="1" t="n">
        <v>44694</v>
      </c>
      <c r="C6902" s="1" t="n">
        <v>45810</v>
      </c>
      <c r="D6902" t="inlineStr">
        <is>
          <t>VÄRMLANDS LÄN</t>
        </is>
      </c>
      <c r="E6902" t="inlineStr">
        <is>
          <t>ÅRJÄNG</t>
        </is>
      </c>
      <c r="G6902" t="n">
        <v>9</v>
      </c>
      <c r="H6902" t="n">
        <v>0</v>
      </c>
      <c r="I6902" t="n">
        <v>0</v>
      </c>
      <c r="J6902" t="n">
        <v>0</v>
      </c>
      <c r="K6902" t="n">
        <v>0</v>
      </c>
      <c r="L6902" t="n">
        <v>0</v>
      </c>
      <c r="M6902" t="n">
        <v>0</v>
      </c>
      <c r="N6902" t="n">
        <v>0</v>
      </c>
      <c r="O6902" t="n">
        <v>0</v>
      </c>
      <c r="P6902" t="n">
        <v>0</v>
      </c>
      <c r="Q6902" t="n">
        <v>0</v>
      </c>
      <c r="R6902" s="2" t="inlineStr"/>
    </row>
    <row r="6903" ht="15" customHeight="1">
      <c r="A6903" t="inlineStr">
        <is>
          <t>A 19764-2022</t>
        </is>
      </c>
      <c r="B6903" s="1" t="n">
        <v>44694</v>
      </c>
      <c r="C6903" s="1" t="n">
        <v>45810</v>
      </c>
      <c r="D6903" t="inlineStr">
        <is>
          <t>VÄRMLANDS LÄN</t>
        </is>
      </c>
      <c r="E6903" t="inlineStr">
        <is>
          <t>ARVIKA</t>
        </is>
      </c>
      <c r="G6903" t="n">
        <v>3.4</v>
      </c>
      <c r="H6903" t="n">
        <v>0</v>
      </c>
      <c r="I6903" t="n">
        <v>0</v>
      </c>
      <c r="J6903" t="n">
        <v>0</v>
      </c>
      <c r="K6903" t="n">
        <v>0</v>
      </c>
      <c r="L6903" t="n">
        <v>0</v>
      </c>
      <c r="M6903" t="n">
        <v>0</v>
      </c>
      <c r="N6903" t="n">
        <v>0</v>
      </c>
      <c r="O6903" t="n">
        <v>0</v>
      </c>
      <c r="P6903" t="n">
        <v>0</v>
      </c>
      <c r="Q6903" t="n">
        <v>0</v>
      </c>
      <c r="R6903" s="2" t="inlineStr"/>
    </row>
    <row r="6904" ht="15" customHeight="1">
      <c r="A6904" t="inlineStr">
        <is>
          <t>A 19778-2022</t>
        </is>
      </c>
      <c r="B6904" s="1" t="n">
        <v>44694</v>
      </c>
      <c r="C6904" s="1" t="n">
        <v>45810</v>
      </c>
      <c r="D6904" t="inlineStr">
        <is>
          <t>VÄRMLANDS LÄN</t>
        </is>
      </c>
      <c r="E6904" t="inlineStr">
        <is>
          <t>ARVIKA</t>
        </is>
      </c>
      <c r="F6904" t="inlineStr">
        <is>
          <t>Bergvik skog väst AB</t>
        </is>
      </c>
      <c r="G6904" t="n">
        <v>7.2</v>
      </c>
      <c r="H6904" t="n">
        <v>0</v>
      </c>
      <c r="I6904" t="n">
        <v>0</v>
      </c>
      <c r="J6904" t="n">
        <v>0</v>
      </c>
      <c r="K6904" t="n">
        <v>0</v>
      </c>
      <c r="L6904" t="n">
        <v>0</v>
      </c>
      <c r="M6904" t="n">
        <v>0</v>
      </c>
      <c r="N6904" t="n">
        <v>0</v>
      </c>
      <c r="O6904" t="n">
        <v>0</v>
      </c>
      <c r="P6904" t="n">
        <v>0</v>
      </c>
      <c r="Q6904" t="n">
        <v>0</v>
      </c>
      <c r="R6904" s="2" t="inlineStr"/>
    </row>
    <row r="6905" ht="15" customHeight="1">
      <c r="A6905" t="inlineStr">
        <is>
          <t>A 19614-2022</t>
        </is>
      </c>
      <c r="B6905" s="1" t="n">
        <v>44694</v>
      </c>
      <c r="C6905" s="1" t="n">
        <v>45810</v>
      </c>
      <c r="D6905" t="inlineStr">
        <is>
          <t>VÄRMLANDS LÄN</t>
        </is>
      </c>
      <c r="E6905" t="inlineStr">
        <is>
          <t>TORSBY</t>
        </is>
      </c>
      <c r="G6905" t="n">
        <v>1.8</v>
      </c>
      <c r="H6905" t="n">
        <v>0</v>
      </c>
      <c r="I6905" t="n">
        <v>0</v>
      </c>
      <c r="J6905" t="n">
        <v>0</v>
      </c>
      <c r="K6905" t="n">
        <v>0</v>
      </c>
      <c r="L6905" t="n">
        <v>0</v>
      </c>
      <c r="M6905" t="n">
        <v>0</v>
      </c>
      <c r="N6905" t="n">
        <v>0</v>
      </c>
      <c r="O6905" t="n">
        <v>0</v>
      </c>
      <c r="P6905" t="n">
        <v>0</v>
      </c>
      <c r="Q6905" t="n">
        <v>0</v>
      </c>
      <c r="R6905" s="2" t="inlineStr"/>
    </row>
    <row r="6906" ht="15" customHeight="1">
      <c r="A6906" t="inlineStr">
        <is>
          <t>A 19893-2022</t>
        </is>
      </c>
      <c r="B6906" s="1" t="n">
        <v>44697</v>
      </c>
      <c r="C6906" s="1" t="n">
        <v>45810</v>
      </c>
      <c r="D6906" t="inlineStr">
        <is>
          <t>VÄRMLANDS LÄN</t>
        </is>
      </c>
      <c r="E6906" t="inlineStr">
        <is>
          <t>ÅRJÄNG</t>
        </is>
      </c>
      <c r="G6906" t="n">
        <v>2.5</v>
      </c>
      <c r="H6906" t="n">
        <v>0</v>
      </c>
      <c r="I6906" t="n">
        <v>0</v>
      </c>
      <c r="J6906" t="n">
        <v>0</v>
      </c>
      <c r="K6906" t="n">
        <v>0</v>
      </c>
      <c r="L6906" t="n">
        <v>0</v>
      </c>
      <c r="M6906" t="n">
        <v>0</v>
      </c>
      <c r="N6906" t="n">
        <v>0</v>
      </c>
      <c r="O6906" t="n">
        <v>0</v>
      </c>
      <c r="P6906" t="n">
        <v>0</v>
      </c>
      <c r="Q6906" t="n">
        <v>0</v>
      </c>
      <c r="R6906" s="2" t="inlineStr"/>
    </row>
    <row r="6907" ht="15" customHeight="1">
      <c r="A6907" t="inlineStr">
        <is>
          <t>A 19996-2022</t>
        </is>
      </c>
      <c r="B6907" s="1" t="n">
        <v>44697</v>
      </c>
      <c r="C6907" s="1" t="n">
        <v>45810</v>
      </c>
      <c r="D6907" t="inlineStr">
        <is>
          <t>VÄRMLANDS LÄN</t>
        </is>
      </c>
      <c r="E6907" t="inlineStr">
        <is>
          <t>FORSHAGA</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20023-2022</t>
        </is>
      </c>
      <c r="B6908" s="1" t="n">
        <v>44697</v>
      </c>
      <c r="C6908" s="1" t="n">
        <v>45810</v>
      </c>
      <c r="D6908" t="inlineStr">
        <is>
          <t>VÄRMLANDS LÄN</t>
        </is>
      </c>
      <c r="E6908" t="inlineStr">
        <is>
          <t>HAGFORS</t>
        </is>
      </c>
      <c r="F6908" t="inlineStr">
        <is>
          <t>Bergvik skog väst AB</t>
        </is>
      </c>
      <c r="G6908" t="n">
        <v>31.9</v>
      </c>
      <c r="H6908" t="n">
        <v>0</v>
      </c>
      <c r="I6908" t="n">
        <v>0</v>
      </c>
      <c r="J6908" t="n">
        <v>0</v>
      </c>
      <c r="K6908" t="n">
        <v>0</v>
      </c>
      <c r="L6908" t="n">
        <v>0</v>
      </c>
      <c r="M6908" t="n">
        <v>0</v>
      </c>
      <c r="N6908" t="n">
        <v>0</v>
      </c>
      <c r="O6908" t="n">
        <v>0</v>
      </c>
      <c r="P6908" t="n">
        <v>0</v>
      </c>
      <c r="Q6908" t="n">
        <v>0</v>
      </c>
      <c r="R6908" s="2" t="inlineStr"/>
    </row>
    <row r="6909" ht="15" customHeight="1">
      <c r="A6909" t="inlineStr">
        <is>
          <t>A 20045-2022</t>
        </is>
      </c>
      <c r="B6909" s="1" t="n">
        <v>44697</v>
      </c>
      <c r="C6909" s="1" t="n">
        <v>45810</v>
      </c>
      <c r="D6909" t="inlineStr">
        <is>
          <t>VÄRMLANDS LÄN</t>
        </is>
      </c>
      <c r="E6909" t="inlineStr">
        <is>
          <t>TORSBY</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20041-2022</t>
        </is>
      </c>
      <c r="B6910" s="1" t="n">
        <v>44697</v>
      </c>
      <c r="C6910" s="1" t="n">
        <v>45810</v>
      </c>
      <c r="D6910" t="inlineStr">
        <is>
          <t>VÄRMLANDS LÄN</t>
        </is>
      </c>
      <c r="E6910" t="inlineStr">
        <is>
          <t>SUNNE</t>
        </is>
      </c>
      <c r="G6910" t="n">
        <v>5.2</v>
      </c>
      <c r="H6910" t="n">
        <v>0</v>
      </c>
      <c r="I6910" t="n">
        <v>0</v>
      </c>
      <c r="J6910" t="n">
        <v>0</v>
      </c>
      <c r="K6910" t="n">
        <v>0</v>
      </c>
      <c r="L6910" t="n">
        <v>0</v>
      </c>
      <c r="M6910" t="n">
        <v>0</v>
      </c>
      <c r="N6910" t="n">
        <v>0</v>
      </c>
      <c r="O6910" t="n">
        <v>0</v>
      </c>
      <c r="P6910" t="n">
        <v>0</v>
      </c>
      <c r="Q6910" t="n">
        <v>0</v>
      </c>
      <c r="R6910" s="2" t="inlineStr"/>
    </row>
    <row r="6911" ht="15" customHeight="1">
      <c r="A6911" t="inlineStr">
        <is>
          <t>A 20046-2022</t>
        </is>
      </c>
      <c r="B6911" s="1" t="n">
        <v>44697</v>
      </c>
      <c r="C6911" s="1" t="n">
        <v>45810</v>
      </c>
      <c r="D6911" t="inlineStr">
        <is>
          <t>VÄRMLANDS LÄN</t>
        </is>
      </c>
      <c r="E6911" t="inlineStr">
        <is>
          <t>TORSBY</t>
        </is>
      </c>
      <c r="G6911" t="n">
        <v>1.7</v>
      </c>
      <c r="H6911" t="n">
        <v>0</v>
      </c>
      <c r="I6911" t="n">
        <v>0</v>
      </c>
      <c r="J6911" t="n">
        <v>0</v>
      </c>
      <c r="K6911" t="n">
        <v>0</v>
      </c>
      <c r="L6911" t="n">
        <v>0</v>
      </c>
      <c r="M6911" t="n">
        <v>0</v>
      </c>
      <c r="N6911" t="n">
        <v>0</v>
      </c>
      <c r="O6911" t="n">
        <v>0</v>
      </c>
      <c r="P6911" t="n">
        <v>0</v>
      </c>
      <c r="Q6911" t="n">
        <v>0</v>
      </c>
      <c r="R6911" s="2" t="inlineStr"/>
    </row>
    <row r="6912" ht="15" customHeight="1">
      <c r="A6912" t="inlineStr">
        <is>
          <t>A 20042-2022</t>
        </is>
      </c>
      <c r="B6912" s="1" t="n">
        <v>44697</v>
      </c>
      <c r="C6912" s="1" t="n">
        <v>45810</v>
      </c>
      <c r="D6912" t="inlineStr">
        <is>
          <t>VÄRMLANDS LÄN</t>
        </is>
      </c>
      <c r="E6912" t="inlineStr">
        <is>
          <t>SUNNE</t>
        </is>
      </c>
      <c r="G6912" t="n">
        <v>2.6</v>
      </c>
      <c r="H6912" t="n">
        <v>0</v>
      </c>
      <c r="I6912" t="n">
        <v>0</v>
      </c>
      <c r="J6912" t="n">
        <v>0</v>
      </c>
      <c r="K6912" t="n">
        <v>0</v>
      </c>
      <c r="L6912" t="n">
        <v>0</v>
      </c>
      <c r="M6912" t="n">
        <v>0</v>
      </c>
      <c r="N6912" t="n">
        <v>0</v>
      </c>
      <c r="O6912" t="n">
        <v>0</v>
      </c>
      <c r="P6912" t="n">
        <v>0</v>
      </c>
      <c r="Q6912" t="n">
        <v>0</v>
      </c>
      <c r="R6912" s="2" t="inlineStr"/>
    </row>
    <row r="6913" ht="15" customHeight="1">
      <c r="A6913" t="inlineStr">
        <is>
          <t>A 20035-2022</t>
        </is>
      </c>
      <c r="B6913" s="1" t="n">
        <v>44697</v>
      </c>
      <c r="C6913" s="1" t="n">
        <v>45810</v>
      </c>
      <c r="D6913" t="inlineStr">
        <is>
          <t>VÄRMLANDS LÄN</t>
        </is>
      </c>
      <c r="E6913" t="inlineStr">
        <is>
          <t>SUNNE</t>
        </is>
      </c>
      <c r="G6913" t="n">
        <v>4.9</v>
      </c>
      <c r="H6913" t="n">
        <v>0</v>
      </c>
      <c r="I6913" t="n">
        <v>0</v>
      </c>
      <c r="J6913" t="n">
        <v>0</v>
      </c>
      <c r="K6913" t="n">
        <v>0</v>
      </c>
      <c r="L6913" t="n">
        <v>0</v>
      </c>
      <c r="M6913" t="n">
        <v>0</v>
      </c>
      <c r="N6913" t="n">
        <v>0</v>
      </c>
      <c r="O6913" t="n">
        <v>0</v>
      </c>
      <c r="P6913" t="n">
        <v>0</v>
      </c>
      <c r="Q6913" t="n">
        <v>0</v>
      </c>
      <c r="R6913" s="2" t="inlineStr"/>
    </row>
    <row r="6914" ht="15" customHeight="1">
      <c r="A6914" t="inlineStr">
        <is>
          <t>A 19947-2022</t>
        </is>
      </c>
      <c r="B6914" s="1" t="n">
        <v>44697</v>
      </c>
      <c r="C6914" s="1" t="n">
        <v>45810</v>
      </c>
      <c r="D6914" t="inlineStr">
        <is>
          <t>VÄRMLANDS LÄN</t>
        </is>
      </c>
      <c r="E6914" t="inlineStr">
        <is>
          <t>ÅRJÄNG</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20106-2022</t>
        </is>
      </c>
      <c r="B6915" s="1" t="n">
        <v>44697</v>
      </c>
      <c r="C6915" s="1" t="n">
        <v>45810</v>
      </c>
      <c r="D6915" t="inlineStr">
        <is>
          <t>VÄRMLANDS LÄN</t>
        </is>
      </c>
      <c r="E6915" t="inlineStr">
        <is>
          <t>ARVIKA</t>
        </is>
      </c>
      <c r="G6915" t="n">
        <v>7.1</v>
      </c>
      <c r="H6915" t="n">
        <v>0</v>
      </c>
      <c r="I6915" t="n">
        <v>0</v>
      </c>
      <c r="J6915" t="n">
        <v>0</v>
      </c>
      <c r="K6915" t="n">
        <v>0</v>
      </c>
      <c r="L6915" t="n">
        <v>0</v>
      </c>
      <c r="M6915" t="n">
        <v>0</v>
      </c>
      <c r="N6915" t="n">
        <v>0</v>
      </c>
      <c r="O6915" t="n">
        <v>0</v>
      </c>
      <c r="P6915" t="n">
        <v>0</v>
      </c>
      <c r="Q6915" t="n">
        <v>0</v>
      </c>
      <c r="R6915" s="2" t="inlineStr"/>
    </row>
    <row r="6916" ht="15" customHeight="1">
      <c r="A6916" t="inlineStr">
        <is>
          <t>A 20031-2022</t>
        </is>
      </c>
      <c r="B6916" s="1" t="n">
        <v>44697</v>
      </c>
      <c r="C6916" s="1" t="n">
        <v>45810</v>
      </c>
      <c r="D6916" t="inlineStr">
        <is>
          <t>VÄRMLANDS LÄN</t>
        </is>
      </c>
      <c r="E6916" t="inlineStr">
        <is>
          <t>SUNNE</t>
        </is>
      </c>
      <c r="G6916" t="n">
        <v>2.8</v>
      </c>
      <c r="H6916" t="n">
        <v>0</v>
      </c>
      <c r="I6916" t="n">
        <v>0</v>
      </c>
      <c r="J6916" t="n">
        <v>0</v>
      </c>
      <c r="K6916" t="n">
        <v>0</v>
      </c>
      <c r="L6916" t="n">
        <v>0</v>
      </c>
      <c r="M6916" t="n">
        <v>0</v>
      </c>
      <c r="N6916" t="n">
        <v>0</v>
      </c>
      <c r="O6916" t="n">
        <v>0</v>
      </c>
      <c r="P6916" t="n">
        <v>0</v>
      </c>
      <c r="Q6916" t="n">
        <v>0</v>
      </c>
      <c r="R6916" s="2" t="inlineStr"/>
    </row>
    <row r="6917" ht="15" customHeight="1">
      <c r="A6917" t="inlineStr">
        <is>
          <t>A 20009-2022</t>
        </is>
      </c>
      <c r="B6917" s="1" t="n">
        <v>44697</v>
      </c>
      <c r="C6917" s="1" t="n">
        <v>45810</v>
      </c>
      <c r="D6917" t="inlineStr">
        <is>
          <t>VÄRMLANDS LÄN</t>
        </is>
      </c>
      <c r="E6917" t="inlineStr">
        <is>
          <t>TORSBY</t>
        </is>
      </c>
      <c r="G6917" t="n">
        <v>14.4</v>
      </c>
      <c r="H6917" t="n">
        <v>0</v>
      </c>
      <c r="I6917" t="n">
        <v>0</v>
      </c>
      <c r="J6917" t="n">
        <v>0</v>
      </c>
      <c r="K6917" t="n">
        <v>0</v>
      </c>
      <c r="L6917" t="n">
        <v>0</v>
      </c>
      <c r="M6917" t="n">
        <v>0</v>
      </c>
      <c r="N6917" t="n">
        <v>0</v>
      </c>
      <c r="O6917" t="n">
        <v>0</v>
      </c>
      <c r="P6917" t="n">
        <v>0</v>
      </c>
      <c r="Q6917" t="n">
        <v>0</v>
      </c>
      <c r="R6917" s="2" t="inlineStr"/>
    </row>
    <row r="6918" ht="15" customHeight="1">
      <c r="A6918" t="inlineStr">
        <is>
          <t>A 19889-2022</t>
        </is>
      </c>
      <c r="B6918" s="1" t="n">
        <v>44697</v>
      </c>
      <c r="C6918" s="1" t="n">
        <v>45810</v>
      </c>
      <c r="D6918" t="inlineStr">
        <is>
          <t>VÄRMLANDS LÄN</t>
        </is>
      </c>
      <c r="E6918" t="inlineStr">
        <is>
          <t>ARVIKA</t>
        </is>
      </c>
      <c r="G6918" t="n">
        <v>6</v>
      </c>
      <c r="H6918" t="n">
        <v>0</v>
      </c>
      <c r="I6918" t="n">
        <v>0</v>
      </c>
      <c r="J6918" t="n">
        <v>0</v>
      </c>
      <c r="K6918" t="n">
        <v>0</v>
      </c>
      <c r="L6918" t="n">
        <v>0</v>
      </c>
      <c r="M6918" t="n">
        <v>0</v>
      </c>
      <c r="N6918" t="n">
        <v>0</v>
      </c>
      <c r="O6918" t="n">
        <v>0</v>
      </c>
      <c r="P6918" t="n">
        <v>0</v>
      </c>
      <c r="Q6918" t="n">
        <v>0</v>
      </c>
      <c r="R6918" s="2" t="inlineStr"/>
    </row>
    <row r="6919" ht="15" customHeight="1">
      <c r="A6919" t="inlineStr">
        <is>
          <t>A 20176-2022</t>
        </is>
      </c>
      <c r="B6919" s="1" t="n">
        <v>44698</v>
      </c>
      <c r="C6919" s="1" t="n">
        <v>45810</v>
      </c>
      <c r="D6919" t="inlineStr">
        <is>
          <t>VÄRMLANDS LÄN</t>
        </is>
      </c>
      <c r="E6919" t="inlineStr">
        <is>
          <t>ARVIKA</t>
        </is>
      </c>
      <c r="G6919" t="n">
        <v>3.5</v>
      </c>
      <c r="H6919" t="n">
        <v>0</v>
      </c>
      <c r="I6919" t="n">
        <v>0</v>
      </c>
      <c r="J6919" t="n">
        <v>0</v>
      </c>
      <c r="K6919" t="n">
        <v>0</v>
      </c>
      <c r="L6919" t="n">
        <v>0</v>
      </c>
      <c r="M6919" t="n">
        <v>0</v>
      </c>
      <c r="N6919" t="n">
        <v>0</v>
      </c>
      <c r="O6919" t="n">
        <v>0</v>
      </c>
      <c r="P6919" t="n">
        <v>0</v>
      </c>
      <c r="Q6919" t="n">
        <v>0</v>
      </c>
      <c r="R6919" s="2" t="inlineStr"/>
    </row>
    <row r="6920" ht="15" customHeight="1">
      <c r="A6920" t="inlineStr">
        <is>
          <t>A 20168-2022</t>
        </is>
      </c>
      <c r="B6920" s="1" t="n">
        <v>44698</v>
      </c>
      <c r="C6920" s="1" t="n">
        <v>45810</v>
      </c>
      <c r="D6920" t="inlineStr">
        <is>
          <t>VÄRMLANDS LÄN</t>
        </is>
      </c>
      <c r="E6920" t="inlineStr">
        <is>
          <t>TORSBY</t>
        </is>
      </c>
      <c r="G6920" t="n">
        <v>6.6</v>
      </c>
      <c r="H6920" t="n">
        <v>0</v>
      </c>
      <c r="I6920" t="n">
        <v>0</v>
      </c>
      <c r="J6920" t="n">
        <v>0</v>
      </c>
      <c r="K6920" t="n">
        <v>0</v>
      </c>
      <c r="L6920" t="n">
        <v>0</v>
      </c>
      <c r="M6920" t="n">
        <v>0</v>
      </c>
      <c r="N6920" t="n">
        <v>0</v>
      </c>
      <c r="O6920" t="n">
        <v>0</v>
      </c>
      <c r="P6920" t="n">
        <v>0</v>
      </c>
      <c r="Q6920" t="n">
        <v>0</v>
      </c>
      <c r="R6920" s="2" t="inlineStr"/>
    </row>
    <row r="6921" ht="15" customHeight="1">
      <c r="A6921" t="inlineStr">
        <is>
          <t>A 20175-2022</t>
        </is>
      </c>
      <c r="B6921" s="1" t="n">
        <v>44698</v>
      </c>
      <c r="C6921" s="1" t="n">
        <v>45810</v>
      </c>
      <c r="D6921" t="inlineStr">
        <is>
          <t>VÄRMLANDS LÄN</t>
        </is>
      </c>
      <c r="E6921" t="inlineStr">
        <is>
          <t>TORSBY</t>
        </is>
      </c>
      <c r="G6921" t="n">
        <v>2.8</v>
      </c>
      <c r="H6921" t="n">
        <v>0</v>
      </c>
      <c r="I6921" t="n">
        <v>0</v>
      </c>
      <c r="J6921" t="n">
        <v>0</v>
      </c>
      <c r="K6921" t="n">
        <v>0</v>
      </c>
      <c r="L6921" t="n">
        <v>0</v>
      </c>
      <c r="M6921" t="n">
        <v>0</v>
      </c>
      <c r="N6921" t="n">
        <v>0</v>
      </c>
      <c r="O6921" t="n">
        <v>0</v>
      </c>
      <c r="P6921" t="n">
        <v>0</v>
      </c>
      <c r="Q6921" t="n">
        <v>0</v>
      </c>
      <c r="R6921" s="2" t="inlineStr"/>
    </row>
    <row r="6922" ht="15" customHeight="1">
      <c r="A6922" t="inlineStr">
        <is>
          <t>A 20236-2022</t>
        </is>
      </c>
      <c r="B6922" s="1" t="n">
        <v>44698</v>
      </c>
      <c r="C6922" s="1" t="n">
        <v>45810</v>
      </c>
      <c r="D6922" t="inlineStr">
        <is>
          <t>VÄRMLANDS LÄN</t>
        </is>
      </c>
      <c r="E6922" t="inlineStr">
        <is>
          <t>SUNNE</t>
        </is>
      </c>
      <c r="F6922" t="inlineStr">
        <is>
          <t>Övriga Aktiebolag</t>
        </is>
      </c>
      <c r="G6922" t="n">
        <v>4.1</v>
      </c>
      <c r="H6922" t="n">
        <v>0</v>
      </c>
      <c r="I6922" t="n">
        <v>0</v>
      </c>
      <c r="J6922" t="n">
        <v>0</v>
      </c>
      <c r="K6922" t="n">
        <v>0</v>
      </c>
      <c r="L6922" t="n">
        <v>0</v>
      </c>
      <c r="M6922" t="n">
        <v>0</v>
      </c>
      <c r="N6922" t="n">
        <v>0</v>
      </c>
      <c r="O6922" t="n">
        <v>0</v>
      </c>
      <c r="P6922" t="n">
        <v>0</v>
      </c>
      <c r="Q6922" t="n">
        <v>0</v>
      </c>
      <c r="R6922" s="2" t="inlineStr"/>
    </row>
    <row r="6923" ht="15" customHeight="1">
      <c r="A6923" t="inlineStr">
        <is>
          <t>A 20119-2022</t>
        </is>
      </c>
      <c r="B6923" s="1" t="n">
        <v>44698</v>
      </c>
      <c r="C6923" s="1" t="n">
        <v>45810</v>
      </c>
      <c r="D6923" t="inlineStr">
        <is>
          <t>VÄRMLANDS LÄN</t>
        </is>
      </c>
      <c r="E6923" t="inlineStr">
        <is>
          <t>SÄFFLE</t>
        </is>
      </c>
      <c r="G6923" t="n">
        <v>2.5</v>
      </c>
      <c r="H6923" t="n">
        <v>0</v>
      </c>
      <c r="I6923" t="n">
        <v>0</v>
      </c>
      <c r="J6923" t="n">
        <v>0</v>
      </c>
      <c r="K6923" t="n">
        <v>0</v>
      </c>
      <c r="L6923" t="n">
        <v>0</v>
      </c>
      <c r="M6923" t="n">
        <v>0</v>
      </c>
      <c r="N6923" t="n">
        <v>0</v>
      </c>
      <c r="O6923" t="n">
        <v>0</v>
      </c>
      <c r="P6923" t="n">
        <v>0</v>
      </c>
      <c r="Q6923" t="n">
        <v>0</v>
      </c>
      <c r="R6923" s="2" t="inlineStr"/>
    </row>
    <row r="6924" ht="15" customHeight="1">
      <c r="A6924" t="inlineStr">
        <is>
          <t>A 20174-2022</t>
        </is>
      </c>
      <c r="B6924" s="1" t="n">
        <v>44698</v>
      </c>
      <c r="C6924" s="1" t="n">
        <v>45810</v>
      </c>
      <c r="D6924" t="inlineStr">
        <is>
          <t>VÄRMLANDS LÄN</t>
        </is>
      </c>
      <c r="E6924" t="inlineStr">
        <is>
          <t>TORSBY</t>
        </is>
      </c>
      <c r="G6924" t="n">
        <v>4.4</v>
      </c>
      <c r="H6924" t="n">
        <v>0</v>
      </c>
      <c r="I6924" t="n">
        <v>0</v>
      </c>
      <c r="J6924" t="n">
        <v>0</v>
      </c>
      <c r="K6924" t="n">
        <v>0</v>
      </c>
      <c r="L6924" t="n">
        <v>0</v>
      </c>
      <c r="M6924" t="n">
        <v>0</v>
      </c>
      <c r="N6924" t="n">
        <v>0</v>
      </c>
      <c r="O6924" t="n">
        <v>0</v>
      </c>
      <c r="P6924" t="n">
        <v>0</v>
      </c>
      <c r="Q6924" t="n">
        <v>0</v>
      </c>
      <c r="R6924" s="2" t="inlineStr"/>
    </row>
    <row r="6925" ht="15" customHeight="1">
      <c r="A6925" t="inlineStr">
        <is>
          <t>A 20237-2022</t>
        </is>
      </c>
      <c r="B6925" s="1" t="n">
        <v>44698</v>
      </c>
      <c r="C6925" s="1" t="n">
        <v>45810</v>
      </c>
      <c r="D6925" t="inlineStr">
        <is>
          <t>VÄRMLANDS LÄN</t>
        </is>
      </c>
      <c r="E6925" t="inlineStr">
        <is>
          <t>KARLSTAD</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20216-2022</t>
        </is>
      </c>
      <c r="B6926" s="1" t="n">
        <v>44698</v>
      </c>
      <c r="C6926" s="1" t="n">
        <v>45810</v>
      </c>
      <c r="D6926" t="inlineStr">
        <is>
          <t>VÄRMLANDS LÄN</t>
        </is>
      </c>
      <c r="E6926" t="inlineStr">
        <is>
          <t>EDA</t>
        </is>
      </c>
      <c r="G6926" t="n">
        <v>2.8</v>
      </c>
      <c r="H6926" t="n">
        <v>0</v>
      </c>
      <c r="I6926" t="n">
        <v>0</v>
      </c>
      <c r="J6926" t="n">
        <v>0</v>
      </c>
      <c r="K6926" t="n">
        <v>0</v>
      </c>
      <c r="L6926" t="n">
        <v>0</v>
      </c>
      <c r="M6926" t="n">
        <v>0</v>
      </c>
      <c r="N6926" t="n">
        <v>0</v>
      </c>
      <c r="O6926" t="n">
        <v>0</v>
      </c>
      <c r="P6926" t="n">
        <v>0</v>
      </c>
      <c r="Q6926" t="n">
        <v>0</v>
      </c>
      <c r="R6926" s="2" t="inlineStr"/>
    </row>
    <row r="6927" ht="15" customHeight="1">
      <c r="A6927" t="inlineStr">
        <is>
          <t>A 20234-2022</t>
        </is>
      </c>
      <c r="B6927" s="1" t="n">
        <v>44698</v>
      </c>
      <c r="C6927" s="1" t="n">
        <v>45810</v>
      </c>
      <c r="D6927" t="inlineStr">
        <is>
          <t>VÄRMLANDS LÄN</t>
        </is>
      </c>
      <c r="E6927" t="inlineStr">
        <is>
          <t>KARLSTAD</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20241-2022</t>
        </is>
      </c>
      <c r="B6928" s="1" t="n">
        <v>44698</v>
      </c>
      <c r="C6928" s="1" t="n">
        <v>45810</v>
      </c>
      <c r="D6928" t="inlineStr">
        <is>
          <t>VÄRMLANDS LÄN</t>
        </is>
      </c>
      <c r="E6928" t="inlineStr">
        <is>
          <t>KARLSTAD</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20371-2022</t>
        </is>
      </c>
      <c r="B6929" s="1" t="n">
        <v>44699</v>
      </c>
      <c r="C6929" s="1" t="n">
        <v>45810</v>
      </c>
      <c r="D6929" t="inlineStr">
        <is>
          <t>VÄRMLANDS LÄN</t>
        </is>
      </c>
      <c r="E6929" t="inlineStr">
        <is>
          <t>SÄFFLE</t>
        </is>
      </c>
      <c r="G6929" t="n">
        <v>3</v>
      </c>
      <c r="H6929" t="n">
        <v>0</v>
      </c>
      <c r="I6929" t="n">
        <v>0</v>
      </c>
      <c r="J6929" t="n">
        <v>0</v>
      </c>
      <c r="K6929" t="n">
        <v>0</v>
      </c>
      <c r="L6929" t="n">
        <v>0</v>
      </c>
      <c r="M6929" t="n">
        <v>0</v>
      </c>
      <c r="N6929" t="n">
        <v>0</v>
      </c>
      <c r="O6929" t="n">
        <v>0</v>
      </c>
      <c r="P6929" t="n">
        <v>0</v>
      </c>
      <c r="Q6929" t="n">
        <v>0</v>
      </c>
      <c r="R6929" s="2" t="inlineStr"/>
    </row>
    <row r="6930" ht="15" customHeight="1">
      <c r="A6930" t="inlineStr">
        <is>
          <t>A 20345-2022</t>
        </is>
      </c>
      <c r="B6930" s="1" t="n">
        <v>44699</v>
      </c>
      <c r="C6930" s="1" t="n">
        <v>45810</v>
      </c>
      <c r="D6930" t="inlineStr">
        <is>
          <t>VÄRMLANDS LÄN</t>
        </is>
      </c>
      <c r="E6930" t="inlineStr">
        <is>
          <t>ARVIKA</t>
        </is>
      </c>
      <c r="G6930" t="n">
        <v>7.5</v>
      </c>
      <c r="H6930" t="n">
        <v>0</v>
      </c>
      <c r="I6930" t="n">
        <v>0</v>
      </c>
      <c r="J6930" t="n">
        <v>0</v>
      </c>
      <c r="K6930" t="n">
        <v>0</v>
      </c>
      <c r="L6930" t="n">
        <v>0</v>
      </c>
      <c r="M6930" t="n">
        <v>0</v>
      </c>
      <c r="N6930" t="n">
        <v>0</v>
      </c>
      <c r="O6930" t="n">
        <v>0</v>
      </c>
      <c r="P6930" t="n">
        <v>0</v>
      </c>
      <c r="Q6930" t="n">
        <v>0</v>
      </c>
      <c r="R6930" s="2" t="inlineStr"/>
    </row>
    <row r="6931" ht="15" customHeight="1">
      <c r="A6931" t="inlineStr">
        <is>
          <t>A 20436-2022</t>
        </is>
      </c>
      <c r="B6931" s="1" t="n">
        <v>44699</v>
      </c>
      <c r="C6931" s="1" t="n">
        <v>45810</v>
      </c>
      <c r="D6931" t="inlineStr">
        <is>
          <t>VÄRMLANDS LÄN</t>
        </is>
      </c>
      <c r="E6931" t="inlineStr">
        <is>
          <t>HAGFORS</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20348-2022</t>
        </is>
      </c>
      <c r="B6932" s="1" t="n">
        <v>44699</v>
      </c>
      <c r="C6932" s="1" t="n">
        <v>45810</v>
      </c>
      <c r="D6932" t="inlineStr">
        <is>
          <t>VÄRMLANDS LÄN</t>
        </is>
      </c>
      <c r="E6932" t="inlineStr">
        <is>
          <t>ARVIKA</t>
        </is>
      </c>
      <c r="G6932" t="n">
        <v>8</v>
      </c>
      <c r="H6932" t="n">
        <v>0</v>
      </c>
      <c r="I6932" t="n">
        <v>0</v>
      </c>
      <c r="J6932" t="n">
        <v>0</v>
      </c>
      <c r="K6932" t="n">
        <v>0</v>
      </c>
      <c r="L6932" t="n">
        <v>0</v>
      </c>
      <c r="M6932" t="n">
        <v>0</v>
      </c>
      <c r="N6932" t="n">
        <v>0</v>
      </c>
      <c r="O6932" t="n">
        <v>0</v>
      </c>
      <c r="P6932" t="n">
        <v>0</v>
      </c>
      <c r="Q6932" t="n">
        <v>0</v>
      </c>
      <c r="R6932" s="2" t="inlineStr"/>
    </row>
    <row r="6933" ht="15" customHeight="1">
      <c r="A6933" t="inlineStr">
        <is>
          <t>A 20382-2022</t>
        </is>
      </c>
      <c r="B6933" s="1" t="n">
        <v>44699</v>
      </c>
      <c r="C6933" s="1" t="n">
        <v>45810</v>
      </c>
      <c r="D6933" t="inlineStr">
        <is>
          <t>VÄRMLANDS LÄN</t>
        </is>
      </c>
      <c r="E6933" t="inlineStr">
        <is>
          <t>TORSBY</t>
        </is>
      </c>
      <c r="G6933" t="n">
        <v>14.3</v>
      </c>
      <c r="H6933" t="n">
        <v>0</v>
      </c>
      <c r="I6933" t="n">
        <v>0</v>
      </c>
      <c r="J6933" t="n">
        <v>0</v>
      </c>
      <c r="K6933" t="n">
        <v>0</v>
      </c>
      <c r="L6933" t="n">
        <v>0</v>
      </c>
      <c r="M6933" t="n">
        <v>0</v>
      </c>
      <c r="N6933" t="n">
        <v>0</v>
      </c>
      <c r="O6933" t="n">
        <v>0</v>
      </c>
      <c r="P6933" t="n">
        <v>0</v>
      </c>
      <c r="Q6933" t="n">
        <v>0</v>
      </c>
      <c r="R6933" s="2" t="inlineStr"/>
    </row>
    <row r="6934" ht="15" customHeight="1">
      <c r="A6934" t="inlineStr">
        <is>
          <t>A 20819-2022</t>
        </is>
      </c>
      <c r="B6934" s="1" t="n">
        <v>44699</v>
      </c>
      <c r="C6934" s="1" t="n">
        <v>45810</v>
      </c>
      <c r="D6934" t="inlineStr">
        <is>
          <t>VÄRMLANDS LÄN</t>
        </is>
      </c>
      <c r="E6934" t="inlineStr">
        <is>
          <t>TORSBY</t>
        </is>
      </c>
      <c r="G6934" t="n">
        <v>3.1</v>
      </c>
      <c r="H6934" t="n">
        <v>0</v>
      </c>
      <c r="I6934" t="n">
        <v>0</v>
      </c>
      <c r="J6934" t="n">
        <v>0</v>
      </c>
      <c r="K6934" t="n">
        <v>0</v>
      </c>
      <c r="L6934" t="n">
        <v>0</v>
      </c>
      <c r="M6934" t="n">
        <v>0</v>
      </c>
      <c r="N6934" t="n">
        <v>0</v>
      </c>
      <c r="O6934" t="n">
        <v>0</v>
      </c>
      <c r="P6934" t="n">
        <v>0</v>
      </c>
      <c r="Q6934" t="n">
        <v>0</v>
      </c>
      <c r="R6934" s="2" t="inlineStr"/>
    </row>
    <row r="6935" ht="15" customHeight="1">
      <c r="A6935" t="inlineStr">
        <is>
          <t>A 20611-2022</t>
        </is>
      </c>
      <c r="B6935" s="1" t="n">
        <v>44700</v>
      </c>
      <c r="C6935" s="1" t="n">
        <v>45810</v>
      </c>
      <c r="D6935" t="inlineStr">
        <is>
          <t>VÄRMLANDS LÄN</t>
        </is>
      </c>
      <c r="E6935" t="inlineStr">
        <is>
          <t>EDA</t>
        </is>
      </c>
      <c r="F6935" t="inlineStr">
        <is>
          <t>Kommuner</t>
        </is>
      </c>
      <c r="G6935" t="n">
        <v>1.5</v>
      </c>
      <c r="H6935" t="n">
        <v>0</v>
      </c>
      <c r="I6935" t="n">
        <v>0</v>
      </c>
      <c r="J6935" t="n">
        <v>0</v>
      </c>
      <c r="K6935" t="n">
        <v>0</v>
      </c>
      <c r="L6935" t="n">
        <v>0</v>
      </c>
      <c r="M6935" t="n">
        <v>0</v>
      </c>
      <c r="N6935" t="n">
        <v>0</v>
      </c>
      <c r="O6935" t="n">
        <v>0</v>
      </c>
      <c r="P6935" t="n">
        <v>0</v>
      </c>
      <c r="Q6935" t="n">
        <v>0</v>
      </c>
      <c r="R6935" s="2" t="inlineStr"/>
    </row>
    <row r="6936" ht="15" customHeight="1">
      <c r="A6936" t="inlineStr">
        <is>
          <t>A 20652-2022</t>
        </is>
      </c>
      <c r="B6936" s="1" t="n">
        <v>44700</v>
      </c>
      <c r="C6936" s="1" t="n">
        <v>45810</v>
      </c>
      <c r="D6936" t="inlineStr">
        <is>
          <t>VÄRMLANDS LÄN</t>
        </is>
      </c>
      <c r="E6936" t="inlineStr">
        <is>
          <t>HAGFORS</t>
        </is>
      </c>
      <c r="F6936" t="inlineStr">
        <is>
          <t>Bergvik skog väst AB</t>
        </is>
      </c>
      <c r="G6936" t="n">
        <v>0.3</v>
      </c>
      <c r="H6936" t="n">
        <v>0</v>
      </c>
      <c r="I6936" t="n">
        <v>0</v>
      </c>
      <c r="J6936" t="n">
        <v>0</v>
      </c>
      <c r="K6936" t="n">
        <v>0</v>
      </c>
      <c r="L6936" t="n">
        <v>0</v>
      </c>
      <c r="M6936" t="n">
        <v>0</v>
      </c>
      <c r="N6936" t="n">
        <v>0</v>
      </c>
      <c r="O6936" t="n">
        <v>0</v>
      </c>
      <c r="P6936" t="n">
        <v>0</v>
      </c>
      <c r="Q6936" t="n">
        <v>0</v>
      </c>
      <c r="R6936" s="2" t="inlineStr"/>
    </row>
    <row r="6937" ht="15" customHeight="1">
      <c r="A6937" t="inlineStr">
        <is>
          <t>A 20673-2022</t>
        </is>
      </c>
      <c r="B6937" s="1" t="n">
        <v>44700</v>
      </c>
      <c r="C6937" s="1" t="n">
        <v>45810</v>
      </c>
      <c r="D6937" t="inlineStr">
        <is>
          <t>VÄRMLANDS LÄN</t>
        </is>
      </c>
      <c r="E6937" t="inlineStr">
        <is>
          <t>KRISTINEHAMN</t>
        </is>
      </c>
      <c r="F6937" t="inlineStr">
        <is>
          <t>Naturvårdsverket</t>
        </is>
      </c>
      <c r="G6937" t="n">
        <v>4.6</v>
      </c>
      <c r="H6937" t="n">
        <v>0</v>
      </c>
      <c r="I6937" t="n">
        <v>0</v>
      </c>
      <c r="J6937" t="n">
        <v>0</v>
      </c>
      <c r="K6937" t="n">
        <v>0</v>
      </c>
      <c r="L6937" t="n">
        <v>0</v>
      </c>
      <c r="M6937" t="n">
        <v>0</v>
      </c>
      <c r="N6937" t="n">
        <v>0</v>
      </c>
      <c r="O6937" t="n">
        <v>0</v>
      </c>
      <c r="P6937" t="n">
        <v>0</v>
      </c>
      <c r="Q6937" t="n">
        <v>0</v>
      </c>
      <c r="R6937" s="2" t="inlineStr"/>
    </row>
    <row r="6938" ht="15" customHeight="1">
      <c r="A6938" t="inlineStr">
        <is>
          <t>A 20777-2022</t>
        </is>
      </c>
      <c r="B6938" s="1" t="n">
        <v>44701</v>
      </c>
      <c r="C6938" s="1" t="n">
        <v>45810</v>
      </c>
      <c r="D6938" t="inlineStr">
        <is>
          <t>VÄRMLANDS LÄN</t>
        </is>
      </c>
      <c r="E6938" t="inlineStr">
        <is>
          <t>KARLSTAD</t>
        </is>
      </c>
      <c r="F6938" t="inlineStr">
        <is>
          <t>Bergvik skog väst AB</t>
        </is>
      </c>
      <c r="G6938" t="n">
        <v>1</v>
      </c>
      <c r="H6938" t="n">
        <v>0</v>
      </c>
      <c r="I6938" t="n">
        <v>0</v>
      </c>
      <c r="J6938" t="n">
        <v>0</v>
      </c>
      <c r="K6938" t="n">
        <v>0</v>
      </c>
      <c r="L6938" t="n">
        <v>0</v>
      </c>
      <c r="M6938" t="n">
        <v>0</v>
      </c>
      <c r="N6938" t="n">
        <v>0</v>
      </c>
      <c r="O6938" t="n">
        <v>0</v>
      </c>
      <c r="P6938" t="n">
        <v>0</v>
      </c>
      <c r="Q6938" t="n">
        <v>0</v>
      </c>
      <c r="R6938" s="2" t="inlineStr"/>
    </row>
    <row r="6939" ht="15" customHeight="1">
      <c r="A6939" t="inlineStr">
        <is>
          <t>A 20788-2022</t>
        </is>
      </c>
      <c r="B6939" s="1" t="n">
        <v>44701</v>
      </c>
      <c r="C6939" s="1" t="n">
        <v>45810</v>
      </c>
      <c r="D6939" t="inlineStr">
        <is>
          <t>VÄRMLANDS LÄN</t>
        </is>
      </c>
      <c r="E6939" t="inlineStr">
        <is>
          <t>FORSHAGA</t>
        </is>
      </c>
      <c r="F6939" t="inlineStr">
        <is>
          <t>Bergvik skog väst AB</t>
        </is>
      </c>
      <c r="G6939" t="n">
        <v>6.5</v>
      </c>
      <c r="H6939" t="n">
        <v>0</v>
      </c>
      <c r="I6939" t="n">
        <v>0</v>
      </c>
      <c r="J6939" t="n">
        <v>0</v>
      </c>
      <c r="K6939" t="n">
        <v>0</v>
      </c>
      <c r="L6939" t="n">
        <v>0</v>
      </c>
      <c r="M6939" t="n">
        <v>0</v>
      </c>
      <c r="N6939" t="n">
        <v>0</v>
      </c>
      <c r="O6939" t="n">
        <v>0</v>
      </c>
      <c r="P6939" t="n">
        <v>0</v>
      </c>
      <c r="Q6939" t="n">
        <v>0</v>
      </c>
      <c r="R6939" s="2" t="inlineStr"/>
    </row>
    <row r="6940" ht="15" customHeight="1">
      <c r="A6940" t="inlineStr">
        <is>
          <t>A 20881-2022</t>
        </is>
      </c>
      <c r="B6940" s="1" t="n">
        <v>44701</v>
      </c>
      <c r="C6940" s="1" t="n">
        <v>45810</v>
      </c>
      <c r="D6940" t="inlineStr">
        <is>
          <t>VÄRMLANDS LÄN</t>
        </is>
      </c>
      <c r="E6940" t="inlineStr">
        <is>
          <t>TORSBY</t>
        </is>
      </c>
      <c r="F6940" t="inlineStr">
        <is>
          <t>Bergvik skog väst AB</t>
        </is>
      </c>
      <c r="G6940" t="n">
        <v>17.2</v>
      </c>
      <c r="H6940" t="n">
        <v>0</v>
      </c>
      <c r="I6940" t="n">
        <v>0</v>
      </c>
      <c r="J6940" t="n">
        <v>0</v>
      </c>
      <c r="K6940" t="n">
        <v>0</v>
      </c>
      <c r="L6940" t="n">
        <v>0</v>
      </c>
      <c r="M6940" t="n">
        <v>0</v>
      </c>
      <c r="N6940" t="n">
        <v>0</v>
      </c>
      <c r="O6940" t="n">
        <v>0</v>
      </c>
      <c r="P6940" t="n">
        <v>0</v>
      </c>
      <c r="Q6940" t="n">
        <v>0</v>
      </c>
      <c r="R6940" s="2" t="inlineStr"/>
    </row>
    <row r="6941" ht="15" customHeight="1">
      <c r="A6941" t="inlineStr">
        <is>
          <t>A 20907-2022</t>
        </is>
      </c>
      <c r="B6941" s="1" t="n">
        <v>44701</v>
      </c>
      <c r="C6941" s="1" t="n">
        <v>45810</v>
      </c>
      <c r="D6941" t="inlineStr">
        <is>
          <t>VÄRMLANDS LÄN</t>
        </is>
      </c>
      <c r="E6941" t="inlineStr">
        <is>
          <t>TORSBY</t>
        </is>
      </c>
      <c r="G6941" t="n">
        <v>2.3</v>
      </c>
      <c r="H6941" t="n">
        <v>0</v>
      </c>
      <c r="I6941" t="n">
        <v>0</v>
      </c>
      <c r="J6941" t="n">
        <v>0</v>
      </c>
      <c r="K6941" t="n">
        <v>0</v>
      </c>
      <c r="L6941" t="n">
        <v>0</v>
      </c>
      <c r="M6941" t="n">
        <v>0</v>
      </c>
      <c r="N6941" t="n">
        <v>0</v>
      </c>
      <c r="O6941" t="n">
        <v>0</v>
      </c>
      <c r="P6941" t="n">
        <v>0</v>
      </c>
      <c r="Q6941" t="n">
        <v>0</v>
      </c>
      <c r="R6941" s="2" t="inlineStr"/>
    </row>
    <row r="6942" ht="15" customHeight="1">
      <c r="A6942" t="inlineStr">
        <is>
          <t>A 20899-2022</t>
        </is>
      </c>
      <c r="B6942" s="1" t="n">
        <v>44701</v>
      </c>
      <c r="C6942" s="1" t="n">
        <v>45810</v>
      </c>
      <c r="D6942" t="inlineStr">
        <is>
          <t>VÄRMLANDS LÄN</t>
        </is>
      </c>
      <c r="E6942" t="inlineStr">
        <is>
          <t>TORSBY</t>
        </is>
      </c>
      <c r="G6942" t="n">
        <v>7.2</v>
      </c>
      <c r="H6942" t="n">
        <v>0</v>
      </c>
      <c r="I6942" t="n">
        <v>0</v>
      </c>
      <c r="J6942" t="n">
        <v>0</v>
      </c>
      <c r="K6942" t="n">
        <v>0</v>
      </c>
      <c r="L6942" t="n">
        <v>0</v>
      </c>
      <c r="M6942" t="n">
        <v>0</v>
      </c>
      <c r="N6942" t="n">
        <v>0</v>
      </c>
      <c r="O6942" t="n">
        <v>0</v>
      </c>
      <c r="P6942" t="n">
        <v>0</v>
      </c>
      <c r="Q6942" t="n">
        <v>0</v>
      </c>
      <c r="R6942" s="2" t="inlineStr"/>
    </row>
    <row r="6943" ht="15" customHeight="1">
      <c r="A6943" t="inlineStr">
        <is>
          <t>A 21128-2022</t>
        </is>
      </c>
      <c r="B6943" s="1" t="n">
        <v>44704</v>
      </c>
      <c r="C6943" s="1" t="n">
        <v>45810</v>
      </c>
      <c r="D6943" t="inlineStr">
        <is>
          <t>VÄRMLANDS LÄN</t>
        </is>
      </c>
      <c r="E6943" t="inlineStr">
        <is>
          <t>ARVIKA</t>
        </is>
      </c>
      <c r="F6943" t="inlineStr">
        <is>
          <t>Bergvik skog väst AB</t>
        </is>
      </c>
      <c r="G6943" t="n">
        <v>4.1</v>
      </c>
      <c r="H6943" t="n">
        <v>0</v>
      </c>
      <c r="I6943" t="n">
        <v>0</v>
      </c>
      <c r="J6943" t="n">
        <v>0</v>
      </c>
      <c r="K6943" t="n">
        <v>0</v>
      </c>
      <c r="L6943" t="n">
        <v>0</v>
      </c>
      <c r="M6943" t="n">
        <v>0</v>
      </c>
      <c r="N6943" t="n">
        <v>0</v>
      </c>
      <c r="O6943" t="n">
        <v>0</v>
      </c>
      <c r="P6943" t="n">
        <v>0</v>
      </c>
      <c r="Q6943" t="n">
        <v>0</v>
      </c>
      <c r="R6943" s="2" t="inlineStr"/>
    </row>
    <row r="6944" ht="15" customHeight="1">
      <c r="A6944" t="inlineStr">
        <is>
          <t>A 21052-2022</t>
        </is>
      </c>
      <c r="B6944" s="1" t="n">
        <v>44704</v>
      </c>
      <c r="C6944" s="1" t="n">
        <v>45810</v>
      </c>
      <c r="D6944" t="inlineStr">
        <is>
          <t>VÄRMLANDS LÄN</t>
        </is>
      </c>
      <c r="E6944" t="inlineStr">
        <is>
          <t>ARVIKA</t>
        </is>
      </c>
      <c r="F6944" t="inlineStr">
        <is>
          <t>Kyrkan</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21069-2022</t>
        </is>
      </c>
      <c r="B6945" s="1" t="n">
        <v>44704</v>
      </c>
      <c r="C6945" s="1" t="n">
        <v>45810</v>
      </c>
      <c r="D6945" t="inlineStr">
        <is>
          <t>VÄRMLANDS LÄN</t>
        </is>
      </c>
      <c r="E6945" t="inlineStr">
        <is>
          <t>ARVIKA</t>
        </is>
      </c>
      <c r="F6945" t="inlineStr">
        <is>
          <t>Bergvik skog väst AB</t>
        </is>
      </c>
      <c r="G6945" t="n">
        <v>1.8</v>
      </c>
      <c r="H6945" t="n">
        <v>0</v>
      </c>
      <c r="I6945" t="n">
        <v>0</v>
      </c>
      <c r="J6945" t="n">
        <v>0</v>
      </c>
      <c r="K6945" t="n">
        <v>0</v>
      </c>
      <c r="L6945" t="n">
        <v>0</v>
      </c>
      <c r="M6945" t="n">
        <v>0</v>
      </c>
      <c r="N6945" t="n">
        <v>0</v>
      </c>
      <c r="O6945" t="n">
        <v>0</v>
      </c>
      <c r="P6945" t="n">
        <v>0</v>
      </c>
      <c r="Q6945" t="n">
        <v>0</v>
      </c>
      <c r="R6945" s="2" t="inlineStr"/>
    </row>
    <row r="6946" ht="15" customHeight="1">
      <c r="A6946" t="inlineStr">
        <is>
          <t>A 21094-2022</t>
        </is>
      </c>
      <c r="B6946" s="1" t="n">
        <v>44704</v>
      </c>
      <c r="C6946" s="1" t="n">
        <v>45810</v>
      </c>
      <c r="D6946" t="inlineStr">
        <is>
          <t>VÄRMLANDS LÄN</t>
        </is>
      </c>
      <c r="E6946" t="inlineStr">
        <is>
          <t>TORSBY</t>
        </is>
      </c>
      <c r="G6946" t="n">
        <v>2.5</v>
      </c>
      <c r="H6946" t="n">
        <v>0</v>
      </c>
      <c r="I6946" t="n">
        <v>0</v>
      </c>
      <c r="J6946" t="n">
        <v>0</v>
      </c>
      <c r="K6946" t="n">
        <v>0</v>
      </c>
      <c r="L6946" t="n">
        <v>0</v>
      </c>
      <c r="M6946" t="n">
        <v>0</v>
      </c>
      <c r="N6946" t="n">
        <v>0</v>
      </c>
      <c r="O6946" t="n">
        <v>0</v>
      </c>
      <c r="P6946" t="n">
        <v>0</v>
      </c>
      <c r="Q6946" t="n">
        <v>0</v>
      </c>
      <c r="R6946" s="2" t="inlineStr"/>
    </row>
    <row r="6947" ht="15" customHeight="1">
      <c r="A6947" t="inlineStr">
        <is>
          <t>A 21070-2022</t>
        </is>
      </c>
      <c r="B6947" s="1" t="n">
        <v>44704</v>
      </c>
      <c r="C6947" s="1" t="n">
        <v>45810</v>
      </c>
      <c r="D6947" t="inlineStr">
        <is>
          <t>VÄRMLANDS LÄN</t>
        </is>
      </c>
      <c r="E6947" t="inlineStr">
        <is>
          <t>TORSBY</t>
        </is>
      </c>
      <c r="G6947" t="n">
        <v>13.7</v>
      </c>
      <c r="H6947" t="n">
        <v>0</v>
      </c>
      <c r="I6947" t="n">
        <v>0</v>
      </c>
      <c r="J6947" t="n">
        <v>0</v>
      </c>
      <c r="K6947" t="n">
        <v>0</v>
      </c>
      <c r="L6947" t="n">
        <v>0</v>
      </c>
      <c r="M6947" t="n">
        <v>0</v>
      </c>
      <c r="N6947" t="n">
        <v>0</v>
      </c>
      <c r="O6947" t="n">
        <v>0</v>
      </c>
      <c r="P6947" t="n">
        <v>0</v>
      </c>
      <c r="Q6947" t="n">
        <v>0</v>
      </c>
      <c r="R6947" s="2" t="inlineStr"/>
    </row>
    <row r="6948" ht="15" customHeight="1">
      <c r="A6948" t="inlineStr">
        <is>
          <t>A 21145-2022</t>
        </is>
      </c>
      <c r="B6948" s="1" t="n">
        <v>44704</v>
      </c>
      <c r="C6948" s="1" t="n">
        <v>45810</v>
      </c>
      <c r="D6948" t="inlineStr">
        <is>
          <t>VÄRMLANDS LÄN</t>
        </is>
      </c>
      <c r="E6948" t="inlineStr">
        <is>
          <t>ÅRJÄNG</t>
        </is>
      </c>
      <c r="G6948" t="n">
        <v>8.300000000000001</v>
      </c>
      <c r="H6948" t="n">
        <v>0</v>
      </c>
      <c r="I6948" t="n">
        <v>0</v>
      </c>
      <c r="J6948" t="n">
        <v>0</v>
      </c>
      <c r="K6948" t="n">
        <v>0</v>
      </c>
      <c r="L6948" t="n">
        <v>0</v>
      </c>
      <c r="M6948" t="n">
        <v>0</v>
      </c>
      <c r="N6948" t="n">
        <v>0</v>
      </c>
      <c r="O6948" t="n">
        <v>0</v>
      </c>
      <c r="P6948" t="n">
        <v>0</v>
      </c>
      <c r="Q6948" t="n">
        <v>0</v>
      </c>
      <c r="R6948" s="2" t="inlineStr"/>
    </row>
    <row r="6949" ht="15" customHeight="1">
      <c r="A6949" t="inlineStr">
        <is>
          <t>A 21089-2022</t>
        </is>
      </c>
      <c r="B6949" s="1" t="n">
        <v>44704</v>
      </c>
      <c r="C6949" s="1" t="n">
        <v>45810</v>
      </c>
      <c r="D6949" t="inlineStr">
        <is>
          <t>VÄRMLANDS LÄN</t>
        </is>
      </c>
      <c r="E6949" t="inlineStr">
        <is>
          <t>TORSBY</t>
        </is>
      </c>
      <c r="G6949" t="n">
        <v>13.4</v>
      </c>
      <c r="H6949" t="n">
        <v>0</v>
      </c>
      <c r="I6949" t="n">
        <v>0</v>
      </c>
      <c r="J6949" t="n">
        <v>0</v>
      </c>
      <c r="K6949" t="n">
        <v>0</v>
      </c>
      <c r="L6949" t="n">
        <v>0</v>
      </c>
      <c r="M6949" t="n">
        <v>0</v>
      </c>
      <c r="N6949" t="n">
        <v>0</v>
      </c>
      <c r="O6949" t="n">
        <v>0</v>
      </c>
      <c r="P6949" t="n">
        <v>0</v>
      </c>
      <c r="Q6949" t="n">
        <v>0</v>
      </c>
      <c r="R6949" s="2" t="inlineStr"/>
    </row>
    <row r="6950" ht="15" customHeight="1">
      <c r="A6950" t="inlineStr">
        <is>
          <t>A 21248-2022</t>
        </is>
      </c>
      <c r="B6950" s="1" t="n">
        <v>44705</v>
      </c>
      <c r="C6950" s="1" t="n">
        <v>45810</v>
      </c>
      <c r="D6950" t="inlineStr">
        <is>
          <t>VÄRMLANDS LÄN</t>
        </is>
      </c>
      <c r="E6950" t="inlineStr">
        <is>
          <t>GRUMS</t>
        </is>
      </c>
      <c r="G6950" t="n">
        <v>12.4</v>
      </c>
      <c r="H6950" t="n">
        <v>0</v>
      </c>
      <c r="I6950" t="n">
        <v>0</v>
      </c>
      <c r="J6950" t="n">
        <v>0</v>
      </c>
      <c r="K6950" t="n">
        <v>0</v>
      </c>
      <c r="L6950" t="n">
        <v>0</v>
      </c>
      <c r="M6950" t="n">
        <v>0</v>
      </c>
      <c r="N6950" t="n">
        <v>0</v>
      </c>
      <c r="O6950" t="n">
        <v>0</v>
      </c>
      <c r="P6950" t="n">
        <v>0</v>
      </c>
      <c r="Q6950" t="n">
        <v>0</v>
      </c>
      <c r="R6950" s="2" t="inlineStr"/>
    </row>
    <row r="6951" ht="15" customHeight="1">
      <c r="A6951" t="inlineStr">
        <is>
          <t>A 21311-2022</t>
        </is>
      </c>
      <c r="B6951" s="1" t="n">
        <v>44705</v>
      </c>
      <c r="C6951" s="1" t="n">
        <v>45810</v>
      </c>
      <c r="D6951" t="inlineStr">
        <is>
          <t>VÄRMLANDS LÄN</t>
        </is>
      </c>
      <c r="E6951" t="inlineStr">
        <is>
          <t>FILIPSTAD</t>
        </is>
      </c>
      <c r="F6951" t="inlineStr">
        <is>
          <t>Bergvik skog väst AB</t>
        </is>
      </c>
      <c r="G6951" t="n">
        <v>1.5</v>
      </c>
      <c r="H6951" t="n">
        <v>0</v>
      </c>
      <c r="I6951" t="n">
        <v>0</v>
      </c>
      <c r="J6951" t="n">
        <v>0</v>
      </c>
      <c r="K6951" t="n">
        <v>0</v>
      </c>
      <c r="L6951" t="n">
        <v>0</v>
      </c>
      <c r="M6951" t="n">
        <v>0</v>
      </c>
      <c r="N6951" t="n">
        <v>0</v>
      </c>
      <c r="O6951" t="n">
        <v>0</v>
      </c>
      <c r="P6951" t="n">
        <v>0</v>
      </c>
      <c r="Q6951" t="n">
        <v>0</v>
      </c>
      <c r="R6951" s="2" t="inlineStr"/>
    </row>
    <row r="6952" ht="15" customHeight="1">
      <c r="A6952" t="inlineStr">
        <is>
          <t>A 21342-2022</t>
        </is>
      </c>
      <c r="B6952" s="1" t="n">
        <v>44705</v>
      </c>
      <c r="C6952" s="1" t="n">
        <v>45810</v>
      </c>
      <c r="D6952" t="inlineStr">
        <is>
          <t>VÄRMLANDS LÄN</t>
        </is>
      </c>
      <c r="E6952" t="inlineStr">
        <is>
          <t>ARVIKA</t>
        </is>
      </c>
      <c r="G6952" t="n">
        <v>0.3</v>
      </c>
      <c r="H6952" t="n">
        <v>0</v>
      </c>
      <c r="I6952" t="n">
        <v>0</v>
      </c>
      <c r="J6952" t="n">
        <v>0</v>
      </c>
      <c r="K6952" t="n">
        <v>0</v>
      </c>
      <c r="L6952" t="n">
        <v>0</v>
      </c>
      <c r="M6952" t="n">
        <v>0</v>
      </c>
      <c r="N6952" t="n">
        <v>0</v>
      </c>
      <c r="O6952" t="n">
        <v>0</v>
      </c>
      <c r="P6952" t="n">
        <v>0</v>
      </c>
      <c r="Q6952" t="n">
        <v>0</v>
      </c>
      <c r="R6952" s="2" t="inlineStr"/>
    </row>
    <row r="6953" ht="15" customHeight="1">
      <c r="A6953" t="inlineStr">
        <is>
          <t>A 21348-2022</t>
        </is>
      </c>
      <c r="B6953" s="1" t="n">
        <v>44705</v>
      </c>
      <c r="C6953" s="1" t="n">
        <v>45810</v>
      </c>
      <c r="D6953" t="inlineStr">
        <is>
          <t>VÄRMLANDS LÄN</t>
        </is>
      </c>
      <c r="E6953" t="inlineStr">
        <is>
          <t>ARVIKA</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21365-2022</t>
        </is>
      </c>
      <c r="B6954" s="1" t="n">
        <v>44705</v>
      </c>
      <c r="C6954" s="1" t="n">
        <v>45810</v>
      </c>
      <c r="D6954" t="inlineStr">
        <is>
          <t>VÄRMLANDS LÄN</t>
        </is>
      </c>
      <c r="E6954" t="inlineStr">
        <is>
          <t>ÅRJÄNG</t>
        </is>
      </c>
      <c r="G6954" t="n">
        <v>1.8</v>
      </c>
      <c r="H6954" t="n">
        <v>0</v>
      </c>
      <c r="I6954" t="n">
        <v>0</v>
      </c>
      <c r="J6954" t="n">
        <v>0</v>
      </c>
      <c r="K6954" t="n">
        <v>0</v>
      </c>
      <c r="L6954" t="n">
        <v>0</v>
      </c>
      <c r="M6954" t="n">
        <v>0</v>
      </c>
      <c r="N6954" t="n">
        <v>0</v>
      </c>
      <c r="O6954" t="n">
        <v>0</v>
      </c>
      <c r="P6954" t="n">
        <v>0</v>
      </c>
      <c r="Q6954" t="n">
        <v>0</v>
      </c>
      <c r="R6954" s="2" t="inlineStr"/>
    </row>
    <row r="6955" ht="15" customHeight="1">
      <c r="A6955" t="inlineStr">
        <is>
          <t>A 21362-2022</t>
        </is>
      </c>
      <c r="B6955" s="1" t="n">
        <v>44705</v>
      </c>
      <c r="C6955" s="1" t="n">
        <v>45810</v>
      </c>
      <c r="D6955" t="inlineStr">
        <is>
          <t>VÄRMLANDS LÄN</t>
        </is>
      </c>
      <c r="E6955" t="inlineStr">
        <is>
          <t>ÅRJÄNG</t>
        </is>
      </c>
      <c r="G6955" t="n">
        <v>1.6</v>
      </c>
      <c r="H6955" t="n">
        <v>0</v>
      </c>
      <c r="I6955" t="n">
        <v>0</v>
      </c>
      <c r="J6955" t="n">
        <v>0</v>
      </c>
      <c r="K6955" t="n">
        <v>0</v>
      </c>
      <c r="L6955" t="n">
        <v>0</v>
      </c>
      <c r="M6955" t="n">
        <v>0</v>
      </c>
      <c r="N6955" t="n">
        <v>0</v>
      </c>
      <c r="O6955" t="n">
        <v>0</v>
      </c>
      <c r="P6955" t="n">
        <v>0</v>
      </c>
      <c r="Q6955" t="n">
        <v>0</v>
      </c>
      <c r="R6955" s="2" t="inlineStr"/>
    </row>
    <row r="6956" ht="15" customHeight="1">
      <c r="A6956" t="inlineStr">
        <is>
          <t>A 21303-2022</t>
        </is>
      </c>
      <c r="B6956" s="1" t="n">
        <v>44705</v>
      </c>
      <c r="C6956" s="1" t="n">
        <v>45810</v>
      </c>
      <c r="D6956" t="inlineStr">
        <is>
          <t>VÄRMLANDS LÄN</t>
        </is>
      </c>
      <c r="E6956" t="inlineStr">
        <is>
          <t>ARVIKA</t>
        </is>
      </c>
      <c r="G6956" t="n">
        <v>0.5</v>
      </c>
      <c r="H6956" t="n">
        <v>0</v>
      </c>
      <c r="I6956" t="n">
        <v>0</v>
      </c>
      <c r="J6956" t="n">
        <v>0</v>
      </c>
      <c r="K6956" t="n">
        <v>0</v>
      </c>
      <c r="L6956" t="n">
        <v>0</v>
      </c>
      <c r="M6956" t="n">
        <v>0</v>
      </c>
      <c r="N6956" t="n">
        <v>0</v>
      </c>
      <c r="O6956" t="n">
        <v>0</v>
      </c>
      <c r="P6956" t="n">
        <v>0</v>
      </c>
      <c r="Q6956" t="n">
        <v>0</v>
      </c>
      <c r="R6956" s="2" t="inlineStr"/>
    </row>
    <row r="6957" ht="15" customHeight="1">
      <c r="A6957" t="inlineStr">
        <is>
          <t>A 21323-2022</t>
        </is>
      </c>
      <c r="B6957" s="1" t="n">
        <v>44705</v>
      </c>
      <c r="C6957" s="1" t="n">
        <v>45810</v>
      </c>
      <c r="D6957" t="inlineStr">
        <is>
          <t>VÄRMLANDS LÄN</t>
        </is>
      </c>
      <c r="E6957" t="inlineStr">
        <is>
          <t>EDA</t>
        </is>
      </c>
      <c r="G6957" t="n">
        <v>0.7</v>
      </c>
      <c r="H6957" t="n">
        <v>0</v>
      </c>
      <c r="I6957" t="n">
        <v>0</v>
      </c>
      <c r="J6957" t="n">
        <v>0</v>
      </c>
      <c r="K6957" t="n">
        <v>0</v>
      </c>
      <c r="L6957" t="n">
        <v>0</v>
      </c>
      <c r="M6957" t="n">
        <v>0</v>
      </c>
      <c r="N6957" t="n">
        <v>0</v>
      </c>
      <c r="O6957" t="n">
        <v>0</v>
      </c>
      <c r="P6957" t="n">
        <v>0</v>
      </c>
      <c r="Q6957" t="n">
        <v>0</v>
      </c>
      <c r="R6957" s="2" t="inlineStr"/>
    </row>
    <row r="6958" ht="15" customHeight="1">
      <c r="A6958" t="inlineStr">
        <is>
          <t>A 21385-2022</t>
        </is>
      </c>
      <c r="B6958" s="1" t="n">
        <v>44705</v>
      </c>
      <c r="C6958" s="1" t="n">
        <v>45810</v>
      </c>
      <c r="D6958" t="inlineStr">
        <is>
          <t>VÄRMLANDS LÄN</t>
        </is>
      </c>
      <c r="E6958" t="inlineStr">
        <is>
          <t>SUNNE</t>
        </is>
      </c>
      <c r="G6958" t="n">
        <v>3.2</v>
      </c>
      <c r="H6958" t="n">
        <v>0</v>
      </c>
      <c r="I6958" t="n">
        <v>0</v>
      </c>
      <c r="J6958" t="n">
        <v>0</v>
      </c>
      <c r="K6958" t="n">
        <v>0</v>
      </c>
      <c r="L6958" t="n">
        <v>0</v>
      </c>
      <c r="M6958" t="n">
        <v>0</v>
      </c>
      <c r="N6958" t="n">
        <v>0</v>
      </c>
      <c r="O6958" t="n">
        <v>0</v>
      </c>
      <c r="P6958" t="n">
        <v>0</v>
      </c>
      <c r="Q6958" t="n">
        <v>0</v>
      </c>
      <c r="R6958" s="2" t="inlineStr"/>
    </row>
    <row r="6959" ht="15" customHeight="1">
      <c r="A6959" t="inlineStr">
        <is>
          <t>A 21383-2022</t>
        </is>
      </c>
      <c r="B6959" s="1" t="n">
        <v>44705</v>
      </c>
      <c r="C6959" s="1" t="n">
        <v>45810</v>
      </c>
      <c r="D6959" t="inlineStr">
        <is>
          <t>VÄRMLANDS LÄN</t>
        </is>
      </c>
      <c r="E6959" t="inlineStr">
        <is>
          <t>ARVIKA</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21435-2022</t>
        </is>
      </c>
      <c r="B6960" s="1" t="n">
        <v>44706</v>
      </c>
      <c r="C6960" s="1" t="n">
        <v>45810</v>
      </c>
      <c r="D6960" t="inlineStr">
        <is>
          <t>VÄRMLANDS LÄN</t>
        </is>
      </c>
      <c r="E6960" t="inlineStr">
        <is>
          <t>ARVIKA</t>
        </is>
      </c>
      <c r="F6960" t="inlineStr">
        <is>
          <t>Bergvik skog väst AB</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21448-2022</t>
        </is>
      </c>
      <c r="B6961" s="1" t="n">
        <v>44706</v>
      </c>
      <c r="C6961" s="1" t="n">
        <v>45810</v>
      </c>
      <c r="D6961" t="inlineStr">
        <is>
          <t>VÄRMLANDS LÄN</t>
        </is>
      </c>
      <c r="E6961" t="inlineStr">
        <is>
          <t>ÅRJÄNG</t>
        </is>
      </c>
      <c r="G6961" t="n">
        <v>2.8</v>
      </c>
      <c r="H6961" t="n">
        <v>0</v>
      </c>
      <c r="I6961" t="n">
        <v>0</v>
      </c>
      <c r="J6961" t="n">
        <v>0</v>
      </c>
      <c r="K6961" t="n">
        <v>0</v>
      </c>
      <c r="L6961" t="n">
        <v>0</v>
      </c>
      <c r="M6961" t="n">
        <v>0</v>
      </c>
      <c r="N6961" t="n">
        <v>0</v>
      </c>
      <c r="O6961" t="n">
        <v>0</v>
      </c>
      <c r="P6961" t="n">
        <v>0</v>
      </c>
      <c r="Q6961" t="n">
        <v>0</v>
      </c>
      <c r="R6961" s="2" t="inlineStr"/>
    </row>
    <row r="6962" ht="15" customHeight="1">
      <c r="A6962" t="inlineStr">
        <is>
          <t>A 21469-2022</t>
        </is>
      </c>
      <c r="B6962" s="1" t="n">
        <v>44706</v>
      </c>
      <c r="C6962" s="1" t="n">
        <v>45810</v>
      </c>
      <c r="D6962" t="inlineStr">
        <is>
          <t>VÄRMLANDS LÄN</t>
        </is>
      </c>
      <c r="E6962" t="inlineStr">
        <is>
          <t>SUNNE</t>
        </is>
      </c>
      <c r="G6962" t="n">
        <v>6.2</v>
      </c>
      <c r="H6962" t="n">
        <v>0</v>
      </c>
      <c r="I6962" t="n">
        <v>0</v>
      </c>
      <c r="J6962" t="n">
        <v>0</v>
      </c>
      <c r="K6962" t="n">
        <v>0</v>
      </c>
      <c r="L6962" t="n">
        <v>0</v>
      </c>
      <c r="M6962" t="n">
        <v>0</v>
      </c>
      <c r="N6962" t="n">
        <v>0</v>
      </c>
      <c r="O6962" t="n">
        <v>0</v>
      </c>
      <c r="P6962" t="n">
        <v>0</v>
      </c>
      <c r="Q6962" t="n">
        <v>0</v>
      </c>
      <c r="R6962" s="2" t="inlineStr"/>
    </row>
    <row r="6963" ht="15" customHeight="1">
      <c r="A6963" t="inlineStr">
        <is>
          <t>A 21498-2022</t>
        </is>
      </c>
      <c r="B6963" s="1" t="n">
        <v>44706</v>
      </c>
      <c r="C6963" s="1" t="n">
        <v>45810</v>
      </c>
      <c r="D6963" t="inlineStr">
        <is>
          <t>VÄRMLANDS LÄN</t>
        </is>
      </c>
      <c r="E6963" t="inlineStr">
        <is>
          <t>KARLSTAD</t>
        </is>
      </c>
      <c r="G6963" t="n">
        <v>6.1</v>
      </c>
      <c r="H6963" t="n">
        <v>0</v>
      </c>
      <c r="I6963" t="n">
        <v>0</v>
      </c>
      <c r="J6963" t="n">
        <v>0</v>
      </c>
      <c r="K6963" t="n">
        <v>0</v>
      </c>
      <c r="L6963" t="n">
        <v>0</v>
      </c>
      <c r="M6963" t="n">
        <v>0</v>
      </c>
      <c r="N6963" t="n">
        <v>0</v>
      </c>
      <c r="O6963" t="n">
        <v>0</v>
      </c>
      <c r="P6963" t="n">
        <v>0</v>
      </c>
      <c r="Q6963" t="n">
        <v>0</v>
      </c>
      <c r="R6963" s="2" t="inlineStr"/>
    </row>
    <row r="6964" ht="15" customHeight="1">
      <c r="A6964" t="inlineStr">
        <is>
          <t>A 21507-2022</t>
        </is>
      </c>
      <c r="B6964" s="1" t="n">
        <v>44706</v>
      </c>
      <c r="C6964" s="1" t="n">
        <v>45810</v>
      </c>
      <c r="D6964" t="inlineStr">
        <is>
          <t>VÄRMLANDS LÄN</t>
        </is>
      </c>
      <c r="E6964" t="inlineStr">
        <is>
          <t>ARVIKA</t>
        </is>
      </c>
      <c r="F6964" t="inlineStr">
        <is>
          <t>Bergvik skog väst AB</t>
        </is>
      </c>
      <c r="G6964" t="n">
        <v>9.6</v>
      </c>
      <c r="H6964" t="n">
        <v>0</v>
      </c>
      <c r="I6964" t="n">
        <v>0</v>
      </c>
      <c r="J6964" t="n">
        <v>0</v>
      </c>
      <c r="K6964" t="n">
        <v>0</v>
      </c>
      <c r="L6964" t="n">
        <v>0</v>
      </c>
      <c r="M6964" t="n">
        <v>0</v>
      </c>
      <c r="N6964" t="n">
        <v>0</v>
      </c>
      <c r="O6964" t="n">
        <v>0</v>
      </c>
      <c r="P6964" t="n">
        <v>0</v>
      </c>
      <c r="Q6964" t="n">
        <v>0</v>
      </c>
      <c r="R6964" s="2" t="inlineStr"/>
    </row>
    <row r="6965" ht="15" customHeight="1">
      <c r="A6965" t="inlineStr">
        <is>
          <t>A 21516-2022</t>
        </is>
      </c>
      <c r="B6965" s="1" t="n">
        <v>44706</v>
      </c>
      <c r="C6965" s="1" t="n">
        <v>45810</v>
      </c>
      <c r="D6965" t="inlineStr">
        <is>
          <t>VÄRMLANDS LÄN</t>
        </is>
      </c>
      <c r="E6965" t="inlineStr">
        <is>
          <t>TORSBY</t>
        </is>
      </c>
      <c r="G6965" t="n">
        <v>2.2</v>
      </c>
      <c r="H6965" t="n">
        <v>0</v>
      </c>
      <c r="I6965" t="n">
        <v>0</v>
      </c>
      <c r="J6965" t="n">
        <v>0</v>
      </c>
      <c r="K6965" t="n">
        <v>0</v>
      </c>
      <c r="L6965" t="n">
        <v>0</v>
      </c>
      <c r="M6965" t="n">
        <v>0</v>
      </c>
      <c r="N6965" t="n">
        <v>0</v>
      </c>
      <c r="O6965" t="n">
        <v>0</v>
      </c>
      <c r="P6965" t="n">
        <v>0</v>
      </c>
      <c r="Q6965" t="n">
        <v>0</v>
      </c>
      <c r="R6965" s="2" t="inlineStr"/>
    </row>
    <row r="6966" ht="15" customHeight="1">
      <c r="A6966" t="inlineStr">
        <is>
          <t>A 21433-2022</t>
        </is>
      </c>
      <c r="B6966" s="1" t="n">
        <v>44706</v>
      </c>
      <c r="C6966" s="1" t="n">
        <v>45810</v>
      </c>
      <c r="D6966" t="inlineStr">
        <is>
          <t>VÄRMLANDS LÄN</t>
        </is>
      </c>
      <c r="E6966" t="inlineStr">
        <is>
          <t>ARVIKA</t>
        </is>
      </c>
      <c r="F6966" t="inlineStr">
        <is>
          <t>Bergvik skog väst AB</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21443-2022</t>
        </is>
      </c>
      <c r="B6967" s="1" t="n">
        <v>44706</v>
      </c>
      <c r="C6967" s="1" t="n">
        <v>45810</v>
      </c>
      <c r="D6967" t="inlineStr">
        <is>
          <t>VÄRMLANDS LÄN</t>
        </is>
      </c>
      <c r="E6967" t="inlineStr">
        <is>
          <t>ÅRJÄNG</t>
        </is>
      </c>
      <c r="G6967" t="n">
        <v>3.5</v>
      </c>
      <c r="H6967" t="n">
        <v>0</v>
      </c>
      <c r="I6967" t="n">
        <v>0</v>
      </c>
      <c r="J6967" t="n">
        <v>0</v>
      </c>
      <c r="K6967" t="n">
        <v>0</v>
      </c>
      <c r="L6967" t="n">
        <v>0</v>
      </c>
      <c r="M6967" t="n">
        <v>0</v>
      </c>
      <c r="N6967" t="n">
        <v>0</v>
      </c>
      <c r="O6967" t="n">
        <v>0</v>
      </c>
      <c r="P6967" t="n">
        <v>0</v>
      </c>
      <c r="Q6967" t="n">
        <v>0</v>
      </c>
      <c r="R6967" s="2" t="inlineStr"/>
    </row>
    <row r="6968" ht="15" customHeight="1">
      <c r="A6968" t="inlineStr">
        <is>
          <t>A 21432-2022</t>
        </is>
      </c>
      <c r="B6968" s="1" t="n">
        <v>44706</v>
      </c>
      <c r="C6968" s="1" t="n">
        <v>45810</v>
      </c>
      <c r="D6968" t="inlineStr">
        <is>
          <t>VÄRMLANDS LÄN</t>
        </is>
      </c>
      <c r="E6968" t="inlineStr">
        <is>
          <t>ARVIKA</t>
        </is>
      </c>
      <c r="F6968" t="inlineStr">
        <is>
          <t>Bergvik skog väst AB</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21442-2022</t>
        </is>
      </c>
      <c r="B6969" s="1" t="n">
        <v>44706</v>
      </c>
      <c r="C6969" s="1" t="n">
        <v>45810</v>
      </c>
      <c r="D6969" t="inlineStr">
        <is>
          <t>VÄRMLANDS LÄN</t>
        </is>
      </c>
      <c r="E6969" t="inlineStr">
        <is>
          <t>HAGFORS</t>
        </is>
      </c>
      <c r="F6969" t="inlineStr">
        <is>
          <t>Bergvik skog väst AB</t>
        </is>
      </c>
      <c r="G6969" t="n">
        <v>2.4</v>
      </c>
      <c r="H6969" t="n">
        <v>0</v>
      </c>
      <c r="I6969" t="n">
        <v>0</v>
      </c>
      <c r="J6969" t="n">
        <v>0</v>
      </c>
      <c r="K6969" t="n">
        <v>0</v>
      </c>
      <c r="L6969" t="n">
        <v>0</v>
      </c>
      <c r="M6969" t="n">
        <v>0</v>
      </c>
      <c r="N6969" t="n">
        <v>0</v>
      </c>
      <c r="O6969" t="n">
        <v>0</v>
      </c>
      <c r="P6969" t="n">
        <v>0</v>
      </c>
      <c r="Q6969" t="n">
        <v>0</v>
      </c>
      <c r="R6969" s="2" t="inlineStr"/>
    </row>
    <row r="6970" ht="15" customHeight="1">
      <c r="A6970" t="inlineStr">
        <is>
          <t>A 21465-2022</t>
        </is>
      </c>
      <c r="B6970" s="1" t="n">
        <v>44706</v>
      </c>
      <c r="C6970" s="1" t="n">
        <v>45810</v>
      </c>
      <c r="D6970" t="inlineStr">
        <is>
          <t>VÄRMLANDS LÄN</t>
        </is>
      </c>
      <c r="E6970" t="inlineStr">
        <is>
          <t>TORSBY</t>
        </is>
      </c>
      <c r="G6970" t="n">
        <v>1.9</v>
      </c>
      <c r="H6970" t="n">
        <v>0</v>
      </c>
      <c r="I6970" t="n">
        <v>0</v>
      </c>
      <c r="J6970" t="n">
        <v>0</v>
      </c>
      <c r="K6970" t="n">
        <v>0</v>
      </c>
      <c r="L6970" t="n">
        <v>0</v>
      </c>
      <c r="M6970" t="n">
        <v>0</v>
      </c>
      <c r="N6970" t="n">
        <v>0</v>
      </c>
      <c r="O6970" t="n">
        <v>0</v>
      </c>
      <c r="P6970" t="n">
        <v>0</v>
      </c>
      <c r="Q6970" t="n">
        <v>0</v>
      </c>
      <c r="R6970" s="2" t="inlineStr"/>
    </row>
    <row r="6971" ht="15" customHeight="1">
      <c r="A6971" t="inlineStr">
        <is>
          <t>A 21434-2022</t>
        </is>
      </c>
      <c r="B6971" s="1" t="n">
        <v>44706</v>
      </c>
      <c r="C6971" s="1" t="n">
        <v>45810</v>
      </c>
      <c r="D6971" t="inlineStr">
        <is>
          <t>VÄRMLANDS LÄN</t>
        </is>
      </c>
      <c r="E6971" t="inlineStr">
        <is>
          <t>FORSHAGA</t>
        </is>
      </c>
      <c r="F6971" t="inlineStr">
        <is>
          <t>Bergvik skog väst AB</t>
        </is>
      </c>
      <c r="G6971" t="n">
        <v>3.4</v>
      </c>
      <c r="H6971" t="n">
        <v>0</v>
      </c>
      <c r="I6971" t="n">
        <v>0</v>
      </c>
      <c r="J6971" t="n">
        <v>0</v>
      </c>
      <c r="K6971" t="n">
        <v>0</v>
      </c>
      <c r="L6971" t="n">
        <v>0</v>
      </c>
      <c r="M6971" t="n">
        <v>0</v>
      </c>
      <c r="N6971" t="n">
        <v>0</v>
      </c>
      <c r="O6971" t="n">
        <v>0</v>
      </c>
      <c r="P6971" t="n">
        <v>0</v>
      </c>
      <c r="Q6971" t="n">
        <v>0</v>
      </c>
      <c r="R6971" s="2" t="inlineStr"/>
    </row>
    <row r="6972" ht="15" customHeight="1">
      <c r="A6972" t="inlineStr">
        <is>
          <t>A 21515-2022</t>
        </is>
      </c>
      <c r="B6972" s="1" t="n">
        <v>44706</v>
      </c>
      <c r="C6972" s="1" t="n">
        <v>45810</v>
      </c>
      <c r="D6972" t="inlineStr">
        <is>
          <t>VÄRMLANDS LÄN</t>
        </is>
      </c>
      <c r="E6972" t="inlineStr">
        <is>
          <t>KRISTINEHAMN</t>
        </is>
      </c>
      <c r="G6972" t="n">
        <v>2.6</v>
      </c>
      <c r="H6972" t="n">
        <v>0</v>
      </c>
      <c r="I6972" t="n">
        <v>0</v>
      </c>
      <c r="J6972" t="n">
        <v>0</v>
      </c>
      <c r="K6972" t="n">
        <v>0</v>
      </c>
      <c r="L6972" t="n">
        <v>0</v>
      </c>
      <c r="M6972" t="n">
        <v>0</v>
      </c>
      <c r="N6972" t="n">
        <v>0</v>
      </c>
      <c r="O6972" t="n">
        <v>0</v>
      </c>
      <c r="P6972" t="n">
        <v>0</v>
      </c>
      <c r="Q6972" t="n">
        <v>0</v>
      </c>
      <c r="R6972" s="2" t="inlineStr"/>
    </row>
    <row r="6973" ht="15" customHeight="1">
      <c r="A6973" t="inlineStr">
        <is>
          <t>A 21521-2022</t>
        </is>
      </c>
      <c r="B6973" s="1" t="n">
        <v>44706</v>
      </c>
      <c r="C6973" s="1" t="n">
        <v>45810</v>
      </c>
      <c r="D6973" t="inlineStr">
        <is>
          <t>VÄRMLANDS LÄN</t>
        </is>
      </c>
      <c r="E6973" t="inlineStr">
        <is>
          <t>TORSBY</t>
        </is>
      </c>
      <c r="G6973" t="n">
        <v>0.1</v>
      </c>
      <c r="H6973" t="n">
        <v>0</v>
      </c>
      <c r="I6973" t="n">
        <v>0</v>
      </c>
      <c r="J6973" t="n">
        <v>0</v>
      </c>
      <c r="K6973" t="n">
        <v>0</v>
      </c>
      <c r="L6973" t="n">
        <v>0</v>
      </c>
      <c r="M6973" t="n">
        <v>0</v>
      </c>
      <c r="N6973" t="n">
        <v>0</v>
      </c>
      <c r="O6973" t="n">
        <v>0</v>
      </c>
      <c r="P6973" t="n">
        <v>0</v>
      </c>
      <c r="Q6973" t="n">
        <v>0</v>
      </c>
      <c r="R6973" s="2" t="inlineStr"/>
    </row>
    <row r="6974" ht="15" customHeight="1">
      <c r="A6974" t="inlineStr">
        <is>
          <t>A 21549-2022</t>
        </is>
      </c>
      <c r="B6974" s="1" t="n">
        <v>44706</v>
      </c>
      <c r="C6974" s="1" t="n">
        <v>45810</v>
      </c>
      <c r="D6974" t="inlineStr">
        <is>
          <t>VÄRMLANDS LÄN</t>
        </is>
      </c>
      <c r="E6974" t="inlineStr">
        <is>
          <t>KRISTINEHAMN</t>
        </is>
      </c>
      <c r="G6974" t="n">
        <v>11.3</v>
      </c>
      <c r="H6974" t="n">
        <v>0</v>
      </c>
      <c r="I6974" t="n">
        <v>0</v>
      </c>
      <c r="J6974" t="n">
        <v>0</v>
      </c>
      <c r="K6974" t="n">
        <v>0</v>
      </c>
      <c r="L6974" t="n">
        <v>0</v>
      </c>
      <c r="M6974" t="n">
        <v>0</v>
      </c>
      <c r="N6974" t="n">
        <v>0</v>
      </c>
      <c r="O6974" t="n">
        <v>0</v>
      </c>
      <c r="P6974" t="n">
        <v>0</v>
      </c>
      <c r="Q6974" t="n">
        <v>0</v>
      </c>
      <c r="R6974" s="2" t="inlineStr"/>
    </row>
    <row r="6975" ht="15" customHeight="1">
      <c r="A6975" t="inlineStr">
        <is>
          <t>A 21599-2022</t>
        </is>
      </c>
      <c r="B6975" s="1" t="n">
        <v>44706</v>
      </c>
      <c r="C6975" s="1" t="n">
        <v>45810</v>
      </c>
      <c r="D6975" t="inlineStr">
        <is>
          <t>VÄRMLANDS LÄN</t>
        </is>
      </c>
      <c r="E6975" t="inlineStr">
        <is>
          <t>HAGFORS</t>
        </is>
      </c>
      <c r="F6975" t="inlineStr">
        <is>
          <t>Bergvik skog väst AB</t>
        </is>
      </c>
      <c r="G6975" t="n">
        <v>2.8</v>
      </c>
      <c r="H6975" t="n">
        <v>0</v>
      </c>
      <c r="I6975" t="n">
        <v>0</v>
      </c>
      <c r="J6975" t="n">
        <v>0</v>
      </c>
      <c r="K6975" t="n">
        <v>0</v>
      </c>
      <c r="L6975" t="n">
        <v>0</v>
      </c>
      <c r="M6975" t="n">
        <v>0</v>
      </c>
      <c r="N6975" t="n">
        <v>0</v>
      </c>
      <c r="O6975" t="n">
        <v>0</v>
      </c>
      <c r="P6975" t="n">
        <v>0</v>
      </c>
      <c r="Q6975" t="n">
        <v>0</v>
      </c>
      <c r="R6975" s="2" t="inlineStr"/>
    </row>
    <row r="6976" ht="15" customHeight="1">
      <c r="A6976" t="inlineStr">
        <is>
          <t>A 21609-2022</t>
        </is>
      </c>
      <c r="B6976" s="1" t="n">
        <v>44706</v>
      </c>
      <c r="C6976" s="1" t="n">
        <v>45810</v>
      </c>
      <c r="D6976" t="inlineStr">
        <is>
          <t>VÄRMLANDS LÄN</t>
        </is>
      </c>
      <c r="E6976" t="inlineStr">
        <is>
          <t>KARLSTAD</t>
        </is>
      </c>
      <c r="F6976" t="inlineStr">
        <is>
          <t>Bergvik skog väst AB</t>
        </is>
      </c>
      <c r="G6976" t="n">
        <v>3.7</v>
      </c>
      <c r="H6976" t="n">
        <v>0</v>
      </c>
      <c r="I6976" t="n">
        <v>0</v>
      </c>
      <c r="J6976" t="n">
        <v>0</v>
      </c>
      <c r="K6976" t="n">
        <v>0</v>
      </c>
      <c r="L6976" t="n">
        <v>0</v>
      </c>
      <c r="M6976" t="n">
        <v>0</v>
      </c>
      <c r="N6976" t="n">
        <v>0</v>
      </c>
      <c r="O6976" t="n">
        <v>0</v>
      </c>
      <c r="P6976" t="n">
        <v>0</v>
      </c>
      <c r="Q6976" t="n">
        <v>0</v>
      </c>
      <c r="R6976" s="2" t="inlineStr"/>
    </row>
    <row r="6977" ht="15" customHeight="1">
      <c r="A6977" t="inlineStr">
        <is>
          <t>A 21566-2022</t>
        </is>
      </c>
      <c r="B6977" s="1" t="n">
        <v>44706</v>
      </c>
      <c r="C6977" s="1" t="n">
        <v>45810</v>
      </c>
      <c r="D6977" t="inlineStr">
        <is>
          <t>VÄRMLANDS LÄN</t>
        </is>
      </c>
      <c r="E6977" t="inlineStr">
        <is>
          <t>ARVIKA</t>
        </is>
      </c>
      <c r="F6977" t="inlineStr">
        <is>
          <t>Bergvik skog väst AB</t>
        </is>
      </c>
      <c r="G6977" t="n">
        <v>18.4</v>
      </c>
      <c r="H6977" t="n">
        <v>0</v>
      </c>
      <c r="I6977" t="n">
        <v>0</v>
      </c>
      <c r="J6977" t="n">
        <v>0</v>
      </c>
      <c r="K6977" t="n">
        <v>0</v>
      </c>
      <c r="L6977" t="n">
        <v>0</v>
      </c>
      <c r="M6977" t="n">
        <v>0</v>
      </c>
      <c r="N6977" t="n">
        <v>0</v>
      </c>
      <c r="O6977" t="n">
        <v>0</v>
      </c>
      <c r="P6977" t="n">
        <v>0</v>
      </c>
      <c r="Q6977" t="n">
        <v>0</v>
      </c>
      <c r="R6977" s="2" t="inlineStr"/>
    </row>
    <row r="6978" ht="15" customHeight="1">
      <c r="A6978" t="inlineStr">
        <is>
          <t>A 21679-2022</t>
        </is>
      </c>
      <c r="B6978" s="1" t="n">
        <v>44707</v>
      </c>
      <c r="C6978" s="1" t="n">
        <v>45810</v>
      </c>
      <c r="D6978" t="inlineStr">
        <is>
          <t>VÄRMLANDS LÄN</t>
        </is>
      </c>
      <c r="E6978" t="inlineStr">
        <is>
          <t>KRISTINEHAMN</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21680-2022</t>
        </is>
      </c>
      <c r="B6979" s="1" t="n">
        <v>44707</v>
      </c>
      <c r="C6979" s="1" t="n">
        <v>45810</v>
      </c>
      <c r="D6979" t="inlineStr">
        <is>
          <t>VÄRMLANDS LÄN</t>
        </is>
      </c>
      <c r="E6979" t="inlineStr">
        <is>
          <t>KRISTINEHAMN</t>
        </is>
      </c>
      <c r="G6979" t="n">
        <v>8.699999999999999</v>
      </c>
      <c r="H6979" t="n">
        <v>0</v>
      </c>
      <c r="I6979" t="n">
        <v>0</v>
      </c>
      <c r="J6979" t="n">
        <v>0</v>
      </c>
      <c r="K6979" t="n">
        <v>0</v>
      </c>
      <c r="L6979" t="n">
        <v>0</v>
      </c>
      <c r="M6979" t="n">
        <v>0</v>
      </c>
      <c r="N6979" t="n">
        <v>0</v>
      </c>
      <c r="O6979" t="n">
        <v>0</v>
      </c>
      <c r="P6979" t="n">
        <v>0</v>
      </c>
      <c r="Q6979" t="n">
        <v>0</v>
      </c>
      <c r="R6979" s="2" t="inlineStr"/>
    </row>
    <row r="6980" ht="15" customHeight="1">
      <c r="A6980" t="inlineStr">
        <is>
          <t>A 25799-2022</t>
        </is>
      </c>
      <c r="B6980" s="1" t="n">
        <v>44708</v>
      </c>
      <c r="C6980" s="1" t="n">
        <v>45810</v>
      </c>
      <c r="D6980" t="inlineStr">
        <is>
          <t>VÄRMLANDS LÄN</t>
        </is>
      </c>
      <c r="E6980" t="inlineStr">
        <is>
          <t>KARLSTAD</t>
        </is>
      </c>
      <c r="G6980" t="n">
        <v>1.5</v>
      </c>
      <c r="H6980" t="n">
        <v>0</v>
      </c>
      <c r="I6980" t="n">
        <v>0</v>
      </c>
      <c r="J6980" t="n">
        <v>0</v>
      </c>
      <c r="K6980" t="n">
        <v>0</v>
      </c>
      <c r="L6980" t="n">
        <v>0</v>
      </c>
      <c r="M6980" t="n">
        <v>0</v>
      </c>
      <c r="N6980" t="n">
        <v>0</v>
      </c>
      <c r="O6980" t="n">
        <v>0</v>
      </c>
      <c r="P6980" t="n">
        <v>0</v>
      </c>
      <c r="Q6980" t="n">
        <v>0</v>
      </c>
      <c r="R6980" s="2" t="inlineStr"/>
    </row>
    <row r="6981" ht="15" customHeight="1">
      <c r="A6981" t="inlineStr">
        <is>
          <t>A 22158-2022</t>
        </is>
      </c>
      <c r="B6981" s="1" t="n">
        <v>44708</v>
      </c>
      <c r="C6981" s="1" t="n">
        <v>45810</v>
      </c>
      <c r="D6981" t="inlineStr">
        <is>
          <t>VÄRMLANDS LÄN</t>
        </is>
      </c>
      <c r="E6981" t="inlineStr">
        <is>
          <t>TORSBY</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25791-2022</t>
        </is>
      </c>
      <c r="B6982" s="1" t="n">
        <v>44708</v>
      </c>
      <c r="C6982" s="1" t="n">
        <v>45810</v>
      </c>
      <c r="D6982" t="inlineStr">
        <is>
          <t>VÄRMLANDS LÄN</t>
        </is>
      </c>
      <c r="E6982" t="inlineStr">
        <is>
          <t>KARLSTAD</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21821-2022</t>
        </is>
      </c>
      <c r="B6983" s="1" t="n">
        <v>44709</v>
      </c>
      <c r="C6983" s="1" t="n">
        <v>45810</v>
      </c>
      <c r="D6983" t="inlineStr">
        <is>
          <t>VÄRMLANDS LÄN</t>
        </is>
      </c>
      <c r="E6983" t="inlineStr">
        <is>
          <t>SÄFFLE</t>
        </is>
      </c>
      <c r="G6983" t="n">
        <v>4.6</v>
      </c>
      <c r="H6983" t="n">
        <v>0</v>
      </c>
      <c r="I6983" t="n">
        <v>0</v>
      </c>
      <c r="J6983" t="n">
        <v>0</v>
      </c>
      <c r="K6983" t="n">
        <v>0</v>
      </c>
      <c r="L6983" t="n">
        <v>0</v>
      </c>
      <c r="M6983" t="n">
        <v>0</v>
      </c>
      <c r="N6983" t="n">
        <v>0</v>
      </c>
      <c r="O6983" t="n">
        <v>0</v>
      </c>
      <c r="P6983" t="n">
        <v>0</v>
      </c>
      <c r="Q6983" t="n">
        <v>0</v>
      </c>
      <c r="R6983" s="2" t="inlineStr"/>
    </row>
    <row r="6984" ht="15" customHeight="1">
      <c r="A6984" t="inlineStr">
        <is>
          <t>A 21949-2022</t>
        </is>
      </c>
      <c r="B6984" s="1" t="n">
        <v>44711</v>
      </c>
      <c r="C6984" s="1" t="n">
        <v>45810</v>
      </c>
      <c r="D6984" t="inlineStr">
        <is>
          <t>VÄRMLANDS LÄN</t>
        </is>
      </c>
      <c r="E6984" t="inlineStr">
        <is>
          <t>HAGFORS</t>
        </is>
      </c>
      <c r="F6984" t="inlineStr">
        <is>
          <t>Bergvik skog väst AB</t>
        </is>
      </c>
      <c r="G6984" t="n">
        <v>2</v>
      </c>
      <c r="H6984" t="n">
        <v>0</v>
      </c>
      <c r="I6984" t="n">
        <v>0</v>
      </c>
      <c r="J6984" t="n">
        <v>0</v>
      </c>
      <c r="K6984" t="n">
        <v>0</v>
      </c>
      <c r="L6984" t="n">
        <v>0</v>
      </c>
      <c r="M6984" t="n">
        <v>0</v>
      </c>
      <c r="N6984" t="n">
        <v>0</v>
      </c>
      <c r="O6984" t="n">
        <v>0</v>
      </c>
      <c r="P6984" t="n">
        <v>0</v>
      </c>
      <c r="Q6984" t="n">
        <v>0</v>
      </c>
      <c r="R6984" s="2" t="inlineStr"/>
    </row>
    <row r="6985" ht="15" customHeight="1">
      <c r="A6985" t="inlineStr">
        <is>
          <t>A 21979-2022</t>
        </is>
      </c>
      <c r="B6985" s="1" t="n">
        <v>44711</v>
      </c>
      <c r="C6985" s="1" t="n">
        <v>45810</v>
      </c>
      <c r="D6985" t="inlineStr">
        <is>
          <t>VÄRMLANDS LÄN</t>
        </is>
      </c>
      <c r="E6985" t="inlineStr">
        <is>
          <t>ARVIKA</t>
        </is>
      </c>
      <c r="F6985" t="inlineStr">
        <is>
          <t>Bergvik skog väst AB</t>
        </is>
      </c>
      <c r="G6985" t="n">
        <v>20.1</v>
      </c>
      <c r="H6985" t="n">
        <v>0</v>
      </c>
      <c r="I6985" t="n">
        <v>0</v>
      </c>
      <c r="J6985" t="n">
        <v>0</v>
      </c>
      <c r="K6985" t="n">
        <v>0</v>
      </c>
      <c r="L6985" t="n">
        <v>0</v>
      </c>
      <c r="M6985" t="n">
        <v>0</v>
      </c>
      <c r="N6985" t="n">
        <v>0</v>
      </c>
      <c r="O6985" t="n">
        <v>0</v>
      </c>
      <c r="P6985" t="n">
        <v>0</v>
      </c>
      <c r="Q6985" t="n">
        <v>0</v>
      </c>
      <c r="R6985" s="2" t="inlineStr"/>
    </row>
    <row r="6986" ht="15" customHeight="1">
      <c r="A6986" t="inlineStr">
        <is>
          <t>A 21939-2022</t>
        </is>
      </c>
      <c r="B6986" s="1" t="n">
        <v>44711</v>
      </c>
      <c r="C6986" s="1" t="n">
        <v>45810</v>
      </c>
      <c r="D6986" t="inlineStr">
        <is>
          <t>VÄRMLANDS LÄN</t>
        </is>
      </c>
      <c r="E6986" t="inlineStr">
        <is>
          <t>ÅRJÄNG</t>
        </is>
      </c>
      <c r="G6986" t="n">
        <v>0.1</v>
      </c>
      <c r="H6986" t="n">
        <v>0</v>
      </c>
      <c r="I6986" t="n">
        <v>0</v>
      </c>
      <c r="J6986" t="n">
        <v>0</v>
      </c>
      <c r="K6986" t="n">
        <v>0</v>
      </c>
      <c r="L6986" t="n">
        <v>0</v>
      </c>
      <c r="M6986" t="n">
        <v>0</v>
      </c>
      <c r="N6986" t="n">
        <v>0</v>
      </c>
      <c r="O6986" t="n">
        <v>0</v>
      </c>
      <c r="P6986" t="n">
        <v>0</v>
      </c>
      <c r="Q6986" t="n">
        <v>0</v>
      </c>
      <c r="R6986" s="2" t="inlineStr"/>
    </row>
    <row r="6987" ht="15" customHeight="1">
      <c r="A6987" t="inlineStr">
        <is>
          <t>A 21978-2022</t>
        </is>
      </c>
      <c r="B6987" s="1" t="n">
        <v>44711</v>
      </c>
      <c r="C6987" s="1" t="n">
        <v>45810</v>
      </c>
      <c r="D6987" t="inlineStr">
        <is>
          <t>VÄRMLANDS LÄN</t>
        </is>
      </c>
      <c r="E6987" t="inlineStr">
        <is>
          <t>ARVIKA</t>
        </is>
      </c>
      <c r="F6987" t="inlineStr">
        <is>
          <t>Bergvik skog väst AB</t>
        </is>
      </c>
      <c r="G6987" t="n">
        <v>1.4</v>
      </c>
      <c r="H6987" t="n">
        <v>0</v>
      </c>
      <c r="I6987" t="n">
        <v>0</v>
      </c>
      <c r="J6987" t="n">
        <v>0</v>
      </c>
      <c r="K6987" t="n">
        <v>0</v>
      </c>
      <c r="L6987" t="n">
        <v>0</v>
      </c>
      <c r="M6987" t="n">
        <v>0</v>
      </c>
      <c r="N6987" t="n">
        <v>0</v>
      </c>
      <c r="O6987" t="n">
        <v>0</v>
      </c>
      <c r="P6987" t="n">
        <v>0</v>
      </c>
      <c r="Q6987" t="n">
        <v>0</v>
      </c>
      <c r="R6987" s="2" t="inlineStr"/>
    </row>
    <row r="6988" ht="15" customHeight="1">
      <c r="A6988" t="inlineStr">
        <is>
          <t>A 22025-2022</t>
        </is>
      </c>
      <c r="B6988" s="1" t="n">
        <v>44711</v>
      </c>
      <c r="C6988" s="1" t="n">
        <v>45810</v>
      </c>
      <c r="D6988" t="inlineStr">
        <is>
          <t>VÄRMLANDS LÄN</t>
        </is>
      </c>
      <c r="E6988" t="inlineStr">
        <is>
          <t>KIL</t>
        </is>
      </c>
      <c r="F6988" t="inlineStr">
        <is>
          <t>Bergvik skog väst AB</t>
        </is>
      </c>
      <c r="G6988" t="n">
        <v>2.3</v>
      </c>
      <c r="H6988" t="n">
        <v>0</v>
      </c>
      <c r="I6988" t="n">
        <v>0</v>
      </c>
      <c r="J6988" t="n">
        <v>0</v>
      </c>
      <c r="K6988" t="n">
        <v>0</v>
      </c>
      <c r="L6988" t="n">
        <v>0</v>
      </c>
      <c r="M6988" t="n">
        <v>0</v>
      </c>
      <c r="N6988" t="n">
        <v>0</v>
      </c>
      <c r="O6988" t="n">
        <v>0</v>
      </c>
      <c r="P6988" t="n">
        <v>0</v>
      </c>
      <c r="Q6988" t="n">
        <v>0</v>
      </c>
      <c r="R6988" s="2" t="inlineStr"/>
    </row>
    <row r="6989" ht="15" customHeight="1">
      <c r="A6989" t="inlineStr">
        <is>
          <t>A 22057-2022</t>
        </is>
      </c>
      <c r="B6989" s="1" t="n">
        <v>44711</v>
      </c>
      <c r="C6989" s="1" t="n">
        <v>45810</v>
      </c>
      <c r="D6989" t="inlineStr">
        <is>
          <t>VÄRMLANDS LÄN</t>
        </is>
      </c>
      <c r="E6989" t="inlineStr">
        <is>
          <t>SÄFFLE</t>
        </is>
      </c>
      <c r="G6989" t="n">
        <v>2.1</v>
      </c>
      <c r="H6989" t="n">
        <v>0</v>
      </c>
      <c r="I6989" t="n">
        <v>0</v>
      </c>
      <c r="J6989" t="n">
        <v>0</v>
      </c>
      <c r="K6989" t="n">
        <v>0</v>
      </c>
      <c r="L6989" t="n">
        <v>0</v>
      </c>
      <c r="M6989" t="n">
        <v>0</v>
      </c>
      <c r="N6989" t="n">
        <v>0</v>
      </c>
      <c r="O6989" t="n">
        <v>0</v>
      </c>
      <c r="P6989" t="n">
        <v>0</v>
      </c>
      <c r="Q6989" t="n">
        <v>0</v>
      </c>
      <c r="R6989" s="2" t="inlineStr"/>
    </row>
    <row r="6990" ht="15" customHeight="1">
      <c r="A6990" t="inlineStr">
        <is>
          <t>A 22006-2022</t>
        </is>
      </c>
      <c r="B6990" s="1" t="n">
        <v>44711</v>
      </c>
      <c r="C6990" s="1" t="n">
        <v>45810</v>
      </c>
      <c r="D6990" t="inlineStr">
        <is>
          <t>VÄRMLANDS LÄN</t>
        </is>
      </c>
      <c r="E6990" t="inlineStr">
        <is>
          <t>KARLSTAD</t>
        </is>
      </c>
      <c r="G6990" t="n">
        <v>0.7</v>
      </c>
      <c r="H6990" t="n">
        <v>0</v>
      </c>
      <c r="I6990" t="n">
        <v>0</v>
      </c>
      <c r="J6990" t="n">
        <v>0</v>
      </c>
      <c r="K6990" t="n">
        <v>0</v>
      </c>
      <c r="L6990" t="n">
        <v>0</v>
      </c>
      <c r="M6990" t="n">
        <v>0</v>
      </c>
      <c r="N6990" t="n">
        <v>0</v>
      </c>
      <c r="O6990" t="n">
        <v>0</v>
      </c>
      <c r="P6990" t="n">
        <v>0</v>
      </c>
      <c r="Q6990" t="n">
        <v>0</v>
      </c>
      <c r="R6990" s="2" t="inlineStr"/>
    </row>
    <row r="6991" ht="15" customHeight="1">
      <c r="A6991" t="inlineStr">
        <is>
          <t>A 22124-2022</t>
        </is>
      </c>
      <c r="B6991" s="1" t="n">
        <v>44712</v>
      </c>
      <c r="C6991" s="1" t="n">
        <v>45810</v>
      </c>
      <c r="D6991" t="inlineStr">
        <is>
          <t>VÄRMLANDS LÄN</t>
        </is>
      </c>
      <c r="E6991" t="inlineStr">
        <is>
          <t>TORSBY</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22167-2022</t>
        </is>
      </c>
      <c r="B6992" s="1" t="n">
        <v>44712</v>
      </c>
      <c r="C6992" s="1" t="n">
        <v>45810</v>
      </c>
      <c r="D6992" t="inlineStr">
        <is>
          <t>VÄRMLANDS LÄN</t>
        </is>
      </c>
      <c r="E6992" t="inlineStr">
        <is>
          <t>ÅRJÄNG</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22205-2022</t>
        </is>
      </c>
      <c r="B6993" s="1" t="n">
        <v>44712</v>
      </c>
      <c r="C6993" s="1" t="n">
        <v>45810</v>
      </c>
      <c r="D6993" t="inlineStr">
        <is>
          <t>VÄRMLANDS LÄN</t>
        </is>
      </c>
      <c r="E6993" t="inlineStr">
        <is>
          <t>KARLSTAD</t>
        </is>
      </c>
      <c r="G6993" t="n">
        <v>3.5</v>
      </c>
      <c r="H6993" t="n">
        <v>0</v>
      </c>
      <c r="I6993" t="n">
        <v>0</v>
      </c>
      <c r="J6993" t="n">
        <v>0</v>
      </c>
      <c r="K6993" t="n">
        <v>0</v>
      </c>
      <c r="L6993" t="n">
        <v>0</v>
      </c>
      <c r="M6993" t="n">
        <v>0</v>
      </c>
      <c r="N6993" t="n">
        <v>0</v>
      </c>
      <c r="O6993" t="n">
        <v>0</v>
      </c>
      <c r="P6993" t="n">
        <v>0</v>
      </c>
      <c r="Q6993" t="n">
        <v>0</v>
      </c>
      <c r="R6993" s="2" t="inlineStr"/>
    </row>
    <row r="6994" ht="15" customHeight="1">
      <c r="A6994" t="inlineStr">
        <is>
          <t>A 22121-2022</t>
        </is>
      </c>
      <c r="B6994" s="1" t="n">
        <v>44712</v>
      </c>
      <c r="C6994" s="1" t="n">
        <v>45810</v>
      </c>
      <c r="D6994" t="inlineStr">
        <is>
          <t>VÄRMLANDS LÄN</t>
        </is>
      </c>
      <c r="E6994" t="inlineStr">
        <is>
          <t>SUNNE</t>
        </is>
      </c>
      <c r="G6994" t="n">
        <v>5.8</v>
      </c>
      <c r="H6994" t="n">
        <v>0</v>
      </c>
      <c r="I6994" t="n">
        <v>0</v>
      </c>
      <c r="J6994" t="n">
        <v>0</v>
      </c>
      <c r="K6994" t="n">
        <v>0</v>
      </c>
      <c r="L6994" t="n">
        <v>0</v>
      </c>
      <c r="M6994" t="n">
        <v>0</v>
      </c>
      <c r="N6994" t="n">
        <v>0</v>
      </c>
      <c r="O6994" t="n">
        <v>0</v>
      </c>
      <c r="P6994" t="n">
        <v>0</v>
      </c>
      <c r="Q6994" t="n">
        <v>0</v>
      </c>
      <c r="R6994" s="2" t="inlineStr"/>
    </row>
    <row r="6995" ht="15" customHeight="1">
      <c r="A6995" t="inlineStr">
        <is>
          <t>A 22150-2022</t>
        </is>
      </c>
      <c r="B6995" s="1" t="n">
        <v>44712</v>
      </c>
      <c r="C6995" s="1" t="n">
        <v>45810</v>
      </c>
      <c r="D6995" t="inlineStr">
        <is>
          <t>VÄRMLANDS LÄN</t>
        </is>
      </c>
      <c r="E6995" t="inlineStr">
        <is>
          <t>EDA</t>
        </is>
      </c>
      <c r="G6995" t="n">
        <v>6.3</v>
      </c>
      <c r="H6995" t="n">
        <v>0</v>
      </c>
      <c r="I6995" t="n">
        <v>0</v>
      </c>
      <c r="J6995" t="n">
        <v>0</v>
      </c>
      <c r="K6995" t="n">
        <v>0</v>
      </c>
      <c r="L6995" t="n">
        <v>0</v>
      </c>
      <c r="M6995" t="n">
        <v>0</v>
      </c>
      <c r="N6995" t="n">
        <v>0</v>
      </c>
      <c r="O6995" t="n">
        <v>0</v>
      </c>
      <c r="P6995" t="n">
        <v>0</v>
      </c>
      <c r="Q6995" t="n">
        <v>0</v>
      </c>
      <c r="R6995" s="2" t="inlineStr"/>
    </row>
    <row r="6996" ht="15" customHeight="1">
      <c r="A6996" t="inlineStr">
        <is>
          <t>A 22163-2022</t>
        </is>
      </c>
      <c r="B6996" s="1" t="n">
        <v>44712</v>
      </c>
      <c r="C6996" s="1" t="n">
        <v>45810</v>
      </c>
      <c r="D6996" t="inlineStr">
        <is>
          <t>VÄRMLANDS LÄN</t>
        </is>
      </c>
      <c r="E6996" t="inlineStr">
        <is>
          <t>EDA</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22181-2022</t>
        </is>
      </c>
      <c r="B6997" s="1" t="n">
        <v>44712</v>
      </c>
      <c r="C6997" s="1" t="n">
        <v>45810</v>
      </c>
      <c r="D6997" t="inlineStr">
        <is>
          <t>VÄRMLANDS LÄN</t>
        </is>
      </c>
      <c r="E6997" t="inlineStr">
        <is>
          <t>HAGFORS</t>
        </is>
      </c>
      <c r="F6997" t="inlineStr">
        <is>
          <t>Bergvik skog väst AB</t>
        </is>
      </c>
      <c r="G6997" t="n">
        <v>2.5</v>
      </c>
      <c r="H6997" t="n">
        <v>0</v>
      </c>
      <c r="I6997" t="n">
        <v>0</v>
      </c>
      <c r="J6997" t="n">
        <v>0</v>
      </c>
      <c r="K6997" t="n">
        <v>0</v>
      </c>
      <c r="L6997" t="n">
        <v>0</v>
      </c>
      <c r="M6997" t="n">
        <v>0</v>
      </c>
      <c r="N6997" t="n">
        <v>0</v>
      </c>
      <c r="O6997" t="n">
        <v>0</v>
      </c>
      <c r="P6997" t="n">
        <v>0</v>
      </c>
      <c r="Q6997" t="n">
        <v>0</v>
      </c>
      <c r="R6997" s="2" t="inlineStr"/>
    </row>
    <row r="6998" ht="15" customHeight="1">
      <c r="A6998" t="inlineStr">
        <is>
          <t>A 22192-2022</t>
        </is>
      </c>
      <c r="B6998" s="1" t="n">
        <v>44712</v>
      </c>
      <c r="C6998" s="1" t="n">
        <v>45810</v>
      </c>
      <c r="D6998" t="inlineStr">
        <is>
          <t>VÄRMLANDS LÄN</t>
        </is>
      </c>
      <c r="E6998" t="inlineStr">
        <is>
          <t>SUNNE</t>
        </is>
      </c>
      <c r="G6998" t="n">
        <v>6.1</v>
      </c>
      <c r="H6998" t="n">
        <v>0</v>
      </c>
      <c r="I6998" t="n">
        <v>0</v>
      </c>
      <c r="J6998" t="n">
        <v>0</v>
      </c>
      <c r="K6998" t="n">
        <v>0</v>
      </c>
      <c r="L6998" t="n">
        <v>0</v>
      </c>
      <c r="M6998" t="n">
        <v>0</v>
      </c>
      <c r="N6998" t="n">
        <v>0</v>
      </c>
      <c r="O6998" t="n">
        <v>0</v>
      </c>
      <c r="P6998" t="n">
        <v>0</v>
      </c>
      <c r="Q6998" t="n">
        <v>0</v>
      </c>
      <c r="R6998" s="2" t="inlineStr"/>
    </row>
    <row r="6999" ht="15" customHeight="1">
      <c r="A6999" t="inlineStr">
        <is>
          <t>A 22201-2022</t>
        </is>
      </c>
      <c r="B6999" s="1" t="n">
        <v>44712</v>
      </c>
      <c r="C6999" s="1" t="n">
        <v>45810</v>
      </c>
      <c r="D6999" t="inlineStr">
        <is>
          <t>VÄRMLANDS LÄN</t>
        </is>
      </c>
      <c r="E6999" t="inlineStr">
        <is>
          <t>KRISTINEHAMN</t>
        </is>
      </c>
      <c r="G6999" t="n">
        <v>8</v>
      </c>
      <c r="H6999" t="n">
        <v>0</v>
      </c>
      <c r="I6999" t="n">
        <v>0</v>
      </c>
      <c r="J6999" t="n">
        <v>0</v>
      </c>
      <c r="K6999" t="n">
        <v>0</v>
      </c>
      <c r="L6999" t="n">
        <v>0</v>
      </c>
      <c r="M6999" t="n">
        <v>0</v>
      </c>
      <c r="N6999" t="n">
        <v>0</v>
      </c>
      <c r="O6999" t="n">
        <v>0</v>
      </c>
      <c r="P6999" t="n">
        <v>0</v>
      </c>
      <c r="Q6999" t="n">
        <v>0</v>
      </c>
      <c r="R6999" s="2" t="inlineStr"/>
    </row>
    <row r="7000" ht="15" customHeight="1">
      <c r="A7000" t="inlineStr">
        <is>
          <t>A 22234-2022</t>
        </is>
      </c>
      <c r="B7000" s="1" t="n">
        <v>44712</v>
      </c>
      <c r="C7000" s="1" t="n">
        <v>45810</v>
      </c>
      <c r="D7000" t="inlineStr">
        <is>
          <t>VÄRMLANDS LÄN</t>
        </is>
      </c>
      <c r="E7000" t="inlineStr">
        <is>
          <t>MUNKFORS</t>
        </is>
      </c>
      <c r="F7000" t="inlineStr">
        <is>
          <t>Bergvik skog väst AB</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22290-2022</t>
        </is>
      </c>
      <c r="B7001" s="1" t="n">
        <v>44712</v>
      </c>
      <c r="C7001" s="1" t="n">
        <v>45810</v>
      </c>
      <c r="D7001" t="inlineStr">
        <is>
          <t>VÄRMLANDS LÄN</t>
        </is>
      </c>
      <c r="E7001" t="inlineStr">
        <is>
          <t>ARVIKA</t>
        </is>
      </c>
      <c r="F7001" t="inlineStr">
        <is>
          <t>Bergvik skog väst AB</t>
        </is>
      </c>
      <c r="G7001" t="n">
        <v>6.8</v>
      </c>
      <c r="H7001" t="n">
        <v>0</v>
      </c>
      <c r="I7001" t="n">
        <v>0</v>
      </c>
      <c r="J7001" t="n">
        <v>0</v>
      </c>
      <c r="K7001" t="n">
        <v>0</v>
      </c>
      <c r="L7001" t="n">
        <v>0</v>
      </c>
      <c r="M7001" t="n">
        <v>0</v>
      </c>
      <c r="N7001" t="n">
        <v>0</v>
      </c>
      <c r="O7001" t="n">
        <v>0</v>
      </c>
      <c r="P7001" t="n">
        <v>0</v>
      </c>
      <c r="Q7001" t="n">
        <v>0</v>
      </c>
      <c r="R7001" s="2" t="inlineStr"/>
    </row>
    <row r="7002" ht="15" customHeight="1">
      <c r="A7002" t="inlineStr">
        <is>
          <t>A 22356-2022</t>
        </is>
      </c>
      <c r="B7002" s="1" t="n">
        <v>44713</v>
      </c>
      <c r="C7002" s="1" t="n">
        <v>45810</v>
      </c>
      <c r="D7002" t="inlineStr">
        <is>
          <t>VÄRMLANDS LÄN</t>
        </is>
      </c>
      <c r="E7002" t="inlineStr">
        <is>
          <t>FILIPSTAD</t>
        </is>
      </c>
      <c r="F7002" t="inlineStr">
        <is>
          <t>Bergvik skog väst AB</t>
        </is>
      </c>
      <c r="G7002" t="n">
        <v>0.6</v>
      </c>
      <c r="H7002" t="n">
        <v>0</v>
      </c>
      <c r="I7002" t="n">
        <v>0</v>
      </c>
      <c r="J7002" t="n">
        <v>0</v>
      </c>
      <c r="K7002" t="n">
        <v>0</v>
      </c>
      <c r="L7002" t="n">
        <v>0</v>
      </c>
      <c r="M7002" t="n">
        <v>0</v>
      </c>
      <c r="N7002" t="n">
        <v>0</v>
      </c>
      <c r="O7002" t="n">
        <v>0</v>
      </c>
      <c r="P7002" t="n">
        <v>0</v>
      </c>
      <c r="Q7002" t="n">
        <v>0</v>
      </c>
      <c r="R7002" s="2" t="inlineStr"/>
    </row>
    <row r="7003" ht="15" customHeight="1">
      <c r="A7003" t="inlineStr">
        <is>
          <t>A 22491-2022</t>
        </is>
      </c>
      <c r="B7003" s="1" t="n">
        <v>44713</v>
      </c>
      <c r="C7003" s="1" t="n">
        <v>45810</v>
      </c>
      <c r="D7003" t="inlineStr">
        <is>
          <t>VÄRMLANDS LÄN</t>
        </is>
      </c>
      <c r="E7003" t="inlineStr">
        <is>
          <t>SUNNE</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22514-2022</t>
        </is>
      </c>
      <c r="B7004" s="1" t="n">
        <v>44713</v>
      </c>
      <c r="C7004" s="1" t="n">
        <v>45810</v>
      </c>
      <c r="D7004" t="inlineStr">
        <is>
          <t>VÄRMLANDS LÄN</t>
        </is>
      </c>
      <c r="E7004" t="inlineStr">
        <is>
          <t>ARVIKA</t>
        </is>
      </c>
      <c r="G7004" t="n">
        <v>2</v>
      </c>
      <c r="H7004" t="n">
        <v>0</v>
      </c>
      <c r="I7004" t="n">
        <v>0</v>
      </c>
      <c r="J7004" t="n">
        <v>0</v>
      </c>
      <c r="K7004" t="n">
        <v>0</v>
      </c>
      <c r="L7004" t="n">
        <v>0</v>
      </c>
      <c r="M7004" t="n">
        <v>0</v>
      </c>
      <c r="N7004" t="n">
        <v>0</v>
      </c>
      <c r="O7004" t="n">
        <v>0</v>
      </c>
      <c r="P7004" t="n">
        <v>0</v>
      </c>
      <c r="Q7004" t="n">
        <v>0</v>
      </c>
      <c r="R7004" s="2" t="inlineStr"/>
    </row>
    <row r="7005" ht="15" customHeight="1">
      <c r="A7005" t="inlineStr">
        <is>
          <t>A 22519-2022</t>
        </is>
      </c>
      <c r="B7005" s="1" t="n">
        <v>44713</v>
      </c>
      <c r="C7005" s="1" t="n">
        <v>45810</v>
      </c>
      <c r="D7005" t="inlineStr">
        <is>
          <t>VÄRMLANDS LÄN</t>
        </is>
      </c>
      <c r="E7005" t="inlineStr">
        <is>
          <t>ARVIKA</t>
        </is>
      </c>
      <c r="G7005" t="n">
        <v>2.8</v>
      </c>
      <c r="H7005" t="n">
        <v>0</v>
      </c>
      <c r="I7005" t="n">
        <v>0</v>
      </c>
      <c r="J7005" t="n">
        <v>0</v>
      </c>
      <c r="K7005" t="n">
        <v>0</v>
      </c>
      <c r="L7005" t="n">
        <v>0</v>
      </c>
      <c r="M7005" t="n">
        <v>0</v>
      </c>
      <c r="N7005" t="n">
        <v>0</v>
      </c>
      <c r="O7005" t="n">
        <v>0</v>
      </c>
      <c r="P7005" t="n">
        <v>0</v>
      </c>
      <c r="Q7005" t="n">
        <v>0</v>
      </c>
      <c r="R7005" s="2" t="inlineStr"/>
    </row>
    <row r="7006" ht="15" customHeight="1">
      <c r="A7006" t="inlineStr">
        <is>
          <t>A 22604-2022</t>
        </is>
      </c>
      <c r="B7006" s="1" t="n">
        <v>44714</v>
      </c>
      <c r="C7006" s="1" t="n">
        <v>45810</v>
      </c>
      <c r="D7006" t="inlineStr">
        <is>
          <t>VÄRMLANDS LÄN</t>
        </is>
      </c>
      <c r="E7006" t="inlineStr">
        <is>
          <t>ARVIKA</t>
        </is>
      </c>
      <c r="G7006" t="n">
        <v>0.6</v>
      </c>
      <c r="H7006" t="n">
        <v>0</v>
      </c>
      <c r="I7006" t="n">
        <v>0</v>
      </c>
      <c r="J7006" t="n">
        <v>0</v>
      </c>
      <c r="K7006" t="n">
        <v>0</v>
      </c>
      <c r="L7006" t="n">
        <v>0</v>
      </c>
      <c r="M7006" t="n">
        <v>0</v>
      </c>
      <c r="N7006" t="n">
        <v>0</v>
      </c>
      <c r="O7006" t="n">
        <v>0</v>
      </c>
      <c r="P7006" t="n">
        <v>0</v>
      </c>
      <c r="Q7006" t="n">
        <v>0</v>
      </c>
      <c r="R7006" s="2" t="inlineStr"/>
    </row>
    <row r="7007" ht="15" customHeight="1">
      <c r="A7007" t="inlineStr">
        <is>
          <t>A 22600-2022</t>
        </is>
      </c>
      <c r="B7007" s="1" t="n">
        <v>44714</v>
      </c>
      <c r="C7007" s="1" t="n">
        <v>45810</v>
      </c>
      <c r="D7007" t="inlineStr">
        <is>
          <t>VÄRMLANDS LÄN</t>
        </is>
      </c>
      <c r="E7007" t="inlineStr">
        <is>
          <t>ARVIKA</t>
        </is>
      </c>
      <c r="G7007" t="n">
        <v>0.7</v>
      </c>
      <c r="H7007" t="n">
        <v>0</v>
      </c>
      <c r="I7007" t="n">
        <v>0</v>
      </c>
      <c r="J7007" t="n">
        <v>0</v>
      </c>
      <c r="K7007" t="n">
        <v>0</v>
      </c>
      <c r="L7007" t="n">
        <v>0</v>
      </c>
      <c r="M7007" t="n">
        <v>0</v>
      </c>
      <c r="N7007" t="n">
        <v>0</v>
      </c>
      <c r="O7007" t="n">
        <v>0</v>
      </c>
      <c r="P7007" t="n">
        <v>0</v>
      </c>
      <c r="Q7007" t="n">
        <v>0</v>
      </c>
      <c r="R7007" s="2" t="inlineStr"/>
    </row>
    <row r="7008" ht="15" customHeight="1">
      <c r="A7008" t="inlineStr">
        <is>
          <t>A 22635-2022</t>
        </is>
      </c>
      <c r="B7008" s="1" t="n">
        <v>44714</v>
      </c>
      <c r="C7008" s="1" t="n">
        <v>45810</v>
      </c>
      <c r="D7008" t="inlineStr">
        <is>
          <t>VÄRMLANDS LÄN</t>
        </is>
      </c>
      <c r="E7008" t="inlineStr">
        <is>
          <t>TORSBY</t>
        </is>
      </c>
      <c r="G7008" t="n">
        <v>0.4</v>
      </c>
      <c r="H7008" t="n">
        <v>0</v>
      </c>
      <c r="I7008" t="n">
        <v>0</v>
      </c>
      <c r="J7008" t="n">
        <v>0</v>
      </c>
      <c r="K7008" t="n">
        <v>0</v>
      </c>
      <c r="L7008" t="n">
        <v>0</v>
      </c>
      <c r="M7008" t="n">
        <v>0</v>
      </c>
      <c r="N7008" t="n">
        <v>0</v>
      </c>
      <c r="O7008" t="n">
        <v>0</v>
      </c>
      <c r="P7008" t="n">
        <v>0</v>
      </c>
      <c r="Q7008" t="n">
        <v>0</v>
      </c>
      <c r="R7008" s="2" t="inlineStr"/>
    </row>
    <row r="7009" ht="15" customHeight="1">
      <c r="A7009" t="inlineStr">
        <is>
          <t>A 22662-2022</t>
        </is>
      </c>
      <c r="B7009" s="1" t="n">
        <v>44714</v>
      </c>
      <c r="C7009" s="1" t="n">
        <v>45810</v>
      </c>
      <c r="D7009" t="inlineStr">
        <is>
          <t>VÄRMLANDS LÄN</t>
        </is>
      </c>
      <c r="E7009" t="inlineStr">
        <is>
          <t>TORSBY</t>
        </is>
      </c>
      <c r="G7009" t="n">
        <v>4.8</v>
      </c>
      <c r="H7009" t="n">
        <v>0</v>
      </c>
      <c r="I7009" t="n">
        <v>0</v>
      </c>
      <c r="J7009" t="n">
        <v>0</v>
      </c>
      <c r="K7009" t="n">
        <v>0</v>
      </c>
      <c r="L7009" t="n">
        <v>0</v>
      </c>
      <c r="M7009" t="n">
        <v>0</v>
      </c>
      <c r="N7009" t="n">
        <v>0</v>
      </c>
      <c r="O7009" t="n">
        <v>0</v>
      </c>
      <c r="P7009" t="n">
        <v>0</v>
      </c>
      <c r="Q7009" t="n">
        <v>0</v>
      </c>
      <c r="R7009" s="2" t="inlineStr"/>
    </row>
    <row r="7010" ht="15" customHeight="1">
      <c r="A7010" t="inlineStr">
        <is>
          <t>A 22721-2022</t>
        </is>
      </c>
      <c r="B7010" s="1" t="n">
        <v>44714</v>
      </c>
      <c r="C7010" s="1" t="n">
        <v>45810</v>
      </c>
      <c r="D7010" t="inlineStr">
        <is>
          <t>VÄRMLANDS LÄN</t>
        </is>
      </c>
      <c r="E7010" t="inlineStr">
        <is>
          <t>EDA</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22701-2022</t>
        </is>
      </c>
      <c r="B7011" s="1" t="n">
        <v>44714</v>
      </c>
      <c r="C7011" s="1" t="n">
        <v>45810</v>
      </c>
      <c r="D7011" t="inlineStr">
        <is>
          <t>VÄRMLANDS LÄN</t>
        </is>
      </c>
      <c r="E7011" t="inlineStr">
        <is>
          <t>SUNNE</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22719-2022</t>
        </is>
      </c>
      <c r="B7012" s="1" t="n">
        <v>44714</v>
      </c>
      <c r="C7012" s="1" t="n">
        <v>45810</v>
      </c>
      <c r="D7012" t="inlineStr">
        <is>
          <t>VÄRMLANDS LÄN</t>
        </is>
      </c>
      <c r="E7012" t="inlineStr">
        <is>
          <t>EDA</t>
        </is>
      </c>
      <c r="G7012" t="n">
        <v>1.8</v>
      </c>
      <c r="H7012" t="n">
        <v>0</v>
      </c>
      <c r="I7012" t="n">
        <v>0</v>
      </c>
      <c r="J7012" t="n">
        <v>0</v>
      </c>
      <c r="K7012" t="n">
        <v>0</v>
      </c>
      <c r="L7012" t="n">
        <v>0</v>
      </c>
      <c r="M7012" t="n">
        <v>0</v>
      </c>
      <c r="N7012" t="n">
        <v>0</v>
      </c>
      <c r="O7012" t="n">
        <v>0</v>
      </c>
      <c r="P7012" t="n">
        <v>0</v>
      </c>
      <c r="Q7012" t="n">
        <v>0</v>
      </c>
      <c r="R7012" s="2" t="inlineStr"/>
    </row>
    <row r="7013" ht="15" customHeight="1">
      <c r="A7013" t="inlineStr">
        <is>
          <t>A 22826-2022</t>
        </is>
      </c>
      <c r="B7013" s="1" t="n">
        <v>44714</v>
      </c>
      <c r="C7013" s="1" t="n">
        <v>45810</v>
      </c>
      <c r="D7013" t="inlineStr">
        <is>
          <t>VÄRMLANDS LÄN</t>
        </is>
      </c>
      <c r="E7013" t="inlineStr">
        <is>
          <t>TORSBY</t>
        </is>
      </c>
      <c r="G7013" t="n">
        <v>6.2</v>
      </c>
      <c r="H7013" t="n">
        <v>0</v>
      </c>
      <c r="I7013" t="n">
        <v>0</v>
      </c>
      <c r="J7013" t="n">
        <v>0</v>
      </c>
      <c r="K7013" t="n">
        <v>0</v>
      </c>
      <c r="L7013" t="n">
        <v>0</v>
      </c>
      <c r="M7013" t="n">
        <v>0</v>
      </c>
      <c r="N7013" t="n">
        <v>0</v>
      </c>
      <c r="O7013" t="n">
        <v>0</v>
      </c>
      <c r="P7013" t="n">
        <v>0</v>
      </c>
      <c r="Q7013" t="n">
        <v>0</v>
      </c>
      <c r="R7013" s="2" t="inlineStr"/>
    </row>
    <row r="7014" ht="15" customHeight="1">
      <c r="A7014" t="inlineStr">
        <is>
          <t>A 22823-2022</t>
        </is>
      </c>
      <c r="B7014" s="1" t="n">
        <v>44714</v>
      </c>
      <c r="C7014" s="1" t="n">
        <v>45810</v>
      </c>
      <c r="D7014" t="inlineStr">
        <is>
          <t>VÄRMLANDS LÄN</t>
        </is>
      </c>
      <c r="E7014" t="inlineStr">
        <is>
          <t>TORSBY</t>
        </is>
      </c>
      <c r="G7014" t="n">
        <v>4</v>
      </c>
      <c r="H7014" t="n">
        <v>0</v>
      </c>
      <c r="I7014" t="n">
        <v>0</v>
      </c>
      <c r="J7014" t="n">
        <v>0</v>
      </c>
      <c r="K7014" t="n">
        <v>0</v>
      </c>
      <c r="L7014" t="n">
        <v>0</v>
      </c>
      <c r="M7014" t="n">
        <v>0</v>
      </c>
      <c r="N7014" t="n">
        <v>0</v>
      </c>
      <c r="O7014" t="n">
        <v>0</v>
      </c>
      <c r="P7014" t="n">
        <v>0</v>
      </c>
      <c r="Q7014" t="n">
        <v>0</v>
      </c>
      <c r="R7014" s="2" t="inlineStr"/>
    </row>
    <row r="7015" ht="15" customHeight="1">
      <c r="A7015" t="inlineStr">
        <is>
          <t>A 22798-2022</t>
        </is>
      </c>
      <c r="B7015" s="1" t="n">
        <v>44715</v>
      </c>
      <c r="C7015" s="1" t="n">
        <v>45810</v>
      </c>
      <c r="D7015" t="inlineStr">
        <is>
          <t>VÄRMLANDS LÄN</t>
        </is>
      </c>
      <c r="E7015" t="inlineStr">
        <is>
          <t>KARLSTAD</t>
        </is>
      </c>
      <c r="G7015" t="n">
        <v>7.2</v>
      </c>
      <c r="H7015" t="n">
        <v>0</v>
      </c>
      <c r="I7015" t="n">
        <v>0</v>
      </c>
      <c r="J7015" t="n">
        <v>0</v>
      </c>
      <c r="K7015" t="n">
        <v>0</v>
      </c>
      <c r="L7015" t="n">
        <v>0</v>
      </c>
      <c r="M7015" t="n">
        <v>0</v>
      </c>
      <c r="N7015" t="n">
        <v>0</v>
      </c>
      <c r="O7015" t="n">
        <v>0</v>
      </c>
      <c r="P7015" t="n">
        <v>0</v>
      </c>
      <c r="Q7015" t="n">
        <v>0</v>
      </c>
      <c r="R7015" s="2" t="inlineStr"/>
    </row>
    <row r="7016" ht="15" customHeight="1">
      <c r="A7016" t="inlineStr">
        <is>
          <t>A 22921-2022</t>
        </is>
      </c>
      <c r="B7016" s="1" t="n">
        <v>44715</v>
      </c>
      <c r="C7016" s="1" t="n">
        <v>45810</v>
      </c>
      <c r="D7016" t="inlineStr">
        <is>
          <t>VÄRMLANDS LÄN</t>
        </is>
      </c>
      <c r="E7016" t="inlineStr">
        <is>
          <t>ÅRJÄNG</t>
        </is>
      </c>
      <c r="F7016" t="inlineStr">
        <is>
          <t>Bergvik skog väst AB</t>
        </is>
      </c>
      <c r="G7016" t="n">
        <v>2.8</v>
      </c>
      <c r="H7016" t="n">
        <v>0</v>
      </c>
      <c r="I7016" t="n">
        <v>0</v>
      </c>
      <c r="J7016" t="n">
        <v>0</v>
      </c>
      <c r="K7016" t="n">
        <v>0</v>
      </c>
      <c r="L7016" t="n">
        <v>0</v>
      </c>
      <c r="M7016" t="n">
        <v>0</v>
      </c>
      <c r="N7016" t="n">
        <v>0</v>
      </c>
      <c r="O7016" t="n">
        <v>0</v>
      </c>
      <c r="P7016" t="n">
        <v>0</v>
      </c>
      <c r="Q7016" t="n">
        <v>0</v>
      </c>
      <c r="R7016" s="2" t="inlineStr"/>
    </row>
    <row r="7017" ht="15" customHeight="1">
      <c r="A7017" t="inlineStr">
        <is>
          <t>A 22951-2022</t>
        </is>
      </c>
      <c r="B7017" s="1" t="n">
        <v>44716</v>
      </c>
      <c r="C7017" s="1" t="n">
        <v>45810</v>
      </c>
      <c r="D7017" t="inlineStr">
        <is>
          <t>VÄRMLANDS LÄN</t>
        </is>
      </c>
      <c r="E7017" t="inlineStr">
        <is>
          <t>ARVIKA</t>
        </is>
      </c>
      <c r="G7017" t="n">
        <v>9.1</v>
      </c>
      <c r="H7017" t="n">
        <v>0</v>
      </c>
      <c r="I7017" t="n">
        <v>0</v>
      </c>
      <c r="J7017" t="n">
        <v>0</v>
      </c>
      <c r="K7017" t="n">
        <v>0</v>
      </c>
      <c r="L7017" t="n">
        <v>0</v>
      </c>
      <c r="M7017" t="n">
        <v>0</v>
      </c>
      <c r="N7017" t="n">
        <v>0</v>
      </c>
      <c r="O7017" t="n">
        <v>0</v>
      </c>
      <c r="P7017" t="n">
        <v>0</v>
      </c>
      <c r="Q7017" t="n">
        <v>0</v>
      </c>
      <c r="R7017" s="2" t="inlineStr"/>
    </row>
    <row r="7018" ht="15" customHeight="1">
      <c r="A7018" t="inlineStr">
        <is>
          <t>A 23072-2022</t>
        </is>
      </c>
      <c r="B7018" s="1" t="n">
        <v>44718</v>
      </c>
      <c r="C7018" s="1" t="n">
        <v>45810</v>
      </c>
      <c r="D7018" t="inlineStr">
        <is>
          <t>VÄRMLANDS LÄN</t>
        </is>
      </c>
      <c r="E7018" t="inlineStr">
        <is>
          <t>ARVIKA</t>
        </is>
      </c>
      <c r="G7018" t="n">
        <v>2</v>
      </c>
      <c r="H7018" t="n">
        <v>0</v>
      </c>
      <c r="I7018" t="n">
        <v>0</v>
      </c>
      <c r="J7018" t="n">
        <v>0</v>
      </c>
      <c r="K7018" t="n">
        <v>0</v>
      </c>
      <c r="L7018" t="n">
        <v>0</v>
      </c>
      <c r="M7018" t="n">
        <v>0</v>
      </c>
      <c r="N7018" t="n">
        <v>0</v>
      </c>
      <c r="O7018" t="n">
        <v>0</v>
      </c>
      <c r="P7018" t="n">
        <v>0</v>
      </c>
      <c r="Q7018" t="n">
        <v>0</v>
      </c>
      <c r="R7018" s="2" t="inlineStr"/>
    </row>
    <row r="7019" ht="15" customHeight="1">
      <c r="A7019" t="inlineStr">
        <is>
          <t>A 23075-2022</t>
        </is>
      </c>
      <c r="B7019" s="1" t="n">
        <v>44718</v>
      </c>
      <c r="C7019" s="1" t="n">
        <v>45810</v>
      </c>
      <c r="D7019" t="inlineStr">
        <is>
          <t>VÄRMLANDS LÄN</t>
        </is>
      </c>
      <c r="E7019" t="inlineStr">
        <is>
          <t>ARVIKA</t>
        </is>
      </c>
      <c r="G7019" t="n">
        <v>2.2</v>
      </c>
      <c r="H7019" t="n">
        <v>0</v>
      </c>
      <c r="I7019" t="n">
        <v>0</v>
      </c>
      <c r="J7019" t="n">
        <v>0</v>
      </c>
      <c r="K7019" t="n">
        <v>0</v>
      </c>
      <c r="L7019" t="n">
        <v>0</v>
      </c>
      <c r="M7019" t="n">
        <v>0</v>
      </c>
      <c r="N7019" t="n">
        <v>0</v>
      </c>
      <c r="O7019" t="n">
        <v>0</v>
      </c>
      <c r="P7019" t="n">
        <v>0</v>
      </c>
      <c r="Q7019" t="n">
        <v>0</v>
      </c>
      <c r="R7019" s="2" t="inlineStr"/>
    </row>
    <row r="7020" ht="15" customHeight="1">
      <c r="A7020" t="inlineStr">
        <is>
          <t>A 23061-2022</t>
        </is>
      </c>
      <c r="B7020" s="1" t="n">
        <v>44718</v>
      </c>
      <c r="C7020" s="1" t="n">
        <v>45810</v>
      </c>
      <c r="D7020" t="inlineStr">
        <is>
          <t>VÄRMLANDS LÄN</t>
        </is>
      </c>
      <c r="E7020" t="inlineStr">
        <is>
          <t>ARVIKA</t>
        </is>
      </c>
      <c r="G7020" t="n">
        <v>1</v>
      </c>
      <c r="H7020" t="n">
        <v>0</v>
      </c>
      <c r="I7020" t="n">
        <v>0</v>
      </c>
      <c r="J7020" t="n">
        <v>0</v>
      </c>
      <c r="K7020" t="n">
        <v>0</v>
      </c>
      <c r="L7020" t="n">
        <v>0</v>
      </c>
      <c r="M7020" t="n">
        <v>0</v>
      </c>
      <c r="N7020" t="n">
        <v>0</v>
      </c>
      <c r="O7020" t="n">
        <v>0</v>
      </c>
      <c r="P7020" t="n">
        <v>0</v>
      </c>
      <c r="Q7020" t="n">
        <v>0</v>
      </c>
      <c r="R7020" s="2" t="inlineStr"/>
    </row>
    <row r="7021" ht="15" customHeight="1">
      <c r="A7021" t="inlineStr">
        <is>
          <t>A 23047-2022</t>
        </is>
      </c>
      <c r="B7021" s="1" t="n">
        <v>44718</v>
      </c>
      <c r="C7021" s="1" t="n">
        <v>45810</v>
      </c>
      <c r="D7021" t="inlineStr">
        <is>
          <t>VÄRMLANDS LÄN</t>
        </is>
      </c>
      <c r="E7021" t="inlineStr">
        <is>
          <t>ARVIKA</t>
        </is>
      </c>
      <c r="G7021" t="n">
        <v>4.3</v>
      </c>
      <c r="H7021" t="n">
        <v>0</v>
      </c>
      <c r="I7021" t="n">
        <v>0</v>
      </c>
      <c r="J7021" t="n">
        <v>0</v>
      </c>
      <c r="K7021" t="n">
        <v>0</v>
      </c>
      <c r="L7021" t="n">
        <v>0</v>
      </c>
      <c r="M7021" t="n">
        <v>0</v>
      </c>
      <c r="N7021" t="n">
        <v>0</v>
      </c>
      <c r="O7021" t="n">
        <v>0</v>
      </c>
      <c r="P7021" t="n">
        <v>0</v>
      </c>
      <c r="Q7021" t="n">
        <v>0</v>
      </c>
      <c r="R7021" s="2" t="inlineStr"/>
    </row>
    <row r="7022" ht="15" customHeight="1">
      <c r="A7022" t="inlineStr">
        <is>
          <t>A 23078-2022</t>
        </is>
      </c>
      <c r="B7022" s="1" t="n">
        <v>44718</v>
      </c>
      <c r="C7022" s="1" t="n">
        <v>45810</v>
      </c>
      <c r="D7022" t="inlineStr">
        <is>
          <t>VÄRMLANDS LÄN</t>
        </is>
      </c>
      <c r="E7022" t="inlineStr">
        <is>
          <t>ARVIKA</t>
        </is>
      </c>
      <c r="G7022" t="n">
        <v>1.6</v>
      </c>
      <c r="H7022" t="n">
        <v>0</v>
      </c>
      <c r="I7022" t="n">
        <v>0</v>
      </c>
      <c r="J7022" t="n">
        <v>0</v>
      </c>
      <c r="K7022" t="n">
        <v>0</v>
      </c>
      <c r="L7022" t="n">
        <v>0</v>
      </c>
      <c r="M7022" t="n">
        <v>0</v>
      </c>
      <c r="N7022" t="n">
        <v>0</v>
      </c>
      <c r="O7022" t="n">
        <v>0</v>
      </c>
      <c r="P7022" t="n">
        <v>0</v>
      </c>
      <c r="Q7022" t="n">
        <v>0</v>
      </c>
      <c r="R7022" s="2" t="inlineStr"/>
    </row>
    <row r="7023" ht="15" customHeight="1">
      <c r="A7023" t="inlineStr">
        <is>
          <t>A 23116-2022</t>
        </is>
      </c>
      <c r="B7023" s="1" t="n">
        <v>44719</v>
      </c>
      <c r="C7023" s="1" t="n">
        <v>45810</v>
      </c>
      <c r="D7023" t="inlineStr">
        <is>
          <t>VÄRMLANDS LÄN</t>
        </is>
      </c>
      <c r="E7023" t="inlineStr">
        <is>
          <t>HAGFORS</t>
        </is>
      </c>
      <c r="G7023" t="n">
        <v>3</v>
      </c>
      <c r="H7023" t="n">
        <v>0</v>
      </c>
      <c r="I7023" t="n">
        <v>0</v>
      </c>
      <c r="J7023" t="n">
        <v>0</v>
      </c>
      <c r="K7023" t="n">
        <v>0</v>
      </c>
      <c r="L7023" t="n">
        <v>0</v>
      </c>
      <c r="M7023" t="n">
        <v>0</v>
      </c>
      <c r="N7023" t="n">
        <v>0</v>
      </c>
      <c r="O7023" t="n">
        <v>0</v>
      </c>
      <c r="P7023" t="n">
        <v>0</v>
      </c>
      <c r="Q7023" t="n">
        <v>0</v>
      </c>
      <c r="R7023" s="2" t="inlineStr"/>
    </row>
    <row r="7024" ht="15" customHeight="1">
      <c r="A7024" t="inlineStr">
        <is>
          <t>A 23062-2022</t>
        </is>
      </c>
      <c r="B7024" s="1" t="n">
        <v>44719</v>
      </c>
      <c r="C7024" s="1" t="n">
        <v>45810</v>
      </c>
      <c r="D7024" t="inlineStr">
        <is>
          <t>VÄRMLANDS LÄN</t>
        </is>
      </c>
      <c r="E7024" t="inlineStr">
        <is>
          <t>SUNNE</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23073-2022</t>
        </is>
      </c>
      <c r="B7025" s="1" t="n">
        <v>44719</v>
      </c>
      <c r="C7025" s="1" t="n">
        <v>45810</v>
      </c>
      <c r="D7025" t="inlineStr">
        <is>
          <t>VÄRMLANDS LÄN</t>
        </is>
      </c>
      <c r="E7025" t="inlineStr">
        <is>
          <t>ARVIKA</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23086-2022</t>
        </is>
      </c>
      <c r="B7026" s="1" t="n">
        <v>44719</v>
      </c>
      <c r="C7026" s="1" t="n">
        <v>45810</v>
      </c>
      <c r="D7026" t="inlineStr">
        <is>
          <t>VÄRMLANDS LÄN</t>
        </is>
      </c>
      <c r="E7026" t="inlineStr">
        <is>
          <t>SÄFFLE</t>
        </is>
      </c>
      <c r="G7026" t="n">
        <v>3.8</v>
      </c>
      <c r="H7026" t="n">
        <v>0</v>
      </c>
      <c r="I7026" t="n">
        <v>0</v>
      </c>
      <c r="J7026" t="n">
        <v>0</v>
      </c>
      <c r="K7026" t="n">
        <v>0</v>
      </c>
      <c r="L7026" t="n">
        <v>0</v>
      </c>
      <c r="M7026" t="n">
        <v>0</v>
      </c>
      <c r="N7026" t="n">
        <v>0</v>
      </c>
      <c r="O7026" t="n">
        <v>0</v>
      </c>
      <c r="P7026" t="n">
        <v>0</v>
      </c>
      <c r="Q7026" t="n">
        <v>0</v>
      </c>
      <c r="R7026" s="2" t="inlineStr"/>
    </row>
    <row r="7027" ht="15" customHeight="1">
      <c r="A7027" t="inlineStr">
        <is>
          <t>A 23090-2022</t>
        </is>
      </c>
      <c r="B7027" s="1" t="n">
        <v>44719</v>
      </c>
      <c r="C7027" s="1" t="n">
        <v>45810</v>
      </c>
      <c r="D7027" t="inlineStr">
        <is>
          <t>VÄRMLANDS LÄN</t>
        </is>
      </c>
      <c r="E7027" t="inlineStr">
        <is>
          <t>SÄFFLE</t>
        </is>
      </c>
      <c r="G7027" t="n">
        <v>3.3</v>
      </c>
      <c r="H7027" t="n">
        <v>0</v>
      </c>
      <c r="I7027" t="n">
        <v>0</v>
      </c>
      <c r="J7027" t="n">
        <v>0</v>
      </c>
      <c r="K7027" t="n">
        <v>0</v>
      </c>
      <c r="L7027" t="n">
        <v>0</v>
      </c>
      <c r="M7027" t="n">
        <v>0</v>
      </c>
      <c r="N7027" t="n">
        <v>0</v>
      </c>
      <c r="O7027" t="n">
        <v>0</v>
      </c>
      <c r="P7027" t="n">
        <v>0</v>
      </c>
      <c r="Q7027" t="n">
        <v>0</v>
      </c>
      <c r="R7027" s="2" t="inlineStr"/>
    </row>
    <row r="7028" ht="15" customHeight="1">
      <c r="A7028" t="inlineStr">
        <is>
          <t>A 23095-2022</t>
        </is>
      </c>
      <c r="B7028" s="1" t="n">
        <v>44719</v>
      </c>
      <c r="C7028" s="1" t="n">
        <v>45810</v>
      </c>
      <c r="D7028" t="inlineStr">
        <is>
          <t>VÄRMLANDS LÄN</t>
        </is>
      </c>
      <c r="E7028" t="inlineStr">
        <is>
          <t>SÄFFLE</t>
        </is>
      </c>
      <c r="G7028" t="n">
        <v>3.4</v>
      </c>
      <c r="H7028" t="n">
        <v>0</v>
      </c>
      <c r="I7028" t="n">
        <v>0</v>
      </c>
      <c r="J7028" t="n">
        <v>0</v>
      </c>
      <c r="K7028" t="n">
        <v>0</v>
      </c>
      <c r="L7028" t="n">
        <v>0</v>
      </c>
      <c r="M7028" t="n">
        <v>0</v>
      </c>
      <c r="N7028" t="n">
        <v>0</v>
      </c>
      <c r="O7028" t="n">
        <v>0</v>
      </c>
      <c r="P7028" t="n">
        <v>0</v>
      </c>
      <c r="Q7028" t="n">
        <v>0</v>
      </c>
      <c r="R7028" s="2" t="inlineStr"/>
    </row>
    <row r="7029" ht="15" customHeight="1">
      <c r="A7029" t="inlineStr">
        <is>
          <t>A 23134-2022</t>
        </is>
      </c>
      <c r="B7029" s="1" t="n">
        <v>44719</v>
      </c>
      <c r="C7029" s="1" t="n">
        <v>45810</v>
      </c>
      <c r="D7029" t="inlineStr">
        <is>
          <t>VÄRMLANDS LÄN</t>
        </is>
      </c>
      <c r="E7029" t="inlineStr">
        <is>
          <t>SUNNE</t>
        </is>
      </c>
      <c r="G7029" t="n">
        <v>1.4</v>
      </c>
      <c r="H7029" t="n">
        <v>0</v>
      </c>
      <c r="I7029" t="n">
        <v>0</v>
      </c>
      <c r="J7029" t="n">
        <v>0</v>
      </c>
      <c r="K7029" t="n">
        <v>0</v>
      </c>
      <c r="L7029" t="n">
        <v>0</v>
      </c>
      <c r="M7029" t="n">
        <v>0</v>
      </c>
      <c r="N7029" t="n">
        <v>0</v>
      </c>
      <c r="O7029" t="n">
        <v>0</v>
      </c>
      <c r="P7029" t="n">
        <v>0</v>
      </c>
      <c r="Q7029" t="n">
        <v>0</v>
      </c>
      <c r="R7029" s="2" t="inlineStr"/>
    </row>
    <row r="7030" ht="15" customHeight="1">
      <c r="A7030" t="inlineStr">
        <is>
          <t>A 23155-2022</t>
        </is>
      </c>
      <c r="B7030" s="1" t="n">
        <v>44719</v>
      </c>
      <c r="C7030" s="1" t="n">
        <v>45810</v>
      </c>
      <c r="D7030" t="inlineStr">
        <is>
          <t>VÄRMLANDS LÄN</t>
        </is>
      </c>
      <c r="E7030" t="inlineStr">
        <is>
          <t>EDA</t>
        </is>
      </c>
      <c r="G7030" t="n">
        <v>0.8</v>
      </c>
      <c r="H7030" t="n">
        <v>0</v>
      </c>
      <c r="I7030" t="n">
        <v>0</v>
      </c>
      <c r="J7030" t="n">
        <v>0</v>
      </c>
      <c r="K7030" t="n">
        <v>0</v>
      </c>
      <c r="L7030" t="n">
        <v>0</v>
      </c>
      <c r="M7030" t="n">
        <v>0</v>
      </c>
      <c r="N7030" t="n">
        <v>0</v>
      </c>
      <c r="O7030" t="n">
        <v>0</v>
      </c>
      <c r="P7030" t="n">
        <v>0</v>
      </c>
      <c r="Q7030" t="n">
        <v>0</v>
      </c>
      <c r="R7030" s="2" t="inlineStr"/>
    </row>
    <row r="7031" ht="15" customHeight="1">
      <c r="A7031" t="inlineStr">
        <is>
          <t>A 23157-2022</t>
        </is>
      </c>
      <c r="B7031" s="1" t="n">
        <v>44719</v>
      </c>
      <c r="C7031" s="1" t="n">
        <v>45810</v>
      </c>
      <c r="D7031" t="inlineStr">
        <is>
          <t>VÄRMLANDS LÄN</t>
        </is>
      </c>
      <c r="E7031" t="inlineStr">
        <is>
          <t>EDA</t>
        </is>
      </c>
      <c r="G7031" t="n">
        <v>4.7</v>
      </c>
      <c r="H7031" t="n">
        <v>0</v>
      </c>
      <c r="I7031" t="n">
        <v>0</v>
      </c>
      <c r="J7031" t="n">
        <v>0</v>
      </c>
      <c r="K7031" t="n">
        <v>0</v>
      </c>
      <c r="L7031" t="n">
        <v>0</v>
      </c>
      <c r="M7031" t="n">
        <v>0</v>
      </c>
      <c r="N7031" t="n">
        <v>0</v>
      </c>
      <c r="O7031" t="n">
        <v>0</v>
      </c>
      <c r="P7031" t="n">
        <v>0</v>
      </c>
      <c r="Q7031" t="n">
        <v>0</v>
      </c>
      <c r="R7031" s="2" t="inlineStr"/>
    </row>
    <row r="7032" ht="15" customHeight="1">
      <c r="A7032" t="inlineStr">
        <is>
          <t>A 23144-2022</t>
        </is>
      </c>
      <c r="B7032" s="1" t="n">
        <v>44719</v>
      </c>
      <c r="C7032" s="1" t="n">
        <v>45810</v>
      </c>
      <c r="D7032" t="inlineStr">
        <is>
          <t>VÄRMLANDS LÄN</t>
        </is>
      </c>
      <c r="E7032" t="inlineStr">
        <is>
          <t>ÅRJÄNG</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23185-2022</t>
        </is>
      </c>
      <c r="B7033" s="1" t="n">
        <v>44719</v>
      </c>
      <c r="C7033" s="1" t="n">
        <v>45810</v>
      </c>
      <c r="D7033" t="inlineStr">
        <is>
          <t>VÄRMLANDS LÄN</t>
        </is>
      </c>
      <c r="E7033" t="inlineStr">
        <is>
          <t>TORSBY</t>
        </is>
      </c>
      <c r="F7033" t="inlineStr">
        <is>
          <t>Naturvårdsverket</t>
        </is>
      </c>
      <c r="G7033" t="n">
        <v>2.8</v>
      </c>
      <c r="H7033" t="n">
        <v>0</v>
      </c>
      <c r="I7033" t="n">
        <v>0</v>
      </c>
      <c r="J7033" t="n">
        <v>0</v>
      </c>
      <c r="K7033" t="n">
        <v>0</v>
      </c>
      <c r="L7033" t="n">
        <v>0</v>
      </c>
      <c r="M7033" t="n">
        <v>0</v>
      </c>
      <c r="N7033" t="n">
        <v>0</v>
      </c>
      <c r="O7033" t="n">
        <v>0</v>
      </c>
      <c r="P7033" t="n">
        <v>0</v>
      </c>
      <c r="Q7033" t="n">
        <v>0</v>
      </c>
      <c r="R7033" s="2" t="inlineStr"/>
    </row>
    <row r="7034" ht="15" customHeight="1">
      <c r="A7034" t="inlineStr">
        <is>
          <t>A 23063-2022</t>
        </is>
      </c>
      <c r="B7034" s="1" t="n">
        <v>44719</v>
      </c>
      <c r="C7034" s="1" t="n">
        <v>45810</v>
      </c>
      <c r="D7034" t="inlineStr">
        <is>
          <t>VÄRMLANDS LÄN</t>
        </is>
      </c>
      <c r="E7034" t="inlineStr">
        <is>
          <t>FILIPSTAD</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23020-2022</t>
        </is>
      </c>
      <c r="B7035" s="1" t="n">
        <v>44719</v>
      </c>
      <c r="C7035" s="1" t="n">
        <v>45810</v>
      </c>
      <c r="D7035" t="inlineStr">
        <is>
          <t>VÄRMLANDS LÄN</t>
        </is>
      </c>
      <c r="E7035" t="inlineStr">
        <is>
          <t>FORSHAGA</t>
        </is>
      </c>
      <c r="G7035" t="n">
        <v>4.3</v>
      </c>
      <c r="H7035" t="n">
        <v>0</v>
      </c>
      <c r="I7035" t="n">
        <v>0</v>
      </c>
      <c r="J7035" t="n">
        <v>0</v>
      </c>
      <c r="K7035" t="n">
        <v>0</v>
      </c>
      <c r="L7035" t="n">
        <v>0</v>
      </c>
      <c r="M7035" t="n">
        <v>0</v>
      </c>
      <c r="N7035" t="n">
        <v>0</v>
      </c>
      <c r="O7035" t="n">
        <v>0</v>
      </c>
      <c r="P7035" t="n">
        <v>0</v>
      </c>
      <c r="Q7035" t="n">
        <v>0</v>
      </c>
      <c r="R7035" s="2" t="inlineStr"/>
    </row>
    <row r="7036" ht="15" customHeight="1">
      <c r="A7036" t="inlineStr">
        <is>
          <t>A 23011-2022</t>
        </is>
      </c>
      <c r="B7036" s="1" t="n">
        <v>44719</v>
      </c>
      <c r="C7036" s="1" t="n">
        <v>45810</v>
      </c>
      <c r="D7036" t="inlineStr">
        <is>
          <t>VÄRMLANDS LÄN</t>
        </is>
      </c>
      <c r="E7036" t="inlineStr">
        <is>
          <t>TORSBY</t>
        </is>
      </c>
      <c r="F7036" t="inlineStr">
        <is>
          <t>Bergvik skog väst AB</t>
        </is>
      </c>
      <c r="G7036" t="n">
        <v>5.2</v>
      </c>
      <c r="H7036" t="n">
        <v>0</v>
      </c>
      <c r="I7036" t="n">
        <v>0</v>
      </c>
      <c r="J7036" t="n">
        <v>0</v>
      </c>
      <c r="K7036" t="n">
        <v>0</v>
      </c>
      <c r="L7036" t="n">
        <v>0</v>
      </c>
      <c r="M7036" t="n">
        <v>0</v>
      </c>
      <c r="N7036" t="n">
        <v>0</v>
      </c>
      <c r="O7036" t="n">
        <v>0</v>
      </c>
      <c r="P7036" t="n">
        <v>0</v>
      </c>
      <c r="Q7036" t="n">
        <v>0</v>
      </c>
      <c r="R7036" s="2" t="inlineStr"/>
    </row>
    <row r="7037" ht="15" customHeight="1">
      <c r="A7037" t="inlineStr">
        <is>
          <t>A 23277-2022</t>
        </is>
      </c>
      <c r="B7037" s="1" t="n">
        <v>44720</v>
      </c>
      <c r="C7037" s="1" t="n">
        <v>45810</v>
      </c>
      <c r="D7037" t="inlineStr">
        <is>
          <t>VÄRMLANDS LÄN</t>
        </is>
      </c>
      <c r="E7037" t="inlineStr">
        <is>
          <t>ARVIKA</t>
        </is>
      </c>
      <c r="G7037" t="n">
        <v>1.4</v>
      </c>
      <c r="H7037" t="n">
        <v>0</v>
      </c>
      <c r="I7037" t="n">
        <v>0</v>
      </c>
      <c r="J7037" t="n">
        <v>0</v>
      </c>
      <c r="K7037" t="n">
        <v>0</v>
      </c>
      <c r="L7037" t="n">
        <v>0</v>
      </c>
      <c r="M7037" t="n">
        <v>0</v>
      </c>
      <c r="N7037" t="n">
        <v>0</v>
      </c>
      <c r="O7037" t="n">
        <v>0</v>
      </c>
      <c r="P7037" t="n">
        <v>0</v>
      </c>
      <c r="Q7037" t="n">
        <v>0</v>
      </c>
      <c r="R7037" s="2" t="inlineStr"/>
    </row>
    <row r="7038" ht="15" customHeight="1">
      <c r="A7038" t="inlineStr">
        <is>
          <t>A 23301-2022</t>
        </is>
      </c>
      <c r="B7038" s="1" t="n">
        <v>44720</v>
      </c>
      <c r="C7038" s="1" t="n">
        <v>45810</v>
      </c>
      <c r="D7038" t="inlineStr">
        <is>
          <t>VÄRMLANDS LÄN</t>
        </is>
      </c>
      <c r="E7038" t="inlineStr">
        <is>
          <t>SUNNE</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23323-2022</t>
        </is>
      </c>
      <c r="B7039" s="1" t="n">
        <v>44720</v>
      </c>
      <c r="C7039" s="1" t="n">
        <v>45810</v>
      </c>
      <c r="D7039" t="inlineStr">
        <is>
          <t>VÄRMLANDS LÄN</t>
        </is>
      </c>
      <c r="E7039" t="inlineStr">
        <is>
          <t>ARVIKA</t>
        </is>
      </c>
      <c r="G7039" t="n">
        <v>4</v>
      </c>
      <c r="H7039" t="n">
        <v>0</v>
      </c>
      <c r="I7039" t="n">
        <v>0</v>
      </c>
      <c r="J7039" t="n">
        <v>0</v>
      </c>
      <c r="K7039" t="n">
        <v>0</v>
      </c>
      <c r="L7039" t="n">
        <v>0</v>
      </c>
      <c r="M7039" t="n">
        <v>0</v>
      </c>
      <c r="N7039" t="n">
        <v>0</v>
      </c>
      <c r="O7039" t="n">
        <v>0</v>
      </c>
      <c r="P7039" t="n">
        <v>0</v>
      </c>
      <c r="Q7039" t="n">
        <v>0</v>
      </c>
      <c r="R7039" s="2" t="inlineStr"/>
    </row>
    <row r="7040" ht="15" customHeight="1">
      <c r="A7040" t="inlineStr">
        <is>
          <t>A 23351-2022</t>
        </is>
      </c>
      <c r="B7040" s="1" t="n">
        <v>44720</v>
      </c>
      <c r="C7040" s="1" t="n">
        <v>45810</v>
      </c>
      <c r="D7040" t="inlineStr">
        <is>
          <t>VÄRMLANDS LÄN</t>
        </is>
      </c>
      <c r="E7040" t="inlineStr">
        <is>
          <t>KIL</t>
        </is>
      </c>
      <c r="F7040" t="inlineStr">
        <is>
          <t>Bergvik skog väst AB</t>
        </is>
      </c>
      <c r="G7040" t="n">
        <v>7</v>
      </c>
      <c r="H7040" t="n">
        <v>0</v>
      </c>
      <c r="I7040" t="n">
        <v>0</v>
      </c>
      <c r="J7040" t="n">
        <v>0</v>
      </c>
      <c r="K7040" t="n">
        <v>0</v>
      </c>
      <c r="L7040" t="n">
        <v>0</v>
      </c>
      <c r="M7040" t="n">
        <v>0</v>
      </c>
      <c r="N7040" t="n">
        <v>0</v>
      </c>
      <c r="O7040" t="n">
        <v>0</v>
      </c>
      <c r="P7040" t="n">
        <v>0</v>
      </c>
      <c r="Q7040" t="n">
        <v>0</v>
      </c>
      <c r="R7040" s="2" t="inlineStr"/>
    </row>
    <row r="7041" ht="15" customHeight="1">
      <c r="A7041" t="inlineStr">
        <is>
          <t>A 23259-2022</t>
        </is>
      </c>
      <c r="B7041" s="1" t="n">
        <v>44720</v>
      </c>
      <c r="C7041" s="1" t="n">
        <v>45810</v>
      </c>
      <c r="D7041" t="inlineStr">
        <is>
          <t>VÄRMLANDS LÄN</t>
        </is>
      </c>
      <c r="E7041" t="inlineStr">
        <is>
          <t>SÄFFLE</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23264-2022</t>
        </is>
      </c>
      <c r="B7042" s="1" t="n">
        <v>44720</v>
      </c>
      <c r="C7042" s="1" t="n">
        <v>45810</v>
      </c>
      <c r="D7042" t="inlineStr">
        <is>
          <t>VÄRMLANDS LÄN</t>
        </is>
      </c>
      <c r="E7042" t="inlineStr">
        <is>
          <t>TORSBY</t>
        </is>
      </c>
      <c r="G7042" t="n">
        <v>3</v>
      </c>
      <c r="H7042" t="n">
        <v>0</v>
      </c>
      <c r="I7042" t="n">
        <v>0</v>
      </c>
      <c r="J7042" t="n">
        <v>0</v>
      </c>
      <c r="K7042" t="n">
        <v>0</v>
      </c>
      <c r="L7042" t="n">
        <v>0</v>
      </c>
      <c r="M7042" t="n">
        <v>0</v>
      </c>
      <c r="N7042" t="n">
        <v>0</v>
      </c>
      <c r="O7042" t="n">
        <v>0</v>
      </c>
      <c r="P7042" t="n">
        <v>0</v>
      </c>
      <c r="Q7042" t="n">
        <v>0</v>
      </c>
      <c r="R7042" s="2" t="inlineStr"/>
    </row>
    <row r="7043" ht="15" customHeight="1">
      <c r="A7043" t="inlineStr">
        <is>
          <t>A 23315-2022</t>
        </is>
      </c>
      <c r="B7043" s="1" t="n">
        <v>44720</v>
      </c>
      <c r="C7043" s="1" t="n">
        <v>45810</v>
      </c>
      <c r="D7043" t="inlineStr">
        <is>
          <t>VÄRMLANDS LÄN</t>
        </is>
      </c>
      <c r="E7043" t="inlineStr">
        <is>
          <t>SUNNE</t>
        </is>
      </c>
      <c r="G7043" t="n">
        <v>1.6</v>
      </c>
      <c r="H7043" t="n">
        <v>0</v>
      </c>
      <c r="I7043" t="n">
        <v>0</v>
      </c>
      <c r="J7043" t="n">
        <v>0</v>
      </c>
      <c r="K7043" t="n">
        <v>0</v>
      </c>
      <c r="L7043" t="n">
        <v>0</v>
      </c>
      <c r="M7043" t="n">
        <v>0</v>
      </c>
      <c r="N7043" t="n">
        <v>0</v>
      </c>
      <c r="O7043" t="n">
        <v>0</v>
      </c>
      <c r="P7043" t="n">
        <v>0</v>
      </c>
      <c r="Q7043" t="n">
        <v>0</v>
      </c>
      <c r="R7043" s="2" t="inlineStr"/>
    </row>
    <row r="7044" ht="15" customHeight="1">
      <c r="A7044" t="inlineStr">
        <is>
          <t>A 23343-2022</t>
        </is>
      </c>
      <c r="B7044" s="1" t="n">
        <v>44720</v>
      </c>
      <c r="C7044" s="1" t="n">
        <v>45810</v>
      </c>
      <c r="D7044" t="inlineStr">
        <is>
          <t>VÄRMLANDS LÄN</t>
        </is>
      </c>
      <c r="E7044" t="inlineStr">
        <is>
          <t>TORSBY</t>
        </is>
      </c>
      <c r="F7044" t="inlineStr">
        <is>
          <t>Bergvik skog väst AB</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23352-2022</t>
        </is>
      </c>
      <c r="B7045" s="1" t="n">
        <v>44720</v>
      </c>
      <c r="C7045" s="1" t="n">
        <v>45810</v>
      </c>
      <c r="D7045" t="inlineStr">
        <is>
          <t>VÄRMLANDS LÄN</t>
        </is>
      </c>
      <c r="E7045" t="inlineStr">
        <is>
          <t>ARVIKA</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23280-2022</t>
        </is>
      </c>
      <c r="B7046" s="1" t="n">
        <v>44720</v>
      </c>
      <c r="C7046" s="1" t="n">
        <v>45810</v>
      </c>
      <c r="D7046" t="inlineStr">
        <is>
          <t>VÄRMLANDS LÄN</t>
        </is>
      </c>
      <c r="E7046" t="inlineStr">
        <is>
          <t>FORSHAGA</t>
        </is>
      </c>
      <c r="F7046" t="inlineStr">
        <is>
          <t>Bergvik skog väst AB</t>
        </is>
      </c>
      <c r="G7046" t="n">
        <v>3.5</v>
      </c>
      <c r="H7046" t="n">
        <v>0</v>
      </c>
      <c r="I7046" t="n">
        <v>0</v>
      </c>
      <c r="J7046" t="n">
        <v>0</v>
      </c>
      <c r="K7046" t="n">
        <v>0</v>
      </c>
      <c r="L7046" t="n">
        <v>0</v>
      </c>
      <c r="M7046" t="n">
        <v>0</v>
      </c>
      <c r="N7046" t="n">
        <v>0</v>
      </c>
      <c r="O7046" t="n">
        <v>0</v>
      </c>
      <c r="P7046" t="n">
        <v>0</v>
      </c>
      <c r="Q7046" t="n">
        <v>0</v>
      </c>
      <c r="R7046" s="2" t="inlineStr"/>
    </row>
    <row r="7047" ht="15" customHeight="1">
      <c r="A7047" t="inlineStr">
        <is>
          <t>A 23318-2022</t>
        </is>
      </c>
      <c r="B7047" s="1" t="n">
        <v>44720</v>
      </c>
      <c r="C7047" s="1" t="n">
        <v>45810</v>
      </c>
      <c r="D7047" t="inlineStr">
        <is>
          <t>VÄRMLANDS LÄN</t>
        </is>
      </c>
      <c r="E7047" t="inlineStr">
        <is>
          <t>SUNNE</t>
        </is>
      </c>
      <c r="G7047" t="n">
        <v>2</v>
      </c>
      <c r="H7047" t="n">
        <v>0</v>
      </c>
      <c r="I7047" t="n">
        <v>0</v>
      </c>
      <c r="J7047" t="n">
        <v>0</v>
      </c>
      <c r="K7047" t="n">
        <v>0</v>
      </c>
      <c r="L7047" t="n">
        <v>0</v>
      </c>
      <c r="M7047" t="n">
        <v>0</v>
      </c>
      <c r="N7047" t="n">
        <v>0</v>
      </c>
      <c r="O7047" t="n">
        <v>0</v>
      </c>
      <c r="P7047" t="n">
        <v>0</v>
      </c>
      <c r="Q7047" t="n">
        <v>0</v>
      </c>
      <c r="R7047" s="2" t="inlineStr"/>
    </row>
    <row r="7048" ht="15" customHeight="1">
      <c r="A7048" t="inlineStr">
        <is>
          <t>A 23401-2022</t>
        </is>
      </c>
      <c r="B7048" s="1" t="n">
        <v>44720</v>
      </c>
      <c r="C7048" s="1" t="n">
        <v>45810</v>
      </c>
      <c r="D7048" t="inlineStr">
        <is>
          <t>VÄRMLANDS LÄN</t>
        </is>
      </c>
      <c r="E7048" t="inlineStr">
        <is>
          <t>TORSBY</t>
        </is>
      </c>
      <c r="F7048" t="inlineStr">
        <is>
          <t>Bergvik skog väst AB</t>
        </is>
      </c>
      <c r="G7048" t="n">
        <v>3.7</v>
      </c>
      <c r="H7048" t="n">
        <v>0</v>
      </c>
      <c r="I7048" t="n">
        <v>0</v>
      </c>
      <c r="J7048" t="n">
        <v>0</v>
      </c>
      <c r="K7048" t="n">
        <v>0</v>
      </c>
      <c r="L7048" t="n">
        <v>0</v>
      </c>
      <c r="M7048" t="n">
        <v>0</v>
      </c>
      <c r="N7048" t="n">
        <v>0</v>
      </c>
      <c r="O7048" t="n">
        <v>0</v>
      </c>
      <c r="P7048" t="n">
        <v>0</v>
      </c>
      <c r="Q7048" t="n">
        <v>0</v>
      </c>
      <c r="R7048" s="2" t="inlineStr"/>
    </row>
    <row r="7049" ht="15" customHeight="1">
      <c r="A7049" t="inlineStr">
        <is>
          <t>A 23379-2022</t>
        </is>
      </c>
      <c r="B7049" s="1" t="n">
        <v>44720</v>
      </c>
      <c r="C7049" s="1" t="n">
        <v>45810</v>
      </c>
      <c r="D7049" t="inlineStr">
        <is>
          <t>VÄRMLANDS LÄN</t>
        </is>
      </c>
      <c r="E7049" t="inlineStr">
        <is>
          <t>FORSHAGA</t>
        </is>
      </c>
      <c r="F7049" t="inlineStr">
        <is>
          <t>Bergvik skog väst AB</t>
        </is>
      </c>
      <c r="G7049" t="n">
        <v>2.4</v>
      </c>
      <c r="H7049" t="n">
        <v>0</v>
      </c>
      <c r="I7049" t="n">
        <v>0</v>
      </c>
      <c r="J7049" t="n">
        <v>0</v>
      </c>
      <c r="K7049" t="n">
        <v>0</v>
      </c>
      <c r="L7049" t="n">
        <v>0</v>
      </c>
      <c r="M7049" t="n">
        <v>0</v>
      </c>
      <c r="N7049" t="n">
        <v>0</v>
      </c>
      <c r="O7049" t="n">
        <v>0</v>
      </c>
      <c r="P7049" t="n">
        <v>0</v>
      </c>
      <c r="Q7049" t="n">
        <v>0</v>
      </c>
      <c r="R7049" s="2" t="inlineStr"/>
    </row>
    <row r="7050" ht="15" customHeight="1">
      <c r="A7050" t="inlineStr">
        <is>
          <t>A 23392-2022</t>
        </is>
      </c>
      <c r="B7050" s="1" t="n">
        <v>44720</v>
      </c>
      <c r="C7050" s="1" t="n">
        <v>45810</v>
      </c>
      <c r="D7050" t="inlineStr">
        <is>
          <t>VÄRMLANDS LÄN</t>
        </is>
      </c>
      <c r="E7050" t="inlineStr">
        <is>
          <t>SUNNE</t>
        </is>
      </c>
      <c r="G7050" t="n">
        <v>2.2</v>
      </c>
      <c r="H7050" t="n">
        <v>0</v>
      </c>
      <c r="I7050" t="n">
        <v>0</v>
      </c>
      <c r="J7050" t="n">
        <v>0</v>
      </c>
      <c r="K7050" t="n">
        <v>0</v>
      </c>
      <c r="L7050" t="n">
        <v>0</v>
      </c>
      <c r="M7050" t="n">
        <v>0</v>
      </c>
      <c r="N7050" t="n">
        <v>0</v>
      </c>
      <c r="O7050" t="n">
        <v>0</v>
      </c>
      <c r="P7050" t="n">
        <v>0</v>
      </c>
      <c r="Q7050" t="n">
        <v>0</v>
      </c>
      <c r="R7050" s="2" t="inlineStr"/>
    </row>
    <row r="7051" ht="15" customHeight="1">
      <c r="A7051" t="inlineStr">
        <is>
          <t>A 23405-2022</t>
        </is>
      </c>
      <c r="B7051" s="1" t="n">
        <v>44720</v>
      </c>
      <c r="C7051" s="1" t="n">
        <v>45810</v>
      </c>
      <c r="D7051" t="inlineStr">
        <is>
          <t>VÄRMLANDS LÄN</t>
        </is>
      </c>
      <c r="E7051" t="inlineStr">
        <is>
          <t>TORSBY</t>
        </is>
      </c>
      <c r="F7051" t="inlineStr">
        <is>
          <t>Bergvik skog väst AB</t>
        </is>
      </c>
      <c r="G7051" t="n">
        <v>9.1</v>
      </c>
      <c r="H7051" t="n">
        <v>0</v>
      </c>
      <c r="I7051" t="n">
        <v>0</v>
      </c>
      <c r="J7051" t="n">
        <v>0</v>
      </c>
      <c r="K7051" t="n">
        <v>0</v>
      </c>
      <c r="L7051" t="n">
        <v>0</v>
      </c>
      <c r="M7051" t="n">
        <v>0</v>
      </c>
      <c r="N7051" t="n">
        <v>0</v>
      </c>
      <c r="O7051" t="n">
        <v>0</v>
      </c>
      <c r="P7051" t="n">
        <v>0</v>
      </c>
      <c r="Q7051" t="n">
        <v>0</v>
      </c>
      <c r="R7051" s="2" t="inlineStr"/>
    </row>
    <row r="7052" ht="15" customHeight="1">
      <c r="A7052" t="inlineStr">
        <is>
          <t>A 23488-2022</t>
        </is>
      </c>
      <c r="B7052" s="1" t="n">
        <v>44720</v>
      </c>
      <c r="C7052" s="1" t="n">
        <v>45810</v>
      </c>
      <c r="D7052" t="inlineStr">
        <is>
          <t>VÄRMLANDS LÄN</t>
        </is>
      </c>
      <c r="E7052" t="inlineStr">
        <is>
          <t>SUNNE</t>
        </is>
      </c>
      <c r="G7052" t="n">
        <v>1.7</v>
      </c>
      <c r="H7052" t="n">
        <v>0</v>
      </c>
      <c r="I7052" t="n">
        <v>0</v>
      </c>
      <c r="J7052" t="n">
        <v>0</v>
      </c>
      <c r="K7052" t="n">
        <v>0</v>
      </c>
      <c r="L7052" t="n">
        <v>0</v>
      </c>
      <c r="M7052" t="n">
        <v>0</v>
      </c>
      <c r="N7052" t="n">
        <v>0</v>
      </c>
      <c r="O7052" t="n">
        <v>0</v>
      </c>
      <c r="P7052" t="n">
        <v>0</v>
      </c>
      <c r="Q7052" t="n">
        <v>0</v>
      </c>
      <c r="R7052" s="2" t="inlineStr"/>
    </row>
    <row r="7053" ht="15" customHeight="1">
      <c r="A7053" t="inlineStr">
        <is>
          <t>A 23377-2022</t>
        </is>
      </c>
      <c r="B7053" s="1" t="n">
        <v>44720</v>
      </c>
      <c r="C7053" s="1" t="n">
        <v>45810</v>
      </c>
      <c r="D7053" t="inlineStr">
        <is>
          <t>VÄRMLANDS LÄN</t>
        </is>
      </c>
      <c r="E7053" t="inlineStr">
        <is>
          <t>FORSHAGA</t>
        </is>
      </c>
      <c r="F7053" t="inlineStr">
        <is>
          <t>Bergvik skog väst AB</t>
        </is>
      </c>
      <c r="G7053" t="n">
        <v>5.3</v>
      </c>
      <c r="H7053" t="n">
        <v>0</v>
      </c>
      <c r="I7053" t="n">
        <v>0</v>
      </c>
      <c r="J7053" t="n">
        <v>0</v>
      </c>
      <c r="K7053" t="n">
        <v>0</v>
      </c>
      <c r="L7053" t="n">
        <v>0</v>
      </c>
      <c r="M7053" t="n">
        <v>0</v>
      </c>
      <c r="N7053" t="n">
        <v>0</v>
      </c>
      <c r="O7053" t="n">
        <v>0</v>
      </c>
      <c r="P7053" t="n">
        <v>0</v>
      </c>
      <c r="Q7053" t="n">
        <v>0</v>
      </c>
      <c r="R7053" s="2" t="inlineStr"/>
    </row>
    <row r="7054" ht="15" customHeight="1">
      <c r="A7054" t="inlineStr">
        <is>
          <t>A 23490-2022</t>
        </is>
      </c>
      <c r="B7054" s="1" t="n">
        <v>44720</v>
      </c>
      <c r="C7054" s="1" t="n">
        <v>45810</v>
      </c>
      <c r="D7054" t="inlineStr">
        <is>
          <t>VÄRMLANDS LÄN</t>
        </is>
      </c>
      <c r="E7054" t="inlineStr">
        <is>
          <t>SUNNE</t>
        </is>
      </c>
      <c r="G7054" t="n">
        <v>3.1</v>
      </c>
      <c r="H7054" t="n">
        <v>0</v>
      </c>
      <c r="I7054" t="n">
        <v>0</v>
      </c>
      <c r="J7054" t="n">
        <v>0</v>
      </c>
      <c r="K7054" t="n">
        <v>0</v>
      </c>
      <c r="L7054" t="n">
        <v>0</v>
      </c>
      <c r="M7054" t="n">
        <v>0</v>
      </c>
      <c r="N7054" t="n">
        <v>0</v>
      </c>
      <c r="O7054" t="n">
        <v>0</v>
      </c>
      <c r="P7054" t="n">
        <v>0</v>
      </c>
      <c r="Q7054" t="n">
        <v>0</v>
      </c>
      <c r="R7054" s="2" t="inlineStr"/>
    </row>
    <row r="7055" ht="15" customHeight="1">
      <c r="A7055" t="inlineStr">
        <is>
          <t>A 23399-2022</t>
        </is>
      </c>
      <c r="B7055" s="1" t="n">
        <v>44720</v>
      </c>
      <c r="C7055" s="1" t="n">
        <v>45810</v>
      </c>
      <c r="D7055" t="inlineStr">
        <is>
          <t>VÄRMLANDS LÄN</t>
        </is>
      </c>
      <c r="E7055" t="inlineStr">
        <is>
          <t>SUNNE</t>
        </is>
      </c>
      <c r="G7055" t="n">
        <v>6.3</v>
      </c>
      <c r="H7055" t="n">
        <v>0</v>
      </c>
      <c r="I7055" t="n">
        <v>0</v>
      </c>
      <c r="J7055" t="n">
        <v>0</v>
      </c>
      <c r="K7055" t="n">
        <v>0</v>
      </c>
      <c r="L7055" t="n">
        <v>0</v>
      </c>
      <c r="M7055" t="n">
        <v>0</v>
      </c>
      <c r="N7055" t="n">
        <v>0</v>
      </c>
      <c r="O7055" t="n">
        <v>0</v>
      </c>
      <c r="P7055" t="n">
        <v>0</v>
      </c>
      <c r="Q7055" t="n">
        <v>0</v>
      </c>
      <c r="R7055" s="2" t="inlineStr"/>
    </row>
    <row r="7056" ht="15" customHeight="1">
      <c r="A7056" t="inlineStr">
        <is>
          <t>A 23406-2022</t>
        </is>
      </c>
      <c r="B7056" s="1" t="n">
        <v>44720</v>
      </c>
      <c r="C7056" s="1" t="n">
        <v>45810</v>
      </c>
      <c r="D7056" t="inlineStr">
        <is>
          <t>VÄRMLANDS LÄN</t>
        </is>
      </c>
      <c r="E7056" t="inlineStr">
        <is>
          <t>SUNNE</t>
        </is>
      </c>
      <c r="G7056" t="n">
        <v>1.9</v>
      </c>
      <c r="H7056" t="n">
        <v>0</v>
      </c>
      <c r="I7056" t="n">
        <v>0</v>
      </c>
      <c r="J7056" t="n">
        <v>0</v>
      </c>
      <c r="K7056" t="n">
        <v>0</v>
      </c>
      <c r="L7056" t="n">
        <v>0</v>
      </c>
      <c r="M7056" t="n">
        <v>0</v>
      </c>
      <c r="N7056" t="n">
        <v>0</v>
      </c>
      <c r="O7056" t="n">
        <v>0</v>
      </c>
      <c r="P7056" t="n">
        <v>0</v>
      </c>
      <c r="Q7056" t="n">
        <v>0</v>
      </c>
      <c r="R7056" s="2" t="inlineStr"/>
    </row>
    <row r="7057" ht="15" customHeight="1">
      <c r="A7057" t="inlineStr">
        <is>
          <t>A 23499-2022</t>
        </is>
      </c>
      <c r="B7057" s="1" t="n">
        <v>44720</v>
      </c>
      <c r="C7057" s="1" t="n">
        <v>45810</v>
      </c>
      <c r="D7057" t="inlineStr">
        <is>
          <t>VÄRMLANDS LÄN</t>
        </is>
      </c>
      <c r="E7057" t="inlineStr">
        <is>
          <t>SUNNE</t>
        </is>
      </c>
      <c r="G7057" t="n">
        <v>2.2</v>
      </c>
      <c r="H7057" t="n">
        <v>0</v>
      </c>
      <c r="I7057" t="n">
        <v>0</v>
      </c>
      <c r="J7057" t="n">
        <v>0</v>
      </c>
      <c r="K7057" t="n">
        <v>0</v>
      </c>
      <c r="L7057" t="n">
        <v>0</v>
      </c>
      <c r="M7057" t="n">
        <v>0</v>
      </c>
      <c r="N7057" t="n">
        <v>0</v>
      </c>
      <c r="O7057" t="n">
        <v>0</v>
      </c>
      <c r="P7057" t="n">
        <v>0</v>
      </c>
      <c r="Q7057" t="n">
        <v>0</v>
      </c>
      <c r="R7057" s="2" t="inlineStr"/>
    </row>
    <row r="7058" ht="15" customHeight="1">
      <c r="A7058" t="inlineStr">
        <is>
          <t>A 23482-2022</t>
        </is>
      </c>
      <c r="B7058" s="1" t="n">
        <v>44720</v>
      </c>
      <c r="C7058" s="1" t="n">
        <v>45810</v>
      </c>
      <c r="D7058" t="inlineStr">
        <is>
          <t>VÄRMLANDS LÄN</t>
        </is>
      </c>
      <c r="E7058" t="inlineStr">
        <is>
          <t>SUNNE</t>
        </is>
      </c>
      <c r="G7058" t="n">
        <v>5.3</v>
      </c>
      <c r="H7058" t="n">
        <v>0</v>
      </c>
      <c r="I7058" t="n">
        <v>0</v>
      </c>
      <c r="J7058" t="n">
        <v>0</v>
      </c>
      <c r="K7058" t="n">
        <v>0</v>
      </c>
      <c r="L7058" t="n">
        <v>0</v>
      </c>
      <c r="M7058" t="n">
        <v>0</v>
      </c>
      <c r="N7058" t="n">
        <v>0</v>
      </c>
      <c r="O7058" t="n">
        <v>0</v>
      </c>
      <c r="P7058" t="n">
        <v>0</v>
      </c>
      <c r="Q7058" t="n">
        <v>0</v>
      </c>
      <c r="R7058" s="2" t="inlineStr"/>
    </row>
    <row r="7059" ht="15" customHeight="1">
      <c r="A7059" t="inlineStr">
        <is>
          <t>A 23803-2022</t>
        </is>
      </c>
      <c r="B7059" s="1" t="n">
        <v>44720</v>
      </c>
      <c r="C7059" s="1" t="n">
        <v>45810</v>
      </c>
      <c r="D7059" t="inlineStr">
        <is>
          <t>VÄRMLANDS LÄN</t>
        </is>
      </c>
      <c r="E7059" t="inlineStr">
        <is>
          <t>TORSBY</t>
        </is>
      </c>
      <c r="G7059" t="n">
        <v>3</v>
      </c>
      <c r="H7059" t="n">
        <v>0</v>
      </c>
      <c r="I7059" t="n">
        <v>0</v>
      </c>
      <c r="J7059" t="n">
        <v>0</v>
      </c>
      <c r="K7059" t="n">
        <v>0</v>
      </c>
      <c r="L7059" t="n">
        <v>0</v>
      </c>
      <c r="M7059" t="n">
        <v>0</v>
      </c>
      <c r="N7059" t="n">
        <v>0</v>
      </c>
      <c r="O7059" t="n">
        <v>0</v>
      </c>
      <c r="P7059" t="n">
        <v>0</v>
      </c>
      <c r="Q7059" t="n">
        <v>0</v>
      </c>
      <c r="R7059" s="2" t="inlineStr"/>
    </row>
    <row r="7060" ht="15" customHeight="1">
      <c r="A7060" t="inlineStr">
        <is>
          <t>A 23495-2022</t>
        </is>
      </c>
      <c r="B7060" s="1" t="n">
        <v>44721</v>
      </c>
      <c r="C7060" s="1" t="n">
        <v>45810</v>
      </c>
      <c r="D7060" t="inlineStr">
        <is>
          <t>VÄRMLANDS LÄN</t>
        </is>
      </c>
      <c r="E7060" t="inlineStr">
        <is>
          <t>ARVIKA</t>
        </is>
      </c>
      <c r="G7060" t="n">
        <v>4.4</v>
      </c>
      <c r="H7060" t="n">
        <v>0</v>
      </c>
      <c r="I7060" t="n">
        <v>0</v>
      </c>
      <c r="J7060" t="n">
        <v>0</v>
      </c>
      <c r="K7060" t="n">
        <v>0</v>
      </c>
      <c r="L7060" t="n">
        <v>0</v>
      </c>
      <c r="M7060" t="n">
        <v>0</v>
      </c>
      <c r="N7060" t="n">
        <v>0</v>
      </c>
      <c r="O7060" t="n">
        <v>0</v>
      </c>
      <c r="P7060" t="n">
        <v>0</v>
      </c>
      <c r="Q7060" t="n">
        <v>0</v>
      </c>
      <c r="R7060" s="2" t="inlineStr"/>
    </row>
    <row r="7061" ht="15" customHeight="1">
      <c r="A7061" t="inlineStr">
        <is>
          <t>A 23704-2022</t>
        </is>
      </c>
      <c r="B7061" s="1" t="n">
        <v>44722</v>
      </c>
      <c r="C7061" s="1" t="n">
        <v>45810</v>
      </c>
      <c r="D7061" t="inlineStr">
        <is>
          <t>VÄRMLANDS LÄN</t>
        </is>
      </c>
      <c r="E7061" t="inlineStr">
        <is>
          <t>KRISTINEHAMN</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23706-2022</t>
        </is>
      </c>
      <c r="B7062" s="1" t="n">
        <v>44722</v>
      </c>
      <c r="C7062" s="1" t="n">
        <v>45810</v>
      </c>
      <c r="D7062" t="inlineStr">
        <is>
          <t>VÄRMLANDS LÄN</t>
        </is>
      </c>
      <c r="E7062" t="inlineStr">
        <is>
          <t>KRISTINEHAMN</t>
        </is>
      </c>
      <c r="G7062" t="n">
        <v>0.2</v>
      </c>
      <c r="H7062" t="n">
        <v>0</v>
      </c>
      <c r="I7062" t="n">
        <v>0</v>
      </c>
      <c r="J7062" t="n">
        <v>0</v>
      </c>
      <c r="K7062" t="n">
        <v>0</v>
      </c>
      <c r="L7062" t="n">
        <v>0</v>
      </c>
      <c r="M7062" t="n">
        <v>0</v>
      </c>
      <c r="N7062" t="n">
        <v>0</v>
      </c>
      <c r="O7062" t="n">
        <v>0</v>
      </c>
      <c r="P7062" t="n">
        <v>0</v>
      </c>
      <c r="Q7062" t="n">
        <v>0</v>
      </c>
      <c r="R7062" s="2" t="inlineStr"/>
    </row>
    <row r="7063" ht="15" customHeight="1">
      <c r="A7063" t="inlineStr">
        <is>
          <t>A 23786-2022</t>
        </is>
      </c>
      <c r="B7063" s="1" t="n">
        <v>44722</v>
      </c>
      <c r="C7063" s="1" t="n">
        <v>45810</v>
      </c>
      <c r="D7063" t="inlineStr">
        <is>
          <t>VÄRMLANDS LÄN</t>
        </is>
      </c>
      <c r="E7063" t="inlineStr">
        <is>
          <t>KIL</t>
        </is>
      </c>
      <c r="G7063" t="n">
        <v>7.3</v>
      </c>
      <c r="H7063" t="n">
        <v>0</v>
      </c>
      <c r="I7063" t="n">
        <v>0</v>
      </c>
      <c r="J7063" t="n">
        <v>0</v>
      </c>
      <c r="K7063" t="n">
        <v>0</v>
      </c>
      <c r="L7063" t="n">
        <v>0</v>
      </c>
      <c r="M7063" t="n">
        <v>0</v>
      </c>
      <c r="N7063" t="n">
        <v>0</v>
      </c>
      <c r="O7063" t="n">
        <v>0</v>
      </c>
      <c r="P7063" t="n">
        <v>0</v>
      </c>
      <c r="Q7063" t="n">
        <v>0</v>
      </c>
      <c r="R7063" s="2" t="inlineStr"/>
    </row>
    <row r="7064" ht="15" customHeight="1">
      <c r="A7064" t="inlineStr">
        <is>
          <t>A 23804-2022</t>
        </is>
      </c>
      <c r="B7064" s="1" t="n">
        <v>44722</v>
      </c>
      <c r="C7064" s="1" t="n">
        <v>45810</v>
      </c>
      <c r="D7064" t="inlineStr">
        <is>
          <t>VÄRMLANDS LÄN</t>
        </is>
      </c>
      <c r="E7064" t="inlineStr">
        <is>
          <t>TORSBY</t>
        </is>
      </c>
      <c r="G7064" t="n">
        <v>6.1</v>
      </c>
      <c r="H7064" t="n">
        <v>0</v>
      </c>
      <c r="I7064" t="n">
        <v>0</v>
      </c>
      <c r="J7064" t="n">
        <v>0</v>
      </c>
      <c r="K7064" t="n">
        <v>0</v>
      </c>
      <c r="L7064" t="n">
        <v>0</v>
      </c>
      <c r="M7064" t="n">
        <v>0</v>
      </c>
      <c r="N7064" t="n">
        <v>0</v>
      </c>
      <c r="O7064" t="n">
        <v>0</v>
      </c>
      <c r="P7064" t="n">
        <v>0</v>
      </c>
      <c r="Q7064" t="n">
        <v>0</v>
      </c>
      <c r="R7064" s="2" t="inlineStr"/>
    </row>
    <row r="7065" ht="15" customHeight="1">
      <c r="A7065" t="inlineStr">
        <is>
          <t>A 23813-2022</t>
        </is>
      </c>
      <c r="B7065" s="1" t="n">
        <v>44722</v>
      </c>
      <c r="C7065" s="1" t="n">
        <v>45810</v>
      </c>
      <c r="D7065" t="inlineStr">
        <is>
          <t>VÄRMLANDS LÄN</t>
        </is>
      </c>
      <c r="E7065" t="inlineStr">
        <is>
          <t>ARVIKA</t>
        </is>
      </c>
      <c r="G7065" t="n">
        <v>4.1</v>
      </c>
      <c r="H7065" t="n">
        <v>0</v>
      </c>
      <c r="I7065" t="n">
        <v>0</v>
      </c>
      <c r="J7065" t="n">
        <v>0</v>
      </c>
      <c r="K7065" t="n">
        <v>0</v>
      </c>
      <c r="L7065" t="n">
        <v>0</v>
      </c>
      <c r="M7065" t="n">
        <v>0</v>
      </c>
      <c r="N7065" t="n">
        <v>0</v>
      </c>
      <c r="O7065" t="n">
        <v>0</v>
      </c>
      <c r="P7065" t="n">
        <v>0</v>
      </c>
      <c r="Q7065" t="n">
        <v>0</v>
      </c>
      <c r="R7065" s="2" t="inlineStr"/>
    </row>
    <row r="7066" ht="15" customHeight="1">
      <c r="A7066" t="inlineStr">
        <is>
          <t>A 23823-2022</t>
        </is>
      </c>
      <c r="B7066" s="1" t="n">
        <v>44722</v>
      </c>
      <c r="C7066" s="1" t="n">
        <v>45810</v>
      </c>
      <c r="D7066" t="inlineStr">
        <is>
          <t>VÄRMLANDS LÄN</t>
        </is>
      </c>
      <c r="E7066" t="inlineStr">
        <is>
          <t>TORSBY</t>
        </is>
      </c>
      <c r="G7066" t="n">
        <v>2.4</v>
      </c>
      <c r="H7066" t="n">
        <v>0</v>
      </c>
      <c r="I7066" t="n">
        <v>0</v>
      </c>
      <c r="J7066" t="n">
        <v>0</v>
      </c>
      <c r="K7066" t="n">
        <v>0</v>
      </c>
      <c r="L7066" t="n">
        <v>0</v>
      </c>
      <c r="M7066" t="n">
        <v>0</v>
      </c>
      <c r="N7066" t="n">
        <v>0</v>
      </c>
      <c r="O7066" t="n">
        <v>0</v>
      </c>
      <c r="P7066" t="n">
        <v>0</v>
      </c>
      <c r="Q7066" t="n">
        <v>0</v>
      </c>
      <c r="R7066" s="2" t="inlineStr"/>
    </row>
    <row r="7067" ht="15" customHeight="1">
      <c r="A7067" t="inlineStr">
        <is>
          <t>A 23792-2022</t>
        </is>
      </c>
      <c r="B7067" s="1" t="n">
        <v>44722</v>
      </c>
      <c r="C7067" s="1" t="n">
        <v>45810</v>
      </c>
      <c r="D7067" t="inlineStr">
        <is>
          <t>VÄRMLANDS LÄN</t>
        </is>
      </c>
      <c r="E7067" t="inlineStr">
        <is>
          <t>HAGFORS</t>
        </is>
      </c>
      <c r="F7067" t="inlineStr">
        <is>
          <t>Bergvik skog väst AB</t>
        </is>
      </c>
      <c r="G7067" t="n">
        <v>9.6</v>
      </c>
      <c r="H7067" t="n">
        <v>0</v>
      </c>
      <c r="I7067" t="n">
        <v>0</v>
      </c>
      <c r="J7067" t="n">
        <v>0</v>
      </c>
      <c r="K7067" t="n">
        <v>0</v>
      </c>
      <c r="L7067" t="n">
        <v>0</v>
      </c>
      <c r="M7067" t="n">
        <v>0</v>
      </c>
      <c r="N7067" t="n">
        <v>0</v>
      </c>
      <c r="O7067" t="n">
        <v>0</v>
      </c>
      <c r="P7067" t="n">
        <v>0</v>
      </c>
      <c r="Q7067" t="n">
        <v>0</v>
      </c>
      <c r="R7067" s="2" t="inlineStr"/>
    </row>
    <row r="7068" ht="15" customHeight="1">
      <c r="A7068" t="inlineStr">
        <is>
          <t>A 23807-2022</t>
        </is>
      </c>
      <c r="B7068" s="1" t="n">
        <v>44722</v>
      </c>
      <c r="C7068" s="1" t="n">
        <v>45810</v>
      </c>
      <c r="D7068" t="inlineStr">
        <is>
          <t>VÄRMLANDS LÄN</t>
        </is>
      </c>
      <c r="E7068" t="inlineStr">
        <is>
          <t>EDA</t>
        </is>
      </c>
      <c r="G7068" t="n">
        <v>5.5</v>
      </c>
      <c r="H7068" t="n">
        <v>0</v>
      </c>
      <c r="I7068" t="n">
        <v>0</v>
      </c>
      <c r="J7068" t="n">
        <v>0</v>
      </c>
      <c r="K7068" t="n">
        <v>0</v>
      </c>
      <c r="L7068" t="n">
        <v>0</v>
      </c>
      <c r="M7068" t="n">
        <v>0</v>
      </c>
      <c r="N7068" t="n">
        <v>0</v>
      </c>
      <c r="O7068" t="n">
        <v>0</v>
      </c>
      <c r="P7068" t="n">
        <v>0</v>
      </c>
      <c r="Q7068" t="n">
        <v>0</v>
      </c>
      <c r="R7068" s="2" t="inlineStr"/>
    </row>
    <row r="7069" ht="15" customHeight="1">
      <c r="A7069" t="inlineStr">
        <is>
          <t>A 23707-2022</t>
        </is>
      </c>
      <c r="B7069" s="1" t="n">
        <v>44722</v>
      </c>
      <c r="C7069" s="1" t="n">
        <v>45810</v>
      </c>
      <c r="D7069" t="inlineStr">
        <is>
          <t>VÄRMLANDS LÄN</t>
        </is>
      </c>
      <c r="E7069" t="inlineStr">
        <is>
          <t>KRISTINEHAMN</t>
        </is>
      </c>
      <c r="G7069" t="n">
        <v>0.3</v>
      </c>
      <c r="H7069" t="n">
        <v>0</v>
      </c>
      <c r="I7069" t="n">
        <v>0</v>
      </c>
      <c r="J7069" t="n">
        <v>0</v>
      </c>
      <c r="K7069" t="n">
        <v>0</v>
      </c>
      <c r="L7069" t="n">
        <v>0</v>
      </c>
      <c r="M7069" t="n">
        <v>0</v>
      </c>
      <c r="N7069" t="n">
        <v>0</v>
      </c>
      <c r="O7069" t="n">
        <v>0</v>
      </c>
      <c r="P7069" t="n">
        <v>0</v>
      </c>
      <c r="Q7069" t="n">
        <v>0</v>
      </c>
      <c r="R7069" s="2" t="inlineStr"/>
    </row>
    <row r="7070" ht="15" customHeight="1">
      <c r="A7070" t="inlineStr">
        <is>
          <t>A 23705-2022</t>
        </is>
      </c>
      <c r="B7070" s="1" t="n">
        <v>44722</v>
      </c>
      <c r="C7070" s="1" t="n">
        <v>45810</v>
      </c>
      <c r="D7070" t="inlineStr">
        <is>
          <t>VÄRMLANDS LÄN</t>
        </is>
      </c>
      <c r="E7070" t="inlineStr">
        <is>
          <t>KRISTINEHAMN</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23735-2022</t>
        </is>
      </c>
      <c r="B7071" s="1" t="n">
        <v>44722</v>
      </c>
      <c r="C7071" s="1" t="n">
        <v>45810</v>
      </c>
      <c r="D7071" t="inlineStr">
        <is>
          <t>VÄRMLANDS LÄN</t>
        </is>
      </c>
      <c r="E7071" t="inlineStr">
        <is>
          <t>TORSBY</t>
        </is>
      </c>
      <c r="G7071" t="n">
        <v>1.9</v>
      </c>
      <c r="H7071" t="n">
        <v>0</v>
      </c>
      <c r="I7071" t="n">
        <v>0</v>
      </c>
      <c r="J7071" t="n">
        <v>0</v>
      </c>
      <c r="K7071" t="n">
        <v>0</v>
      </c>
      <c r="L7071" t="n">
        <v>0</v>
      </c>
      <c r="M7071" t="n">
        <v>0</v>
      </c>
      <c r="N7071" t="n">
        <v>0</v>
      </c>
      <c r="O7071" t="n">
        <v>0</v>
      </c>
      <c r="P7071" t="n">
        <v>0</v>
      </c>
      <c r="Q7071" t="n">
        <v>0</v>
      </c>
      <c r="R7071" s="2" t="inlineStr"/>
    </row>
    <row r="7072" ht="15" customHeight="1">
      <c r="A7072" t="inlineStr">
        <is>
          <t>A 23818-2022</t>
        </is>
      </c>
      <c r="B7072" s="1" t="n">
        <v>44722</v>
      </c>
      <c r="C7072" s="1" t="n">
        <v>45810</v>
      </c>
      <c r="D7072" t="inlineStr">
        <is>
          <t>VÄRMLANDS LÄN</t>
        </is>
      </c>
      <c r="E7072" t="inlineStr">
        <is>
          <t>TORSBY</t>
        </is>
      </c>
      <c r="G7072" t="n">
        <v>23.5</v>
      </c>
      <c r="H7072" t="n">
        <v>0</v>
      </c>
      <c r="I7072" t="n">
        <v>0</v>
      </c>
      <c r="J7072" t="n">
        <v>0</v>
      </c>
      <c r="K7072" t="n">
        <v>0</v>
      </c>
      <c r="L7072" t="n">
        <v>0</v>
      </c>
      <c r="M7072" t="n">
        <v>0</v>
      </c>
      <c r="N7072" t="n">
        <v>0</v>
      </c>
      <c r="O7072" t="n">
        <v>0</v>
      </c>
      <c r="P7072" t="n">
        <v>0</v>
      </c>
      <c r="Q7072" t="n">
        <v>0</v>
      </c>
      <c r="R7072" s="2" t="inlineStr"/>
    </row>
    <row r="7073" ht="15" customHeight="1">
      <c r="A7073" t="inlineStr">
        <is>
          <t>A 23732-2022</t>
        </is>
      </c>
      <c r="B7073" s="1" t="n">
        <v>44722</v>
      </c>
      <c r="C7073" s="1" t="n">
        <v>45810</v>
      </c>
      <c r="D7073" t="inlineStr">
        <is>
          <t>VÄRMLANDS LÄN</t>
        </is>
      </c>
      <c r="E7073" t="inlineStr">
        <is>
          <t>TORSBY</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23746-2022</t>
        </is>
      </c>
      <c r="B7074" s="1" t="n">
        <v>44722</v>
      </c>
      <c r="C7074" s="1" t="n">
        <v>45810</v>
      </c>
      <c r="D7074" t="inlineStr">
        <is>
          <t>VÄRMLANDS LÄN</t>
        </is>
      </c>
      <c r="E7074" t="inlineStr">
        <is>
          <t>TORSBY</t>
        </is>
      </c>
      <c r="F7074" t="inlineStr">
        <is>
          <t>Bergvik skog väst AB</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23851-2022</t>
        </is>
      </c>
      <c r="B7075" s="1" t="n">
        <v>44722</v>
      </c>
      <c r="C7075" s="1" t="n">
        <v>45810</v>
      </c>
      <c r="D7075" t="inlineStr">
        <is>
          <t>VÄRMLANDS LÄN</t>
        </is>
      </c>
      <c r="E7075" t="inlineStr">
        <is>
          <t>TORSBY</t>
        </is>
      </c>
      <c r="G7075" t="n">
        <v>3.6</v>
      </c>
      <c r="H7075" t="n">
        <v>0</v>
      </c>
      <c r="I7075" t="n">
        <v>0</v>
      </c>
      <c r="J7075" t="n">
        <v>0</v>
      </c>
      <c r="K7075" t="n">
        <v>0</v>
      </c>
      <c r="L7075" t="n">
        <v>0</v>
      </c>
      <c r="M7075" t="n">
        <v>0</v>
      </c>
      <c r="N7075" t="n">
        <v>0</v>
      </c>
      <c r="O7075" t="n">
        <v>0</v>
      </c>
      <c r="P7075" t="n">
        <v>0</v>
      </c>
      <c r="Q7075" t="n">
        <v>0</v>
      </c>
      <c r="R7075" s="2" t="inlineStr"/>
    </row>
    <row r="7076" ht="15" customHeight="1">
      <c r="A7076" t="inlineStr">
        <is>
          <t>A 23887-2022</t>
        </is>
      </c>
      <c r="B7076" s="1" t="n">
        <v>44722</v>
      </c>
      <c r="C7076" s="1" t="n">
        <v>45810</v>
      </c>
      <c r="D7076" t="inlineStr">
        <is>
          <t>VÄRMLANDS LÄN</t>
        </is>
      </c>
      <c r="E7076" t="inlineStr">
        <is>
          <t>FORSHAGA</t>
        </is>
      </c>
      <c r="F7076" t="inlineStr">
        <is>
          <t>Bergvik skog väst AB</t>
        </is>
      </c>
      <c r="G7076" t="n">
        <v>2.7</v>
      </c>
      <c r="H7076" t="n">
        <v>0</v>
      </c>
      <c r="I7076" t="n">
        <v>0</v>
      </c>
      <c r="J7076" t="n">
        <v>0</v>
      </c>
      <c r="K7076" t="n">
        <v>0</v>
      </c>
      <c r="L7076" t="n">
        <v>0</v>
      </c>
      <c r="M7076" t="n">
        <v>0</v>
      </c>
      <c r="N7076" t="n">
        <v>0</v>
      </c>
      <c r="O7076" t="n">
        <v>0</v>
      </c>
      <c r="P7076" t="n">
        <v>0</v>
      </c>
      <c r="Q7076" t="n">
        <v>0</v>
      </c>
      <c r="R7076" s="2" t="inlineStr"/>
    </row>
    <row r="7077" ht="15" customHeight="1">
      <c r="A7077" t="inlineStr">
        <is>
          <t>A 23948-2022</t>
        </is>
      </c>
      <c r="B7077" s="1" t="n">
        <v>44722</v>
      </c>
      <c r="C7077" s="1" t="n">
        <v>45810</v>
      </c>
      <c r="D7077" t="inlineStr">
        <is>
          <t>VÄRMLANDS LÄN</t>
        </is>
      </c>
      <c r="E7077" t="inlineStr">
        <is>
          <t>KRISTINEHAMN</t>
        </is>
      </c>
      <c r="G7077" t="n">
        <v>3.7</v>
      </c>
      <c r="H7077" t="n">
        <v>0</v>
      </c>
      <c r="I7077" t="n">
        <v>0</v>
      </c>
      <c r="J7077" t="n">
        <v>0</v>
      </c>
      <c r="K7077" t="n">
        <v>0</v>
      </c>
      <c r="L7077" t="n">
        <v>0</v>
      </c>
      <c r="M7077" t="n">
        <v>0</v>
      </c>
      <c r="N7077" t="n">
        <v>0</v>
      </c>
      <c r="O7077" t="n">
        <v>0</v>
      </c>
      <c r="P7077" t="n">
        <v>0</v>
      </c>
      <c r="Q7077" t="n">
        <v>0</v>
      </c>
      <c r="R7077" s="2" t="inlineStr"/>
    </row>
    <row r="7078" ht="15" customHeight="1">
      <c r="A7078" t="inlineStr">
        <is>
          <t>A 24036-2022</t>
        </is>
      </c>
      <c r="B7078" s="1" t="n">
        <v>44724</v>
      </c>
      <c r="C7078" s="1" t="n">
        <v>45810</v>
      </c>
      <c r="D7078" t="inlineStr">
        <is>
          <t>VÄRMLANDS LÄN</t>
        </is>
      </c>
      <c r="E7078" t="inlineStr">
        <is>
          <t>FORSHAGA</t>
        </is>
      </c>
      <c r="G7078" t="n">
        <v>11.2</v>
      </c>
      <c r="H7078" t="n">
        <v>0</v>
      </c>
      <c r="I7078" t="n">
        <v>0</v>
      </c>
      <c r="J7078" t="n">
        <v>0</v>
      </c>
      <c r="K7078" t="n">
        <v>0</v>
      </c>
      <c r="L7078" t="n">
        <v>0</v>
      </c>
      <c r="M7078" t="n">
        <v>0</v>
      </c>
      <c r="N7078" t="n">
        <v>0</v>
      </c>
      <c r="O7078" t="n">
        <v>0</v>
      </c>
      <c r="P7078" t="n">
        <v>0</v>
      </c>
      <c r="Q7078" t="n">
        <v>0</v>
      </c>
      <c r="R7078" s="2" t="inlineStr"/>
    </row>
    <row r="7079" ht="15" customHeight="1">
      <c r="A7079" t="inlineStr">
        <is>
          <t>A 24145-2022</t>
        </is>
      </c>
      <c r="B7079" s="1" t="n">
        <v>44725</v>
      </c>
      <c r="C7079" s="1" t="n">
        <v>45810</v>
      </c>
      <c r="D7079" t="inlineStr">
        <is>
          <t>VÄRMLANDS LÄN</t>
        </is>
      </c>
      <c r="E7079" t="inlineStr">
        <is>
          <t>HAGFORS</t>
        </is>
      </c>
      <c r="F7079" t="inlineStr">
        <is>
          <t>Bergvik skog väst AB</t>
        </is>
      </c>
      <c r="G7079" t="n">
        <v>5.8</v>
      </c>
      <c r="H7079" t="n">
        <v>0</v>
      </c>
      <c r="I7079" t="n">
        <v>0</v>
      </c>
      <c r="J7079" t="n">
        <v>0</v>
      </c>
      <c r="K7079" t="n">
        <v>0</v>
      </c>
      <c r="L7079" t="n">
        <v>0</v>
      </c>
      <c r="M7079" t="n">
        <v>0</v>
      </c>
      <c r="N7079" t="n">
        <v>0</v>
      </c>
      <c r="O7079" t="n">
        <v>0</v>
      </c>
      <c r="P7079" t="n">
        <v>0</v>
      </c>
      <c r="Q7079" t="n">
        <v>0</v>
      </c>
      <c r="R7079" s="2" t="inlineStr"/>
    </row>
    <row r="7080" ht="15" customHeight="1">
      <c r="A7080" t="inlineStr">
        <is>
          <t>A 24137-2022</t>
        </is>
      </c>
      <c r="B7080" s="1" t="n">
        <v>44725</v>
      </c>
      <c r="C7080" s="1" t="n">
        <v>45810</v>
      </c>
      <c r="D7080" t="inlineStr">
        <is>
          <t>VÄRMLANDS LÄN</t>
        </is>
      </c>
      <c r="E7080" t="inlineStr">
        <is>
          <t>ARVIKA</t>
        </is>
      </c>
      <c r="G7080" t="n">
        <v>3.2</v>
      </c>
      <c r="H7080" t="n">
        <v>0</v>
      </c>
      <c r="I7080" t="n">
        <v>0</v>
      </c>
      <c r="J7080" t="n">
        <v>0</v>
      </c>
      <c r="K7080" t="n">
        <v>0</v>
      </c>
      <c r="L7080" t="n">
        <v>0</v>
      </c>
      <c r="M7080" t="n">
        <v>0</v>
      </c>
      <c r="N7080" t="n">
        <v>0</v>
      </c>
      <c r="O7080" t="n">
        <v>0</v>
      </c>
      <c r="P7080" t="n">
        <v>0</v>
      </c>
      <c r="Q7080" t="n">
        <v>0</v>
      </c>
      <c r="R7080" s="2" t="inlineStr"/>
    </row>
    <row r="7081" ht="15" customHeight="1">
      <c r="A7081" t="inlineStr">
        <is>
          <t>A 24130-2022</t>
        </is>
      </c>
      <c r="B7081" s="1" t="n">
        <v>44725</v>
      </c>
      <c r="C7081" s="1" t="n">
        <v>45810</v>
      </c>
      <c r="D7081" t="inlineStr">
        <is>
          <t>VÄRMLANDS LÄN</t>
        </is>
      </c>
      <c r="E7081" t="inlineStr">
        <is>
          <t>ARVIKA</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24220-2022</t>
        </is>
      </c>
      <c r="B7082" s="1" t="n">
        <v>44725</v>
      </c>
      <c r="C7082" s="1" t="n">
        <v>45810</v>
      </c>
      <c r="D7082" t="inlineStr">
        <is>
          <t>VÄRMLANDS LÄN</t>
        </is>
      </c>
      <c r="E7082" t="inlineStr">
        <is>
          <t>HAGFORS</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24373-2022</t>
        </is>
      </c>
      <c r="B7083" s="1" t="n">
        <v>44726</v>
      </c>
      <c r="C7083" s="1" t="n">
        <v>45810</v>
      </c>
      <c r="D7083" t="inlineStr">
        <is>
          <t>VÄRMLANDS LÄN</t>
        </is>
      </c>
      <c r="E7083" t="inlineStr">
        <is>
          <t>KRISTINEHAMN</t>
        </is>
      </c>
      <c r="F7083" t="inlineStr">
        <is>
          <t>Sveaskog</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24442-2022</t>
        </is>
      </c>
      <c r="B7084" s="1" t="n">
        <v>44726</v>
      </c>
      <c r="C7084" s="1" t="n">
        <v>45810</v>
      </c>
      <c r="D7084" t="inlineStr">
        <is>
          <t>VÄRMLANDS LÄN</t>
        </is>
      </c>
      <c r="E7084" t="inlineStr">
        <is>
          <t>FILIPSTAD</t>
        </is>
      </c>
      <c r="F7084" t="inlineStr">
        <is>
          <t>Bergvik skog väst AB</t>
        </is>
      </c>
      <c r="G7084" t="n">
        <v>30.7</v>
      </c>
      <c r="H7084" t="n">
        <v>0</v>
      </c>
      <c r="I7084" t="n">
        <v>0</v>
      </c>
      <c r="J7084" t="n">
        <v>0</v>
      </c>
      <c r="K7084" t="n">
        <v>0</v>
      </c>
      <c r="L7084" t="n">
        <v>0</v>
      </c>
      <c r="M7084" t="n">
        <v>0</v>
      </c>
      <c r="N7084" t="n">
        <v>0</v>
      </c>
      <c r="O7084" t="n">
        <v>0</v>
      </c>
      <c r="P7084" t="n">
        <v>0</v>
      </c>
      <c r="Q7084" t="n">
        <v>0</v>
      </c>
      <c r="R7084" s="2" t="inlineStr"/>
    </row>
    <row r="7085" ht="15" customHeight="1">
      <c r="A7085" t="inlineStr">
        <is>
          <t>A 24370-2022</t>
        </is>
      </c>
      <c r="B7085" s="1" t="n">
        <v>44726</v>
      </c>
      <c r="C7085" s="1" t="n">
        <v>45810</v>
      </c>
      <c r="D7085" t="inlineStr">
        <is>
          <t>VÄRMLANDS LÄN</t>
        </is>
      </c>
      <c r="E7085" t="inlineStr">
        <is>
          <t>KRISTINEHAMN</t>
        </is>
      </c>
      <c r="F7085" t="inlineStr">
        <is>
          <t>Sveaskog</t>
        </is>
      </c>
      <c r="G7085" t="n">
        <v>2.9</v>
      </c>
      <c r="H7085" t="n">
        <v>0</v>
      </c>
      <c r="I7085" t="n">
        <v>0</v>
      </c>
      <c r="J7085" t="n">
        <v>0</v>
      </c>
      <c r="K7085" t="n">
        <v>0</v>
      </c>
      <c r="L7085" t="n">
        <v>0</v>
      </c>
      <c r="M7085" t="n">
        <v>0</v>
      </c>
      <c r="N7085" t="n">
        <v>0</v>
      </c>
      <c r="O7085" t="n">
        <v>0</v>
      </c>
      <c r="P7085" t="n">
        <v>0</v>
      </c>
      <c r="Q7085" t="n">
        <v>0</v>
      </c>
      <c r="R7085" s="2" t="inlineStr"/>
    </row>
    <row r="7086" ht="15" customHeight="1">
      <c r="A7086" t="inlineStr">
        <is>
          <t>A 24412-2022</t>
        </is>
      </c>
      <c r="B7086" s="1" t="n">
        <v>44726</v>
      </c>
      <c r="C7086" s="1" t="n">
        <v>45810</v>
      </c>
      <c r="D7086" t="inlineStr">
        <is>
          <t>VÄRMLANDS LÄN</t>
        </is>
      </c>
      <c r="E7086" t="inlineStr">
        <is>
          <t>FILIPSTAD</t>
        </is>
      </c>
      <c r="F7086" t="inlineStr">
        <is>
          <t>Bergvik skog väst AB</t>
        </is>
      </c>
      <c r="G7086" t="n">
        <v>13.2</v>
      </c>
      <c r="H7086" t="n">
        <v>0</v>
      </c>
      <c r="I7086" t="n">
        <v>0</v>
      </c>
      <c r="J7086" t="n">
        <v>0</v>
      </c>
      <c r="K7086" t="n">
        <v>0</v>
      </c>
      <c r="L7086" t="n">
        <v>0</v>
      </c>
      <c r="M7086" t="n">
        <v>0</v>
      </c>
      <c r="N7086" t="n">
        <v>0</v>
      </c>
      <c r="O7086" t="n">
        <v>0</v>
      </c>
      <c r="P7086" t="n">
        <v>0</v>
      </c>
      <c r="Q7086" t="n">
        <v>0</v>
      </c>
      <c r="R7086" s="2" t="inlineStr"/>
    </row>
    <row r="7087" ht="15" customHeight="1">
      <c r="A7087" t="inlineStr">
        <is>
          <t>A 24477-2022</t>
        </is>
      </c>
      <c r="B7087" s="1" t="n">
        <v>44726</v>
      </c>
      <c r="C7087" s="1" t="n">
        <v>45810</v>
      </c>
      <c r="D7087" t="inlineStr">
        <is>
          <t>VÄRMLANDS LÄN</t>
        </is>
      </c>
      <c r="E7087" t="inlineStr">
        <is>
          <t>ÅRJÄNG</t>
        </is>
      </c>
      <c r="G7087" t="n">
        <v>2.2</v>
      </c>
      <c r="H7087" t="n">
        <v>0</v>
      </c>
      <c r="I7087" t="n">
        <v>0</v>
      </c>
      <c r="J7087" t="n">
        <v>0</v>
      </c>
      <c r="K7087" t="n">
        <v>0</v>
      </c>
      <c r="L7087" t="n">
        <v>0</v>
      </c>
      <c r="M7087" t="n">
        <v>0</v>
      </c>
      <c r="N7087" t="n">
        <v>0</v>
      </c>
      <c r="O7087" t="n">
        <v>0</v>
      </c>
      <c r="P7087" t="n">
        <v>0</v>
      </c>
      <c r="Q7087" t="n">
        <v>0</v>
      </c>
      <c r="R7087" s="2" t="inlineStr"/>
    </row>
    <row r="7088" ht="15" customHeight="1">
      <c r="A7088" t="inlineStr">
        <is>
          <t>A 24456-2022</t>
        </is>
      </c>
      <c r="B7088" s="1" t="n">
        <v>44726</v>
      </c>
      <c r="C7088" s="1" t="n">
        <v>45810</v>
      </c>
      <c r="D7088" t="inlineStr">
        <is>
          <t>VÄRMLANDS LÄN</t>
        </is>
      </c>
      <c r="E7088" t="inlineStr">
        <is>
          <t>EDA</t>
        </is>
      </c>
      <c r="G7088" t="n">
        <v>2.5</v>
      </c>
      <c r="H7088" t="n">
        <v>0</v>
      </c>
      <c r="I7088" t="n">
        <v>0</v>
      </c>
      <c r="J7088" t="n">
        <v>0</v>
      </c>
      <c r="K7088" t="n">
        <v>0</v>
      </c>
      <c r="L7088" t="n">
        <v>0</v>
      </c>
      <c r="M7088" t="n">
        <v>0</v>
      </c>
      <c r="N7088" t="n">
        <v>0</v>
      </c>
      <c r="O7088" t="n">
        <v>0</v>
      </c>
      <c r="P7088" t="n">
        <v>0</v>
      </c>
      <c r="Q7088" t="n">
        <v>0</v>
      </c>
      <c r="R7088" s="2" t="inlineStr"/>
    </row>
    <row r="7089" ht="15" customHeight="1">
      <c r="A7089" t="inlineStr">
        <is>
          <t>A 24463-2022</t>
        </is>
      </c>
      <c r="B7089" s="1" t="n">
        <v>44726</v>
      </c>
      <c r="C7089" s="1" t="n">
        <v>45810</v>
      </c>
      <c r="D7089" t="inlineStr">
        <is>
          <t>VÄRMLANDS LÄN</t>
        </is>
      </c>
      <c r="E7089" t="inlineStr">
        <is>
          <t>FILIPSTAD</t>
        </is>
      </c>
      <c r="F7089" t="inlineStr">
        <is>
          <t>Bergvik skog väst AB</t>
        </is>
      </c>
      <c r="G7089" t="n">
        <v>2.2</v>
      </c>
      <c r="H7089" t="n">
        <v>0</v>
      </c>
      <c r="I7089" t="n">
        <v>0</v>
      </c>
      <c r="J7089" t="n">
        <v>0</v>
      </c>
      <c r="K7089" t="n">
        <v>0</v>
      </c>
      <c r="L7089" t="n">
        <v>0</v>
      </c>
      <c r="M7089" t="n">
        <v>0</v>
      </c>
      <c r="N7089" t="n">
        <v>0</v>
      </c>
      <c r="O7089" t="n">
        <v>0</v>
      </c>
      <c r="P7089" t="n">
        <v>0</v>
      </c>
      <c r="Q7089" t="n">
        <v>0</v>
      </c>
      <c r="R7089" s="2" t="inlineStr"/>
    </row>
    <row r="7090" ht="15" customHeight="1">
      <c r="A7090" t="inlineStr">
        <is>
          <t>A 24476-2022</t>
        </is>
      </c>
      <c r="B7090" s="1" t="n">
        <v>44726</v>
      </c>
      <c r="C7090" s="1" t="n">
        <v>45810</v>
      </c>
      <c r="D7090" t="inlineStr">
        <is>
          <t>VÄRMLANDS LÄN</t>
        </is>
      </c>
      <c r="E7090" t="inlineStr">
        <is>
          <t>ÅRJÄNG</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24480-2022</t>
        </is>
      </c>
      <c r="B7091" s="1" t="n">
        <v>44726</v>
      </c>
      <c r="C7091" s="1" t="n">
        <v>45810</v>
      </c>
      <c r="D7091" t="inlineStr">
        <is>
          <t>VÄRMLANDS LÄN</t>
        </is>
      </c>
      <c r="E7091" t="inlineStr">
        <is>
          <t>ÅRJÄNG</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24414-2022</t>
        </is>
      </c>
      <c r="B7092" s="1" t="n">
        <v>44726</v>
      </c>
      <c r="C7092" s="1" t="n">
        <v>45810</v>
      </c>
      <c r="D7092" t="inlineStr">
        <is>
          <t>VÄRMLANDS LÄN</t>
        </is>
      </c>
      <c r="E7092" t="inlineStr">
        <is>
          <t>FORSHAGA</t>
        </is>
      </c>
      <c r="G7092" t="n">
        <v>0.6</v>
      </c>
      <c r="H7092" t="n">
        <v>0</v>
      </c>
      <c r="I7092" t="n">
        <v>0</v>
      </c>
      <c r="J7092" t="n">
        <v>0</v>
      </c>
      <c r="K7092" t="n">
        <v>0</v>
      </c>
      <c r="L7092" t="n">
        <v>0</v>
      </c>
      <c r="M7092" t="n">
        <v>0</v>
      </c>
      <c r="N7092" t="n">
        <v>0</v>
      </c>
      <c r="O7092" t="n">
        <v>0</v>
      </c>
      <c r="P7092" t="n">
        <v>0</v>
      </c>
      <c r="Q7092" t="n">
        <v>0</v>
      </c>
      <c r="R7092" s="2" t="inlineStr"/>
    </row>
    <row r="7093" ht="15" customHeight="1">
      <c r="A7093" t="inlineStr">
        <is>
          <t>A 24568-2022</t>
        </is>
      </c>
      <c r="B7093" s="1" t="n">
        <v>44727</v>
      </c>
      <c r="C7093" s="1" t="n">
        <v>45810</v>
      </c>
      <c r="D7093" t="inlineStr">
        <is>
          <t>VÄRMLANDS LÄN</t>
        </is>
      </c>
      <c r="E7093" t="inlineStr">
        <is>
          <t>SUNNE</t>
        </is>
      </c>
      <c r="G7093" t="n">
        <v>2.4</v>
      </c>
      <c r="H7093" t="n">
        <v>0</v>
      </c>
      <c r="I7093" t="n">
        <v>0</v>
      </c>
      <c r="J7093" t="n">
        <v>0</v>
      </c>
      <c r="K7093" t="n">
        <v>0</v>
      </c>
      <c r="L7093" t="n">
        <v>0</v>
      </c>
      <c r="M7093" t="n">
        <v>0</v>
      </c>
      <c r="N7093" t="n">
        <v>0</v>
      </c>
      <c r="O7093" t="n">
        <v>0</v>
      </c>
      <c r="P7093" t="n">
        <v>0</v>
      </c>
      <c r="Q7093" t="n">
        <v>0</v>
      </c>
      <c r="R7093" s="2" t="inlineStr"/>
    </row>
    <row r="7094" ht="15" customHeight="1">
      <c r="A7094" t="inlineStr">
        <is>
          <t>A 24600-2022</t>
        </is>
      </c>
      <c r="B7094" s="1" t="n">
        <v>44727</v>
      </c>
      <c r="C7094" s="1" t="n">
        <v>45810</v>
      </c>
      <c r="D7094" t="inlineStr">
        <is>
          <t>VÄRMLANDS LÄN</t>
        </is>
      </c>
      <c r="E7094" t="inlineStr">
        <is>
          <t>SUNNE</t>
        </is>
      </c>
      <c r="G7094" t="n">
        <v>3.5</v>
      </c>
      <c r="H7094" t="n">
        <v>0</v>
      </c>
      <c r="I7094" t="n">
        <v>0</v>
      </c>
      <c r="J7094" t="n">
        <v>0</v>
      </c>
      <c r="K7094" t="n">
        <v>0</v>
      </c>
      <c r="L7094" t="n">
        <v>0</v>
      </c>
      <c r="M7094" t="n">
        <v>0</v>
      </c>
      <c r="N7094" t="n">
        <v>0</v>
      </c>
      <c r="O7094" t="n">
        <v>0</v>
      </c>
      <c r="P7094" t="n">
        <v>0</v>
      </c>
      <c r="Q7094" t="n">
        <v>0</v>
      </c>
      <c r="R7094" s="2" t="inlineStr"/>
    </row>
    <row r="7095" ht="15" customHeight="1">
      <c r="A7095" t="inlineStr">
        <is>
          <t>A 24582-2022</t>
        </is>
      </c>
      <c r="B7095" s="1" t="n">
        <v>44727</v>
      </c>
      <c r="C7095" s="1" t="n">
        <v>45810</v>
      </c>
      <c r="D7095" t="inlineStr">
        <is>
          <t>VÄRMLANDS LÄN</t>
        </is>
      </c>
      <c r="E7095" t="inlineStr">
        <is>
          <t>SUNNE</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24648-2022</t>
        </is>
      </c>
      <c r="B7096" s="1" t="n">
        <v>44727</v>
      </c>
      <c r="C7096" s="1" t="n">
        <v>45810</v>
      </c>
      <c r="D7096" t="inlineStr">
        <is>
          <t>VÄRMLANDS LÄN</t>
        </is>
      </c>
      <c r="E7096" t="inlineStr">
        <is>
          <t>KARLSTAD</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24567-2022</t>
        </is>
      </c>
      <c r="B7097" s="1" t="n">
        <v>44727</v>
      </c>
      <c r="C7097" s="1" t="n">
        <v>45810</v>
      </c>
      <c r="D7097" t="inlineStr">
        <is>
          <t>VÄRMLANDS LÄN</t>
        </is>
      </c>
      <c r="E7097" t="inlineStr">
        <is>
          <t>MUNKFORS</t>
        </is>
      </c>
      <c r="G7097" t="n">
        <v>2.2</v>
      </c>
      <c r="H7097" t="n">
        <v>0</v>
      </c>
      <c r="I7097" t="n">
        <v>0</v>
      </c>
      <c r="J7097" t="n">
        <v>0</v>
      </c>
      <c r="K7097" t="n">
        <v>0</v>
      </c>
      <c r="L7097" t="n">
        <v>0</v>
      </c>
      <c r="M7097" t="n">
        <v>0</v>
      </c>
      <c r="N7097" t="n">
        <v>0</v>
      </c>
      <c r="O7097" t="n">
        <v>0</v>
      </c>
      <c r="P7097" t="n">
        <v>0</v>
      </c>
      <c r="Q7097" t="n">
        <v>0</v>
      </c>
      <c r="R7097" s="2" t="inlineStr"/>
    </row>
    <row r="7098" ht="15" customHeight="1">
      <c r="A7098" t="inlineStr">
        <is>
          <t>A 24592-2022</t>
        </is>
      </c>
      <c r="B7098" s="1" t="n">
        <v>44727</v>
      </c>
      <c r="C7098" s="1" t="n">
        <v>45810</v>
      </c>
      <c r="D7098" t="inlineStr">
        <is>
          <t>VÄRMLANDS LÄN</t>
        </is>
      </c>
      <c r="E7098" t="inlineStr">
        <is>
          <t>SUNNE</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24566-2022</t>
        </is>
      </c>
      <c r="B7099" s="1" t="n">
        <v>44727</v>
      </c>
      <c r="C7099" s="1" t="n">
        <v>45810</v>
      </c>
      <c r="D7099" t="inlineStr">
        <is>
          <t>VÄRMLANDS LÄN</t>
        </is>
      </c>
      <c r="E7099" t="inlineStr">
        <is>
          <t>MUNKFORS</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24771-2022</t>
        </is>
      </c>
      <c r="B7100" s="1" t="n">
        <v>44728</v>
      </c>
      <c r="C7100" s="1" t="n">
        <v>45810</v>
      </c>
      <c r="D7100" t="inlineStr">
        <is>
          <t>VÄRMLANDS LÄN</t>
        </is>
      </c>
      <c r="E7100" t="inlineStr">
        <is>
          <t>ARVIKA</t>
        </is>
      </c>
      <c r="F7100" t="inlineStr">
        <is>
          <t>Bergvik skog väst AB</t>
        </is>
      </c>
      <c r="G7100" t="n">
        <v>3.6</v>
      </c>
      <c r="H7100" t="n">
        <v>0</v>
      </c>
      <c r="I7100" t="n">
        <v>0</v>
      </c>
      <c r="J7100" t="n">
        <v>0</v>
      </c>
      <c r="K7100" t="n">
        <v>0</v>
      </c>
      <c r="L7100" t="n">
        <v>0</v>
      </c>
      <c r="M7100" t="n">
        <v>0</v>
      </c>
      <c r="N7100" t="n">
        <v>0</v>
      </c>
      <c r="O7100" t="n">
        <v>0</v>
      </c>
      <c r="P7100" t="n">
        <v>0</v>
      </c>
      <c r="Q7100" t="n">
        <v>0</v>
      </c>
      <c r="R7100" s="2" t="inlineStr"/>
    </row>
    <row r="7101" ht="15" customHeight="1">
      <c r="A7101" t="inlineStr">
        <is>
          <t>A 24846-2022</t>
        </is>
      </c>
      <c r="B7101" s="1" t="n">
        <v>44728</v>
      </c>
      <c r="C7101" s="1" t="n">
        <v>45810</v>
      </c>
      <c r="D7101" t="inlineStr">
        <is>
          <t>VÄRMLANDS LÄN</t>
        </is>
      </c>
      <c r="E7101" t="inlineStr">
        <is>
          <t>STORFORS</t>
        </is>
      </c>
      <c r="G7101" t="n">
        <v>2</v>
      </c>
      <c r="H7101" t="n">
        <v>0</v>
      </c>
      <c r="I7101" t="n">
        <v>0</v>
      </c>
      <c r="J7101" t="n">
        <v>0</v>
      </c>
      <c r="K7101" t="n">
        <v>0</v>
      </c>
      <c r="L7101" t="n">
        <v>0</v>
      </c>
      <c r="M7101" t="n">
        <v>0</v>
      </c>
      <c r="N7101" t="n">
        <v>0</v>
      </c>
      <c r="O7101" t="n">
        <v>0</v>
      </c>
      <c r="P7101" t="n">
        <v>0</v>
      </c>
      <c r="Q7101" t="n">
        <v>0</v>
      </c>
      <c r="R7101" s="2" t="inlineStr"/>
    </row>
    <row r="7102" ht="15" customHeight="1">
      <c r="A7102" t="inlineStr">
        <is>
          <t>A 24852-2022</t>
        </is>
      </c>
      <c r="B7102" s="1" t="n">
        <v>44728</v>
      </c>
      <c r="C7102" s="1" t="n">
        <v>45810</v>
      </c>
      <c r="D7102" t="inlineStr">
        <is>
          <t>VÄRMLANDS LÄN</t>
        </is>
      </c>
      <c r="E7102" t="inlineStr">
        <is>
          <t>ÅRJÄNG</t>
        </is>
      </c>
      <c r="G7102" t="n">
        <v>5.6</v>
      </c>
      <c r="H7102" t="n">
        <v>0</v>
      </c>
      <c r="I7102" t="n">
        <v>0</v>
      </c>
      <c r="J7102" t="n">
        <v>0</v>
      </c>
      <c r="K7102" t="n">
        <v>0</v>
      </c>
      <c r="L7102" t="n">
        <v>0</v>
      </c>
      <c r="M7102" t="n">
        <v>0</v>
      </c>
      <c r="N7102" t="n">
        <v>0</v>
      </c>
      <c r="O7102" t="n">
        <v>0</v>
      </c>
      <c r="P7102" t="n">
        <v>0</v>
      </c>
      <c r="Q7102" t="n">
        <v>0</v>
      </c>
      <c r="R7102" s="2" t="inlineStr"/>
    </row>
    <row r="7103" ht="15" customHeight="1">
      <c r="A7103" t="inlineStr">
        <is>
          <t>A 24874-2022</t>
        </is>
      </c>
      <c r="B7103" s="1" t="n">
        <v>44728</v>
      </c>
      <c r="C7103" s="1" t="n">
        <v>45810</v>
      </c>
      <c r="D7103" t="inlineStr">
        <is>
          <t>VÄRMLANDS LÄN</t>
        </is>
      </c>
      <c r="E7103" t="inlineStr">
        <is>
          <t>ÅRJÄNG</t>
        </is>
      </c>
      <c r="G7103" t="n">
        <v>2.6</v>
      </c>
      <c r="H7103" t="n">
        <v>0</v>
      </c>
      <c r="I7103" t="n">
        <v>0</v>
      </c>
      <c r="J7103" t="n">
        <v>0</v>
      </c>
      <c r="K7103" t="n">
        <v>0</v>
      </c>
      <c r="L7103" t="n">
        <v>0</v>
      </c>
      <c r="M7103" t="n">
        <v>0</v>
      </c>
      <c r="N7103" t="n">
        <v>0</v>
      </c>
      <c r="O7103" t="n">
        <v>0</v>
      </c>
      <c r="P7103" t="n">
        <v>0</v>
      </c>
      <c r="Q7103" t="n">
        <v>0</v>
      </c>
      <c r="R7103" s="2" t="inlineStr"/>
    </row>
    <row r="7104" ht="15" customHeight="1">
      <c r="A7104" t="inlineStr">
        <is>
          <t>A 24960-2022</t>
        </is>
      </c>
      <c r="B7104" s="1" t="n">
        <v>44728</v>
      </c>
      <c r="C7104" s="1" t="n">
        <v>45810</v>
      </c>
      <c r="D7104" t="inlineStr">
        <is>
          <t>VÄRMLANDS LÄN</t>
        </is>
      </c>
      <c r="E7104" t="inlineStr">
        <is>
          <t>TORSBY</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24894-2022</t>
        </is>
      </c>
      <c r="B7105" s="1" t="n">
        <v>44728</v>
      </c>
      <c r="C7105" s="1" t="n">
        <v>45810</v>
      </c>
      <c r="D7105" t="inlineStr">
        <is>
          <t>VÄRMLANDS LÄN</t>
        </is>
      </c>
      <c r="E7105" t="inlineStr">
        <is>
          <t>ARVIKA</t>
        </is>
      </c>
      <c r="G7105" t="n">
        <v>8.5</v>
      </c>
      <c r="H7105" t="n">
        <v>0</v>
      </c>
      <c r="I7105" t="n">
        <v>0</v>
      </c>
      <c r="J7105" t="n">
        <v>0</v>
      </c>
      <c r="K7105" t="n">
        <v>0</v>
      </c>
      <c r="L7105" t="n">
        <v>0</v>
      </c>
      <c r="M7105" t="n">
        <v>0</v>
      </c>
      <c r="N7105" t="n">
        <v>0</v>
      </c>
      <c r="O7105" t="n">
        <v>0</v>
      </c>
      <c r="P7105" t="n">
        <v>0</v>
      </c>
      <c r="Q7105" t="n">
        <v>0</v>
      </c>
      <c r="R7105" s="2" t="inlineStr"/>
    </row>
    <row r="7106" ht="15" customHeight="1">
      <c r="A7106" t="inlineStr">
        <is>
          <t>A 27319-2022</t>
        </is>
      </c>
      <c r="B7106" s="1" t="n">
        <v>44728</v>
      </c>
      <c r="C7106" s="1" t="n">
        <v>45810</v>
      </c>
      <c r="D7106" t="inlineStr">
        <is>
          <t>VÄRMLANDS LÄN</t>
        </is>
      </c>
      <c r="E7106" t="inlineStr">
        <is>
          <t>ARVIKA</t>
        </is>
      </c>
      <c r="G7106" t="n">
        <v>4.5</v>
      </c>
      <c r="H7106" t="n">
        <v>0</v>
      </c>
      <c r="I7106" t="n">
        <v>0</v>
      </c>
      <c r="J7106" t="n">
        <v>0</v>
      </c>
      <c r="K7106" t="n">
        <v>0</v>
      </c>
      <c r="L7106" t="n">
        <v>0</v>
      </c>
      <c r="M7106" t="n">
        <v>0</v>
      </c>
      <c r="N7106" t="n">
        <v>0</v>
      </c>
      <c r="O7106" t="n">
        <v>0</v>
      </c>
      <c r="P7106" t="n">
        <v>0</v>
      </c>
      <c r="Q7106" t="n">
        <v>0</v>
      </c>
      <c r="R7106" s="2" t="inlineStr"/>
    </row>
    <row r="7107" ht="15" customHeight="1">
      <c r="A7107" t="inlineStr">
        <is>
          <t>A 27311-2022</t>
        </is>
      </c>
      <c r="B7107" s="1" t="n">
        <v>44728</v>
      </c>
      <c r="C7107" s="1" t="n">
        <v>45810</v>
      </c>
      <c r="D7107" t="inlineStr">
        <is>
          <t>VÄRMLANDS LÄN</t>
        </is>
      </c>
      <c r="E7107" t="inlineStr">
        <is>
          <t>ÅRJÄNG</t>
        </is>
      </c>
      <c r="G7107" t="n">
        <v>3.5</v>
      </c>
      <c r="H7107" t="n">
        <v>0</v>
      </c>
      <c r="I7107" t="n">
        <v>0</v>
      </c>
      <c r="J7107" t="n">
        <v>0</v>
      </c>
      <c r="K7107" t="n">
        <v>0</v>
      </c>
      <c r="L7107" t="n">
        <v>0</v>
      </c>
      <c r="M7107" t="n">
        <v>0</v>
      </c>
      <c r="N7107" t="n">
        <v>0</v>
      </c>
      <c r="O7107" t="n">
        <v>0</v>
      </c>
      <c r="P7107" t="n">
        <v>0</v>
      </c>
      <c r="Q7107" t="n">
        <v>0</v>
      </c>
      <c r="R7107" s="2" t="inlineStr"/>
    </row>
    <row r="7108" ht="15" customHeight="1">
      <c r="A7108" t="inlineStr">
        <is>
          <t>A 25061-2022</t>
        </is>
      </c>
      <c r="B7108" s="1" t="n">
        <v>44729</v>
      </c>
      <c r="C7108" s="1" t="n">
        <v>45810</v>
      </c>
      <c r="D7108" t="inlineStr">
        <is>
          <t>VÄRMLANDS LÄN</t>
        </is>
      </c>
      <c r="E7108" t="inlineStr">
        <is>
          <t>ARVIKA</t>
        </is>
      </c>
      <c r="F7108" t="inlineStr">
        <is>
          <t>Bergvik skog väst AB</t>
        </is>
      </c>
      <c r="G7108" t="n">
        <v>7.2</v>
      </c>
      <c r="H7108" t="n">
        <v>0</v>
      </c>
      <c r="I7108" t="n">
        <v>0</v>
      </c>
      <c r="J7108" t="n">
        <v>0</v>
      </c>
      <c r="K7108" t="n">
        <v>0</v>
      </c>
      <c r="L7108" t="n">
        <v>0</v>
      </c>
      <c r="M7108" t="n">
        <v>0</v>
      </c>
      <c r="N7108" t="n">
        <v>0</v>
      </c>
      <c r="O7108" t="n">
        <v>0</v>
      </c>
      <c r="P7108" t="n">
        <v>0</v>
      </c>
      <c r="Q7108" t="n">
        <v>0</v>
      </c>
      <c r="R7108" s="2" t="inlineStr"/>
    </row>
    <row r="7109" ht="15" customHeight="1">
      <c r="A7109" t="inlineStr">
        <is>
          <t>A 25186-2022</t>
        </is>
      </c>
      <c r="B7109" s="1" t="n">
        <v>44729</v>
      </c>
      <c r="C7109" s="1" t="n">
        <v>45810</v>
      </c>
      <c r="D7109" t="inlineStr">
        <is>
          <t>VÄRMLANDS LÄN</t>
        </is>
      </c>
      <c r="E7109" t="inlineStr">
        <is>
          <t>ARVIKA</t>
        </is>
      </c>
      <c r="F7109" t="inlineStr">
        <is>
          <t>Bergvik skog väst AB</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25333-2022</t>
        </is>
      </c>
      <c r="B7110" s="1" t="n">
        <v>44731</v>
      </c>
      <c r="C7110" s="1" t="n">
        <v>45810</v>
      </c>
      <c r="D7110" t="inlineStr">
        <is>
          <t>VÄRMLANDS LÄN</t>
        </is>
      </c>
      <c r="E7110" t="inlineStr">
        <is>
          <t>ARVIKA</t>
        </is>
      </c>
      <c r="F7110" t="inlineStr">
        <is>
          <t>Bergvik skog väst AB</t>
        </is>
      </c>
      <c r="G7110" t="n">
        <v>4.1</v>
      </c>
      <c r="H7110" t="n">
        <v>0</v>
      </c>
      <c r="I7110" t="n">
        <v>0</v>
      </c>
      <c r="J7110" t="n">
        <v>0</v>
      </c>
      <c r="K7110" t="n">
        <v>0</v>
      </c>
      <c r="L7110" t="n">
        <v>0</v>
      </c>
      <c r="M7110" t="n">
        <v>0</v>
      </c>
      <c r="N7110" t="n">
        <v>0</v>
      </c>
      <c r="O7110" t="n">
        <v>0</v>
      </c>
      <c r="P7110" t="n">
        <v>0</v>
      </c>
      <c r="Q7110" t="n">
        <v>0</v>
      </c>
      <c r="R7110" s="2" t="inlineStr"/>
    </row>
    <row r="7111" ht="15" customHeight="1">
      <c r="A7111" t="inlineStr">
        <is>
          <t>A 25360-2022</t>
        </is>
      </c>
      <c r="B7111" s="1" t="n">
        <v>44732</v>
      </c>
      <c r="C7111" s="1" t="n">
        <v>45810</v>
      </c>
      <c r="D7111" t="inlineStr">
        <is>
          <t>VÄRMLANDS LÄN</t>
        </is>
      </c>
      <c r="E7111" t="inlineStr">
        <is>
          <t>ARVIKA</t>
        </is>
      </c>
      <c r="F7111" t="inlineStr">
        <is>
          <t>Bergvik skog väst AB</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25694-2022</t>
        </is>
      </c>
      <c r="B7112" s="1" t="n">
        <v>44732</v>
      </c>
      <c r="C7112" s="1" t="n">
        <v>45810</v>
      </c>
      <c r="D7112" t="inlineStr">
        <is>
          <t>VÄRMLANDS LÄN</t>
        </is>
      </c>
      <c r="E7112" t="inlineStr">
        <is>
          <t>GRUMS</t>
        </is>
      </c>
      <c r="G7112" t="n">
        <v>2</v>
      </c>
      <c r="H7112" t="n">
        <v>0</v>
      </c>
      <c r="I7112" t="n">
        <v>0</v>
      </c>
      <c r="J7112" t="n">
        <v>0</v>
      </c>
      <c r="K7112" t="n">
        <v>0</v>
      </c>
      <c r="L7112" t="n">
        <v>0</v>
      </c>
      <c r="M7112" t="n">
        <v>0</v>
      </c>
      <c r="N7112" t="n">
        <v>0</v>
      </c>
      <c r="O7112" t="n">
        <v>0</v>
      </c>
      <c r="P7112" t="n">
        <v>0</v>
      </c>
      <c r="Q7112" t="n">
        <v>0</v>
      </c>
      <c r="R7112" s="2" t="inlineStr"/>
    </row>
    <row r="7113" ht="15" customHeight="1">
      <c r="A7113" t="inlineStr">
        <is>
          <t>A 25537-2022</t>
        </is>
      </c>
      <c r="B7113" s="1" t="n">
        <v>44732</v>
      </c>
      <c r="C7113" s="1" t="n">
        <v>45810</v>
      </c>
      <c r="D7113" t="inlineStr">
        <is>
          <t>VÄRMLANDS LÄN</t>
        </is>
      </c>
      <c r="E7113" t="inlineStr">
        <is>
          <t>TORSBY</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25616-2022</t>
        </is>
      </c>
      <c r="B7114" s="1" t="n">
        <v>44732</v>
      </c>
      <c r="C7114" s="1" t="n">
        <v>45810</v>
      </c>
      <c r="D7114" t="inlineStr">
        <is>
          <t>VÄRMLANDS LÄN</t>
        </is>
      </c>
      <c r="E7114" t="inlineStr">
        <is>
          <t>SUNNE</t>
        </is>
      </c>
      <c r="G7114" t="n">
        <v>3.1</v>
      </c>
      <c r="H7114" t="n">
        <v>0</v>
      </c>
      <c r="I7114" t="n">
        <v>0</v>
      </c>
      <c r="J7114" t="n">
        <v>0</v>
      </c>
      <c r="K7114" t="n">
        <v>0</v>
      </c>
      <c r="L7114" t="n">
        <v>0</v>
      </c>
      <c r="M7114" t="n">
        <v>0</v>
      </c>
      <c r="N7114" t="n">
        <v>0</v>
      </c>
      <c r="O7114" t="n">
        <v>0</v>
      </c>
      <c r="P7114" t="n">
        <v>0</v>
      </c>
      <c r="Q7114" t="n">
        <v>0</v>
      </c>
      <c r="R7114" s="2" t="inlineStr"/>
    </row>
    <row r="7115" ht="15" customHeight="1">
      <c r="A7115" t="inlineStr">
        <is>
          <t>A 25686-2022</t>
        </is>
      </c>
      <c r="B7115" s="1" t="n">
        <v>44733</v>
      </c>
      <c r="C7115" s="1" t="n">
        <v>45810</v>
      </c>
      <c r="D7115" t="inlineStr">
        <is>
          <t>VÄRMLANDS LÄN</t>
        </is>
      </c>
      <c r="E7115" t="inlineStr">
        <is>
          <t>EDA</t>
        </is>
      </c>
      <c r="G7115" t="n">
        <v>2.4</v>
      </c>
      <c r="H7115" t="n">
        <v>0</v>
      </c>
      <c r="I7115" t="n">
        <v>0</v>
      </c>
      <c r="J7115" t="n">
        <v>0</v>
      </c>
      <c r="K7115" t="n">
        <v>0</v>
      </c>
      <c r="L7115" t="n">
        <v>0</v>
      </c>
      <c r="M7115" t="n">
        <v>0</v>
      </c>
      <c r="N7115" t="n">
        <v>0</v>
      </c>
      <c r="O7115" t="n">
        <v>0</v>
      </c>
      <c r="P7115" t="n">
        <v>0</v>
      </c>
      <c r="Q7115" t="n">
        <v>0</v>
      </c>
      <c r="R7115" s="2" t="inlineStr"/>
    </row>
    <row r="7116" ht="15" customHeight="1">
      <c r="A7116" t="inlineStr">
        <is>
          <t>A 25824-2022</t>
        </is>
      </c>
      <c r="B7116" s="1" t="n">
        <v>44733</v>
      </c>
      <c r="C7116" s="1" t="n">
        <v>45810</v>
      </c>
      <c r="D7116" t="inlineStr">
        <is>
          <t>VÄRMLANDS LÄN</t>
        </is>
      </c>
      <c r="E7116" t="inlineStr">
        <is>
          <t>STORFORS</t>
        </is>
      </c>
      <c r="F7116" t="inlineStr">
        <is>
          <t>Bergvik skog väst AB</t>
        </is>
      </c>
      <c r="G7116" t="n">
        <v>2.1</v>
      </c>
      <c r="H7116" t="n">
        <v>0</v>
      </c>
      <c r="I7116" t="n">
        <v>0</v>
      </c>
      <c r="J7116" t="n">
        <v>0</v>
      </c>
      <c r="K7116" t="n">
        <v>0</v>
      </c>
      <c r="L7116" t="n">
        <v>0</v>
      </c>
      <c r="M7116" t="n">
        <v>0</v>
      </c>
      <c r="N7116" t="n">
        <v>0</v>
      </c>
      <c r="O7116" t="n">
        <v>0</v>
      </c>
      <c r="P7116" t="n">
        <v>0</v>
      </c>
      <c r="Q7116" t="n">
        <v>0</v>
      </c>
      <c r="R7116" s="2" t="inlineStr"/>
    </row>
    <row r="7117" ht="15" customHeight="1">
      <c r="A7117" t="inlineStr">
        <is>
          <t>A 25767-2022</t>
        </is>
      </c>
      <c r="B7117" s="1" t="n">
        <v>44733</v>
      </c>
      <c r="C7117" s="1" t="n">
        <v>45810</v>
      </c>
      <c r="D7117" t="inlineStr">
        <is>
          <t>VÄRMLANDS LÄN</t>
        </is>
      </c>
      <c r="E7117" t="inlineStr">
        <is>
          <t>KIL</t>
        </is>
      </c>
      <c r="F7117" t="inlineStr">
        <is>
          <t>Bergvik skog väst AB</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25829-2022</t>
        </is>
      </c>
      <c r="B7118" s="1" t="n">
        <v>44733</v>
      </c>
      <c r="C7118" s="1" t="n">
        <v>45810</v>
      </c>
      <c r="D7118" t="inlineStr">
        <is>
          <t>VÄRMLANDS LÄN</t>
        </is>
      </c>
      <c r="E7118" t="inlineStr">
        <is>
          <t>KARLSTAD</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25841-2022</t>
        </is>
      </c>
      <c r="B7119" s="1" t="n">
        <v>44733</v>
      </c>
      <c r="C7119" s="1" t="n">
        <v>45810</v>
      </c>
      <c r="D7119" t="inlineStr">
        <is>
          <t>VÄRMLANDS LÄN</t>
        </is>
      </c>
      <c r="E7119" t="inlineStr">
        <is>
          <t>KIL</t>
        </is>
      </c>
      <c r="F7119" t="inlineStr">
        <is>
          <t>Bergvik skog väst AB</t>
        </is>
      </c>
      <c r="G7119" t="n">
        <v>2.1</v>
      </c>
      <c r="H7119" t="n">
        <v>0</v>
      </c>
      <c r="I7119" t="n">
        <v>0</v>
      </c>
      <c r="J7119" t="n">
        <v>0</v>
      </c>
      <c r="K7119" t="n">
        <v>0</v>
      </c>
      <c r="L7119" t="n">
        <v>0</v>
      </c>
      <c r="M7119" t="n">
        <v>0</v>
      </c>
      <c r="N7119" t="n">
        <v>0</v>
      </c>
      <c r="O7119" t="n">
        <v>0</v>
      </c>
      <c r="P7119" t="n">
        <v>0</v>
      </c>
      <c r="Q7119" t="n">
        <v>0</v>
      </c>
      <c r="R7119" s="2" t="inlineStr"/>
    </row>
    <row r="7120" ht="15" customHeight="1">
      <c r="A7120" t="inlineStr">
        <is>
          <t>A 25874-2022</t>
        </is>
      </c>
      <c r="B7120" s="1" t="n">
        <v>44733</v>
      </c>
      <c r="C7120" s="1" t="n">
        <v>45810</v>
      </c>
      <c r="D7120" t="inlineStr">
        <is>
          <t>VÄRMLANDS LÄN</t>
        </is>
      </c>
      <c r="E7120" t="inlineStr">
        <is>
          <t>ÅRJÄNG</t>
        </is>
      </c>
      <c r="F7120" t="inlineStr">
        <is>
          <t>Bergvik skog väst AB</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25947-2022</t>
        </is>
      </c>
      <c r="B7121" s="1" t="n">
        <v>44734</v>
      </c>
      <c r="C7121" s="1" t="n">
        <v>45810</v>
      </c>
      <c r="D7121" t="inlineStr">
        <is>
          <t>VÄRMLANDS LÄN</t>
        </is>
      </c>
      <c r="E7121" t="inlineStr">
        <is>
          <t>SÄFFLE</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25970-2022</t>
        </is>
      </c>
      <c r="B7122" s="1" t="n">
        <v>44734</v>
      </c>
      <c r="C7122" s="1" t="n">
        <v>45810</v>
      </c>
      <c r="D7122" t="inlineStr">
        <is>
          <t>VÄRMLANDS LÄN</t>
        </is>
      </c>
      <c r="E7122" t="inlineStr">
        <is>
          <t>GRUMS</t>
        </is>
      </c>
      <c r="G7122" t="n">
        <v>2.1</v>
      </c>
      <c r="H7122" t="n">
        <v>0</v>
      </c>
      <c r="I7122" t="n">
        <v>0</v>
      </c>
      <c r="J7122" t="n">
        <v>0</v>
      </c>
      <c r="K7122" t="n">
        <v>0</v>
      </c>
      <c r="L7122" t="n">
        <v>0</v>
      </c>
      <c r="M7122" t="n">
        <v>0</v>
      </c>
      <c r="N7122" t="n">
        <v>0</v>
      </c>
      <c r="O7122" t="n">
        <v>0</v>
      </c>
      <c r="P7122" t="n">
        <v>0</v>
      </c>
      <c r="Q7122" t="n">
        <v>0</v>
      </c>
      <c r="R7122" s="2" t="inlineStr"/>
    </row>
    <row r="7123" ht="15" customHeight="1">
      <c r="A7123" t="inlineStr">
        <is>
          <t>A 26042-2022</t>
        </is>
      </c>
      <c r="B7123" s="1" t="n">
        <v>44734</v>
      </c>
      <c r="C7123" s="1" t="n">
        <v>45810</v>
      </c>
      <c r="D7123" t="inlineStr">
        <is>
          <t>VÄRMLANDS LÄN</t>
        </is>
      </c>
      <c r="E7123" t="inlineStr">
        <is>
          <t>KRISTINEHAMN</t>
        </is>
      </c>
      <c r="G7123" t="n">
        <v>1.8</v>
      </c>
      <c r="H7123" t="n">
        <v>0</v>
      </c>
      <c r="I7123" t="n">
        <v>0</v>
      </c>
      <c r="J7123" t="n">
        <v>0</v>
      </c>
      <c r="K7123" t="n">
        <v>0</v>
      </c>
      <c r="L7123" t="n">
        <v>0</v>
      </c>
      <c r="M7123" t="n">
        <v>0</v>
      </c>
      <c r="N7123" t="n">
        <v>0</v>
      </c>
      <c r="O7123" t="n">
        <v>0</v>
      </c>
      <c r="P7123" t="n">
        <v>0</v>
      </c>
      <c r="Q7123" t="n">
        <v>0</v>
      </c>
      <c r="R7123" s="2" t="inlineStr"/>
    </row>
    <row r="7124" ht="15" customHeight="1">
      <c r="A7124" t="inlineStr">
        <is>
          <t>A 26053-2022</t>
        </is>
      </c>
      <c r="B7124" s="1" t="n">
        <v>44734</v>
      </c>
      <c r="C7124" s="1" t="n">
        <v>45810</v>
      </c>
      <c r="D7124" t="inlineStr">
        <is>
          <t>VÄRMLANDS LÄN</t>
        </is>
      </c>
      <c r="E7124" t="inlineStr">
        <is>
          <t>FORSHAGA</t>
        </is>
      </c>
      <c r="G7124" t="n">
        <v>2.7</v>
      </c>
      <c r="H7124" t="n">
        <v>0</v>
      </c>
      <c r="I7124" t="n">
        <v>0</v>
      </c>
      <c r="J7124" t="n">
        <v>0</v>
      </c>
      <c r="K7124" t="n">
        <v>0</v>
      </c>
      <c r="L7124" t="n">
        <v>0</v>
      </c>
      <c r="M7124" t="n">
        <v>0</v>
      </c>
      <c r="N7124" t="n">
        <v>0</v>
      </c>
      <c r="O7124" t="n">
        <v>0</v>
      </c>
      <c r="P7124" t="n">
        <v>0</v>
      </c>
      <c r="Q7124" t="n">
        <v>0</v>
      </c>
      <c r="R7124" s="2" t="inlineStr"/>
    </row>
    <row r="7125" ht="15" customHeight="1">
      <c r="A7125" t="inlineStr">
        <is>
          <t>A 26045-2022</t>
        </is>
      </c>
      <c r="B7125" s="1" t="n">
        <v>44734</v>
      </c>
      <c r="C7125" s="1" t="n">
        <v>45810</v>
      </c>
      <c r="D7125" t="inlineStr">
        <is>
          <t>VÄRMLANDS LÄN</t>
        </is>
      </c>
      <c r="E7125" t="inlineStr">
        <is>
          <t>KRISTINEHAMN</t>
        </is>
      </c>
      <c r="G7125" t="n">
        <v>0.5</v>
      </c>
      <c r="H7125" t="n">
        <v>0</v>
      </c>
      <c r="I7125" t="n">
        <v>0</v>
      </c>
      <c r="J7125" t="n">
        <v>0</v>
      </c>
      <c r="K7125" t="n">
        <v>0</v>
      </c>
      <c r="L7125" t="n">
        <v>0</v>
      </c>
      <c r="M7125" t="n">
        <v>0</v>
      </c>
      <c r="N7125" t="n">
        <v>0</v>
      </c>
      <c r="O7125" t="n">
        <v>0</v>
      </c>
      <c r="P7125" t="n">
        <v>0</v>
      </c>
      <c r="Q7125" t="n">
        <v>0</v>
      </c>
      <c r="R7125" s="2" t="inlineStr"/>
    </row>
    <row r="7126" ht="15" customHeight="1">
      <c r="A7126" t="inlineStr">
        <is>
          <t>A 26090-2022</t>
        </is>
      </c>
      <c r="B7126" s="1" t="n">
        <v>44734</v>
      </c>
      <c r="C7126" s="1" t="n">
        <v>45810</v>
      </c>
      <c r="D7126" t="inlineStr">
        <is>
          <t>VÄRMLANDS LÄN</t>
        </is>
      </c>
      <c r="E7126" t="inlineStr">
        <is>
          <t>ARVIKA</t>
        </is>
      </c>
      <c r="G7126" t="n">
        <v>1.4</v>
      </c>
      <c r="H7126" t="n">
        <v>0</v>
      </c>
      <c r="I7126" t="n">
        <v>0</v>
      </c>
      <c r="J7126" t="n">
        <v>0</v>
      </c>
      <c r="K7126" t="n">
        <v>0</v>
      </c>
      <c r="L7126" t="n">
        <v>0</v>
      </c>
      <c r="M7126" t="n">
        <v>0</v>
      </c>
      <c r="N7126" t="n">
        <v>0</v>
      </c>
      <c r="O7126" t="n">
        <v>0</v>
      </c>
      <c r="P7126" t="n">
        <v>0</v>
      </c>
      <c r="Q7126" t="n">
        <v>0</v>
      </c>
      <c r="R7126" s="2" t="inlineStr"/>
    </row>
    <row r="7127" ht="15" customHeight="1">
      <c r="A7127" t="inlineStr">
        <is>
          <t>A 26154-2022</t>
        </is>
      </c>
      <c r="B7127" s="1" t="n">
        <v>44735</v>
      </c>
      <c r="C7127" s="1" t="n">
        <v>45810</v>
      </c>
      <c r="D7127" t="inlineStr">
        <is>
          <t>VÄRMLANDS LÄN</t>
        </is>
      </c>
      <c r="E7127" t="inlineStr">
        <is>
          <t>FORSHAGA</t>
        </is>
      </c>
      <c r="F7127" t="inlineStr">
        <is>
          <t>Bergvik skog väst AB</t>
        </is>
      </c>
      <c r="G7127" t="n">
        <v>0.3</v>
      </c>
      <c r="H7127" t="n">
        <v>0</v>
      </c>
      <c r="I7127" t="n">
        <v>0</v>
      </c>
      <c r="J7127" t="n">
        <v>0</v>
      </c>
      <c r="K7127" t="n">
        <v>0</v>
      </c>
      <c r="L7127" t="n">
        <v>0</v>
      </c>
      <c r="M7127" t="n">
        <v>0</v>
      </c>
      <c r="N7127" t="n">
        <v>0</v>
      </c>
      <c r="O7127" t="n">
        <v>0</v>
      </c>
      <c r="P7127" t="n">
        <v>0</v>
      </c>
      <c r="Q7127" t="n">
        <v>0</v>
      </c>
      <c r="R7127" s="2" t="inlineStr"/>
    </row>
    <row r="7128" ht="15" customHeight="1">
      <c r="A7128" t="inlineStr">
        <is>
          <t>A 26295-2022</t>
        </is>
      </c>
      <c r="B7128" s="1" t="n">
        <v>44735</v>
      </c>
      <c r="C7128" s="1" t="n">
        <v>45810</v>
      </c>
      <c r="D7128" t="inlineStr">
        <is>
          <t>VÄRMLANDS LÄN</t>
        </is>
      </c>
      <c r="E7128" t="inlineStr">
        <is>
          <t>SÄFFLE</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26270-2022</t>
        </is>
      </c>
      <c r="B7129" s="1" t="n">
        <v>44735</v>
      </c>
      <c r="C7129" s="1" t="n">
        <v>45810</v>
      </c>
      <c r="D7129" t="inlineStr">
        <is>
          <t>VÄRMLANDS LÄN</t>
        </is>
      </c>
      <c r="E7129" t="inlineStr">
        <is>
          <t>KIL</t>
        </is>
      </c>
      <c r="G7129" t="n">
        <v>2.2</v>
      </c>
      <c r="H7129" t="n">
        <v>0</v>
      </c>
      <c r="I7129" t="n">
        <v>0</v>
      </c>
      <c r="J7129" t="n">
        <v>0</v>
      </c>
      <c r="K7129" t="n">
        <v>0</v>
      </c>
      <c r="L7129" t="n">
        <v>0</v>
      </c>
      <c r="M7129" t="n">
        <v>0</v>
      </c>
      <c r="N7129" t="n">
        <v>0</v>
      </c>
      <c r="O7129" t="n">
        <v>0</v>
      </c>
      <c r="P7129" t="n">
        <v>0</v>
      </c>
      <c r="Q7129" t="n">
        <v>0</v>
      </c>
      <c r="R7129" s="2" t="inlineStr"/>
    </row>
    <row r="7130" ht="15" customHeight="1">
      <c r="A7130" t="inlineStr">
        <is>
          <t>A 26261-2022</t>
        </is>
      </c>
      <c r="B7130" s="1" t="n">
        <v>44735</v>
      </c>
      <c r="C7130" s="1" t="n">
        <v>45810</v>
      </c>
      <c r="D7130" t="inlineStr">
        <is>
          <t>VÄRMLANDS LÄN</t>
        </is>
      </c>
      <c r="E7130" t="inlineStr">
        <is>
          <t>ARVIKA</t>
        </is>
      </c>
      <c r="F7130" t="inlineStr">
        <is>
          <t>Bergvik skog väst AB</t>
        </is>
      </c>
      <c r="G7130" t="n">
        <v>6.9</v>
      </c>
      <c r="H7130" t="n">
        <v>0</v>
      </c>
      <c r="I7130" t="n">
        <v>0</v>
      </c>
      <c r="J7130" t="n">
        <v>0</v>
      </c>
      <c r="K7130" t="n">
        <v>0</v>
      </c>
      <c r="L7130" t="n">
        <v>0</v>
      </c>
      <c r="M7130" t="n">
        <v>0</v>
      </c>
      <c r="N7130" t="n">
        <v>0</v>
      </c>
      <c r="O7130" t="n">
        <v>0</v>
      </c>
      <c r="P7130" t="n">
        <v>0</v>
      </c>
      <c r="Q7130" t="n">
        <v>0</v>
      </c>
      <c r="R7130" s="2" t="inlineStr"/>
    </row>
    <row r="7131" ht="15" customHeight="1">
      <c r="A7131" t="inlineStr">
        <is>
          <t>A 26323-2022</t>
        </is>
      </c>
      <c r="B7131" s="1" t="n">
        <v>44735</v>
      </c>
      <c r="C7131" s="1" t="n">
        <v>45810</v>
      </c>
      <c r="D7131" t="inlineStr">
        <is>
          <t>VÄRMLANDS LÄN</t>
        </is>
      </c>
      <c r="E7131" t="inlineStr">
        <is>
          <t>KARLSTAD</t>
        </is>
      </c>
      <c r="G7131" t="n">
        <v>2.3</v>
      </c>
      <c r="H7131" t="n">
        <v>0</v>
      </c>
      <c r="I7131" t="n">
        <v>0</v>
      </c>
      <c r="J7131" t="n">
        <v>0</v>
      </c>
      <c r="K7131" t="n">
        <v>0</v>
      </c>
      <c r="L7131" t="n">
        <v>0</v>
      </c>
      <c r="M7131" t="n">
        <v>0</v>
      </c>
      <c r="N7131" t="n">
        <v>0</v>
      </c>
      <c r="O7131" t="n">
        <v>0</v>
      </c>
      <c r="P7131" t="n">
        <v>0</v>
      </c>
      <c r="Q7131" t="n">
        <v>0</v>
      </c>
      <c r="R7131" s="2" t="inlineStr"/>
    </row>
    <row r="7132" ht="15" customHeight="1">
      <c r="A7132" t="inlineStr">
        <is>
          <t>A 26201-2022</t>
        </is>
      </c>
      <c r="B7132" s="1" t="n">
        <v>44735</v>
      </c>
      <c r="C7132" s="1" t="n">
        <v>45810</v>
      </c>
      <c r="D7132" t="inlineStr">
        <is>
          <t>VÄRMLANDS LÄN</t>
        </is>
      </c>
      <c r="E7132" t="inlineStr">
        <is>
          <t>SÄFFLE</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26362-2022</t>
        </is>
      </c>
      <c r="B7133" s="1" t="n">
        <v>44735</v>
      </c>
      <c r="C7133" s="1" t="n">
        <v>45810</v>
      </c>
      <c r="D7133" t="inlineStr">
        <is>
          <t>VÄRMLANDS LÄN</t>
        </is>
      </c>
      <c r="E7133" t="inlineStr">
        <is>
          <t>GRUMS</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26443-2022</t>
        </is>
      </c>
      <c r="B7134" s="1" t="n">
        <v>44738</v>
      </c>
      <c r="C7134" s="1" t="n">
        <v>45810</v>
      </c>
      <c r="D7134" t="inlineStr">
        <is>
          <t>VÄRMLANDS LÄN</t>
        </is>
      </c>
      <c r="E7134" t="inlineStr">
        <is>
          <t>KARLSTAD</t>
        </is>
      </c>
      <c r="G7134" t="n">
        <v>3.2</v>
      </c>
      <c r="H7134" t="n">
        <v>0</v>
      </c>
      <c r="I7134" t="n">
        <v>0</v>
      </c>
      <c r="J7134" t="n">
        <v>0</v>
      </c>
      <c r="K7134" t="n">
        <v>0</v>
      </c>
      <c r="L7134" t="n">
        <v>0</v>
      </c>
      <c r="M7134" t="n">
        <v>0</v>
      </c>
      <c r="N7134" t="n">
        <v>0</v>
      </c>
      <c r="O7134" t="n">
        <v>0</v>
      </c>
      <c r="P7134" t="n">
        <v>0</v>
      </c>
      <c r="Q7134" t="n">
        <v>0</v>
      </c>
      <c r="R7134" s="2" t="inlineStr"/>
    </row>
    <row r="7135" ht="15" customHeight="1">
      <c r="A7135" t="inlineStr">
        <is>
          <t>A 26686-2022</t>
        </is>
      </c>
      <c r="B7135" s="1" t="n">
        <v>44739</v>
      </c>
      <c r="C7135" s="1" t="n">
        <v>45810</v>
      </c>
      <c r="D7135" t="inlineStr">
        <is>
          <t>VÄRMLANDS LÄN</t>
        </is>
      </c>
      <c r="E7135" t="inlineStr">
        <is>
          <t>TORSBY</t>
        </is>
      </c>
      <c r="G7135" t="n">
        <v>0.8</v>
      </c>
      <c r="H7135" t="n">
        <v>0</v>
      </c>
      <c r="I7135" t="n">
        <v>0</v>
      </c>
      <c r="J7135" t="n">
        <v>0</v>
      </c>
      <c r="K7135" t="n">
        <v>0</v>
      </c>
      <c r="L7135" t="n">
        <v>0</v>
      </c>
      <c r="M7135" t="n">
        <v>0</v>
      </c>
      <c r="N7135" t="n">
        <v>0</v>
      </c>
      <c r="O7135" t="n">
        <v>0</v>
      </c>
      <c r="P7135" t="n">
        <v>0</v>
      </c>
      <c r="Q7135" t="n">
        <v>0</v>
      </c>
      <c r="R7135" s="2" t="inlineStr"/>
    </row>
    <row r="7136" ht="15" customHeight="1">
      <c r="A7136" t="inlineStr">
        <is>
          <t>A 26576-2022</t>
        </is>
      </c>
      <c r="B7136" s="1" t="n">
        <v>44739</v>
      </c>
      <c r="C7136" s="1" t="n">
        <v>45810</v>
      </c>
      <c r="D7136" t="inlineStr">
        <is>
          <t>VÄRMLANDS LÄN</t>
        </is>
      </c>
      <c r="E7136" t="inlineStr">
        <is>
          <t>KRISTINEHAMN</t>
        </is>
      </c>
      <c r="G7136" t="n">
        <v>1.5</v>
      </c>
      <c r="H7136" t="n">
        <v>0</v>
      </c>
      <c r="I7136" t="n">
        <v>0</v>
      </c>
      <c r="J7136" t="n">
        <v>0</v>
      </c>
      <c r="K7136" t="n">
        <v>0</v>
      </c>
      <c r="L7136" t="n">
        <v>0</v>
      </c>
      <c r="M7136" t="n">
        <v>0</v>
      </c>
      <c r="N7136" t="n">
        <v>0</v>
      </c>
      <c r="O7136" t="n">
        <v>0</v>
      </c>
      <c r="P7136" t="n">
        <v>0</v>
      </c>
      <c r="Q7136" t="n">
        <v>0</v>
      </c>
      <c r="R7136" s="2" t="inlineStr"/>
    </row>
    <row r="7137" ht="15" customHeight="1">
      <c r="A7137" t="inlineStr">
        <is>
          <t>A 26710-2022</t>
        </is>
      </c>
      <c r="B7137" s="1" t="n">
        <v>44739</v>
      </c>
      <c r="C7137" s="1" t="n">
        <v>45810</v>
      </c>
      <c r="D7137" t="inlineStr">
        <is>
          <t>VÄRMLANDS LÄN</t>
        </is>
      </c>
      <c r="E7137" t="inlineStr">
        <is>
          <t>ARVIKA</t>
        </is>
      </c>
      <c r="G7137" t="n">
        <v>2.4</v>
      </c>
      <c r="H7137" t="n">
        <v>0</v>
      </c>
      <c r="I7137" t="n">
        <v>0</v>
      </c>
      <c r="J7137" t="n">
        <v>0</v>
      </c>
      <c r="K7137" t="n">
        <v>0</v>
      </c>
      <c r="L7137" t="n">
        <v>0</v>
      </c>
      <c r="M7137" t="n">
        <v>0</v>
      </c>
      <c r="N7137" t="n">
        <v>0</v>
      </c>
      <c r="O7137" t="n">
        <v>0</v>
      </c>
      <c r="P7137" t="n">
        <v>0</v>
      </c>
      <c r="Q7137" t="n">
        <v>0</v>
      </c>
      <c r="R7137" s="2" t="inlineStr"/>
    </row>
    <row r="7138" ht="15" customHeight="1">
      <c r="A7138" t="inlineStr">
        <is>
          <t>A 26646-2022</t>
        </is>
      </c>
      <c r="B7138" s="1" t="n">
        <v>44739</v>
      </c>
      <c r="C7138" s="1" t="n">
        <v>45810</v>
      </c>
      <c r="D7138" t="inlineStr">
        <is>
          <t>VÄRMLANDS LÄN</t>
        </is>
      </c>
      <c r="E7138" t="inlineStr">
        <is>
          <t>HAGFORS</t>
        </is>
      </c>
      <c r="F7138" t="inlineStr">
        <is>
          <t>Bergvik skog väst AB</t>
        </is>
      </c>
      <c r="G7138" t="n">
        <v>9</v>
      </c>
      <c r="H7138" t="n">
        <v>0</v>
      </c>
      <c r="I7138" t="n">
        <v>0</v>
      </c>
      <c r="J7138" t="n">
        <v>0</v>
      </c>
      <c r="K7138" t="n">
        <v>0</v>
      </c>
      <c r="L7138" t="n">
        <v>0</v>
      </c>
      <c r="M7138" t="n">
        <v>0</v>
      </c>
      <c r="N7138" t="n">
        <v>0</v>
      </c>
      <c r="O7138" t="n">
        <v>0</v>
      </c>
      <c r="P7138" t="n">
        <v>0</v>
      </c>
      <c r="Q7138" t="n">
        <v>0</v>
      </c>
      <c r="R7138" s="2" t="inlineStr"/>
    </row>
    <row r="7139" ht="15" customHeight="1">
      <c r="A7139" t="inlineStr">
        <is>
          <t>A 26783-2022</t>
        </is>
      </c>
      <c r="B7139" s="1" t="n">
        <v>44740</v>
      </c>
      <c r="C7139" s="1" t="n">
        <v>45810</v>
      </c>
      <c r="D7139" t="inlineStr">
        <is>
          <t>VÄRMLANDS LÄN</t>
        </is>
      </c>
      <c r="E7139" t="inlineStr">
        <is>
          <t>EDA</t>
        </is>
      </c>
      <c r="G7139" t="n">
        <v>13.7</v>
      </c>
      <c r="H7139" t="n">
        <v>0</v>
      </c>
      <c r="I7139" t="n">
        <v>0</v>
      </c>
      <c r="J7139" t="n">
        <v>0</v>
      </c>
      <c r="K7139" t="n">
        <v>0</v>
      </c>
      <c r="L7139" t="n">
        <v>0</v>
      </c>
      <c r="M7139" t="n">
        <v>0</v>
      </c>
      <c r="N7139" t="n">
        <v>0</v>
      </c>
      <c r="O7139" t="n">
        <v>0</v>
      </c>
      <c r="P7139" t="n">
        <v>0</v>
      </c>
      <c r="Q7139" t="n">
        <v>0</v>
      </c>
      <c r="R7139" s="2" t="inlineStr"/>
    </row>
    <row r="7140" ht="15" customHeight="1">
      <c r="A7140" t="inlineStr">
        <is>
          <t>A 26789-2022</t>
        </is>
      </c>
      <c r="B7140" s="1" t="n">
        <v>44740</v>
      </c>
      <c r="C7140" s="1" t="n">
        <v>45810</v>
      </c>
      <c r="D7140" t="inlineStr">
        <is>
          <t>VÄRMLANDS LÄN</t>
        </is>
      </c>
      <c r="E7140" t="inlineStr">
        <is>
          <t>EDA</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26842-2022</t>
        </is>
      </c>
      <c r="B7141" s="1" t="n">
        <v>44740</v>
      </c>
      <c r="C7141" s="1" t="n">
        <v>45810</v>
      </c>
      <c r="D7141" t="inlineStr">
        <is>
          <t>VÄRMLANDS LÄN</t>
        </is>
      </c>
      <c r="E7141" t="inlineStr">
        <is>
          <t>TORSBY</t>
        </is>
      </c>
      <c r="F7141" t="inlineStr">
        <is>
          <t>Bergvik skog väst AB</t>
        </is>
      </c>
      <c r="G7141" t="n">
        <v>5.3</v>
      </c>
      <c r="H7141" t="n">
        <v>0</v>
      </c>
      <c r="I7141" t="n">
        <v>0</v>
      </c>
      <c r="J7141" t="n">
        <v>0</v>
      </c>
      <c r="K7141" t="n">
        <v>0</v>
      </c>
      <c r="L7141" t="n">
        <v>0</v>
      </c>
      <c r="M7141" t="n">
        <v>0</v>
      </c>
      <c r="N7141" t="n">
        <v>0</v>
      </c>
      <c r="O7141" t="n">
        <v>0</v>
      </c>
      <c r="P7141" t="n">
        <v>0</v>
      </c>
      <c r="Q7141" t="n">
        <v>0</v>
      </c>
      <c r="R7141" s="2" t="inlineStr"/>
    </row>
    <row r="7142" ht="15" customHeight="1">
      <c r="A7142" t="inlineStr">
        <is>
          <t>A 26823-2022</t>
        </is>
      </c>
      <c r="B7142" s="1" t="n">
        <v>44740</v>
      </c>
      <c r="C7142" s="1" t="n">
        <v>45810</v>
      </c>
      <c r="D7142" t="inlineStr">
        <is>
          <t>VÄRMLANDS LÄN</t>
        </is>
      </c>
      <c r="E7142" t="inlineStr">
        <is>
          <t>EDA</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26862-2022</t>
        </is>
      </c>
      <c r="B7143" s="1" t="n">
        <v>44740</v>
      </c>
      <c r="C7143" s="1" t="n">
        <v>45810</v>
      </c>
      <c r="D7143" t="inlineStr">
        <is>
          <t>VÄRMLANDS LÄN</t>
        </is>
      </c>
      <c r="E7143" t="inlineStr">
        <is>
          <t>SUNNE</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26786-2022</t>
        </is>
      </c>
      <c r="B7144" s="1" t="n">
        <v>44740</v>
      </c>
      <c r="C7144" s="1" t="n">
        <v>45810</v>
      </c>
      <c r="D7144" t="inlineStr">
        <is>
          <t>VÄRMLANDS LÄN</t>
        </is>
      </c>
      <c r="E7144" t="inlineStr">
        <is>
          <t>EDA</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26806-2022</t>
        </is>
      </c>
      <c r="B7145" s="1" t="n">
        <v>44740</v>
      </c>
      <c r="C7145" s="1" t="n">
        <v>45810</v>
      </c>
      <c r="D7145" t="inlineStr">
        <is>
          <t>VÄRMLANDS LÄN</t>
        </is>
      </c>
      <c r="E7145" t="inlineStr">
        <is>
          <t>ARVIKA</t>
        </is>
      </c>
      <c r="G7145" t="n">
        <v>2.2</v>
      </c>
      <c r="H7145" t="n">
        <v>0</v>
      </c>
      <c r="I7145" t="n">
        <v>0</v>
      </c>
      <c r="J7145" t="n">
        <v>0</v>
      </c>
      <c r="K7145" t="n">
        <v>0</v>
      </c>
      <c r="L7145" t="n">
        <v>0</v>
      </c>
      <c r="M7145" t="n">
        <v>0</v>
      </c>
      <c r="N7145" t="n">
        <v>0</v>
      </c>
      <c r="O7145" t="n">
        <v>0</v>
      </c>
      <c r="P7145" t="n">
        <v>0</v>
      </c>
      <c r="Q7145" t="n">
        <v>0</v>
      </c>
      <c r="R7145" s="2" t="inlineStr"/>
    </row>
    <row r="7146" ht="15" customHeight="1">
      <c r="A7146" t="inlineStr">
        <is>
          <t>A 26831-2022</t>
        </is>
      </c>
      <c r="B7146" s="1" t="n">
        <v>44740</v>
      </c>
      <c r="C7146" s="1" t="n">
        <v>45810</v>
      </c>
      <c r="D7146" t="inlineStr">
        <is>
          <t>VÄRMLANDS LÄN</t>
        </is>
      </c>
      <c r="E7146" t="inlineStr">
        <is>
          <t>FILIPSTAD</t>
        </is>
      </c>
      <c r="F7146" t="inlineStr">
        <is>
          <t>Bergvik skog väst AB</t>
        </is>
      </c>
      <c r="G7146" t="n">
        <v>18.6</v>
      </c>
      <c r="H7146" t="n">
        <v>0</v>
      </c>
      <c r="I7146" t="n">
        <v>0</v>
      </c>
      <c r="J7146" t="n">
        <v>0</v>
      </c>
      <c r="K7146" t="n">
        <v>0</v>
      </c>
      <c r="L7146" t="n">
        <v>0</v>
      </c>
      <c r="M7146" t="n">
        <v>0</v>
      </c>
      <c r="N7146" t="n">
        <v>0</v>
      </c>
      <c r="O7146" t="n">
        <v>0</v>
      </c>
      <c r="P7146" t="n">
        <v>0</v>
      </c>
      <c r="Q7146" t="n">
        <v>0</v>
      </c>
      <c r="R7146" s="2" t="inlineStr"/>
    </row>
    <row r="7147" ht="15" customHeight="1">
      <c r="A7147" t="inlineStr">
        <is>
          <t>A 26859-2022</t>
        </is>
      </c>
      <c r="B7147" s="1" t="n">
        <v>44740</v>
      </c>
      <c r="C7147" s="1" t="n">
        <v>45810</v>
      </c>
      <c r="D7147" t="inlineStr">
        <is>
          <t>VÄRMLANDS LÄN</t>
        </is>
      </c>
      <c r="E7147" t="inlineStr">
        <is>
          <t>FILIPSTAD</t>
        </is>
      </c>
      <c r="F7147" t="inlineStr">
        <is>
          <t>Bergvik skog väst AB</t>
        </is>
      </c>
      <c r="G7147" t="n">
        <v>6.3</v>
      </c>
      <c r="H7147" t="n">
        <v>0</v>
      </c>
      <c r="I7147" t="n">
        <v>0</v>
      </c>
      <c r="J7147" t="n">
        <v>0</v>
      </c>
      <c r="K7147" t="n">
        <v>0</v>
      </c>
      <c r="L7147" t="n">
        <v>0</v>
      </c>
      <c r="M7147" t="n">
        <v>0</v>
      </c>
      <c r="N7147" t="n">
        <v>0</v>
      </c>
      <c r="O7147" t="n">
        <v>0</v>
      </c>
      <c r="P7147" t="n">
        <v>0</v>
      </c>
      <c r="Q7147" t="n">
        <v>0</v>
      </c>
      <c r="R7147" s="2" t="inlineStr"/>
    </row>
    <row r="7148" ht="15" customHeight="1">
      <c r="A7148" t="inlineStr">
        <is>
          <t>A 26810-2022</t>
        </is>
      </c>
      <c r="B7148" s="1" t="n">
        <v>44740</v>
      </c>
      <c r="C7148" s="1" t="n">
        <v>45810</v>
      </c>
      <c r="D7148" t="inlineStr">
        <is>
          <t>VÄRMLANDS LÄN</t>
        </is>
      </c>
      <c r="E7148" t="inlineStr">
        <is>
          <t>EDA</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26988-2022</t>
        </is>
      </c>
      <c r="B7149" s="1" t="n">
        <v>44740</v>
      </c>
      <c r="C7149" s="1" t="n">
        <v>45810</v>
      </c>
      <c r="D7149" t="inlineStr">
        <is>
          <t>VÄRMLANDS LÄN</t>
        </is>
      </c>
      <c r="E7149" t="inlineStr">
        <is>
          <t>TORSBY</t>
        </is>
      </c>
      <c r="F7149" t="inlineStr">
        <is>
          <t>Bergvik skog väst AB</t>
        </is>
      </c>
      <c r="G7149" t="n">
        <v>4</v>
      </c>
      <c r="H7149" t="n">
        <v>0</v>
      </c>
      <c r="I7149" t="n">
        <v>0</v>
      </c>
      <c r="J7149" t="n">
        <v>0</v>
      </c>
      <c r="K7149" t="n">
        <v>0</v>
      </c>
      <c r="L7149" t="n">
        <v>0</v>
      </c>
      <c r="M7149" t="n">
        <v>0</v>
      </c>
      <c r="N7149" t="n">
        <v>0</v>
      </c>
      <c r="O7149" t="n">
        <v>0</v>
      </c>
      <c r="P7149" t="n">
        <v>0</v>
      </c>
      <c r="Q7149" t="n">
        <v>0</v>
      </c>
      <c r="R7149" s="2" t="inlineStr"/>
    </row>
    <row r="7150" ht="15" customHeight="1">
      <c r="A7150" t="inlineStr">
        <is>
          <t>A 26894-2022</t>
        </is>
      </c>
      <c r="B7150" s="1" t="n">
        <v>44740</v>
      </c>
      <c r="C7150" s="1" t="n">
        <v>45810</v>
      </c>
      <c r="D7150" t="inlineStr">
        <is>
          <t>VÄRMLANDS LÄN</t>
        </is>
      </c>
      <c r="E7150" t="inlineStr">
        <is>
          <t>SUNNE</t>
        </is>
      </c>
      <c r="G7150" t="n">
        <v>2</v>
      </c>
      <c r="H7150" t="n">
        <v>0</v>
      </c>
      <c r="I7150" t="n">
        <v>0</v>
      </c>
      <c r="J7150" t="n">
        <v>0</v>
      </c>
      <c r="K7150" t="n">
        <v>0</v>
      </c>
      <c r="L7150" t="n">
        <v>0</v>
      </c>
      <c r="M7150" t="n">
        <v>0</v>
      </c>
      <c r="N7150" t="n">
        <v>0</v>
      </c>
      <c r="O7150" t="n">
        <v>0</v>
      </c>
      <c r="P7150" t="n">
        <v>0</v>
      </c>
      <c r="Q7150" t="n">
        <v>0</v>
      </c>
      <c r="R7150" s="2" t="inlineStr"/>
    </row>
    <row r="7151" ht="15" customHeight="1">
      <c r="A7151" t="inlineStr">
        <is>
          <t>A 26922-2022</t>
        </is>
      </c>
      <c r="B7151" s="1" t="n">
        <v>44740</v>
      </c>
      <c r="C7151" s="1" t="n">
        <v>45810</v>
      </c>
      <c r="D7151" t="inlineStr">
        <is>
          <t>VÄRMLANDS LÄN</t>
        </is>
      </c>
      <c r="E7151" t="inlineStr">
        <is>
          <t>KARLSTAD</t>
        </is>
      </c>
      <c r="G7151" t="n">
        <v>4.8</v>
      </c>
      <c r="H7151" t="n">
        <v>0</v>
      </c>
      <c r="I7151" t="n">
        <v>0</v>
      </c>
      <c r="J7151" t="n">
        <v>0</v>
      </c>
      <c r="K7151" t="n">
        <v>0</v>
      </c>
      <c r="L7151" t="n">
        <v>0</v>
      </c>
      <c r="M7151" t="n">
        <v>0</v>
      </c>
      <c r="N7151" t="n">
        <v>0</v>
      </c>
      <c r="O7151" t="n">
        <v>0</v>
      </c>
      <c r="P7151" t="n">
        <v>0</v>
      </c>
      <c r="Q7151" t="n">
        <v>0</v>
      </c>
      <c r="R7151" s="2" t="inlineStr"/>
    </row>
    <row r="7152" ht="15" customHeight="1">
      <c r="A7152" t="inlineStr">
        <is>
          <t>A 27058-2022</t>
        </is>
      </c>
      <c r="B7152" s="1" t="n">
        <v>44741</v>
      </c>
      <c r="C7152" s="1" t="n">
        <v>45810</v>
      </c>
      <c r="D7152" t="inlineStr">
        <is>
          <t>VÄRMLANDS LÄN</t>
        </is>
      </c>
      <c r="E7152" t="inlineStr">
        <is>
          <t>ARVIKA</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27088-2022</t>
        </is>
      </c>
      <c r="B7153" s="1" t="n">
        <v>44741</v>
      </c>
      <c r="C7153" s="1" t="n">
        <v>45810</v>
      </c>
      <c r="D7153" t="inlineStr">
        <is>
          <t>VÄRMLANDS LÄN</t>
        </is>
      </c>
      <c r="E7153" t="inlineStr">
        <is>
          <t>SUNNE</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27160-2022</t>
        </is>
      </c>
      <c r="B7154" s="1" t="n">
        <v>44741</v>
      </c>
      <c r="C7154" s="1" t="n">
        <v>45810</v>
      </c>
      <c r="D7154" t="inlineStr">
        <is>
          <t>VÄRMLANDS LÄN</t>
        </is>
      </c>
      <c r="E7154" t="inlineStr">
        <is>
          <t>KRISTINEHAMN</t>
        </is>
      </c>
      <c r="G7154" t="n">
        <v>2.6</v>
      </c>
      <c r="H7154" t="n">
        <v>0</v>
      </c>
      <c r="I7154" t="n">
        <v>0</v>
      </c>
      <c r="J7154" t="n">
        <v>0</v>
      </c>
      <c r="K7154" t="n">
        <v>0</v>
      </c>
      <c r="L7154" t="n">
        <v>0</v>
      </c>
      <c r="M7154" t="n">
        <v>0</v>
      </c>
      <c r="N7154" t="n">
        <v>0</v>
      </c>
      <c r="O7154" t="n">
        <v>0</v>
      </c>
      <c r="P7154" t="n">
        <v>0</v>
      </c>
      <c r="Q7154" t="n">
        <v>0</v>
      </c>
      <c r="R7154" s="2" t="inlineStr"/>
    </row>
    <row r="7155" ht="15" customHeight="1">
      <c r="A7155" t="inlineStr">
        <is>
          <t>A 27223-2022</t>
        </is>
      </c>
      <c r="B7155" s="1" t="n">
        <v>44741</v>
      </c>
      <c r="C7155" s="1" t="n">
        <v>45810</v>
      </c>
      <c r="D7155" t="inlineStr">
        <is>
          <t>VÄRMLANDS LÄN</t>
        </is>
      </c>
      <c r="E7155" t="inlineStr">
        <is>
          <t>TORSBY</t>
        </is>
      </c>
      <c r="F7155" t="inlineStr">
        <is>
          <t>Bergvik skog väst AB</t>
        </is>
      </c>
      <c r="G7155" t="n">
        <v>8.300000000000001</v>
      </c>
      <c r="H7155" t="n">
        <v>0</v>
      </c>
      <c r="I7155" t="n">
        <v>0</v>
      </c>
      <c r="J7155" t="n">
        <v>0</v>
      </c>
      <c r="K7155" t="n">
        <v>0</v>
      </c>
      <c r="L7155" t="n">
        <v>0</v>
      </c>
      <c r="M7155" t="n">
        <v>0</v>
      </c>
      <c r="N7155" t="n">
        <v>0</v>
      </c>
      <c r="O7155" t="n">
        <v>0</v>
      </c>
      <c r="P7155" t="n">
        <v>0</v>
      </c>
      <c r="Q7155" t="n">
        <v>0</v>
      </c>
      <c r="R7155" s="2" t="inlineStr"/>
    </row>
    <row r="7156" ht="15" customHeight="1">
      <c r="A7156" t="inlineStr">
        <is>
          <t>A 27091-2022</t>
        </is>
      </c>
      <c r="B7156" s="1" t="n">
        <v>44741</v>
      </c>
      <c r="C7156" s="1" t="n">
        <v>45810</v>
      </c>
      <c r="D7156" t="inlineStr">
        <is>
          <t>VÄRMLANDS LÄN</t>
        </is>
      </c>
      <c r="E7156" t="inlineStr">
        <is>
          <t>SUNNE</t>
        </is>
      </c>
      <c r="G7156" t="n">
        <v>0.4</v>
      </c>
      <c r="H7156" t="n">
        <v>0</v>
      </c>
      <c r="I7156" t="n">
        <v>0</v>
      </c>
      <c r="J7156" t="n">
        <v>0</v>
      </c>
      <c r="K7156" t="n">
        <v>0</v>
      </c>
      <c r="L7156" t="n">
        <v>0</v>
      </c>
      <c r="M7156" t="n">
        <v>0</v>
      </c>
      <c r="N7156" t="n">
        <v>0</v>
      </c>
      <c r="O7156" t="n">
        <v>0</v>
      </c>
      <c r="P7156" t="n">
        <v>0</v>
      </c>
      <c r="Q7156" t="n">
        <v>0</v>
      </c>
      <c r="R7156" s="2" t="inlineStr"/>
    </row>
    <row r="7157" ht="15" customHeight="1">
      <c r="A7157" t="inlineStr">
        <is>
          <t>A 27045-2022</t>
        </is>
      </c>
      <c r="B7157" s="1" t="n">
        <v>44741</v>
      </c>
      <c r="C7157" s="1" t="n">
        <v>45810</v>
      </c>
      <c r="D7157" t="inlineStr">
        <is>
          <t>VÄRMLANDS LÄN</t>
        </is>
      </c>
      <c r="E7157" t="inlineStr">
        <is>
          <t>HAGFORS</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27131-2022</t>
        </is>
      </c>
      <c r="B7158" s="1" t="n">
        <v>44741</v>
      </c>
      <c r="C7158" s="1" t="n">
        <v>45810</v>
      </c>
      <c r="D7158" t="inlineStr">
        <is>
          <t>VÄRMLANDS LÄN</t>
        </is>
      </c>
      <c r="E7158" t="inlineStr">
        <is>
          <t>ARVIKA</t>
        </is>
      </c>
      <c r="G7158" t="n">
        <v>1.7</v>
      </c>
      <c r="H7158" t="n">
        <v>0</v>
      </c>
      <c r="I7158" t="n">
        <v>0</v>
      </c>
      <c r="J7158" t="n">
        <v>0</v>
      </c>
      <c r="K7158" t="n">
        <v>0</v>
      </c>
      <c r="L7158" t="n">
        <v>0</v>
      </c>
      <c r="M7158" t="n">
        <v>0</v>
      </c>
      <c r="N7158" t="n">
        <v>0</v>
      </c>
      <c r="O7158" t="n">
        <v>0</v>
      </c>
      <c r="P7158" t="n">
        <v>0</v>
      </c>
      <c r="Q7158" t="n">
        <v>0</v>
      </c>
      <c r="R7158" s="2" t="inlineStr"/>
    </row>
    <row r="7159" ht="15" customHeight="1">
      <c r="A7159" t="inlineStr">
        <is>
          <t>A 27150-2022</t>
        </is>
      </c>
      <c r="B7159" s="1" t="n">
        <v>44741</v>
      </c>
      <c r="C7159" s="1" t="n">
        <v>45810</v>
      </c>
      <c r="D7159" t="inlineStr">
        <is>
          <t>VÄRMLANDS LÄN</t>
        </is>
      </c>
      <c r="E7159" t="inlineStr">
        <is>
          <t>KRISTINEHAMN</t>
        </is>
      </c>
      <c r="G7159" t="n">
        <v>7.5</v>
      </c>
      <c r="H7159" t="n">
        <v>0</v>
      </c>
      <c r="I7159" t="n">
        <v>0</v>
      </c>
      <c r="J7159" t="n">
        <v>0</v>
      </c>
      <c r="K7159" t="n">
        <v>0</v>
      </c>
      <c r="L7159" t="n">
        <v>0</v>
      </c>
      <c r="M7159" t="n">
        <v>0</v>
      </c>
      <c r="N7159" t="n">
        <v>0</v>
      </c>
      <c r="O7159" t="n">
        <v>0</v>
      </c>
      <c r="P7159" t="n">
        <v>0</v>
      </c>
      <c r="Q7159" t="n">
        <v>0</v>
      </c>
      <c r="R7159" s="2" t="inlineStr"/>
    </row>
    <row r="7160" ht="15" customHeight="1">
      <c r="A7160" t="inlineStr">
        <is>
          <t>A 27189-2022</t>
        </is>
      </c>
      <c r="B7160" s="1" t="n">
        <v>44741</v>
      </c>
      <c r="C7160" s="1" t="n">
        <v>45810</v>
      </c>
      <c r="D7160" t="inlineStr">
        <is>
          <t>VÄRMLANDS LÄN</t>
        </is>
      </c>
      <c r="E7160" t="inlineStr">
        <is>
          <t>KRISTINEHAMN</t>
        </is>
      </c>
      <c r="F7160" t="inlineStr">
        <is>
          <t>Bergvik skog väst AB</t>
        </is>
      </c>
      <c r="G7160" t="n">
        <v>2.9</v>
      </c>
      <c r="H7160" t="n">
        <v>0</v>
      </c>
      <c r="I7160" t="n">
        <v>0</v>
      </c>
      <c r="J7160" t="n">
        <v>0</v>
      </c>
      <c r="K7160" t="n">
        <v>0</v>
      </c>
      <c r="L7160" t="n">
        <v>0</v>
      </c>
      <c r="M7160" t="n">
        <v>0</v>
      </c>
      <c r="N7160" t="n">
        <v>0</v>
      </c>
      <c r="O7160" t="n">
        <v>0</v>
      </c>
      <c r="P7160" t="n">
        <v>0</v>
      </c>
      <c r="Q7160" t="n">
        <v>0</v>
      </c>
      <c r="R7160" s="2" t="inlineStr"/>
    </row>
    <row r="7161" ht="15" customHeight="1">
      <c r="A7161" t="inlineStr">
        <is>
          <t>A 27210-2022</t>
        </is>
      </c>
      <c r="B7161" s="1" t="n">
        <v>44741</v>
      </c>
      <c r="C7161" s="1" t="n">
        <v>45810</v>
      </c>
      <c r="D7161" t="inlineStr">
        <is>
          <t>VÄRMLANDS LÄN</t>
        </is>
      </c>
      <c r="E7161" t="inlineStr">
        <is>
          <t>KRISTINEHAMN</t>
        </is>
      </c>
      <c r="F7161" t="inlineStr">
        <is>
          <t>Bergvik skog väst AB</t>
        </is>
      </c>
      <c r="G7161" t="n">
        <v>1.6</v>
      </c>
      <c r="H7161" t="n">
        <v>0</v>
      </c>
      <c r="I7161" t="n">
        <v>0</v>
      </c>
      <c r="J7161" t="n">
        <v>0</v>
      </c>
      <c r="K7161" t="n">
        <v>0</v>
      </c>
      <c r="L7161" t="n">
        <v>0</v>
      </c>
      <c r="M7161" t="n">
        <v>0</v>
      </c>
      <c r="N7161" t="n">
        <v>0</v>
      </c>
      <c r="O7161" t="n">
        <v>0</v>
      </c>
      <c r="P7161" t="n">
        <v>0</v>
      </c>
      <c r="Q7161" t="n">
        <v>0</v>
      </c>
      <c r="R7161" s="2" t="inlineStr"/>
    </row>
    <row r="7162" ht="15" customHeight="1">
      <c r="A7162" t="inlineStr">
        <is>
          <t>A 27190-2022</t>
        </is>
      </c>
      <c r="B7162" s="1" t="n">
        <v>44741</v>
      </c>
      <c r="C7162" s="1" t="n">
        <v>45810</v>
      </c>
      <c r="D7162" t="inlineStr">
        <is>
          <t>VÄRMLANDS LÄN</t>
        </is>
      </c>
      <c r="E7162" t="inlineStr">
        <is>
          <t>MUNKFORS</t>
        </is>
      </c>
      <c r="F7162" t="inlineStr">
        <is>
          <t>Kyrkan</t>
        </is>
      </c>
      <c r="G7162" t="n">
        <v>11.5</v>
      </c>
      <c r="H7162" t="n">
        <v>0</v>
      </c>
      <c r="I7162" t="n">
        <v>0</v>
      </c>
      <c r="J7162" t="n">
        <v>0</v>
      </c>
      <c r="K7162" t="n">
        <v>0</v>
      </c>
      <c r="L7162" t="n">
        <v>0</v>
      </c>
      <c r="M7162" t="n">
        <v>0</v>
      </c>
      <c r="N7162" t="n">
        <v>0</v>
      </c>
      <c r="O7162" t="n">
        <v>0</v>
      </c>
      <c r="P7162" t="n">
        <v>0</v>
      </c>
      <c r="Q7162" t="n">
        <v>0</v>
      </c>
      <c r="R7162" s="2" t="inlineStr"/>
    </row>
    <row r="7163" ht="15" customHeight="1">
      <c r="A7163" t="inlineStr">
        <is>
          <t>A 27304-2022</t>
        </is>
      </c>
      <c r="B7163" s="1" t="n">
        <v>44742</v>
      </c>
      <c r="C7163" s="1" t="n">
        <v>45810</v>
      </c>
      <c r="D7163" t="inlineStr">
        <is>
          <t>VÄRMLANDS LÄN</t>
        </is>
      </c>
      <c r="E7163" t="inlineStr">
        <is>
          <t>ARVIKA</t>
        </is>
      </c>
      <c r="G7163" t="n">
        <v>3.1</v>
      </c>
      <c r="H7163" t="n">
        <v>0</v>
      </c>
      <c r="I7163" t="n">
        <v>0</v>
      </c>
      <c r="J7163" t="n">
        <v>0</v>
      </c>
      <c r="K7163" t="n">
        <v>0</v>
      </c>
      <c r="L7163" t="n">
        <v>0</v>
      </c>
      <c r="M7163" t="n">
        <v>0</v>
      </c>
      <c r="N7163" t="n">
        <v>0</v>
      </c>
      <c r="O7163" t="n">
        <v>0</v>
      </c>
      <c r="P7163" t="n">
        <v>0</v>
      </c>
      <c r="Q7163" t="n">
        <v>0</v>
      </c>
      <c r="R7163" s="2" t="inlineStr"/>
    </row>
    <row r="7164" ht="15" customHeight="1">
      <c r="A7164" t="inlineStr">
        <is>
          <t>A 27394-2022</t>
        </is>
      </c>
      <c r="B7164" s="1" t="n">
        <v>44742</v>
      </c>
      <c r="C7164" s="1" t="n">
        <v>45810</v>
      </c>
      <c r="D7164" t="inlineStr">
        <is>
          <t>VÄRMLANDS LÄN</t>
        </is>
      </c>
      <c r="E7164" t="inlineStr">
        <is>
          <t>KRISTINEHAMN</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27442-2022</t>
        </is>
      </c>
      <c r="B7165" s="1" t="n">
        <v>44742</v>
      </c>
      <c r="C7165" s="1" t="n">
        <v>45810</v>
      </c>
      <c r="D7165" t="inlineStr">
        <is>
          <t>VÄRMLANDS LÄN</t>
        </is>
      </c>
      <c r="E7165" t="inlineStr">
        <is>
          <t>SUNNE</t>
        </is>
      </c>
      <c r="G7165" t="n">
        <v>3.7</v>
      </c>
      <c r="H7165" t="n">
        <v>0</v>
      </c>
      <c r="I7165" t="n">
        <v>0</v>
      </c>
      <c r="J7165" t="n">
        <v>0</v>
      </c>
      <c r="K7165" t="n">
        <v>0</v>
      </c>
      <c r="L7165" t="n">
        <v>0</v>
      </c>
      <c r="M7165" t="n">
        <v>0</v>
      </c>
      <c r="N7165" t="n">
        <v>0</v>
      </c>
      <c r="O7165" t="n">
        <v>0</v>
      </c>
      <c r="P7165" t="n">
        <v>0</v>
      </c>
      <c r="Q7165" t="n">
        <v>0</v>
      </c>
      <c r="R7165" s="2" t="inlineStr"/>
    </row>
    <row r="7166" ht="15" customHeight="1">
      <c r="A7166" t="inlineStr">
        <is>
          <t>A 27450-2022</t>
        </is>
      </c>
      <c r="B7166" s="1" t="n">
        <v>44742</v>
      </c>
      <c r="C7166" s="1" t="n">
        <v>45810</v>
      </c>
      <c r="D7166" t="inlineStr">
        <is>
          <t>VÄRMLANDS LÄN</t>
        </is>
      </c>
      <c r="E7166" t="inlineStr">
        <is>
          <t>HAGFORS</t>
        </is>
      </c>
      <c r="F7166" t="inlineStr">
        <is>
          <t>Bergvik skog väst AB</t>
        </is>
      </c>
      <c r="G7166" t="n">
        <v>4.4</v>
      </c>
      <c r="H7166" t="n">
        <v>0</v>
      </c>
      <c r="I7166" t="n">
        <v>0</v>
      </c>
      <c r="J7166" t="n">
        <v>0</v>
      </c>
      <c r="K7166" t="n">
        <v>0</v>
      </c>
      <c r="L7166" t="n">
        <v>0</v>
      </c>
      <c r="M7166" t="n">
        <v>0</v>
      </c>
      <c r="N7166" t="n">
        <v>0</v>
      </c>
      <c r="O7166" t="n">
        <v>0</v>
      </c>
      <c r="P7166" t="n">
        <v>0</v>
      </c>
      <c r="Q7166" t="n">
        <v>0</v>
      </c>
      <c r="R7166" s="2" t="inlineStr"/>
    </row>
    <row r="7167" ht="15" customHeight="1">
      <c r="A7167" t="inlineStr">
        <is>
          <t>A 27507-2022</t>
        </is>
      </c>
      <c r="B7167" s="1" t="n">
        <v>44742</v>
      </c>
      <c r="C7167" s="1" t="n">
        <v>45810</v>
      </c>
      <c r="D7167" t="inlineStr">
        <is>
          <t>VÄRMLANDS LÄN</t>
        </is>
      </c>
      <c r="E7167" t="inlineStr">
        <is>
          <t>FORSHAGA</t>
        </is>
      </c>
      <c r="F7167" t="inlineStr">
        <is>
          <t>Bergvik skog väst AB</t>
        </is>
      </c>
      <c r="G7167" t="n">
        <v>6.8</v>
      </c>
      <c r="H7167" t="n">
        <v>0</v>
      </c>
      <c r="I7167" t="n">
        <v>0</v>
      </c>
      <c r="J7167" t="n">
        <v>0</v>
      </c>
      <c r="K7167" t="n">
        <v>0</v>
      </c>
      <c r="L7167" t="n">
        <v>0</v>
      </c>
      <c r="M7167" t="n">
        <v>0</v>
      </c>
      <c r="N7167" t="n">
        <v>0</v>
      </c>
      <c r="O7167" t="n">
        <v>0</v>
      </c>
      <c r="P7167" t="n">
        <v>0</v>
      </c>
      <c r="Q7167" t="n">
        <v>0</v>
      </c>
      <c r="R7167" s="2" t="inlineStr"/>
    </row>
    <row r="7168" ht="15" customHeight="1">
      <c r="A7168" t="inlineStr">
        <is>
          <t>A 27525-2022</t>
        </is>
      </c>
      <c r="B7168" s="1" t="n">
        <v>44742</v>
      </c>
      <c r="C7168" s="1" t="n">
        <v>45810</v>
      </c>
      <c r="D7168" t="inlineStr">
        <is>
          <t>VÄRMLANDS LÄN</t>
        </is>
      </c>
      <c r="E7168" t="inlineStr">
        <is>
          <t>KRISTINEHAMN</t>
        </is>
      </c>
      <c r="G7168" t="n">
        <v>2.7</v>
      </c>
      <c r="H7168" t="n">
        <v>0</v>
      </c>
      <c r="I7168" t="n">
        <v>0</v>
      </c>
      <c r="J7168" t="n">
        <v>0</v>
      </c>
      <c r="K7168" t="n">
        <v>0</v>
      </c>
      <c r="L7168" t="n">
        <v>0</v>
      </c>
      <c r="M7168" t="n">
        <v>0</v>
      </c>
      <c r="N7168" t="n">
        <v>0</v>
      </c>
      <c r="O7168" t="n">
        <v>0</v>
      </c>
      <c r="P7168" t="n">
        <v>0</v>
      </c>
      <c r="Q7168" t="n">
        <v>0</v>
      </c>
      <c r="R7168" s="2" t="inlineStr"/>
    </row>
    <row r="7169" ht="15" customHeight="1">
      <c r="A7169" t="inlineStr">
        <is>
          <t>A 27531-2022</t>
        </is>
      </c>
      <c r="B7169" s="1" t="n">
        <v>44742</v>
      </c>
      <c r="C7169" s="1" t="n">
        <v>45810</v>
      </c>
      <c r="D7169" t="inlineStr">
        <is>
          <t>VÄRMLANDS LÄN</t>
        </is>
      </c>
      <c r="E7169" t="inlineStr">
        <is>
          <t>KRISTINEHAMN</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27534-2022</t>
        </is>
      </c>
      <c r="B7170" s="1" t="n">
        <v>44742</v>
      </c>
      <c r="C7170" s="1" t="n">
        <v>45810</v>
      </c>
      <c r="D7170" t="inlineStr">
        <is>
          <t>VÄRMLANDS LÄN</t>
        </is>
      </c>
      <c r="E7170" t="inlineStr">
        <is>
          <t>FORSHAGA</t>
        </is>
      </c>
      <c r="F7170" t="inlineStr">
        <is>
          <t>Bergvik skog väst AB</t>
        </is>
      </c>
      <c r="G7170" t="n">
        <v>2.1</v>
      </c>
      <c r="H7170" t="n">
        <v>0</v>
      </c>
      <c r="I7170" t="n">
        <v>0</v>
      </c>
      <c r="J7170" t="n">
        <v>0</v>
      </c>
      <c r="K7170" t="n">
        <v>0</v>
      </c>
      <c r="L7170" t="n">
        <v>0</v>
      </c>
      <c r="M7170" t="n">
        <v>0</v>
      </c>
      <c r="N7170" t="n">
        <v>0</v>
      </c>
      <c r="O7170" t="n">
        <v>0</v>
      </c>
      <c r="P7170" t="n">
        <v>0</v>
      </c>
      <c r="Q7170" t="n">
        <v>0</v>
      </c>
      <c r="R7170" s="2" t="inlineStr"/>
    </row>
    <row r="7171" ht="15" customHeight="1">
      <c r="A7171" t="inlineStr">
        <is>
          <t>A 27729-2022</t>
        </is>
      </c>
      <c r="B7171" s="1" t="n">
        <v>44743</v>
      </c>
      <c r="C7171" s="1" t="n">
        <v>45810</v>
      </c>
      <c r="D7171" t="inlineStr">
        <is>
          <t>VÄRMLANDS LÄN</t>
        </is>
      </c>
      <c r="E7171" t="inlineStr">
        <is>
          <t>GRUMS</t>
        </is>
      </c>
      <c r="G7171" t="n">
        <v>2</v>
      </c>
      <c r="H7171" t="n">
        <v>0</v>
      </c>
      <c r="I7171" t="n">
        <v>0</v>
      </c>
      <c r="J7171" t="n">
        <v>0</v>
      </c>
      <c r="K7171" t="n">
        <v>0</v>
      </c>
      <c r="L7171" t="n">
        <v>0</v>
      </c>
      <c r="M7171" t="n">
        <v>0</v>
      </c>
      <c r="N7171" t="n">
        <v>0</v>
      </c>
      <c r="O7171" t="n">
        <v>0</v>
      </c>
      <c r="P7171" t="n">
        <v>0</v>
      </c>
      <c r="Q7171" t="n">
        <v>0</v>
      </c>
      <c r="R7171" s="2" t="inlineStr"/>
    </row>
    <row r="7172" ht="15" customHeight="1">
      <c r="A7172" t="inlineStr">
        <is>
          <t>A 27686-2022</t>
        </is>
      </c>
      <c r="B7172" s="1" t="n">
        <v>44743</v>
      </c>
      <c r="C7172" s="1" t="n">
        <v>45810</v>
      </c>
      <c r="D7172" t="inlineStr">
        <is>
          <t>VÄRMLANDS LÄN</t>
        </is>
      </c>
      <c r="E7172" t="inlineStr">
        <is>
          <t>TORSBY</t>
        </is>
      </c>
      <c r="G7172" t="n">
        <v>1.5</v>
      </c>
      <c r="H7172" t="n">
        <v>0</v>
      </c>
      <c r="I7172" t="n">
        <v>0</v>
      </c>
      <c r="J7172" t="n">
        <v>0</v>
      </c>
      <c r="K7172" t="n">
        <v>0</v>
      </c>
      <c r="L7172" t="n">
        <v>0</v>
      </c>
      <c r="M7172" t="n">
        <v>0</v>
      </c>
      <c r="N7172" t="n">
        <v>0</v>
      </c>
      <c r="O7172" t="n">
        <v>0</v>
      </c>
      <c r="P7172" t="n">
        <v>0</v>
      </c>
      <c r="Q7172" t="n">
        <v>0</v>
      </c>
      <c r="R7172" s="2" t="inlineStr"/>
    </row>
    <row r="7173" ht="15" customHeight="1">
      <c r="A7173" t="inlineStr">
        <is>
          <t>A 27789-2022</t>
        </is>
      </c>
      <c r="B7173" s="1" t="n">
        <v>44743</v>
      </c>
      <c r="C7173" s="1" t="n">
        <v>45810</v>
      </c>
      <c r="D7173" t="inlineStr">
        <is>
          <t>VÄRMLANDS LÄN</t>
        </is>
      </c>
      <c r="E7173" t="inlineStr">
        <is>
          <t>FILIPSTAD</t>
        </is>
      </c>
      <c r="F7173" t="inlineStr">
        <is>
          <t>Bergvik skog väst AB</t>
        </is>
      </c>
      <c r="G7173" t="n">
        <v>2.4</v>
      </c>
      <c r="H7173" t="n">
        <v>0</v>
      </c>
      <c r="I7173" t="n">
        <v>0</v>
      </c>
      <c r="J7173" t="n">
        <v>0</v>
      </c>
      <c r="K7173" t="n">
        <v>0</v>
      </c>
      <c r="L7173" t="n">
        <v>0</v>
      </c>
      <c r="M7173" t="n">
        <v>0</v>
      </c>
      <c r="N7173" t="n">
        <v>0</v>
      </c>
      <c r="O7173" t="n">
        <v>0</v>
      </c>
      <c r="P7173" t="n">
        <v>0</v>
      </c>
      <c r="Q7173" t="n">
        <v>0</v>
      </c>
      <c r="R7173" s="2" t="inlineStr"/>
    </row>
    <row r="7174" ht="15" customHeight="1">
      <c r="A7174" t="inlineStr">
        <is>
          <t>A 27866-2022</t>
        </is>
      </c>
      <c r="B7174" s="1" t="n">
        <v>44743</v>
      </c>
      <c r="C7174" s="1" t="n">
        <v>45810</v>
      </c>
      <c r="D7174" t="inlineStr">
        <is>
          <t>VÄRMLANDS LÄN</t>
        </is>
      </c>
      <c r="E7174" t="inlineStr">
        <is>
          <t>EDA</t>
        </is>
      </c>
      <c r="G7174" t="n">
        <v>14.3</v>
      </c>
      <c r="H7174" t="n">
        <v>0</v>
      </c>
      <c r="I7174" t="n">
        <v>0</v>
      </c>
      <c r="J7174" t="n">
        <v>0</v>
      </c>
      <c r="K7174" t="n">
        <v>0</v>
      </c>
      <c r="L7174" t="n">
        <v>0</v>
      </c>
      <c r="M7174" t="n">
        <v>0</v>
      </c>
      <c r="N7174" t="n">
        <v>0</v>
      </c>
      <c r="O7174" t="n">
        <v>0</v>
      </c>
      <c r="P7174" t="n">
        <v>0</v>
      </c>
      <c r="Q7174" t="n">
        <v>0</v>
      </c>
      <c r="R7174" s="2" t="inlineStr"/>
    </row>
    <row r="7175" ht="15" customHeight="1">
      <c r="A7175" t="inlineStr">
        <is>
          <t>A 27890-2022</t>
        </is>
      </c>
      <c r="B7175" s="1" t="n">
        <v>44743</v>
      </c>
      <c r="C7175" s="1" t="n">
        <v>45810</v>
      </c>
      <c r="D7175" t="inlineStr">
        <is>
          <t>VÄRMLANDS LÄN</t>
        </is>
      </c>
      <c r="E7175" t="inlineStr">
        <is>
          <t>HAGFORS</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27983-2022</t>
        </is>
      </c>
      <c r="B7176" s="1" t="n">
        <v>44745</v>
      </c>
      <c r="C7176" s="1" t="n">
        <v>45810</v>
      </c>
      <c r="D7176" t="inlineStr">
        <is>
          <t>VÄRMLANDS LÄN</t>
        </is>
      </c>
      <c r="E7176" t="inlineStr">
        <is>
          <t>SÄFFLE</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27979-2022</t>
        </is>
      </c>
      <c r="B7177" s="1" t="n">
        <v>44745</v>
      </c>
      <c r="C7177" s="1" t="n">
        <v>45810</v>
      </c>
      <c r="D7177" t="inlineStr">
        <is>
          <t>VÄRMLANDS LÄN</t>
        </is>
      </c>
      <c r="E7177" t="inlineStr">
        <is>
          <t>SÄFFLE</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27985-2022</t>
        </is>
      </c>
      <c r="B7178" s="1" t="n">
        <v>44745</v>
      </c>
      <c r="C7178" s="1" t="n">
        <v>45810</v>
      </c>
      <c r="D7178" t="inlineStr">
        <is>
          <t>VÄRMLANDS LÄN</t>
        </is>
      </c>
      <c r="E7178" t="inlineStr">
        <is>
          <t>SÄFFLE</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28008-2022</t>
        </is>
      </c>
      <c r="B7179" s="1" t="n">
        <v>44746</v>
      </c>
      <c r="C7179" s="1" t="n">
        <v>45810</v>
      </c>
      <c r="D7179" t="inlineStr">
        <is>
          <t>VÄRMLANDS LÄN</t>
        </is>
      </c>
      <c r="E7179" t="inlineStr">
        <is>
          <t>TORSBY</t>
        </is>
      </c>
      <c r="G7179" t="n">
        <v>5.4</v>
      </c>
      <c r="H7179" t="n">
        <v>0</v>
      </c>
      <c r="I7179" t="n">
        <v>0</v>
      </c>
      <c r="J7179" t="n">
        <v>0</v>
      </c>
      <c r="K7179" t="n">
        <v>0</v>
      </c>
      <c r="L7179" t="n">
        <v>0</v>
      </c>
      <c r="M7179" t="n">
        <v>0</v>
      </c>
      <c r="N7179" t="n">
        <v>0</v>
      </c>
      <c r="O7179" t="n">
        <v>0</v>
      </c>
      <c r="P7179" t="n">
        <v>0</v>
      </c>
      <c r="Q7179" t="n">
        <v>0</v>
      </c>
      <c r="R7179" s="2" t="inlineStr"/>
    </row>
    <row r="7180" ht="15" customHeight="1">
      <c r="A7180" t="inlineStr">
        <is>
          <t>A 28016-2022</t>
        </is>
      </c>
      <c r="B7180" s="1" t="n">
        <v>44746</v>
      </c>
      <c r="C7180" s="1" t="n">
        <v>45810</v>
      </c>
      <c r="D7180" t="inlineStr">
        <is>
          <t>VÄRMLANDS LÄN</t>
        </is>
      </c>
      <c r="E7180" t="inlineStr">
        <is>
          <t>TORSBY</t>
        </is>
      </c>
      <c r="G7180" t="n">
        <v>2.3</v>
      </c>
      <c r="H7180" t="n">
        <v>0</v>
      </c>
      <c r="I7180" t="n">
        <v>0</v>
      </c>
      <c r="J7180" t="n">
        <v>0</v>
      </c>
      <c r="K7180" t="n">
        <v>0</v>
      </c>
      <c r="L7180" t="n">
        <v>0</v>
      </c>
      <c r="M7180" t="n">
        <v>0</v>
      </c>
      <c r="N7180" t="n">
        <v>0</v>
      </c>
      <c r="O7180" t="n">
        <v>0</v>
      </c>
      <c r="P7180" t="n">
        <v>0</v>
      </c>
      <c r="Q7180" t="n">
        <v>0</v>
      </c>
      <c r="R7180" s="2" t="inlineStr"/>
    </row>
    <row r="7181" ht="15" customHeight="1">
      <c r="A7181" t="inlineStr">
        <is>
          <t>A 28152-2022</t>
        </is>
      </c>
      <c r="B7181" s="1" t="n">
        <v>44746</v>
      </c>
      <c r="C7181" s="1" t="n">
        <v>45810</v>
      </c>
      <c r="D7181" t="inlineStr">
        <is>
          <t>VÄRMLANDS LÄN</t>
        </is>
      </c>
      <c r="E7181" t="inlineStr">
        <is>
          <t>KRISTINEHAMN</t>
        </is>
      </c>
      <c r="G7181" t="n">
        <v>7.2</v>
      </c>
      <c r="H7181" t="n">
        <v>0</v>
      </c>
      <c r="I7181" t="n">
        <v>0</v>
      </c>
      <c r="J7181" t="n">
        <v>0</v>
      </c>
      <c r="K7181" t="n">
        <v>0</v>
      </c>
      <c r="L7181" t="n">
        <v>0</v>
      </c>
      <c r="M7181" t="n">
        <v>0</v>
      </c>
      <c r="N7181" t="n">
        <v>0</v>
      </c>
      <c r="O7181" t="n">
        <v>0</v>
      </c>
      <c r="P7181" t="n">
        <v>0</v>
      </c>
      <c r="Q7181" t="n">
        <v>0</v>
      </c>
      <c r="R7181" s="2" t="inlineStr"/>
    </row>
    <row r="7182" ht="15" customHeight="1">
      <c r="A7182" t="inlineStr">
        <is>
          <t>A 28191-2022</t>
        </is>
      </c>
      <c r="B7182" s="1" t="n">
        <v>44746</v>
      </c>
      <c r="C7182" s="1" t="n">
        <v>45810</v>
      </c>
      <c r="D7182" t="inlineStr">
        <is>
          <t>VÄRMLANDS LÄN</t>
        </is>
      </c>
      <c r="E7182" t="inlineStr">
        <is>
          <t>SUNNE</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28197-2022</t>
        </is>
      </c>
      <c r="B7183" s="1" t="n">
        <v>44746</v>
      </c>
      <c r="C7183" s="1" t="n">
        <v>45810</v>
      </c>
      <c r="D7183" t="inlineStr">
        <is>
          <t>VÄRMLANDS LÄN</t>
        </is>
      </c>
      <c r="E7183" t="inlineStr">
        <is>
          <t>ARVIKA</t>
        </is>
      </c>
      <c r="G7183" t="n">
        <v>6.9</v>
      </c>
      <c r="H7183" t="n">
        <v>0</v>
      </c>
      <c r="I7183" t="n">
        <v>0</v>
      </c>
      <c r="J7183" t="n">
        <v>0</v>
      </c>
      <c r="K7183" t="n">
        <v>0</v>
      </c>
      <c r="L7183" t="n">
        <v>0</v>
      </c>
      <c r="M7183" t="n">
        <v>0</v>
      </c>
      <c r="N7183" t="n">
        <v>0</v>
      </c>
      <c r="O7183" t="n">
        <v>0</v>
      </c>
      <c r="P7183" t="n">
        <v>0</v>
      </c>
      <c r="Q7183" t="n">
        <v>0</v>
      </c>
      <c r="R7183" s="2" t="inlineStr"/>
    </row>
    <row r="7184" ht="15" customHeight="1">
      <c r="A7184" t="inlineStr">
        <is>
          <t>A 28085-2022</t>
        </is>
      </c>
      <c r="B7184" s="1" t="n">
        <v>44746</v>
      </c>
      <c r="C7184" s="1" t="n">
        <v>45810</v>
      </c>
      <c r="D7184" t="inlineStr">
        <is>
          <t>VÄRMLANDS LÄN</t>
        </is>
      </c>
      <c r="E7184" t="inlineStr">
        <is>
          <t>EDA</t>
        </is>
      </c>
      <c r="G7184" t="n">
        <v>1.7</v>
      </c>
      <c r="H7184" t="n">
        <v>0</v>
      </c>
      <c r="I7184" t="n">
        <v>0</v>
      </c>
      <c r="J7184" t="n">
        <v>0</v>
      </c>
      <c r="K7184" t="n">
        <v>0</v>
      </c>
      <c r="L7184" t="n">
        <v>0</v>
      </c>
      <c r="M7184" t="n">
        <v>0</v>
      </c>
      <c r="N7184" t="n">
        <v>0</v>
      </c>
      <c r="O7184" t="n">
        <v>0</v>
      </c>
      <c r="P7184" t="n">
        <v>0</v>
      </c>
      <c r="Q7184" t="n">
        <v>0</v>
      </c>
      <c r="R7184" s="2" t="inlineStr"/>
    </row>
    <row r="7185" ht="15" customHeight="1">
      <c r="A7185" t="inlineStr">
        <is>
          <t>A 28117-2022</t>
        </is>
      </c>
      <c r="B7185" s="1" t="n">
        <v>44746</v>
      </c>
      <c r="C7185" s="1" t="n">
        <v>45810</v>
      </c>
      <c r="D7185" t="inlineStr">
        <is>
          <t>VÄRMLANDS LÄN</t>
        </is>
      </c>
      <c r="E7185" t="inlineStr">
        <is>
          <t>KARLSTAD</t>
        </is>
      </c>
      <c r="F7185" t="inlineStr">
        <is>
          <t>Naturvårdsverket</t>
        </is>
      </c>
      <c r="G7185" t="n">
        <v>1.8</v>
      </c>
      <c r="H7185" t="n">
        <v>0</v>
      </c>
      <c r="I7185" t="n">
        <v>0</v>
      </c>
      <c r="J7185" t="n">
        <v>0</v>
      </c>
      <c r="K7185" t="n">
        <v>0</v>
      </c>
      <c r="L7185" t="n">
        <v>0</v>
      </c>
      <c r="M7185" t="n">
        <v>0</v>
      </c>
      <c r="N7185" t="n">
        <v>0</v>
      </c>
      <c r="O7185" t="n">
        <v>0</v>
      </c>
      <c r="P7185" t="n">
        <v>0</v>
      </c>
      <c r="Q7185" t="n">
        <v>0</v>
      </c>
      <c r="R7185" s="2" t="inlineStr"/>
    </row>
    <row r="7186" ht="15" customHeight="1">
      <c r="A7186" t="inlineStr">
        <is>
          <t>A 28087-2022</t>
        </is>
      </c>
      <c r="B7186" s="1" t="n">
        <v>44746</v>
      </c>
      <c r="C7186" s="1" t="n">
        <v>45810</v>
      </c>
      <c r="D7186" t="inlineStr">
        <is>
          <t>VÄRMLANDS LÄN</t>
        </is>
      </c>
      <c r="E7186" t="inlineStr">
        <is>
          <t>ARVIKA</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28113-2022</t>
        </is>
      </c>
      <c r="B7187" s="1" t="n">
        <v>44746</v>
      </c>
      <c r="C7187" s="1" t="n">
        <v>45810</v>
      </c>
      <c r="D7187" t="inlineStr">
        <is>
          <t>VÄRMLANDS LÄN</t>
        </is>
      </c>
      <c r="E7187" t="inlineStr">
        <is>
          <t>TORSBY</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28195-2022</t>
        </is>
      </c>
      <c r="B7188" s="1" t="n">
        <v>44746</v>
      </c>
      <c r="C7188" s="1" t="n">
        <v>45810</v>
      </c>
      <c r="D7188" t="inlineStr">
        <is>
          <t>VÄRMLANDS LÄN</t>
        </is>
      </c>
      <c r="E7188" t="inlineStr">
        <is>
          <t>KIL</t>
        </is>
      </c>
      <c r="F7188" t="inlineStr">
        <is>
          <t>Bergvik skog väst AB</t>
        </is>
      </c>
      <c r="G7188" t="n">
        <v>2.1</v>
      </c>
      <c r="H7188" t="n">
        <v>0</v>
      </c>
      <c r="I7188" t="n">
        <v>0</v>
      </c>
      <c r="J7188" t="n">
        <v>0</v>
      </c>
      <c r="K7188" t="n">
        <v>0</v>
      </c>
      <c r="L7188" t="n">
        <v>0</v>
      </c>
      <c r="M7188" t="n">
        <v>0</v>
      </c>
      <c r="N7188" t="n">
        <v>0</v>
      </c>
      <c r="O7188" t="n">
        <v>0</v>
      </c>
      <c r="P7188" t="n">
        <v>0</v>
      </c>
      <c r="Q7188" t="n">
        <v>0</v>
      </c>
      <c r="R7188" s="2" t="inlineStr"/>
    </row>
    <row r="7189" ht="15" customHeight="1">
      <c r="A7189" t="inlineStr">
        <is>
          <t>A 28154-2022</t>
        </is>
      </c>
      <c r="B7189" s="1" t="n">
        <v>44746</v>
      </c>
      <c r="C7189" s="1" t="n">
        <v>45810</v>
      </c>
      <c r="D7189" t="inlineStr">
        <is>
          <t>VÄRMLANDS LÄN</t>
        </is>
      </c>
      <c r="E7189" t="inlineStr">
        <is>
          <t>KARLSTAD</t>
        </is>
      </c>
      <c r="G7189" t="n">
        <v>7.1</v>
      </c>
      <c r="H7189" t="n">
        <v>0</v>
      </c>
      <c r="I7189" t="n">
        <v>0</v>
      </c>
      <c r="J7189" t="n">
        <v>0</v>
      </c>
      <c r="K7189" t="n">
        <v>0</v>
      </c>
      <c r="L7189" t="n">
        <v>0</v>
      </c>
      <c r="M7189" t="n">
        <v>0</v>
      </c>
      <c r="N7189" t="n">
        <v>0</v>
      </c>
      <c r="O7189" t="n">
        <v>0</v>
      </c>
      <c r="P7189" t="n">
        <v>0</v>
      </c>
      <c r="Q7189" t="n">
        <v>0</v>
      </c>
      <c r="R7189" s="2" t="inlineStr"/>
    </row>
    <row r="7190" ht="15" customHeight="1">
      <c r="A7190" t="inlineStr">
        <is>
          <t>A 28172-2022</t>
        </is>
      </c>
      <c r="B7190" s="1" t="n">
        <v>44746</v>
      </c>
      <c r="C7190" s="1" t="n">
        <v>45810</v>
      </c>
      <c r="D7190" t="inlineStr">
        <is>
          <t>VÄRMLANDS LÄN</t>
        </is>
      </c>
      <c r="E7190" t="inlineStr">
        <is>
          <t>TORSBY</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28130-2022</t>
        </is>
      </c>
      <c r="B7191" s="1" t="n">
        <v>44746</v>
      </c>
      <c r="C7191" s="1" t="n">
        <v>45810</v>
      </c>
      <c r="D7191" t="inlineStr">
        <is>
          <t>VÄRMLANDS LÄN</t>
        </is>
      </c>
      <c r="E7191" t="inlineStr">
        <is>
          <t>EDA</t>
        </is>
      </c>
      <c r="G7191" t="n">
        <v>2.7</v>
      </c>
      <c r="H7191" t="n">
        <v>0</v>
      </c>
      <c r="I7191" t="n">
        <v>0</v>
      </c>
      <c r="J7191" t="n">
        <v>0</v>
      </c>
      <c r="K7191" t="n">
        <v>0</v>
      </c>
      <c r="L7191" t="n">
        <v>0</v>
      </c>
      <c r="M7191" t="n">
        <v>0</v>
      </c>
      <c r="N7191" t="n">
        <v>0</v>
      </c>
      <c r="O7191" t="n">
        <v>0</v>
      </c>
      <c r="P7191" t="n">
        <v>0</v>
      </c>
      <c r="Q7191" t="n">
        <v>0</v>
      </c>
      <c r="R7191" s="2" t="inlineStr"/>
    </row>
    <row r="7192" ht="15" customHeight="1">
      <c r="A7192" t="inlineStr">
        <is>
          <t>A 28198-2022</t>
        </is>
      </c>
      <c r="B7192" s="1" t="n">
        <v>44746</v>
      </c>
      <c r="C7192" s="1" t="n">
        <v>45810</v>
      </c>
      <c r="D7192" t="inlineStr">
        <is>
          <t>VÄRMLANDS LÄN</t>
        </is>
      </c>
      <c r="E7192" t="inlineStr">
        <is>
          <t>FILIPSTAD</t>
        </is>
      </c>
      <c r="F7192" t="inlineStr">
        <is>
          <t>Bergvik skog väst AB</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28316-2022</t>
        </is>
      </c>
      <c r="B7193" s="1" t="n">
        <v>44747</v>
      </c>
      <c r="C7193" s="1" t="n">
        <v>45810</v>
      </c>
      <c r="D7193" t="inlineStr">
        <is>
          <t>VÄRMLANDS LÄN</t>
        </is>
      </c>
      <c r="E7193" t="inlineStr">
        <is>
          <t>MUNKFORS</t>
        </is>
      </c>
      <c r="G7193" t="n">
        <v>2.2</v>
      </c>
      <c r="H7193" t="n">
        <v>0</v>
      </c>
      <c r="I7193" t="n">
        <v>0</v>
      </c>
      <c r="J7193" t="n">
        <v>0</v>
      </c>
      <c r="K7193" t="n">
        <v>0</v>
      </c>
      <c r="L7193" t="n">
        <v>0</v>
      </c>
      <c r="M7193" t="n">
        <v>0</v>
      </c>
      <c r="N7193" t="n">
        <v>0</v>
      </c>
      <c r="O7193" t="n">
        <v>0</v>
      </c>
      <c r="P7193" t="n">
        <v>0</v>
      </c>
      <c r="Q7193" t="n">
        <v>0</v>
      </c>
      <c r="R7193" s="2" t="inlineStr"/>
    </row>
    <row r="7194" ht="15" customHeight="1">
      <c r="A7194" t="inlineStr">
        <is>
          <t>A 28327-2022</t>
        </is>
      </c>
      <c r="B7194" s="1" t="n">
        <v>44747</v>
      </c>
      <c r="C7194" s="1" t="n">
        <v>45810</v>
      </c>
      <c r="D7194" t="inlineStr">
        <is>
          <t>VÄRMLANDS LÄN</t>
        </is>
      </c>
      <c r="E7194" t="inlineStr">
        <is>
          <t>FORSHAGA</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28371-2022</t>
        </is>
      </c>
      <c r="B7195" s="1" t="n">
        <v>44747</v>
      </c>
      <c r="C7195" s="1" t="n">
        <v>45810</v>
      </c>
      <c r="D7195" t="inlineStr">
        <is>
          <t>VÄRMLANDS LÄN</t>
        </is>
      </c>
      <c r="E7195" t="inlineStr">
        <is>
          <t>ÅRJÄNG</t>
        </is>
      </c>
      <c r="F7195" t="inlineStr">
        <is>
          <t>Naturvårdsverket</t>
        </is>
      </c>
      <c r="G7195" t="n">
        <v>2.3</v>
      </c>
      <c r="H7195" t="n">
        <v>0</v>
      </c>
      <c r="I7195" t="n">
        <v>0</v>
      </c>
      <c r="J7195" t="n">
        <v>0</v>
      </c>
      <c r="K7195" t="n">
        <v>0</v>
      </c>
      <c r="L7195" t="n">
        <v>0</v>
      </c>
      <c r="M7195" t="n">
        <v>0</v>
      </c>
      <c r="N7195" t="n">
        <v>0</v>
      </c>
      <c r="O7195" t="n">
        <v>0</v>
      </c>
      <c r="P7195" t="n">
        <v>0</v>
      </c>
      <c r="Q7195" t="n">
        <v>0</v>
      </c>
      <c r="R7195" s="2" t="inlineStr"/>
    </row>
    <row r="7196" ht="15" customHeight="1">
      <c r="A7196" t="inlineStr">
        <is>
          <t>A 28391-2022</t>
        </is>
      </c>
      <c r="B7196" s="1" t="n">
        <v>44747</v>
      </c>
      <c r="C7196" s="1" t="n">
        <v>45810</v>
      </c>
      <c r="D7196" t="inlineStr">
        <is>
          <t>VÄRMLANDS LÄN</t>
        </is>
      </c>
      <c r="E7196" t="inlineStr">
        <is>
          <t>SUNNE</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28439-2022</t>
        </is>
      </c>
      <c r="B7197" s="1" t="n">
        <v>44747</v>
      </c>
      <c r="C7197" s="1" t="n">
        <v>45810</v>
      </c>
      <c r="D7197" t="inlineStr">
        <is>
          <t>VÄRMLANDS LÄN</t>
        </is>
      </c>
      <c r="E7197" t="inlineStr">
        <is>
          <t>ÅRJÄNG</t>
        </is>
      </c>
      <c r="G7197" t="n">
        <v>8.699999999999999</v>
      </c>
      <c r="H7197" t="n">
        <v>0</v>
      </c>
      <c r="I7197" t="n">
        <v>0</v>
      </c>
      <c r="J7197" t="n">
        <v>0</v>
      </c>
      <c r="K7197" t="n">
        <v>0</v>
      </c>
      <c r="L7197" t="n">
        <v>0</v>
      </c>
      <c r="M7197" t="n">
        <v>0</v>
      </c>
      <c r="N7197" t="n">
        <v>0</v>
      </c>
      <c r="O7197" t="n">
        <v>0</v>
      </c>
      <c r="P7197" t="n">
        <v>0</v>
      </c>
      <c r="Q7197" t="n">
        <v>0</v>
      </c>
      <c r="R7197" s="2" t="inlineStr"/>
    </row>
    <row r="7198" ht="15" customHeight="1">
      <c r="A7198" t="inlineStr">
        <is>
          <t>A 28384-2022</t>
        </is>
      </c>
      <c r="B7198" s="1" t="n">
        <v>44747</v>
      </c>
      <c r="C7198" s="1" t="n">
        <v>45810</v>
      </c>
      <c r="D7198" t="inlineStr">
        <is>
          <t>VÄRMLANDS LÄN</t>
        </is>
      </c>
      <c r="E7198" t="inlineStr">
        <is>
          <t>ÅRJÄNG</t>
        </is>
      </c>
      <c r="F7198" t="inlineStr">
        <is>
          <t>Naturvårdsverket</t>
        </is>
      </c>
      <c r="G7198" t="n">
        <v>1.7</v>
      </c>
      <c r="H7198" t="n">
        <v>0</v>
      </c>
      <c r="I7198" t="n">
        <v>0</v>
      </c>
      <c r="J7198" t="n">
        <v>0</v>
      </c>
      <c r="K7198" t="n">
        <v>0</v>
      </c>
      <c r="L7198" t="n">
        <v>0</v>
      </c>
      <c r="M7198" t="n">
        <v>0</v>
      </c>
      <c r="N7198" t="n">
        <v>0</v>
      </c>
      <c r="O7198" t="n">
        <v>0</v>
      </c>
      <c r="P7198" t="n">
        <v>0</v>
      </c>
      <c r="Q7198" t="n">
        <v>0</v>
      </c>
      <c r="R7198" s="2" t="inlineStr"/>
    </row>
    <row r="7199" ht="15" customHeight="1">
      <c r="A7199" t="inlineStr">
        <is>
          <t>A 28382-2022</t>
        </is>
      </c>
      <c r="B7199" s="1" t="n">
        <v>44747</v>
      </c>
      <c r="C7199" s="1" t="n">
        <v>45810</v>
      </c>
      <c r="D7199" t="inlineStr">
        <is>
          <t>VÄRMLANDS LÄN</t>
        </is>
      </c>
      <c r="E7199" t="inlineStr">
        <is>
          <t>ÅRJÄNG</t>
        </is>
      </c>
      <c r="F7199" t="inlineStr">
        <is>
          <t>Naturvårdsverket</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28392-2022</t>
        </is>
      </c>
      <c r="B7200" s="1" t="n">
        <v>44747</v>
      </c>
      <c r="C7200" s="1" t="n">
        <v>45810</v>
      </c>
      <c r="D7200" t="inlineStr">
        <is>
          <t>VÄRMLANDS LÄN</t>
        </is>
      </c>
      <c r="E7200" t="inlineStr">
        <is>
          <t>SUNNE</t>
        </is>
      </c>
      <c r="G7200" t="n">
        <v>0.3</v>
      </c>
      <c r="H7200" t="n">
        <v>0</v>
      </c>
      <c r="I7200" t="n">
        <v>0</v>
      </c>
      <c r="J7200" t="n">
        <v>0</v>
      </c>
      <c r="K7200" t="n">
        <v>0</v>
      </c>
      <c r="L7200" t="n">
        <v>0</v>
      </c>
      <c r="M7200" t="n">
        <v>0</v>
      </c>
      <c r="N7200" t="n">
        <v>0</v>
      </c>
      <c r="O7200" t="n">
        <v>0</v>
      </c>
      <c r="P7200" t="n">
        <v>0</v>
      </c>
      <c r="Q7200" t="n">
        <v>0</v>
      </c>
      <c r="R7200" s="2" t="inlineStr"/>
    </row>
    <row r="7201" ht="15" customHeight="1">
      <c r="A7201" t="inlineStr">
        <is>
          <t>A 28396-2022</t>
        </is>
      </c>
      <c r="B7201" s="1" t="n">
        <v>44747</v>
      </c>
      <c r="C7201" s="1" t="n">
        <v>45810</v>
      </c>
      <c r="D7201" t="inlineStr">
        <is>
          <t>VÄRMLANDS LÄN</t>
        </is>
      </c>
      <c r="E7201" t="inlineStr">
        <is>
          <t>SUNNE</t>
        </is>
      </c>
      <c r="G7201" t="n">
        <v>4.6</v>
      </c>
      <c r="H7201" t="n">
        <v>0</v>
      </c>
      <c r="I7201" t="n">
        <v>0</v>
      </c>
      <c r="J7201" t="n">
        <v>0</v>
      </c>
      <c r="K7201" t="n">
        <v>0</v>
      </c>
      <c r="L7201" t="n">
        <v>0</v>
      </c>
      <c r="M7201" t="n">
        <v>0</v>
      </c>
      <c r="N7201" t="n">
        <v>0</v>
      </c>
      <c r="O7201" t="n">
        <v>0</v>
      </c>
      <c r="P7201" t="n">
        <v>0</v>
      </c>
      <c r="Q7201" t="n">
        <v>0</v>
      </c>
      <c r="R7201" s="2" t="inlineStr"/>
    </row>
    <row r="7202" ht="15" customHeight="1">
      <c r="A7202" t="inlineStr">
        <is>
          <t>A 28389-2022</t>
        </is>
      </c>
      <c r="B7202" s="1" t="n">
        <v>44747</v>
      </c>
      <c r="C7202" s="1" t="n">
        <v>45810</v>
      </c>
      <c r="D7202" t="inlineStr">
        <is>
          <t>VÄRMLANDS LÄN</t>
        </is>
      </c>
      <c r="E7202" t="inlineStr">
        <is>
          <t>SUNNE</t>
        </is>
      </c>
      <c r="G7202" t="n">
        <v>3</v>
      </c>
      <c r="H7202" t="n">
        <v>0</v>
      </c>
      <c r="I7202" t="n">
        <v>0</v>
      </c>
      <c r="J7202" t="n">
        <v>0</v>
      </c>
      <c r="K7202" t="n">
        <v>0</v>
      </c>
      <c r="L7202" t="n">
        <v>0</v>
      </c>
      <c r="M7202" t="n">
        <v>0</v>
      </c>
      <c r="N7202" t="n">
        <v>0</v>
      </c>
      <c r="O7202" t="n">
        <v>0</v>
      </c>
      <c r="P7202" t="n">
        <v>0</v>
      </c>
      <c r="Q7202" t="n">
        <v>0</v>
      </c>
      <c r="R7202" s="2" t="inlineStr"/>
    </row>
    <row r="7203" ht="15" customHeight="1">
      <c r="A7203" t="inlineStr">
        <is>
          <t>A 28471-2022</t>
        </is>
      </c>
      <c r="B7203" s="1" t="n">
        <v>44747</v>
      </c>
      <c r="C7203" s="1" t="n">
        <v>45810</v>
      </c>
      <c r="D7203" t="inlineStr">
        <is>
          <t>VÄRMLANDS LÄN</t>
        </is>
      </c>
      <c r="E7203" t="inlineStr">
        <is>
          <t>TORSBY</t>
        </is>
      </c>
      <c r="F7203" t="inlineStr">
        <is>
          <t>Bergvik skog väst AB</t>
        </is>
      </c>
      <c r="G7203" t="n">
        <v>22</v>
      </c>
      <c r="H7203" t="n">
        <v>0</v>
      </c>
      <c r="I7203" t="n">
        <v>0</v>
      </c>
      <c r="J7203" t="n">
        <v>0</v>
      </c>
      <c r="K7203" t="n">
        <v>0</v>
      </c>
      <c r="L7203" t="n">
        <v>0</v>
      </c>
      <c r="M7203" t="n">
        <v>0</v>
      </c>
      <c r="N7203" t="n">
        <v>0</v>
      </c>
      <c r="O7203" t="n">
        <v>0</v>
      </c>
      <c r="P7203" t="n">
        <v>0</v>
      </c>
      <c r="Q7203" t="n">
        <v>0</v>
      </c>
      <c r="R7203" s="2" t="inlineStr"/>
    </row>
    <row r="7204" ht="15" customHeight="1">
      <c r="A7204" t="inlineStr">
        <is>
          <t>A 28467-2022</t>
        </is>
      </c>
      <c r="B7204" s="1" t="n">
        <v>44747</v>
      </c>
      <c r="C7204" s="1" t="n">
        <v>45810</v>
      </c>
      <c r="D7204" t="inlineStr">
        <is>
          <t>VÄRMLANDS LÄN</t>
        </is>
      </c>
      <c r="E7204" t="inlineStr">
        <is>
          <t>STORFORS</t>
        </is>
      </c>
      <c r="G7204" t="n">
        <v>2.3</v>
      </c>
      <c r="H7204" t="n">
        <v>0</v>
      </c>
      <c r="I7204" t="n">
        <v>0</v>
      </c>
      <c r="J7204" t="n">
        <v>0</v>
      </c>
      <c r="K7204" t="n">
        <v>0</v>
      </c>
      <c r="L7204" t="n">
        <v>0</v>
      </c>
      <c r="M7204" t="n">
        <v>0</v>
      </c>
      <c r="N7204" t="n">
        <v>0</v>
      </c>
      <c r="O7204" t="n">
        <v>0</v>
      </c>
      <c r="P7204" t="n">
        <v>0</v>
      </c>
      <c r="Q7204" t="n">
        <v>0</v>
      </c>
      <c r="R7204" s="2" t="inlineStr"/>
    </row>
    <row r="7205" ht="15" customHeight="1">
      <c r="A7205" t="inlineStr">
        <is>
          <t>A 28466-2022</t>
        </is>
      </c>
      <c r="B7205" s="1" t="n">
        <v>44747</v>
      </c>
      <c r="C7205" s="1" t="n">
        <v>45810</v>
      </c>
      <c r="D7205" t="inlineStr">
        <is>
          <t>VÄRMLANDS LÄN</t>
        </is>
      </c>
      <c r="E7205" t="inlineStr">
        <is>
          <t>STORFORS</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28544-2022</t>
        </is>
      </c>
      <c r="B7206" s="1" t="n">
        <v>44748</v>
      </c>
      <c r="C7206" s="1" t="n">
        <v>45810</v>
      </c>
      <c r="D7206" t="inlineStr">
        <is>
          <t>VÄRMLANDS LÄN</t>
        </is>
      </c>
      <c r="E7206" t="inlineStr">
        <is>
          <t>SÄFFLE</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28547-2022</t>
        </is>
      </c>
      <c r="B7207" s="1" t="n">
        <v>44748</v>
      </c>
      <c r="C7207" s="1" t="n">
        <v>45810</v>
      </c>
      <c r="D7207" t="inlineStr">
        <is>
          <t>VÄRMLANDS LÄN</t>
        </is>
      </c>
      <c r="E7207" t="inlineStr">
        <is>
          <t>ARVIKA</t>
        </is>
      </c>
      <c r="F7207" t="inlineStr">
        <is>
          <t>Bergvik skog väst AB</t>
        </is>
      </c>
      <c r="G7207" t="n">
        <v>2.4</v>
      </c>
      <c r="H7207" t="n">
        <v>0</v>
      </c>
      <c r="I7207" t="n">
        <v>0</v>
      </c>
      <c r="J7207" t="n">
        <v>0</v>
      </c>
      <c r="K7207" t="n">
        <v>0</v>
      </c>
      <c r="L7207" t="n">
        <v>0</v>
      </c>
      <c r="M7207" t="n">
        <v>0</v>
      </c>
      <c r="N7207" t="n">
        <v>0</v>
      </c>
      <c r="O7207" t="n">
        <v>0</v>
      </c>
      <c r="P7207" t="n">
        <v>0</v>
      </c>
      <c r="Q7207" t="n">
        <v>0</v>
      </c>
      <c r="R7207" s="2" t="inlineStr"/>
    </row>
    <row r="7208" ht="15" customHeight="1">
      <c r="A7208" t="inlineStr">
        <is>
          <t>A 28534-2022</t>
        </is>
      </c>
      <c r="B7208" s="1" t="n">
        <v>44748</v>
      </c>
      <c r="C7208" s="1" t="n">
        <v>45810</v>
      </c>
      <c r="D7208" t="inlineStr">
        <is>
          <t>VÄRMLANDS LÄN</t>
        </is>
      </c>
      <c r="E7208" t="inlineStr">
        <is>
          <t>SÄFFLE</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28548-2022</t>
        </is>
      </c>
      <c r="B7209" s="1" t="n">
        <v>44748</v>
      </c>
      <c r="C7209" s="1" t="n">
        <v>45810</v>
      </c>
      <c r="D7209" t="inlineStr">
        <is>
          <t>VÄRMLANDS LÄN</t>
        </is>
      </c>
      <c r="E7209" t="inlineStr">
        <is>
          <t>ARVIKA</t>
        </is>
      </c>
      <c r="F7209" t="inlineStr">
        <is>
          <t>Bergvik skog väst AB</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28572-2022</t>
        </is>
      </c>
      <c r="B7210" s="1" t="n">
        <v>44748</v>
      </c>
      <c r="C7210" s="1" t="n">
        <v>45810</v>
      </c>
      <c r="D7210" t="inlineStr">
        <is>
          <t>VÄRMLANDS LÄN</t>
        </is>
      </c>
      <c r="E7210" t="inlineStr">
        <is>
          <t>SUNNE</t>
        </is>
      </c>
      <c r="G7210" t="n">
        <v>2.2</v>
      </c>
      <c r="H7210" t="n">
        <v>0</v>
      </c>
      <c r="I7210" t="n">
        <v>0</v>
      </c>
      <c r="J7210" t="n">
        <v>0</v>
      </c>
      <c r="K7210" t="n">
        <v>0</v>
      </c>
      <c r="L7210" t="n">
        <v>0</v>
      </c>
      <c r="M7210" t="n">
        <v>0</v>
      </c>
      <c r="N7210" t="n">
        <v>0</v>
      </c>
      <c r="O7210" t="n">
        <v>0</v>
      </c>
      <c r="P7210" t="n">
        <v>0</v>
      </c>
      <c r="Q7210" t="n">
        <v>0</v>
      </c>
      <c r="R7210" s="2" t="inlineStr"/>
    </row>
    <row r="7211" ht="15" customHeight="1">
      <c r="A7211" t="inlineStr">
        <is>
          <t>A 28674-2022</t>
        </is>
      </c>
      <c r="B7211" s="1" t="n">
        <v>44748</v>
      </c>
      <c r="C7211" s="1" t="n">
        <v>45810</v>
      </c>
      <c r="D7211" t="inlineStr">
        <is>
          <t>VÄRMLANDS LÄN</t>
        </is>
      </c>
      <c r="E7211" t="inlineStr">
        <is>
          <t>MUNKFORS</t>
        </is>
      </c>
      <c r="G7211" t="n">
        <v>3.2</v>
      </c>
      <c r="H7211" t="n">
        <v>0</v>
      </c>
      <c r="I7211" t="n">
        <v>0</v>
      </c>
      <c r="J7211" t="n">
        <v>0</v>
      </c>
      <c r="K7211" t="n">
        <v>0</v>
      </c>
      <c r="L7211" t="n">
        <v>0</v>
      </c>
      <c r="M7211" t="n">
        <v>0</v>
      </c>
      <c r="N7211" t="n">
        <v>0</v>
      </c>
      <c r="O7211" t="n">
        <v>0</v>
      </c>
      <c r="P7211" t="n">
        <v>0</v>
      </c>
      <c r="Q7211" t="n">
        <v>0</v>
      </c>
      <c r="R7211" s="2" t="inlineStr"/>
    </row>
    <row r="7212" ht="15" customHeight="1">
      <c r="A7212" t="inlineStr">
        <is>
          <t>A 28904-2022</t>
        </is>
      </c>
      <c r="B7212" s="1" t="n">
        <v>44749</v>
      </c>
      <c r="C7212" s="1" t="n">
        <v>45810</v>
      </c>
      <c r="D7212" t="inlineStr">
        <is>
          <t>VÄRMLANDS LÄN</t>
        </is>
      </c>
      <c r="E7212" t="inlineStr">
        <is>
          <t>ÅRJÄNG</t>
        </is>
      </c>
      <c r="G7212" t="n">
        <v>2.6</v>
      </c>
      <c r="H7212" t="n">
        <v>0</v>
      </c>
      <c r="I7212" t="n">
        <v>0</v>
      </c>
      <c r="J7212" t="n">
        <v>0</v>
      </c>
      <c r="K7212" t="n">
        <v>0</v>
      </c>
      <c r="L7212" t="n">
        <v>0</v>
      </c>
      <c r="M7212" t="n">
        <v>0</v>
      </c>
      <c r="N7212" t="n">
        <v>0</v>
      </c>
      <c r="O7212" t="n">
        <v>0</v>
      </c>
      <c r="P7212" t="n">
        <v>0</v>
      </c>
      <c r="Q7212" t="n">
        <v>0</v>
      </c>
      <c r="R7212" s="2" t="inlineStr"/>
    </row>
    <row r="7213" ht="15" customHeight="1">
      <c r="A7213" t="inlineStr">
        <is>
          <t>A 28982-2022</t>
        </is>
      </c>
      <c r="B7213" s="1" t="n">
        <v>44749</v>
      </c>
      <c r="C7213" s="1" t="n">
        <v>45810</v>
      </c>
      <c r="D7213" t="inlineStr">
        <is>
          <t>VÄRMLANDS LÄN</t>
        </is>
      </c>
      <c r="E7213" t="inlineStr">
        <is>
          <t>HAGFORS</t>
        </is>
      </c>
      <c r="F7213" t="inlineStr">
        <is>
          <t>Bergvik skog väst AB</t>
        </is>
      </c>
      <c r="G7213" t="n">
        <v>7</v>
      </c>
      <c r="H7213" t="n">
        <v>0</v>
      </c>
      <c r="I7213" t="n">
        <v>0</v>
      </c>
      <c r="J7213" t="n">
        <v>0</v>
      </c>
      <c r="K7213" t="n">
        <v>0</v>
      </c>
      <c r="L7213" t="n">
        <v>0</v>
      </c>
      <c r="M7213" t="n">
        <v>0</v>
      </c>
      <c r="N7213" t="n">
        <v>0</v>
      </c>
      <c r="O7213" t="n">
        <v>0</v>
      </c>
      <c r="P7213" t="n">
        <v>0</v>
      </c>
      <c r="Q7213" t="n">
        <v>0</v>
      </c>
      <c r="R7213" s="2" t="inlineStr"/>
    </row>
    <row r="7214" ht="15" customHeight="1">
      <c r="A7214" t="inlineStr">
        <is>
          <t>A 28759-2022</t>
        </is>
      </c>
      <c r="B7214" s="1" t="n">
        <v>44749</v>
      </c>
      <c r="C7214" s="1" t="n">
        <v>45810</v>
      </c>
      <c r="D7214" t="inlineStr">
        <is>
          <t>VÄRMLANDS LÄN</t>
        </is>
      </c>
      <c r="E7214" t="inlineStr">
        <is>
          <t>KRISTINEHAMN</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28807-2022</t>
        </is>
      </c>
      <c r="B7215" s="1" t="n">
        <v>44749</v>
      </c>
      <c r="C7215" s="1" t="n">
        <v>45810</v>
      </c>
      <c r="D7215" t="inlineStr">
        <is>
          <t>VÄRMLANDS LÄN</t>
        </is>
      </c>
      <c r="E7215" t="inlineStr">
        <is>
          <t>SUNNE</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28822-2022</t>
        </is>
      </c>
      <c r="B7216" s="1" t="n">
        <v>44749</v>
      </c>
      <c r="C7216" s="1" t="n">
        <v>45810</v>
      </c>
      <c r="D7216" t="inlineStr">
        <is>
          <t>VÄRMLANDS LÄN</t>
        </is>
      </c>
      <c r="E7216" t="inlineStr">
        <is>
          <t>HAGFORS</t>
        </is>
      </c>
      <c r="F7216" t="inlineStr">
        <is>
          <t>Bergvik skog väst AB</t>
        </is>
      </c>
      <c r="G7216" t="n">
        <v>8.199999999999999</v>
      </c>
      <c r="H7216" t="n">
        <v>0</v>
      </c>
      <c r="I7216" t="n">
        <v>0</v>
      </c>
      <c r="J7216" t="n">
        <v>0</v>
      </c>
      <c r="K7216" t="n">
        <v>0</v>
      </c>
      <c r="L7216" t="n">
        <v>0</v>
      </c>
      <c r="M7216" t="n">
        <v>0</v>
      </c>
      <c r="N7216" t="n">
        <v>0</v>
      </c>
      <c r="O7216" t="n">
        <v>0</v>
      </c>
      <c r="P7216" t="n">
        <v>0</v>
      </c>
      <c r="Q7216" t="n">
        <v>0</v>
      </c>
      <c r="R7216" s="2" t="inlineStr"/>
    </row>
    <row r="7217" ht="15" customHeight="1">
      <c r="A7217" t="inlineStr">
        <is>
          <t>A 28829-2022</t>
        </is>
      </c>
      <c r="B7217" s="1" t="n">
        <v>44749</v>
      </c>
      <c r="C7217" s="1" t="n">
        <v>45810</v>
      </c>
      <c r="D7217" t="inlineStr">
        <is>
          <t>VÄRMLANDS LÄN</t>
        </is>
      </c>
      <c r="E7217" t="inlineStr">
        <is>
          <t>KARLSTAD</t>
        </is>
      </c>
      <c r="F7217" t="inlineStr">
        <is>
          <t>Kyrkan</t>
        </is>
      </c>
      <c r="G7217" t="n">
        <v>2.6</v>
      </c>
      <c r="H7217" t="n">
        <v>0</v>
      </c>
      <c r="I7217" t="n">
        <v>0</v>
      </c>
      <c r="J7217" t="n">
        <v>0</v>
      </c>
      <c r="K7217" t="n">
        <v>0</v>
      </c>
      <c r="L7217" t="n">
        <v>0</v>
      </c>
      <c r="M7217" t="n">
        <v>0</v>
      </c>
      <c r="N7217" t="n">
        <v>0</v>
      </c>
      <c r="O7217" t="n">
        <v>0</v>
      </c>
      <c r="P7217" t="n">
        <v>0</v>
      </c>
      <c r="Q7217" t="n">
        <v>0</v>
      </c>
      <c r="R7217" s="2" t="inlineStr"/>
    </row>
    <row r="7218" ht="15" customHeight="1">
      <c r="A7218" t="inlineStr">
        <is>
          <t>A 28955-2022</t>
        </is>
      </c>
      <c r="B7218" s="1" t="n">
        <v>44749</v>
      </c>
      <c r="C7218" s="1" t="n">
        <v>45810</v>
      </c>
      <c r="D7218" t="inlineStr">
        <is>
          <t>VÄRMLANDS LÄN</t>
        </is>
      </c>
      <c r="E7218" t="inlineStr">
        <is>
          <t>TORSBY</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28876-2022</t>
        </is>
      </c>
      <c r="B7219" s="1" t="n">
        <v>44749</v>
      </c>
      <c r="C7219" s="1" t="n">
        <v>45810</v>
      </c>
      <c r="D7219" t="inlineStr">
        <is>
          <t>VÄRMLANDS LÄN</t>
        </is>
      </c>
      <c r="E7219" t="inlineStr">
        <is>
          <t>SUNNE</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28925-2022</t>
        </is>
      </c>
      <c r="B7220" s="1" t="n">
        <v>44749</v>
      </c>
      <c r="C7220" s="1" t="n">
        <v>45810</v>
      </c>
      <c r="D7220" t="inlineStr">
        <is>
          <t>VÄRMLANDS LÄN</t>
        </is>
      </c>
      <c r="E7220" t="inlineStr">
        <is>
          <t>ÅRJÄNG</t>
        </is>
      </c>
      <c r="G7220" t="n">
        <v>0.6</v>
      </c>
      <c r="H7220" t="n">
        <v>0</v>
      </c>
      <c r="I7220" t="n">
        <v>0</v>
      </c>
      <c r="J7220" t="n">
        <v>0</v>
      </c>
      <c r="K7220" t="n">
        <v>0</v>
      </c>
      <c r="L7220" t="n">
        <v>0</v>
      </c>
      <c r="M7220" t="n">
        <v>0</v>
      </c>
      <c r="N7220" t="n">
        <v>0</v>
      </c>
      <c r="O7220" t="n">
        <v>0</v>
      </c>
      <c r="P7220" t="n">
        <v>0</v>
      </c>
      <c r="Q7220" t="n">
        <v>0</v>
      </c>
      <c r="R7220" s="2" t="inlineStr"/>
    </row>
    <row r="7221" ht="15" customHeight="1">
      <c r="A7221" t="inlineStr">
        <is>
          <t>A 28934-2022</t>
        </is>
      </c>
      <c r="B7221" s="1" t="n">
        <v>44749</v>
      </c>
      <c r="C7221" s="1" t="n">
        <v>45810</v>
      </c>
      <c r="D7221" t="inlineStr">
        <is>
          <t>VÄRMLANDS LÄN</t>
        </is>
      </c>
      <c r="E7221" t="inlineStr">
        <is>
          <t>ÅRJÄNG</t>
        </is>
      </c>
      <c r="G7221" t="n">
        <v>0.6</v>
      </c>
      <c r="H7221" t="n">
        <v>0</v>
      </c>
      <c r="I7221" t="n">
        <v>0</v>
      </c>
      <c r="J7221" t="n">
        <v>0</v>
      </c>
      <c r="K7221" t="n">
        <v>0</v>
      </c>
      <c r="L7221" t="n">
        <v>0</v>
      </c>
      <c r="M7221" t="n">
        <v>0</v>
      </c>
      <c r="N7221" t="n">
        <v>0</v>
      </c>
      <c r="O7221" t="n">
        <v>0</v>
      </c>
      <c r="P7221" t="n">
        <v>0</v>
      </c>
      <c r="Q7221" t="n">
        <v>0</v>
      </c>
      <c r="R7221" s="2" t="inlineStr"/>
    </row>
    <row r="7222" ht="15" customHeight="1">
      <c r="A7222" t="inlineStr">
        <is>
          <t>A 29098-2022</t>
        </is>
      </c>
      <c r="B7222" s="1" t="n">
        <v>44750</v>
      </c>
      <c r="C7222" s="1" t="n">
        <v>45810</v>
      </c>
      <c r="D7222" t="inlineStr">
        <is>
          <t>VÄRMLANDS LÄN</t>
        </is>
      </c>
      <c r="E7222" t="inlineStr">
        <is>
          <t>ÅRJÄNG</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29067-2022</t>
        </is>
      </c>
      <c r="B7223" s="1" t="n">
        <v>44750</v>
      </c>
      <c r="C7223" s="1" t="n">
        <v>45810</v>
      </c>
      <c r="D7223" t="inlineStr">
        <is>
          <t>VÄRMLANDS LÄN</t>
        </is>
      </c>
      <c r="E7223" t="inlineStr">
        <is>
          <t>ARVIKA</t>
        </is>
      </c>
      <c r="G7223" t="n">
        <v>2.3</v>
      </c>
      <c r="H7223" t="n">
        <v>0</v>
      </c>
      <c r="I7223" t="n">
        <v>0</v>
      </c>
      <c r="J7223" t="n">
        <v>0</v>
      </c>
      <c r="K7223" t="n">
        <v>0</v>
      </c>
      <c r="L7223" t="n">
        <v>0</v>
      </c>
      <c r="M7223" t="n">
        <v>0</v>
      </c>
      <c r="N7223" t="n">
        <v>0</v>
      </c>
      <c r="O7223" t="n">
        <v>0</v>
      </c>
      <c r="P7223" t="n">
        <v>0</v>
      </c>
      <c r="Q7223" t="n">
        <v>0</v>
      </c>
      <c r="R7223" s="2" t="inlineStr"/>
    </row>
    <row r="7224" ht="15" customHeight="1">
      <c r="A7224" t="inlineStr">
        <is>
          <t>A 29129-2022</t>
        </is>
      </c>
      <c r="B7224" s="1" t="n">
        <v>44750</v>
      </c>
      <c r="C7224" s="1" t="n">
        <v>45810</v>
      </c>
      <c r="D7224" t="inlineStr">
        <is>
          <t>VÄRMLANDS LÄN</t>
        </is>
      </c>
      <c r="E7224" t="inlineStr">
        <is>
          <t>SUNNE</t>
        </is>
      </c>
      <c r="G7224" t="n">
        <v>2.1</v>
      </c>
      <c r="H7224" t="n">
        <v>0</v>
      </c>
      <c r="I7224" t="n">
        <v>0</v>
      </c>
      <c r="J7224" t="n">
        <v>0</v>
      </c>
      <c r="K7224" t="n">
        <v>0</v>
      </c>
      <c r="L7224" t="n">
        <v>0</v>
      </c>
      <c r="M7224" t="n">
        <v>0</v>
      </c>
      <c r="N7224" t="n">
        <v>0</v>
      </c>
      <c r="O7224" t="n">
        <v>0</v>
      </c>
      <c r="P7224" t="n">
        <v>0</v>
      </c>
      <c r="Q7224" t="n">
        <v>0</v>
      </c>
      <c r="R7224" s="2" t="inlineStr"/>
    </row>
    <row r="7225" ht="15" customHeight="1">
      <c r="A7225" t="inlineStr">
        <is>
          <t>A 29194-2022</t>
        </is>
      </c>
      <c r="B7225" s="1" t="n">
        <v>44750</v>
      </c>
      <c r="C7225" s="1" t="n">
        <v>45810</v>
      </c>
      <c r="D7225" t="inlineStr">
        <is>
          <t>VÄRMLANDS LÄN</t>
        </is>
      </c>
      <c r="E7225" t="inlineStr">
        <is>
          <t>ARVIKA</t>
        </is>
      </c>
      <c r="G7225" t="n">
        <v>2.9</v>
      </c>
      <c r="H7225" t="n">
        <v>0</v>
      </c>
      <c r="I7225" t="n">
        <v>0</v>
      </c>
      <c r="J7225" t="n">
        <v>0</v>
      </c>
      <c r="K7225" t="n">
        <v>0</v>
      </c>
      <c r="L7225" t="n">
        <v>0</v>
      </c>
      <c r="M7225" t="n">
        <v>0</v>
      </c>
      <c r="N7225" t="n">
        <v>0</v>
      </c>
      <c r="O7225" t="n">
        <v>0</v>
      </c>
      <c r="P7225" t="n">
        <v>0</v>
      </c>
      <c r="Q7225" t="n">
        <v>0</v>
      </c>
      <c r="R7225" s="2" t="inlineStr"/>
    </row>
    <row r="7226" ht="15" customHeight="1">
      <c r="A7226" t="inlineStr">
        <is>
          <t>A 29258-2022</t>
        </is>
      </c>
      <c r="B7226" s="1" t="n">
        <v>44750</v>
      </c>
      <c r="C7226" s="1" t="n">
        <v>45810</v>
      </c>
      <c r="D7226" t="inlineStr">
        <is>
          <t>VÄRMLANDS LÄN</t>
        </is>
      </c>
      <c r="E7226" t="inlineStr">
        <is>
          <t>EDA</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29363-2022</t>
        </is>
      </c>
      <c r="B7227" s="1" t="n">
        <v>44750</v>
      </c>
      <c r="C7227" s="1" t="n">
        <v>45810</v>
      </c>
      <c r="D7227" t="inlineStr">
        <is>
          <t>VÄRMLANDS LÄN</t>
        </is>
      </c>
      <c r="E7227" t="inlineStr">
        <is>
          <t>SÄFFLE</t>
        </is>
      </c>
      <c r="G7227" t="n">
        <v>2.5</v>
      </c>
      <c r="H7227" t="n">
        <v>0</v>
      </c>
      <c r="I7227" t="n">
        <v>0</v>
      </c>
      <c r="J7227" t="n">
        <v>0</v>
      </c>
      <c r="K7227" t="n">
        <v>0</v>
      </c>
      <c r="L7227" t="n">
        <v>0</v>
      </c>
      <c r="M7227" t="n">
        <v>0</v>
      </c>
      <c r="N7227" t="n">
        <v>0</v>
      </c>
      <c r="O7227" t="n">
        <v>0</v>
      </c>
      <c r="P7227" t="n">
        <v>0</v>
      </c>
      <c r="Q7227" t="n">
        <v>0</v>
      </c>
      <c r="R7227" s="2" t="inlineStr"/>
    </row>
    <row r="7228" ht="15" customHeight="1">
      <c r="A7228" t="inlineStr">
        <is>
          <t>A 29174-2022</t>
        </is>
      </c>
      <c r="B7228" s="1" t="n">
        <v>44750</v>
      </c>
      <c r="C7228" s="1" t="n">
        <v>45810</v>
      </c>
      <c r="D7228" t="inlineStr">
        <is>
          <t>VÄRMLANDS LÄN</t>
        </is>
      </c>
      <c r="E7228" t="inlineStr">
        <is>
          <t>ÅRJÄNG</t>
        </is>
      </c>
      <c r="G7228" t="n">
        <v>0.1</v>
      </c>
      <c r="H7228" t="n">
        <v>0</v>
      </c>
      <c r="I7228" t="n">
        <v>0</v>
      </c>
      <c r="J7228" t="n">
        <v>0</v>
      </c>
      <c r="K7228" t="n">
        <v>0</v>
      </c>
      <c r="L7228" t="n">
        <v>0</v>
      </c>
      <c r="M7228" t="n">
        <v>0</v>
      </c>
      <c r="N7228" t="n">
        <v>0</v>
      </c>
      <c r="O7228" t="n">
        <v>0</v>
      </c>
      <c r="P7228" t="n">
        <v>0</v>
      </c>
      <c r="Q7228" t="n">
        <v>0</v>
      </c>
      <c r="R7228" s="2" t="inlineStr"/>
    </row>
    <row r="7229" ht="15" customHeight="1">
      <c r="A7229" t="inlineStr">
        <is>
          <t>A 29142-2022</t>
        </is>
      </c>
      <c r="B7229" s="1" t="n">
        <v>44750</v>
      </c>
      <c r="C7229" s="1" t="n">
        <v>45810</v>
      </c>
      <c r="D7229" t="inlineStr">
        <is>
          <t>VÄRMLANDS LÄN</t>
        </is>
      </c>
      <c r="E7229" t="inlineStr">
        <is>
          <t>TORSBY</t>
        </is>
      </c>
      <c r="G7229" t="n">
        <v>2.3</v>
      </c>
      <c r="H7229" t="n">
        <v>0</v>
      </c>
      <c r="I7229" t="n">
        <v>0</v>
      </c>
      <c r="J7229" t="n">
        <v>0</v>
      </c>
      <c r="K7229" t="n">
        <v>0</v>
      </c>
      <c r="L7229" t="n">
        <v>0</v>
      </c>
      <c r="M7229" t="n">
        <v>0</v>
      </c>
      <c r="N7229" t="n">
        <v>0</v>
      </c>
      <c r="O7229" t="n">
        <v>0</v>
      </c>
      <c r="P7229" t="n">
        <v>0</v>
      </c>
      <c r="Q7229" t="n">
        <v>0</v>
      </c>
      <c r="R7229" s="2" t="inlineStr"/>
    </row>
    <row r="7230" ht="15" customHeight="1">
      <c r="A7230" t="inlineStr">
        <is>
          <t>A 29379-2022</t>
        </is>
      </c>
      <c r="B7230" s="1" t="n">
        <v>44753</v>
      </c>
      <c r="C7230" s="1" t="n">
        <v>45810</v>
      </c>
      <c r="D7230" t="inlineStr">
        <is>
          <t>VÄRMLANDS LÄN</t>
        </is>
      </c>
      <c r="E7230" t="inlineStr">
        <is>
          <t>HAGFORS</t>
        </is>
      </c>
      <c r="F7230" t="inlineStr">
        <is>
          <t>Bergvik skog väst AB</t>
        </is>
      </c>
      <c r="G7230" t="n">
        <v>4.4</v>
      </c>
      <c r="H7230" t="n">
        <v>0</v>
      </c>
      <c r="I7230" t="n">
        <v>0</v>
      </c>
      <c r="J7230" t="n">
        <v>0</v>
      </c>
      <c r="K7230" t="n">
        <v>0</v>
      </c>
      <c r="L7230" t="n">
        <v>0</v>
      </c>
      <c r="M7230" t="n">
        <v>0</v>
      </c>
      <c r="N7230" t="n">
        <v>0</v>
      </c>
      <c r="O7230" t="n">
        <v>0</v>
      </c>
      <c r="P7230" t="n">
        <v>0</v>
      </c>
      <c r="Q7230" t="n">
        <v>0</v>
      </c>
      <c r="R7230" s="2" t="inlineStr"/>
    </row>
    <row r="7231" ht="15" customHeight="1">
      <c r="A7231" t="inlineStr">
        <is>
          <t>A 29489-2022</t>
        </is>
      </c>
      <c r="B7231" s="1" t="n">
        <v>44753</v>
      </c>
      <c r="C7231" s="1" t="n">
        <v>45810</v>
      </c>
      <c r="D7231" t="inlineStr">
        <is>
          <t>VÄRMLANDS LÄN</t>
        </is>
      </c>
      <c r="E7231" t="inlineStr">
        <is>
          <t>SUNNE</t>
        </is>
      </c>
      <c r="F7231" t="inlineStr">
        <is>
          <t>Övriga Aktiebolag</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29507-2022</t>
        </is>
      </c>
      <c r="B7232" s="1" t="n">
        <v>44753</v>
      </c>
      <c r="C7232" s="1" t="n">
        <v>45810</v>
      </c>
      <c r="D7232" t="inlineStr">
        <is>
          <t>VÄRMLANDS LÄN</t>
        </is>
      </c>
      <c r="E7232" t="inlineStr">
        <is>
          <t>FORSHAGA</t>
        </is>
      </c>
      <c r="F7232" t="inlineStr">
        <is>
          <t>Kommuner</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29426-2022</t>
        </is>
      </c>
      <c r="B7233" s="1" t="n">
        <v>44753</v>
      </c>
      <c r="C7233" s="1" t="n">
        <v>45810</v>
      </c>
      <c r="D7233" t="inlineStr">
        <is>
          <t>VÄRMLANDS LÄN</t>
        </is>
      </c>
      <c r="E7233" t="inlineStr">
        <is>
          <t>GRUMS</t>
        </is>
      </c>
      <c r="F7233" t="inlineStr">
        <is>
          <t>Bergvik skog väst AB</t>
        </is>
      </c>
      <c r="G7233" t="n">
        <v>14.4</v>
      </c>
      <c r="H7233" t="n">
        <v>0</v>
      </c>
      <c r="I7233" t="n">
        <v>0</v>
      </c>
      <c r="J7233" t="n">
        <v>0</v>
      </c>
      <c r="K7233" t="n">
        <v>0</v>
      </c>
      <c r="L7233" t="n">
        <v>0</v>
      </c>
      <c r="M7233" t="n">
        <v>0</v>
      </c>
      <c r="N7233" t="n">
        <v>0</v>
      </c>
      <c r="O7233" t="n">
        <v>0</v>
      </c>
      <c r="P7233" t="n">
        <v>0</v>
      </c>
      <c r="Q7233" t="n">
        <v>0</v>
      </c>
      <c r="R7233" s="2" t="inlineStr"/>
    </row>
    <row r="7234" ht="15" customHeight="1">
      <c r="A7234" t="inlineStr">
        <is>
          <t>A 29520-2022</t>
        </is>
      </c>
      <c r="B7234" s="1" t="n">
        <v>44753</v>
      </c>
      <c r="C7234" s="1" t="n">
        <v>45810</v>
      </c>
      <c r="D7234" t="inlineStr">
        <is>
          <t>VÄRMLANDS LÄN</t>
        </is>
      </c>
      <c r="E7234" t="inlineStr">
        <is>
          <t>FORSHAGA</t>
        </is>
      </c>
      <c r="F7234" t="inlineStr">
        <is>
          <t>Kommuner</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29526-2022</t>
        </is>
      </c>
      <c r="B7235" s="1" t="n">
        <v>44753</v>
      </c>
      <c r="C7235" s="1" t="n">
        <v>45810</v>
      </c>
      <c r="D7235" t="inlineStr">
        <is>
          <t>VÄRMLANDS LÄN</t>
        </is>
      </c>
      <c r="E7235" t="inlineStr">
        <is>
          <t>KRISTINEHAMN</t>
        </is>
      </c>
      <c r="G7235" t="n">
        <v>2.4</v>
      </c>
      <c r="H7235" t="n">
        <v>0</v>
      </c>
      <c r="I7235" t="n">
        <v>0</v>
      </c>
      <c r="J7235" t="n">
        <v>0</v>
      </c>
      <c r="K7235" t="n">
        <v>0</v>
      </c>
      <c r="L7235" t="n">
        <v>0</v>
      </c>
      <c r="M7235" t="n">
        <v>0</v>
      </c>
      <c r="N7235" t="n">
        <v>0</v>
      </c>
      <c r="O7235" t="n">
        <v>0</v>
      </c>
      <c r="P7235" t="n">
        <v>0</v>
      </c>
      <c r="Q7235" t="n">
        <v>0</v>
      </c>
      <c r="R7235" s="2" t="inlineStr"/>
    </row>
    <row r="7236" ht="15" customHeight="1">
      <c r="A7236" t="inlineStr">
        <is>
          <t>A 29509-2022</t>
        </is>
      </c>
      <c r="B7236" s="1" t="n">
        <v>44753</v>
      </c>
      <c r="C7236" s="1" t="n">
        <v>45810</v>
      </c>
      <c r="D7236" t="inlineStr">
        <is>
          <t>VÄRMLANDS LÄN</t>
        </is>
      </c>
      <c r="E7236" t="inlineStr">
        <is>
          <t>TORSBY</t>
        </is>
      </c>
      <c r="G7236" t="n">
        <v>2.5</v>
      </c>
      <c r="H7236" t="n">
        <v>0</v>
      </c>
      <c r="I7236" t="n">
        <v>0</v>
      </c>
      <c r="J7236" t="n">
        <v>0</v>
      </c>
      <c r="K7236" t="n">
        <v>0</v>
      </c>
      <c r="L7236" t="n">
        <v>0</v>
      </c>
      <c r="M7236" t="n">
        <v>0</v>
      </c>
      <c r="N7236" t="n">
        <v>0</v>
      </c>
      <c r="O7236" t="n">
        <v>0</v>
      </c>
      <c r="P7236" t="n">
        <v>0</v>
      </c>
      <c r="Q7236" t="n">
        <v>0</v>
      </c>
      <c r="R7236" s="2" t="inlineStr"/>
    </row>
    <row r="7237" ht="15" customHeight="1">
      <c r="A7237" t="inlineStr">
        <is>
          <t>A 29515-2022</t>
        </is>
      </c>
      <c r="B7237" s="1" t="n">
        <v>44753</v>
      </c>
      <c r="C7237" s="1" t="n">
        <v>45810</v>
      </c>
      <c r="D7237" t="inlineStr">
        <is>
          <t>VÄRMLANDS LÄN</t>
        </is>
      </c>
      <c r="E7237" t="inlineStr">
        <is>
          <t>GRUMS</t>
        </is>
      </c>
      <c r="F7237" t="inlineStr">
        <is>
          <t>Bergvik skog väst AB</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29521-2022</t>
        </is>
      </c>
      <c r="B7238" s="1" t="n">
        <v>44753</v>
      </c>
      <c r="C7238" s="1" t="n">
        <v>45810</v>
      </c>
      <c r="D7238" t="inlineStr">
        <is>
          <t>VÄRMLANDS LÄN</t>
        </is>
      </c>
      <c r="E7238" t="inlineStr">
        <is>
          <t>ARVIKA</t>
        </is>
      </c>
      <c r="F7238" t="inlineStr">
        <is>
          <t>Bergvik skog väst AB</t>
        </is>
      </c>
      <c r="G7238" t="n">
        <v>1.7</v>
      </c>
      <c r="H7238" t="n">
        <v>0</v>
      </c>
      <c r="I7238" t="n">
        <v>0</v>
      </c>
      <c r="J7238" t="n">
        <v>0</v>
      </c>
      <c r="K7238" t="n">
        <v>0</v>
      </c>
      <c r="L7238" t="n">
        <v>0</v>
      </c>
      <c r="M7238" t="n">
        <v>0</v>
      </c>
      <c r="N7238" t="n">
        <v>0</v>
      </c>
      <c r="O7238" t="n">
        <v>0</v>
      </c>
      <c r="P7238" t="n">
        <v>0</v>
      </c>
      <c r="Q7238" t="n">
        <v>0</v>
      </c>
      <c r="R7238" s="2" t="inlineStr"/>
    </row>
    <row r="7239" ht="15" customHeight="1">
      <c r="A7239" t="inlineStr">
        <is>
          <t>A 29590-2022</t>
        </is>
      </c>
      <c r="B7239" s="1" t="n">
        <v>44754</v>
      </c>
      <c r="C7239" s="1" t="n">
        <v>45810</v>
      </c>
      <c r="D7239" t="inlineStr">
        <is>
          <t>VÄRMLANDS LÄN</t>
        </is>
      </c>
      <c r="E7239" t="inlineStr">
        <is>
          <t>FORSHAGA</t>
        </is>
      </c>
      <c r="F7239" t="inlineStr">
        <is>
          <t>Kommuner</t>
        </is>
      </c>
      <c r="G7239" t="n">
        <v>0.4</v>
      </c>
      <c r="H7239" t="n">
        <v>0</v>
      </c>
      <c r="I7239" t="n">
        <v>0</v>
      </c>
      <c r="J7239" t="n">
        <v>0</v>
      </c>
      <c r="K7239" t="n">
        <v>0</v>
      </c>
      <c r="L7239" t="n">
        <v>0</v>
      </c>
      <c r="M7239" t="n">
        <v>0</v>
      </c>
      <c r="N7239" t="n">
        <v>0</v>
      </c>
      <c r="O7239" t="n">
        <v>0</v>
      </c>
      <c r="P7239" t="n">
        <v>0</v>
      </c>
      <c r="Q7239" t="n">
        <v>0</v>
      </c>
      <c r="R7239" s="2" t="inlineStr"/>
    </row>
    <row r="7240" ht="15" customHeight="1">
      <c r="A7240" t="inlineStr">
        <is>
          <t>A 29619-2022</t>
        </is>
      </c>
      <c r="B7240" s="1" t="n">
        <v>44754</v>
      </c>
      <c r="C7240" s="1" t="n">
        <v>45810</v>
      </c>
      <c r="D7240" t="inlineStr">
        <is>
          <t>VÄRMLANDS LÄN</t>
        </is>
      </c>
      <c r="E7240" t="inlineStr">
        <is>
          <t>ARVIKA</t>
        </is>
      </c>
      <c r="F7240" t="inlineStr">
        <is>
          <t>Bergvik skog väst AB</t>
        </is>
      </c>
      <c r="G7240" t="n">
        <v>1.9</v>
      </c>
      <c r="H7240" t="n">
        <v>0</v>
      </c>
      <c r="I7240" t="n">
        <v>0</v>
      </c>
      <c r="J7240" t="n">
        <v>0</v>
      </c>
      <c r="K7240" t="n">
        <v>0</v>
      </c>
      <c r="L7240" t="n">
        <v>0</v>
      </c>
      <c r="M7240" t="n">
        <v>0</v>
      </c>
      <c r="N7240" t="n">
        <v>0</v>
      </c>
      <c r="O7240" t="n">
        <v>0</v>
      </c>
      <c r="P7240" t="n">
        <v>0</v>
      </c>
      <c r="Q7240" t="n">
        <v>0</v>
      </c>
      <c r="R7240" s="2" t="inlineStr"/>
    </row>
    <row r="7241" ht="15" customHeight="1">
      <c r="A7241" t="inlineStr">
        <is>
          <t>A 29645-2022</t>
        </is>
      </c>
      <c r="B7241" s="1" t="n">
        <v>44754</v>
      </c>
      <c r="C7241" s="1" t="n">
        <v>45810</v>
      </c>
      <c r="D7241" t="inlineStr">
        <is>
          <t>VÄRMLANDS LÄN</t>
        </is>
      </c>
      <c r="E7241" t="inlineStr">
        <is>
          <t>ÅRJÄNG</t>
        </is>
      </c>
      <c r="F7241" t="inlineStr">
        <is>
          <t>Bergvik skog väst AB</t>
        </is>
      </c>
      <c r="G7241" t="n">
        <v>1.4</v>
      </c>
      <c r="H7241" t="n">
        <v>0</v>
      </c>
      <c r="I7241" t="n">
        <v>0</v>
      </c>
      <c r="J7241" t="n">
        <v>0</v>
      </c>
      <c r="K7241" t="n">
        <v>0</v>
      </c>
      <c r="L7241" t="n">
        <v>0</v>
      </c>
      <c r="M7241" t="n">
        <v>0</v>
      </c>
      <c r="N7241" t="n">
        <v>0</v>
      </c>
      <c r="O7241" t="n">
        <v>0</v>
      </c>
      <c r="P7241" t="n">
        <v>0</v>
      </c>
      <c r="Q7241" t="n">
        <v>0</v>
      </c>
      <c r="R7241" s="2" t="inlineStr"/>
    </row>
    <row r="7242" ht="15" customHeight="1">
      <c r="A7242" t="inlineStr">
        <is>
          <t>A 29596-2022</t>
        </is>
      </c>
      <c r="B7242" s="1" t="n">
        <v>44754</v>
      </c>
      <c r="C7242" s="1" t="n">
        <v>45810</v>
      </c>
      <c r="D7242" t="inlineStr">
        <is>
          <t>VÄRMLANDS LÄN</t>
        </is>
      </c>
      <c r="E7242" t="inlineStr">
        <is>
          <t>TORSBY</t>
        </is>
      </c>
      <c r="F7242" t="inlineStr">
        <is>
          <t>Bergvik skog väst AB</t>
        </is>
      </c>
      <c r="G7242" t="n">
        <v>2.4</v>
      </c>
      <c r="H7242" t="n">
        <v>0</v>
      </c>
      <c r="I7242" t="n">
        <v>0</v>
      </c>
      <c r="J7242" t="n">
        <v>0</v>
      </c>
      <c r="K7242" t="n">
        <v>0</v>
      </c>
      <c r="L7242" t="n">
        <v>0</v>
      </c>
      <c r="M7242" t="n">
        <v>0</v>
      </c>
      <c r="N7242" t="n">
        <v>0</v>
      </c>
      <c r="O7242" t="n">
        <v>0</v>
      </c>
      <c r="P7242" t="n">
        <v>0</v>
      </c>
      <c r="Q7242" t="n">
        <v>0</v>
      </c>
      <c r="R7242" s="2" t="inlineStr"/>
    </row>
    <row r="7243" ht="15" customHeight="1">
      <c r="A7243" t="inlineStr">
        <is>
          <t>A 29615-2022</t>
        </is>
      </c>
      <c r="B7243" s="1" t="n">
        <v>44754</v>
      </c>
      <c r="C7243" s="1" t="n">
        <v>45810</v>
      </c>
      <c r="D7243" t="inlineStr">
        <is>
          <t>VÄRMLANDS LÄN</t>
        </is>
      </c>
      <c r="E7243" t="inlineStr">
        <is>
          <t>KIL</t>
        </is>
      </c>
      <c r="F7243" t="inlineStr">
        <is>
          <t>Kyrkan</t>
        </is>
      </c>
      <c r="G7243" t="n">
        <v>3.9</v>
      </c>
      <c r="H7243" t="n">
        <v>0</v>
      </c>
      <c r="I7243" t="n">
        <v>0</v>
      </c>
      <c r="J7243" t="n">
        <v>0</v>
      </c>
      <c r="K7243" t="n">
        <v>0</v>
      </c>
      <c r="L7243" t="n">
        <v>0</v>
      </c>
      <c r="M7243" t="n">
        <v>0</v>
      </c>
      <c r="N7243" t="n">
        <v>0</v>
      </c>
      <c r="O7243" t="n">
        <v>0</v>
      </c>
      <c r="P7243" t="n">
        <v>0</v>
      </c>
      <c r="Q7243" t="n">
        <v>0</v>
      </c>
      <c r="R7243" s="2" t="inlineStr"/>
    </row>
    <row r="7244" ht="15" customHeight="1">
      <c r="A7244" t="inlineStr">
        <is>
          <t>A 29588-2022</t>
        </is>
      </c>
      <c r="B7244" s="1" t="n">
        <v>44754</v>
      </c>
      <c r="C7244" s="1" t="n">
        <v>45810</v>
      </c>
      <c r="D7244" t="inlineStr">
        <is>
          <t>VÄRMLANDS LÄN</t>
        </is>
      </c>
      <c r="E7244" t="inlineStr">
        <is>
          <t>SUNNE</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29603-2022</t>
        </is>
      </c>
      <c r="B7245" s="1" t="n">
        <v>44754</v>
      </c>
      <c r="C7245" s="1" t="n">
        <v>45810</v>
      </c>
      <c r="D7245" t="inlineStr">
        <is>
          <t>VÄRMLANDS LÄN</t>
        </is>
      </c>
      <c r="E7245" t="inlineStr">
        <is>
          <t>ARVIKA</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29655-2022</t>
        </is>
      </c>
      <c r="B7246" s="1" t="n">
        <v>44754</v>
      </c>
      <c r="C7246" s="1" t="n">
        <v>45810</v>
      </c>
      <c r="D7246" t="inlineStr">
        <is>
          <t>VÄRMLANDS LÄN</t>
        </is>
      </c>
      <c r="E7246" t="inlineStr">
        <is>
          <t>KARLSTAD</t>
        </is>
      </c>
      <c r="F7246" t="inlineStr">
        <is>
          <t>Kommuner</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29578-2022</t>
        </is>
      </c>
      <c r="B7247" s="1" t="n">
        <v>44754</v>
      </c>
      <c r="C7247" s="1" t="n">
        <v>45810</v>
      </c>
      <c r="D7247" t="inlineStr">
        <is>
          <t>VÄRMLANDS LÄN</t>
        </is>
      </c>
      <c r="E7247" t="inlineStr">
        <is>
          <t>ARVIKA</t>
        </is>
      </c>
      <c r="G7247" t="n">
        <v>3</v>
      </c>
      <c r="H7247" t="n">
        <v>0</v>
      </c>
      <c r="I7247" t="n">
        <v>0</v>
      </c>
      <c r="J7247" t="n">
        <v>0</v>
      </c>
      <c r="K7247" t="n">
        <v>0</v>
      </c>
      <c r="L7247" t="n">
        <v>0</v>
      </c>
      <c r="M7247" t="n">
        <v>0</v>
      </c>
      <c r="N7247" t="n">
        <v>0</v>
      </c>
      <c r="O7247" t="n">
        <v>0</v>
      </c>
      <c r="P7247" t="n">
        <v>0</v>
      </c>
      <c r="Q7247" t="n">
        <v>0</v>
      </c>
      <c r="R7247" s="2" t="inlineStr"/>
    </row>
    <row r="7248" ht="15" customHeight="1">
      <c r="A7248" t="inlineStr">
        <is>
          <t>A 29587-2022</t>
        </is>
      </c>
      <c r="B7248" s="1" t="n">
        <v>44754</v>
      </c>
      <c r="C7248" s="1" t="n">
        <v>45810</v>
      </c>
      <c r="D7248" t="inlineStr">
        <is>
          <t>VÄRMLANDS LÄN</t>
        </is>
      </c>
      <c r="E7248" t="inlineStr">
        <is>
          <t>FORSHAGA</t>
        </is>
      </c>
      <c r="F7248" t="inlineStr">
        <is>
          <t>Kommuner</t>
        </is>
      </c>
      <c r="G7248" t="n">
        <v>5</v>
      </c>
      <c r="H7248" t="n">
        <v>0</v>
      </c>
      <c r="I7248" t="n">
        <v>0</v>
      </c>
      <c r="J7248" t="n">
        <v>0</v>
      </c>
      <c r="K7248" t="n">
        <v>0</v>
      </c>
      <c r="L7248" t="n">
        <v>0</v>
      </c>
      <c r="M7248" t="n">
        <v>0</v>
      </c>
      <c r="N7248" t="n">
        <v>0</v>
      </c>
      <c r="O7248" t="n">
        <v>0</v>
      </c>
      <c r="P7248" t="n">
        <v>0</v>
      </c>
      <c r="Q7248" t="n">
        <v>0</v>
      </c>
      <c r="R7248" s="2" t="inlineStr"/>
    </row>
    <row r="7249" ht="15" customHeight="1">
      <c r="A7249" t="inlineStr">
        <is>
          <t>A 29608-2022</t>
        </is>
      </c>
      <c r="B7249" s="1" t="n">
        <v>44754</v>
      </c>
      <c r="C7249" s="1" t="n">
        <v>45810</v>
      </c>
      <c r="D7249" t="inlineStr">
        <is>
          <t>VÄRMLANDS LÄN</t>
        </is>
      </c>
      <c r="E7249" t="inlineStr">
        <is>
          <t>KIL</t>
        </is>
      </c>
      <c r="F7249" t="inlineStr">
        <is>
          <t>Kyrkan</t>
        </is>
      </c>
      <c r="G7249" t="n">
        <v>4.5</v>
      </c>
      <c r="H7249" t="n">
        <v>0</v>
      </c>
      <c r="I7249" t="n">
        <v>0</v>
      </c>
      <c r="J7249" t="n">
        <v>0</v>
      </c>
      <c r="K7249" t="n">
        <v>0</v>
      </c>
      <c r="L7249" t="n">
        <v>0</v>
      </c>
      <c r="M7249" t="n">
        <v>0</v>
      </c>
      <c r="N7249" t="n">
        <v>0</v>
      </c>
      <c r="O7249" t="n">
        <v>0</v>
      </c>
      <c r="P7249" t="n">
        <v>0</v>
      </c>
      <c r="Q7249" t="n">
        <v>0</v>
      </c>
      <c r="R7249" s="2" t="inlineStr"/>
    </row>
    <row r="7250" ht="15" customHeight="1">
      <c r="A7250" t="inlineStr">
        <is>
          <t>A 29654-2022</t>
        </is>
      </c>
      <c r="B7250" s="1" t="n">
        <v>44754</v>
      </c>
      <c r="C7250" s="1" t="n">
        <v>45810</v>
      </c>
      <c r="D7250" t="inlineStr">
        <is>
          <t>VÄRMLANDS LÄN</t>
        </is>
      </c>
      <c r="E7250" t="inlineStr">
        <is>
          <t>KARLSTAD</t>
        </is>
      </c>
      <c r="F7250" t="inlineStr">
        <is>
          <t>Kommuner</t>
        </is>
      </c>
      <c r="G7250" t="n">
        <v>1.7</v>
      </c>
      <c r="H7250" t="n">
        <v>0</v>
      </c>
      <c r="I7250" t="n">
        <v>0</v>
      </c>
      <c r="J7250" t="n">
        <v>0</v>
      </c>
      <c r="K7250" t="n">
        <v>0</v>
      </c>
      <c r="L7250" t="n">
        <v>0</v>
      </c>
      <c r="M7250" t="n">
        <v>0</v>
      </c>
      <c r="N7250" t="n">
        <v>0</v>
      </c>
      <c r="O7250" t="n">
        <v>0</v>
      </c>
      <c r="P7250" t="n">
        <v>0</v>
      </c>
      <c r="Q7250" t="n">
        <v>0</v>
      </c>
      <c r="R7250" s="2" t="inlineStr"/>
    </row>
    <row r="7251" ht="15" customHeight="1">
      <c r="A7251" t="inlineStr">
        <is>
          <t>A 29602-2022</t>
        </is>
      </c>
      <c r="B7251" s="1" t="n">
        <v>44754</v>
      </c>
      <c r="C7251" s="1" t="n">
        <v>45810</v>
      </c>
      <c r="D7251" t="inlineStr">
        <is>
          <t>VÄRMLANDS LÄN</t>
        </is>
      </c>
      <c r="E7251" t="inlineStr">
        <is>
          <t>HAGFORS</t>
        </is>
      </c>
      <c r="F7251" t="inlineStr">
        <is>
          <t>Bergvik skog väst AB</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29699-2022</t>
        </is>
      </c>
      <c r="B7252" s="1" t="n">
        <v>44755</v>
      </c>
      <c r="C7252" s="1" t="n">
        <v>45810</v>
      </c>
      <c r="D7252" t="inlineStr">
        <is>
          <t>VÄRMLANDS LÄN</t>
        </is>
      </c>
      <c r="E7252" t="inlineStr">
        <is>
          <t>GRUMS</t>
        </is>
      </c>
      <c r="G7252" t="n">
        <v>3.7</v>
      </c>
      <c r="H7252" t="n">
        <v>0</v>
      </c>
      <c r="I7252" t="n">
        <v>0</v>
      </c>
      <c r="J7252" t="n">
        <v>0</v>
      </c>
      <c r="K7252" t="n">
        <v>0</v>
      </c>
      <c r="L7252" t="n">
        <v>0</v>
      </c>
      <c r="M7252" t="n">
        <v>0</v>
      </c>
      <c r="N7252" t="n">
        <v>0</v>
      </c>
      <c r="O7252" t="n">
        <v>0</v>
      </c>
      <c r="P7252" t="n">
        <v>0</v>
      </c>
      <c r="Q7252" t="n">
        <v>0</v>
      </c>
      <c r="R7252" s="2" t="inlineStr"/>
    </row>
    <row r="7253" ht="15" customHeight="1">
      <c r="A7253" t="inlineStr">
        <is>
          <t>A 29761-2022</t>
        </is>
      </c>
      <c r="B7253" s="1" t="n">
        <v>44755</v>
      </c>
      <c r="C7253" s="1" t="n">
        <v>45810</v>
      </c>
      <c r="D7253" t="inlineStr">
        <is>
          <t>VÄRMLANDS LÄN</t>
        </is>
      </c>
      <c r="E7253" t="inlineStr">
        <is>
          <t>HAGFORS</t>
        </is>
      </c>
      <c r="F7253" t="inlineStr">
        <is>
          <t>Bergvik skog väst AB</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29792-2022</t>
        </is>
      </c>
      <c r="B7254" s="1" t="n">
        <v>44755</v>
      </c>
      <c r="C7254" s="1" t="n">
        <v>45810</v>
      </c>
      <c r="D7254" t="inlineStr">
        <is>
          <t>VÄRMLANDS LÄN</t>
        </is>
      </c>
      <c r="E7254" t="inlineStr">
        <is>
          <t>ÅRJÄNG</t>
        </is>
      </c>
      <c r="G7254" t="n">
        <v>1.9</v>
      </c>
      <c r="H7254" t="n">
        <v>0</v>
      </c>
      <c r="I7254" t="n">
        <v>0</v>
      </c>
      <c r="J7254" t="n">
        <v>0</v>
      </c>
      <c r="K7254" t="n">
        <v>0</v>
      </c>
      <c r="L7254" t="n">
        <v>0</v>
      </c>
      <c r="M7254" t="n">
        <v>0</v>
      </c>
      <c r="N7254" t="n">
        <v>0</v>
      </c>
      <c r="O7254" t="n">
        <v>0</v>
      </c>
      <c r="P7254" t="n">
        <v>0</v>
      </c>
      <c r="Q7254" t="n">
        <v>0</v>
      </c>
      <c r="R7254" s="2" t="inlineStr"/>
    </row>
    <row r="7255" ht="15" customHeight="1">
      <c r="A7255" t="inlineStr">
        <is>
          <t>A 29717-2022</t>
        </is>
      </c>
      <c r="B7255" s="1" t="n">
        <v>44755</v>
      </c>
      <c r="C7255" s="1" t="n">
        <v>45810</v>
      </c>
      <c r="D7255" t="inlineStr">
        <is>
          <t>VÄRMLANDS LÄN</t>
        </is>
      </c>
      <c r="E7255" t="inlineStr">
        <is>
          <t>TORSBY</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29720-2022</t>
        </is>
      </c>
      <c r="B7256" s="1" t="n">
        <v>44755</v>
      </c>
      <c r="C7256" s="1" t="n">
        <v>45810</v>
      </c>
      <c r="D7256" t="inlineStr">
        <is>
          <t>VÄRMLANDS LÄN</t>
        </is>
      </c>
      <c r="E7256" t="inlineStr">
        <is>
          <t>TORSBY</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29694-2022</t>
        </is>
      </c>
      <c r="B7257" s="1" t="n">
        <v>44755</v>
      </c>
      <c r="C7257" s="1" t="n">
        <v>45810</v>
      </c>
      <c r="D7257" t="inlineStr">
        <is>
          <t>VÄRMLANDS LÄN</t>
        </is>
      </c>
      <c r="E7257" t="inlineStr">
        <is>
          <t>ÅRJÄNG</t>
        </is>
      </c>
      <c r="G7257" t="n">
        <v>3.2</v>
      </c>
      <c r="H7257" t="n">
        <v>0</v>
      </c>
      <c r="I7257" t="n">
        <v>0</v>
      </c>
      <c r="J7257" t="n">
        <v>0</v>
      </c>
      <c r="K7257" t="n">
        <v>0</v>
      </c>
      <c r="L7257" t="n">
        <v>0</v>
      </c>
      <c r="M7257" t="n">
        <v>0</v>
      </c>
      <c r="N7257" t="n">
        <v>0</v>
      </c>
      <c r="O7257" t="n">
        <v>0</v>
      </c>
      <c r="P7257" t="n">
        <v>0</v>
      </c>
      <c r="Q7257" t="n">
        <v>0</v>
      </c>
      <c r="R7257" s="2" t="inlineStr"/>
    </row>
    <row r="7258" ht="15" customHeight="1">
      <c r="A7258" t="inlineStr">
        <is>
          <t>A 29721-2022</t>
        </is>
      </c>
      <c r="B7258" s="1" t="n">
        <v>44755</v>
      </c>
      <c r="C7258" s="1" t="n">
        <v>45810</v>
      </c>
      <c r="D7258" t="inlineStr">
        <is>
          <t>VÄRMLANDS LÄN</t>
        </is>
      </c>
      <c r="E7258" t="inlineStr">
        <is>
          <t>TORSBY</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29901-2022</t>
        </is>
      </c>
      <c r="B7259" s="1" t="n">
        <v>44756</v>
      </c>
      <c r="C7259" s="1" t="n">
        <v>45810</v>
      </c>
      <c r="D7259" t="inlineStr">
        <is>
          <t>VÄRMLANDS LÄN</t>
        </is>
      </c>
      <c r="E7259" t="inlineStr">
        <is>
          <t>TORSBY</t>
        </is>
      </c>
      <c r="G7259" t="n">
        <v>3.7</v>
      </c>
      <c r="H7259" t="n">
        <v>0</v>
      </c>
      <c r="I7259" t="n">
        <v>0</v>
      </c>
      <c r="J7259" t="n">
        <v>0</v>
      </c>
      <c r="K7259" t="n">
        <v>0</v>
      </c>
      <c r="L7259" t="n">
        <v>0</v>
      </c>
      <c r="M7259" t="n">
        <v>0</v>
      </c>
      <c r="N7259" t="n">
        <v>0</v>
      </c>
      <c r="O7259" t="n">
        <v>0</v>
      </c>
      <c r="P7259" t="n">
        <v>0</v>
      </c>
      <c r="Q7259" t="n">
        <v>0</v>
      </c>
      <c r="R7259" s="2" t="inlineStr"/>
    </row>
    <row r="7260" ht="15" customHeight="1">
      <c r="A7260" t="inlineStr">
        <is>
          <t>A 29908-2022</t>
        </is>
      </c>
      <c r="B7260" s="1" t="n">
        <v>44756</v>
      </c>
      <c r="C7260" s="1" t="n">
        <v>45810</v>
      </c>
      <c r="D7260" t="inlineStr">
        <is>
          <t>VÄRMLANDS LÄN</t>
        </is>
      </c>
      <c r="E7260" t="inlineStr">
        <is>
          <t>TORSBY</t>
        </is>
      </c>
      <c r="F7260" t="inlineStr">
        <is>
          <t>Kommuner</t>
        </is>
      </c>
      <c r="G7260" t="n">
        <v>1.9</v>
      </c>
      <c r="H7260" t="n">
        <v>0</v>
      </c>
      <c r="I7260" t="n">
        <v>0</v>
      </c>
      <c r="J7260" t="n">
        <v>0</v>
      </c>
      <c r="K7260" t="n">
        <v>0</v>
      </c>
      <c r="L7260" t="n">
        <v>0</v>
      </c>
      <c r="M7260" t="n">
        <v>0</v>
      </c>
      <c r="N7260" t="n">
        <v>0</v>
      </c>
      <c r="O7260" t="n">
        <v>0</v>
      </c>
      <c r="P7260" t="n">
        <v>0</v>
      </c>
      <c r="Q7260" t="n">
        <v>0</v>
      </c>
      <c r="R7260" s="2" t="inlineStr"/>
    </row>
    <row r="7261" ht="15" customHeight="1">
      <c r="A7261" t="inlineStr">
        <is>
          <t>A 29852-2022</t>
        </is>
      </c>
      <c r="B7261" s="1" t="n">
        <v>44756</v>
      </c>
      <c r="C7261" s="1" t="n">
        <v>45810</v>
      </c>
      <c r="D7261" t="inlineStr">
        <is>
          <t>VÄRMLANDS LÄN</t>
        </is>
      </c>
      <c r="E7261" t="inlineStr">
        <is>
          <t>FORSHAGA</t>
        </is>
      </c>
      <c r="G7261" t="n">
        <v>5.9</v>
      </c>
      <c r="H7261" t="n">
        <v>0</v>
      </c>
      <c r="I7261" t="n">
        <v>0</v>
      </c>
      <c r="J7261" t="n">
        <v>0</v>
      </c>
      <c r="K7261" t="n">
        <v>0</v>
      </c>
      <c r="L7261" t="n">
        <v>0</v>
      </c>
      <c r="M7261" t="n">
        <v>0</v>
      </c>
      <c r="N7261" t="n">
        <v>0</v>
      </c>
      <c r="O7261" t="n">
        <v>0</v>
      </c>
      <c r="P7261" t="n">
        <v>0</v>
      </c>
      <c r="Q7261" t="n">
        <v>0</v>
      </c>
      <c r="R7261" s="2" t="inlineStr"/>
    </row>
    <row r="7262" ht="15" customHeight="1">
      <c r="A7262" t="inlineStr">
        <is>
          <t>A 29921-2022</t>
        </is>
      </c>
      <c r="B7262" s="1" t="n">
        <v>44756</v>
      </c>
      <c r="C7262" s="1" t="n">
        <v>45810</v>
      </c>
      <c r="D7262" t="inlineStr">
        <is>
          <t>VÄRMLANDS LÄN</t>
        </is>
      </c>
      <c r="E7262" t="inlineStr">
        <is>
          <t>TORSBY</t>
        </is>
      </c>
      <c r="F7262" t="inlineStr">
        <is>
          <t>Kommuner</t>
        </is>
      </c>
      <c r="G7262" t="n">
        <v>5.4</v>
      </c>
      <c r="H7262" t="n">
        <v>0</v>
      </c>
      <c r="I7262" t="n">
        <v>0</v>
      </c>
      <c r="J7262" t="n">
        <v>0</v>
      </c>
      <c r="K7262" t="n">
        <v>0</v>
      </c>
      <c r="L7262" t="n">
        <v>0</v>
      </c>
      <c r="M7262" t="n">
        <v>0</v>
      </c>
      <c r="N7262" t="n">
        <v>0</v>
      </c>
      <c r="O7262" t="n">
        <v>0</v>
      </c>
      <c r="P7262" t="n">
        <v>0</v>
      </c>
      <c r="Q7262" t="n">
        <v>0</v>
      </c>
      <c r="R7262" s="2" t="inlineStr"/>
    </row>
    <row r="7263" ht="15" customHeight="1">
      <c r="A7263" t="inlineStr">
        <is>
          <t>A 29988-2022</t>
        </is>
      </c>
      <c r="B7263" s="1" t="n">
        <v>44756</v>
      </c>
      <c r="C7263" s="1" t="n">
        <v>45810</v>
      </c>
      <c r="D7263" t="inlineStr">
        <is>
          <t>VÄRMLANDS LÄN</t>
        </is>
      </c>
      <c r="E7263" t="inlineStr">
        <is>
          <t>HAGFORS</t>
        </is>
      </c>
      <c r="G7263" t="n">
        <v>2</v>
      </c>
      <c r="H7263" t="n">
        <v>0</v>
      </c>
      <c r="I7263" t="n">
        <v>0</v>
      </c>
      <c r="J7263" t="n">
        <v>0</v>
      </c>
      <c r="K7263" t="n">
        <v>0</v>
      </c>
      <c r="L7263" t="n">
        <v>0</v>
      </c>
      <c r="M7263" t="n">
        <v>0</v>
      </c>
      <c r="N7263" t="n">
        <v>0</v>
      </c>
      <c r="O7263" t="n">
        <v>0</v>
      </c>
      <c r="P7263" t="n">
        <v>0</v>
      </c>
      <c r="Q7263" t="n">
        <v>0</v>
      </c>
      <c r="R7263" s="2" t="inlineStr"/>
    </row>
    <row r="7264" ht="15" customHeight="1">
      <c r="A7264" t="inlineStr">
        <is>
          <t>A 29990-2022</t>
        </is>
      </c>
      <c r="B7264" s="1" t="n">
        <v>44756</v>
      </c>
      <c r="C7264" s="1" t="n">
        <v>45810</v>
      </c>
      <c r="D7264" t="inlineStr">
        <is>
          <t>VÄRMLANDS LÄN</t>
        </is>
      </c>
      <c r="E7264" t="inlineStr">
        <is>
          <t>TORSBY</t>
        </is>
      </c>
      <c r="G7264" t="n">
        <v>4.9</v>
      </c>
      <c r="H7264" t="n">
        <v>0</v>
      </c>
      <c r="I7264" t="n">
        <v>0</v>
      </c>
      <c r="J7264" t="n">
        <v>0</v>
      </c>
      <c r="K7264" t="n">
        <v>0</v>
      </c>
      <c r="L7264" t="n">
        <v>0</v>
      </c>
      <c r="M7264" t="n">
        <v>0</v>
      </c>
      <c r="N7264" t="n">
        <v>0</v>
      </c>
      <c r="O7264" t="n">
        <v>0</v>
      </c>
      <c r="P7264" t="n">
        <v>0</v>
      </c>
      <c r="Q7264" t="n">
        <v>0</v>
      </c>
      <c r="R7264" s="2" t="inlineStr"/>
    </row>
    <row r="7265" ht="15" customHeight="1">
      <c r="A7265" t="inlineStr">
        <is>
          <t>A 30122-2022</t>
        </is>
      </c>
      <c r="B7265" s="1" t="n">
        <v>44757</v>
      </c>
      <c r="C7265" s="1" t="n">
        <v>45810</v>
      </c>
      <c r="D7265" t="inlineStr">
        <is>
          <t>VÄRMLANDS LÄN</t>
        </is>
      </c>
      <c r="E7265" t="inlineStr">
        <is>
          <t>HAGFORS</t>
        </is>
      </c>
      <c r="F7265" t="inlineStr">
        <is>
          <t>Bergvik skog väst AB</t>
        </is>
      </c>
      <c r="G7265" t="n">
        <v>2.3</v>
      </c>
      <c r="H7265" t="n">
        <v>0</v>
      </c>
      <c r="I7265" t="n">
        <v>0</v>
      </c>
      <c r="J7265" t="n">
        <v>0</v>
      </c>
      <c r="K7265" t="n">
        <v>0</v>
      </c>
      <c r="L7265" t="n">
        <v>0</v>
      </c>
      <c r="M7265" t="n">
        <v>0</v>
      </c>
      <c r="N7265" t="n">
        <v>0</v>
      </c>
      <c r="O7265" t="n">
        <v>0</v>
      </c>
      <c r="P7265" t="n">
        <v>0</v>
      </c>
      <c r="Q7265" t="n">
        <v>0</v>
      </c>
      <c r="R7265" s="2" t="inlineStr"/>
    </row>
    <row r="7266" ht="15" customHeight="1">
      <c r="A7266" t="inlineStr">
        <is>
          <t>A 30132-2022</t>
        </is>
      </c>
      <c r="B7266" s="1" t="n">
        <v>44757</v>
      </c>
      <c r="C7266" s="1" t="n">
        <v>45810</v>
      </c>
      <c r="D7266" t="inlineStr">
        <is>
          <t>VÄRMLANDS LÄN</t>
        </is>
      </c>
      <c r="E7266" t="inlineStr">
        <is>
          <t>SUNNE</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30148-2022</t>
        </is>
      </c>
      <c r="B7267" s="1" t="n">
        <v>44757</v>
      </c>
      <c r="C7267" s="1" t="n">
        <v>45810</v>
      </c>
      <c r="D7267" t="inlineStr">
        <is>
          <t>VÄRMLANDS LÄN</t>
        </is>
      </c>
      <c r="E7267" t="inlineStr">
        <is>
          <t>HAGFORS</t>
        </is>
      </c>
      <c r="F7267" t="inlineStr">
        <is>
          <t>Bergvik skog väst AB</t>
        </is>
      </c>
      <c r="G7267" t="n">
        <v>6.2</v>
      </c>
      <c r="H7267" t="n">
        <v>0</v>
      </c>
      <c r="I7267" t="n">
        <v>0</v>
      </c>
      <c r="J7267" t="n">
        <v>0</v>
      </c>
      <c r="K7267" t="n">
        <v>0</v>
      </c>
      <c r="L7267" t="n">
        <v>0</v>
      </c>
      <c r="M7267" t="n">
        <v>0</v>
      </c>
      <c r="N7267" t="n">
        <v>0</v>
      </c>
      <c r="O7267" t="n">
        <v>0</v>
      </c>
      <c r="P7267" t="n">
        <v>0</v>
      </c>
      <c r="Q7267" t="n">
        <v>0</v>
      </c>
      <c r="R7267" s="2" t="inlineStr"/>
    </row>
    <row r="7268" ht="15" customHeight="1">
      <c r="A7268" t="inlineStr">
        <is>
          <t>A 30153-2022</t>
        </is>
      </c>
      <c r="B7268" s="1" t="n">
        <v>44757</v>
      </c>
      <c r="C7268" s="1" t="n">
        <v>45810</v>
      </c>
      <c r="D7268" t="inlineStr">
        <is>
          <t>VÄRMLANDS LÄN</t>
        </is>
      </c>
      <c r="E7268" t="inlineStr">
        <is>
          <t>KARLSTAD</t>
        </is>
      </c>
      <c r="F7268" t="inlineStr">
        <is>
          <t>Bergvik skog väst AB</t>
        </is>
      </c>
      <c r="G7268" t="n">
        <v>1.5</v>
      </c>
      <c r="H7268" t="n">
        <v>0</v>
      </c>
      <c r="I7268" t="n">
        <v>0</v>
      </c>
      <c r="J7268" t="n">
        <v>0</v>
      </c>
      <c r="K7268" t="n">
        <v>0</v>
      </c>
      <c r="L7268" t="n">
        <v>0</v>
      </c>
      <c r="M7268" t="n">
        <v>0</v>
      </c>
      <c r="N7268" t="n">
        <v>0</v>
      </c>
      <c r="O7268" t="n">
        <v>0</v>
      </c>
      <c r="P7268" t="n">
        <v>0</v>
      </c>
      <c r="Q7268" t="n">
        <v>0</v>
      </c>
      <c r="R7268" s="2" t="inlineStr"/>
    </row>
    <row r="7269" ht="15" customHeight="1">
      <c r="A7269" t="inlineStr">
        <is>
          <t>A 30249-2022</t>
        </is>
      </c>
      <c r="B7269" s="1" t="n">
        <v>44758</v>
      </c>
      <c r="C7269" s="1" t="n">
        <v>45810</v>
      </c>
      <c r="D7269" t="inlineStr">
        <is>
          <t>VÄRMLANDS LÄN</t>
        </is>
      </c>
      <c r="E7269" t="inlineStr">
        <is>
          <t>SÄFFLE</t>
        </is>
      </c>
      <c r="G7269" t="n">
        <v>1.5</v>
      </c>
      <c r="H7269" t="n">
        <v>0</v>
      </c>
      <c r="I7269" t="n">
        <v>0</v>
      </c>
      <c r="J7269" t="n">
        <v>0</v>
      </c>
      <c r="K7269" t="n">
        <v>0</v>
      </c>
      <c r="L7269" t="n">
        <v>0</v>
      </c>
      <c r="M7269" t="n">
        <v>0</v>
      </c>
      <c r="N7269" t="n">
        <v>0</v>
      </c>
      <c r="O7269" t="n">
        <v>0</v>
      </c>
      <c r="P7269" t="n">
        <v>0</v>
      </c>
      <c r="Q7269" t="n">
        <v>0</v>
      </c>
      <c r="R7269" s="2" t="inlineStr"/>
    </row>
    <row r="7270" ht="15" customHeight="1">
      <c r="A7270" t="inlineStr">
        <is>
          <t>A 30355-2022</t>
        </is>
      </c>
      <c r="B7270" s="1" t="n">
        <v>44759</v>
      </c>
      <c r="C7270" s="1" t="n">
        <v>45810</v>
      </c>
      <c r="D7270" t="inlineStr">
        <is>
          <t>VÄRMLANDS LÄN</t>
        </is>
      </c>
      <c r="E7270" t="inlineStr">
        <is>
          <t>SÄFFLE</t>
        </is>
      </c>
      <c r="G7270" t="n">
        <v>2.2</v>
      </c>
      <c r="H7270" t="n">
        <v>0</v>
      </c>
      <c r="I7270" t="n">
        <v>0</v>
      </c>
      <c r="J7270" t="n">
        <v>0</v>
      </c>
      <c r="K7270" t="n">
        <v>0</v>
      </c>
      <c r="L7270" t="n">
        <v>0</v>
      </c>
      <c r="M7270" t="n">
        <v>0</v>
      </c>
      <c r="N7270" t="n">
        <v>0</v>
      </c>
      <c r="O7270" t="n">
        <v>0</v>
      </c>
      <c r="P7270" t="n">
        <v>0</v>
      </c>
      <c r="Q7270" t="n">
        <v>0</v>
      </c>
      <c r="R7270" s="2" t="inlineStr"/>
    </row>
    <row r="7271" ht="15" customHeight="1">
      <c r="A7271" t="inlineStr">
        <is>
          <t>A 30328-2022</t>
        </is>
      </c>
      <c r="B7271" s="1" t="n">
        <v>44760</v>
      </c>
      <c r="C7271" s="1" t="n">
        <v>45810</v>
      </c>
      <c r="D7271" t="inlineStr">
        <is>
          <t>VÄRMLANDS LÄN</t>
        </is>
      </c>
      <c r="E7271" t="inlineStr">
        <is>
          <t>GRUMS</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30346-2022</t>
        </is>
      </c>
      <c r="B7272" s="1" t="n">
        <v>44760</v>
      </c>
      <c r="C7272" s="1" t="n">
        <v>45810</v>
      </c>
      <c r="D7272" t="inlineStr">
        <is>
          <t>VÄRMLANDS LÄN</t>
        </is>
      </c>
      <c r="E7272" t="inlineStr">
        <is>
          <t>ÅRJÄNG</t>
        </is>
      </c>
      <c r="G7272" t="n">
        <v>6</v>
      </c>
      <c r="H7272" t="n">
        <v>0</v>
      </c>
      <c r="I7272" t="n">
        <v>0</v>
      </c>
      <c r="J7272" t="n">
        <v>0</v>
      </c>
      <c r="K7272" t="n">
        <v>0</v>
      </c>
      <c r="L7272" t="n">
        <v>0</v>
      </c>
      <c r="M7272" t="n">
        <v>0</v>
      </c>
      <c r="N7272" t="n">
        <v>0</v>
      </c>
      <c r="O7272" t="n">
        <v>0</v>
      </c>
      <c r="P7272" t="n">
        <v>0</v>
      </c>
      <c r="Q7272" t="n">
        <v>0</v>
      </c>
      <c r="R7272" s="2" t="inlineStr"/>
    </row>
    <row r="7273" ht="15" customHeight="1">
      <c r="A7273" t="inlineStr">
        <is>
          <t>A 30326-2022</t>
        </is>
      </c>
      <c r="B7273" s="1" t="n">
        <v>44760</v>
      </c>
      <c r="C7273" s="1" t="n">
        <v>45810</v>
      </c>
      <c r="D7273" t="inlineStr">
        <is>
          <t>VÄRMLANDS LÄN</t>
        </is>
      </c>
      <c r="E7273" t="inlineStr">
        <is>
          <t>TORSBY</t>
        </is>
      </c>
      <c r="F7273" t="inlineStr">
        <is>
          <t>Kommuner</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30334-2022</t>
        </is>
      </c>
      <c r="B7274" s="1" t="n">
        <v>44760</v>
      </c>
      <c r="C7274" s="1" t="n">
        <v>45810</v>
      </c>
      <c r="D7274" t="inlineStr">
        <is>
          <t>VÄRMLANDS LÄN</t>
        </is>
      </c>
      <c r="E7274" t="inlineStr">
        <is>
          <t>GRUMS</t>
        </is>
      </c>
      <c r="G7274" t="n">
        <v>0.5</v>
      </c>
      <c r="H7274" t="n">
        <v>0</v>
      </c>
      <c r="I7274" t="n">
        <v>0</v>
      </c>
      <c r="J7274" t="n">
        <v>0</v>
      </c>
      <c r="K7274" t="n">
        <v>0</v>
      </c>
      <c r="L7274" t="n">
        <v>0</v>
      </c>
      <c r="M7274" t="n">
        <v>0</v>
      </c>
      <c r="N7274" t="n">
        <v>0</v>
      </c>
      <c r="O7274" t="n">
        <v>0</v>
      </c>
      <c r="P7274" t="n">
        <v>0</v>
      </c>
      <c r="Q7274" t="n">
        <v>0</v>
      </c>
      <c r="R7274" s="2" t="inlineStr"/>
    </row>
    <row r="7275" ht="15" customHeight="1">
      <c r="A7275" t="inlineStr">
        <is>
          <t>A 30327-2022</t>
        </is>
      </c>
      <c r="B7275" s="1" t="n">
        <v>44760</v>
      </c>
      <c r="C7275" s="1" t="n">
        <v>45810</v>
      </c>
      <c r="D7275" t="inlineStr">
        <is>
          <t>VÄRMLANDS LÄN</t>
        </is>
      </c>
      <c r="E7275" t="inlineStr">
        <is>
          <t>HAGFORS</t>
        </is>
      </c>
      <c r="G7275" t="n">
        <v>1.6</v>
      </c>
      <c r="H7275" t="n">
        <v>0</v>
      </c>
      <c r="I7275" t="n">
        <v>0</v>
      </c>
      <c r="J7275" t="n">
        <v>0</v>
      </c>
      <c r="K7275" t="n">
        <v>0</v>
      </c>
      <c r="L7275" t="n">
        <v>0</v>
      </c>
      <c r="M7275" t="n">
        <v>0</v>
      </c>
      <c r="N7275" t="n">
        <v>0</v>
      </c>
      <c r="O7275" t="n">
        <v>0</v>
      </c>
      <c r="P7275" t="n">
        <v>0</v>
      </c>
      <c r="Q7275" t="n">
        <v>0</v>
      </c>
      <c r="R7275" s="2" t="inlineStr"/>
    </row>
    <row r="7276" ht="15" customHeight="1">
      <c r="A7276" t="inlineStr">
        <is>
          <t>A 30339-2022</t>
        </is>
      </c>
      <c r="B7276" s="1" t="n">
        <v>44760</v>
      </c>
      <c r="C7276" s="1" t="n">
        <v>45810</v>
      </c>
      <c r="D7276" t="inlineStr">
        <is>
          <t>VÄRMLANDS LÄN</t>
        </is>
      </c>
      <c r="E7276" t="inlineStr">
        <is>
          <t>GRUMS</t>
        </is>
      </c>
      <c r="G7276" t="n">
        <v>5.3</v>
      </c>
      <c r="H7276" t="n">
        <v>0</v>
      </c>
      <c r="I7276" t="n">
        <v>0</v>
      </c>
      <c r="J7276" t="n">
        <v>0</v>
      </c>
      <c r="K7276" t="n">
        <v>0</v>
      </c>
      <c r="L7276" t="n">
        <v>0</v>
      </c>
      <c r="M7276" t="n">
        <v>0</v>
      </c>
      <c r="N7276" t="n">
        <v>0</v>
      </c>
      <c r="O7276" t="n">
        <v>0</v>
      </c>
      <c r="P7276" t="n">
        <v>0</v>
      </c>
      <c r="Q7276" t="n">
        <v>0</v>
      </c>
      <c r="R7276" s="2" t="inlineStr"/>
    </row>
    <row r="7277" ht="15" customHeight="1">
      <c r="A7277" t="inlineStr">
        <is>
          <t>A 30450-2022</t>
        </is>
      </c>
      <c r="B7277" s="1" t="n">
        <v>44761</v>
      </c>
      <c r="C7277" s="1" t="n">
        <v>45810</v>
      </c>
      <c r="D7277" t="inlineStr">
        <is>
          <t>VÄRMLANDS LÄN</t>
        </is>
      </c>
      <c r="E7277" t="inlineStr">
        <is>
          <t>ÅRJÄNG</t>
        </is>
      </c>
      <c r="G7277" t="n">
        <v>1.5</v>
      </c>
      <c r="H7277" t="n">
        <v>0</v>
      </c>
      <c r="I7277" t="n">
        <v>0</v>
      </c>
      <c r="J7277" t="n">
        <v>0</v>
      </c>
      <c r="K7277" t="n">
        <v>0</v>
      </c>
      <c r="L7277" t="n">
        <v>0</v>
      </c>
      <c r="M7277" t="n">
        <v>0</v>
      </c>
      <c r="N7277" t="n">
        <v>0</v>
      </c>
      <c r="O7277" t="n">
        <v>0</v>
      </c>
      <c r="P7277" t="n">
        <v>0</v>
      </c>
      <c r="Q7277" t="n">
        <v>0</v>
      </c>
      <c r="R7277" s="2" t="inlineStr"/>
    </row>
    <row r="7278" ht="15" customHeight="1">
      <c r="A7278" t="inlineStr">
        <is>
          <t>A 30459-2022</t>
        </is>
      </c>
      <c r="B7278" s="1" t="n">
        <v>44761</v>
      </c>
      <c r="C7278" s="1" t="n">
        <v>45810</v>
      </c>
      <c r="D7278" t="inlineStr">
        <is>
          <t>VÄRMLANDS LÄN</t>
        </is>
      </c>
      <c r="E7278" t="inlineStr">
        <is>
          <t>ÅRJÄNG</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30454-2022</t>
        </is>
      </c>
      <c r="B7279" s="1" t="n">
        <v>44761</v>
      </c>
      <c r="C7279" s="1" t="n">
        <v>45810</v>
      </c>
      <c r="D7279" t="inlineStr">
        <is>
          <t>VÄRMLANDS LÄN</t>
        </is>
      </c>
      <c r="E7279" t="inlineStr">
        <is>
          <t>ÅRJÄNG</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30524-2022</t>
        </is>
      </c>
      <c r="B7280" s="1" t="n">
        <v>44762</v>
      </c>
      <c r="C7280" s="1" t="n">
        <v>45810</v>
      </c>
      <c r="D7280" t="inlineStr">
        <is>
          <t>VÄRMLANDS LÄN</t>
        </is>
      </c>
      <c r="E7280" t="inlineStr">
        <is>
          <t>HAGFORS</t>
        </is>
      </c>
      <c r="F7280" t="inlineStr">
        <is>
          <t>Bergvik skog väst AB</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30552-2022</t>
        </is>
      </c>
      <c r="B7281" s="1" t="n">
        <v>44762</v>
      </c>
      <c r="C7281" s="1" t="n">
        <v>45810</v>
      </c>
      <c r="D7281" t="inlineStr">
        <is>
          <t>VÄRMLANDS LÄN</t>
        </is>
      </c>
      <c r="E7281" t="inlineStr">
        <is>
          <t>HAGFORS</t>
        </is>
      </c>
      <c r="F7281" t="inlineStr">
        <is>
          <t>Bergvik skog väst AB</t>
        </is>
      </c>
      <c r="G7281" t="n">
        <v>19.6</v>
      </c>
      <c r="H7281" t="n">
        <v>0</v>
      </c>
      <c r="I7281" t="n">
        <v>0</v>
      </c>
      <c r="J7281" t="n">
        <v>0</v>
      </c>
      <c r="K7281" t="n">
        <v>0</v>
      </c>
      <c r="L7281" t="n">
        <v>0</v>
      </c>
      <c r="M7281" t="n">
        <v>0</v>
      </c>
      <c r="N7281" t="n">
        <v>0</v>
      </c>
      <c r="O7281" t="n">
        <v>0</v>
      </c>
      <c r="P7281" t="n">
        <v>0</v>
      </c>
      <c r="Q7281" t="n">
        <v>0</v>
      </c>
      <c r="R7281" s="2" t="inlineStr"/>
    </row>
    <row r="7282" ht="15" customHeight="1">
      <c r="A7282" t="inlineStr">
        <is>
          <t>A 30539-2022</t>
        </is>
      </c>
      <c r="B7282" s="1" t="n">
        <v>44762</v>
      </c>
      <c r="C7282" s="1" t="n">
        <v>45810</v>
      </c>
      <c r="D7282" t="inlineStr">
        <is>
          <t>VÄRMLANDS LÄN</t>
        </is>
      </c>
      <c r="E7282" t="inlineStr">
        <is>
          <t>GRUMS</t>
        </is>
      </c>
      <c r="G7282" t="n">
        <v>10.2</v>
      </c>
      <c r="H7282" t="n">
        <v>0</v>
      </c>
      <c r="I7282" t="n">
        <v>0</v>
      </c>
      <c r="J7282" t="n">
        <v>0</v>
      </c>
      <c r="K7282" t="n">
        <v>0</v>
      </c>
      <c r="L7282" t="n">
        <v>0</v>
      </c>
      <c r="M7282" t="n">
        <v>0</v>
      </c>
      <c r="N7282" t="n">
        <v>0</v>
      </c>
      <c r="O7282" t="n">
        <v>0</v>
      </c>
      <c r="P7282" t="n">
        <v>0</v>
      </c>
      <c r="Q7282" t="n">
        <v>0</v>
      </c>
      <c r="R7282" s="2" t="inlineStr"/>
    </row>
    <row r="7283" ht="15" customHeight="1">
      <c r="A7283" t="inlineStr">
        <is>
          <t>A 30559-2022</t>
        </is>
      </c>
      <c r="B7283" s="1" t="n">
        <v>44762</v>
      </c>
      <c r="C7283" s="1" t="n">
        <v>45810</v>
      </c>
      <c r="D7283" t="inlineStr">
        <is>
          <t>VÄRMLANDS LÄN</t>
        </is>
      </c>
      <c r="E7283" t="inlineStr">
        <is>
          <t>HAGFORS</t>
        </is>
      </c>
      <c r="F7283" t="inlineStr">
        <is>
          <t>Bergvik skog väst AB</t>
        </is>
      </c>
      <c r="G7283" t="n">
        <v>15.2</v>
      </c>
      <c r="H7283" t="n">
        <v>0</v>
      </c>
      <c r="I7283" t="n">
        <v>0</v>
      </c>
      <c r="J7283" t="n">
        <v>0</v>
      </c>
      <c r="K7283" t="n">
        <v>0</v>
      </c>
      <c r="L7283" t="n">
        <v>0</v>
      </c>
      <c r="M7283" t="n">
        <v>0</v>
      </c>
      <c r="N7283" t="n">
        <v>0</v>
      </c>
      <c r="O7283" t="n">
        <v>0</v>
      </c>
      <c r="P7283" t="n">
        <v>0</v>
      </c>
      <c r="Q7283" t="n">
        <v>0</v>
      </c>
      <c r="R7283" s="2" t="inlineStr"/>
    </row>
    <row r="7284" ht="15" customHeight="1">
      <c r="A7284" t="inlineStr">
        <is>
          <t>A 30598-2022</t>
        </is>
      </c>
      <c r="B7284" s="1" t="n">
        <v>44762</v>
      </c>
      <c r="C7284" s="1" t="n">
        <v>45810</v>
      </c>
      <c r="D7284" t="inlineStr">
        <is>
          <t>VÄRMLANDS LÄN</t>
        </is>
      </c>
      <c r="E7284" t="inlineStr">
        <is>
          <t>SÄFFLE</t>
        </is>
      </c>
      <c r="G7284" t="n">
        <v>3.6</v>
      </c>
      <c r="H7284" t="n">
        <v>0</v>
      </c>
      <c r="I7284" t="n">
        <v>0</v>
      </c>
      <c r="J7284" t="n">
        <v>0</v>
      </c>
      <c r="K7284" t="n">
        <v>0</v>
      </c>
      <c r="L7284" t="n">
        <v>0</v>
      </c>
      <c r="M7284" t="n">
        <v>0</v>
      </c>
      <c r="N7284" t="n">
        <v>0</v>
      </c>
      <c r="O7284" t="n">
        <v>0</v>
      </c>
      <c r="P7284" t="n">
        <v>0</v>
      </c>
      <c r="Q7284" t="n">
        <v>0</v>
      </c>
      <c r="R7284" s="2" t="inlineStr"/>
    </row>
    <row r="7285" ht="15" customHeight="1">
      <c r="A7285" t="inlineStr">
        <is>
          <t>A 30595-2022</t>
        </is>
      </c>
      <c r="B7285" s="1" t="n">
        <v>44762</v>
      </c>
      <c r="C7285" s="1" t="n">
        <v>45810</v>
      </c>
      <c r="D7285" t="inlineStr">
        <is>
          <t>VÄRMLANDS LÄN</t>
        </is>
      </c>
      <c r="E7285" t="inlineStr">
        <is>
          <t>SÄFFLE</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30527-2022</t>
        </is>
      </c>
      <c r="B7286" s="1" t="n">
        <v>44762</v>
      </c>
      <c r="C7286" s="1" t="n">
        <v>45810</v>
      </c>
      <c r="D7286" t="inlineStr">
        <is>
          <t>VÄRMLANDS LÄN</t>
        </is>
      </c>
      <c r="E7286" t="inlineStr">
        <is>
          <t>GRUMS</t>
        </is>
      </c>
      <c r="G7286" t="n">
        <v>3.1</v>
      </c>
      <c r="H7286" t="n">
        <v>0</v>
      </c>
      <c r="I7286" t="n">
        <v>0</v>
      </c>
      <c r="J7286" t="n">
        <v>0</v>
      </c>
      <c r="K7286" t="n">
        <v>0</v>
      </c>
      <c r="L7286" t="n">
        <v>0</v>
      </c>
      <c r="M7286" t="n">
        <v>0</v>
      </c>
      <c r="N7286" t="n">
        <v>0</v>
      </c>
      <c r="O7286" t="n">
        <v>0</v>
      </c>
      <c r="P7286" t="n">
        <v>0</v>
      </c>
      <c r="Q7286" t="n">
        <v>0</v>
      </c>
      <c r="R7286" s="2" t="inlineStr"/>
    </row>
    <row r="7287" ht="15" customHeight="1">
      <c r="A7287" t="inlineStr">
        <is>
          <t>A 30546-2022</t>
        </is>
      </c>
      <c r="B7287" s="1" t="n">
        <v>44762</v>
      </c>
      <c r="C7287" s="1" t="n">
        <v>45810</v>
      </c>
      <c r="D7287" t="inlineStr">
        <is>
          <t>VÄRMLANDS LÄN</t>
        </is>
      </c>
      <c r="E7287" t="inlineStr">
        <is>
          <t>EDA</t>
        </is>
      </c>
      <c r="G7287" t="n">
        <v>2.7</v>
      </c>
      <c r="H7287" t="n">
        <v>0</v>
      </c>
      <c r="I7287" t="n">
        <v>0</v>
      </c>
      <c r="J7287" t="n">
        <v>0</v>
      </c>
      <c r="K7287" t="n">
        <v>0</v>
      </c>
      <c r="L7287" t="n">
        <v>0</v>
      </c>
      <c r="M7287" t="n">
        <v>0</v>
      </c>
      <c r="N7287" t="n">
        <v>0</v>
      </c>
      <c r="O7287" t="n">
        <v>0</v>
      </c>
      <c r="P7287" t="n">
        <v>0</v>
      </c>
      <c r="Q7287" t="n">
        <v>0</v>
      </c>
      <c r="R7287" s="2" t="inlineStr"/>
    </row>
    <row r="7288" ht="15" customHeight="1">
      <c r="A7288" t="inlineStr">
        <is>
          <t>A 30612-2022</t>
        </is>
      </c>
      <c r="B7288" s="1" t="n">
        <v>44763</v>
      </c>
      <c r="C7288" s="1" t="n">
        <v>45810</v>
      </c>
      <c r="D7288" t="inlineStr">
        <is>
          <t>VÄRMLANDS LÄN</t>
        </is>
      </c>
      <c r="E7288" t="inlineStr">
        <is>
          <t>TORSBY</t>
        </is>
      </c>
      <c r="F7288" t="inlineStr">
        <is>
          <t>Kommuner</t>
        </is>
      </c>
      <c r="G7288" t="n">
        <v>3.6</v>
      </c>
      <c r="H7288" t="n">
        <v>0</v>
      </c>
      <c r="I7288" t="n">
        <v>0</v>
      </c>
      <c r="J7288" t="n">
        <v>0</v>
      </c>
      <c r="K7288" t="n">
        <v>0</v>
      </c>
      <c r="L7288" t="n">
        <v>0</v>
      </c>
      <c r="M7288" t="n">
        <v>0</v>
      </c>
      <c r="N7288" t="n">
        <v>0</v>
      </c>
      <c r="O7288" t="n">
        <v>0</v>
      </c>
      <c r="P7288" t="n">
        <v>0</v>
      </c>
      <c r="Q7288" t="n">
        <v>0</v>
      </c>
      <c r="R7288" s="2" t="inlineStr"/>
    </row>
    <row r="7289" ht="15" customHeight="1">
      <c r="A7289" t="inlineStr">
        <is>
          <t>A 30652-2022</t>
        </is>
      </c>
      <c r="B7289" s="1" t="n">
        <v>44763</v>
      </c>
      <c r="C7289" s="1" t="n">
        <v>45810</v>
      </c>
      <c r="D7289" t="inlineStr">
        <is>
          <t>VÄRMLANDS LÄN</t>
        </is>
      </c>
      <c r="E7289" t="inlineStr">
        <is>
          <t>HAGFORS</t>
        </is>
      </c>
      <c r="F7289" t="inlineStr">
        <is>
          <t>Bergvik skog väst AB</t>
        </is>
      </c>
      <c r="G7289" t="n">
        <v>4.9</v>
      </c>
      <c r="H7289" t="n">
        <v>0</v>
      </c>
      <c r="I7289" t="n">
        <v>0</v>
      </c>
      <c r="J7289" t="n">
        <v>0</v>
      </c>
      <c r="K7289" t="n">
        <v>0</v>
      </c>
      <c r="L7289" t="n">
        <v>0</v>
      </c>
      <c r="M7289" t="n">
        <v>0</v>
      </c>
      <c r="N7289" t="n">
        <v>0</v>
      </c>
      <c r="O7289" t="n">
        <v>0</v>
      </c>
      <c r="P7289" t="n">
        <v>0</v>
      </c>
      <c r="Q7289" t="n">
        <v>0</v>
      </c>
      <c r="R7289" s="2" t="inlineStr"/>
    </row>
    <row r="7290" ht="15" customHeight="1">
      <c r="A7290" t="inlineStr">
        <is>
          <t>A 30681-2022</t>
        </is>
      </c>
      <c r="B7290" s="1" t="n">
        <v>44763</v>
      </c>
      <c r="C7290" s="1" t="n">
        <v>45810</v>
      </c>
      <c r="D7290" t="inlineStr">
        <is>
          <t>VÄRMLANDS LÄN</t>
        </is>
      </c>
      <c r="E7290" t="inlineStr">
        <is>
          <t>SÄFFLE</t>
        </is>
      </c>
      <c r="F7290" t="inlineStr">
        <is>
          <t>Kyrkan</t>
        </is>
      </c>
      <c r="G7290" t="n">
        <v>8</v>
      </c>
      <c r="H7290" t="n">
        <v>0</v>
      </c>
      <c r="I7290" t="n">
        <v>0</v>
      </c>
      <c r="J7290" t="n">
        <v>0</v>
      </c>
      <c r="K7290" t="n">
        <v>0</v>
      </c>
      <c r="L7290" t="n">
        <v>0</v>
      </c>
      <c r="M7290" t="n">
        <v>0</v>
      </c>
      <c r="N7290" t="n">
        <v>0</v>
      </c>
      <c r="O7290" t="n">
        <v>0</v>
      </c>
      <c r="P7290" t="n">
        <v>0</v>
      </c>
      <c r="Q7290" t="n">
        <v>0</v>
      </c>
      <c r="R7290" s="2" t="inlineStr"/>
    </row>
    <row r="7291" ht="15" customHeight="1">
      <c r="A7291" t="inlineStr">
        <is>
          <t>A 30686-2022</t>
        </is>
      </c>
      <c r="B7291" s="1" t="n">
        <v>44763</v>
      </c>
      <c r="C7291" s="1" t="n">
        <v>45810</v>
      </c>
      <c r="D7291" t="inlineStr">
        <is>
          <t>VÄRMLANDS LÄN</t>
        </is>
      </c>
      <c r="E7291" t="inlineStr">
        <is>
          <t>SÄFFLE</t>
        </is>
      </c>
      <c r="F7291" t="inlineStr">
        <is>
          <t>Kyrkan</t>
        </is>
      </c>
      <c r="G7291" t="n">
        <v>1.6</v>
      </c>
      <c r="H7291" t="n">
        <v>0</v>
      </c>
      <c r="I7291" t="n">
        <v>0</v>
      </c>
      <c r="J7291" t="n">
        <v>0</v>
      </c>
      <c r="K7291" t="n">
        <v>0</v>
      </c>
      <c r="L7291" t="n">
        <v>0</v>
      </c>
      <c r="M7291" t="n">
        <v>0</v>
      </c>
      <c r="N7291" t="n">
        <v>0</v>
      </c>
      <c r="O7291" t="n">
        <v>0</v>
      </c>
      <c r="P7291" t="n">
        <v>0</v>
      </c>
      <c r="Q7291" t="n">
        <v>0</v>
      </c>
      <c r="R7291" s="2" t="inlineStr"/>
    </row>
    <row r="7292" ht="15" customHeight="1">
      <c r="A7292" t="inlineStr">
        <is>
          <t>A 30618-2022</t>
        </is>
      </c>
      <c r="B7292" s="1" t="n">
        <v>44763</v>
      </c>
      <c r="C7292" s="1" t="n">
        <v>45810</v>
      </c>
      <c r="D7292" t="inlineStr">
        <is>
          <t>VÄRMLANDS LÄN</t>
        </is>
      </c>
      <c r="E7292" t="inlineStr">
        <is>
          <t>SUNNE</t>
        </is>
      </c>
      <c r="F7292" t="inlineStr">
        <is>
          <t>Övriga Aktiebolag</t>
        </is>
      </c>
      <c r="G7292" t="n">
        <v>17.5</v>
      </c>
      <c r="H7292" t="n">
        <v>0</v>
      </c>
      <c r="I7292" t="n">
        <v>0</v>
      </c>
      <c r="J7292" t="n">
        <v>0</v>
      </c>
      <c r="K7292" t="n">
        <v>0</v>
      </c>
      <c r="L7292" t="n">
        <v>0</v>
      </c>
      <c r="M7292" t="n">
        <v>0</v>
      </c>
      <c r="N7292" t="n">
        <v>0</v>
      </c>
      <c r="O7292" t="n">
        <v>0</v>
      </c>
      <c r="P7292" t="n">
        <v>0</v>
      </c>
      <c r="Q7292" t="n">
        <v>0</v>
      </c>
      <c r="R7292" s="2" t="inlineStr"/>
    </row>
    <row r="7293" ht="15" customHeight="1">
      <c r="A7293" t="inlineStr">
        <is>
          <t>A 30672-2022</t>
        </is>
      </c>
      <c r="B7293" s="1" t="n">
        <v>44763</v>
      </c>
      <c r="C7293" s="1" t="n">
        <v>45810</v>
      </c>
      <c r="D7293" t="inlineStr">
        <is>
          <t>VÄRMLANDS LÄN</t>
        </is>
      </c>
      <c r="E7293" t="inlineStr">
        <is>
          <t>HAGFORS</t>
        </is>
      </c>
      <c r="F7293" t="inlineStr">
        <is>
          <t>Bergvik skog väst AB</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30700-2022</t>
        </is>
      </c>
      <c r="B7294" s="1" t="n">
        <v>44763</v>
      </c>
      <c r="C7294" s="1" t="n">
        <v>45810</v>
      </c>
      <c r="D7294" t="inlineStr">
        <is>
          <t>VÄRMLANDS LÄN</t>
        </is>
      </c>
      <c r="E7294" t="inlineStr">
        <is>
          <t>MUNKFORS</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30707-2022</t>
        </is>
      </c>
      <c r="B7295" s="1" t="n">
        <v>44763</v>
      </c>
      <c r="C7295" s="1" t="n">
        <v>45810</v>
      </c>
      <c r="D7295" t="inlineStr">
        <is>
          <t>VÄRMLANDS LÄN</t>
        </is>
      </c>
      <c r="E7295" t="inlineStr">
        <is>
          <t>HAGFORS</t>
        </is>
      </c>
      <c r="G7295" t="n">
        <v>0.7</v>
      </c>
      <c r="H7295" t="n">
        <v>0</v>
      </c>
      <c r="I7295" t="n">
        <v>0</v>
      </c>
      <c r="J7295" t="n">
        <v>0</v>
      </c>
      <c r="K7295" t="n">
        <v>0</v>
      </c>
      <c r="L7295" t="n">
        <v>0</v>
      </c>
      <c r="M7295" t="n">
        <v>0</v>
      </c>
      <c r="N7295" t="n">
        <v>0</v>
      </c>
      <c r="O7295" t="n">
        <v>0</v>
      </c>
      <c r="P7295" t="n">
        <v>0</v>
      </c>
      <c r="Q7295" t="n">
        <v>0</v>
      </c>
      <c r="R7295" s="2" t="inlineStr"/>
    </row>
    <row r="7296" ht="15" customHeight="1">
      <c r="A7296" t="inlineStr">
        <is>
          <t>A 30692-2022</t>
        </is>
      </c>
      <c r="B7296" s="1" t="n">
        <v>44763</v>
      </c>
      <c r="C7296" s="1" t="n">
        <v>45810</v>
      </c>
      <c r="D7296" t="inlineStr">
        <is>
          <t>VÄRMLANDS LÄN</t>
        </is>
      </c>
      <c r="E7296" t="inlineStr">
        <is>
          <t>KARLSTAD</t>
        </is>
      </c>
      <c r="F7296" t="inlineStr">
        <is>
          <t>Kyrkan</t>
        </is>
      </c>
      <c r="G7296" t="n">
        <v>2.7</v>
      </c>
      <c r="H7296" t="n">
        <v>0</v>
      </c>
      <c r="I7296" t="n">
        <v>0</v>
      </c>
      <c r="J7296" t="n">
        <v>0</v>
      </c>
      <c r="K7296" t="n">
        <v>0</v>
      </c>
      <c r="L7296" t="n">
        <v>0</v>
      </c>
      <c r="M7296" t="n">
        <v>0</v>
      </c>
      <c r="N7296" t="n">
        <v>0</v>
      </c>
      <c r="O7296" t="n">
        <v>0</v>
      </c>
      <c r="P7296" t="n">
        <v>0</v>
      </c>
      <c r="Q7296" t="n">
        <v>0</v>
      </c>
      <c r="R7296" s="2" t="inlineStr"/>
    </row>
    <row r="7297" ht="15" customHeight="1">
      <c r="A7297" t="inlineStr">
        <is>
          <t>A 30704-2022</t>
        </is>
      </c>
      <c r="B7297" s="1" t="n">
        <v>44763</v>
      </c>
      <c r="C7297" s="1" t="n">
        <v>45810</v>
      </c>
      <c r="D7297" t="inlineStr">
        <is>
          <t>VÄRMLANDS LÄN</t>
        </is>
      </c>
      <c r="E7297" t="inlineStr">
        <is>
          <t>MUNKFORS</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30710-2022</t>
        </is>
      </c>
      <c r="B7298" s="1" t="n">
        <v>44763</v>
      </c>
      <c r="C7298" s="1" t="n">
        <v>45810</v>
      </c>
      <c r="D7298" t="inlineStr">
        <is>
          <t>VÄRMLANDS LÄN</t>
        </is>
      </c>
      <c r="E7298" t="inlineStr">
        <is>
          <t>HAGFORS</t>
        </is>
      </c>
      <c r="G7298" t="n">
        <v>3.5</v>
      </c>
      <c r="H7298" t="n">
        <v>0</v>
      </c>
      <c r="I7298" t="n">
        <v>0</v>
      </c>
      <c r="J7298" t="n">
        <v>0</v>
      </c>
      <c r="K7298" t="n">
        <v>0</v>
      </c>
      <c r="L7298" t="n">
        <v>0</v>
      </c>
      <c r="M7298" t="n">
        <v>0</v>
      </c>
      <c r="N7298" t="n">
        <v>0</v>
      </c>
      <c r="O7298" t="n">
        <v>0</v>
      </c>
      <c r="P7298" t="n">
        <v>0</v>
      </c>
      <c r="Q7298" t="n">
        <v>0</v>
      </c>
      <c r="R7298" s="2" t="inlineStr"/>
    </row>
    <row r="7299" ht="15" customHeight="1">
      <c r="A7299" t="inlineStr">
        <is>
          <t>A 30734-2022</t>
        </is>
      </c>
      <c r="B7299" s="1" t="n">
        <v>44764</v>
      </c>
      <c r="C7299" s="1" t="n">
        <v>45810</v>
      </c>
      <c r="D7299" t="inlineStr">
        <is>
          <t>VÄRMLANDS LÄN</t>
        </is>
      </c>
      <c r="E7299" t="inlineStr">
        <is>
          <t>SUNNE</t>
        </is>
      </c>
      <c r="G7299" t="n">
        <v>1.9</v>
      </c>
      <c r="H7299" t="n">
        <v>0</v>
      </c>
      <c r="I7299" t="n">
        <v>0</v>
      </c>
      <c r="J7299" t="n">
        <v>0</v>
      </c>
      <c r="K7299" t="n">
        <v>0</v>
      </c>
      <c r="L7299" t="n">
        <v>0</v>
      </c>
      <c r="M7299" t="n">
        <v>0</v>
      </c>
      <c r="N7299" t="n">
        <v>0</v>
      </c>
      <c r="O7299" t="n">
        <v>0</v>
      </c>
      <c r="P7299" t="n">
        <v>0</v>
      </c>
      <c r="Q7299" t="n">
        <v>0</v>
      </c>
      <c r="R7299" s="2" t="inlineStr"/>
    </row>
    <row r="7300" ht="15" customHeight="1">
      <c r="A7300" t="inlineStr">
        <is>
          <t>A 30781-2022</t>
        </is>
      </c>
      <c r="B7300" s="1" t="n">
        <v>44764</v>
      </c>
      <c r="C7300" s="1" t="n">
        <v>45810</v>
      </c>
      <c r="D7300" t="inlineStr">
        <is>
          <t>VÄRMLANDS LÄN</t>
        </is>
      </c>
      <c r="E7300" t="inlineStr">
        <is>
          <t>SÄFFLE</t>
        </is>
      </c>
      <c r="G7300" t="n">
        <v>2.2</v>
      </c>
      <c r="H7300" t="n">
        <v>0</v>
      </c>
      <c r="I7300" t="n">
        <v>0</v>
      </c>
      <c r="J7300" t="n">
        <v>0</v>
      </c>
      <c r="K7300" t="n">
        <v>0</v>
      </c>
      <c r="L7300" t="n">
        <v>0</v>
      </c>
      <c r="M7300" t="n">
        <v>0</v>
      </c>
      <c r="N7300" t="n">
        <v>0</v>
      </c>
      <c r="O7300" t="n">
        <v>0</v>
      </c>
      <c r="P7300" t="n">
        <v>0</v>
      </c>
      <c r="Q7300" t="n">
        <v>0</v>
      </c>
      <c r="R7300" s="2" t="inlineStr"/>
    </row>
    <row r="7301" ht="15" customHeight="1">
      <c r="A7301" t="inlineStr">
        <is>
          <t>A 30983-2022</t>
        </is>
      </c>
      <c r="B7301" s="1" t="n">
        <v>44768</v>
      </c>
      <c r="C7301" s="1" t="n">
        <v>45810</v>
      </c>
      <c r="D7301" t="inlineStr">
        <is>
          <t>VÄRMLANDS LÄN</t>
        </is>
      </c>
      <c r="E7301" t="inlineStr">
        <is>
          <t>ARVIKA</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30951-2022</t>
        </is>
      </c>
      <c r="B7302" s="1" t="n">
        <v>44768</v>
      </c>
      <c r="C7302" s="1" t="n">
        <v>45810</v>
      </c>
      <c r="D7302" t="inlineStr">
        <is>
          <t>VÄRMLANDS LÄN</t>
        </is>
      </c>
      <c r="E7302" t="inlineStr">
        <is>
          <t>KIL</t>
        </is>
      </c>
      <c r="G7302" t="n">
        <v>5</v>
      </c>
      <c r="H7302" t="n">
        <v>0</v>
      </c>
      <c r="I7302" t="n">
        <v>0</v>
      </c>
      <c r="J7302" t="n">
        <v>0</v>
      </c>
      <c r="K7302" t="n">
        <v>0</v>
      </c>
      <c r="L7302" t="n">
        <v>0</v>
      </c>
      <c r="M7302" t="n">
        <v>0</v>
      </c>
      <c r="N7302" t="n">
        <v>0</v>
      </c>
      <c r="O7302" t="n">
        <v>0</v>
      </c>
      <c r="P7302" t="n">
        <v>0</v>
      </c>
      <c r="Q7302" t="n">
        <v>0</v>
      </c>
      <c r="R7302" s="2" t="inlineStr"/>
    </row>
    <row r="7303" ht="15" customHeight="1">
      <c r="A7303" t="inlineStr">
        <is>
          <t>A 31039-2022</t>
        </is>
      </c>
      <c r="B7303" s="1" t="n">
        <v>44769</v>
      </c>
      <c r="C7303" s="1" t="n">
        <v>45810</v>
      </c>
      <c r="D7303" t="inlineStr">
        <is>
          <t>VÄRMLANDS LÄN</t>
        </is>
      </c>
      <c r="E7303" t="inlineStr">
        <is>
          <t>EDA</t>
        </is>
      </c>
      <c r="G7303" t="n">
        <v>2.7</v>
      </c>
      <c r="H7303" t="n">
        <v>0</v>
      </c>
      <c r="I7303" t="n">
        <v>0</v>
      </c>
      <c r="J7303" t="n">
        <v>0</v>
      </c>
      <c r="K7303" t="n">
        <v>0</v>
      </c>
      <c r="L7303" t="n">
        <v>0</v>
      </c>
      <c r="M7303" t="n">
        <v>0</v>
      </c>
      <c r="N7303" t="n">
        <v>0</v>
      </c>
      <c r="O7303" t="n">
        <v>0</v>
      </c>
      <c r="P7303" t="n">
        <v>0</v>
      </c>
      <c r="Q7303" t="n">
        <v>0</v>
      </c>
      <c r="R7303" s="2" t="inlineStr"/>
    </row>
    <row r="7304" ht="15" customHeight="1">
      <c r="A7304" t="inlineStr">
        <is>
          <t>A 31114-2022</t>
        </is>
      </c>
      <c r="B7304" s="1" t="n">
        <v>44769</v>
      </c>
      <c r="C7304" s="1" t="n">
        <v>45810</v>
      </c>
      <c r="D7304" t="inlineStr">
        <is>
          <t>VÄRMLANDS LÄN</t>
        </is>
      </c>
      <c r="E7304" t="inlineStr">
        <is>
          <t>KRISTINEHAMN</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31115-2022</t>
        </is>
      </c>
      <c r="B7305" s="1" t="n">
        <v>44769</v>
      </c>
      <c r="C7305" s="1" t="n">
        <v>45810</v>
      </c>
      <c r="D7305" t="inlineStr">
        <is>
          <t>VÄRMLANDS LÄN</t>
        </is>
      </c>
      <c r="E7305" t="inlineStr">
        <is>
          <t>KRISTINEHAMN</t>
        </is>
      </c>
      <c r="G7305" t="n">
        <v>0.5</v>
      </c>
      <c r="H7305" t="n">
        <v>0</v>
      </c>
      <c r="I7305" t="n">
        <v>0</v>
      </c>
      <c r="J7305" t="n">
        <v>0</v>
      </c>
      <c r="K7305" t="n">
        <v>0</v>
      </c>
      <c r="L7305" t="n">
        <v>0</v>
      </c>
      <c r="M7305" t="n">
        <v>0</v>
      </c>
      <c r="N7305" t="n">
        <v>0</v>
      </c>
      <c r="O7305" t="n">
        <v>0</v>
      </c>
      <c r="P7305" t="n">
        <v>0</v>
      </c>
      <c r="Q7305" t="n">
        <v>0</v>
      </c>
      <c r="R7305" s="2" t="inlineStr"/>
    </row>
    <row r="7306" ht="15" customHeight="1">
      <c r="A7306" t="inlineStr">
        <is>
          <t>A 31133-2022</t>
        </is>
      </c>
      <c r="B7306" s="1" t="n">
        <v>44770</v>
      </c>
      <c r="C7306" s="1" t="n">
        <v>45810</v>
      </c>
      <c r="D7306" t="inlineStr">
        <is>
          <t>VÄRMLANDS LÄN</t>
        </is>
      </c>
      <c r="E7306" t="inlineStr">
        <is>
          <t>FILIPSTAD</t>
        </is>
      </c>
      <c r="F7306" t="inlineStr">
        <is>
          <t>Bergvik skog väst AB</t>
        </is>
      </c>
      <c r="G7306" t="n">
        <v>3.2</v>
      </c>
      <c r="H7306" t="n">
        <v>0</v>
      </c>
      <c r="I7306" t="n">
        <v>0</v>
      </c>
      <c r="J7306" t="n">
        <v>0</v>
      </c>
      <c r="K7306" t="n">
        <v>0</v>
      </c>
      <c r="L7306" t="n">
        <v>0</v>
      </c>
      <c r="M7306" t="n">
        <v>0</v>
      </c>
      <c r="N7306" t="n">
        <v>0</v>
      </c>
      <c r="O7306" t="n">
        <v>0</v>
      </c>
      <c r="P7306" t="n">
        <v>0</v>
      </c>
      <c r="Q7306" t="n">
        <v>0</v>
      </c>
      <c r="R7306" s="2" t="inlineStr"/>
    </row>
    <row r="7307" ht="15" customHeight="1">
      <c r="A7307" t="inlineStr">
        <is>
          <t>A 31173-2022</t>
        </is>
      </c>
      <c r="B7307" s="1" t="n">
        <v>44770</v>
      </c>
      <c r="C7307" s="1" t="n">
        <v>45810</v>
      </c>
      <c r="D7307" t="inlineStr">
        <is>
          <t>VÄRMLANDS LÄN</t>
        </is>
      </c>
      <c r="E7307" t="inlineStr">
        <is>
          <t>ARVIKA</t>
        </is>
      </c>
      <c r="F7307" t="inlineStr">
        <is>
          <t>Bergvik skog väst AB</t>
        </is>
      </c>
      <c r="G7307" t="n">
        <v>3.4</v>
      </c>
      <c r="H7307" t="n">
        <v>0</v>
      </c>
      <c r="I7307" t="n">
        <v>0</v>
      </c>
      <c r="J7307" t="n">
        <v>0</v>
      </c>
      <c r="K7307" t="n">
        <v>0</v>
      </c>
      <c r="L7307" t="n">
        <v>0</v>
      </c>
      <c r="M7307" t="n">
        <v>0</v>
      </c>
      <c r="N7307" t="n">
        <v>0</v>
      </c>
      <c r="O7307" t="n">
        <v>0</v>
      </c>
      <c r="P7307" t="n">
        <v>0</v>
      </c>
      <c r="Q7307" t="n">
        <v>0</v>
      </c>
      <c r="R7307" s="2" t="inlineStr"/>
    </row>
    <row r="7308" ht="15" customHeight="1">
      <c r="A7308" t="inlineStr">
        <is>
          <t>A 31178-2022</t>
        </is>
      </c>
      <c r="B7308" s="1" t="n">
        <v>44770</v>
      </c>
      <c r="C7308" s="1" t="n">
        <v>45810</v>
      </c>
      <c r="D7308" t="inlineStr">
        <is>
          <t>VÄRMLANDS LÄN</t>
        </is>
      </c>
      <c r="E7308" t="inlineStr">
        <is>
          <t>HAGFORS</t>
        </is>
      </c>
      <c r="F7308" t="inlineStr">
        <is>
          <t>Bergvik skog väst AB</t>
        </is>
      </c>
      <c r="G7308" t="n">
        <v>10.1</v>
      </c>
      <c r="H7308" t="n">
        <v>0</v>
      </c>
      <c r="I7308" t="n">
        <v>0</v>
      </c>
      <c r="J7308" t="n">
        <v>0</v>
      </c>
      <c r="K7308" t="n">
        <v>0</v>
      </c>
      <c r="L7308" t="n">
        <v>0</v>
      </c>
      <c r="M7308" t="n">
        <v>0</v>
      </c>
      <c r="N7308" t="n">
        <v>0</v>
      </c>
      <c r="O7308" t="n">
        <v>0</v>
      </c>
      <c r="P7308" t="n">
        <v>0</v>
      </c>
      <c r="Q7308" t="n">
        <v>0</v>
      </c>
      <c r="R7308" s="2" t="inlineStr"/>
    </row>
    <row r="7309" ht="15" customHeight="1">
      <c r="A7309" t="inlineStr">
        <is>
          <t>A 31152-2022</t>
        </is>
      </c>
      <c r="B7309" s="1" t="n">
        <v>44770</v>
      </c>
      <c r="C7309" s="1" t="n">
        <v>45810</v>
      </c>
      <c r="D7309" t="inlineStr">
        <is>
          <t>VÄRMLANDS LÄN</t>
        </is>
      </c>
      <c r="E7309" t="inlineStr">
        <is>
          <t>KRISTINEHAMN</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31162-2022</t>
        </is>
      </c>
      <c r="B7310" s="1" t="n">
        <v>44770</v>
      </c>
      <c r="C7310" s="1" t="n">
        <v>45810</v>
      </c>
      <c r="D7310" t="inlineStr">
        <is>
          <t>VÄRMLANDS LÄN</t>
        </is>
      </c>
      <c r="E7310" t="inlineStr">
        <is>
          <t>HAGFORS</t>
        </is>
      </c>
      <c r="F7310" t="inlineStr">
        <is>
          <t>Bergvik skog väst AB</t>
        </is>
      </c>
      <c r="G7310" t="n">
        <v>11.1</v>
      </c>
      <c r="H7310" t="n">
        <v>0</v>
      </c>
      <c r="I7310" t="n">
        <v>0</v>
      </c>
      <c r="J7310" t="n">
        <v>0</v>
      </c>
      <c r="K7310" t="n">
        <v>0</v>
      </c>
      <c r="L7310" t="n">
        <v>0</v>
      </c>
      <c r="M7310" t="n">
        <v>0</v>
      </c>
      <c r="N7310" t="n">
        <v>0</v>
      </c>
      <c r="O7310" t="n">
        <v>0</v>
      </c>
      <c r="P7310" t="n">
        <v>0</v>
      </c>
      <c r="Q7310" t="n">
        <v>0</v>
      </c>
      <c r="R7310" s="2" t="inlineStr"/>
    </row>
    <row r="7311" ht="15" customHeight="1">
      <c r="A7311" t="inlineStr">
        <is>
          <t>A 31166-2022</t>
        </is>
      </c>
      <c r="B7311" s="1" t="n">
        <v>44770</v>
      </c>
      <c r="C7311" s="1" t="n">
        <v>45810</v>
      </c>
      <c r="D7311" t="inlineStr">
        <is>
          <t>VÄRMLANDS LÄN</t>
        </is>
      </c>
      <c r="E7311" t="inlineStr">
        <is>
          <t>HAGFORS</t>
        </is>
      </c>
      <c r="F7311" t="inlineStr">
        <is>
          <t>Bergvik skog väst AB</t>
        </is>
      </c>
      <c r="G7311" t="n">
        <v>1.8</v>
      </c>
      <c r="H7311" t="n">
        <v>0</v>
      </c>
      <c r="I7311" t="n">
        <v>0</v>
      </c>
      <c r="J7311" t="n">
        <v>0</v>
      </c>
      <c r="K7311" t="n">
        <v>0</v>
      </c>
      <c r="L7311" t="n">
        <v>0</v>
      </c>
      <c r="M7311" t="n">
        <v>0</v>
      </c>
      <c r="N7311" t="n">
        <v>0</v>
      </c>
      <c r="O7311" t="n">
        <v>0</v>
      </c>
      <c r="P7311" t="n">
        <v>0</v>
      </c>
      <c r="Q7311" t="n">
        <v>0</v>
      </c>
      <c r="R7311" s="2" t="inlineStr"/>
    </row>
    <row r="7312" ht="15" customHeight="1">
      <c r="A7312" t="inlineStr">
        <is>
          <t>A 31251-2022</t>
        </is>
      </c>
      <c r="B7312" s="1" t="n">
        <v>44771</v>
      </c>
      <c r="C7312" s="1" t="n">
        <v>45810</v>
      </c>
      <c r="D7312" t="inlineStr">
        <is>
          <t>VÄRMLANDS LÄN</t>
        </is>
      </c>
      <c r="E7312" t="inlineStr">
        <is>
          <t>FORSHAGA</t>
        </is>
      </c>
      <c r="G7312" t="n">
        <v>0.6</v>
      </c>
      <c r="H7312" t="n">
        <v>0</v>
      </c>
      <c r="I7312" t="n">
        <v>0</v>
      </c>
      <c r="J7312" t="n">
        <v>0</v>
      </c>
      <c r="K7312" t="n">
        <v>0</v>
      </c>
      <c r="L7312" t="n">
        <v>0</v>
      </c>
      <c r="M7312" t="n">
        <v>0</v>
      </c>
      <c r="N7312" t="n">
        <v>0</v>
      </c>
      <c r="O7312" t="n">
        <v>0</v>
      </c>
      <c r="P7312" t="n">
        <v>0</v>
      </c>
      <c r="Q7312" t="n">
        <v>0</v>
      </c>
      <c r="R7312" s="2" t="inlineStr"/>
    </row>
    <row r="7313" ht="15" customHeight="1">
      <c r="A7313" t="inlineStr">
        <is>
          <t>A 31321-2022</t>
        </is>
      </c>
      <c r="B7313" s="1" t="n">
        <v>44774</v>
      </c>
      <c r="C7313" s="1" t="n">
        <v>45810</v>
      </c>
      <c r="D7313" t="inlineStr">
        <is>
          <t>VÄRMLANDS LÄN</t>
        </is>
      </c>
      <c r="E7313" t="inlineStr">
        <is>
          <t>EDA</t>
        </is>
      </c>
      <c r="F7313" t="inlineStr">
        <is>
          <t>Kommuner</t>
        </is>
      </c>
      <c r="G7313" t="n">
        <v>1.9</v>
      </c>
      <c r="H7313" t="n">
        <v>0</v>
      </c>
      <c r="I7313" t="n">
        <v>0</v>
      </c>
      <c r="J7313" t="n">
        <v>0</v>
      </c>
      <c r="K7313" t="n">
        <v>0</v>
      </c>
      <c r="L7313" t="n">
        <v>0</v>
      </c>
      <c r="M7313" t="n">
        <v>0</v>
      </c>
      <c r="N7313" t="n">
        <v>0</v>
      </c>
      <c r="O7313" t="n">
        <v>0</v>
      </c>
      <c r="P7313" t="n">
        <v>0</v>
      </c>
      <c r="Q7313" t="n">
        <v>0</v>
      </c>
      <c r="R7313" s="2" t="inlineStr"/>
    </row>
    <row r="7314" ht="15" customHeight="1">
      <c r="A7314" t="inlineStr">
        <is>
          <t>A 31430-2022</t>
        </is>
      </c>
      <c r="B7314" s="1" t="n">
        <v>44774</v>
      </c>
      <c r="C7314" s="1" t="n">
        <v>45810</v>
      </c>
      <c r="D7314" t="inlineStr">
        <is>
          <t>VÄRMLANDS LÄN</t>
        </is>
      </c>
      <c r="E7314" t="inlineStr">
        <is>
          <t>SUNNE</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31611-2022</t>
        </is>
      </c>
      <c r="B7315" s="1" t="n">
        <v>44775</v>
      </c>
      <c r="C7315" s="1" t="n">
        <v>45810</v>
      </c>
      <c r="D7315" t="inlineStr">
        <is>
          <t>VÄRMLANDS LÄN</t>
        </is>
      </c>
      <c r="E7315" t="inlineStr">
        <is>
          <t>SUNNE</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31534-2022</t>
        </is>
      </c>
      <c r="B7316" s="1" t="n">
        <v>44775</v>
      </c>
      <c r="C7316" s="1" t="n">
        <v>45810</v>
      </c>
      <c r="D7316" t="inlineStr">
        <is>
          <t>VÄRMLANDS LÄN</t>
        </is>
      </c>
      <c r="E7316" t="inlineStr">
        <is>
          <t>SUNNE</t>
        </is>
      </c>
      <c r="G7316" t="n">
        <v>1.3</v>
      </c>
      <c r="H7316" t="n">
        <v>0</v>
      </c>
      <c r="I7316" t="n">
        <v>0</v>
      </c>
      <c r="J7316" t="n">
        <v>0</v>
      </c>
      <c r="K7316" t="n">
        <v>0</v>
      </c>
      <c r="L7316" t="n">
        <v>0</v>
      </c>
      <c r="M7316" t="n">
        <v>0</v>
      </c>
      <c r="N7316" t="n">
        <v>0</v>
      </c>
      <c r="O7316" t="n">
        <v>0</v>
      </c>
      <c r="P7316" t="n">
        <v>0</v>
      </c>
      <c r="Q7316" t="n">
        <v>0</v>
      </c>
      <c r="R7316" s="2" t="inlineStr"/>
    </row>
    <row r="7317" ht="15" customHeight="1">
      <c r="A7317" t="inlineStr">
        <is>
          <t>A 31621-2022</t>
        </is>
      </c>
      <c r="B7317" s="1" t="n">
        <v>44775</v>
      </c>
      <c r="C7317" s="1" t="n">
        <v>45810</v>
      </c>
      <c r="D7317" t="inlineStr">
        <is>
          <t>VÄRMLANDS LÄN</t>
        </is>
      </c>
      <c r="E7317" t="inlineStr">
        <is>
          <t>KIL</t>
        </is>
      </c>
      <c r="G7317" t="n">
        <v>0.5</v>
      </c>
      <c r="H7317" t="n">
        <v>0</v>
      </c>
      <c r="I7317" t="n">
        <v>0</v>
      </c>
      <c r="J7317" t="n">
        <v>0</v>
      </c>
      <c r="K7317" t="n">
        <v>0</v>
      </c>
      <c r="L7317" t="n">
        <v>0</v>
      </c>
      <c r="M7317" t="n">
        <v>0</v>
      </c>
      <c r="N7317" t="n">
        <v>0</v>
      </c>
      <c r="O7317" t="n">
        <v>0</v>
      </c>
      <c r="P7317" t="n">
        <v>0</v>
      </c>
      <c r="Q7317" t="n">
        <v>0</v>
      </c>
      <c r="R7317" s="2" t="inlineStr"/>
    </row>
    <row r="7318" ht="15" customHeight="1">
      <c r="A7318" t="inlineStr">
        <is>
          <t>A 31660-2022</t>
        </is>
      </c>
      <c r="B7318" s="1" t="n">
        <v>44776</v>
      </c>
      <c r="C7318" s="1" t="n">
        <v>45810</v>
      </c>
      <c r="D7318" t="inlineStr">
        <is>
          <t>VÄRMLANDS LÄN</t>
        </is>
      </c>
      <c r="E7318" t="inlineStr">
        <is>
          <t>HAGFORS</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31661-2022</t>
        </is>
      </c>
      <c r="B7319" s="1" t="n">
        <v>44776</v>
      </c>
      <c r="C7319" s="1" t="n">
        <v>45810</v>
      </c>
      <c r="D7319" t="inlineStr">
        <is>
          <t>VÄRMLANDS LÄN</t>
        </is>
      </c>
      <c r="E7319" t="inlineStr">
        <is>
          <t>HAGFORS</t>
        </is>
      </c>
      <c r="G7319" t="n">
        <v>0.6</v>
      </c>
      <c r="H7319" t="n">
        <v>0</v>
      </c>
      <c r="I7319" t="n">
        <v>0</v>
      </c>
      <c r="J7319" t="n">
        <v>0</v>
      </c>
      <c r="K7319" t="n">
        <v>0</v>
      </c>
      <c r="L7319" t="n">
        <v>0</v>
      </c>
      <c r="M7319" t="n">
        <v>0</v>
      </c>
      <c r="N7319" t="n">
        <v>0</v>
      </c>
      <c r="O7319" t="n">
        <v>0</v>
      </c>
      <c r="P7319" t="n">
        <v>0</v>
      </c>
      <c r="Q7319" t="n">
        <v>0</v>
      </c>
      <c r="R7319" s="2" t="inlineStr"/>
    </row>
    <row r="7320" ht="15" customHeight="1">
      <c r="A7320" t="inlineStr">
        <is>
          <t>A 31678-2022</t>
        </is>
      </c>
      <c r="B7320" s="1" t="n">
        <v>44776</v>
      </c>
      <c r="C7320" s="1" t="n">
        <v>45810</v>
      </c>
      <c r="D7320" t="inlineStr">
        <is>
          <t>VÄRMLANDS LÄN</t>
        </is>
      </c>
      <c r="E7320" t="inlineStr">
        <is>
          <t>EDA</t>
        </is>
      </c>
      <c r="F7320" t="inlineStr">
        <is>
          <t>Kommuner</t>
        </is>
      </c>
      <c r="G7320" t="n">
        <v>2.5</v>
      </c>
      <c r="H7320" t="n">
        <v>0</v>
      </c>
      <c r="I7320" t="n">
        <v>0</v>
      </c>
      <c r="J7320" t="n">
        <v>0</v>
      </c>
      <c r="K7320" t="n">
        <v>0</v>
      </c>
      <c r="L7320" t="n">
        <v>0</v>
      </c>
      <c r="M7320" t="n">
        <v>0</v>
      </c>
      <c r="N7320" t="n">
        <v>0</v>
      </c>
      <c r="O7320" t="n">
        <v>0</v>
      </c>
      <c r="P7320" t="n">
        <v>0</v>
      </c>
      <c r="Q7320" t="n">
        <v>0</v>
      </c>
      <c r="R7320" s="2" t="inlineStr"/>
    </row>
    <row r="7321" ht="15" customHeight="1">
      <c r="A7321" t="inlineStr">
        <is>
          <t>A 31797-2022</t>
        </is>
      </c>
      <c r="B7321" s="1" t="n">
        <v>44776</v>
      </c>
      <c r="C7321" s="1" t="n">
        <v>45810</v>
      </c>
      <c r="D7321" t="inlineStr">
        <is>
          <t>VÄRMLANDS LÄN</t>
        </is>
      </c>
      <c r="E7321" t="inlineStr">
        <is>
          <t>ARVIKA</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31783-2022</t>
        </is>
      </c>
      <c r="B7322" s="1" t="n">
        <v>44776</v>
      </c>
      <c r="C7322" s="1" t="n">
        <v>45810</v>
      </c>
      <c r="D7322" t="inlineStr">
        <is>
          <t>VÄRMLANDS LÄN</t>
        </is>
      </c>
      <c r="E7322" t="inlineStr">
        <is>
          <t>SÄFFLE</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31829-2022</t>
        </is>
      </c>
      <c r="B7323" s="1" t="n">
        <v>44776</v>
      </c>
      <c r="C7323" s="1" t="n">
        <v>45810</v>
      </c>
      <c r="D7323" t="inlineStr">
        <is>
          <t>VÄRMLANDS LÄN</t>
        </is>
      </c>
      <c r="E7323" t="inlineStr">
        <is>
          <t>ARVIKA</t>
        </is>
      </c>
      <c r="G7323" t="n">
        <v>0.6</v>
      </c>
      <c r="H7323" t="n">
        <v>0</v>
      </c>
      <c r="I7323" t="n">
        <v>0</v>
      </c>
      <c r="J7323" t="n">
        <v>0</v>
      </c>
      <c r="K7323" t="n">
        <v>0</v>
      </c>
      <c r="L7323" t="n">
        <v>0</v>
      </c>
      <c r="M7323" t="n">
        <v>0</v>
      </c>
      <c r="N7323" t="n">
        <v>0</v>
      </c>
      <c r="O7323" t="n">
        <v>0</v>
      </c>
      <c r="P7323" t="n">
        <v>0</v>
      </c>
      <c r="Q7323" t="n">
        <v>0</v>
      </c>
      <c r="R7323" s="2" t="inlineStr"/>
    </row>
    <row r="7324" ht="15" customHeight="1">
      <c r="A7324" t="inlineStr">
        <is>
          <t>A 31901-2022</t>
        </is>
      </c>
      <c r="B7324" s="1" t="n">
        <v>44777</v>
      </c>
      <c r="C7324" s="1" t="n">
        <v>45810</v>
      </c>
      <c r="D7324" t="inlineStr">
        <is>
          <t>VÄRMLANDS LÄN</t>
        </is>
      </c>
      <c r="E7324" t="inlineStr">
        <is>
          <t>EDA</t>
        </is>
      </c>
      <c r="G7324" t="n">
        <v>1.3</v>
      </c>
      <c r="H7324" t="n">
        <v>0</v>
      </c>
      <c r="I7324" t="n">
        <v>0</v>
      </c>
      <c r="J7324" t="n">
        <v>0</v>
      </c>
      <c r="K7324" t="n">
        <v>0</v>
      </c>
      <c r="L7324" t="n">
        <v>0</v>
      </c>
      <c r="M7324" t="n">
        <v>0</v>
      </c>
      <c r="N7324" t="n">
        <v>0</v>
      </c>
      <c r="O7324" t="n">
        <v>0</v>
      </c>
      <c r="P7324" t="n">
        <v>0</v>
      </c>
      <c r="Q7324" t="n">
        <v>0</v>
      </c>
      <c r="R7324" s="2" t="inlineStr"/>
    </row>
    <row r="7325" ht="15" customHeight="1">
      <c r="A7325" t="inlineStr">
        <is>
          <t>A 31945-2022</t>
        </is>
      </c>
      <c r="B7325" s="1" t="n">
        <v>44777</v>
      </c>
      <c r="C7325" s="1" t="n">
        <v>45810</v>
      </c>
      <c r="D7325" t="inlineStr">
        <is>
          <t>VÄRMLANDS LÄN</t>
        </is>
      </c>
      <c r="E7325" t="inlineStr">
        <is>
          <t>SÄFFLE</t>
        </is>
      </c>
      <c r="G7325" t="n">
        <v>1.3</v>
      </c>
      <c r="H7325" t="n">
        <v>0</v>
      </c>
      <c r="I7325" t="n">
        <v>0</v>
      </c>
      <c r="J7325" t="n">
        <v>0</v>
      </c>
      <c r="K7325" t="n">
        <v>0</v>
      </c>
      <c r="L7325" t="n">
        <v>0</v>
      </c>
      <c r="M7325" t="n">
        <v>0</v>
      </c>
      <c r="N7325" t="n">
        <v>0</v>
      </c>
      <c r="O7325" t="n">
        <v>0</v>
      </c>
      <c r="P7325" t="n">
        <v>0</v>
      </c>
      <c r="Q7325" t="n">
        <v>0</v>
      </c>
      <c r="R7325" s="2" t="inlineStr"/>
    </row>
    <row r="7326" ht="15" customHeight="1">
      <c r="A7326" t="inlineStr">
        <is>
          <t>A 31896-2022</t>
        </is>
      </c>
      <c r="B7326" s="1" t="n">
        <v>44777</v>
      </c>
      <c r="C7326" s="1" t="n">
        <v>45810</v>
      </c>
      <c r="D7326" t="inlineStr">
        <is>
          <t>VÄRMLANDS LÄN</t>
        </is>
      </c>
      <c r="E7326" t="inlineStr">
        <is>
          <t>SUNNE</t>
        </is>
      </c>
      <c r="G7326" t="n">
        <v>3.8</v>
      </c>
      <c r="H7326" t="n">
        <v>0</v>
      </c>
      <c r="I7326" t="n">
        <v>0</v>
      </c>
      <c r="J7326" t="n">
        <v>0</v>
      </c>
      <c r="K7326" t="n">
        <v>0</v>
      </c>
      <c r="L7326" t="n">
        <v>0</v>
      </c>
      <c r="M7326" t="n">
        <v>0</v>
      </c>
      <c r="N7326" t="n">
        <v>0</v>
      </c>
      <c r="O7326" t="n">
        <v>0</v>
      </c>
      <c r="P7326" t="n">
        <v>0</v>
      </c>
      <c r="Q7326" t="n">
        <v>0</v>
      </c>
      <c r="R7326" s="2" t="inlineStr"/>
    </row>
    <row r="7327" ht="15" customHeight="1">
      <c r="A7327" t="inlineStr">
        <is>
          <t>A 31907-2022</t>
        </is>
      </c>
      <c r="B7327" s="1" t="n">
        <v>44777</v>
      </c>
      <c r="C7327" s="1" t="n">
        <v>45810</v>
      </c>
      <c r="D7327" t="inlineStr">
        <is>
          <t>VÄRMLANDS LÄN</t>
        </is>
      </c>
      <c r="E7327" t="inlineStr">
        <is>
          <t>EDA</t>
        </is>
      </c>
      <c r="G7327" t="n">
        <v>2.5</v>
      </c>
      <c r="H7327" t="n">
        <v>0</v>
      </c>
      <c r="I7327" t="n">
        <v>0</v>
      </c>
      <c r="J7327" t="n">
        <v>0</v>
      </c>
      <c r="K7327" t="n">
        <v>0</v>
      </c>
      <c r="L7327" t="n">
        <v>0</v>
      </c>
      <c r="M7327" t="n">
        <v>0</v>
      </c>
      <c r="N7327" t="n">
        <v>0</v>
      </c>
      <c r="O7327" t="n">
        <v>0</v>
      </c>
      <c r="P7327" t="n">
        <v>0</v>
      </c>
      <c r="Q7327" t="n">
        <v>0</v>
      </c>
      <c r="R7327" s="2" t="inlineStr"/>
    </row>
    <row r="7328" ht="15" customHeight="1">
      <c r="A7328" t="inlineStr">
        <is>
          <t>A 31930-2022</t>
        </is>
      </c>
      <c r="B7328" s="1" t="n">
        <v>44777</v>
      </c>
      <c r="C7328" s="1" t="n">
        <v>45810</v>
      </c>
      <c r="D7328" t="inlineStr">
        <is>
          <t>VÄRMLANDS LÄN</t>
        </is>
      </c>
      <c r="E7328" t="inlineStr">
        <is>
          <t>ÅRJÄNG</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32003-2022</t>
        </is>
      </c>
      <c r="B7329" s="1" t="n">
        <v>44778</v>
      </c>
      <c r="C7329" s="1" t="n">
        <v>45810</v>
      </c>
      <c r="D7329" t="inlineStr">
        <is>
          <t>VÄRMLANDS LÄN</t>
        </is>
      </c>
      <c r="E7329" t="inlineStr">
        <is>
          <t>TORSBY</t>
        </is>
      </c>
      <c r="G7329" t="n">
        <v>1.4</v>
      </c>
      <c r="H7329" t="n">
        <v>0</v>
      </c>
      <c r="I7329" t="n">
        <v>0</v>
      </c>
      <c r="J7329" t="n">
        <v>0</v>
      </c>
      <c r="K7329" t="n">
        <v>0</v>
      </c>
      <c r="L7329" t="n">
        <v>0</v>
      </c>
      <c r="M7329" t="n">
        <v>0</v>
      </c>
      <c r="N7329" t="n">
        <v>0</v>
      </c>
      <c r="O7329" t="n">
        <v>0</v>
      </c>
      <c r="P7329" t="n">
        <v>0</v>
      </c>
      <c r="Q7329" t="n">
        <v>0</v>
      </c>
      <c r="R7329" s="2" t="inlineStr"/>
    </row>
    <row r="7330" ht="15" customHeight="1">
      <c r="A7330" t="inlineStr">
        <is>
          <t>A 32011-2022</t>
        </is>
      </c>
      <c r="B7330" s="1" t="n">
        <v>44778</v>
      </c>
      <c r="C7330" s="1" t="n">
        <v>45810</v>
      </c>
      <c r="D7330" t="inlineStr">
        <is>
          <t>VÄRMLANDS LÄN</t>
        </is>
      </c>
      <c r="E7330" t="inlineStr">
        <is>
          <t>SUNNE</t>
        </is>
      </c>
      <c r="G7330" t="n">
        <v>2.5</v>
      </c>
      <c r="H7330" t="n">
        <v>0</v>
      </c>
      <c r="I7330" t="n">
        <v>0</v>
      </c>
      <c r="J7330" t="n">
        <v>0</v>
      </c>
      <c r="K7330" t="n">
        <v>0</v>
      </c>
      <c r="L7330" t="n">
        <v>0</v>
      </c>
      <c r="M7330" t="n">
        <v>0</v>
      </c>
      <c r="N7330" t="n">
        <v>0</v>
      </c>
      <c r="O7330" t="n">
        <v>0</v>
      </c>
      <c r="P7330" t="n">
        <v>0</v>
      </c>
      <c r="Q7330" t="n">
        <v>0</v>
      </c>
      <c r="R7330" s="2" t="inlineStr"/>
    </row>
    <row r="7331" ht="15" customHeight="1">
      <c r="A7331" t="inlineStr">
        <is>
          <t>A 32093-2022</t>
        </is>
      </c>
      <c r="B7331" s="1" t="n">
        <v>44778</v>
      </c>
      <c r="C7331" s="1" t="n">
        <v>45810</v>
      </c>
      <c r="D7331" t="inlineStr">
        <is>
          <t>VÄRMLANDS LÄN</t>
        </is>
      </c>
      <c r="E7331" t="inlineStr">
        <is>
          <t>SUNNE</t>
        </is>
      </c>
      <c r="G7331" t="n">
        <v>8.5</v>
      </c>
      <c r="H7331" t="n">
        <v>0</v>
      </c>
      <c r="I7331" t="n">
        <v>0</v>
      </c>
      <c r="J7331" t="n">
        <v>0</v>
      </c>
      <c r="K7331" t="n">
        <v>0</v>
      </c>
      <c r="L7331" t="n">
        <v>0</v>
      </c>
      <c r="M7331" t="n">
        <v>0</v>
      </c>
      <c r="N7331" t="n">
        <v>0</v>
      </c>
      <c r="O7331" t="n">
        <v>0</v>
      </c>
      <c r="P7331" t="n">
        <v>0</v>
      </c>
      <c r="Q7331" t="n">
        <v>0</v>
      </c>
      <c r="R7331" s="2" t="inlineStr"/>
    </row>
    <row r="7332" ht="15" customHeight="1">
      <c r="A7332" t="inlineStr">
        <is>
          <t>A 32009-2022</t>
        </is>
      </c>
      <c r="B7332" s="1" t="n">
        <v>44778</v>
      </c>
      <c r="C7332" s="1" t="n">
        <v>45810</v>
      </c>
      <c r="D7332" t="inlineStr">
        <is>
          <t>VÄRMLANDS LÄN</t>
        </is>
      </c>
      <c r="E7332" t="inlineStr">
        <is>
          <t>ARVIKA</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32147-2022</t>
        </is>
      </c>
      <c r="B7333" s="1" t="n">
        <v>44780</v>
      </c>
      <c r="C7333" s="1" t="n">
        <v>45810</v>
      </c>
      <c r="D7333" t="inlineStr">
        <is>
          <t>VÄRMLANDS LÄN</t>
        </is>
      </c>
      <c r="E7333" t="inlineStr">
        <is>
          <t>SÄFFLE</t>
        </is>
      </c>
      <c r="G7333" t="n">
        <v>2.3</v>
      </c>
      <c r="H7333" t="n">
        <v>0</v>
      </c>
      <c r="I7333" t="n">
        <v>0</v>
      </c>
      <c r="J7333" t="n">
        <v>0</v>
      </c>
      <c r="K7333" t="n">
        <v>0</v>
      </c>
      <c r="L7333" t="n">
        <v>0</v>
      </c>
      <c r="M7333" t="n">
        <v>0</v>
      </c>
      <c r="N7333" t="n">
        <v>0</v>
      </c>
      <c r="O7333" t="n">
        <v>0</v>
      </c>
      <c r="P7333" t="n">
        <v>0</v>
      </c>
      <c r="Q7333" t="n">
        <v>0</v>
      </c>
      <c r="R7333" s="2" t="inlineStr"/>
    </row>
    <row r="7334" ht="15" customHeight="1">
      <c r="A7334" t="inlineStr">
        <is>
          <t>A 32187-2022</t>
        </is>
      </c>
      <c r="B7334" s="1" t="n">
        <v>44780</v>
      </c>
      <c r="C7334" s="1" t="n">
        <v>45810</v>
      </c>
      <c r="D7334" t="inlineStr">
        <is>
          <t>VÄRMLANDS LÄN</t>
        </is>
      </c>
      <c r="E7334" t="inlineStr">
        <is>
          <t>ARVIKA</t>
        </is>
      </c>
      <c r="G7334" t="n">
        <v>2.8</v>
      </c>
      <c r="H7334" t="n">
        <v>0</v>
      </c>
      <c r="I7334" t="n">
        <v>0</v>
      </c>
      <c r="J7334" t="n">
        <v>0</v>
      </c>
      <c r="K7334" t="n">
        <v>0</v>
      </c>
      <c r="L7334" t="n">
        <v>0</v>
      </c>
      <c r="M7334" t="n">
        <v>0</v>
      </c>
      <c r="N7334" t="n">
        <v>0</v>
      </c>
      <c r="O7334" t="n">
        <v>0</v>
      </c>
      <c r="P7334" t="n">
        <v>0</v>
      </c>
      <c r="Q7334" t="n">
        <v>0</v>
      </c>
      <c r="R7334" s="2" t="inlineStr"/>
    </row>
    <row r="7335" ht="15" customHeight="1">
      <c r="A7335" t="inlineStr">
        <is>
          <t>A 32146-2022</t>
        </is>
      </c>
      <c r="B7335" s="1" t="n">
        <v>44780</v>
      </c>
      <c r="C7335" s="1" t="n">
        <v>45810</v>
      </c>
      <c r="D7335" t="inlineStr">
        <is>
          <t>VÄRMLANDS LÄN</t>
        </is>
      </c>
      <c r="E7335" t="inlineStr">
        <is>
          <t>SÄFFLE</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32176-2022</t>
        </is>
      </c>
      <c r="B7336" s="1" t="n">
        <v>44780</v>
      </c>
      <c r="C7336" s="1" t="n">
        <v>45810</v>
      </c>
      <c r="D7336" t="inlineStr">
        <is>
          <t>VÄRMLANDS LÄN</t>
        </is>
      </c>
      <c r="E7336" t="inlineStr">
        <is>
          <t>ARVIKA</t>
        </is>
      </c>
      <c r="G7336" t="n">
        <v>1.9</v>
      </c>
      <c r="H7336" t="n">
        <v>0</v>
      </c>
      <c r="I7336" t="n">
        <v>0</v>
      </c>
      <c r="J7336" t="n">
        <v>0</v>
      </c>
      <c r="K7336" t="n">
        <v>0</v>
      </c>
      <c r="L7336" t="n">
        <v>0</v>
      </c>
      <c r="M7336" t="n">
        <v>0</v>
      </c>
      <c r="N7336" t="n">
        <v>0</v>
      </c>
      <c r="O7336" t="n">
        <v>0</v>
      </c>
      <c r="P7336" t="n">
        <v>0</v>
      </c>
      <c r="Q7336" t="n">
        <v>0</v>
      </c>
      <c r="R7336" s="2" t="inlineStr"/>
    </row>
    <row r="7337" ht="15" customHeight="1">
      <c r="A7337" t="inlineStr">
        <is>
          <t>A 32145-2022</t>
        </is>
      </c>
      <c r="B7337" s="1" t="n">
        <v>44780</v>
      </c>
      <c r="C7337" s="1" t="n">
        <v>45810</v>
      </c>
      <c r="D7337" t="inlineStr">
        <is>
          <t>VÄRMLANDS LÄN</t>
        </is>
      </c>
      <c r="E7337" t="inlineStr">
        <is>
          <t>SÄFFLE</t>
        </is>
      </c>
      <c r="G7337" t="n">
        <v>0.4</v>
      </c>
      <c r="H7337" t="n">
        <v>0</v>
      </c>
      <c r="I7337" t="n">
        <v>0</v>
      </c>
      <c r="J7337" t="n">
        <v>0</v>
      </c>
      <c r="K7337" t="n">
        <v>0</v>
      </c>
      <c r="L7337" t="n">
        <v>0</v>
      </c>
      <c r="M7337" t="n">
        <v>0</v>
      </c>
      <c r="N7337" t="n">
        <v>0</v>
      </c>
      <c r="O7337" t="n">
        <v>0</v>
      </c>
      <c r="P7337" t="n">
        <v>0</v>
      </c>
      <c r="Q7337" t="n">
        <v>0</v>
      </c>
      <c r="R7337" s="2" t="inlineStr"/>
    </row>
    <row r="7338" ht="15" customHeight="1">
      <c r="A7338" t="inlineStr">
        <is>
          <t>A 32202-2022</t>
        </is>
      </c>
      <c r="B7338" s="1" t="n">
        <v>44781</v>
      </c>
      <c r="C7338" s="1" t="n">
        <v>45810</v>
      </c>
      <c r="D7338" t="inlineStr">
        <is>
          <t>VÄRMLANDS LÄN</t>
        </is>
      </c>
      <c r="E7338" t="inlineStr">
        <is>
          <t>SUNNE</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32227-2022</t>
        </is>
      </c>
      <c r="B7339" s="1" t="n">
        <v>44781</v>
      </c>
      <c r="C7339" s="1" t="n">
        <v>45810</v>
      </c>
      <c r="D7339" t="inlineStr">
        <is>
          <t>VÄRMLANDS LÄN</t>
        </is>
      </c>
      <c r="E7339" t="inlineStr">
        <is>
          <t>EDA</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32192-2022</t>
        </is>
      </c>
      <c r="B7340" s="1" t="n">
        <v>44781</v>
      </c>
      <c r="C7340" s="1" t="n">
        <v>45810</v>
      </c>
      <c r="D7340" t="inlineStr">
        <is>
          <t>VÄRMLANDS LÄN</t>
        </is>
      </c>
      <c r="E7340" t="inlineStr">
        <is>
          <t>HAGFORS</t>
        </is>
      </c>
      <c r="G7340" t="n">
        <v>1.2</v>
      </c>
      <c r="H7340" t="n">
        <v>0</v>
      </c>
      <c r="I7340" t="n">
        <v>0</v>
      </c>
      <c r="J7340" t="n">
        <v>0</v>
      </c>
      <c r="K7340" t="n">
        <v>0</v>
      </c>
      <c r="L7340" t="n">
        <v>0</v>
      </c>
      <c r="M7340" t="n">
        <v>0</v>
      </c>
      <c r="N7340" t="n">
        <v>0</v>
      </c>
      <c r="O7340" t="n">
        <v>0</v>
      </c>
      <c r="P7340" t="n">
        <v>0</v>
      </c>
      <c r="Q7340" t="n">
        <v>0</v>
      </c>
      <c r="R7340" s="2" t="inlineStr"/>
    </row>
    <row r="7341" ht="15" customHeight="1">
      <c r="A7341" t="inlineStr">
        <is>
          <t>A 32228-2022</t>
        </is>
      </c>
      <c r="B7341" s="1" t="n">
        <v>44781</v>
      </c>
      <c r="C7341" s="1" t="n">
        <v>45810</v>
      </c>
      <c r="D7341" t="inlineStr">
        <is>
          <t>VÄRMLANDS LÄN</t>
        </is>
      </c>
      <c r="E7341" t="inlineStr">
        <is>
          <t>EDA</t>
        </is>
      </c>
      <c r="G7341" t="n">
        <v>3.7</v>
      </c>
      <c r="H7341" t="n">
        <v>0</v>
      </c>
      <c r="I7341" t="n">
        <v>0</v>
      </c>
      <c r="J7341" t="n">
        <v>0</v>
      </c>
      <c r="K7341" t="n">
        <v>0</v>
      </c>
      <c r="L7341" t="n">
        <v>0</v>
      </c>
      <c r="M7341" t="n">
        <v>0</v>
      </c>
      <c r="N7341" t="n">
        <v>0</v>
      </c>
      <c r="O7341" t="n">
        <v>0</v>
      </c>
      <c r="P7341" t="n">
        <v>0</v>
      </c>
      <c r="Q7341" t="n">
        <v>0</v>
      </c>
      <c r="R7341" s="2" t="inlineStr"/>
    </row>
    <row r="7342" ht="15" customHeight="1">
      <c r="A7342" t="inlineStr">
        <is>
          <t>A 32282-2022</t>
        </is>
      </c>
      <c r="B7342" s="1" t="n">
        <v>44781</v>
      </c>
      <c r="C7342" s="1" t="n">
        <v>45810</v>
      </c>
      <c r="D7342" t="inlineStr">
        <is>
          <t>VÄRMLANDS LÄN</t>
        </is>
      </c>
      <c r="E7342" t="inlineStr">
        <is>
          <t>KARLSTAD</t>
        </is>
      </c>
      <c r="G7342" t="n">
        <v>3.2</v>
      </c>
      <c r="H7342" t="n">
        <v>0</v>
      </c>
      <c r="I7342" t="n">
        <v>0</v>
      </c>
      <c r="J7342" t="n">
        <v>0</v>
      </c>
      <c r="K7342" t="n">
        <v>0</v>
      </c>
      <c r="L7342" t="n">
        <v>0</v>
      </c>
      <c r="M7342" t="n">
        <v>0</v>
      </c>
      <c r="N7342" t="n">
        <v>0</v>
      </c>
      <c r="O7342" t="n">
        <v>0</v>
      </c>
      <c r="P7342" t="n">
        <v>0</v>
      </c>
      <c r="Q7342" t="n">
        <v>0</v>
      </c>
      <c r="R7342" s="2" t="inlineStr"/>
    </row>
    <row r="7343" ht="15" customHeight="1">
      <c r="A7343" t="inlineStr">
        <is>
          <t>A 32287-2022</t>
        </is>
      </c>
      <c r="B7343" s="1" t="n">
        <v>44781</v>
      </c>
      <c r="C7343" s="1" t="n">
        <v>45810</v>
      </c>
      <c r="D7343" t="inlineStr">
        <is>
          <t>VÄRMLANDS LÄN</t>
        </is>
      </c>
      <c r="E7343" t="inlineStr">
        <is>
          <t>ARVIKA</t>
        </is>
      </c>
      <c r="F7343" t="inlineStr">
        <is>
          <t>Bergvik skog väst AB</t>
        </is>
      </c>
      <c r="G7343" t="n">
        <v>11.5</v>
      </c>
      <c r="H7343" t="n">
        <v>0</v>
      </c>
      <c r="I7343" t="n">
        <v>0</v>
      </c>
      <c r="J7343" t="n">
        <v>0</v>
      </c>
      <c r="K7343" t="n">
        <v>0</v>
      </c>
      <c r="L7343" t="n">
        <v>0</v>
      </c>
      <c r="M7343" t="n">
        <v>0</v>
      </c>
      <c r="N7343" t="n">
        <v>0</v>
      </c>
      <c r="O7343" t="n">
        <v>0</v>
      </c>
      <c r="P7343" t="n">
        <v>0</v>
      </c>
      <c r="Q7343" t="n">
        <v>0</v>
      </c>
      <c r="R7343" s="2" t="inlineStr"/>
    </row>
    <row r="7344" ht="15" customHeight="1">
      <c r="A7344" t="inlineStr">
        <is>
          <t>A 32286-2022</t>
        </is>
      </c>
      <c r="B7344" s="1" t="n">
        <v>44781</v>
      </c>
      <c r="C7344" s="1" t="n">
        <v>45810</v>
      </c>
      <c r="D7344" t="inlineStr">
        <is>
          <t>VÄRMLANDS LÄN</t>
        </is>
      </c>
      <c r="E7344" t="inlineStr">
        <is>
          <t>KARLSTAD</t>
        </is>
      </c>
      <c r="G7344" t="n">
        <v>2.8</v>
      </c>
      <c r="H7344" t="n">
        <v>0</v>
      </c>
      <c r="I7344" t="n">
        <v>0</v>
      </c>
      <c r="J7344" t="n">
        <v>0</v>
      </c>
      <c r="K7344" t="n">
        <v>0</v>
      </c>
      <c r="L7344" t="n">
        <v>0</v>
      </c>
      <c r="M7344" t="n">
        <v>0</v>
      </c>
      <c r="N7344" t="n">
        <v>0</v>
      </c>
      <c r="O7344" t="n">
        <v>0</v>
      </c>
      <c r="P7344" t="n">
        <v>0</v>
      </c>
      <c r="Q7344" t="n">
        <v>0</v>
      </c>
      <c r="R7344" s="2" t="inlineStr"/>
    </row>
    <row r="7345" ht="15" customHeight="1">
      <c r="A7345" t="inlineStr">
        <is>
          <t>A 32304-2022</t>
        </is>
      </c>
      <c r="B7345" s="1" t="n">
        <v>44781</v>
      </c>
      <c r="C7345" s="1" t="n">
        <v>45810</v>
      </c>
      <c r="D7345" t="inlineStr">
        <is>
          <t>VÄRMLANDS LÄN</t>
        </is>
      </c>
      <c r="E7345" t="inlineStr">
        <is>
          <t>GRUMS</t>
        </is>
      </c>
      <c r="G7345" t="n">
        <v>2.4</v>
      </c>
      <c r="H7345" t="n">
        <v>0</v>
      </c>
      <c r="I7345" t="n">
        <v>0</v>
      </c>
      <c r="J7345" t="n">
        <v>0</v>
      </c>
      <c r="K7345" t="n">
        <v>0</v>
      </c>
      <c r="L7345" t="n">
        <v>0</v>
      </c>
      <c r="M7345" t="n">
        <v>0</v>
      </c>
      <c r="N7345" t="n">
        <v>0</v>
      </c>
      <c r="O7345" t="n">
        <v>0</v>
      </c>
      <c r="P7345" t="n">
        <v>0</v>
      </c>
      <c r="Q7345" t="n">
        <v>0</v>
      </c>
      <c r="R7345" s="2" t="inlineStr"/>
    </row>
    <row r="7346" ht="15" customHeight="1">
      <c r="A7346" t="inlineStr">
        <is>
          <t>A 32343-2022</t>
        </is>
      </c>
      <c r="B7346" s="1" t="n">
        <v>44781</v>
      </c>
      <c r="C7346" s="1" t="n">
        <v>45810</v>
      </c>
      <c r="D7346" t="inlineStr">
        <is>
          <t>VÄRMLANDS LÄN</t>
        </is>
      </c>
      <c r="E7346" t="inlineStr">
        <is>
          <t>EDA</t>
        </is>
      </c>
      <c r="G7346" t="n">
        <v>3.2</v>
      </c>
      <c r="H7346" t="n">
        <v>0</v>
      </c>
      <c r="I7346" t="n">
        <v>0</v>
      </c>
      <c r="J7346" t="n">
        <v>0</v>
      </c>
      <c r="K7346" t="n">
        <v>0</v>
      </c>
      <c r="L7346" t="n">
        <v>0</v>
      </c>
      <c r="M7346" t="n">
        <v>0</v>
      </c>
      <c r="N7346" t="n">
        <v>0</v>
      </c>
      <c r="O7346" t="n">
        <v>0</v>
      </c>
      <c r="P7346" t="n">
        <v>0</v>
      </c>
      <c r="Q7346" t="n">
        <v>0</v>
      </c>
      <c r="R7346" s="2" t="inlineStr"/>
    </row>
    <row r="7347" ht="15" customHeight="1">
      <c r="A7347" t="inlineStr">
        <is>
          <t>A 32393-2022</t>
        </is>
      </c>
      <c r="B7347" s="1" t="n">
        <v>44781</v>
      </c>
      <c r="C7347" s="1" t="n">
        <v>45810</v>
      </c>
      <c r="D7347" t="inlineStr">
        <is>
          <t>VÄRMLANDS LÄN</t>
        </is>
      </c>
      <c r="E7347" t="inlineStr">
        <is>
          <t>SUNNE</t>
        </is>
      </c>
      <c r="G7347" t="n">
        <v>4</v>
      </c>
      <c r="H7347" t="n">
        <v>0</v>
      </c>
      <c r="I7347" t="n">
        <v>0</v>
      </c>
      <c r="J7347" t="n">
        <v>0</v>
      </c>
      <c r="K7347" t="n">
        <v>0</v>
      </c>
      <c r="L7347" t="n">
        <v>0</v>
      </c>
      <c r="M7347" t="n">
        <v>0</v>
      </c>
      <c r="N7347" t="n">
        <v>0</v>
      </c>
      <c r="O7347" t="n">
        <v>0</v>
      </c>
      <c r="P7347" t="n">
        <v>0</v>
      </c>
      <c r="Q7347" t="n">
        <v>0</v>
      </c>
      <c r="R7347" s="2" t="inlineStr"/>
    </row>
    <row r="7348" ht="15" customHeight="1">
      <c r="A7348" t="inlineStr">
        <is>
          <t>A 32405-2022</t>
        </is>
      </c>
      <c r="B7348" s="1" t="n">
        <v>44782</v>
      </c>
      <c r="C7348" s="1" t="n">
        <v>45810</v>
      </c>
      <c r="D7348" t="inlineStr">
        <is>
          <t>VÄRMLANDS LÄN</t>
        </is>
      </c>
      <c r="E7348" t="inlineStr">
        <is>
          <t>SUNNE</t>
        </is>
      </c>
      <c r="G7348" t="n">
        <v>4.1</v>
      </c>
      <c r="H7348" t="n">
        <v>0</v>
      </c>
      <c r="I7348" t="n">
        <v>0</v>
      </c>
      <c r="J7348" t="n">
        <v>0</v>
      </c>
      <c r="K7348" t="n">
        <v>0</v>
      </c>
      <c r="L7348" t="n">
        <v>0</v>
      </c>
      <c r="M7348" t="n">
        <v>0</v>
      </c>
      <c r="N7348" t="n">
        <v>0</v>
      </c>
      <c r="O7348" t="n">
        <v>0</v>
      </c>
      <c r="P7348" t="n">
        <v>0</v>
      </c>
      <c r="Q7348" t="n">
        <v>0</v>
      </c>
      <c r="R7348" s="2" t="inlineStr"/>
    </row>
    <row r="7349" ht="15" customHeight="1">
      <c r="A7349" t="inlineStr">
        <is>
          <t>A 32442-2022</t>
        </is>
      </c>
      <c r="B7349" s="1" t="n">
        <v>44782</v>
      </c>
      <c r="C7349" s="1" t="n">
        <v>45810</v>
      </c>
      <c r="D7349" t="inlineStr">
        <is>
          <t>VÄRMLANDS LÄN</t>
        </is>
      </c>
      <c r="E7349" t="inlineStr">
        <is>
          <t>GRUMS</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32389-2022</t>
        </is>
      </c>
      <c r="B7350" s="1" t="n">
        <v>44782</v>
      </c>
      <c r="C7350" s="1" t="n">
        <v>45810</v>
      </c>
      <c r="D7350" t="inlineStr">
        <is>
          <t>VÄRMLANDS LÄN</t>
        </is>
      </c>
      <c r="E7350" t="inlineStr">
        <is>
          <t>MUNKFORS</t>
        </is>
      </c>
      <c r="G7350" t="n">
        <v>3.1</v>
      </c>
      <c r="H7350" t="n">
        <v>0</v>
      </c>
      <c r="I7350" t="n">
        <v>0</v>
      </c>
      <c r="J7350" t="n">
        <v>0</v>
      </c>
      <c r="K7350" t="n">
        <v>0</v>
      </c>
      <c r="L7350" t="n">
        <v>0</v>
      </c>
      <c r="M7350" t="n">
        <v>0</v>
      </c>
      <c r="N7350" t="n">
        <v>0</v>
      </c>
      <c r="O7350" t="n">
        <v>0</v>
      </c>
      <c r="P7350" t="n">
        <v>0</v>
      </c>
      <c r="Q7350" t="n">
        <v>0</v>
      </c>
      <c r="R7350" s="2" t="inlineStr"/>
    </row>
    <row r="7351" ht="15" customHeight="1">
      <c r="A7351" t="inlineStr">
        <is>
          <t>A 32408-2022</t>
        </is>
      </c>
      <c r="B7351" s="1" t="n">
        <v>44782</v>
      </c>
      <c r="C7351" s="1" t="n">
        <v>45810</v>
      </c>
      <c r="D7351" t="inlineStr">
        <is>
          <t>VÄRMLANDS LÄN</t>
        </is>
      </c>
      <c r="E7351" t="inlineStr">
        <is>
          <t>SUNNE</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32443-2022</t>
        </is>
      </c>
      <c r="B7352" s="1" t="n">
        <v>44782</v>
      </c>
      <c r="C7352" s="1" t="n">
        <v>45810</v>
      </c>
      <c r="D7352" t="inlineStr">
        <is>
          <t>VÄRMLANDS LÄN</t>
        </is>
      </c>
      <c r="E7352" t="inlineStr">
        <is>
          <t>GRUMS</t>
        </is>
      </c>
      <c r="G7352" t="n">
        <v>1.9</v>
      </c>
      <c r="H7352" t="n">
        <v>0</v>
      </c>
      <c r="I7352" t="n">
        <v>0</v>
      </c>
      <c r="J7352" t="n">
        <v>0</v>
      </c>
      <c r="K7352" t="n">
        <v>0</v>
      </c>
      <c r="L7352" t="n">
        <v>0</v>
      </c>
      <c r="M7352" t="n">
        <v>0</v>
      </c>
      <c r="N7352" t="n">
        <v>0</v>
      </c>
      <c r="O7352" t="n">
        <v>0</v>
      </c>
      <c r="P7352" t="n">
        <v>0</v>
      </c>
      <c r="Q7352" t="n">
        <v>0</v>
      </c>
      <c r="R7352" s="2" t="inlineStr"/>
    </row>
    <row r="7353" ht="15" customHeight="1">
      <c r="A7353" t="inlineStr">
        <is>
          <t>A 32438-2022</t>
        </is>
      </c>
      <c r="B7353" s="1" t="n">
        <v>44782</v>
      </c>
      <c r="C7353" s="1" t="n">
        <v>45810</v>
      </c>
      <c r="D7353" t="inlineStr">
        <is>
          <t>VÄRMLANDS LÄN</t>
        </is>
      </c>
      <c r="E7353" t="inlineStr">
        <is>
          <t>TORSBY</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32444-2022</t>
        </is>
      </c>
      <c r="B7354" s="1" t="n">
        <v>44782</v>
      </c>
      <c r="C7354" s="1" t="n">
        <v>45810</v>
      </c>
      <c r="D7354" t="inlineStr">
        <is>
          <t>VÄRMLANDS LÄN</t>
        </is>
      </c>
      <c r="E7354" t="inlineStr">
        <is>
          <t>TORSBY</t>
        </is>
      </c>
      <c r="F7354" t="inlineStr">
        <is>
          <t>Bergvik skog väst AB</t>
        </is>
      </c>
      <c r="G7354" t="n">
        <v>3.2</v>
      </c>
      <c r="H7354" t="n">
        <v>0</v>
      </c>
      <c r="I7354" t="n">
        <v>0</v>
      </c>
      <c r="J7354" t="n">
        <v>0</v>
      </c>
      <c r="K7354" t="n">
        <v>0</v>
      </c>
      <c r="L7354" t="n">
        <v>0</v>
      </c>
      <c r="M7354" t="n">
        <v>0</v>
      </c>
      <c r="N7354" t="n">
        <v>0</v>
      </c>
      <c r="O7354" t="n">
        <v>0</v>
      </c>
      <c r="P7354" t="n">
        <v>0</v>
      </c>
      <c r="Q7354" t="n">
        <v>0</v>
      </c>
      <c r="R7354" s="2" t="inlineStr"/>
    </row>
    <row r="7355" ht="15" customHeight="1">
      <c r="A7355" t="inlineStr">
        <is>
          <t>A 32400-2022</t>
        </is>
      </c>
      <c r="B7355" s="1" t="n">
        <v>44782</v>
      </c>
      <c r="C7355" s="1" t="n">
        <v>45810</v>
      </c>
      <c r="D7355" t="inlineStr">
        <is>
          <t>VÄRMLANDS LÄN</t>
        </is>
      </c>
      <c r="E7355" t="inlineStr">
        <is>
          <t>TORSBY</t>
        </is>
      </c>
      <c r="G7355" t="n">
        <v>2.4</v>
      </c>
      <c r="H7355" t="n">
        <v>0</v>
      </c>
      <c r="I7355" t="n">
        <v>0</v>
      </c>
      <c r="J7355" t="n">
        <v>0</v>
      </c>
      <c r="K7355" t="n">
        <v>0</v>
      </c>
      <c r="L7355" t="n">
        <v>0</v>
      </c>
      <c r="M7355" t="n">
        <v>0</v>
      </c>
      <c r="N7355" t="n">
        <v>0</v>
      </c>
      <c r="O7355" t="n">
        <v>0</v>
      </c>
      <c r="P7355" t="n">
        <v>0</v>
      </c>
      <c r="Q7355" t="n">
        <v>0</v>
      </c>
      <c r="R7355" s="2" t="inlineStr"/>
    </row>
    <row r="7356" ht="15" customHeight="1">
      <c r="A7356" t="inlineStr">
        <is>
          <t>A 32410-2022</t>
        </is>
      </c>
      <c r="B7356" s="1" t="n">
        <v>44782</v>
      </c>
      <c r="C7356" s="1" t="n">
        <v>45810</v>
      </c>
      <c r="D7356" t="inlineStr">
        <is>
          <t>VÄRMLANDS LÄN</t>
        </is>
      </c>
      <c r="E7356" t="inlineStr">
        <is>
          <t>SUNNE</t>
        </is>
      </c>
      <c r="F7356" t="inlineStr">
        <is>
          <t>Kommuner</t>
        </is>
      </c>
      <c r="G7356" t="n">
        <v>3.6</v>
      </c>
      <c r="H7356" t="n">
        <v>0</v>
      </c>
      <c r="I7356" t="n">
        <v>0</v>
      </c>
      <c r="J7356" t="n">
        <v>0</v>
      </c>
      <c r="K7356" t="n">
        <v>0</v>
      </c>
      <c r="L7356" t="n">
        <v>0</v>
      </c>
      <c r="M7356" t="n">
        <v>0</v>
      </c>
      <c r="N7356" t="n">
        <v>0</v>
      </c>
      <c r="O7356" t="n">
        <v>0</v>
      </c>
      <c r="P7356" t="n">
        <v>0</v>
      </c>
      <c r="Q7356" t="n">
        <v>0</v>
      </c>
      <c r="R7356" s="2" t="inlineStr"/>
    </row>
    <row r="7357" ht="15" customHeight="1">
      <c r="A7357" t="inlineStr">
        <is>
          <t>A 32496-2022</t>
        </is>
      </c>
      <c r="B7357" s="1" t="n">
        <v>44782</v>
      </c>
      <c r="C7357" s="1" t="n">
        <v>45810</v>
      </c>
      <c r="D7357" t="inlineStr">
        <is>
          <t>VÄRMLANDS LÄN</t>
        </is>
      </c>
      <c r="E7357" t="inlineStr">
        <is>
          <t>TORSBY</t>
        </is>
      </c>
      <c r="G7357" t="n">
        <v>1.9</v>
      </c>
      <c r="H7357" t="n">
        <v>0</v>
      </c>
      <c r="I7357" t="n">
        <v>0</v>
      </c>
      <c r="J7357" t="n">
        <v>0</v>
      </c>
      <c r="K7357" t="n">
        <v>0</v>
      </c>
      <c r="L7357" t="n">
        <v>0</v>
      </c>
      <c r="M7357" t="n">
        <v>0</v>
      </c>
      <c r="N7357" t="n">
        <v>0</v>
      </c>
      <c r="O7357" t="n">
        <v>0</v>
      </c>
      <c r="P7357" t="n">
        <v>0</v>
      </c>
      <c r="Q7357" t="n">
        <v>0</v>
      </c>
      <c r="R7357" s="2" t="inlineStr"/>
    </row>
    <row r="7358" ht="15" customHeight="1">
      <c r="A7358" t="inlineStr">
        <is>
          <t>A 32544-2022</t>
        </is>
      </c>
      <c r="B7358" s="1" t="n">
        <v>44783</v>
      </c>
      <c r="C7358" s="1" t="n">
        <v>45810</v>
      </c>
      <c r="D7358" t="inlineStr">
        <is>
          <t>VÄRMLANDS LÄN</t>
        </is>
      </c>
      <c r="E7358" t="inlineStr">
        <is>
          <t>SUNNE</t>
        </is>
      </c>
      <c r="F7358" t="inlineStr">
        <is>
          <t>Kommuner</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32680-2022</t>
        </is>
      </c>
      <c r="B7359" s="1" t="n">
        <v>44783</v>
      </c>
      <c r="C7359" s="1" t="n">
        <v>45810</v>
      </c>
      <c r="D7359" t="inlineStr">
        <is>
          <t>VÄRMLANDS LÄN</t>
        </is>
      </c>
      <c r="E7359" t="inlineStr">
        <is>
          <t>FILIPSTAD</t>
        </is>
      </c>
      <c r="F7359" t="inlineStr">
        <is>
          <t>Bergvik skog väst AB</t>
        </is>
      </c>
      <c r="G7359" t="n">
        <v>30.5</v>
      </c>
      <c r="H7359" t="n">
        <v>0</v>
      </c>
      <c r="I7359" t="n">
        <v>0</v>
      </c>
      <c r="J7359" t="n">
        <v>0</v>
      </c>
      <c r="K7359" t="n">
        <v>0</v>
      </c>
      <c r="L7359" t="n">
        <v>0</v>
      </c>
      <c r="M7359" t="n">
        <v>0</v>
      </c>
      <c r="N7359" t="n">
        <v>0</v>
      </c>
      <c r="O7359" t="n">
        <v>0</v>
      </c>
      <c r="P7359" t="n">
        <v>0</v>
      </c>
      <c r="Q7359" t="n">
        <v>0</v>
      </c>
      <c r="R7359" s="2" t="inlineStr"/>
    </row>
    <row r="7360" ht="15" customHeight="1">
      <c r="A7360" t="inlineStr">
        <is>
          <t>A 32670-2022</t>
        </is>
      </c>
      <c r="B7360" s="1" t="n">
        <v>44783</v>
      </c>
      <c r="C7360" s="1" t="n">
        <v>45810</v>
      </c>
      <c r="D7360" t="inlineStr">
        <is>
          <t>VÄRMLANDS LÄN</t>
        </is>
      </c>
      <c r="E7360" t="inlineStr">
        <is>
          <t>ARVIKA</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32723-2022</t>
        </is>
      </c>
      <c r="B7361" s="1" t="n">
        <v>44783</v>
      </c>
      <c r="C7361" s="1" t="n">
        <v>45810</v>
      </c>
      <c r="D7361" t="inlineStr">
        <is>
          <t>VÄRMLANDS LÄN</t>
        </is>
      </c>
      <c r="E7361" t="inlineStr">
        <is>
          <t>ARVIKA</t>
        </is>
      </c>
      <c r="G7361" t="n">
        <v>1.6</v>
      </c>
      <c r="H7361" t="n">
        <v>0</v>
      </c>
      <c r="I7361" t="n">
        <v>0</v>
      </c>
      <c r="J7361" t="n">
        <v>0</v>
      </c>
      <c r="K7361" t="n">
        <v>0</v>
      </c>
      <c r="L7361" t="n">
        <v>0</v>
      </c>
      <c r="M7361" t="n">
        <v>0</v>
      </c>
      <c r="N7361" t="n">
        <v>0</v>
      </c>
      <c r="O7361" t="n">
        <v>0</v>
      </c>
      <c r="P7361" t="n">
        <v>0</v>
      </c>
      <c r="Q7361" t="n">
        <v>0</v>
      </c>
      <c r="R7361" s="2" t="inlineStr"/>
    </row>
    <row r="7362" ht="15" customHeight="1">
      <c r="A7362" t="inlineStr">
        <is>
          <t>A 32543-2022</t>
        </is>
      </c>
      <c r="B7362" s="1" t="n">
        <v>44783</v>
      </c>
      <c r="C7362" s="1" t="n">
        <v>45810</v>
      </c>
      <c r="D7362" t="inlineStr">
        <is>
          <t>VÄRMLANDS LÄN</t>
        </is>
      </c>
      <c r="E7362" t="inlineStr">
        <is>
          <t>SUNNE</t>
        </is>
      </c>
      <c r="F7362" t="inlineStr">
        <is>
          <t>Kommuner</t>
        </is>
      </c>
      <c r="G7362" t="n">
        <v>4.2</v>
      </c>
      <c r="H7362" t="n">
        <v>0</v>
      </c>
      <c r="I7362" t="n">
        <v>0</v>
      </c>
      <c r="J7362" t="n">
        <v>0</v>
      </c>
      <c r="K7362" t="n">
        <v>0</v>
      </c>
      <c r="L7362" t="n">
        <v>0</v>
      </c>
      <c r="M7362" t="n">
        <v>0</v>
      </c>
      <c r="N7362" t="n">
        <v>0</v>
      </c>
      <c r="O7362" t="n">
        <v>0</v>
      </c>
      <c r="P7362" t="n">
        <v>0</v>
      </c>
      <c r="Q7362" t="n">
        <v>0</v>
      </c>
      <c r="R7362" s="2" t="inlineStr"/>
    </row>
    <row r="7363" ht="15" customHeight="1">
      <c r="A7363" t="inlineStr">
        <is>
          <t>A 32876-2022</t>
        </is>
      </c>
      <c r="B7363" s="1" t="n">
        <v>44784</v>
      </c>
      <c r="C7363" s="1" t="n">
        <v>45810</v>
      </c>
      <c r="D7363" t="inlineStr">
        <is>
          <t>VÄRMLANDS LÄN</t>
        </is>
      </c>
      <c r="E7363" t="inlineStr">
        <is>
          <t>KARLSTAD</t>
        </is>
      </c>
      <c r="F7363" t="inlineStr">
        <is>
          <t>Bergvik skog väst AB</t>
        </is>
      </c>
      <c r="G7363" t="n">
        <v>3.1</v>
      </c>
      <c r="H7363" t="n">
        <v>0</v>
      </c>
      <c r="I7363" t="n">
        <v>0</v>
      </c>
      <c r="J7363" t="n">
        <v>0</v>
      </c>
      <c r="K7363" t="n">
        <v>0</v>
      </c>
      <c r="L7363" t="n">
        <v>0</v>
      </c>
      <c r="M7363" t="n">
        <v>0</v>
      </c>
      <c r="N7363" t="n">
        <v>0</v>
      </c>
      <c r="O7363" t="n">
        <v>0</v>
      </c>
      <c r="P7363" t="n">
        <v>0</v>
      </c>
      <c r="Q7363" t="n">
        <v>0</v>
      </c>
      <c r="R7363" s="2" t="inlineStr"/>
    </row>
    <row r="7364" ht="15" customHeight="1">
      <c r="A7364" t="inlineStr">
        <is>
          <t>A 32815-2022</t>
        </is>
      </c>
      <c r="B7364" s="1" t="n">
        <v>44784</v>
      </c>
      <c r="C7364" s="1" t="n">
        <v>45810</v>
      </c>
      <c r="D7364" t="inlineStr">
        <is>
          <t>VÄRMLANDS LÄN</t>
        </is>
      </c>
      <c r="E7364" t="inlineStr">
        <is>
          <t>SÄFFLE</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32851-2022</t>
        </is>
      </c>
      <c r="B7365" s="1" t="n">
        <v>44784</v>
      </c>
      <c r="C7365" s="1" t="n">
        <v>45810</v>
      </c>
      <c r="D7365" t="inlineStr">
        <is>
          <t>VÄRMLANDS LÄN</t>
        </is>
      </c>
      <c r="E7365" t="inlineStr">
        <is>
          <t>SUNNE</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32902-2022</t>
        </is>
      </c>
      <c r="B7366" s="1" t="n">
        <v>44784</v>
      </c>
      <c r="C7366" s="1" t="n">
        <v>45810</v>
      </c>
      <c r="D7366" t="inlineStr">
        <is>
          <t>VÄRMLANDS LÄN</t>
        </is>
      </c>
      <c r="E7366" t="inlineStr">
        <is>
          <t>KARLSTAD</t>
        </is>
      </c>
      <c r="F7366" t="inlineStr">
        <is>
          <t>Bergvik skog väst AB</t>
        </is>
      </c>
      <c r="G7366" t="n">
        <v>6.8</v>
      </c>
      <c r="H7366" t="n">
        <v>0</v>
      </c>
      <c r="I7366" t="n">
        <v>0</v>
      </c>
      <c r="J7366" t="n">
        <v>0</v>
      </c>
      <c r="K7366" t="n">
        <v>0</v>
      </c>
      <c r="L7366" t="n">
        <v>0</v>
      </c>
      <c r="M7366" t="n">
        <v>0</v>
      </c>
      <c r="N7366" t="n">
        <v>0</v>
      </c>
      <c r="O7366" t="n">
        <v>0</v>
      </c>
      <c r="P7366" t="n">
        <v>0</v>
      </c>
      <c r="Q7366" t="n">
        <v>0</v>
      </c>
      <c r="R7366" s="2" t="inlineStr"/>
    </row>
    <row r="7367" ht="15" customHeight="1">
      <c r="A7367" t="inlineStr">
        <is>
          <t>A 32947-2022</t>
        </is>
      </c>
      <c r="B7367" s="1" t="n">
        <v>44784</v>
      </c>
      <c r="C7367" s="1" t="n">
        <v>45810</v>
      </c>
      <c r="D7367" t="inlineStr">
        <is>
          <t>VÄRMLANDS LÄN</t>
        </is>
      </c>
      <c r="E7367" t="inlineStr">
        <is>
          <t>ARVIKA</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32959-2022</t>
        </is>
      </c>
      <c r="B7368" s="1" t="n">
        <v>44784</v>
      </c>
      <c r="C7368" s="1" t="n">
        <v>45810</v>
      </c>
      <c r="D7368" t="inlineStr">
        <is>
          <t>VÄRMLANDS LÄN</t>
        </is>
      </c>
      <c r="E7368" t="inlineStr">
        <is>
          <t>GRUMS</t>
        </is>
      </c>
      <c r="G7368" t="n">
        <v>3.5</v>
      </c>
      <c r="H7368" t="n">
        <v>0</v>
      </c>
      <c r="I7368" t="n">
        <v>0</v>
      </c>
      <c r="J7368" t="n">
        <v>0</v>
      </c>
      <c r="K7368" t="n">
        <v>0</v>
      </c>
      <c r="L7368" t="n">
        <v>0</v>
      </c>
      <c r="M7368" t="n">
        <v>0</v>
      </c>
      <c r="N7368" t="n">
        <v>0</v>
      </c>
      <c r="O7368" t="n">
        <v>0</v>
      </c>
      <c r="P7368" t="n">
        <v>0</v>
      </c>
      <c r="Q7368" t="n">
        <v>0</v>
      </c>
      <c r="R7368" s="2" t="inlineStr"/>
    </row>
    <row r="7369" ht="15" customHeight="1">
      <c r="A7369" t="inlineStr">
        <is>
          <t>A 33081-2022</t>
        </is>
      </c>
      <c r="B7369" s="1" t="n">
        <v>44785</v>
      </c>
      <c r="C7369" s="1" t="n">
        <v>45810</v>
      </c>
      <c r="D7369" t="inlineStr">
        <is>
          <t>VÄRMLANDS LÄN</t>
        </is>
      </c>
      <c r="E7369" t="inlineStr">
        <is>
          <t>GRUMS</t>
        </is>
      </c>
      <c r="G7369" t="n">
        <v>2.4</v>
      </c>
      <c r="H7369" t="n">
        <v>0</v>
      </c>
      <c r="I7369" t="n">
        <v>0</v>
      </c>
      <c r="J7369" t="n">
        <v>0</v>
      </c>
      <c r="K7369" t="n">
        <v>0</v>
      </c>
      <c r="L7369" t="n">
        <v>0</v>
      </c>
      <c r="M7369" t="n">
        <v>0</v>
      </c>
      <c r="N7369" t="n">
        <v>0</v>
      </c>
      <c r="O7369" t="n">
        <v>0</v>
      </c>
      <c r="P7369" t="n">
        <v>0</v>
      </c>
      <c r="Q7369" t="n">
        <v>0</v>
      </c>
      <c r="R7369" s="2" t="inlineStr"/>
    </row>
    <row r="7370" ht="15" customHeight="1">
      <c r="A7370" t="inlineStr">
        <is>
          <t>A 33006-2022</t>
        </is>
      </c>
      <c r="B7370" s="1" t="n">
        <v>44785</v>
      </c>
      <c r="C7370" s="1" t="n">
        <v>45810</v>
      </c>
      <c r="D7370" t="inlineStr">
        <is>
          <t>VÄRMLANDS LÄN</t>
        </is>
      </c>
      <c r="E7370" t="inlineStr">
        <is>
          <t>KARLSTAD</t>
        </is>
      </c>
      <c r="F7370" t="inlineStr">
        <is>
          <t>Bergvik skog väst AB</t>
        </is>
      </c>
      <c r="G7370" t="n">
        <v>3.5</v>
      </c>
      <c r="H7370" t="n">
        <v>0</v>
      </c>
      <c r="I7370" t="n">
        <v>0</v>
      </c>
      <c r="J7370" t="n">
        <v>0</v>
      </c>
      <c r="K7370" t="n">
        <v>0</v>
      </c>
      <c r="L7370" t="n">
        <v>0</v>
      </c>
      <c r="M7370" t="n">
        <v>0</v>
      </c>
      <c r="N7370" t="n">
        <v>0</v>
      </c>
      <c r="O7370" t="n">
        <v>0</v>
      </c>
      <c r="P7370" t="n">
        <v>0</v>
      </c>
      <c r="Q7370" t="n">
        <v>0</v>
      </c>
      <c r="R7370" s="2" t="inlineStr"/>
    </row>
    <row r="7371" ht="15" customHeight="1">
      <c r="A7371" t="inlineStr">
        <is>
          <t>A 33017-2022</t>
        </is>
      </c>
      <c r="B7371" s="1" t="n">
        <v>44785</v>
      </c>
      <c r="C7371" s="1" t="n">
        <v>45810</v>
      </c>
      <c r="D7371" t="inlineStr">
        <is>
          <t>VÄRMLANDS LÄN</t>
        </is>
      </c>
      <c r="E7371" t="inlineStr">
        <is>
          <t>ÅRJÄNG</t>
        </is>
      </c>
      <c r="F7371" t="inlineStr">
        <is>
          <t>Kyrkan</t>
        </is>
      </c>
      <c r="G7371" t="n">
        <v>5.9</v>
      </c>
      <c r="H7371" t="n">
        <v>0</v>
      </c>
      <c r="I7371" t="n">
        <v>0</v>
      </c>
      <c r="J7371" t="n">
        <v>0</v>
      </c>
      <c r="K7371" t="n">
        <v>0</v>
      </c>
      <c r="L7371" t="n">
        <v>0</v>
      </c>
      <c r="M7371" t="n">
        <v>0</v>
      </c>
      <c r="N7371" t="n">
        <v>0</v>
      </c>
      <c r="O7371" t="n">
        <v>0</v>
      </c>
      <c r="P7371" t="n">
        <v>0</v>
      </c>
      <c r="Q7371" t="n">
        <v>0</v>
      </c>
      <c r="R7371" s="2" t="inlineStr"/>
    </row>
    <row r="7372" ht="15" customHeight="1">
      <c r="A7372" t="inlineStr">
        <is>
          <t>A 33033-2022</t>
        </is>
      </c>
      <c r="B7372" s="1" t="n">
        <v>44785</v>
      </c>
      <c r="C7372" s="1" t="n">
        <v>45810</v>
      </c>
      <c r="D7372" t="inlineStr">
        <is>
          <t>VÄRMLANDS LÄN</t>
        </is>
      </c>
      <c r="E7372" t="inlineStr">
        <is>
          <t>FORSHAGA</t>
        </is>
      </c>
      <c r="F7372" t="inlineStr">
        <is>
          <t>Bergvik skog väst AB</t>
        </is>
      </c>
      <c r="G7372" t="n">
        <v>0.4</v>
      </c>
      <c r="H7372" t="n">
        <v>0</v>
      </c>
      <c r="I7372" t="n">
        <v>0</v>
      </c>
      <c r="J7372" t="n">
        <v>0</v>
      </c>
      <c r="K7372" t="n">
        <v>0</v>
      </c>
      <c r="L7372" t="n">
        <v>0</v>
      </c>
      <c r="M7372" t="n">
        <v>0</v>
      </c>
      <c r="N7372" t="n">
        <v>0</v>
      </c>
      <c r="O7372" t="n">
        <v>0</v>
      </c>
      <c r="P7372" t="n">
        <v>0</v>
      </c>
      <c r="Q7372" t="n">
        <v>0</v>
      </c>
      <c r="R7372" s="2" t="inlineStr"/>
    </row>
    <row r="7373" ht="15" customHeight="1">
      <c r="A7373" t="inlineStr">
        <is>
          <t>A 33037-2022</t>
        </is>
      </c>
      <c r="B7373" s="1" t="n">
        <v>44785</v>
      </c>
      <c r="C7373" s="1" t="n">
        <v>45810</v>
      </c>
      <c r="D7373" t="inlineStr">
        <is>
          <t>VÄRMLANDS LÄN</t>
        </is>
      </c>
      <c r="E7373" t="inlineStr">
        <is>
          <t>FORSHAGA</t>
        </is>
      </c>
      <c r="F7373" t="inlineStr">
        <is>
          <t>Bergvik skog väst AB</t>
        </is>
      </c>
      <c r="G7373" t="n">
        <v>6.4</v>
      </c>
      <c r="H7373" t="n">
        <v>0</v>
      </c>
      <c r="I7373" t="n">
        <v>0</v>
      </c>
      <c r="J7373" t="n">
        <v>0</v>
      </c>
      <c r="K7373" t="n">
        <v>0</v>
      </c>
      <c r="L7373" t="n">
        <v>0</v>
      </c>
      <c r="M7373" t="n">
        <v>0</v>
      </c>
      <c r="N7373" t="n">
        <v>0</v>
      </c>
      <c r="O7373" t="n">
        <v>0</v>
      </c>
      <c r="P7373" t="n">
        <v>0</v>
      </c>
      <c r="Q7373" t="n">
        <v>0</v>
      </c>
      <c r="R7373" s="2" t="inlineStr"/>
    </row>
    <row r="7374" ht="15" customHeight="1">
      <c r="A7374" t="inlineStr">
        <is>
          <t>A 33069-2022</t>
        </is>
      </c>
      <c r="B7374" s="1" t="n">
        <v>44785</v>
      </c>
      <c r="C7374" s="1" t="n">
        <v>45810</v>
      </c>
      <c r="D7374" t="inlineStr">
        <is>
          <t>VÄRMLANDS LÄN</t>
        </is>
      </c>
      <c r="E7374" t="inlineStr">
        <is>
          <t>TORSBY</t>
        </is>
      </c>
      <c r="G7374" t="n">
        <v>2.4</v>
      </c>
      <c r="H7374" t="n">
        <v>0</v>
      </c>
      <c r="I7374" t="n">
        <v>0</v>
      </c>
      <c r="J7374" t="n">
        <v>0</v>
      </c>
      <c r="K7374" t="n">
        <v>0</v>
      </c>
      <c r="L7374" t="n">
        <v>0</v>
      </c>
      <c r="M7374" t="n">
        <v>0</v>
      </c>
      <c r="N7374" t="n">
        <v>0</v>
      </c>
      <c r="O7374" t="n">
        <v>0</v>
      </c>
      <c r="P7374" t="n">
        <v>0</v>
      </c>
      <c r="Q7374" t="n">
        <v>0</v>
      </c>
      <c r="R7374" s="2" t="inlineStr"/>
    </row>
    <row r="7375" ht="15" customHeight="1">
      <c r="A7375" t="inlineStr">
        <is>
          <t>A 33088-2022</t>
        </is>
      </c>
      <c r="B7375" s="1" t="n">
        <v>44785</v>
      </c>
      <c r="C7375" s="1" t="n">
        <v>45810</v>
      </c>
      <c r="D7375" t="inlineStr">
        <is>
          <t>VÄRMLANDS LÄN</t>
        </is>
      </c>
      <c r="E7375" t="inlineStr">
        <is>
          <t>ARVIKA</t>
        </is>
      </c>
      <c r="G7375" t="n">
        <v>3</v>
      </c>
      <c r="H7375" t="n">
        <v>0</v>
      </c>
      <c r="I7375" t="n">
        <v>0</v>
      </c>
      <c r="J7375" t="n">
        <v>0</v>
      </c>
      <c r="K7375" t="n">
        <v>0</v>
      </c>
      <c r="L7375" t="n">
        <v>0</v>
      </c>
      <c r="M7375" t="n">
        <v>0</v>
      </c>
      <c r="N7375" t="n">
        <v>0</v>
      </c>
      <c r="O7375" t="n">
        <v>0</v>
      </c>
      <c r="P7375" t="n">
        <v>0</v>
      </c>
      <c r="Q7375" t="n">
        <v>0</v>
      </c>
      <c r="R7375" s="2" t="inlineStr"/>
    </row>
    <row r="7376" ht="15" customHeight="1">
      <c r="A7376" t="inlineStr">
        <is>
          <t>A 33181-2022</t>
        </is>
      </c>
      <c r="B7376" s="1" t="n">
        <v>44785</v>
      </c>
      <c r="C7376" s="1" t="n">
        <v>45810</v>
      </c>
      <c r="D7376" t="inlineStr">
        <is>
          <t>VÄRMLANDS LÄN</t>
        </is>
      </c>
      <c r="E7376" t="inlineStr">
        <is>
          <t>TORSBY</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33190-2022</t>
        </is>
      </c>
      <c r="B7377" s="1" t="n">
        <v>44785</v>
      </c>
      <c r="C7377" s="1" t="n">
        <v>45810</v>
      </c>
      <c r="D7377" t="inlineStr">
        <is>
          <t>VÄRMLANDS LÄN</t>
        </is>
      </c>
      <c r="E7377" t="inlineStr">
        <is>
          <t>SUNNE</t>
        </is>
      </c>
      <c r="G7377" t="n">
        <v>0.5</v>
      </c>
      <c r="H7377" t="n">
        <v>0</v>
      </c>
      <c r="I7377" t="n">
        <v>0</v>
      </c>
      <c r="J7377" t="n">
        <v>0</v>
      </c>
      <c r="K7377" t="n">
        <v>0</v>
      </c>
      <c r="L7377" t="n">
        <v>0</v>
      </c>
      <c r="M7377" t="n">
        <v>0</v>
      </c>
      <c r="N7377" t="n">
        <v>0</v>
      </c>
      <c r="O7377" t="n">
        <v>0</v>
      </c>
      <c r="P7377" t="n">
        <v>0</v>
      </c>
      <c r="Q7377" t="n">
        <v>0</v>
      </c>
      <c r="R7377" s="2" t="inlineStr"/>
    </row>
    <row r="7378" ht="15" customHeight="1">
      <c r="A7378" t="inlineStr">
        <is>
          <t>A 33189-2022</t>
        </is>
      </c>
      <c r="B7378" s="1" t="n">
        <v>44785</v>
      </c>
      <c r="C7378" s="1" t="n">
        <v>45810</v>
      </c>
      <c r="D7378" t="inlineStr">
        <is>
          <t>VÄRMLANDS LÄN</t>
        </is>
      </c>
      <c r="E7378" t="inlineStr">
        <is>
          <t>ARVIKA</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33187-2022</t>
        </is>
      </c>
      <c r="B7379" s="1" t="n">
        <v>44785</v>
      </c>
      <c r="C7379" s="1" t="n">
        <v>45810</v>
      </c>
      <c r="D7379" t="inlineStr">
        <is>
          <t>VÄRMLANDS LÄN</t>
        </is>
      </c>
      <c r="E7379" t="inlineStr">
        <is>
          <t>ARVIKA</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33192-2022</t>
        </is>
      </c>
      <c r="B7380" s="1" t="n">
        <v>44785</v>
      </c>
      <c r="C7380" s="1" t="n">
        <v>45810</v>
      </c>
      <c r="D7380" t="inlineStr">
        <is>
          <t>VÄRMLANDS LÄN</t>
        </is>
      </c>
      <c r="E7380" t="inlineStr">
        <is>
          <t>SUNNE</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33160-2022</t>
        </is>
      </c>
      <c r="B7381" s="1" t="n">
        <v>44785</v>
      </c>
      <c r="C7381" s="1" t="n">
        <v>45810</v>
      </c>
      <c r="D7381" t="inlineStr">
        <is>
          <t>VÄRMLANDS LÄN</t>
        </is>
      </c>
      <c r="E7381" t="inlineStr">
        <is>
          <t>SÄFFLE</t>
        </is>
      </c>
      <c r="G7381" t="n">
        <v>2.8</v>
      </c>
      <c r="H7381" t="n">
        <v>0</v>
      </c>
      <c r="I7381" t="n">
        <v>0</v>
      </c>
      <c r="J7381" t="n">
        <v>0</v>
      </c>
      <c r="K7381" t="n">
        <v>0</v>
      </c>
      <c r="L7381" t="n">
        <v>0</v>
      </c>
      <c r="M7381" t="n">
        <v>0</v>
      </c>
      <c r="N7381" t="n">
        <v>0</v>
      </c>
      <c r="O7381" t="n">
        <v>0</v>
      </c>
      <c r="P7381" t="n">
        <v>0</v>
      </c>
      <c r="Q7381" t="n">
        <v>0</v>
      </c>
      <c r="R7381" s="2" t="inlineStr"/>
    </row>
    <row r="7382" ht="15" customHeight="1">
      <c r="A7382" t="inlineStr">
        <is>
          <t>A 33242-2022</t>
        </is>
      </c>
      <c r="B7382" s="1" t="n">
        <v>44786</v>
      </c>
      <c r="C7382" s="1" t="n">
        <v>45810</v>
      </c>
      <c r="D7382" t="inlineStr">
        <is>
          <t>VÄRMLANDS LÄN</t>
        </is>
      </c>
      <c r="E7382" t="inlineStr">
        <is>
          <t>EDA</t>
        </is>
      </c>
      <c r="G7382" t="n">
        <v>2.6</v>
      </c>
      <c r="H7382" t="n">
        <v>0</v>
      </c>
      <c r="I7382" t="n">
        <v>0</v>
      </c>
      <c r="J7382" t="n">
        <v>0</v>
      </c>
      <c r="K7382" t="n">
        <v>0</v>
      </c>
      <c r="L7382" t="n">
        <v>0</v>
      </c>
      <c r="M7382" t="n">
        <v>0</v>
      </c>
      <c r="N7382" t="n">
        <v>0</v>
      </c>
      <c r="O7382" t="n">
        <v>0</v>
      </c>
      <c r="P7382" t="n">
        <v>0</v>
      </c>
      <c r="Q7382" t="n">
        <v>0</v>
      </c>
      <c r="R7382" s="2" t="inlineStr"/>
    </row>
    <row r="7383" ht="15" customHeight="1">
      <c r="A7383" t="inlineStr">
        <is>
          <t>A 33247-2022</t>
        </is>
      </c>
      <c r="B7383" s="1" t="n">
        <v>44787</v>
      </c>
      <c r="C7383" s="1" t="n">
        <v>45810</v>
      </c>
      <c r="D7383" t="inlineStr">
        <is>
          <t>VÄRMLANDS LÄN</t>
        </is>
      </c>
      <c r="E7383" t="inlineStr">
        <is>
          <t>SÄFFLE</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33248-2022</t>
        </is>
      </c>
      <c r="B7384" s="1" t="n">
        <v>44787</v>
      </c>
      <c r="C7384" s="1" t="n">
        <v>45810</v>
      </c>
      <c r="D7384" t="inlineStr">
        <is>
          <t>VÄRMLANDS LÄN</t>
        </is>
      </c>
      <c r="E7384" t="inlineStr">
        <is>
          <t>SÄFFLE</t>
        </is>
      </c>
      <c r="G7384" t="n">
        <v>2.3</v>
      </c>
      <c r="H7384" t="n">
        <v>0</v>
      </c>
      <c r="I7384" t="n">
        <v>0</v>
      </c>
      <c r="J7384" t="n">
        <v>0</v>
      </c>
      <c r="K7384" t="n">
        <v>0</v>
      </c>
      <c r="L7384" t="n">
        <v>0</v>
      </c>
      <c r="M7384" t="n">
        <v>0</v>
      </c>
      <c r="N7384" t="n">
        <v>0</v>
      </c>
      <c r="O7384" t="n">
        <v>0</v>
      </c>
      <c r="P7384" t="n">
        <v>0</v>
      </c>
      <c r="Q7384" t="n">
        <v>0</v>
      </c>
      <c r="R7384" s="2" t="inlineStr"/>
    </row>
    <row r="7385" ht="15" customHeight="1">
      <c r="A7385" t="inlineStr">
        <is>
          <t>A 33254-2022</t>
        </is>
      </c>
      <c r="B7385" s="1" t="n">
        <v>44787</v>
      </c>
      <c r="C7385" s="1" t="n">
        <v>45810</v>
      </c>
      <c r="D7385" t="inlineStr">
        <is>
          <t>VÄRMLANDS LÄN</t>
        </is>
      </c>
      <c r="E7385" t="inlineStr">
        <is>
          <t>TORSBY</t>
        </is>
      </c>
      <c r="G7385" t="n">
        <v>0.5</v>
      </c>
      <c r="H7385" t="n">
        <v>0</v>
      </c>
      <c r="I7385" t="n">
        <v>0</v>
      </c>
      <c r="J7385" t="n">
        <v>0</v>
      </c>
      <c r="K7385" t="n">
        <v>0</v>
      </c>
      <c r="L7385" t="n">
        <v>0</v>
      </c>
      <c r="M7385" t="n">
        <v>0</v>
      </c>
      <c r="N7385" t="n">
        <v>0</v>
      </c>
      <c r="O7385" t="n">
        <v>0</v>
      </c>
      <c r="P7385" t="n">
        <v>0</v>
      </c>
      <c r="Q7385" t="n">
        <v>0</v>
      </c>
      <c r="R7385" s="2" t="inlineStr"/>
    </row>
    <row r="7386" ht="15" customHeight="1">
      <c r="A7386" t="inlineStr">
        <is>
          <t>A 33246-2022</t>
        </is>
      </c>
      <c r="B7386" s="1" t="n">
        <v>44787</v>
      </c>
      <c r="C7386" s="1" t="n">
        <v>45810</v>
      </c>
      <c r="D7386" t="inlineStr">
        <is>
          <t>VÄRMLANDS LÄN</t>
        </is>
      </c>
      <c r="E7386" t="inlineStr">
        <is>
          <t>SÄFFLE</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33251-2022</t>
        </is>
      </c>
      <c r="B7387" s="1" t="n">
        <v>44787</v>
      </c>
      <c r="C7387" s="1" t="n">
        <v>45810</v>
      </c>
      <c r="D7387" t="inlineStr">
        <is>
          <t>VÄRMLANDS LÄN</t>
        </is>
      </c>
      <c r="E7387" t="inlineStr">
        <is>
          <t>TORSBY</t>
        </is>
      </c>
      <c r="G7387" t="n">
        <v>3.2</v>
      </c>
      <c r="H7387" t="n">
        <v>0</v>
      </c>
      <c r="I7387" t="n">
        <v>0</v>
      </c>
      <c r="J7387" t="n">
        <v>0</v>
      </c>
      <c r="K7387" t="n">
        <v>0</v>
      </c>
      <c r="L7387" t="n">
        <v>0</v>
      </c>
      <c r="M7387" t="n">
        <v>0</v>
      </c>
      <c r="N7387" t="n">
        <v>0</v>
      </c>
      <c r="O7387" t="n">
        <v>0</v>
      </c>
      <c r="P7387" t="n">
        <v>0</v>
      </c>
      <c r="Q7387" t="n">
        <v>0</v>
      </c>
      <c r="R7387" s="2" t="inlineStr"/>
    </row>
    <row r="7388" ht="15" customHeight="1">
      <c r="A7388" t="inlineStr">
        <is>
          <t>A 33245-2022</t>
        </is>
      </c>
      <c r="B7388" s="1" t="n">
        <v>44787</v>
      </c>
      <c r="C7388" s="1" t="n">
        <v>45810</v>
      </c>
      <c r="D7388" t="inlineStr">
        <is>
          <t>VÄRMLANDS LÄN</t>
        </is>
      </c>
      <c r="E7388" t="inlineStr">
        <is>
          <t>SÄFFLE</t>
        </is>
      </c>
      <c r="G7388" t="n">
        <v>9.9</v>
      </c>
      <c r="H7388" t="n">
        <v>0</v>
      </c>
      <c r="I7388" t="n">
        <v>0</v>
      </c>
      <c r="J7388" t="n">
        <v>0</v>
      </c>
      <c r="K7388" t="n">
        <v>0</v>
      </c>
      <c r="L7388" t="n">
        <v>0</v>
      </c>
      <c r="M7388" t="n">
        <v>0</v>
      </c>
      <c r="N7388" t="n">
        <v>0</v>
      </c>
      <c r="O7388" t="n">
        <v>0</v>
      </c>
      <c r="P7388" t="n">
        <v>0</v>
      </c>
      <c r="Q7388" t="n">
        <v>0</v>
      </c>
      <c r="R7388" s="2" t="inlineStr"/>
    </row>
    <row r="7389" ht="15" customHeight="1">
      <c r="A7389" t="inlineStr">
        <is>
          <t>A 33249-2022</t>
        </is>
      </c>
      <c r="B7389" s="1" t="n">
        <v>44787</v>
      </c>
      <c r="C7389" s="1" t="n">
        <v>45810</v>
      </c>
      <c r="D7389" t="inlineStr">
        <is>
          <t>VÄRMLANDS LÄN</t>
        </is>
      </c>
      <c r="E7389" t="inlineStr">
        <is>
          <t>SÄFFLE</t>
        </is>
      </c>
      <c r="G7389" t="n">
        <v>0.5</v>
      </c>
      <c r="H7389" t="n">
        <v>0</v>
      </c>
      <c r="I7389" t="n">
        <v>0</v>
      </c>
      <c r="J7389" t="n">
        <v>0</v>
      </c>
      <c r="K7389" t="n">
        <v>0</v>
      </c>
      <c r="L7389" t="n">
        <v>0</v>
      </c>
      <c r="M7389" t="n">
        <v>0</v>
      </c>
      <c r="N7389" t="n">
        <v>0</v>
      </c>
      <c r="O7389" t="n">
        <v>0</v>
      </c>
      <c r="P7389" t="n">
        <v>0</v>
      </c>
      <c r="Q7389" t="n">
        <v>0</v>
      </c>
      <c r="R7389" s="2" t="inlineStr"/>
    </row>
    <row r="7390" ht="15" customHeight="1">
      <c r="A7390" t="inlineStr">
        <is>
          <t>A 33307-2022</t>
        </is>
      </c>
      <c r="B7390" s="1" t="n">
        <v>44788</v>
      </c>
      <c r="C7390" s="1" t="n">
        <v>45810</v>
      </c>
      <c r="D7390" t="inlineStr">
        <is>
          <t>VÄRMLANDS LÄN</t>
        </is>
      </c>
      <c r="E7390" t="inlineStr">
        <is>
          <t>STORFORS</t>
        </is>
      </c>
      <c r="G7390" t="n">
        <v>0.4</v>
      </c>
      <c r="H7390" t="n">
        <v>0</v>
      </c>
      <c r="I7390" t="n">
        <v>0</v>
      </c>
      <c r="J7390" t="n">
        <v>0</v>
      </c>
      <c r="K7390" t="n">
        <v>0</v>
      </c>
      <c r="L7390" t="n">
        <v>0</v>
      </c>
      <c r="M7390" t="n">
        <v>0</v>
      </c>
      <c r="N7390" t="n">
        <v>0</v>
      </c>
      <c r="O7390" t="n">
        <v>0</v>
      </c>
      <c r="P7390" t="n">
        <v>0</v>
      </c>
      <c r="Q7390" t="n">
        <v>0</v>
      </c>
      <c r="R7390" s="2" t="inlineStr"/>
    </row>
    <row r="7391" ht="15" customHeight="1">
      <c r="A7391" t="inlineStr">
        <is>
          <t>A 33368-2022</t>
        </is>
      </c>
      <c r="B7391" s="1" t="n">
        <v>44788</v>
      </c>
      <c r="C7391" s="1" t="n">
        <v>45810</v>
      </c>
      <c r="D7391" t="inlineStr">
        <is>
          <t>VÄRMLANDS LÄN</t>
        </is>
      </c>
      <c r="E7391" t="inlineStr">
        <is>
          <t>FILIPSTAD</t>
        </is>
      </c>
      <c r="F7391" t="inlineStr">
        <is>
          <t>Bergvik skog väst AB</t>
        </is>
      </c>
      <c r="G7391" t="n">
        <v>6.7</v>
      </c>
      <c r="H7391" t="n">
        <v>0</v>
      </c>
      <c r="I7391" t="n">
        <v>0</v>
      </c>
      <c r="J7391" t="n">
        <v>0</v>
      </c>
      <c r="K7391" t="n">
        <v>0</v>
      </c>
      <c r="L7391" t="n">
        <v>0</v>
      </c>
      <c r="M7391" t="n">
        <v>0</v>
      </c>
      <c r="N7391" t="n">
        <v>0</v>
      </c>
      <c r="O7391" t="n">
        <v>0</v>
      </c>
      <c r="P7391" t="n">
        <v>0</v>
      </c>
      <c r="Q7391" t="n">
        <v>0</v>
      </c>
      <c r="R7391" s="2" t="inlineStr"/>
    </row>
    <row r="7392" ht="15" customHeight="1">
      <c r="A7392" t="inlineStr">
        <is>
          <t>A 33318-2022</t>
        </is>
      </c>
      <c r="B7392" s="1" t="n">
        <v>44788</v>
      </c>
      <c r="C7392" s="1" t="n">
        <v>45810</v>
      </c>
      <c r="D7392" t="inlineStr">
        <is>
          <t>VÄRMLANDS LÄN</t>
        </is>
      </c>
      <c r="E7392" t="inlineStr">
        <is>
          <t>SUNNE</t>
        </is>
      </c>
      <c r="G7392" t="n">
        <v>2.3</v>
      </c>
      <c r="H7392" t="n">
        <v>0</v>
      </c>
      <c r="I7392" t="n">
        <v>0</v>
      </c>
      <c r="J7392" t="n">
        <v>0</v>
      </c>
      <c r="K7392" t="n">
        <v>0</v>
      </c>
      <c r="L7392" t="n">
        <v>0</v>
      </c>
      <c r="M7392" t="n">
        <v>0</v>
      </c>
      <c r="N7392" t="n">
        <v>0</v>
      </c>
      <c r="O7392" t="n">
        <v>0</v>
      </c>
      <c r="P7392" t="n">
        <v>0</v>
      </c>
      <c r="Q7392" t="n">
        <v>0</v>
      </c>
      <c r="R7392" s="2" t="inlineStr"/>
    </row>
    <row r="7393" ht="15" customHeight="1">
      <c r="A7393" t="inlineStr">
        <is>
          <t>A 33334-2022</t>
        </is>
      </c>
      <c r="B7393" s="1" t="n">
        <v>44788</v>
      </c>
      <c r="C7393" s="1" t="n">
        <v>45810</v>
      </c>
      <c r="D7393" t="inlineStr">
        <is>
          <t>VÄRMLANDS LÄN</t>
        </is>
      </c>
      <c r="E7393" t="inlineStr">
        <is>
          <t>KARLSTAD</t>
        </is>
      </c>
      <c r="G7393" t="n">
        <v>10.6</v>
      </c>
      <c r="H7393" t="n">
        <v>0</v>
      </c>
      <c r="I7393" t="n">
        <v>0</v>
      </c>
      <c r="J7393" t="n">
        <v>0</v>
      </c>
      <c r="K7393" t="n">
        <v>0</v>
      </c>
      <c r="L7393" t="n">
        <v>0</v>
      </c>
      <c r="M7393" t="n">
        <v>0</v>
      </c>
      <c r="N7393" t="n">
        <v>0</v>
      </c>
      <c r="O7393" t="n">
        <v>0</v>
      </c>
      <c r="P7393" t="n">
        <v>0</v>
      </c>
      <c r="Q7393" t="n">
        <v>0</v>
      </c>
      <c r="R7393" s="2" t="inlineStr"/>
    </row>
    <row r="7394" ht="15" customHeight="1">
      <c r="A7394" t="inlineStr">
        <is>
          <t>A 33455-2022</t>
        </is>
      </c>
      <c r="B7394" s="1" t="n">
        <v>44788</v>
      </c>
      <c r="C7394" s="1" t="n">
        <v>45810</v>
      </c>
      <c r="D7394" t="inlineStr">
        <is>
          <t>VÄRMLANDS LÄN</t>
        </is>
      </c>
      <c r="E7394" t="inlineStr">
        <is>
          <t>SUNNE</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33525-2022</t>
        </is>
      </c>
      <c r="B7395" s="1" t="n">
        <v>44789</v>
      </c>
      <c r="C7395" s="1" t="n">
        <v>45810</v>
      </c>
      <c r="D7395" t="inlineStr">
        <is>
          <t>VÄRMLANDS LÄN</t>
        </is>
      </c>
      <c r="E7395" t="inlineStr">
        <is>
          <t>ÅRJÄNG</t>
        </is>
      </c>
      <c r="G7395" t="n">
        <v>2.2</v>
      </c>
      <c r="H7395" t="n">
        <v>0</v>
      </c>
      <c r="I7395" t="n">
        <v>0</v>
      </c>
      <c r="J7395" t="n">
        <v>0</v>
      </c>
      <c r="K7395" t="n">
        <v>0</v>
      </c>
      <c r="L7395" t="n">
        <v>0</v>
      </c>
      <c r="M7395" t="n">
        <v>0</v>
      </c>
      <c r="N7395" t="n">
        <v>0</v>
      </c>
      <c r="O7395" t="n">
        <v>0</v>
      </c>
      <c r="P7395" t="n">
        <v>0</v>
      </c>
      <c r="Q7395" t="n">
        <v>0</v>
      </c>
      <c r="R7395" s="2" t="inlineStr"/>
    </row>
    <row r="7396" ht="15" customHeight="1">
      <c r="A7396" t="inlineStr">
        <is>
          <t>A 33579-2022</t>
        </is>
      </c>
      <c r="B7396" s="1" t="n">
        <v>44789</v>
      </c>
      <c r="C7396" s="1" t="n">
        <v>45810</v>
      </c>
      <c r="D7396" t="inlineStr">
        <is>
          <t>VÄRMLANDS LÄN</t>
        </is>
      </c>
      <c r="E7396" t="inlineStr">
        <is>
          <t>TORSBY</t>
        </is>
      </c>
      <c r="F7396" t="inlineStr">
        <is>
          <t>Bergvik skog väst AB</t>
        </is>
      </c>
      <c r="G7396" t="n">
        <v>6.8</v>
      </c>
      <c r="H7396" t="n">
        <v>0</v>
      </c>
      <c r="I7396" t="n">
        <v>0</v>
      </c>
      <c r="J7396" t="n">
        <v>0</v>
      </c>
      <c r="K7396" t="n">
        <v>0</v>
      </c>
      <c r="L7396" t="n">
        <v>0</v>
      </c>
      <c r="M7396" t="n">
        <v>0</v>
      </c>
      <c r="N7396" t="n">
        <v>0</v>
      </c>
      <c r="O7396" t="n">
        <v>0</v>
      </c>
      <c r="P7396" t="n">
        <v>0</v>
      </c>
      <c r="Q7396" t="n">
        <v>0</v>
      </c>
      <c r="R7396" s="2" t="inlineStr"/>
    </row>
    <row r="7397" ht="15" customHeight="1">
      <c r="A7397" t="inlineStr">
        <is>
          <t>A 33623-2022</t>
        </is>
      </c>
      <c r="B7397" s="1" t="n">
        <v>44789</v>
      </c>
      <c r="C7397" s="1" t="n">
        <v>45810</v>
      </c>
      <c r="D7397" t="inlineStr">
        <is>
          <t>VÄRMLANDS LÄN</t>
        </is>
      </c>
      <c r="E7397" t="inlineStr">
        <is>
          <t>SUNNE</t>
        </is>
      </c>
      <c r="G7397" t="n">
        <v>1.4</v>
      </c>
      <c r="H7397" t="n">
        <v>0</v>
      </c>
      <c r="I7397" t="n">
        <v>0</v>
      </c>
      <c r="J7397" t="n">
        <v>0</v>
      </c>
      <c r="K7397" t="n">
        <v>0</v>
      </c>
      <c r="L7397" t="n">
        <v>0</v>
      </c>
      <c r="M7397" t="n">
        <v>0</v>
      </c>
      <c r="N7397" t="n">
        <v>0</v>
      </c>
      <c r="O7397" t="n">
        <v>0</v>
      </c>
      <c r="P7397" t="n">
        <v>0</v>
      </c>
      <c r="Q7397" t="n">
        <v>0</v>
      </c>
      <c r="R7397" s="2" t="inlineStr"/>
    </row>
    <row r="7398" ht="15" customHeight="1">
      <c r="A7398" t="inlineStr">
        <is>
          <t>A 33657-2022</t>
        </is>
      </c>
      <c r="B7398" s="1" t="n">
        <v>44789</v>
      </c>
      <c r="C7398" s="1" t="n">
        <v>45810</v>
      </c>
      <c r="D7398" t="inlineStr">
        <is>
          <t>VÄRMLANDS LÄN</t>
        </is>
      </c>
      <c r="E7398" t="inlineStr">
        <is>
          <t>ARVIKA</t>
        </is>
      </c>
      <c r="F7398" t="inlineStr">
        <is>
          <t>Bergvik skog väst AB</t>
        </is>
      </c>
      <c r="G7398" t="n">
        <v>11.2</v>
      </c>
      <c r="H7398" t="n">
        <v>0</v>
      </c>
      <c r="I7398" t="n">
        <v>0</v>
      </c>
      <c r="J7398" t="n">
        <v>0</v>
      </c>
      <c r="K7398" t="n">
        <v>0</v>
      </c>
      <c r="L7398" t="n">
        <v>0</v>
      </c>
      <c r="M7398" t="n">
        <v>0</v>
      </c>
      <c r="N7398" t="n">
        <v>0</v>
      </c>
      <c r="O7398" t="n">
        <v>0</v>
      </c>
      <c r="P7398" t="n">
        <v>0</v>
      </c>
      <c r="Q7398" t="n">
        <v>0</v>
      </c>
      <c r="R7398" s="2" t="inlineStr"/>
    </row>
    <row r="7399" ht="15" customHeight="1">
      <c r="A7399" t="inlineStr">
        <is>
          <t>A 33671-2022</t>
        </is>
      </c>
      <c r="B7399" s="1" t="n">
        <v>44789</v>
      </c>
      <c r="C7399" s="1" t="n">
        <v>45810</v>
      </c>
      <c r="D7399" t="inlineStr">
        <is>
          <t>VÄRMLANDS LÄN</t>
        </is>
      </c>
      <c r="E7399" t="inlineStr">
        <is>
          <t>FILIPSTAD</t>
        </is>
      </c>
      <c r="F7399" t="inlineStr">
        <is>
          <t>Bergvik skog väst AB</t>
        </is>
      </c>
      <c r="G7399" t="n">
        <v>10.6</v>
      </c>
      <c r="H7399" t="n">
        <v>0</v>
      </c>
      <c r="I7399" t="n">
        <v>0</v>
      </c>
      <c r="J7399" t="n">
        <v>0</v>
      </c>
      <c r="K7399" t="n">
        <v>0</v>
      </c>
      <c r="L7399" t="n">
        <v>0</v>
      </c>
      <c r="M7399" t="n">
        <v>0</v>
      </c>
      <c r="N7399" t="n">
        <v>0</v>
      </c>
      <c r="O7399" t="n">
        <v>0</v>
      </c>
      <c r="P7399" t="n">
        <v>0</v>
      </c>
      <c r="Q7399" t="n">
        <v>0</v>
      </c>
      <c r="R7399" s="2" t="inlineStr"/>
    </row>
    <row r="7400" ht="15" customHeight="1">
      <c r="A7400" t="inlineStr">
        <is>
          <t>A 33748-2022</t>
        </is>
      </c>
      <c r="B7400" s="1" t="n">
        <v>44790</v>
      </c>
      <c r="C7400" s="1" t="n">
        <v>45810</v>
      </c>
      <c r="D7400" t="inlineStr">
        <is>
          <t>VÄRMLANDS LÄN</t>
        </is>
      </c>
      <c r="E7400" t="inlineStr">
        <is>
          <t>GRUMS</t>
        </is>
      </c>
      <c r="G7400" t="n">
        <v>1.4</v>
      </c>
      <c r="H7400" t="n">
        <v>0</v>
      </c>
      <c r="I7400" t="n">
        <v>0</v>
      </c>
      <c r="J7400" t="n">
        <v>0</v>
      </c>
      <c r="K7400" t="n">
        <v>0</v>
      </c>
      <c r="L7400" t="n">
        <v>0</v>
      </c>
      <c r="M7400" t="n">
        <v>0</v>
      </c>
      <c r="N7400" t="n">
        <v>0</v>
      </c>
      <c r="O7400" t="n">
        <v>0</v>
      </c>
      <c r="P7400" t="n">
        <v>0</v>
      </c>
      <c r="Q7400" t="n">
        <v>0</v>
      </c>
      <c r="R7400" s="2" t="inlineStr"/>
    </row>
    <row r="7401" ht="15" customHeight="1">
      <c r="A7401" t="inlineStr">
        <is>
          <t>A 33888-2022</t>
        </is>
      </c>
      <c r="B7401" s="1" t="n">
        <v>44790</v>
      </c>
      <c r="C7401" s="1" t="n">
        <v>45810</v>
      </c>
      <c r="D7401" t="inlineStr">
        <is>
          <t>VÄRMLANDS LÄN</t>
        </is>
      </c>
      <c r="E7401" t="inlineStr">
        <is>
          <t>ÅRJÄNG</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33908-2022</t>
        </is>
      </c>
      <c r="B7402" s="1" t="n">
        <v>44790</v>
      </c>
      <c r="C7402" s="1" t="n">
        <v>45810</v>
      </c>
      <c r="D7402" t="inlineStr">
        <is>
          <t>VÄRMLANDS LÄN</t>
        </is>
      </c>
      <c r="E7402" t="inlineStr">
        <is>
          <t>MUNKFORS</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33780-2022</t>
        </is>
      </c>
      <c r="B7403" s="1" t="n">
        <v>44790</v>
      </c>
      <c r="C7403" s="1" t="n">
        <v>45810</v>
      </c>
      <c r="D7403" t="inlineStr">
        <is>
          <t>VÄRMLANDS LÄN</t>
        </is>
      </c>
      <c r="E7403" t="inlineStr">
        <is>
          <t>SUNNE</t>
        </is>
      </c>
      <c r="G7403" t="n">
        <v>2.5</v>
      </c>
      <c r="H7403" t="n">
        <v>0</v>
      </c>
      <c r="I7403" t="n">
        <v>0</v>
      </c>
      <c r="J7403" t="n">
        <v>0</v>
      </c>
      <c r="K7403" t="n">
        <v>0</v>
      </c>
      <c r="L7403" t="n">
        <v>0</v>
      </c>
      <c r="M7403" t="n">
        <v>0</v>
      </c>
      <c r="N7403" t="n">
        <v>0</v>
      </c>
      <c r="O7403" t="n">
        <v>0</v>
      </c>
      <c r="P7403" t="n">
        <v>0</v>
      </c>
      <c r="Q7403" t="n">
        <v>0</v>
      </c>
      <c r="R7403" s="2" t="inlineStr"/>
    </row>
    <row r="7404" ht="15" customHeight="1">
      <c r="A7404" t="inlineStr">
        <is>
          <t>A 33810-2022</t>
        </is>
      </c>
      <c r="B7404" s="1" t="n">
        <v>44790</v>
      </c>
      <c r="C7404" s="1" t="n">
        <v>45810</v>
      </c>
      <c r="D7404" t="inlineStr">
        <is>
          <t>VÄRMLANDS LÄN</t>
        </is>
      </c>
      <c r="E7404" t="inlineStr">
        <is>
          <t>SUNNE</t>
        </is>
      </c>
      <c r="G7404" t="n">
        <v>2</v>
      </c>
      <c r="H7404" t="n">
        <v>0</v>
      </c>
      <c r="I7404" t="n">
        <v>0</v>
      </c>
      <c r="J7404" t="n">
        <v>0</v>
      </c>
      <c r="K7404" t="n">
        <v>0</v>
      </c>
      <c r="L7404" t="n">
        <v>0</v>
      </c>
      <c r="M7404" t="n">
        <v>0</v>
      </c>
      <c r="N7404" t="n">
        <v>0</v>
      </c>
      <c r="O7404" t="n">
        <v>0</v>
      </c>
      <c r="P7404" t="n">
        <v>0</v>
      </c>
      <c r="Q7404" t="n">
        <v>0</v>
      </c>
      <c r="R7404" s="2" t="inlineStr"/>
    </row>
    <row r="7405" ht="15" customHeight="1">
      <c r="A7405" t="inlineStr">
        <is>
          <t>A 33756-2022</t>
        </is>
      </c>
      <c r="B7405" s="1" t="n">
        <v>44790</v>
      </c>
      <c r="C7405" s="1" t="n">
        <v>45810</v>
      </c>
      <c r="D7405" t="inlineStr">
        <is>
          <t>VÄRMLANDS LÄN</t>
        </is>
      </c>
      <c r="E7405" t="inlineStr">
        <is>
          <t>SUNNE</t>
        </is>
      </c>
      <c r="G7405" t="n">
        <v>3.3</v>
      </c>
      <c r="H7405" t="n">
        <v>0</v>
      </c>
      <c r="I7405" t="n">
        <v>0</v>
      </c>
      <c r="J7405" t="n">
        <v>0</v>
      </c>
      <c r="K7405" t="n">
        <v>0</v>
      </c>
      <c r="L7405" t="n">
        <v>0</v>
      </c>
      <c r="M7405" t="n">
        <v>0</v>
      </c>
      <c r="N7405" t="n">
        <v>0</v>
      </c>
      <c r="O7405" t="n">
        <v>0</v>
      </c>
      <c r="P7405" t="n">
        <v>0</v>
      </c>
      <c r="Q7405" t="n">
        <v>0</v>
      </c>
      <c r="R7405" s="2" t="inlineStr"/>
    </row>
    <row r="7406" ht="15" customHeight="1">
      <c r="A7406" t="inlineStr">
        <is>
          <t>A 33765-2022</t>
        </is>
      </c>
      <c r="B7406" s="1" t="n">
        <v>44790</v>
      </c>
      <c r="C7406" s="1" t="n">
        <v>45810</v>
      </c>
      <c r="D7406" t="inlineStr">
        <is>
          <t>VÄRMLANDS LÄN</t>
        </is>
      </c>
      <c r="E7406" t="inlineStr">
        <is>
          <t>SUNNE</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33802-2022</t>
        </is>
      </c>
      <c r="B7407" s="1" t="n">
        <v>44790</v>
      </c>
      <c r="C7407" s="1" t="n">
        <v>45810</v>
      </c>
      <c r="D7407" t="inlineStr">
        <is>
          <t>VÄRMLANDS LÄN</t>
        </is>
      </c>
      <c r="E7407" t="inlineStr">
        <is>
          <t>TORSBY</t>
        </is>
      </c>
      <c r="F7407" t="inlineStr">
        <is>
          <t>Bergvik skog väst AB</t>
        </is>
      </c>
      <c r="G7407" t="n">
        <v>20.4</v>
      </c>
      <c r="H7407" t="n">
        <v>0</v>
      </c>
      <c r="I7407" t="n">
        <v>0</v>
      </c>
      <c r="J7407" t="n">
        <v>0</v>
      </c>
      <c r="K7407" t="n">
        <v>0</v>
      </c>
      <c r="L7407" t="n">
        <v>0</v>
      </c>
      <c r="M7407" t="n">
        <v>0</v>
      </c>
      <c r="N7407" t="n">
        <v>0</v>
      </c>
      <c r="O7407" t="n">
        <v>0</v>
      </c>
      <c r="P7407" t="n">
        <v>0</v>
      </c>
      <c r="Q7407" t="n">
        <v>0</v>
      </c>
      <c r="R7407" s="2" t="inlineStr"/>
    </row>
    <row r="7408" ht="15" customHeight="1">
      <c r="A7408" t="inlineStr">
        <is>
          <t>A 33915-2022</t>
        </is>
      </c>
      <c r="B7408" s="1" t="n">
        <v>44790</v>
      </c>
      <c r="C7408" s="1" t="n">
        <v>45810</v>
      </c>
      <c r="D7408" t="inlineStr">
        <is>
          <t>VÄRMLANDS LÄN</t>
        </is>
      </c>
      <c r="E7408" t="inlineStr">
        <is>
          <t>ÅRJÄNG</t>
        </is>
      </c>
      <c r="G7408" t="n">
        <v>2</v>
      </c>
      <c r="H7408" t="n">
        <v>0</v>
      </c>
      <c r="I7408" t="n">
        <v>0</v>
      </c>
      <c r="J7408" t="n">
        <v>0</v>
      </c>
      <c r="K7408" t="n">
        <v>0</v>
      </c>
      <c r="L7408" t="n">
        <v>0</v>
      </c>
      <c r="M7408" t="n">
        <v>0</v>
      </c>
      <c r="N7408" t="n">
        <v>0</v>
      </c>
      <c r="O7408" t="n">
        <v>0</v>
      </c>
      <c r="P7408" t="n">
        <v>0</v>
      </c>
      <c r="Q7408" t="n">
        <v>0</v>
      </c>
      <c r="R7408" s="2" t="inlineStr"/>
    </row>
    <row r="7409" ht="15" customHeight="1">
      <c r="A7409" t="inlineStr">
        <is>
          <t>A 33920-2022</t>
        </is>
      </c>
      <c r="B7409" s="1" t="n">
        <v>44790</v>
      </c>
      <c r="C7409" s="1" t="n">
        <v>45810</v>
      </c>
      <c r="D7409" t="inlineStr">
        <is>
          <t>VÄRMLANDS LÄN</t>
        </is>
      </c>
      <c r="E7409" t="inlineStr">
        <is>
          <t>EDA</t>
        </is>
      </c>
      <c r="G7409" t="n">
        <v>9.800000000000001</v>
      </c>
      <c r="H7409" t="n">
        <v>0</v>
      </c>
      <c r="I7409" t="n">
        <v>0</v>
      </c>
      <c r="J7409" t="n">
        <v>0</v>
      </c>
      <c r="K7409" t="n">
        <v>0</v>
      </c>
      <c r="L7409" t="n">
        <v>0</v>
      </c>
      <c r="M7409" t="n">
        <v>0</v>
      </c>
      <c r="N7409" t="n">
        <v>0</v>
      </c>
      <c r="O7409" t="n">
        <v>0</v>
      </c>
      <c r="P7409" t="n">
        <v>0</v>
      </c>
      <c r="Q7409" t="n">
        <v>0</v>
      </c>
      <c r="R7409" s="2" t="inlineStr"/>
    </row>
    <row r="7410" ht="15" customHeight="1">
      <c r="A7410" t="inlineStr">
        <is>
          <t>A 33960-2022</t>
        </is>
      </c>
      <c r="B7410" s="1" t="n">
        <v>44790</v>
      </c>
      <c r="C7410" s="1" t="n">
        <v>45810</v>
      </c>
      <c r="D7410" t="inlineStr">
        <is>
          <t>VÄRMLANDS LÄN</t>
        </is>
      </c>
      <c r="E7410" t="inlineStr">
        <is>
          <t>TORSBY</t>
        </is>
      </c>
      <c r="G7410" t="n">
        <v>5.1</v>
      </c>
      <c r="H7410" t="n">
        <v>0</v>
      </c>
      <c r="I7410" t="n">
        <v>0</v>
      </c>
      <c r="J7410" t="n">
        <v>0</v>
      </c>
      <c r="K7410" t="n">
        <v>0</v>
      </c>
      <c r="L7410" t="n">
        <v>0</v>
      </c>
      <c r="M7410" t="n">
        <v>0</v>
      </c>
      <c r="N7410" t="n">
        <v>0</v>
      </c>
      <c r="O7410" t="n">
        <v>0</v>
      </c>
      <c r="P7410" t="n">
        <v>0</v>
      </c>
      <c r="Q7410" t="n">
        <v>0</v>
      </c>
      <c r="R7410" s="2" t="inlineStr"/>
    </row>
    <row r="7411" ht="15" customHeight="1">
      <c r="A7411" t="inlineStr">
        <is>
          <t>A 33951-2022</t>
        </is>
      </c>
      <c r="B7411" s="1" t="n">
        <v>44790</v>
      </c>
      <c r="C7411" s="1" t="n">
        <v>45810</v>
      </c>
      <c r="D7411" t="inlineStr">
        <is>
          <t>VÄRMLANDS LÄN</t>
        </is>
      </c>
      <c r="E7411" t="inlineStr">
        <is>
          <t>FORSHAGA</t>
        </is>
      </c>
      <c r="G7411" t="n">
        <v>0.6</v>
      </c>
      <c r="H7411" t="n">
        <v>0</v>
      </c>
      <c r="I7411" t="n">
        <v>0</v>
      </c>
      <c r="J7411" t="n">
        <v>0</v>
      </c>
      <c r="K7411" t="n">
        <v>0</v>
      </c>
      <c r="L7411" t="n">
        <v>0</v>
      </c>
      <c r="M7411" t="n">
        <v>0</v>
      </c>
      <c r="N7411" t="n">
        <v>0</v>
      </c>
      <c r="O7411" t="n">
        <v>0</v>
      </c>
      <c r="P7411" t="n">
        <v>0</v>
      </c>
      <c r="Q7411" t="n">
        <v>0</v>
      </c>
      <c r="R7411" s="2" t="inlineStr"/>
    </row>
    <row r="7412" ht="15" customHeight="1">
      <c r="A7412" t="inlineStr">
        <is>
          <t>A 33973-2022</t>
        </is>
      </c>
      <c r="B7412" s="1" t="n">
        <v>44790</v>
      </c>
      <c r="C7412" s="1" t="n">
        <v>45810</v>
      </c>
      <c r="D7412" t="inlineStr">
        <is>
          <t>VÄRMLANDS LÄN</t>
        </is>
      </c>
      <c r="E7412" t="inlineStr">
        <is>
          <t>HAGFORS</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33958-2022</t>
        </is>
      </c>
      <c r="B7413" s="1" t="n">
        <v>44790</v>
      </c>
      <c r="C7413" s="1" t="n">
        <v>45810</v>
      </c>
      <c r="D7413" t="inlineStr">
        <is>
          <t>VÄRMLANDS LÄN</t>
        </is>
      </c>
      <c r="E7413" t="inlineStr">
        <is>
          <t>TORSBY</t>
        </is>
      </c>
      <c r="G7413" t="n">
        <v>13.2</v>
      </c>
      <c r="H7413" t="n">
        <v>0</v>
      </c>
      <c r="I7413" t="n">
        <v>0</v>
      </c>
      <c r="J7413" t="n">
        <v>0</v>
      </c>
      <c r="K7413" t="n">
        <v>0</v>
      </c>
      <c r="L7413" t="n">
        <v>0</v>
      </c>
      <c r="M7413" t="n">
        <v>0</v>
      </c>
      <c r="N7413" t="n">
        <v>0</v>
      </c>
      <c r="O7413" t="n">
        <v>0</v>
      </c>
      <c r="P7413" t="n">
        <v>0</v>
      </c>
      <c r="Q7413" t="n">
        <v>0</v>
      </c>
      <c r="R7413" s="2" t="inlineStr"/>
    </row>
    <row r="7414" ht="15" customHeight="1">
      <c r="A7414" t="inlineStr">
        <is>
          <t>A 33907-2022</t>
        </is>
      </c>
      <c r="B7414" s="1" t="n">
        <v>44790</v>
      </c>
      <c r="C7414" s="1" t="n">
        <v>45810</v>
      </c>
      <c r="D7414" t="inlineStr">
        <is>
          <t>VÄRMLANDS LÄN</t>
        </is>
      </c>
      <c r="E7414" t="inlineStr">
        <is>
          <t>KIL</t>
        </is>
      </c>
      <c r="F7414" t="inlineStr">
        <is>
          <t>Kommuner</t>
        </is>
      </c>
      <c r="G7414" t="n">
        <v>2.1</v>
      </c>
      <c r="H7414" t="n">
        <v>0</v>
      </c>
      <c r="I7414" t="n">
        <v>0</v>
      </c>
      <c r="J7414" t="n">
        <v>0</v>
      </c>
      <c r="K7414" t="n">
        <v>0</v>
      </c>
      <c r="L7414" t="n">
        <v>0</v>
      </c>
      <c r="M7414" t="n">
        <v>0</v>
      </c>
      <c r="N7414" t="n">
        <v>0</v>
      </c>
      <c r="O7414" t="n">
        <v>0</v>
      </c>
      <c r="P7414" t="n">
        <v>0</v>
      </c>
      <c r="Q7414" t="n">
        <v>0</v>
      </c>
      <c r="R7414" s="2" t="inlineStr"/>
    </row>
    <row r="7415" ht="15" customHeight="1">
      <c r="A7415" t="inlineStr">
        <is>
          <t>A 33943-2022</t>
        </is>
      </c>
      <c r="B7415" s="1" t="n">
        <v>44790</v>
      </c>
      <c r="C7415" s="1" t="n">
        <v>45810</v>
      </c>
      <c r="D7415" t="inlineStr">
        <is>
          <t>VÄRMLANDS LÄN</t>
        </is>
      </c>
      <c r="E7415" t="inlineStr">
        <is>
          <t>TORSBY</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33959-2022</t>
        </is>
      </c>
      <c r="B7416" s="1" t="n">
        <v>44790</v>
      </c>
      <c r="C7416" s="1" t="n">
        <v>45810</v>
      </c>
      <c r="D7416" t="inlineStr">
        <is>
          <t>VÄRMLANDS LÄN</t>
        </is>
      </c>
      <c r="E7416" t="inlineStr">
        <is>
          <t>TORSBY</t>
        </is>
      </c>
      <c r="G7416" t="n">
        <v>0.6</v>
      </c>
      <c r="H7416" t="n">
        <v>0</v>
      </c>
      <c r="I7416" t="n">
        <v>0</v>
      </c>
      <c r="J7416" t="n">
        <v>0</v>
      </c>
      <c r="K7416" t="n">
        <v>0</v>
      </c>
      <c r="L7416" t="n">
        <v>0</v>
      </c>
      <c r="M7416" t="n">
        <v>0</v>
      </c>
      <c r="N7416" t="n">
        <v>0</v>
      </c>
      <c r="O7416" t="n">
        <v>0</v>
      </c>
      <c r="P7416" t="n">
        <v>0</v>
      </c>
      <c r="Q7416" t="n">
        <v>0</v>
      </c>
      <c r="R7416" s="2" t="inlineStr"/>
    </row>
    <row r="7417" ht="15" customHeight="1">
      <c r="A7417" t="inlineStr">
        <is>
          <t>A 33969-2022</t>
        </is>
      </c>
      <c r="B7417" s="1" t="n">
        <v>44790</v>
      </c>
      <c r="C7417" s="1" t="n">
        <v>45810</v>
      </c>
      <c r="D7417" t="inlineStr">
        <is>
          <t>VÄRMLANDS LÄN</t>
        </is>
      </c>
      <c r="E7417" t="inlineStr">
        <is>
          <t>HAGFORS</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34075-2022</t>
        </is>
      </c>
      <c r="B7418" s="1" t="n">
        <v>44791</v>
      </c>
      <c r="C7418" s="1" t="n">
        <v>45810</v>
      </c>
      <c r="D7418" t="inlineStr">
        <is>
          <t>VÄRMLANDS LÄN</t>
        </is>
      </c>
      <c r="E7418" t="inlineStr">
        <is>
          <t>HAGFORS</t>
        </is>
      </c>
      <c r="G7418" t="n">
        <v>0.9</v>
      </c>
      <c r="H7418" t="n">
        <v>0</v>
      </c>
      <c r="I7418" t="n">
        <v>0</v>
      </c>
      <c r="J7418" t="n">
        <v>0</v>
      </c>
      <c r="K7418" t="n">
        <v>0</v>
      </c>
      <c r="L7418" t="n">
        <v>0</v>
      </c>
      <c r="M7418" t="n">
        <v>0</v>
      </c>
      <c r="N7418" t="n">
        <v>0</v>
      </c>
      <c r="O7418" t="n">
        <v>0</v>
      </c>
      <c r="P7418" t="n">
        <v>0</v>
      </c>
      <c r="Q7418" t="n">
        <v>0</v>
      </c>
      <c r="R7418" s="2" t="inlineStr"/>
    </row>
    <row r="7419" ht="15" customHeight="1">
      <c r="A7419" t="inlineStr">
        <is>
          <t>A 34135-2022</t>
        </is>
      </c>
      <c r="B7419" s="1" t="n">
        <v>44791</v>
      </c>
      <c r="C7419" s="1" t="n">
        <v>45810</v>
      </c>
      <c r="D7419" t="inlineStr">
        <is>
          <t>VÄRMLANDS LÄN</t>
        </is>
      </c>
      <c r="E7419" t="inlineStr">
        <is>
          <t>SUNNE</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34125-2022</t>
        </is>
      </c>
      <c r="B7420" s="1" t="n">
        <v>44791</v>
      </c>
      <c r="C7420" s="1" t="n">
        <v>45810</v>
      </c>
      <c r="D7420" t="inlineStr">
        <is>
          <t>VÄRMLANDS LÄN</t>
        </is>
      </c>
      <c r="E7420" t="inlineStr">
        <is>
          <t>KRISTINEHAMN</t>
        </is>
      </c>
      <c r="G7420" t="n">
        <v>3.3</v>
      </c>
      <c r="H7420" t="n">
        <v>0</v>
      </c>
      <c r="I7420" t="n">
        <v>0</v>
      </c>
      <c r="J7420" t="n">
        <v>0</v>
      </c>
      <c r="K7420" t="n">
        <v>0</v>
      </c>
      <c r="L7420" t="n">
        <v>0</v>
      </c>
      <c r="M7420" t="n">
        <v>0</v>
      </c>
      <c r="N7420" t="n">
        <v>0</v>
      </c>
      <c r="O7420" t="n">
        <v>0</v>
      </c>
      <c r="P7420" t="n">
        <v>0</v>
      </c>
      <c r="Q7420" t="n">
        <v>0</v>
      </c>
      <c r="R7420" s="2" t="inlineStr"/>
    </row>
    <row r="7421" ht="15" customHeight="1">
      <c r="A7421" t="inlineStr">
        <is>
          <t>A 34144-2022</t>
        </is>
      </c>
      <c r="B7421" s="1" t="n">
        <v>44791</v>
      </c>
      <c r="C7421" s="1" t="n">
        <v>45810</v>
      </c>
      <c r="D7421" t="inlineStr">
        <is>
          <t>VÄRMLANDS LÄN</t>
        </is>
      </c>
      <c r="E7421" t="inlineStr">
        <is>
          <t>ÅRJÄNG</t>
        </is>
      </c>
      <c r="G7421" t="n">
        <v>1.6</v>
      </c>
      <c r="H7421" t="n">
        <v>0</v>
      </c>
      <c r="I7421" t="n">
        <v>0</v>
      </c>
      <c r="J7421" t="n">
        <v>0</v>
      </c>
      <c r="K7421" t="n">
        <v>0</v>
      </c>
      <c r="L7421" t="n">
        <v>0</v>
      </c>
      <c r="M7421" t="n">
        <v>0</v>
      </c>
      <c r="N7421" t="n">
        <v>0</v>
      </c>
      <c r="O7421" t="n">
        <v>0</v>
      </c>
      <c r="P7421" t="n">
        <v>0</v>
      </c>
      <c r="Q7421" t="n">
        <v>0</v>
      </c>
      <c r="R7421" s="2" t="inlineStr"/>
    </row>
    <row r="7422" ht="15" customHeight="1">
      <c r="A7422" t="inlineStr">
        <is>
          <t>A 34220-2022</t>
        </is>
      </c>
      <c r="B7422" s="1" t="n">
        <v>44791</v>
      </c>
      <c r="C7422" s="1" t="n">
        <v>45810</v>
      </c>
      <c r="D7422" t="inlineStr">
        <is>
          <t>VÄRMLANDS LÄN</t>
        </is>
      </c>
      <c r="E7422" t="inlineStr">
        <is>
          <t>HAGFORS</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34190-2022</t>
        </is>
      </c>
      <c r="B7423" s="1" t="n">
        <v>44791</v>
      </c>
      <c r="C7423" s="1" t="n">
        <v>45810</v>
      </c>
      <c r="D7423" t="inlineStr">
        <is>
          <t>VÄRMLANDS LÄN</t>
        </is>
      </c>
      <c r="E7423" t="inlineStr">
        <is>
          <t>ARVIKA</t>
        </is>
      </c>
      <c r="G7423" t="n">
        <v>2.6</v>
      </c>
      <c r="H7423" t="n">
        <v>0</v>
      </c>
      <c r="I7423" t="n">
        <v>0</v>
      </c>
      <c r="J7423" t="n">
        <v>0</v>
      </c>
      <c r="K7423" t="n">
        <v>0</v>
      </c>
      <c r="L7423" t="n">
        <v>0</v>
      </c>
      <c r="M7423" t="n">
        <v>0</v>
      </c>
      <c r="N7423" t="n">
        <v>0</v>
      </c>
      <c r="O7423" t="n">
        <v>0</v>
      </c>
      <c r="P7423" t="n">
        <v>0</v>
      </c>
      <c r="Q7423" t="n">
        <v>0</v>
      </c>
      <c r="R7423" s="2" t="inlineStr"/>
    </row>
    <row r="7424" ht="15" customHeight="1">
      <c r="A7424" t="inlineStr">
        <is>
          <t>A 34219-2022</t>
        </is>
      </c>
      <c r="B7424" s="1" t="n">
        <v>44791</v>
      </c>
      <c r="C7424" s="1" t="n">
        <v>45810</v>
      </c>
      <c r="D7424" t="inlineStr">
        <is>
          <t>VÄRMLANDS LÄN</t>
        </is>
      </c>
      <c r="E7424" t="inlineStr">
        <is>
          <t>HAGFORS</t>
        </is>
      </c>
      <c r="G7424" t="n">
        <v>3.7</v>
      </c>
      <c r="H7424" t="n">
        <v>0</v>
      </c>
      <c r="I7424" t="n">
        <v>0</v>
      </c>
      <c r="J7424" t="n">
        <v>0</v>
      </c>
      <c r="K7424" t="n">
        <v>0</v>
      </c>
      <c r="L7424" t="n">
        <v>0</v>
      </c>
      <c r="M7424" t="n">
        <v>0</v>
      </c>
      <c r="N7424" t="n">
        <v>0</v>
      </c>
      <c r="O7424" t="n">
        <v>0</v>
      </c>
      <c r="P7424" t="n">
        <v>0</v>
      </c>
      <c r="Q7424" t="n">
        <v>0</v>
      </c>
      <c r="R7424" s="2" t="inlineStr"/>
    </row>
    <row r="7425" ht="15" customHeight="1">
      <c r="A7425" t="inlineStr">
        <is>
          <t>A 34288-2022</t>
        </is>
      </c>
      <c r="B7425" s="1" t="n">
        <v>44792</v>
      </c>
      <c r="C7425" s="1" t="n">
        <v>45810</v>
      </c>
      <c r="D7425" t="inlineStr">
        <is>
          <t>VÄRMLANDS LÄN</t>
        </is>
      </c>
      <c r="E7425" t="inlineStr">
        <is>
          <t>SUNNE</t>
        </is>
      </c>
      <c r="G7425" t="n">
        <v>1.1</v>
      </c>
      <c r="H7425" t="n">
        <v>0</v>
      </c>
      <c r="I7425" t="n">
        <v>0</v>
      </c>
      <c r="J7425" t="n">
        <v>0</v>
      </c>
      <c r="K7425" t="n">
        <v>0</v>
      </c>
      <c r="L7425" t="n">
        <v>0</v>
      </c>
      <c r="M7425" t="n">
        <v>0</v>
      </c>
      <c r="N7425" t="n">
        <v>0</v>
      </c>
      <c r="O7425" t="n">
        <v>0</v>
      </c>
      <c r="P7425" t="n">
        <v>0</v>
      </c>
      <c r="Q7425" t="n">
        <v>0</v>
      </c>
      <c r="R7425" s="2" t="inlineStr"/>
    </row>
    <row r="7426" ht="15" customHeight="1">
      <c r="A7426" t="inlineStr">
        <is>
          <t>A 34402-2022</t>
        </is>
      </c>
      <c r="B7426" s="1" t="n">
        <v>44792</v>
      </c>
      <c r="C7426" s="1" t="n">
        <v>45810</v>
      </c>
      <c r="D7426" t="inlineStr">
        <is>
          <t>VÄRMLANDS LÄN</t>
        </is>
      </c>
      <c r="E7426" t="inlineStr">
        <is>
          <t>KIL</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34295-2022</t>
        </is>
      </c>
      <c r="B7427" s="1" t="n">
        <v>44792</v>
      </c>
      <c r="C7427" s="1" t="n">
        <v>45810</v>
      </c>
      <c r="D7427" t="inlineStr">
        <is>
          <t>VÄRMLANDS LÄN</t>
        </is>
      </c>
      <c r="E7427" t="inlineStr">
        <is>
          <t>SUNNE</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34371-2022</t>
        </is>
      </c>
      <c r="B7428" s="1" t="n">
        <v>44792</v>
      </c>
      <c r="C7428" s="1" t="n">
        <v>45810</v>
      </c>
      <c r="D7428" t="inlineStr">
        <is>
          <t>VÄRMLANDS LÄN</t>
        </is>
      </c>
      <c r="E7428" t="inlineStr">
        <is>
          <t>TORSBY</t>
        </is>
      </c>
      <c r="F7428" t="inlineStr">
        <is>
          <t>Bergvik skog väst AB</t>
        </is>
      </c>
      <c r="G7428" t="n">
        <v>7.1</v>
      </c>
      <c r="H7428" t="n">
        <v>0</v>
      </c>
      <c r="I7428" t="n">
        <v>0</v>
      </c>
      <c r="J7428" t="n">
        <v>0</v>
      </c>
      <c r="K7428" t="n">
        <v>0</v>
      </c>
      <c r="L7428" t="n">
        <v>0</v>
      </c>
      <c r="M7428" t="n">
        <v>0</v>
      </c>
      <c r="N7428" t="n">
        <v>0</v>
      </c>
      <c r="O7428" t="n">
        <v>0</v>
      </c>
      <c r="P7428" t="n">
        <v>0</v>
      </c>
      <c r="Q7428" t="n">
        <v>0</v>
      </c>
      <c r="R7428" s="2" t="inlineStr"/>
    </row>
    <row r="7429" ht="15" customHeight="1">
      <c r="A7429" t="inlineStr">
        <is>
          <t>A 34378-2022</t>
        </is>
      </c>
      <c r="B7429" s="1" t="n">
        <v>44792</v>
      </c>
      <c r="C7429" s="1" t="n">
        <v>45810</v>
      </c>
      <c r="D7429" t="inlineStr">
        <is>
          <t>VÄRMLANDS LÄN</t>
        </is>
      </c>
      <c r="E7429" t="inlineStr">
        <is>
          <t>TORSBY</t>
        </is>
      </c>
      <c r="G7429" t="n">
        <v>0.9</v>
      </c>
      <c r="H7429" t="n">
        <v>0</v>
      </c>
      <c r="I7429" t="n">
        <v>0</v>
      </c>
      <c r="J7429" t="n">
        <v>0</v>
      </c>
      <c r="K7429" t="n">
        <v>0</v>
      </c>
      <c r="L7429" t="n">
        <v>0</v>
      </c>
      <c r="M7429" t="n">
        <v>0</v>
      </c>
      <c r="N7429" t="n">
        <v>0</v>
      </c>
      <c r="O7429" t="n">
        <v>0</v>
      </c>
      <c r="P7429" t="n">
        <v>0</v>
      </c>
      <c r="Q7429" t="n">
        <v>0</v>
      </c>
      <c r="R7429" s="2" t="inlineStr"/>
    </row>
    <row r="7430" ht="15" customHeight="1">
      <c r="A7430" t="inlineStr">
        <is>
          <t>A 34434-2022</t>
        </is>
      </c>
      <c r="B7430" s="1" t="n">
        <v>44792</v>
      </c>
      <c r="C7430" s="1" t="n">
        <v>45810</v>
      </c>
      <c r="D7430" t="inlineStr">
        <is>
          <t>VÄRMLANDS LÄN</t>
        </is>
      </c>
      <c r="E7430" t="inlineStr">
        <is>
          <t>TORSBY</t>
        </is>
      </c>
      <c r="G7430" t="n">
        <v>4.6</v>
      </c>
      <c r="H7430" t="n">
        <v>0</v>
      </c>
      <c r="I7430" t="n">
        <v>0</v>
      </c>
      <c r="J7430" t="n">
        <v>0</v>
      </c>
      <c r="K7430" t="n">
        <v>0</v>
      </c>
      <c r="L7430" t="n">
        <v>0</v>
      </c>
      <c r="M7430" t="n">
        <v>0</v>
      </c>
      <c r="N7430" t="n">
        <v>0</v>
      </c>
      <c r="O7430" t="n">
        <v>0</v>
      </c>
      <c r="P7430" t="n">
        <v>0</v>
      </c>
      <c r="Q7430" t="n">
        <v>0</v>
      </c>
      <c r="R7430" s="2" t="inlineStr"/>
    </row>
    <row r="7431" ht="15" customHeight="1">
      <c r="A7431" t="inlineStr">
        <is>
          <t>A 34440-2022</t>
        </is>
      </c>
      <c r="B7431" s="1" t="n">
        <v>44792</v>
      </c>
      <c r="C7431" s="1" t="n">
        <v>45810</v>
      </c>
      <c r="D7431" t="inlineStr">
        <is>
          <t>VÄRMLANDS LÄN</t>
        </is>
      </c>
      <c r="E7431" t="inlineStr">
        <is>
          <t>TORSBY</t>
        </is>
      </c>
      <c r="F7431" t="inlineStr">
        <is>
          <t>Bergvik skog väst AB</t>
        </is>
      </c>
      <c r="G7431" t="n">
        <v>8.4</v>
      </c>
      <c r="H7431" t="n">
        <v>0</v>
      </c>
      <c r="I7431" t="n">
        <v>0</v>
      </c>
      <c r="J7431" t="n">
        <v>0</v>
      </c>
      <c r="K7431" t="n">
        <v>0</v>
      </c>
      <c r="L7431" t="n">
        <v>0</v>
      </c>
      <c r="M7431" t="n">
        <v>0</v>
      </c>
      <c r="N7431" t="n">
        <v>0</v>
      </c>
      <c r="O7431" t="n">
        <v>0</v>
      </c>
      <c r="P7431" t="n">
        <v>0</v>
      </c>
      <c r="Q7431" t="n">
        <v>0</v>
      </c>
      <c r="R7431" s="2" t="inlineStr"/>
    </row>
    <row r="7432" ht="15" customHeight="1">
      <c r="A7432" t="inlineStr">
        <is>
          <t>A 34458-2022</t>
        </is>
      </c>
      <c r="B7432" s="1" t="n">
        <v>44792</v>
      </c>
      <c r="C7432" s="1" t="n">
        <v>45810</v>
      </c>
      <c r="D7432" t="inlineStr">
        <is>
          <t>VÄRMLANDS LÄN</t>
        </is>
      </c>
      <c r="E7432" t="inlineStr">
        <is>
          <t>KARLSTAD</t>
        </is>
      </c>
      <c r="F7432" t="inlineStr">
        <is>
          <t>Bergvik skog väst AB</t>
        </is>
      </c>
      <c r="G7432" t="n">
        <v>8</v>
      </c>
      <c r="H7432" t="n">
        <v>0</v>
      </c>
      <c r="I7432" t="n">
        <v>0</v>
      </c>
      <c r="J7432" t="n">
        <v>0</v>
      </c>
      <c r="K7432" t="n">
        <v>0</v>
      </c>
      <c r="L7432" t="n">
        <v>0</v>
      </c>
      <c r="M7432" t="n">
        <v>0</v>
      </c>
      <c r="N7432" t="n">
        <v>0</v>
      </c>
      <c r="O7432" t="n">
        <v>0</v>
      </c>
      <c r="P7432" t="n">
        <v>0</v>
      </c>
      <c r="Q7432" t="n">
        <v>0</v>
      </c>
      <c r="R7432" s="2" t="inlineStr"/>
    </row>
    <row r="7433" ht="15" customHeight="1">
      <c r="A7433" t="inlineStr">
        <is>
          <t>A 34581-2022</t>
        </is>
      </c>
      <c r="B7433" s="1" t="n">
        <v>44792</v>
      </c>
      <c r="C7433" s="1" t="n">
        <v>45810</v>
      </c>
      <c r="D7433" t="inlineStr">
        <is>
          <t>VÄRMLANDS LÄN</t>
        </is>
      </c>
      <c r="E7433" t="inlineStr">
        <is>
          <t>TORSBY</t>
        </is>
      </c>
      <c r="G7433" t="n">
        <v>9.800000000000001</v>
      </c>
      <c r="H7433" t="n">
        <v>0</v>
      </c>
      <c r="I7433" t="n">
        <v>0</v>
      </c>
      <c r="J7433" t="n">
        <v>0</v>
      </c>
      <c r="K7433" t="n">
        <v>0</v>
      </c>
      <c r="L7433" t="n">
        <v>0</v>
      </c>
      <c r="M7433" t="n">
        <v>0</v>
      </c>
      <c r="N7433" t="n">
        <v>0</v>
      </c>
      <c r="O7433" t="n">
        <v>0</v>
      </c>
      <c r="P7433" t="n">
        <v>0</v>
      </c>
      <c r="Q7433" t="n">
        <v>0</v>
      </c>
      <c r="R7433" s="2" t="inlineStr"/>
    </row>
    <row r="7434" ht="15" customHeight="1">
      <c r="A7434" t="inlineStr">
        <is>
          <t>A 34541-2022</t>
        </is>
      </c>
      <c r="B7434" s="1" t="n">
        <v>44793</v>
      </c>
      <c r="C7434" s="1" t="n">
        <v>45810</v>
      </c>
      <c r="D7434" t="inlineStr">
        <is>
          <t>VÄRMLANDS LÄN</t>
        </is>
      </c>
      <c r="E7434" t="inlineStr">
        <is>
          <t>SUNNE</t>
        </is>
      </c>
      <c r="G7434" t="n">
        <v>3.4</v>
      </c>
      <c r="H7434" t="n">
        <v>0</v>
      </c>
      <c r="I7434" t="n">
        <v>0</v>
      </c>
      <c r="J7434" t="n">
        <v>0</v>
      </c>
      <c r="K7434" t="n">
        <v>0</v>
      </c>
      <c r="L7434" t="n">
        <v>0</v>
      </c>
      <c r="M7434" t="n">
        <v>0</v>
      </c>
      <c r="N7434" t="n">
        <v>0</v>
      </c>
      <c r="O7434" t="n">
        <v>0</v>
      </c>
      <c r="P7434" t="n">
        <v>0</v>
      </c>
      <c r="Q7434" t="n">
        <v>0</v>
      </c>
      <c r="R7434" s="2" t="inlineStr"/>
    </row>
    <row r="7435" ht="15" customHeight="1">
      <c r="A7435" t="inlineStr">
        <is>
          <t>A 34559-2022</t>
        </is>
      </c>
      <c r="B7435" s="1" t="n">
        <v>44794</v>
      </c>
      <c r="C7435" s="1" t="n">
        <v>45810</v>
      </c>
      <c r="D7435" t="inlineStr">
        <is>
          <t>VÄRMLANDS LÄN</t>
        </is>
      </c>
      <c r="E7435" t="inlineStr">
        <is>
          <t>FILIPSTAD</t>
        </is>
      </c>
      <c r="F7435" t="inlineStr">
        <is>
          <t>Bergvik skog väst AB</t>
        </is>
      </c>
      <c r="G7435" t="n">
        <v>7.2</v>
      </c>
      <c r="H7435" t="n">
        <v>0</v>
      </c>
      <c r="I7435" t="n">
        <v>0</v>
      </c>
      <c r="J7435" t="n">
        <v>0</v>
      </c>
      <c r="K7435" t="n">
        <v>0</v>
      </c>
      <c r="L7435" t="n">
        <v>0</v>
      </c>
      <c r="M7435" t="n">
        <v>0</v>
      </c>
      <c r="N7435" t="n">
        <v>0</v>
      </c>
      <c r="O7435" t="n">
        <v>0</v>
      </c>
      <c r="P7435" t="n">
        <v>0</v>
      </c>
      <c r="Q7435" t="n">
        <v>0</v>
      </c>
      <c r="R7435" s="2" t="inlineStr"/>
    </row>
    <row r="7436" ht="15" customHeight="1">
      <c r="A7436" t="inlineStr">
        <is>
          <t>A 34708-2022</t>
        </is>
      </c>
      <c r="B7436" s="1" t="n">
        <v>44795</v>
      </c>
      <c r="C7436" s="1" t="n">
        <v>45810</v>
      </c>
      <c r="D7436" t="inlineStr">
        <is>
          <t>VÄRMLANDS LÄN</t>
        </is>
      </c>
      <c r="E7436" t="inlineStr">
        <is>
          <t>SUNNE</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34568-2022</t>
        </is>
      </c>
      <c r="B7437" s="1" t="n">
        <v>44795</v>
      </c>
      <c r="C7437" s="1" t="n">
        <v>45810</v>
      </c>
      <c r="D7437" t="inlineStr">
        <is>
          <t>VÄRMLANDS LÄN</t>
        </is>
      </c>
      <c r="E7437" t="inlineStr">
        <is>
          <t>TORSBY</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34580-2022</t>
        </is>
      </c>
      <c r="B7438" s="1" t="n">
        <v>44795</v>
      </c>
      <c r="C7438" s="1" t="n">
        <v>45810</v>
      </c>
      <c r="D7438" t="inlineStr">
        <is>
          <t>VÄRMLANDS LÄN</t>
        </is>
      </c>
      <c r="E7438" t="inlineStr">
        <is>
          <t>GRUMS</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34662-2022</t>
        </is>
      </c>
      <c r="B7439" s="1" t="n">
        <v>44795</v>
      </c>
      <c r="C7439" s="1" t="n">
        <v>45810</v>
      </c>
      <c r="D7439" t="inlineStr">
        <is>
          <t>VÄRMLANDS LÄN</t>
        </is>
      </c>
      <c r="E7439" t="inlineStr">
        <is>
          <t>TORSBY</t>
        </is>
      </c>
      <c r="G7439" t="n">
        <v>3.6</v>
      </c>
      <c r="H7439" t="n">
        <v>0</v>
      </c>
      <c r="I7439" t="n">
        <v>0</v>
      </c>
      <c r="J7439" t="n">
        <v>0</v>
      </c>
      <c r="K7439" t="n">
        <v>0</v>
      </c>
      <c r="L7439" t="n">
        <v>0</v>
      </c>
      <c r="M7439" t="n">
        <v>0</v>
      </c>
      <c r="N7439" t="n">
        <v>0</v>
      </c>
      <c r="O7439" t="n">
        <v>0</v>
      </c>
      <c r="P7439" t="n">
        <v>0</v>
      </c>
      <c r="Q7439" t="n">
        <v>0</v>
      </c>
      <c r="R7439" s="2" t="inlineStr"/>
    </row>
    <row r="7440" ht="15" customHeight="1">
      <c r="A7440" t="inlineStr">
        <is>
          <t>A 34652-2022</t>
        </is>
      </c>
      <c r="B7440" s="1" t="n">
        <v>44795</v>
      </c>
      <c r="C7440" s="1" t="n">
        <v>45810</v>
      </c>
      <c r="D7440" t="inlineStr">
        <is>
          <t>VÄRMLANDS LÄN</t>
        </is>
      </c>
      <c r="E7440" t="inlineStr">
        <is>
          <t>GRUMS</t>
        </is>
      </c>
      <c r="G7440" t="n">
        <v>1.2</v>
      </c>
      <c r="H7440" t="n">
        <v>0</v>
      </c>
      <c r="I7440" t="n">
        <v>0</v>
      </c>
      <c r="J7440" t="n">
        <v>0</v>
      </c>
      <c r="K7440" t="n">
        <v>0</v>
      </c>
      <c r="L7440" t="n">
        <v>0</v>
      </c>
      <c r="M7440" t="n">
        <v>0</v>
      </c>
      <c r="N7440" t="n">
        <v>0</v>
      </c>
      <c r="O7440" t="n">
        <v>0</v>
      </c>
      <c r="P7440" t="n">
        <v>0</v>
      </c>
      <c r="Q7440" t="n">
        <v>0</v>
      </c>
      <c r="R7440" s="2" t="inlineStr"/>
    </row>
    <row r="7441" ht="15" customHeight="1">
      <c r="A7441" t="inlineStr">
        <is>
          <t>A 34667-2022</t>
        </is>
      </c>
      <c r="B7441" s="1" t="n">
        <v>44795</v>
      </c>
      <c r="C7441" s="1" t="n">
        <v>45810</v>
      </c>
      <c r="D7441" t="inlineStr">
        <is>
          <t>VÄRMLANDS LÄN</t>
        </is>
      </c>
      <c r="E7441" t="inlineStr">
        <is>
          <t>TORSBY</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34655-2022</t>
        </is>
      </c>
      <c r="B7442" s="1" t="n">
        <v>44795</v>
      </c>
      <c r="C7442" s="1" t="n">
        <v>45810</v>
      </c>
      <c r="D7442" t="inlineStr">
        <is>
          <t>VÄRMLANDS LÄN</t>
        </is>
      </c>
      <c r="E7442" t="inlineStr">
        <is>
          <t>TORSBY</t>
        </is>
      </c>
      <c r="G7442" t="n">
        <v>12.8</v>
      </c>
      <c r="H7442" t="n">
        <v>0</v>
      </c>
      <c r="I7442" t="n">
        <v>0</v>
      </c>
      <c r="J7442" t="n">
        <v>0</v>
      </c>
      <c r="K7442" t="n">
        <v>0</v>
      </c>
      <c r="L7442" t="n">
        <v>0</v>
      </c>
      <c r="M7442" t="n">
        <v>0</v>
      </c>
      <c r="N7442" t="n">
        <v>0</v>
      </c>
      <c r="O7442" t="n">
        <v>0</v>
      </c>
      <c r="P7442" t="n">
        <v>0</v>
      </c>
      <c r="Q7442" t="n">
        <v>0</v>
      </c>
      <c r="R7442" s="2" t="inlineStr"/>
    </row>
    <row r="7443" ht="15" customHeight="1">
      <c r="A7443" t="inlineStr">
        <is>
          <t>A 34707-2022</t>
        </is>
      </c>
      <c r="B7443" s="1" t="n">
        <v>44795</v>
      </c>
      <c r="C7443" s="1" t="n">
        <v>45810</v>
      </c>
      <c r="D7443" t="inlineStr">
        <is>
          <t>VÄRMLANDS LÄN</t>
        </is>
      </c>
      <c r="E7443" t="inlineStr">
        <is>
          <t>SUNNE</t>
        </is>
      </c>
      <c r="F7443" t="inlineStr">
        <is>
          <t>Bergvik skog väst AB</t>
        </is>
      </c>
      <c r="G7443" t="n">
        <v>10.4</v>
      </c>
      <c r="H7443" t="n">
        <v>0</v>
      </c>
      <c r="I7443" t="n">
        <v>0</v>
      </c>
      <c r="J7443" t="n">
        <v>0</v>
      </c>
      <c r="K7443" t="n">
        <v>0</v>
      </c>
      <c r="L7443" t="n">
        <v>0</v>
      </c>
      <c r="M7443" t="n">
        <v>0</v>
      </c>
      <c r="N7443" t="n">
        <v>0</v>
      </c>
      <c r="O7443" t="n">
        <v>0</v>
      </c>
      <c r="P7443" t="n">
        <v>0</v>
      </c>
      <c r="Q7443" t="n">
        <v>0</v>
      </c>
      <c r="R7443" s="2" t="inlineStr"/>
    </row>
    <row r="7444" ht="15" customHeight="1">
      <c r="A7444" t="inlineStr">
        <is>
          <t>A 34711-2022</t>
        </is>
      </c>
      <c r="B7444" s="1" t="n">
        <v>44795</v>
      </c>
      <c r="C7444" s="1" t="n">
        <v>45810</v>
      </c>
      <c r="D7444" t="inlineStr">
        <is>
          <t>VÄRMLANDS LÄN</t>
        </is>
      </c>
      <c r="E7444" t="inlineStr">
        <is>
          <t>SUNNE</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34723-2022</t>
        </is>
      </c>
      <c r="B7445" s="1" t="n">
        <v>44795</v>
      </c>
      <c r="C7445" s="1" t="n">
        <v>45810</v>
      </c>
      <c r="D7445" t="inlineStr">
        <is>
          <t>VÄRMLANDS LÄN</t>
        </is>
      </c>
      <c r="E7445" t="inlineStr">
        <is>
          <t>SUNNE</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34759-2022</t>
        </is>
      </c>
      <c r="B7446" s="1" t="n">
        <v>44795</v>
      </c>
      <c r="C7446" s="1" t="n">
        <v>45810</v>
      </c>
      <c r="D7446" t="inlineStr">
        <is>
          <t>VÄRMLANDS LÄN</t>
        </is>
      </c>
      <c r="E7446" t="inlineStr">
        <is>
          <t>SUNNE</t>
        </is>
      </c>
      <c r="F7446" t="inlineStr">
        <is>
          <t>Bergvik skog väst AB</t>
        </is>
      </c>
      <c r="G7446" t="n">
        <v>1.7</v>
      </c>
      <c r="H7446" t="n">
        <v>0</v>
      </c>
      <c r="I7446" t="n">
        <v>0</v>
      </c>
      <c r="J7446" t="n">
        <v>0</v>
      </c>
      <c r="K7446" t="n">
        <v>0</v>
      </c>
      <c r="L7446" t="n">
        <v>0</v>
      </c>
      <c r="M7446" t="n">
        <v>0</v>
      </c>
      <c r="N7446" t="n">
        <v>0</v>
      </c>
      <c r="O7446" t="n">
        <v>0</v>
      </c>
      <c r="P7446" t="n">
        <v>0</v>
      </c>
      <c r="Q7446" t="n">
        <v>0</v>
      </c>
      <c r="R7446" s="2" t="inlineStr"/>
    </row>
    <row r="7447" ht="15" customHeight="1">
      <c r="A7447" t="inlineStr">
        <is>
          <t>A 34861-2022</t>
        </is>
      </c>
      <c r="B7447" s="1" t="n">
        <v>44796</v>
      </c>
      <c r="C7447" s="1" t="n">
        <v>45810</v>
      </c>
      <c r="D7447" t="inlineStr">
        <is>
          <t>VÄRMLANDS LÄN</t>
        </is>
      </c>
      <c r="E7447" t="inlineStr">
        <is>
          <t>FORSHAGA</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34900-2022</t>
        </is>
      </c>
      <c r="B7448" s="1" t="n">
        <v>44796</v>
      </c>
      <c r="C7448" s="1" t="n">
        <v>45810</v>
      </c>
      <c r="D7448" t="inlineStr">
        <is>
          <t>VÄRMLANDS LÄN</t>
        </is>
      </c>
      <c r="E7448" t="inlineStr">
        <is>
          <t>SUNNE</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34857-2022</t>
        </is>
      </c>
      <c r="B7449" s="1" t="n">
        <v>44796</v>
      </c>
      <c r="C7449" s="1" t="n">
        <v>45810</v>
      </c>
      <c r="D7449" t="inlineStr">
        <is>
          <t>VÄRMLANDS LÄN</t>
        </is>
      </c>
      <c r="E7449" t="inlineStr">
        <is>
          <t>SUNNE</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34908-2022</t>
        </is>
      </c>
      <c r="B7450" s="1" t="n">
        <v>44796</v>
      </c>
      <c r="C7450" s="1" t="n">
        <v>45810</v>
      </c>
      <c r="D7450" t="inlineStr">
        <is>
          <t>VÄRMLANDS LÄN</t>
        </is>
      </c>
      <c r="E7450" t="inlineStr">
        <is>
          <t>TORSBY</t>
        </is>
      </c>
      <c r="F7450" t="inlineStr">
        <is>
          <t>Bergvik skog väst AB</t>
        </is>
      </c>
      <c r="G7450" t="n">
        <v>33.4</v>
      </c>
      <c r="H7450" t="n">
        <v>0</v>
      </c>
      <c r="I7450" t="n">
        <v>0</v>
      </c>
      <c r="J7450" t="n">
        <v>0</v>
      </c>
      <c r="K7450" t="n">
        <v>0</v>
      </c>
      <c r="L7450" t="n">
        <v>0</v>
      </c>
      <c r="M7450" t="n">
        <v>0</v>
      </c>
      <c r="N7450" t="n">
        <v>0</v>
      </c>
      <c r="O7450" t="n">
        <v>0</v>
      </c>
      <c r="P7450" t="n">
        <v>0</v>
      </c>
      <c r="Q7450" t="n">
        <v>0</v>
      </c>
      <c r="R7450" s="2" t="inlineStr"/>
    </row>
    <row r="7451" ht="15" customHeight="1">
      <c r="A7451" t="inlineStr">
        <is>
          <t>A 34838-2022</t>
        </is>
      </c>
      <c r="B7451" s="1" t="n">
        <v>44796</v>
      </c>
      <c r="C7451" s="1" t="n">
        <v>45810</v>
      </c>
      <c r="D7451" t="inlineStr">
        <is>
          <t>VÄRMLANDS LÄN</t>
        </is>
      </c>
      <c r="E7451" t="inlineStr">
        <is>
          <t>SUNNE</t>
        </is>
      </c>
      <c r="F7451" t="inlineStr">
        <is>
          <t>Övriga statliga verk och myndigheter</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34889-2022</t>
        </is>
      </c>
      <c r="B7452" s="1" t="n">
        <v>44796</v>
      </c>
      <c r="C7452" s="1" t="n">
        <v>45810</v>
      </c>
      <c r="D7452" t="inlineStr">
        <is>
          <t>VÄRMLANDS LÄN</t>
        </is>
      </c>
      <c r="E7452" t="inlineStr">
        <is>
          <t>ÅRJÄNG</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34845-2022</t>
        </is>
      </c>
      <c r="B7453" s="1" t="n">
        <v>44796</v>
      </c>
      <c r="C7453" s="1" t="n">
        <v>45810</v>
      </c>
      <c r="D7453" t="inlineStr">
        <is>
          <t>VÄRMLANDS LÄN</t>
        </is>
      </c>
      <c r="E7453" t="inlineStr">
        <is>
          <t>FORSHAGA</t>
        </is>
      </c>
      <c r="G7453" t="n">
        <v>2.4</v>
      </c>
      <c r="H7453" t="n">
        <v>0</v>
      </c>
      <c r="I7453" t="n">
        <v>0</v>
      </c>
      <c r="J7453" t="n">
        <v>0</v>
      </c>
      <c r="K7453" t="n">
        <v>0</v>
      </c>
      <c r="L7453" t="n">
        <v>0</v>
      </c>
      <c r="M7453" t="n">
        <v>0</v>
      </c>
      <c r="N7453" t="n">
        <v>0</v>
      </c>
      <c r="O7453" t="n">
        <v>0</v>
      </c>
      <c r="P7453" t="n">
        <v>0</v>
      </c>
      <c r="Q7453" t="n">
        <v>0</v>
      </c>
      <c r="R7453" s="2" t="inlineStr"/>
    </row>
    <row r="7454" ht="15" customHeight="1">
      <c r="A7454" t="inlineStr">
        <is>
          <t>A 34903-2022</t>
        </is>
      </c>
      <c r="B7454" s="1" t="n">
        <v>44796</v>
      </c>
      <c r="C7454" s="1" t="n">
        <v>45810</v>
      </c>
      <c r="D7454" t="inlineStr">
        <is>
          <t>VÄRMLANDS LÄN</t>
        </is>
      </c>
      <c r="E7454" t="inlineStr">
        <is>
          <t>SUNNE</t>
        </is>
      </c>
      <c r="G7454" t="n">
        <v>4.4</v>
      </c>
      <c r="H7454" t="n">
        <v>0</v>
      </c>
      <c r="I7454" t="n">
        <v>0</v>
      </c>
      <c r="J7454" t="n">
        <v>0</v>
      </c>
      <c r="K7454" t="n">
        <v>0</v>
      </c>
      <c r="L7454" t="n">
        <v>0</v>
      </c>
      <c r="M7454" t="n">
        <v>0</v>
      </c>
      <c r="N7454" t="n">
        <v>0</v>
      </c>
      <c r="O7454" t="n">
        <v>0</v>
      </c>
      <c r="P7454" t="n">
        <v>0</v>
      </c>
      <c r="Q7454" t="n">
        <v>0</v>
      </c>
      <c r="R7454" s="2" t="inlineStr"/>
    </row>
    <row r="7455" ht="15" customHeight="1">
      <c r="A7455" t="inlineStr">
        <is>
          <t>A 34909-2022</t>
        </is>
      </c>
      <c r="B7455" s="1" t="n">
        <v>44796</v>
      </c>
      <c r="C7455" s="1" t="n">
        <v>45810</v>
      </c>
      <c r="D7455" t="inlineStr">
        <is>
          <t>VÄRMLANDS LÄN</t>
        </is>
      </c>
      <c r="E7455" t="inlineStr">
        <is>
          <t>SUNNE</t>
        </is>
      </c>
      <c r="G7455" t="n">
        <v>2.3</v>
      </c>
      <c r="H7455" t="n">
        <v>0</v>
      </c>
      <c r="I7455" t="n">
        <v>0</v>
      </c>
      <c r="J7455" t="n">
        <v>0</v>
      </c>
      <c r="K7455" t="n">
        <v>0</v>
      </c>
      <c r="L7455" t="n">
        <v>0</v>
      </c>
      <c r="M7455" t="n">
        <v>0</v>
      </c>
      <c r="N7455" t="n">
        <v>0</v>
      </c>
      <c r="O7455" t="n">
        <v>0</v>
      </c>
      <c r="P7455" t="n">
        <v>0</v>
      </c>
      <c r="Q7455" t="n">
        <v>0</v>
      </c>
      <c r="R7455" s="2" t="inlineStr"/>
    </row>
    <row r="7456" ht="15" customHeight="1">
      <c r="A7456" t="inlineStr">
        <is>
          <t>A 35134-2022</t>
        </is>
      </c>
      <c r="B7456" s="1" t="n">
        <v>44797</v>
      </c>
      <c r="C7456" s="1" t="n">
        <v>45810</v>
      </c>
      <c r="D7456" t="inlineStr">
        <is>
          <t>VÄRMLANDS LÄN</t>
        </is>
      </c>
      <c r="E7456" t="inlineStr">
        <is>
          <t>TORSBY</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35092-2022</t>
        </is>
      </c>
      <c r="B7457" s="1" t="n">
        <v>44797</v>
      </c>
      <c r="C7457" s="1" t="n">
        <v>45810</v>
      </c>
      <c r="D7457" t="inlineStr">
        <is>
          <t>VÄRMLANDS LÄN</t>
        </is>
      </c>
      <c r="E7457" t="inlineStr">
        <is>
          <t>STORFORS</t>
        </is>
      </c>
      <c r="G7457" t="n">
        <v>2.2</v>
      </c>
      <c r="H7457" t="n">
        <v>0</v>
      </c>
      <c r="I7457" t="n">
        <v>0</v>
      </c>
      <c r="J7457" t="n">
        <v>0</v>
      </c>
      <c r="K7457" t="n">
        <v>0</v>
      </c>
      <c r="L7457" t="n">
        <v>0</v>
      </c>
      <c r="M7457" t="n">
        <v>0</v>
      </c>
      <c r="N7457" t="n">
        <v>0</v>
      </c>
      <c r="O7457" t="n">
        <v>0</v>
      </c>
      <c r="P7457" t="n">
        <v>0</v>
      </c>
      <c r="Q7457" t="n">
        <v>0</v>
      </c>
      <c r="R7457" s="2" t="inlineStr"/>
    </row>
    <row r="7458" ht="15" customHeight="1">
      <c r="A7458" t="inlineStr">
        <is>
          <t>A 35116-2022</t>
        </is>
      </c>
      <c r="B7458" s="1" t="n">
        <v>44797</v>
      </c>
      <c r="C7458" s="1" t="n">
        <v>45810</v>
      </c>
      <c r="D7458" t="inlineStr">
        <is>
          <t>VÄRMLANDS LÄN</t>
        </is>
      </c>
      <c r="E7458" t="inlineStr">
        <is>
          <t>ARVIKA</t>
        </is>
      </c>
      <c r="F7458" t="inlineStr">
        <is>
          <t>Bergvik skog väst AB</t>
        </is>
      </c>
      <c r="G7458" t="n">
        <v>0.9</v>
      </c>
      <c r="H7458" t="n">
        <v>0</v>
      </c>
      <c r="I7458" t="n">
        <v>0</v>
      </c>
      <c r="J7458" t="n">
        <v>0</v>
      </c>
      <c r="K7458" t="n">
        <v>0</v>
      </c>
      <c r="L7458" t="n">
        <v>0</v>
      </c>
      <c r="M7458" t="n">
        <v>0</v>
      </c>
      <c r="N7458" t="n">
        <v>0</v>
      </c>
      <c r="O7458" t="n">
        <v>0</v>
      </c>
      <c r="P7458" t="n">
        <v>0</v>
      </c>
      <c r="Q7458" t="n">
        <v>0</v>
      </c>
      <c r="R7458" s="2" t="inlineStr"/>
    </row>
    <row r="7459" ht="15" customHeight="1">
      <c r="A7459" t="inlineStr">
        <is>
          <t>A 35142-2022</t>
        </is>
      </c>
      <c r="B7459" s="1" t="n">
        <v>44797</v>
      </c>
      <c r="C7459" s="1" t="n">
        <v>45810</v>
      </c>
      <c r="D7459" t="inlineStr">
        <is>
          <t>VÄRMLANDS LÄN</t>
        </is>
      </c>
      <c r="E7459" t="inlineStr">
        <is>
          <t>SUNNE</t>
        </is>
      </c>
      <c r="F7459" t="inlineStr">
        <is>
          <t>Bergvik skog väst AB</t>
        </is>
      </c>
      <c r="G7459" t="n">
        <v>5.1</v>
      </c>
      <c r="H7459" t="n">
        <v>0</v>
      </c>
      <c r="I7459" t="n">
        <v>0</v>
      </c>
      <c r="J7459" t="n">
        <v>0</v>
      </c>
      <c r="K7459" t="n">
        <v>0</v>
      </c>
      <c r="L7459" t="n">
        <v>0</v>
      </c>
      <c r="M7459" t="n">
        <v>0</v>
      </c>
      <c r="N7459" t="n">
        <v>0</v>
      </c>
      <c r="O7459" t="n">
        <v>0</v>
      </c>
      <c r="P7459" t="n">
        <v>0</v>
      </c>
      <c r="Q7459" t="n">
        <v>0</v>
      </c>
      <c r="R7459" s="2" t="inlineStr"/>
    </row>
    <row r="7460" ht="15" customHeight="1">
      <c r="A7460" t="inlineStr">
        <is>
          <t>A 35084-2022</t>
        </is>
      </c>
      <c r="B7460" s="1" t="n">
        <v>44797</v>
      </c>
      <c r="C7460" s="1" t="n">
        <v>45810</v>
      </c>
      <c r="D7460" t="inlineStr">
        <is>
          <t>VÄRMLANDS LÄN</t>
        </is>
      </c>
      <c r="E7460" t="inlineStr">
        <is>
          <t>STORFORS</t>
        </is>
      </c>
      <c r="G7460" t="n">
        <v>0.3</v>
      </c>
      <c r="H7460" t="n">
        <v>0</v>
      </c>
      <c r="I7460" t="n">
        <v>0</v>
      </c>
      <c r="J7460" t="n">
        <v>0</v>
      </c>
      <c r="K7460" t="n">
        <v>0</v>
      </c>
      <c r="L7460" t="n">
        <v>0</v>
      </c>
      <c r="M7460" t="n">
        <v>0</v>
      </c>
      <c r="N7460" t="n">
        <v>0</v>
      </c>
      <c r="O7460" t="n">
        <v>0</v>
      </c>
      <c r="P7460" t="n">
        <v>0</v>
      </c>
      <c r="Q7460" t="n">
        <v>0</v>
      </c>
      <c r="R7460" s="2" t="inlineStr"/>
    </row>
    <row r="7461" ht="15" customHeight="1">
      <c r="A7461" t="inlineStr">
        <is>
          <t>A 35089-2022</t>
        </is>
      </c>
      <c r="B7461" s="1" t="n">
        <v>44797</v>
      </c>
      <c r="C7461" s="1" t="n">
        <v>45810</v>
      </c>
      <c r="D7461" t="inlineStr">
        <is>
          <t>VÄRMLANDS LÄN</t>
        </is>
      </c>
      <c r="E7461" t="inlineStr">
        <is>
          <t>STORFORS</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35112-2022</t>
        </is>
      </c>
      <c r="B7462" s="1" t="n">
        <v>44797</v>
      </c>
      <c r="C7462" s="1" t="n">
        <v>45810</v>
      </c>
      <c r="D7462" t="inlineStr">
        <is>
          <t>VÄRMLANDS LÄN</t>
        </is>
      </c>
      <c r="E7462" t="inlineStr">
        <is>
          <t>SUNNE</t>
        </is>
      </c>
      <c r="F7462" t="inlineStr">
        <is>
          <t>Bergvik skog väst AB</t>
        </is>
      </c>
      <c r="G7462" t="n">
        <v>9.1</v>
      </c>
      <c r="H7462" t="n">
        <v>0</v>
      </c>
      <c r="I7462" t="n">
        <v>0</v>
      </c>
      <c r="J7462" t="n">
        <v>0</v>
      </c>
      <c r="K7462" t="n">
        <v>0</v>
      </c>
      <c r="L7462" t="n">
        <v>0</v>
      </c>
      <c r="M7462" t="n">
        <v>0</v>
      </c>
      <c r="N7462" t="n">
        <v>0</v>
      </c>
      <c r="O7462" t="n">
        <v>0</v>
      </c>
      <c r="P7462" t="n">
        <v>0</v>
      </c>
      <c r="Q7462" t="n">
        <v>0</v>
      </c>
      <c r="R7462" s="2" t="inlineStr"/>
    </row>
    <row r="7463" ht="15" customHeight="1">
      <c r="A7463" t="inlineStr">
        <is>
          <t>A 35132-2022</t>
        </is>
      </c>
      <c r="B7463" s="1" t="n">
        <v>44797</v>
      </c>
      <c r="C7463" s="1" t="n">
        <v>45810</v>
      </c>
      <c r="D7463" t="inlineStr">
        <is>
          <t>VÄRMLANDS LÄN</t>
        </is>
      </c>
      <c r="E7463" t="inlineStr">
        <is>
          <t>TORSBY</t>
        </is>
      </c>
      <c r="G7463" t="n">
        <v>2.1</v>
      </c>
      <c r="H7463" t="n">
        <v>0</v>
      </c>
      <c r="I7463" t="n">
        <v>0</v>
      </c>
      <c r="J7463" t="n">
        <v>0</v>
      </c>
      <c r="K7463" t="n">
        <v>0</v>
      </c>
      <c r="L7463" t="n">
        <v>0</v>
      </c>
      <c r="M7463" t="n">
        <v>0</v>
      </c>
      <c r="N7463" t="n">
        <v>0</v>
      </c>
      <c r="O7463" t="n">
        <v>0</v>
      </c>
      <c r="P7463" t="n">
        <v>0</v>
      </c>
      <c r="Q7463" t="n">
        <v>0</v>
      </c>
      <c r="R7463" s="2" t="inlineStr"/>
    </row>
    <row r="7464" ht="15" customHeight="1">
      <c r="A7464" t="inlineStr">
        <is>
          <t>A 35174-2022</t>
        </is>
      </c>
      <c r="B7464" s="1" t="n">
        <v>44797</v>
      </c>
      <c r="C7464" s="1" t="n">
        <v>45810</v>
      </c>
      <c r="D7464" t="inlineStr">
        <is>
          <t>VÄRMLANDS LÄN</t>
        </is>
      </c>
      <c r="E7464" t="inlineStr">
        <is>
          <t>ARVIKA</t>
        </is>
      </c>
      <c r="F7464" t="inlineStr">
        <is>
          <t>Bergvik skog väst AB</t>
        </is>
      </c>
      <c r="G7464" t="n">
        <v>11.1</v>
      </c>
      <c r="H7464" t="n">
        <v>0</v>
      </c>
      <c r="I7464" t="n">
        <v>0</v>
      </c>
      <c r="J7464" t="n">
        <v>0</v>
      </c>
      <c r="K7464" t="n">
        <v>0</v>
      </c>
      <c r="L7464" t="n">
        <v>0</v>
      </c>
      <c r="M7464" t="n">
        <v>0</v>
      </c>
      <c r="N7464" t="n">
        <v>0</v>
      </c>
      <c r="O7464" t="n">
        <v>0</v>
      </c>
      <c r="P7464" t="n">
        <v>0</v>
      </c>
      <c r="Q7464" t="n">
        <v>0</v>
      </c>
      <c r="R7464" s="2" t="inlineStr"/>
    </row>
    <row r="7465" ht="15" customHeight="1">
      <c r="A7465" t="inlineStr">
        <is>
          <t>A 35197-2022</t>
        </is>
      </c>
      <c r="B7465" s="1" t="n">
        <v>44797</v>
      </c>
      <c r="C7465" s="1" t="n">
        <v>45810</v>
      </c>
      <c r="D7465" t="inlineStr">
        <is>
          <t>VÄRMLANDS LÄN</t>
        </is>
      </c>
      <c r="E7465" t="inlineStr">
        <is>
          <t>EDA</t>
        </is>
      </c>
      <c r="G7465" t="n">
        <v>1.9</v>
      </c>
      <c r="H7465" t="n">
        <v>0</v>
      </c>
      <c r="I7465" t="n">
        <v>0</v>
      </c>
      <c r="J7465" t="n">
        <v>0</v>
      </c>
      <c r="K7465" t="n">
        <v>0</v>
      </c>
      <c r="L7465" t="n">
        <v>0</v>
      </c>
      <c r="M7465" t="n">
        <v>0</v>
      </c>
      <c r="N7465" t="n">
        <v>0</v>
      </c>
      <c r="O7465" t="n">
        <v>0</v>
      </c>
      <c r="P7465" t="n">
        <v>0</v>
      </c>
      <c r="Q7465" t="n">
        <v>0</v>
      </c>
      <c r="R7465" s="2" t="inlineStr"/>
    </row>
    <row r="7466" ht="15" customHeight="1">
      <c r="A7466" t="inlineStr">
        <is>
          <t>A 35214-2022</t>
        </is>
      </c>
      <c r="B7466" s="1" t="n">
        <v>44797</v>
      </c>
      <c r="C7466" s="1" t="n">
        <v>45810</v>
      </c>
      <c r="D7466" t="inlineStr">
        <is>
          <t>VÄRMLANDS LÄN</t>
        </is>
      </c>
      <c r="E7466" t="inlineStr">
        <is>
          <t>ARVIKA</t>
        </is>
      </c>
      <c r="G7466" t="n">
        <v>1.9</v>
      </c>
      <c r="H7466" t="n">
        <v>0</v>
      </c>
      <c r="I7466" t="n">
        <v>0</v>
      </c>
      <c r="J7466" t="n">
        <v>0</v>
      </c>
      <c r="K7466" t="n">
        <v>0</v>
      </c>
      <c r="L7466" t="n">
        <v>0</v>
      </c>
      <c r="M7466" t="n">
        <v>0</v>
      </c>
      <c r="N7466" t="n">
        <v>0</v>
      </c>
      <c r="O7466" t="n">
        <v>0</v>
      </c>
      <c r="P7466" t="n">
        <v>0</v>
      </c>
      <c r="Q7466" t="n">
        <v>0</v>
      </c>
      <c r="R7466" s="2" t="inlineStr"/>
    </row>
    <row r="7467" ht="15" customHeight="1">
      <c r="A7467" t="inlineStr">
        <is>
          <t>A 35171-2022</t>
        </is>
      </c>
      <c r="B7467" s="1" t="n">
        <v>44797</v>
      </c>
      <c r="C7467" s="1" t="n">
        <v>45810</v>
      </c>
      <c r="D7467" t="inlineStr">
        <is>
          <t>VÄRMLANDS LÄN</t>
        </is>
      </c>
      <c r="E7467" t="inlineStr">
        <is>
          <t>ARVIKA</t>
        </is>
      </c>
      <c r="F7467" t="inlineStr">
        <is>
          <t>Bergvik skog väst AB</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35198-2022</t>
        </is>
      </c>
      <c r="B7468" s="1" t="n">
        <v>44797</v>
      </c>
      <c r="C7468" s="1" t="n">
        <v>45810</v>
      </c>
      <c r="D7468" t="inlineStr">
        <is>
          <t>VÄRMLANDS LÄN</t>
        </is>
      </c>
      <c r="E7468" t="inlineStr">
        <is>
          <t>EDA</t>
        </is>
      </c>
      <c r="G7468" t="n">
        <v>2.2</v>
      </c>
      <c r="H7468" t="n">
        <v>0</v>
      </c>
      <c r="I7468" t="n">
        <v>0</v>
      </c>
      <c r="J7468" t="n">
        <v>0</v>
      </c>
      <c r="K7468" t="n">
        <v>0</v>
      </c>
      <c r="L7468" t="n">
        <v>0</v>
      </c>
      <c r="M7468" t="n">
        <v>0</v>
      </c>
      <c r="N7468" t="n">
        <v>0</v>
      </c>
      <c r="O7468" t="n">
        <v>0</v>
      </c>
      <c r="P7468" t="n">
        <v>0</v>
      </c>
      <c r="Q7468" t="n">
        <v>0</v>
      </c>
      <c r="R7468" s="2" t="inlineStr"/>
    </row>
    <row r="7469" ht="15" customHeight="1">
      <c r="A7469" t="inlineStr">
        <is>
          <t>A 35253-2022</t>
        </is>
      </c>
      <c r="B7469" s="1" t="n">
        <v>44797</v>
      </c>
      <c r="C7469" s="1" t="n">
        <v>45810</v>
      </c>
      <c r="D7469" t="inlineStr">
        <is>
          <t>VÄRMLANDS LÄN</t>
        </is>
      </c>
      <c r="E7469" t="inlineStr">
        <is>
          <t>GRUMS</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35294-2022</t>
        </is>
      </c>
      <c r="B7470" s="1" t="n">
        <v>44798</v>
      </c>
      <c r="C7470" s="1" t="n">
        <v>45810</v>
      </c>
      <c r="D7470" t="inlineStr">
        <is>
          <t>VÄRMLANDS LÄN</t>
        </is>
      </c>
      <c r="E7470" t="inlineStr">
        <is>
          <t>SUNNE</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35315-2022</t>
        </is>
      </c>
      <c r="B7471" s="1" t="n">
        <v>44798</v>
      </c>
      <c r="C7471" s="1" t="n">
        <v>45810</v>
      </c>
      <c r="D7471" t="inlineStr">
        <is>
          <t>VÄRMLANDS LÄN</t>
        </is>
      </c>
      <c r="E7471" t="inlineStr">
        <is>
          <t>EDA</t>
        </is>
      </c>
      <c r="G7471" t="n">
        <v>2</v>
      </c>
      <c r="H7471" t="n">
        <v>0</v>
      </c>
      <c r="I7471" t="n">
        <v>0</v>
      </c>
      <c r="J7471" t="n">
        <v>0</v>
      </c>
      <c r="K7471" t="n">
        <v>0</v>
      </c>
      <c r="L7471" t="n">
        <v>0</v>
      </c>
      <c r="M7471" t="n">
        <v>0</v>
      </c>
      <c r="N7471" t="n">
        <v>0</v>
      </c>
      <c r="O7471" t="n">
        <v>0</v>
      </c>
      <c r="P7471" t="n">
        <v>0</v>
      </c>
      <c r="Q7471" t="n">
        <v>0</v>
      </c>
      <c r="R7471" s="2" t="inlineStr"/>
    </row>
    <row r="7472" ht="15" customHeight="1">
      <c r="A7472" t="inlineStr">
        <is>
          <t>A 35309-2022</t>
        </is>
      </c>
      <c r="B7472" s="1" t="n">
        <v>44798</v>
      </c>
      <c r="C7472" s="1" t="n">
        <v>45810</v>
      </c>
      <c r="D7472" t="inlineStr">
        <is>
          <t>VÄRMLANDS LÄN</t>
        </is>
      </c>
      <c r="E7472" t="inlineStr">
        <is>
          <t>SUNNE</t>
        </is>
      </c>
      <c r="G7472" t="n">
        <v>0.5</v>
      </c>
      <c r="H7472" t="n">
        <v>0</v>
      </c>
      <c r="I7472" t="n">
        <v>0</v>
      </c>
      <c r="J7472" t="n">
        <v>0</v>
      </c>
      <c r="K7472" t="n">
        <v>0</v>
      </c>
      <c r="L7472" t="n">
        <v>0</v>
      </c>
      <c r="M7472" t="n">
        <v>0</v>
      </c>
      <c r="N7472" t="n">
        <v>0</v>
      </c>
      <c r="O7472" t="n">
        <v>0</v>
      </c>
      <c r="P7472" t="n">
        <v>0</v>
      </c>
      <c r="Q7472" t="n">
        <v>0</v>
      </c>
      <c r="R7472" s="2" t="inlineStr"/>
    </row>
    <row r="7473" ht="15" customHeight="1">
      <c r="A7473" t="inlineStr">
        <is>
          <t>A 35316-2022</t>
        </is>
      </c>
      <c r="B7473" s="1" t="n">
        <v>44798</v>
      </c>
      <c r="C7473" s="1" t="n">
        <v>45810</v>
      </c>
      <c r="D7473" t="inlineStr">
        <is>
          <t>VÄRMLANDS LÄN</t>
        </is>
      </c>
      <c r="E7473" t="inlineStr">
        <is>
          <t>SUNNE</t>
        </is>
      </c>
      <c r="G7473" t="n">
        <v>1.4</v>
      </c>
      <c r="H7473" t="n">
        <v>0</v>
      </c>
      <c r="I7473" t="n">
        <v>0</v>
      </c>
      <c r="J7473" t="n">
        <v>0</v>
      </c>
      <c r="K7473" t="n">
        <v>0</v>
      </c>
      <c r="L7473" t="n">
        <v>0</v>
      </c>
      <c r="M7473" t="n">
        <v>0</v>
      </c>
      <c r="N7473" t="n">
        <v>0</v>
      </c>
      <c r="O7473" t="n">
        <v>0</v>
      </c>
      <c r="P7473" t="n">
        <v>0</v>
      </c>
      <c r="Q7473" t="n">
        <v>0</v>
      </c>
      <c r="R7473" s="2" t="inlineStr"/>
    </row>
    <row r="7474" ht="15" customHeight="1">
      <c r="A7474" t="inlineStr">
        <is>
          <t>A 35349-2022</t>
        </is>
      </c>
      <c r="B7474" s="1" t="n">
        <v>44798</v>
      </c>
      <c r="C7474" s="1" t="n">
        <v>45810</v>
      </c>
      <c r="D7474" t="inlineStr">
        <is>
          <t>VÄRMLANDS LÄN</t>
        </is>
      </c>
      <c r="E7474" t="inlineStr">
        <is>
          <t>SUNNE</t>
        </is>
      </c>
      <c r="G7474" t="n">
        <v>6</v>
      </c>
      <c r="H7474" t="n">
        <v>0</v>
      </c>
      <c r="I7474" t="n">
        <v>0</v>
      </c>
      <c r="J7474" t="n">
        <v>0</v>
      </c>
      <c r="K7474" t="n">
        <v>0</v>
      </c>
      <c r="L7474" t="n">
        <v>0</v>
      </c>
      <c r="M7474" t="n">
        <v>0</v>
      </c>
      <c r="N7474" t="n">
        <v>0</v>
      </c>
      <c r="O7474" t="n">
        <v>0</v>
      </c>
      <c r="P7474" t="n">
        <v>0</v>
      </c>
      <c r="Q7474" t="n">
        <v>0</v>
      </c>
      <c r="R7474" s="2" t="inlineStr"/>
    </row>
    <row r="7475" ht="15" customHeight="1">
      <c r="A7475" t="inlineStr">
        <is>
          <t>A 35298-2022</t>
        </is>
      </c>
      <c r="B7475" s="1" t="n">
        <v>44798</v>
      </c>
      <c r="C7475" s="1" t="n">
        <v>45810</v>
      </c>
      <c r="D7475" t="inlineStr">
        <is>
          <t>VÄRMLANDS LÄN</t>
        </is>
      </c>
      <c r="E7475" t="inlineStr">
        <is>
          <t>SUNNE</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35337-2022</t>
        </is>
      </c>
      <c r="B7476" s="1" t="n">
        <v>44798</v>
      </c>
      <c r="C7476" s="1" t="n">
        <v>45810</v>
      </c>
      <c r="D7476" t="inlineStr">
        <is>
          <t>VÄRMLANDS LÄN</t>
        </is>
      </c>
      <c r="E7476" t="inlineStr">
        <is>
          <t>SUNNE</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35296-2022</t>
        </is>
      </c>
      <c r="B7477" s="1" t="n">
        <v>44798</v>
      </c>
      <c r="C7477" s="1" t="n">
        <v>45810</v>
      </c>
      <c r="D7477" t="inlineStr">
        <is>
          <t>VÄRMLANDS LÄN</t>
        </is>
      </c>
      <c r="E7477" t="inlineStr">
        <is>
          <t>EDA</t>
        </is>
      </c>
      <c r="G7477" t="n">
        <v>1.9</v>
      </c>
      <c r="H7477" t="n">
        <v>0</v>
      </c>
      <c r="I7477" t="n">
        <v>0</v>
      </c>
      <c r="J7477" t="n">
        <v>0</v>
      </c>
      <c r="K7477" t="n">
        <v>0</v>
      </c>
      <c r="L7477" t="n">
        <v>0</v>
      </c>
      <c r="M7477" t="n">
        <v>0</v>
      </c>
      <c r="N7477" t="n">
        <v>0</v>
      </c>
      <c r="O7477" t="n">
        <v>0</v>
      </c>
      <c r="P7477" t="n">
        <v>0</v>
      </c>
      <c r="Q7477" t="n">
        <v>0</v>
      </c>
      <c r="R7477" s="2" t="inlineStr"/>
    </row>
    <row r="7478" ht="15" customHeight="1">
      <c r="A7478" t="inlineStr">
        <is>
          <t>A 35305-2022</t>
        </is>
      </c>
      <c r="B7478" s="1" t="n">
        <v>44798</v>
      </c>
      <c r="C7478" s="1" t="n">
        <v>45810</v>
      </c>
      <c r="D7478" t="inlineStr">
        <is>
          <t>VÄRMLANDS LÄN</t>
        </is>
      </c>
      <c r="E7478" t="inlineStr">
        <is>
          <t>SUNNE</t>
        </is>
      </c>
      <c r="G7478" t="n">
        <v>3.5</v>
      </c>
      <c r="H7478" t="n">
        <v>0</v>
      </c>
      <c r="I7478" t="n">
        <v>0</v>
      </c>
      <c r="J7478" t="n">
        <v>0</v>
      </c>
      <c r="K7478" t="n">
        <v>0</v>
      </c>
      <c r="L7478" t="n">
        <v>0</v>
      </c>
      <c r="M7478" t="n">
        <v>0</v>
      </c>
      <c r="N7478" t="n">
        <v>0</v>
      </c>
      <c r="O7478" t="n">
        <v>0</v>
      </c>
      <c r="P7478" t="n">
        <v>0</v>
      </c>
      <c r="Q7478" t="n">
        <v>0</v>
      </c>
      <c r="R7478" s="2" t="inlineStr"/>
    </row>
    <row r="7479" ht="15" customHeight="1">
      <c r="A7479" t="inlineStr">
        <is>
          <t>A 35312-2022</t>
        </is>
      </c>
      <c r="B7479" s="1" t="n">
        <v>44798</v>
      </c>
      <c r="C7479" s="1" t="n">
        <v>45810</v>
      </c>
      <c r="D7479" t="inlineStr">
        <is>
          <t>VÄRMLANDS LÄN</t>
        </is>
      </c>
      <c r="E7479" t="inlineStr">
        <is>
          <t>SUNNE</t>
        </is>
      </c>
      <c r="G7479" t="n">
        <v>3.6</v>
      </c>
      <c r="H7479" t="n">
        <v>0</v>
      </c>
      <c r="I7479" t="n">
        <v>0</v>
      </c>
      <c r="J7479" t="n">
        <v>0</v>
      </c>
      <c r="K7479" t="n">
        <v>0</v>
      </c>
      <c r="L7479" t="n">
        <v>0</v>
      </c>
      <c r="M7479" t="n">
        <v>0</v>
      </c>
      <c r="N7479" t="n">
        <v>0</v>
      </c>
      <c r="O7479" t="n">
        <v>0</v>
      </c>
      <c r="P7479" t="n">
        <v>0</v>
      </c>
      <c r="Q7479" t="n">
        <v>0</v>
      </c>
      <c r="R7479" s="2" t="inlineStr"/>
    </row>
    <row r="7480" ht="15" customHeight="1">
      <c r="A7480" t="inlineStr">
        <is>
          <t>A 35391-2022</t>
        </is>
      </c>
      <c r="B7480" s="1" t="n">
        <v>44798</v>
      </c>
      <c r="C7480" s="1" t="n">
        <v>45810</v>
      </c>
      <c r="D7480" t="inlineStr">
        <is>
          <t>VÄRMLANDS LÄN</t>
        </is>
      </c>
      <c r="E7480" t="inlineStr">
        <is>
          <t>GRUMS</t>
        </is>
      </c>
      <c r="F7480" t="inlineStr">
        <is>
          <t>Bergvik skog väst AB</t>
        </is>
      </c>
      <c r="G7480" t="n">
        <v>2.3</v>
      </c>
      <c r="H7480" t="n">
        <v>0</v>
      </c>
      <c r="I7480" t="n">
        <v>0</v>
      </c>
      <c r="J7480" t="n">
        <v>0</v>
      </c>
      <c r="K7480" t="n">
        <v>0</v>
      </c>
      <c r="L7480" t="n">
        <v>0</v>
      </c>
      <c r="M7480" t="n">
        <v>0</v>
      </c>
      <c r="N7480" t="n">
        <v>0</v>
      </c>
      <c r="O7480" t="n">
        <v>0</v>
      </c>
      <c r="P7480" t="n">
        <v>0</v>
      </c>
      <c r="Q7480" t="n">
        <v>0</v>
      </c>
      <c r="R7480" s="2" t="inlineStr"/>
    </row>
    <row r="7481" ht="15" customHeight="1">
      <c r="A7481" t="inlineStr">
        <is>
          <t>A 35540-2022</t>
        </is>
      </c>
      <c r="B7481" s="1" t="n">
        <v>44799</v>
      </c>
      <c r="C7481" s="1" t="n">
        <v>45810</v>
      </c>
      <c r="D7481" t="inlineStr">
        <is>
          <t>VÄRMLANDS LÄN</t>
        </is>
      </c>
      <c r="E7481" t="inlineStr">
        <is>
          <t>EDA</t>
        </is>
      </c>
      <c r="F7481" t="inlineStr">
        <is>
          <t>Kommuner</t>
        </is>
      </c>
      <c r="G7481" t="n">
        <v>2.1</v>
      </c>
      <c r="H7481" t="n">
        <v>0</v>
      </c>
      <c r="I7481" t="n">
        <v>0</v>
      </c>
      <c r="J7481" t="n">
        <v>0</v>
      </c>
      <c r="K7481" t="n">
        <v>0</v>
      </c>
      <c r="L7481" t="n">
        <v>0</v>
      </c>
      <c r="M7481" t="n">
        <v>0</v>
      </c>
      <c r="N7481" t="n">
        <v>0</v>
      </c>
      <c r="O7481" t="n">
        <v>0</v>
      </c>
      <c r="P7481" t="n">
        <v>0</v>
      </c>
      <c r="Q7481" t="n">
        <v>0</v>
      </c>
      <c r="R7481" s="2" t="inlineStr"/>
    </row>
    <row r="7482" ht="15" customHeight="1">
      <c r="A7482" t="inlineStr">
        <is>
          <t>A 35606-2022</t>
        </is>
      </c>
      <c r="B7482" s="1" t="n">
        <v>44799</v>
      </c>
      <c r="C7482" s="1" t="n">
        <v>45810</v>
      </c>
      <c r="D7482" t="inlineStr">
        <is>
          <t>VÄRMLANDS LÄN</t>
        </is>
      </c>
      <c r="E7482" t="inlineStr">
        <is>
          <t>TORSBY</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35549-2022</t>
        </is>
      </c>
      <c r="B7483" s="1" t="n">
        <v>44799</v>
      </c>
      <c r="C7483" s="1" t="n">
        <v>45810</v>
      </c>
      <c r="D7483" t="inlineStr">
        <is>
          <t>VÄRMLANDS LÄN</t>
        </is>
      </c>
      <c r="E7483" t="inlineStr">
        <is>
          <t>EDA</t>
        </is>
      </c>
      <c r="G7483" t="n">
        <v>6.5</v>
      </c>
      <c r="H7483" t="n">
        <v>0</v>
      </c>
      <c r="I7483" t="n">
        <v>0</v>
      </c>
      <c r="J7483" t="n">
        <v>0</v>
      </c>
      <c r="K7483" t="n">
        <v>0</v>
      </c>
      <c r="L7483" t="n">
        <v>0</v>
      </c>
      <c r="M7483" t="n">
        <v>0</v>
      </c>
      <c r="N7483" t="n">
        <v>0</v>
      </c>
      <c r="O7483" t="n">
        <v>0</v>
      </c>
      <c r="P7483" t="n">
        <v>0</v>
      </c>
      <c r="Q7483" t="n">
        <v>0</v>
      </c>
      <c r="R7483" s="2" t="inlineStr"/>
    </row>
    <row r="7484" ht="15" customHeight="1">
      <c r="A7484" t="inlineStr">
        <is>
          <t>A 35567-2022</t>
        </is>
      </c>
      <c r="B7484" s="1" t="n">
        <v>44799</v>
      </c>
      <c r="C7484" s="1" t="n">
        <v>45810</v>
      </c>
      <c r="D7484" t="inlineStr">
        <is>
          <t>VÄRMLANDS LÄN</t>
        </is>
      </c>
      <c r="E7484" t="inlineStr">
        <is>
          <t>KARLSTAD</t>
        </is>
      </c>
      <c r="G7484" t="n">
        <v>5</v>
      </c>
      <c r="H7484" t="n">
        <v>0</v>
      </c>
      <c r="I7484" t="n">
        <v>0</v>
      </c>
      <c r="J7484" t="n">
        <v>0</v>
      </c>
      <c r="K7484" t="n">
        <v>0</v>
      </c>
      <c r="L7484" t="n">
        <v>0</v>
      </c>
      <c r="M7484" t="n">
        <v>0</v>
      </c>
      <c r="N7484" t="n">
        <v>0</v>
      </c>
      <c r="O7484" t="n">
        <v>0</v>
      </c>
      <c r="P7484" t="n">
        <v>0</v>
      </c>
      <c r="Q7484" t="n">
        <v>0</v>
      </c>
      <c r="R7484" s="2" t="inlineStr"/>
    </row>
    <row r="7485" ht="15" customHeight="1">
      <c r="A7485" t="inlineStr">
        <is>
          <t>A 35577-2022</t>
        </is>
      </c>
      <c r="B7485" s="1" t="n">
        <v>44799</v>
      </c>
      <c r="C7485" s="1" t="n">
        <v>45810</v>
      </c>
      <c r="D7485" t="inlineStr">
        <is>
          <t>VÄRMLANDS LÄN</t>
        </is>
      </c>
      <c r="E7485" t="inlineStr">
        <is>
          <t>EDA</t>
        </is>
      </c>
      <c r="G7485" t="n">
        <v>6.4</v>
      </c>
      <c r="H7485" t="n">
        <v>0</v>
      </c>
      <c r="I7485" t="n">
        <v>0</v>
      </c>
      <c r="J7485" t="n">
        <v>0</v>
      </c>
      <c r="K7485" t="n">
        <v>0</v>
      </c>
      <c r="L7485" t="n">
        <v>0</v>
      </c>
      <c r="M7485" t="n">
        <v>0</v>
      </c>
      <c r="N7485" t="n">
        <v>0</v>
      </c>
      <c r="O7485" t="n">
        <v>0</v>
      </c>
      <c r="P7485" t="n">
        <v>0</v>
      </c>
      <c r="Q7485" t="n">
        <v>0</v>
      </c>
      <c r="R7485" s="2" t="inlineStr"/>
    </row>
    <row r="7486" ht="15" customHeight="1">
      <c r="A7486" t="inlineStr">
        <is>
          <t>A 35622-2022</t>
        </is>
      </c>
      <c r="B7486" s="1" t="n">
        <v>44799</v>
      </c>
      <c r="C7486" s="1" t="n">
        <v>45810</v>
      </c>
      <c r="D7486" t="inlineStr">
        <is>
          <t>VÄRMLANDS LÄN</t>
        </is>
      </c>
      <c r="E7486" t="inlineStr">
        <is>
          <t>HAGFORS</t>
        </is>
      </c>
      <c r="G7486" t="n">
        <v>2.5</v>
      </c>
      <c r="H7486" t="n">
        <v>0</v>
      </c>
      <c r="I7486" t="n">
        <v>0</v>
      </c>
      <c r="J7486" t="n">
        <v>0</v>
      </c>
      <c r="K7486" t="n">
        <v>0</v>
      </c>
      <c r="L7486" t="n">
        <v>0</v>
      </c>
      <c r="M7486" t="n">
        <v>0</v>
      </c>
      <c r="N7486" t="n">
        <v>0</v>
      </c>
      <c r="O7486" t="n">
        <v>0</v>
      </c>
      <c r="P7486" t="n">
        <v>0</v>
      </c>
      <c r="Q7486" t="n">
        <v>0</v>
      </c>
      <c r="R7486" s="2" t="inlineStr"/>
    </row>
    <row r="7487" ht="15" customHeight="1">
      <c r="A7487" t="inlineStr">
        <is>
          <t>A 35634-2022</t>
        </is>
      </c>
      <c r="B7487" s="1" t="n">
        <v>44799</v>
      </c>
      <c r="C7487" s="1" t="n">
        <v>45810</v>
      </c>
      <c r="D7487" t="inlineStr">
        <is>
          <t>VÄRMLANDS LÄN</t>
        </is>
      </c>
      <c r="E7487" t="inlineStr">
        <is>
          <t>EDA</t>
        </is>
      </c>
      <c r="G7487" t="n">
        <v>2</v>
      </c>
      <c r="H7487" t="n">
        <v>0</v>
      </c>
      <c r="I7487" t="n">
        <v>0</v>
      </c>
      <c r="J7487" t="n">
        <v>0</v>
      </c>
      <c r="K7487" t="n">
        <v>0</v>
      </c>
      <c r="L7487" t="n">
        <v>0</v>
      </c>
      <c r="M7487" t="n">
        <v>0</v>
      </c>
      <c r="N7487" t="n">
        <v>0</v>
      </c>
      <c r="O7487" t="n">
        <v>0</v>
      </c>
      <c r="P7487" t="n">
        <v>0</v>
      </c>
      <c r="Q7487" t="n">
        <v>0</v>
      </c>
      <c r="R7487" s="2" t="inlineStr"/>
    </row>
    <row r="7488" ht="15" customHeight="1">
      <c r="A7488" t="inlineStr">
        <is>
          <t>A 35595-2022</t>
        </is>
      </c>
      <c r="B7488" s="1" t="n">
        <v>44799</v>
      </c>
      <c r="C7488" s="1" t="n">
        <v>45810</v>
      </c>
      <c r="D7488" t="inlineStr">
        <is>
          <t>VÄRMLANDS LÄN</t>
        </is>
      </c>
      <c r="E7488" t="inlineStr">
        <is>
          <t>TORSBY</t>
        </is>
      </c>
      <c r="G7488" t="n">
        <v>4.6</v>
      </c>
      <c r="H7488" t="n">
        <v>0</v>
      </c>
      <c r="I7488" t="n">
        <v>0</v>
      </c>
      <c r="J7488" t="n">
        <v>0</v>
      </c>
      <c r="K7488" t="n">
        <v>0</v>
      </c>
      <c r="L7488" t="n">
        <v>0</v>
      </c>
      <c r="M7488" t="n">
        <v>0</v>
      </c>
      <c r="N7488" t="n">
        <v>0</v>
      </c>
      <c r="O7488" t="n">
        <v>0</v>
      </c>
      <c r="P7488" t="n">
        <v>0</v>
      </c>
      <c r="Q7488" t="n">
        <v>0</v>
      </c>
      <c r="R7488" s="2" t="inlineStr"/>
    </row>
    <row r="7489" ht="15" customHeight="1">
      <c r="A7489" t="inlineStr">
        <is>
          <t>A 35664-2022</t>
        </is>
      </c>
      <c r="B7489" s="1" t="n">
        <v>44799</v>
      </c>
      <c r="C7489" s="1" t="n">
        <v>45810</v>
      </c>
      <c r="D7489" t="inlineStr">
        <is>
          <t>VÄRMLANDS LÄN</t>
        </is>
      </c>
      <c r="E7489" t="inlineStr">
        <is>
          <t>HAGFORS</t>
        </is>
      </c>
      <c r="F7489" t="inlineStr">
        <is>
          <t>Bergvik skog väst AB</t>
        </is>
      </c>
      <c r="G7489" t="n">
        <v>6.6</v>
      </c>
      <c r="H7489" t="n">
        <v>0</v>
      </c>
      <c r="I7489" t="n">
        <v>0</v>
      </c>
      <c r="J7489" t="n">
        <v>0</v>
      </c>
      <c r="K7489" t="n">
        <v>0</v>
      </c>
      <c r="L7489" t="n">
        <v>0</v>
      </c>
      <c r="M7489" t="n">
        <v>0</v>
      </c>
      <c r="N7489" t="n">
        <v>0</v>
      </c>
      <c r="O7489" t="n">
        <v>0</v>
      </c>
      <c r="P7489" t="n">
        <v>0</v>
      </c>
      <c r="Q7489" t="n">
        <v>0</v>
      </c>
      <c r="R7489" s="2" t="inlineStr"/>
    </row>
    <row r="7490" ht="15" customHeight="1">
      <c r="A7490" t="inlineStr">
        <is>
          <t>A 35680-2022</t>
        </is>
      </c>
      <c r="B7490" s="1" t="n">
        <v>44799</v>
      </c>
      <c r="C7490" s="1" t="n">
        <v>45810</v>
      </c>
      <c r="D7490" t="inlineStr">
        <is>
          <t>VÄRMLANDS LÄN</t>
        </is>
      </c>
      <c r="E7490" t="inlineStr">
        <is>
          <t>KIL</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35712-2022</t>
        </is>
      </c>
      <c r="B7491" s="1" t="n">
        <v>44799</v>
      </c>
      <c r="C7491" s="1" t="n">
        <v>45810</v>
      </c>
      <c r="D7491" t="inlineStr">
        <is>
          <t>VÄRMLANDS LÄN</t>
        </is>
      </c>
      <c r="E7491" t="inlineStr">
        <is>
          <t>FILIPSTAD</t>
        </is>
      </c>
      <c r="F7491" t="inlineStr">
        <is>
          <t>Bergvik skog väst AB</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35724-2022</t>
        </is>
      </c>
      <c r="B7492" s="1" t="n">
        <v>44799</v>
      </c>
      <c r="C7492" s="1" t="n">
        <v>45810</v>
      </c>
      <c r="D7492" t="inlineStr">
        <is>
          <t>VÄRMLANDS LÄN</t>
        </is>
      </c>
      <c r="E7492" t="inlineStr">
        <is>
          <t>TORSBY</t>
        </is>
      </c>
      <c r="G7492" t="n">
        <v>3.9</v>
      </c>
      <c r="H7492" t="n">
        <v>0</v>
      </c>
      <c r="I7492" t="n">
        <v>0</v>
      </c>
      <c r="J7492" t="n">
        <v>0</v>
      </c>
      <c r="K7492" t="n">
        <v>0</v>
      </c>
      <c r="L7492" t="n">
        <v>0</v>
      </c>
      <c r="M7492" t="n">
        <v>0</v>
      </c>
      <c r="N7492" t="n">
        <v>0</v>
      </c>
      <c r="O7492" t="n">
        <v>0</v>
      </c>
      <c r="P7492" t="n">
        <v>0</v>
      </c>
      <c r="Q7492" t="n">
        <v>0</v>
      </c>
      <c r="R7492" s="2" t="inlineStr"/>
    </row>
    <row r="7493" ht="15" customHeight="1">
      <c r="A7493" t="inlineStr">
        <is>
          <t>A 35726-2022</t>
        </is>
      </c>
      <c r="B7493" s="1" t="n">
        <v>44799</v>
      </c>
      <c r="C7493" s="1" t="n">
        <v>45810</v>
      </c>
      <c r="D7493" t="inlineStr">
        <is>
          <t>VÄRMLANDS LÄN</t>
        </is>
      </c>
      <c r="E7493" t="inlineStr">
        <is>
          <t>ÅRJÄNG</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35667-2022</t>
        </is>
      </c>
      <c r="B7494" s="1" t="n">
        <v>44799</v>
      </c>
      <c r="C7494" s="1" t="n">
        <v>45810</v>
      </c>
      <c r="D7494" t="inlineStr">
        <is>
          <t>VÄRMLANDS LÄN</t>
        </is>
      </c>
      <c r="E7494" t="inlineStr">
        <is>
          <t>ARVIKA</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35711-2022</t>
        </is>
      </c>
      <c r="B7495" s="1" t="n">
        <v>44799</v>
      </c>
      <c r="C7495" s="1" t="n">
        <v>45810</v>
      </c>
      <c r="D7495" t="inlineStr">
        <is>
          <t>VÄRMLANDS LÄN</t>
        </is>
      </c>
      <c r="E7495" t="inlineStr">
        <is>
          <t>TORSBY</t>
        </is>
      </c>
      <c r="G7495" t="n">
        <v>2.5</v>
      </c>
      <c r="H7495" t="n">
        <v>0</v>
      </c>
      <c r="I7495" t="n">
        <v>0</v>
      </c>
      <c r="J7495" t="n">
        <v>0</v>
      </c>
      <c r="K7495" t="n">
        <v>0</v>
      </c>
      <c r="L7495" t="n">
        <v>0</v>
      </c>
      <c r="M7495" t="n">
        <v>0</v>
      </c>
      <c r="N7495" t="n">
        <v>0</v>
      </c>
      <c r="O7495" t="n">
        <v>0</v>
      </c>
      <c r="P7495" t="n">
        <v>0</v>
      </c>
      <c r="Q7495" t="n">
        <v>0</v>
      </c>
      <c r="R7495" s="2" t="inlineStr"/>
    </row>
    <row r="7496" ht="15" customHeight="1">
      <c r="A7496" t="inlineStr">
        <is>
          <t>A 35799-2022</t>
        </is>
      </c>
      <c r="B7496" s="1" t="n">
        <v>44802</v>
      </c>
      <c r="C7496" s="1" t="n">
        <v>45810</v>
      </c>
      <c r="D7496" t="inlineStr">
        <is>
          <t>VÄRMLANDS LÄN</t>
        </is>
      </c>
      <c r="E7496" t="inlineStr">
        <is>
          <t>FILIPSTAD</t>
        </is>
      </c>
      <c r="G7496" t="n">
        <v>2.4</v>
      </c>
      <c r="H7496" t="n">
        <v>0</v>
      </c>
      <c r="I7496" t="n">
        <v>0</v>
      </c>
      <c r="J7496" t="n">
        <v>0</v>
      </c>
      <c r="K7496" t="n">
        <v>0</v>
      </c>
      <c r="L7496" t="n">
        <v>0</v>
      </c>
      <c r="M7496" t="n">
        <v>0</v>
      </c>
      <c r="N7496" t="n">
        <v>0</v>
      </c>
      <c r="O7496" t="n">
        <v>0</v>
      </c>
      <c r="P7496" t="n">
        <v>0</v>
      </c>
      <c r="Q7496" t="n">
        <v>0</v>
      </c>
      <c r="R7496" s="2" t="inlineStr"/>
    </row>
    <row r="7497" ht="15" customHeight="1">
      <c r="A7497" t="inlineStr">
        <is>
          <t>A 35973-2022</t>
        </is>
      </c>
      <c r="B7497" s="1" t="n">
        <v>44802</v>
      </c>
      <c r="C7497" s="1" t="n">
        <v>45810</v>
      </c>
      <c r="D7497" t="inlineStr">
        <is>
          <t>VÄRMLANDS LÄN</t>
        </is>
      </c>
      <c r="E7497" t="inlineStr">
        <is>
          <t>SUNNE</t>
        </is>
      </c>
      <c r="G7497" t="n">
        <v>1.3</v>
      </c>
      <c r="H7497" t="n">
        <v>0</v>
      </c>
      <c r="I7497" t="n">
        <v>0</v>
      </c>
      <c r="J7497" t="n">
        <v>0</v>
      </c>
      <c r="K7497" t="n">
        <v>0</v>
      </c>
      <c r="L7497" t="n">
        <v>0</v>
      </c>
      <c r="M7497" t="n">
        <v>0</v>
      </c>
      <c r="N7497" t="n">
        <v>0</v>
      </c>
      <c r="O7497" t="n">
        <v>0</v>
      </c>
      <c r="P7497" t="n">
        <v>0</v>
      </c>
      <c r="Q7497" t="n">
        <v>0</v>
      </c>
      <c r="R7497" s="2" t="inlineStr"/>
    </row>
    <row r="7498" ht="15" customHeight="1">
      <c r="A7498" t="inlineStr">
        <is>
          <t>A 36028-2022</t>
        </is>
      </c>
      <c r="B7498" s="1" t="n">
        <v>44802</v>
      </c>
      <c r="C7498" s="1" t="n">
        <v>45810</v>
      </c>
      <c r="D7498" t="inlineStr">
        <is>
          <t>VÄRMLANDS LÄN</t>
        </is>
      </c>
      <c r="E7498" t="inlineStr">
        <is>
          <t>SUNNE</t>
        </is>
      </c>
      <c r="G7498" t="n">
        <v>1.3</v>
      </c>
      <c r="H7498" t="n">
        <v>0</v>
      </c>
      <c r="I7498" t="n">
        <v>0</v>
      </c>
      <c r="J7498" t="n">
        <v>0</v>
      </c>
      <c r="K7498" t="n">
        <v>0</v>
      </c>
      <c r="L7498" t="n">
        <v>0</v>
      </c>
      <c r="M7498" t="n">
        <v>0</v>
      </c>
      <c r="N7498" t="n">
        <v>0</v>
      </c>
      <c r="O7498" t="n">
        <v>0</v>
      </c>
      <c r="P7498" t="n">
        <v>0</v>
      </c>
      <c r="Q7498" t="n">
        <v>0</v>
      </c>
      <c r="R7498" s="2" t="inlineStr"/>
    </row>
    <row r="7499" ht="15" customHeight="1">
      <c r="A7499" t="inlineStr">
        <is>
          <t>A 35822-2022</t>
        </is>
      </c>
      <c r="B7499" s="1" t="n">
        <v>44802</v>
      </c>
      <c r="C7499" s="1" t="n">
        <v>45810</v>
      </c>
      <c r="D7499" t="inlineStr">
        <is>
          <t>VÄRMLANDS LÄN</t>
        </is>
      </c>
      <c r="E7499" t="inlineStr">
        <is>
          <t>SÄFFLE</t>
        </is>
      </c>
      <c r="G7499" t="n">
        <v>3.7</v>
      </c>
      <c r="H7499" t="n">
        <v>0</v>
      </c>
      <c r="I7499" t="n">
        <v>0</v>
      </c>
      <c r="J7499" t="n">
        <v>0</v>
      </c>
      <c r="K7499" t="n">
        <v>0</v>
      </c>
      <c r="L7499" t="n">
        <v>0</v>
      </c>
      <c r="M7499" t="n">
        <v>0</v>
      </c>
      <c r="N7499" t="n">
        <v>0</v>
      </c>
      <c r="O7499" t="n">
        <v>0</v>
      </c>
      <c r="P7499" t="n">
        <v>0</v>
      </c>
      <c r="Q7499" t="n">
        <v>0</v>
      </c>
      <c r="R7499" s="2" t="inlineStr"/>
    </row>
    <row r="7500" ht="15" customHeight="1">
      <c r="A7500" t="inlineStr">
        <is>
          <t>A 35927-2022</t>
        </is>
      </c>
      <c r="B7500" s="1" t="n">
        <v>44802</v>
      </c>
      <c r="C7500" s="1" t="n">
        <v>45810</v>
      </c>
      <c r="D7500" t="inlineStr">
        <is>
          <t>VÄRMLANDS LÄN</t>
        </is>
      </c>
      <c r="E7500" t="inlineStr">
        <is>
          <t>KIL</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35851-2022</t>
        </is>
      </c>
      <c r="B7501" s="1" t="n">
        <v>44802</v>
      </c>
      <c r="C7501" s="1" t="n">
        <v>45810</v>
      </c>
      <c r="D7501" t="inlineStr">
        <is>
          <t>VÄRMLANDS LÄN</t>
        </is>
      </c>
      <c r="E7501" t="inlineStr">
        <is>
          <t>TORSBY</t>
        </is>
      </c>
      <c r="G7501" t="n">
        <v>2.3</v>
      </c>
      <c r="H7501" t="n">
        <v>0</v>
      </c>
      <c r="I7501" t="n">
        <v>0</v>
      </c>
      <c r="J7501" t="n">
        <v>0</v>
      </c>
      <c r="K7501" t="n">
        <v>0</v>
      </c>
      <c r="L7501" t="n">
        <v>0</v>
      </c>
      <c r="M7501" t="n">
        <v>0</v>
      </c>
      <c r="N7501" t="n">
        <v>0</v>
      </c>
      <c r="O7501" t="n">
        <v>0</v>
      </c>
      <c r="P7501" t="n">
        <v>0</v>
      </c>
      <c r="Q7501" t="n">
        <v>0</v>
      </c>
      <c r="R7501" s="2" t="inlineStr"/>
    </row>
    <row r="7502" ht="15" customHeight="1">
      <c r="A7502" t="inlineStr">
        <is>
          <t>A 36026-2022</t>
        </is>
      </c>
      <c r="B7502" s="1" t="n">
        <v>44802</v>
      </c>
      <c r="C7502" s="1" t="n">
        <v>45810</v>
      </c>
      <c r="D7502" t="inlineStr">
        <is>
          <t>VÄRMLANDS LÄN</t>
        </is>
      </c>
      <c r="E7502" t="inlineStr">
        <is>
          <t>ARVIKA</t>
        </is>
      </c>
      <c r="F7502" t="inlineStr">
        <is>
          <t>Bergvik skog väst AB</t>
        </is>
      </c>
      <c r="G7502" t="n">
        <v>3.1</v>
      </c>
      <c r="H7502" t="n">
        <v>0</v>
      </c>
      <c r="I7502" t="n">
        <v>0</v>
      </c>
      <c r="J7502" t="n">
        <v>0</v>
      </c>
      <c r="K7502" t="n">
        <v>0</v>
      </c>
      <c r="L7502" t="n">
        <v>0</v>
      </c>
      <c r="M7502" t="n">
        <v>0</v>
      </c>
      <c r="N7502" t="n">
        <v>0</v>
      </c>
      <c r="O7502" t="n">
        <v>0</v>
      </c>
      <c r="P7502" t="n">
        <v>0</v>
      </c>
      <c r="Q7502" t="n">
        <v>0</v>
      </c>
      <c r="R7502" s="2" t="inlineStr"/>
    </row>
    <row r="7503" ht="15" customHeight="1">
      <c r="A7503" t="inlineStr">
        <is>
          <t>A 36032-2022</t>
        </is>
      </c>
      <c r="B7503" s="1" t="n">
        <v>44802</v>
      </c>
      <c r="C7503" s="1" t="n">
        <v>45810</v>
      </c>
      <c r="D7503" t="inlineStr">
        <is>
          <t>VÄRMLANDS LÄN</t>
        </is>
      </c>
      <c r="E7503" t="inlineStr">
        <is>
          <t>SUNNE</t>
        </is>
      </c>
      <c r="G7503" t="n">
        <v>2.3</v>
      </c>
      <c r="H7503" t="n">
        <v>0</v>
      </c>
      <c r="I7503" t="n">
        <v>0</v>
      </c>
      <c r="J7503" t="n">
        <v>0</v>
      </c>
      <c r="K7503" t="n">
        <v>0</v>
      </c>
      <c r="L7503" t="n">
        <v>0</v>
      </c>
      <c r="M7503" t="n">
        <v>0</v>
      </c>
      <c r="N7503" t="n">
        <v>0</v>
      </c>
      <c r="O7503" t="n">
        <v>0</v>
      </c>
      <c r="P7503" t="n">
        <v>0</v>
      </c>
      <c r="Q7503" t="n">
        <v>0</v>
      </c>
      <c r="R7503" s="2" t="inlineStr"/>
    </row>
    <row r="7504" ht="15" customHeight="1">
      <c r="A7504" t="inlineStr">
        <is>
          <t>A 35908-2022</t>
        </is>
      </c>
      <c r="B7504" s="1" t="n">
        <v>44802</v>
      </c>
      <c r="C7504" s="1" t="n">
        <v>45810</v>
      </c>
      <c r="D7504" t="inlineStr">
        <is>
          <t>VÄRMLANDS LÄN</t>
        </is>
      </c>
      <c r="E7504" t="inlineStr">
        <is>
          <t>HAGFORS</t>
        </is>
      </c>
      <c r="G7504" t="n">
        <v>2</v>
      </c>
      <c r="H7504" t="n">
        <v>0</v>
      </c>
      <c r="I7504" t="n">
        <v>0</v>
      </c>
      <c r="J7504" t="n">
        <v>0</v>
      </c>
      <c r="K7504" t="n">
        <v>0</v>
      </c>
      <c r="L7504" t="n">
        <v>0</v>
      </c>
      <c r="M7504" t="n">
        <v>0</v>
      </c>
      <c r="N7504" t="n">
        <v>0</v>
      </c>
      <c r="O7504" t="n">
        <v>0</v>
      </c>
      <c r="P7504" t="n">
        <v>0</v>
      </c>
      <c r="Q7504" t="n">
        <v>0</v>
      </c>
      <c r="R7504" s="2" t="inlineStr"/>
    </row>
    <row r="7505" ht="15" customHeight="1">
      <c r="A7505" t="inlineStr">
        <is>
          <t>A 35961-2022</t>
        </is>
      </c>
      <c r="B7505" s="1" t="n">
        <v>44802</v>
      </c>
      <c r="C7505" s="1" t="n">
        <v>45810</v>
      </c>
      <c r="D7505" t="inlineStr">
        <is>
          <t>VÄRMLANDS LÄN</t>
        </is>
      </c>
      <c r="E7505" t="inlineStr">
        <is>
          <t>ARVIKA</t>
        </is>
      </c>
      <c r="F7505" t="inlineStr">
        <is>
          <t>Bergvik skog väst AB</t>
        </is>
      </c>
      <c r="G7505" t="n">
        <v>2.6</v>
      </c>
      <c r="H7505" t="n">
        <v>0</v>
      </c>
      <c r="I7505" t="n">
        <v>0</v>
      </c>
      <c r="J7505" t="n">
        <v>0</v>
      </c>
      <c r="K7505" t="n">
        <v>0</v>
      </c>
      <c r="L7505" t="n">
        <v>0</v>
      </c>
      <c r="M7505" t="n">
        <v>0</v>
      </c>
      <c r="N7505" t="n">
        <v>0</v>
      </c>
      <c r="O7505" t="n">
        <v>0</v>
      </c>
      <c r="P7505" t="n">
        <v>0</v>
      </c>
      <c r="Q7505" t="n">
        <v>0</v>
      </c>
      <c r="R7505" s="2" t="inlineStr"/>
    </row>
    <row r="7506" ht="15" customHeight="1">
      <c r="A7506" t="inlineStr">
        <is>
          <t>A 35969-2022</t>
        </is>
      </c>
      <c r="B7506" s="1" t="n">
        <v>44802</v>
      </c>
      <c r="C7506" s="1" t="n">
        <v>45810</v>
      </c>
      <c r="D7506" t="inlineStr">
        <is>
          <t>VÄRMLANDS LÄN</t>
        </is>
      </c>
      <c r="E7506" t="inlineStr">
        <is>
          <t>ARVIKA</t>
        </is>
      </c>
      <c r="G7506" t="n">
        <v>2.2</v>
      </c>
      <c r="H7506" t="n">
        <v>0</v>
      </c>
      <c r="I7506" t="n">
        <v>0</v>
      </c>
      <c r="J7506" t="n">
        <v>0</v>
      </c>
      <c r="K7506" t="n">
        <v>0</v>
      </c>
      <c r="L7506" t="n">
        <v>0</v>
      </c>
      <c r="M7506" t="n">
        <v>0</v>
      </c>
      <c r="N7506" t="n">
        <v>0</v>
      </c>
      <c r="O7506" t="n">
        <v>0</v>
      </c>
      <c r="P7506" t="n">
        <v>0</v>
      </c>
      <c r="Q7506" t="n">
        <v>0</v>
      </c>
      <c r="R7506" s="2" t="inlineStr"/>
    </row>
    <row r="7507" ht="15" customHeight="1">
      <c r="A7507" t="inlineStr">
        <is>
          <t>A 36044-2022</t>
        </is>
      </c>
      <c r="B7507" s="1" t="n">
        <v>44802</v>
      </c>
      <c r="C7507" s="1" t="n">
        <v>45810</v>
      </c>
      <c r="D7507" t="inlineStr">
        <is>
          <t>VÄRMLANDS LÄN</t>
        </is>
      </c>
      <c r="E7507" t="inlineStr">
        <is>
          <t>ARVIKA</t>
        </is>
      </c>
      <c r="F7507" t="inlineStr">
        <is>
          <t>Bergvik skog väst AB</t>
        </is>
      </c>
      <c r="G7507" t="n">
        <v>2.6</v>
      </c>
      <c r="H7507" t="n">
        <v>0</v>
      </c>
      <c r="I7507" t="n">
        <v>0</v>
      </c>
      <c r="J7507" t="n">
        <v>0</v>
      </c>
      <c r="K7507" t="n">
        <v>0</v>
      </c>
      <c r="L7507" t="n">
        <v>0</v>
      </c>
      <c r="M7507" t="n">
        <v>0</v>
      </c>
      <c r="N7507" t="n">
        <v>0</v>
      </c>
      <c r="O7507" t="n">
        <v>0</v>
      </c>
      <c r="P7507" t="n">
        <v>0</v>
      </c>
      <c r="Q7507" t="n">
        <v>0</v>
      </c>
      <c r="R7507" s="2" t="inlineStr"/>
    </row>
    <row r="7508" ht="15" customHeight="1">
      <c r="A7508" t="inlineStr">
        <is>
          <t>A 36016-2022</t>
        </is>
      </c>
      <c r="B7508" s="1" t="n">
        <v>44802</v>
      </c>
      <c r="C7508" s="1" t="n">
        <v>45810</v>
      </c>
      <c r="D7508" t="inlineStr">
        <is>
          <t>VÄRMLANDS LÄN</t>
        </is>
      </c>
      <c r="E7508" t="inlineStr">
        <is>
          <t>ÅRJÄNG</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36025-2022</t>
        </is>
      </c>
      <c r="B7509" s="1" t="n">
        <v>44802</v>
      </c>
      <c r="C7509" s="1" t="n">
        <v>45810</v>
      </c>
      <c r="D7509" t="inlineStr">
        <is>
          <t>VÄRMLANDS LÄN</t>
        </is>
      </c>
      <c r="E7509" t="inlineStr">
        <is>
          <t>SUNNE</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36125-2022</t>
        </is>
      </c>
      <c r="B7510" s="1" t="n">
        <v>44803</v>
      </c>
      <c r="C7510" s="1" t="n">
        <v>45810</v>
      </c>
      <c r="D7510" t="inlineStr">
        <is>
          <t>VÄRMLANDS LÄN</t>
        </is>
      </c>
      <c r="E7510" t="inlineStr">
        <is>
          <t>ARVIKA</t>
        </is>
      </c>
      <c r="G7510" t="n">
        <v>2.7</v>
      </c>
      <c r="H7510" t="n">
        <v>0</v>
      </c>
      <c r="I7510" t="n">
        <v>0</v>
      </c>
      <c r="J7510" t="n">
        <v>0</v>
      </c>
      <c r="K7510" t="n">
        <v>0</v>
      </c>
      <c r="L7510" t="n">
        <v>0</v>
      </c>
      <c r="M7510" t="n">
        <v>0</v>
      </c>
      <c r="N7510" t="n">
        <v>0</v>
      </c>
      <c r="O7510" t="n">
        <v>0</v>
      </c>
      <c r="P7510" t="n">
        <v>0</v>
      </c>
      <c r="Q7510" t="n">
        <v>0</v>
      </c>
      <c r="R7510" s="2" t="inlineStr"/>
    </row>
    <row r="7511" ht="15" customHeight="1">
      <c r="A7511" t="inlineStr">
        <is>
          <t>A 36290-2022</t>
        </is>
      </c>
      <c r="B7511" s="1" t="n">
        <v>44803</v>
      </c>
      <c r="C7511" s="1" t="n">
        <v>45810</v>
      </c>
      <c r="D7511" t="inlineStr">
        <is>
          <t>VÄRMLANDS LÄN</t>
        </is>
      </c>
      <c r="E7511" t="inlineStr">
        <is>
          <t>TORSBY</t>
        </is>
      </c>
      <c r="G7511" t="n">
        <v>4.7</v>
      </c>
      <c r="H7511" t="n">
        <v>0</v>
      </c>
      <c r="I7511" t="n">
        <v>0</v>
      </c>
      <c r="J7511" t="n">
        <v>0</v>
      </c>
      <c r="K7511" t="n">
        <v>0</v>
      </c>
      <c r="L7511" t="n">
        <v>0</v>
      </c>
      <c r="M7511" t="n">
        <v>0</v>
      </c>
      <c r="N7511" t="n">
        <v>0</v>
      </c>
      <c r="O7511" t="n">
        <v>0</v>
      </c>
      <c r="P7511" t="n">
        <v>0</v>
      </c>
      <c r="Q7511" t="n">
        <v>0</v>
      </c>
      <c r="R7511" s="2" t="inlineStr"/>
    </row>
    <row r="7512" ht="15" customHeight="1">
      <c r="A7512" t="inlineStr">
        <is>
          <t>A 36251-2022</t>
        </is>
      </c>
      <c r="B7512" s="1" t="n">
        <v>44803</v>
      </c>
      <c r="C7512" s="1" t="n">
        <v>45810</v>
      </c>
      <c r="D7512" t="inlineStr">
        <is>
          <t>VÄRMLANDS LÄN</t>
        </is>
      </c>
      <c r="E7512" t="inlineStr">
        <is>
          <t>FILIPSTAD</t>
        </is>
      </c>
      <c r="F7512" t="inlineStr">
        <is>
          <t>Bergvik skog väst AB</t>
        </is>
      </c>
      <c r="G7512" t="n">
        <v>4</v>
      </c>
      <c r="H7512" t="n">
        <v>0</v>
      </c>
      <c r="I7512" t="n">
        <v>0</v>
      </c>
      <c r="J7512" t="n">
        <v>0</v>
      </c>
      <c r="K7512" t="n">
        <v>0</v>
      </c>
      <c r="L7512" t="n">
        <v>0</v>
      </c>
      <c r="M7512" t="n">
        <v>0</v>
      </c>
      <c r="N7512" t="n">
        <v>0</v>
      </c>
      <c r="O7512" t="n">
        <v>0</v>
      </c>
      <c r="P7512" t="n">
        <v>0</v>
      </c>
      <c r="Q7512" t="n">
        <v>0</v>
      </c>
      <c r="R7512" s="2" t="inlineStr"/>
    </row>
    <row r="7513" ht="15" customHeight="1">
      <c r="A7513" t="inlineStr">
        <is>
          <t>A 36296-2022</t>
        </is>
      </c>
      <c r="B7513" s="1" t="n">
        <v>44803</v>
      </c>
      <c r="C7513" s="1" t="n">
        <v>45810</v>
      </c>
      <c r="D7513" t="inlineStr">
        <is>
          <t>VÄRMLANDS LÄN</t>
        </is>
      </c>
      <c r="E7513" t="inlineStr">
        <is>
          <t>KIL</t>
        </is>
      </c>
      <c r="G7513" t="n">
        <v>2.8</v>
      </c>
      <c r="H7513" t="n">
        <v>0</v>
      </c>
      <c r="I7513" t="n">
        <v>0</v>
      </c>
      <c r="J7513" t="n">
        <v>0</v>
      </c>
      <c r="K7513" t="n">
        <v>0</v>
      </c>
      <c r="L7513" t="n">
        <v>0</v>
      </c>
      <c r="M7513" t="n">
        <v>0</v>
      </c>
      <c r="N7513" t="n">
        <v>0</v>
      </c>
      <c r="O7513" t="n">
        <v>0</v>
      </c>
      <c r="P7513" t="n">
        <v>0</v>
      </c>
      <c r="Q7513" t="n">
        <v>0</v>
      </c>
      <c r="R7513" s="2" t="inlineStr"/>
    </row>
    <row r="7514" ht="15" customHeight="1">
      <c r="A7514" t="inlineStr">
        <is>
          <t>A 36302-2022</t>
        </is>
      </c>
      <c r="B7514" s="1" t="n">
        <v>44803</v>
      </c>
      <c r="C7514" s="1" t="n">
        <v>45810</v>
      </c>
      <c r="D7514" t="inlineStr">
        <is>
          <t>VÄRMLANDS LÄN</t>
        </is>
      </c>
      <c r="E7514" t="inlineStr">
        <is>
          <t>KIL</t>
        </is>
      </c>
      <c r="G7514" t="n">
        <v>0.5</v>
      </c>
      <c r="H7514" t="n">
        <v>0</v>
      </c>
      <c r="I7514" t="n">
        <v>0</v>
      </c>
      <c r="J7514" t="n">
        <v>0</v>
      </c>
      <c r="K7514" t="n">
        <v>0</v>
      </c>
      <c r="L7514" t="n">
        <v>0</v>
      </c>
      <c r="M7514" t="n">
        <v>0</v>
      </c>
      <c r="N7514" t="n">
        <v>0</v>
      </c>
      <c r="O7514" t="n">
        <v>0</v>
      </c>
      <c r="P7514" t="n">
        <v>0</v>
      </c>
      <c r="Q7514" t="n">
        <v>0</v>
      </c>
      <c r="R7514" s="2" t="inlineStr"/>
    </row>
    <row r="7515" ht="15" customHeight="1">
      <c r="A7515" t="inlineStr">
        <is>
          <t>A 36312-2022</t>
        </is>
      </c>
      <c r="B7515" s="1" t="n">
        <v>44803</v>
      </c>
      <c r="C7515" s="1" t="n">
        <v>45810</v>
      </c>
      <c r="D7515" t="inlineStr">
        <is>
          <t>VÄRMLANDS LÄN</t>
        </is>
      </c>
      <c r="E7515" t="inlineStr">
        <is>
          <t>KIL</t>
        </is>
      </c>
      <c r="G7515" t="n">
        <v>5.8</v>
      </c>
      <c r="H7515" t="n">
        <v>0</v>
      </c>
      <c r="I7515" t="n">
        <v>0</v>
      </c>
      <c r="J7515" t="n">
        <v>0</v>
      </c>
      <c r="K7515" t="n">
        <v>0</v>
      </c>
      <c r="L7515" t="n">
        <v>0</v>
      </c>
      <c r="M7515" t="n">
        <v>0</v>
      </c>
      <c r="N7515" t="n">
        <v>0</v>
      </c>
      <c r="O7515" t="n">
        <v>0</v>
      </c>
      <c r="P7515" t="n">
        <v>0</v>
      </c>
      <c r="Q7515" t="n">
        <v>0</v>
      </c>
      <c r="R7515" s="2" t="inlineStr"/>
    </row>
    <row r="7516" ht="15" customHeight="1">
      <c r="A7516" t="inlineStr">
        <is>
          <t>A 36305-2022</t>
        </is>
      </c>
      <c r="B7516" s="1" t="n">
        <v>44803</v>
      </c>
      <c r="C7516" s="1" t="n">
        <v>45810</v>
      </c>
      <c r="D7516" t="inlineStr">
        <is>
          <t>VÄRMLANDS LÄN</t>
        </is>
      </c>
      <c r="E7516" t="inlineStr">
        <is>
          <t>KIL</t>
        </is>
      </c>
      <c r="G7516" t="n">
        <v>2.3</v>
      </c>
      <c r="H7516" t="n">
        <v>0</v>
      </c>
      <c r="I7516" t="n">
        <v>0</v>
      </c>
      <c r="J7516" t="n">
        <v>0</v>
      </c>
      <c r="K7516" t="n">
        <v>0</v>
      </c>
      <c r="L7516" t="n">
        <v>0</v>
      </c>
      <c r="M7516" t="n">
        <v>0</v>
      </c>
      <c r="N7516" t="n">
        <v>0</v>
      </c>
      <c r="O7516" t="n">
        <v>0</v>
      </c>
      <c r="P7516" t="n">
        <v>0</v>
      </c>
      <c r="Q7516" t="n">
        <v>0</v>
      </c>
      <c r="R7516" s="2" t="inlineStr"/>
    </row>
    <row r="7517" ht="15" customHeight="1">
      <c r="A7517" t="inlineStr">
        <is>
          <t>A 36318-2022</t>
        </is>
      </c>
      <c r="B7517" s="1" t="n">
        <v>44803</v>
      </c>
      <c r="C7517" s="1" t="n">
        <v>45810</v>
      </c>
      <c r="D7517" t="inlineStr">
        <is>
          <t>VÄRMLANDS LÄN</t>
        </is>
      </c>
      <c r="E7517" t="inlineStr">
        <is>
          <t>TORSBY</t>
        </is>
      </c>
      <c r="G7517" t="n">
        <v>0.6</v>
      </c>
      <c r="H7517" t="n">
        <v>0</v>
      </c>
      <c r="I7517" t="n">
        <v>0</v>
      </c>
      <c r="J7517" t="n">
        <v>0</v>
      </c>
      <c r="K7517" t="n">
        <v>0</v>
      </c>
      <c r="L7517" t="n">
        <v>0</v>
      </c>
      <c r="M7517" t="n">
        <v>0</v>
      </c>
      <c r="N7517" t="n">
        <v>0</v>
      </c>
      <c r="O7517" t="n">
        <v>0</v>
      </c>
      <c r="P7517" t="n">
        <v>0</v>
      </c>
      <c r="Q7517" t="n">
        <v>0</v>
      </c>
      <c r="R7517" s="2" t="inlineStr"/>
    </row>
    <row r="7518" ht="15" customHeight="1">
      <c r="A7518" t="inlineStr">
        <is>
          <t>A 36310-2022</t>
        </is>
      </c>
      <c r="B7518" s="1" t="n">
        <v>44803</v>
      </c>
      <c r="C7518" s="1" t="n">
        <v>45810</v>
      </c>
      <c r="D7518" t="inlineStr">
        <is>
          <t>VÄRMLANDS LÄN</t>
        </is>
      </c>
      <c r="E7518" t="inlineStr">
        <is>
          <t>SUNNE</t>
        </is>
      </c>
      <c r="G7518" t="n">
        <v>3.1</v>
      </c>
      <c r="H7518" t="n">
        <v>0</v>
      </c>
      <c r="I7518" t="n">
        <v>0</v>
      </c>
      <c r="J7518" t="n">
        <v>0</v>
      </c>
      <c r="K7518" t="n">
        <v>0</v>
      </c>
      <c r="L7518" t="n">
        <v>0</v>
      </c>
      <c r="M7518" t="n">
        <v>0</v>
      </c>
      <c r="N7518" t="n">
        <v>0</v>
      </c>
      <c r="O7518" t="n">
        <v>0</v>
      </c>
      <c r="P7518" t="n">
        <v>0</v>
      </c>
      <c r="Q7518" t="n">
        <v>0</v>
      </c>
      <c r="R7518" s="2" t="inlineStr"/>
    </row>
    <row r="7519" ht="15" customHeight="1">
      <c r="A7519" t="inlineStr">
        <is>
          <t>A 36328-2022</t>
        </is>
      </c>
      <c r="B7519" s="1" t="n">
        <v>44803</v>
      </c>
      <c r="C7519" s="1" t="n">
        <v>45810</v>
      </c>
      <c r="D7519" t="inlineStr">
        <is>
          <t>VÄRMLANDS LÄN</t>
        </is>
      </c>
      <c r="E7519" t="inlineStr">
        <is>
          <t>HAGFORS</t>
        </is>
      </c>
      <c r="F7519" t="inlineStr">
        <is>
          <t>Bergvik skog väst AB</t>
        </is>
      </c>
      <c r="G7519" t="n">
        <v>9.6</v>
      </c>
      <c r="H7519" t="n">
        <v>0</v>
      </c>
      <c r="I7519" t="n">
        <v>0</v>
      </c>
      <c r="J7519" t="n">
        <v>0</v>
      </c>
      <c r="K7519" t="n">
        <v>0</v>
      </c>
      <c r="L7519" t="n">
        <v>0</v>
      </c>
      <c r="M7519" t="n">
        <v>0</v>
      </c>
      <c r="N7519" t="n">
        <v>0</v>
      </c>
      <c r="O7519" t="n">
        <v>0</v>
      </c>
      <c r="P7519" t="n">
        <v>0</v>
      </c>
      <c r="Q7519" t="n">
        <v>0</v>
      </c>
      <c r="R7519" s="2" t="inlineStr"/>
    </row>
    <row r="7520" ht="15" customHeight="1">
      <c r="A7520" t="inlineStr">
        <is>
          <t>A 36514-2022</t>
        </is>
      </c>
      <c r="B7520" s="1" t="n">
        <v>44804</v>
      </c>
      <c r="C7520" s="1" t="n">
        <v>45810</v>
      </c>
      <c r="D7520" t="inlineStr">
        <is>
          <t>VÄRMLANDS LÄN</t>
        </is>
      </c>
      <c r="E7520" t="inlineStr">
        <is>
          <t>TORSBY</t>
        </is>
      </c>
      <c r="G7520" t="n">
        <v>6.3</v>
      </c>
      <c r="H7520" t="n">
        <v>0</v>
      </c>
      <c r="I7520" t="n">
        <v>0</v>
      </c>
      <c r="J7520" t="n">
        <v>0</v>
      </c>
      <c r="K7520" t="n">
        <v>0</v>
      </c>
      <c r="L7520" t="n">
        <v>0</v>
      </c>
      <c r="M7520" t="n">
        <v>0</v>
      </c>
      <c r="N7520" t="n">
        <v>0</v>
      </c>
      <c r="O7520" t="n">
        <v>0</v>
      </c>
      <c r="P7520" t="n">
        <v>0</v>
      </c>
      <c r="Q7520" t="n">
        <v>0</v>
      </c>
      <c r="R7520" s="2" t="inlineStr"/>
    </row>
    <row r="7521" ht="15" customHeight="1">
      <c r="A7521" t="inlineStr">
        <is>
          <t>A 36547-2022</t>
        </is>
      </c>
      <c r="B7521" s="1" t="n">
        <v>44804</v>
      </c>
      <c r="C7521" s="1" t="n">
        <v>45810</v>
      </c>
      <c r="D7521" t="inlineStr">
        <is>
          <t>VÄRMLANDS LÄN</t>
        </is>
      </c>
      <c r="E7521" t="inlineStr">
        <is>
          <t>TORSBY</t>
        </is>
      </c>
      <c r="G7521" t="n">
        <v>0.5</v>
      </c>
      <c r="H7521" t="n">
        <v>0</v>
      </c>
      <c r="I7521" t="n">
        <v>0</v>
      </c>
      <c r="J7521" t="n">
        <v>0</v>
      </c>
      <c r="K7521" t="n">
        <v>0</v>
      </c>
      <c r="L7521" t="n">
        <v>0</v>
      </c>
      <c r="M7521" t="n">
        <v>0</v>
      </c>
      <c r="N7521" t="n">
        <v>0</v>
      </c>
      <c r="O7521" t="n">
        <v>0</v>
      </c>
      <c r="P7521" t="n">
        <v>0</v>
      </c>
      <c r="Q7521" t="n">
        <v>0</v>
      </c>
      <c r="R7521" s="2" t="inlineStr"/>
    </row>
    <row r="7522" ht="15" customHeight="1">
      <c r="A7522" t="inlineStr">
        <is>
          <t>A 36423-2022</t>
        </is>
      </c>
      <c r="B7522" s="1" t="n">
        <v>44804</v>
      </c>
      <c r="C7522" s="1" t="n">
        <v>45810</v>
      </c>
      <c r="D7522" t="inlineStr">
        <is>
          <t>VÄRMLANDS LÄN</t>
        </is>
      </c>
      <c r="E7522" t="inlineStr">
        <is>
          <t>EDA</t>
        </is>
      </c>
      <c r="G7522" t="n">
        <v>2.2</v>
      </c>
      <c r="H7522" t="n">
        <v>0</v>
      </c>
      <c r="I7522" t="n">
        <v>0</v>
      </c>
      <c r="J7522" t="n">
        <v>0</v>
      </c>
      <c r="K7522" t="n">
        <v>0</v>
      </c>
      <c r="L7522" t="n">
        <v>0</v>
      </c>
      <c r="M7522" t="n">
        <v>0</v>
      </c>
      <c r="N7522" t="n">
        <v>0</v>
      </c>
      <c r="O7522" t="n">
        <v>0</v>
      </c>
      <c r="P7522" t="n">
        <v>0</v>
      </c>
      <c r="Q7522" t="n">
        <v>0</v>
      </c>
      <c r="R7522" s="2" t="inlineStr"/>
    </row>
    <row r="7523" ht="15" customHeight="1">
      <c r="A7523" t="inlineStr">
        <is>
          <t>A 36438-2022</t>
        </is>
      </c>
      <c r="B7523" s="1" t="n">
        <v>44804</v>
      </c>
      <c r="C7523" s="1" t="n">
        <v>45810</v>
      </c>
      <c r="D7523" t="inlineStr">
        <is>
          <t>VÄRMLANDS LÄN</t>
        </is>
      </c>
      <c r="E7523" t="inlineStr">
        <is>
          <t>EDA</t>
        </is>
      </c>
      <c r="G7523" t="n">
        <v>1.3</v>
      </c>
      <c r="H7523" t="n">
        <v>0</v>
      </c>
      <c r="I7523" t="n">
        <v>0</v>
      </c>
      <c r="J7523" t="n">
        <v>0</v>
      </c>
      <c r="K7523" t="n">
        <v>0</v>
      </c>
      <c r="L7523" t="n">
        <v>0</v>
      </c>
      <c r="M7523" t="n">
        <v>0</v>
      </c>
      <c r="N7523" t="n">
        <v>0</v>
      </c>
      <c r="O7523" t="n">
        <v>0</v>
      </c>
      <c r="P7523" t="n">
        <v>0</v>
      </c>
      <c r="Q7523" t="n">
        <v>0</v>
      </c>
      <c r="R7523" s="2" t="inlineStr"/>
    </row>
    <row r="7524" ht="15" customHeight="1">
      <c r="A7524" t="inlineStr">
        <is>
          <t>A 36486-2022</t>
        </is>
      </c>
      <c r="B7524" s="1" t="n">
        <v>44804</v>
      </c>
      <c r="C7524" s="1" t="n">
        <v>45810</v>
      </c>
      <c r="D7524" t="inlineStr">
        <is>
          <t>VÄRMLANDS LÄN</t>
        </is>
      </c>
      <c r="E7524" t="inlineStr">
        <is>
          <t>ÅRJÄNG</t>
        </is>
      </c>
      <c r="G7524" t="n">
        <v>1.7</v>
      </c>
      <c r="H7524" t="n">
        <v>0</v>
      </c>
      <c r="I7524" t="n">
        <v>0</v>
      </c>
      <c r="J7524" t="n">
        <v>0</v>
      </c>
      <c r="K7524" t="n">
        <v>0</v>
      </c>
      <c r="L7524" t="n">
        <v>0</v>
      </c>
      <c r="M7524" t="n">
        <v>0</v>
      </c>
      <c r="N7524" t="n">
        <v>0</v>
      </c>
      <c r="O7524" t="n">
        <v>0</v>
      </c>
      <c r="P7524" t="n">
        <v>0</v>
      </c>
      <c r="Q7524" t="n">
        <v>0</v>
      </c>
      <c r="R7524" s="2" t="inlineStr"/>
    </row>
    <row r="7525" ht="15" customHeight="1">
      <c r="A7525" t="inlineStr">
        <is>
          <t>A 36532-2022</t>
        </is>
      </c>
      <c r="B7525" s="1" t="n">
        <v>44804</v>
      </c>
      <c r="C7525" s="1" t="n">
        <v>45810</v>
      </c>
      <c r="D7525" t="inlineStr">
        <is>
          <t>VÄRMLANDS LÄN</t>
        </is>
      </c>
      <c r="E7525" t="inlineStr">
        <is>
          <t>ÅRJÄNG</t>
        </is>
      </c>
      <c r="G7525" t="n">
        <v>12.7</v>
      </c>
      <c r="H7525" t="n">
        <v>0</v>
      </c>
      <c r="I7525" t="n">
        <v>0</v>
      </c>
      <c r="J7525" t="n">
        <v>0</v>
      </c>
      <c r="K7525" t="n">
        <v>0</v>
      </c>
      <c r="L7525" t="n">
        <v>0</v>
      </c>
      <c r="M7525" t="n">
        <v>0</v>
      </c>
      <c r="N7525" t="n">
        <v>0</v>
      </c>
      <c r="O7525" t="n">
        <v>0</v>
      </c>
      <c r="P7525" t="n">
        <v>0</v>
      </c>
      <c r="Q7525" t="n">
        <v>0</v>
      </c>
      <c r="R7525" s="2" t="inlineStr"/>
    </row>
    <row r="7526" ht="15" customHeight="1">
      <c r="A7526" t="inlineStr">
        <is>
          <t>A 36393-2022</t>
        </is>
      </c>
      <c r="B7526" s="1" t="n">
        <v>44804</v>
      </c>
      <c r="C7526" s="1" t="n">
        <v>45810</v>
      </c>
      <c r="D7526" t="inlineStr">
        <is>
          <t>VÄRMLANDS LÄN</t>
        </is>
      </c>
      <c r="E7526" t="inlineStr">
        <is>
          <t>EDA</t>
        </is>
      </c>
      <c r="G7526" t="n">
        <v>1.8</v>
      </c>
      <c r="H7526" t="n">
        <v>0</v>
      </c>
      <c r="I7526" t="n">
        <v>0</v>
      </c>
      <c r="J7526" t="n">
        <v>0</v>
      </c>
      <c r="K7526" t="n">
        <v>0</v>
      </c>
      <c r="L7526" t="n">
        <v>0</v>
      </c>
      <c r="M7526" t="n">
        <v>0</v>
      </c>
      <c r="N7526" t="n">
        <v>0</v>
      </c>
      <c r="O7526" t="n">
        <v>0</v>
      </c>
      <c r="P7526" t="n">
        <v>0</v>
      </c>
      <c r="Q7526" t="n">
        <v>0</v>
      </c>
      <c r="R7526" s="2" t="inlineStr"/>
    </row>
    <row r="7527" ht="15" customHeight="1">
      <c r="A7527" t="inlineStr">
        <is>
          <t>A 36430-2022</t>
        </is>
      </c>
      <c r="B7527" s="1" t="n">
        <v>44804</v>
      </c>
      <c r="C7527" s="1" t="n">
        <v>45810</v>
      </c>
      <c r="D7527" t="inlineStr">
        <is>
          <t>VÄRMLANDS LÄN</t>
        </is>
      </c>
      <c r="E7527" t="inlineStr">
        <is>
          <t>SUNNE</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36422-2022</t>
        </is>
      </c>
      <c r="B7528" s="1" t="n">
        <v>44804</v>
      </c>
      <c r="C7528" s="1" t="n">
        <v>45810</v>
      </c>
      <c r="D7528" t="inlineStr">
        <is>
          <t>VÄRMLANDS LÄN</t>
        </is>
      </c>
      <c r="E7528" t="inlineStr">
        <is>
          <t>KARLSTAD</t>
        </is>
      </c>
      <c r="G7528" t="n">
        <v>6.5</v>
      </c>
      <c r="H7528" t="n">
        <v>0</v>
      </c>
      <c r="I7528" t="n">
        <v>0</v>
      </c>
      <c r="J7528" t="n">
        <v>0</v>
      </c>
      <c r="K7528" t="n">
        <v>0</v>
      </c>
      <c r="L7528" t="n">
        <v>0</v>
      </c>
      <c r="M7528" t="n">
        <v>0</v>
      </c>
      <c r="N7528" t="n">
        <v>0</v>
      </c>
      <c r="O7528" t="n">
        <v>0</v>
      </c>
      <c r="P7528" t="n">
        <v>0</v>
      </c>
      <c r="Q7528" t="n">
        <v>0</v>
      </c>
      <c r="R7528" s="2" t="inlineStr"/>
    </row>
    <row r="7529" ht="15" customHeight="1">
      <c r="A7529" t="inlineStr">
        <is>
          <t>A 36458-2022</t>
        </is>
      </c>
      <c r="B7529" s="1" t="n">
        <v>44804</v>
      </c>
      <c r="C7529" s="1" t="n">
        <v>45810</v>
      </c>
      <c r="D7529" t="inlineStr">
        <is>
          <t>VÄRMLANDS LÄN</t>
        </is>
      </c>
      <c r="E7529" t="inlineStr">
        <is>
          <t>ARVIKA</t>
        </is>
      </c>
      <c r="G7529" t="n">
        <v>0.6</v>
      </c>
      <c r="H7529" t="n">
        <v>0</v>
      </c>
      <c r="I7529" t="n">
        <v>0</v>
      </c>
      <c r="J7529" t="n">
        <v>0</v>
      </c>
      <c r="K7529" t="n">
        <v>0</v>
      </c>
      <c r="L7529" t="n">
        <v>0</v>
      </c>
      <c r="M7529" t="n">
        <v>0</v>
      </c>
      <c r="N7529" t="n">
        <v>0</v>
      </c>
      <c r="O7529" t="n">
        <v>0</v>
      </c>
      <c r="P7529" t="n">
        <v>0</v>
      </c>
      <c r="Q7529" t="n">
        <v>0</v>
      </c>
      <c r="R7529" s="2" t="inlineStr"/>
    </row>
    <row r="7530" ht="15" customHeight="1">
      <c r="A7530" t="inlineStr">
        <is>
          <t>A 36473-2022</t>
        </is>
      </c>
      <c r="B7530" s="1" t="n">
        <v>44804</v>
      </c>
      <c r="C7530" s="1" t="n">
        <v>45810</v>
      </c>
      <c r="D7530" t="inlineStr">
        <is>
          <t>VÄRMLANDS LÄN</t>
        </is>
      </c>
      <c r="E7530" t="inlineStr">
        <is>
          <t>ARVIKA</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36545-2022</t>
        </is>
      </c>
      <c r="B7531" s="1" t="n">
        <v>44804</v>
      </c>
      <c r="C7531" s="1" t="n">
        <v>45810</v>
      </c>
      <c r="D7531" t="inlineStr">
        <is>
          <t>VÄRMLANDS LÄN</t>
        </is>
      </c>
      <c r="E7531" t="inlineStr">
        <is>
          <t>TORSBY</t>
        </is>
      </c>
      <c r="G7531" t="n">
        <v>2.4</v>
      </c>
      <c r="H7531" t="n">
        <v>0</v>
      </c>
      <c r="I7531" t="n">
        <v>0</v>
      </c>
      <c r="J7531" t="n">
        <v>0</v>
      </c>
      <c r="K7531" t="n">
        <v>0</v>
      </c>
      <c r="L7531" t="n">
        <v>0</v>
      </c>
      <c r="M7531" t="n">
        <v>0</v>
      </c>
      <c r="N7531" t="n">
        <v>0</v>
      </c>
      <c r="O7531" t="n">
        <v>0</v>
      </c>
      <c r="P7531" t="n">
        <v>0</v>
      </c>
      <c r="Q7531" t="n">
        <v>0</v>
      </c>
      <c r="R7531" s="2" t="inlineStr"/>
    </row>
    <row r="7532" ht="15" customHeight="1">
      <c r="A7532" t="inlineStr">
        <is>
          <t>A 36527-2022</t>
        </is>
      </c>
      <c r="B7532" s="1" t="n">
        <v>44804</v>
      </c>
      <c r="C7532" s="1" t="n">
        <v>45810</v>
      </c>
      <c r="D7532" t="inlineStr">
        <is>
          <t>VÄRMLANDS LÄN</t>
        </is>
      </c>
      <c r="E7532" t="inlineStr">
        <is>
          <t>TORSBY</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36537-2022</t>
        </is>
      </c>
      <c r="B7533" s="1" t="n">
        <v>44804</v>
      </c>
      <c r="C7533" s="1" t="n">
        <v>45810</v>
      </c>
      <c r="D7533" t="inlineStr">
        <is>
          <t>VÄRMLANDS LÄN</t>
        </is>
      </c>
      <c r="E7533" t="inlineStr">
        <is>
          <t>TORSBY</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36582-2022</t>
        </is>
      </c>
      <c r="B7534" s="1" t="n">
        <v>44804</v>
      </c>
      <c r="C7534" s="1" t="n">
        <v>45810</v>
      </c>
      <c r="D7534" t="inlineStr">
        <is>
          <t>VÄRMLANDS LÄN</t>
        </is>
      </c>
      <c r="E7534" t="inlineStr">
        <is>
          <t>TORSBY</t>
        </is>
      </c>
      <c r="G7534" t="n">
        <v>7.2</v>
      </c>
      <c r="H7534" t="n">
        <v>0</v>
      </c>
      <c r="I7534" t="n">
        <v>0</v>
      </c>
      <c r="J7534" t="n">
        <v>0</v>
      </c>
      <c r="K7534" t="n">
        <v>0</v>
      </c>
      <c r="L7534" t="n">
        <v>0</v>
      </c>
      <c r="M7534" t="n">
        <v>0</v>
      </c>
      <c r="N7534" t="n">
        <v>0</v>
      </c>
      <c r="O7534" t="n">
        <v>0</v>
      </c>
      <c r="P7534" t="n">
        <v>0</v>
      </c>
      <c r="Q7534" t="n">
        <v>0</v>
      </c>
      <c r="R7534" s="2" t="inlineStr"/>
    </row>
    <row r="7535" ht="15" customHeight="1">
      <c r="A7535" t="inlineStr">
        <is>
          <t>A 36632-2022</t>
        </is>
      </c>
      <c r="B7535" s="1" t="n">
        <v>44804</v>
      </c>
      <c r="C7535" s="1" t="n">
        <v>45810</v>
      </c>
      <c r="D7535" t="inlineStr">
        <is>
          <t>VÄRMLANDS LÄN</t>
        </is>
      </c>
      <c r="E7535" t="inlineStr">
        <is>
          <t>SUNNE</t>
        </is>
      </c>
      <c r="G7535" t="n">
        <v>0.6</v>
      </c>
      <c r="H7535" t="n">
        <v>0</v>
      </c>
      <c r="I7535" t="n">
        <v>0</v>
      </c>
      <c r="J7535" t="n">
        <v>0</v>
      </c>
      <c r="K7535" t="n">
        <v>0</v>
      </c>
      <c r="L7535" t="n">
        <v>0</v>
      </c>
      <c r="M7535" t="n">
        <v>0</v>
      </c>
      <c r="N7535" t="n">
        <v>0</v>
      </c>
      <c r="O7535" t="n">
        <v>0</v>
      </c>
      <c r="P7535" t="n">
        <v>0</v>
      </c>
      <c r="Q7535" t="n">
        <v>0</v>
      </c>
      <c r="R7535" s="2" t="inlineStr"/>
    </row>
    <row r="7536" ht="15" customHeight="1">
      <c r="A7536" t="inlineStr">
        <is>
          <t>A 36562-2022</t>
        </is>
      </c>
      <c r="B7536" s="1" t="n">
        <v>44804</v>
      </c>
      <c r="C7536" s="1" t="n">
        <v>45810</v>
      </c>
      <c r="D7536" t="inlineStr">
        <is>
          <t>VÄRMLANDS LÄN</t>
        </is>
      </c>
      <c r="E7536" t="inlineStr">
        <is>
          <t>TORSBY</t>
        </is>
      </c>
      <c r="G7536" t="n">
        <v>9.1</v>
      </c>
      <c r="H7536" t="n">
        <v>0</v>
      </c>
      <c r="I7536" t="n">
        <v>0</v>
      </c>
      <c r="J7536" t="n">
        <v>0</v>
      </c>
      <c r="K7536" t="n">
        <v>0</v>
      </c>
      <c r="L7536" t="n">
        <v>0</v>
      </c>
      <c r="M7536" t="n">
        <v>0</v>
      </c>
      <c r="N7536" t="n">
        <v>0</v>
      </c>
      <c r="O7536" t="n">
        <v>0</v>
      </c>
      <c r="P7536" t="n">
        <v>0</v>
      </c>
      <c r="Q7536" t="n">
        <v>0</v>
      </c>
      <c r="R7536" s="2" t="inlineStr"/>
    </row>
    <row r="7537" ht="15" customHeight="1">
      <c r="A7537" t="inlineStr">
        <is>
          <t>A 36572-2022</t>
        </is>
      </c>
      <c r="B7537" s="1" t="n">
        <v>44804</v>
      </c>
      <c r="C7537" s="1" t="n">
        <v>45810</v>
      </c>
      <c r="D7537" t="inlineStr">
        <is>
          <t>VÄRMLANDS LÄN</t>
        </is>
      </c>
      <c r="E7537" t="inlineStr">
        <is>
          <t>TORSBY</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36587-2022</t>
        </is>
      </c>
      <c r="B7538" s="1" t="n">
        <v>44804</v>
      </c>
      <c r="C7538" s="1" t="n">
        <v>45810</v>
      </c>
      <c r="D7538" t="inlineStr">
        <is>
          <t>VÄRMLANDS LÄN</t>
        </is>
      </c>
      <c r="E7538" t="inlineStr">
        <is>
          <t>TORSBY</t>
        </is>
      </c>
      <c r="G7538" t="n">
        <v>4.4</v>
      </c>
      <c r="H7538" t="n">
        <v>0</v>
      </c>
      <c r="I7538" t="n">
        <v>0</v>
      </c>
      <c r="J7538" t="n">
        <v>0</v>
      </c>
      <c r="K7538" t="n">
        <v>0</v>
      </c>
      <c r="L7538" t="n">
        <v>0</v>
      </c>
      <c r="M7538" t="n">
        <v>0</v>
      </c>
      <c r="N7538" t="n">
        <v>0</v>
      </c>
      <c r="O7538" t="n">
        <v>0</v>
      </c>
      <c r="P7538" t="n">
        <v>0</v>
      </c>
      <c r="Q7538" t="n">
        <v>0</v>
      </c>
      <c r="R7538" s="2" t="inlineStr"/>
    </row>
    <row r="7539" ht="15" customHeight="1">
      <c r="A7539" t="inlineStr">
        <is>
          <t>A 36726-2022</t>
        </is>
      </c>
      <c r="B7539" s="1" t="n">
        <v>44804</v>
      </c>
      <c r="C7539" s="1" t="n">
        <v>45810</v>
      </c>
      <c r="D7539" t="inlineStr">
        <is>
          <t>VÄRMLANDS LÄN</t>
        </is>
      </c>
      <c r="E7539" t="inlineStr">
        <is>
          <t>SUNNE</t>
        </is>
      </c>
      <c r="G7539" t="n">
        <v>2.1</v>
      </c>
      <c r="H7539" t="n">
        <v>0</v>
      </c>
      <c r="I7539" t="n">
        <v>0</v>
      </c>
      <c r="J7539" t="n">
        <v>0</v>
      </c>
      <c r="K7539" t="n">
        <v>0</v>
      </c>
      <c r="L7539" t="n">
        <v>0</v>
      </c>
      <c r="M7539" t="n">
        <v>0</v>
      </c>
      <c r="N7539" t="n">
        <v>0</v>
      </c>
      <c r="O7539" t="n">
        <v>0</v>
      </c>
      <c r="P7539" t="n">
        <v>0</v>
      </c>
      <c r="Q7539" t="n">
        <v>0</v>
      </c>
      <c r="R7539" s="2" t="inlineStr"/>
    </row>
    <row r="7540" ht="15" customHeight="1">
      <c r="A7540" t="inlineStr">
        <is>
          <t>A 36774-2022</t>
        </is>
      </c>
      <c r="B7540" s="1" t="n">
        <v>44805</v>
      </c>
      <c r="C7540" s="1" t="n">
        <v>45810</v>
      </c>
      <c r="D7540" t="inlineStr">
        <is>
          <t>VÄRMLANDS LÄN</t>
        </is>
      </c>
      <c r="E7540" t="inlineStr">
        <is>
          <t>KRISTINEHAMN</t>
        </is>
      </c>
      <c r="G7540" t="n">
        <v>3.8</v>
      </c>
      <c r="H7540" t="n">
        <v>0</v>
      </c>
      <c r="I7540" t="n">
        <v>0</v>
      </c>
      <c r="J7540" t="n">
        <v>0</v>
      </c>
      <c r="K7540" t="n">
        <v>0</v>
      </c>
      <c r="L7540" t="n">
        <v>0</v>
      </c>
      <c r="M7540" t="n">
        <v>0</v>
      </c>
      <c r="N7540" t="n">
        <v>0</v>
      </c>
      <c r="O7540" t="n">
        <v>0</v>
      </c>
      <c r="P7540" t="n">
        <v>0</v>
      </c>
      <c r="Q7540" t="n">
        <v>0</v>
      </c>
      <c r="R7540" s="2" t="inlineStr"/>
    </row>
    <row r="7541" ht="15" customHeight="1">
      <c r="A7541" t="inlineStr">
        <is>
          <t>A 36809-2022</t>
        </is>
      </c>
      <c r="B7541" s="1" t="n">
        <v>44805</v>
      </c>
      <c r="C7541" s="1" t="n">
        <v>45810</v>
      </c>
      <c r="D7541" t="inlineStr">
        <is>
          <t>VÄRMLANDS LÄN</t>
        </is>
      </c>
      <c r="E7541" t="inlineStr">
        <is>
          <t>FILIPSTAD</t>
        </is>
      </c>
      <c r="G7541" t="n">
        <v>3.8</v>
      </c>
      <c r="H7541" t="n">
        <v>0</v>
      </c>
      <c r="I7541" t="n">
        <v>0</v>
      </c>
      <c r="J7541" t="n">
        <v>0</v>
      </c>
      <c r="K7541" t="n">
        <v>0</v>
      </c>
      <c r="L7541" t="n">
        <v>0</v>
      </c>
      <c r="M7541" t="n">
        <v>0</v>
      </c>
      <c r="N7541" t="n">
        <v>0</v>
      </c>
      <c r="O7541" t="n">
        <v>0</v>
      </c>
      <c r="P7541" t="n">
        <v>0</v>
      </c>
      <c r="Q7541" t="n">
        <v>0</v>
      </c>
      <c r="R7541" s="2" t="inlineStr"/>
    </row>
    <row r="7542" ht="15" customHeight="1">
      <c r="A7542" t="inlineStr">
        <is>
          <t>A 36731-2022</t>
        </is>
      </c>
      <c r="B7542" s="1" t="n">
        <v>44805</v>
      </c>
      <c r="C7542" s="1" t="n">
        <v>45810</v>
      </c>
      <c r="D7542" t="inlineStr">
        <is>
          <t>VÄRMLANDS LÄN</t>
        </is>
      </c>
      <c r="E7542" t="inlineStr">
        <is>
          <t>SUNNE</t>
        </is>
      </c>
      <c r="G7542" t="n">
        <v>1.9</v>
      </c>
      <c r="H7542" t="n">
        <v>0</v>
      </c>
      <c r="I7542" t="n">
        <v>0</v>
      </c>
      <c r="J7542" t="n">
        <v>0</v>
      </c>
      <c r="K7542" t="n">
        <v>0</v>
      </c>
      <c r="L7542" t="n">
        <v>0</v>
      </c>
      <c r="M7542" t="n">
        <v>0</v>
      </c>
      <c r="N7542" t="n">
        <v>0</v>
      </c>
      <c r="O7542" t="n">
        <v>0</v>
      </c>
      <c r="P7542" t="n">
        <v>0</v>
      </c>
      <c r="Q7542" t="n">
        <v>0</v>
      </c>
      <c r="R7542" s="2" t="inlineStr"/>
    </row>
    <row r="7543" ht="15" customHeight="1">
      <c r="A7543" t="inlineStr">
        <is>
          <t>A 36844-2022</t>
        </is>
      </c>
      <c r="B7543" s="1" t="n">
        <v>44805</v>
      </c>
      <c r="C7543" s="1" t="n">
        <v>45810</v>
      </c>
      <c r="D7543" t="inlineStr">
        <is>
          <t>VÄRMLANDS LÄN</t>
        </is>
      </c>
      <c r="E7543" t="inlineStr">
        <is>
          <t>SUNNE</t>
        </is>
      </c>
      <c r="F7543" t="inlineStr">
        <is>
          <t>Kyrkan</t>
        </is>
      </c>
      <c r="G7543" t="n">
        <v>9.199999999999999</v>
      </c>
      <c r="H7543" t="n">
        <v>0</v>
      </c>
      <c r="I7543" t="n">
        <v>0</v>
      </c>
      <c r="J7543" t="n">
        <v>0</v>
      </c>
      <c r="K7543" t="n">
        <v>0</v>
      </c>
      <c r="L7543" t="n">
        <v>0</v>
      </c>
      <c r="M7543" t="n">
        <v>0</v>
      </c>
      <c r="N7543" t="n">
        <v>0</v>
      </c>
      <c r="O7543" t="n">
        <v>0</v>
      </c>
      <c r="P7543" t="n">
        <v>0</v>
      </c>
      <c r="Q7543" t="n">
        <v>0</v>
      </c>
      <c r="R7543" s="2" t="inlineStr"/>
    </row>
    <row r="7544" ht="15" customHeight="1">
      <c r="A7544" t="inlineStr">
        <is>
          <t>A 36827-2022</t>
        </is>
      </c>
      <c r="B7544" s="1" t="n">
        <v>44805</v>
      </c>
      <c r="C7544" s="1" t="n">
        <v>45810</v>
      </c>
      <c r="D7544" t="inlineStr">
        <is>
          <t>VÄRMLANDS LÄN</t>
        </is>
      </c>
      <c r="E7544" t="inlineStr">
        <is>
          <t>FILIPSTAD</t>
        </is>
      </c>
      <c r="F7544" t="inlineStr">
        <is>
          <t>Bergvik skog väst AB</t>
        </is>
      </c>
      <c r="G7544" t="n">
        <v>3.8</v>
      </c>
      <c r="H7544" t="n">
        <v>0</v>
      </c>
      <c r="I7544" t="n">
        <v>0</v>
      </c>
      <c r="J7544" t="n">
        <v>0</v>
      </c>
      <c r="K7544" t="n">
        <v>0</v>
      </c>
      <c r="L7544" t="n">
        <v>0</v>
      </c>
      <c r="M7544" t="n">
        <v>0</v>
      </c>
      <c r="N7544" t="n">
        <v>0</v>
      </c>
      <c r="O7544" t="n">
        <v>0</v>
      </c>
      <c r="P7544" t="n">
        <v>0</v>
      </c>
      <c r="Q7544" t="n">
        <v>0</v>
      </c>
      <c r="R7544" s="2" t="inlineStr"/>
    </row>
    <row r="7545" ht="15" customHeight="1">
      <c r="A7545" t="inlineStr">
        <is>
          <t>A 36977-2022</t>
        </is>
      </c>
      <c r="B7545" s="1" t="n">
        <v>44805</v>
      </c>
      <c r="C7545" s="1" t="n">
        <v>45810</v>
      </c>
      <c r="D7545" t="inlineStr">
        <is>
          <t>VÄRMLANDS LÄN</t>
        </is>
      </c>
      <c r="E7545" t="inlineStr">
        <is>
          <t>HAGFORS</t>
        </is>
      </c>
      <c r="F7545" t="inlineStr">
        <is>
          <t>Kyrkan</t>
        </is>
      </c>
      <c r="G7545" t="n">
        <v>1.4</v>
      </c>
      <c r="H7545" t="n">
        <v>0</v>
      </c>
      <c r="I7545" t="n">
        <v>0</v>
      </c>
      <c r="J7545" t="n">
        <v>0</v>
      </c>
      <c r="K7545" t="n">
        <v>0</v>
      </c>
      <c r="L7545" t="n">
        <v>0</v>
      </c>
      <c r="M7545" t="n">
        <v>0</v>
      </c>
      <c r="N7545" t="n">
        <v>0</v>
      </c>
      <c r="O7545" t="n">
        <v>0</v>
      </c>
      <c r="P7545" t="n">
        <v>0</v>
      </c>
      <c r="Q7545" t="n">
        <v>0</v>
      </c>
      <c r="R7545" s="2" t="inlineStr"/>
    </row>
    <row r="7546" ht="15" customHeight="1">
      <c r="A7546" t="inlineStr">
        <is>
          <t>A 36971-2022</t>
        </is>
      </c>
      <c r="B7546" s="1" t="n">
        <v>44805</v>
      </c>
      <c r="C7546" s="1" t="n">
        <v>45810</v>
      </c>
      <c r="D7546" t="inlineStr">
        <is>
          <t>VÄRMLANDS LÄN</t>
        </is>
      </c>
      <c r="E7546" t="inlineStr">
        <is>
          <t>HAGFORS</t>
        </is>
      </c>
      <c r="F7546" t="inlineStr">
        <is>
          <t>Kyrkan</t>
        </is>
      </c>
      <c r="G7546" t="n">
        <v>4.6</v>
      </c>
      <c r="H7546" t="n">
        <v>0</v>
      </c>
      <c r="I7546" t="n">
        <v>0</v>
      </c>
      <c r="J7546" t="n">
        <v>0</v>
      </c>
      <c r="K7546" t="n">
        <v>0</v>
      </c>
      <c r="L7546" t="n">
        <v>0</v>
      </c>
      <c r="M7546" t="n">
        <v>0</v>
      </c>
      <c r="N7546" t="n">
        <v>0</v>
      </c>
      <c r="O7546" t="n">
        <v>0</v>
      </c>
      <c r="P7546" t="n">
        <v>0</v>
      </c>
      <c r="Q7546" t="n">
        <v>0</v>
      </c>
      <c r="R7546" s="2" t="inlineStr"/>
    </row>
    <row r="7547" ht="15" customHeight="1">
      <c r="A7547" t="inlineStr">
        <is>
          <t>A 36884-2022</t>
        </is>
      </c>
      <c r="B7547" s="1" t="n">
        <v>44805</v>
      </c>
      <c r="C7547" s="1" t="n">
        <v>45810</v>
      </c>
      <c r="D7547" t="inlineStr">
        <is>
          <t>VÄRMLANDS LÄN</t>
        </is>
      </c>
      <c r="E7547" t="inlineStr">
        <is>
          <t>KARLSTAD</t>
        </is>
      </c>
      <c r="G7547" t="n">
        <v>2.6</v>
      </c>
      <c r="H7547" t="n">
        <v>0</v>
      </c>
      <c r="I7547" t="n">
        <v>0</v>
      </c>
      <c r="J7547" t="n">
        <v>0</v>
      </c>
      <c r="K7547" t="n">
        <v>0</v>
      </c>
      <c r="L7547" t="n">
        <v>0</v>
      </c>
      <c r="M7547" t="n">
        <v>0</v>
      </c>
      <c r="N7547" t="n">
        <v>0</v>
      </c>
      <c r="O7547" t="n">
        <v>0</v>
      </c>
      <c r="P7547" t="n">
        <v>0</v>
      </c>
      <c r="Q7547" t="n">
        <v>0</v>
      </c>
      <c r="R7547" s="2" t="inlineStr"/>
    </row>
    <row r="7548" ht="15" customHeight="1">
      <c r="A7548" t="inlineStr">
        <is>
          <t>A 36969-2022</t>
        </is>
      </c>
      <c r="B7548" s="1" t="n">
        <v>44805</v>
      </c>
      <c r="C7548" s="1" t="n">
        <v>45810</v>
      </c>
      <c r="D7548" t="inlineStr">
        <is>
          <t>VÄRMLANDS LÄN</t>
        </is>
      </c>
      <c r="E7548" t="inlineStr">
        <is>
          <t>SUNNE</t>
        </is>
      </c>
      <c r="F7548" t="inlineStr">
        <is>
          <t>Kyrkan</t>
        </is>
      </c>
      <c r="G7548" t="n">
        <v>3.9</v>
      </c>
      <c r="H7548" t="n">
        <v>0</v>
      </c>
      <c r="I7548" t="n">
        <v>0</v>
      </c>
      <c r="J7548" t="n">
        <v>0</v>
      </c>
      <c r="K7548" t="n">
        <v>0</v>
      </c>
      <c r="L7548" t="n">
        <v>0</v>
      </c>
      <c r="M7548" t="n">
        <v>0</v>
      </c>
      <c r="N7548" t="n">
        <v>0</v>
      </c>
      <c r="O7548" t="n">
        <v>0</v>
      </c>
      <c r="P7548" t="n">
        <v>0</v>
      </c>
      <c r="Q7548" t="n">
        <v>0</v>
      </c>
      <c r="R7548" s="2" t="inlineStr"/>
    </row>
    <row r="7549" ht="15" customHeight="1">
      <c r="A7549" t="inlineStr">
        <is>
          <t>A 36978-2022</t>
        </is>
      </c>
      <c r="B7549" s="1" t="n">
        <v>44805</v>
      </c>
      <c r="C7549" s="1" t="n">
        <v>45810</v>
      </c>
      <c r="D7549" t="inlineStr">
        <is>
          <t>VÄRMLANDS LÄN</t>
        </is>
      </c>
      <c r="E7549" t="inlineStr">
        <is>
          <t>HAGFORS</t>
        </is>
      </c>
      <c r="F7549" t="inlineStr">
        <is>
          <t>Kyrkan</t>
        </is>
      </c>
      <c r="G7549" t="n">
        <v>5.5</v>
      </c>
      <c r="H7549" t="n">
        <v>0</v>
      </c>
      <c r="I7549" t="n">
        <v>0</v>
      </c>
      <c r="J7549" t="n">
        <v>0</v>
      </c>
      <c r="K7549" t="n">
        <v>0</v>
      </c>
      <c r="L7549" t="n">
        <v>0</v>
      </c>
      <c r="M7549" t="n">
        <v>0</v>
      </c>
      <c r="N7549" t="n">
        <v>0</v>
      </c>
      <c r="O7549" t="n">
        <v>0</v>
      </c>
      <c r="P7549" t="n">
        <v>0</v>
      </c>
      <c r="Q7549" t="n">
        <v>0</v>
      </c>
      <c r="R7549" s="2" t="inlineStr"/>
    </row>
    <row r="7550" ht="15" customHeight="1">
      <c r="A7550" t="inlineStr">
        <is>
          <t>A 37024-2022</t>
        </is>
      </c>
      <c r="B7550" s="1" t="n">
        <v>44806</v>
      </c>
      <c r="C7550" s="1" t="n">
        <v>45810</v>
      </c>
      <c r="D7550" t="inlineStr">
        <is>
          <t>VÄRMLANDS LÄN</t>
        </is>
      </c>
      <c r="E7550" t="inlineStr">
        <is>
          <t>HAGFORS</t>
        </is>
      </c>
      <c r="F7550" t="inlineStr">
        <is>
          <t>Bergvik skog väst AB</t>
        </is>
      </c>
      <c r="G7550" t="n">
        <v>13.2</v>
      </c>
      <c r="H7550" t="n">
        <v>0</v>
      </c>
      <c r="I7550" t="n">
        <v>0</v>
      </c>
      <c r="J7550" t="n">
        <v>0</v>
      </c>
      <c r="K7550" t="n">
        <v>0</v>
      </c>
      <c r="L7550" t="n">
        <v>0</v>
      </c>
      <c r="M7550" t="n">
        <v>0</v>
      </c>
      <c r="N7550" t="n">
        <v>0</v>
      </c>
      <c r="O7550" t="n">
        <v>0</v>
      </c>
      <c r="P7550" t="n">
        <v>0</v>
      </c>
      <c r="Q7550" t="n">
        <v>0</v>
      </c>
      <c r="R7550" s="2" t="inlineStr"/>
    </row>
    <row r="7551" ht="15" customHeight="1">
      <c r="A7551" t="inlineStr">
        <is>
          <t>A 37040-2022</t>
        </is>
      </c>
      <c r="B7551" s="1" t="n">
        <v>44806</v>
      </c>
      <c r="C7551" s="1" t="n">
        <v>45810</v>
      </c>
      <c r="D7551" t="inlineStr">
        <is>
          <t>VÄRMLANDS LÄN</t>
        </is>
      </c>
      <c r="E7551" t="inlineStr">
        <is>
          <t>SÄFFLE</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37136-2022</t>
        </is>
      </c>
      <c r="B7552" s="1" t="n">
        <v>44806</v>
      </c>
      <c r="C7552" s="1" t="n">
        <v>45810</v>
      </c>
      <c r="D7552" t="inlineStr">
        <is>
          <t>VÄRMLANDS LÄN</t>
        </is>
      </c>
      <c r="E7552" t="inlineStr">
        <is>
          <t>EDA</t>
        </is>
      </c>
      <c r="G7552" t="n">
        <v>3.4</v>
      </c>
      <c r="H7552" t="n">
        <v>0</v>
      </c>
      <c r="I7552" t="n">
        <v>0</v>
      </c>
      <c r="J7552" t="n">
        <v>0</v>
      </c>
      <c r="K7552" t="n">
        <v>0</v>
      </c>
      <c r="L7552" t="n">
        <v>0</v>
      </c>
      <c r="M7552" t="n">
        <v>0</v>
      </c>
      <c r="N7552" t="n">
        <v>0</v>
      </c>
      <c r="O7552" t="n">
        <v>0</v>
      </c>
      <c r="P7552" t="n">
        <v>0</v>
      </c>
      <c r="Q7552" t="n">
        <v>0</v>
      </c>
      <c r="R7552" s="2" t="inlineStr"/>
    </row>
    <row r="7553" ht="15" customHeight="1">
      <c r="A7553" t="inlineStr">
        <is>
          <t>A 37159-2022</t>
        </is>
      </c>
      <c r="B7553" s="1" t="n">
        <v>44806</v>
      </c>
      <c r="C7553" s="1" t="n">
        <v>45810</v>
      </c>
      <c r="D7553" t="inlineStr">
        <is>
          <t>VÄRMLANDS LÄN</t>
        </is>
      </c>
      <c r="E7553" t="inlineStr">
        <is>
          <t>EDA</t>
        </is>
      </c>
      <c r="G7553" t="n">
        <v>15.7</v>
      </c>
      <c r="H7553" t="n">
        <v>0</v>
      </c>
      <c r="I7553" t="n">
        <v>0</v>
      </c>
      <c r="J7553" t="n">
        <v>0</v>
      </c>
      <c r="K7553" t="n">
        <v>0</v>
      </c>
      <c r="L7553" t="n">
        <v>0</v>
      </c>
      <c r="M7553" t="n">
        <v>0</v>
      </c>
      <c r="N7553" t="n">
        <v>0</v>
      </c>
      <c r="O7553" t="n">
        <v>0</v>
      </c>
      <c r="P7553" t="n">
        <v>0</v>
      </c>
      <c r="Q7553" t="n">
        <v>0</v>
      </c>
      <c r="R7553" s="2" t="inlineStr"/>
    </row>
    <row r="7554" ht="15" customHeight="1">
      <c r="A7554" t="inlineStr">
        <is>
          <t>A 37041-2022</t>
        </is>
      </c>
      <c r="B7554" s="1" t="n">
        <v>44806</v>
      </c>
      <c r="C7554" s="1" t="n">
        <v>45810</v>
      </c>
      <c r="D7554" t="inlineStr">
        <is>
          <t>VÄRMLANDS LÄN</t>
        </is>
      </c>
      <c r="E7554" t="inlineStr">
        <is>
          <t>SÄFFLE</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36959-2022</t>
        </is>
      </c>
      <c r="B7555" s="1" t="n">
        <v>44806</v>
      </c>
      <c r="C7555" s="1" t="n">
        <v>45810</v>
      </c>
      <c r="D7555" t="inlineStr">
        <is>
          <t>VÄRMLANDS LÄN</t>
        </is>
      </c>
      <c r="E7555" t="inlineStr">
        <is>
          <t>ARVIKA</t>
        </is>
      </c>
      <c r="F7555" t="inlineStr">
        <is>
          <t>Bergvik skog väst AB</t>
        </is>
      </c>
      <c r="G7555" t="n">
        <v>2.2</v>
      </c>
      <c r="H7555" t="n">
        <v>0</v>
      </c>
      <c r="I7555" t="n">
        <v>0</v>
      </c>
      <c r="J7555" t="n">
        <v>0</v>
      </c>
      <c r="K7555" t="n">
        <v>0</v>
      </c>
      <c r="L7555" t="n">
        <v>0</v>
      </c>
      <c r="M7555" t="n">
        <v>0</v>
      </c>
      <c r="N7555" t="n">
        <v>0</v>
      </c>
      <c r="O7555" t="n">
        <v>0</v>
      </c>
      <c r="P7555" t="n">
        <v>0</v>
      </c>
      <c r="Q7555" t="n">
        <v>0</v>
      </c>
      <c r="R7555" s="2" t="inlineStr"/>
    </row>
    <row r="7556" ht="15" customHeight="1">
      <c r="A7556" t="inlineStr">
        <is>
          <t>A 37122-2022</t>
        </is>
      </c>
      <c r="B7556" s="1" t="n">
        <v>44806</v>
      </c>
      <c r="C7556" s="1" t="n">
        <v>45810</v>
      </c>
      <c r="D7556" t="inlineStr">
        <is>
          <t>VÄRMLANDS LÄN</t>
        </is>
      </c>
      <c r="E7556" t="inlineStr">
        <is>
          <t>ÅRJÄNG</t>
        </is>
      </c>
      <c r="G7556" t="n">
        <v>2.3</v>
      </c>
      <c r="H7556" t="n">
        <v>0</v>
      </c>
      <c r="I7556" t="n">
        <v>0</v>
      </c>
      <c r="J7556" t="n">
        <v>0</v>
      </c>
      <c r="K7556" t="n">
        <v>0</v>
      </c>
      <c r="L7556" t="n">
        <v>0</v>
      </c>
      <c r="M7556" t="n">
        <v>0</v>
      </c>
      <c r="N7556" t="n">
        <v>0</v>
      </c>
      <c r="O7556" t="n">
        <v>0</v>
      </c>
      <c r="P7556" t="n">
        <v>0</v>
      </c>
      <c r="Q7556" t="n">
        <v>0</v>
      </c>
      <c r="R7556" s="2" t="inlineStr"/>
    </row>
    <row r="7557" ht="15" customHeight="1">
      <c r="A7557" t="inlineStr">
        <is>
          <t>A 37139-2022</t>
        </is>
      </c>
      <c r="B7557" s="1" t="n">
        <v>44806</v>
      </c>
      <c r="C7557" s="1" t="n">
        <v>45810</v>
      </c>
      <c r="D7557" t="inlineStr">
        <is>
          <t>VÄRMLANDS LÄN</t>
        </is>
      </c>
      <c r="E7557" t="inlineStr">
        <is>
          <t>ARVIKA</t>
        </is>
      </c>
      <c r="G7557" t="n">
        <v>1.7</v>
      </c>
      <c r="H7557" t="n">
        <v>0</v>
      </c>
      <c r="I7557" t="n">
        <v>0</v>
      </c>
      <c r="J7557" t="n">
        <v>0</v>
      </c>
      <c r="K7557" t="n">
        <v>0</v>
      </c>
      <c r="L7557" t="n">
        <v>0</v>
      </c>
      <c r="M7557" t="n">
        <v>0</v>
      </c>
      <c r="N7557" t="n">
        <v>0</v>
      </c>
      <c r="O7557" t="n">
        <v>0</v>
      </c>
      <c r="P7557" t="n">
        <v>0</v>
      </c>
      <c r="Q7557" t="n">
        <v>0</v>
      </c>
      <c r="R7557" s="2" t="inlineStr"/>
    </row>
    <row r="7558" ht="15" customHeight="1">
      <c r="A7558" t="inlineStr">
        <is>
          <t>A 37045-2022</t>
        </is>
      </c>
      <c r="B7558" s="1" t="n">
        <v>44806</v>
      </c>
      <c r="C7558" s="1" t="n">
        <v>45810</v>
      </c>
      <c r="D7558" t="inlineStr">
        <is>
          <t>VÄRMLANDS LÄN</t>
        </is>
      </c>
      <c r="E7558" t="inlineStr">
        <is>
          <t>GRUMS</t>
        </is>
      </c>
      <c r="G7558" t="n">
        <v>2.9</v>
      </c>
      <c r="H7558" t="n">
        <v>0</v>
      </c>
      <c r="I7558" t="n">
        <v>0</v>
      </c>
      <c r="J7558" t="n">
        <v>0</v>
      </c>
      <c r="K7558" t="n">
        <v>0</v>
      </c>
      <c r="L7558" t="n">
        <v>0</v>
      </c>
      <c r="M7558" t="n">
        <v>0</v>
      </c>
      <c r="N7558" t="n">
        <v>0</v>
      </c>
      <c r="O7558" t="n">
        <v>0</v>
      </c>
      <c r="P7558" t="n">
        <v>0</v>
      </c>
      <c r="Q7558" t="n">
        <v>0</v>
      </c>
      <c r="R7558" s="2" t="inlineStr"/>
    </row>
    <row r="7559" ht="15" customHeight="1">
      <c r="A7559" t="inlineStr">
        <is>
          <t>A 37085-2022</t>
        </is>
      </c>
      <c r="B7559" s="1" t="n">
        <v>44806</v>
      </c>
      <c r="C7559" s="1" t="n">
        <v>45810</v>
      </c>
      <c r="D7559" t="inlineStr">
        <is>
          <t>VÄRMLANDS LÄN</t>
        </is>
      </c>
      <c r="E7559" t="inlineStr">
        <is>
          <t>ARVIKA</t>
        </is>
      </c>
      <c r="G7559" t="n">
        <v>0.4</v>
      </c>
      <c r="H7559" t="n">
        <v>0</v>
      </c>
      <c r="I7559" t="n">
        <v>0</v>
      </c>
      <c r="J7559" t="n">
        <v>0</v>
      </c>
      <c r="K7559" t="n">
        <v>0</v>
      </c>
      <c r="L7559" t="n">
        <v>0</v>
      </c>
      <c r="M7559" t="n">
        <v>0</v>
      </c>
      <c r="N7559" t="n">
        <v>0</v>
      </c>
      <c r="O7559" t="n">
        <v>0</v>
      </c>
      <c r="P7559" t="n">
        <v>0</v>
      </c>
      <c r="Q7559" t="n">
        <v>0</v>
      </c>
      <c r="R7559" s="2" t="inlineStr"/>
    </row>
    <row r="7560" ht="15" customHeight="1">
      <c r="A7560" t="inlineStr">
        <is>
          <t>A 37046-2022</t>
        </is>
      </c>
      <c r="B7560" s="1" t="n">
        <v>44806</v>
      </c>
      <c r="C7560" s="1" t="n">
        <v>45810</v>
      </c>
      <c r="D7560" t="inlineStr">
        <is>
          <t>VÄRMLANDS LÄN</t>
        </is>
      </c>
      <c r="E7560" t="inlineStr">
        <is>
          <t>ÅRJÄNG</t>
        </is>
      </c>
      <c r="G7560" t="n">
        <v>1.5</v>
      </c>
      <c r="H7560" t="n">
        <v>0</v>
      </c>
      <c r="I7560" t="n">
        <v>0</v>
      </c>
      <c r="J7560" t="n">
        <v>0</v>
      </c>
      <c r="K7560" t="n">
        <v>0</v>
      </c>
      <c r="L7560" t="n">
        <v>0</v>
      </c>
      <c r="M7560" t="n">
        <v>0</v>
      </c>
      <c r="N7560" t="n">
        <v>0</v>
      </c>
      <c r="O7560" t="n">
        <v>0</v>
      </c>
      <c r="P7560" t="n">
        <v>0</v>
      </c>
      <c r="Q7560" t="n">
        <v>0</v>
      </c>
      <c r="R7560" s="2" t="inlineStr"/>
    </row>
    <row r="7561" ht="15" customHeight="1">
      <c r="A7561" t="inlineStr">
        <is>
          <t>A 37148-2022</t>
        </is>
      </c>
      <c r="B7561" s="1" t="n">
        <v>44806</v>
      </c>
      <c r="C7561" s="1" t="n">
        <v>45810</v>
      </c>
      <c r="D7561" t="inlineStr">
        <is>
          <t>VÄRMLANDS LÄN</t>
        </is>
      </c>
      <c r="E7561" t="inlineStr">
        <is>
          <t>TORSBY</t>
        </is>
      </c>
      <c r="F7561" t="inlineStr">
        <is>
          <t>Kommuner</t>
        </is>
      </c>
      <c r="G7561" t="n">
        <v>6</v>
      </c>
      <c r="H7561" t="n">
        <v>0</v>
      </c>
      <c r="I7561" t="n">
        <v>0</v>
      </c>
      <c r="J7561" t="n">
        <v>0</v>
      </c>
      <c r="K7561" t="n">
        <v>0</v>
      </c>
      <c r="L7561" t="n">
        <v>0</v>
      </c>
      <c r="M7561" t="n">
        <v>0</v>
      </c>
      <c r="N7561" t="n">
        <v>0</v>
      </c>
      <c r="O7561" t="n">
        <v>0</v>
      </c>
      <c r="P7561" t="n">
        <v>0</v>
      </c>
      <c r="Q7561" t="n">
        <v>0</v>
      </c>
      <c r="R7561" s="2" t="inlineStr"/>
    </row>
    <row r="7562" ht="15" customHeight="1">
      <c r="A7562" t="inlineStr">
        <is>
          <t>A 37222-2022</t>
        </is>
      </c>
      <c r="B7562" s="1" t="n">
        <v>44806</v>
      </c>
      <c r="C7562" s="1" t="n">
        <v>45810</v>
      </c>
      <c r="D7562" t="inlineStr">
        <is>
          <t>VÄRMLANDS LÄN</t>
        </is>
      </c>
      <c r="E7562" t="inlineStr">
        <is>
          <t>SUNNE</t>
        </is>
      </c>
      <c r="G7562" t="n">
        <v>2</v>
      </c>
      <c r="H7562" t="n">
        <v>0</v>
      </c>
      <c r="I7562" t="n">
        <v>0</v>
      </c>
      <c r="J7562" t="n">
        <v>0</v>
      </c>
      <c r="K7562" t="n">
        <v>0</v>
      </c>
      <c r="L7562" t="n">
        <v>0</v>
      </c>
      <c r="M7562" t="n">
        <v>0</v>
      </c>
      <c r="N7562" t="n">
        <v>0</v>
      </c>
      <c r="O7562" t="n">
        <v>0</v>
      </c>
      <c r="P7562" t="n">
        <v>0</v>
      </c>
      <c r="Q7562" t="n">
        <v>0</v>
      </c>
      <c r="R7562" s="2" t="inlineStr"/>
    </row>
    <row r="7563" ht="15" customHeight="1">
      <c r="A7563" t="inlineStr">
        <is>
          <t>A 37221-2022</t>
        </is>
      </c>
      <c r="B7563" s="1" t="n">
        <v>44806</v>
      </c>
      <c r="C7563" s="1" t="n">
        <v>45810</v>
      </c>
      <c r="D7563" t="inlineStr">
        <is>
          <t>VÄRMLANDS LÄN</t>
        </is>
      </c>
      <c r="E7563" t="inlineStr">
        <is>
          <t>SUNNE</t>
        </is>
      </c>
      <c r="G7563" t="n">
        <v>11.9</v>
      </c>
      <c r="H7563" t="n">
        <v>0</v>
      </c>
      <c r="I7563" t="n">
        <v>0</v>
      </c>
      <c r="J7563" t="n">
        <v>0</v>
      </c>
      <c r="K7563" t="n">
        <v>0</v>
      </c>
      <c r="L7563" t="n">
        <v>0</v>
      </c>
      <c r="M7563" t="n">
        <v>0</v>
      </c>
      <c r="N7563" t="n">
        <v>0</v>
      </c>
      <c r="O7563" t="n">
        <v>0</v>
      </c>
      <c r="P7563" t="n">
        <v>0</v>
      </c>
      <c r="Q7563" t="n">
        <v>0</v>
      </c>
      <c r="R7563" s="2" t="inlineStr"/>
    </row>
    <row r="7564" ht="15" customHeight="1">
      <c r="A7564" t="inlineStr">
        <is>
          <t>A 37339-2022</t>
        </is>
      </c>
      <c r="B7564" s="1" t="n">
        <v>44806</v>
      </c>
      <c r="C7564" s="1" t="n">
        <v>45810</v>
      </c>
      <c r="D7564" t="inlineStr">
        <is>
          <t>VÄRMLANDS LÄN</t>
        </is>
      </c>
      <c r="E7564" t="inlineStr">
        <is>
          <t>GRUMS</t>
        </is>
      </c>
      <c r="G7564" t="n">
        <v>1.8</v>
      </c>
      <c r="H7564" t="n">
        <v>0</v>
      </c>
      <c r="I7564" t="n">
        <v>0</v>
      </c>
      <c r="J7564" t="n">
        <v>0</v>
      </c>
      <c r="K7564" t="n">
        <v>0</v>
      </c>
      <c r="L7564" t="n">
        <v>0</v>
      </c>
      <c r="M7564" t="n">
        <v>0</v>
      </c>
      <c r="N7564" t="n">
        <v>0</v>
      </c>
      <c r="O7564" t="n">
        <v>0</v>
      </c>
      <c r="P7564" t="n">
        <v>0</v>
      </c>
      <c r="Q7564" t="n">
        <v>0</v>
      </c>
      <c r="R7564" s="2" t="inlineStr"/>
    </row>
    <row r="7565" ht="15" customHeight="1">
      <c r="A7565" t="inlineStr">
        <is>
          <t>A 37267-2022</t>
        </is>
      </c>
      <c r="B7565" s="1" t="n">
        <v>44807</v>
      </c>
      <c r="C7565" s="1" t="n">
        <v>45810</v>
      </c>
      <c r="D7565" t="inlineStr">
        <is>
          <t>VÄRMLANDS LÄN</t>
        </is>
      </c>
      <c r="E7565" t="inlineStr">
        <is>
          <t>GRUMS</t>
        </is>
      </c>
      <c r="G7565" t="n">
        <v>1.9</v>
      </c>
      <c r="H7565" t="n">
        <v>0</v>
      </c>
      <c r="I7565" t="n">
        <v>0</v>
      </c>
      <c r="J7565" t="n">
        <v>0</v>
      </c>
      <c r="K7565" t="n">
        <v>0</v>
      </c>
      <c r="L7565" t="n">
        <v>0</v>
      </c>
      <c r="M7565" t="n">
        <v>0</v>
      </c>
      <c r="N7565" t="n">
        <v>0</v>
      </c>
      <c r="O7565" t="n">
        <v>0</v>
      </c>
      <c r="P7565" t="n">
        <v>0</v>
      </c>
      <c r="Q7565" t="n">
        <v>0</v>
      </c>
      <c r="R7565" s="2" t="inlineStr"/>
    </row>
    <row r="7566" ht="15" customHeight="1">
      <c r="A7566" t="inlineStr">
        <is>
          <t>A 37279-2022</t>
        </is>
      </c>
      <c r="B7566" s="1" t="n">
        <v>44807</v>
      </c>
      <c r="C7566" s="1" t="n">
        <v>45810</v>
      </c>
      <c r="D7566" t="inlineStr">
        <is>
          <t>VÄRMLANDS LÄN</t>
        </is>
      </c>
      <c r="E7566" t="inlineStr">
        <is>
          <t>TORSBY</t>
        </is>
      </c>
      <c r="G7566" t="n">
        <v>18.2</v>
      </c>
      <c r="H7566" t="n">
        <v>0</v>
      </c>
      <c r="I7566" t="n">
        <v>0</v>
      </c>
      <c r="J7566" t="n">
        <v>0</v>
      </c>
      <c r="K7566" t="n">
        <v>0</v>
      </c>
      <c r="L7566" t="n">
        <v>0</v>
      </c>
      <c r="M7566" t="n">
        <v>0</v>
      </c>
      <c r="N7566" t="n">
        <v>0</v>
      </c>
      <c r="O7566" t="n">
        <v>0</v>
      </c>
      <c r="P7566" t="n">
        <v>0</v>
      </c>
      <c r="Q7566" t="n">
        <v>0</v>
      </c>
      <c r="R7566" s="2" t="inlineStr"/>
    </row>
    <row r="7567" ht="15" customHeight="1">
      <c r="A7567" t="inlineStr">
        <is>
          <t>A 37290-2022</t>
        </is>
      </c>
      <c r="B7567" s="1" t="n">
        <v>44808</v>
      </c>
      <c r="C7567" s="1" t="n">
        <v>45810</v>
      </c>
      <c r="D7567" t="inlineStr">
        <is>
          <t>VÄRMLANDS LÄN</t>
        </is>
      </c>
      <c r="E7567" t="inlineStr">
        <is>
          <t>SUNNE</t>
        </is>
      </c>
      <c r="G7567" t="n">
        <v>2</v>
      </c>
      <c r="H7567" t="n">
        <v>0</v>
      </c>
      <c r="I7567" t="n">
        <v>0</v>
      </c>
      <c r="J7567" t="n">
        <v>0</v>
      </c>
      <c r="K7567" t="n">
        <v>0</v>
      </c>
      <c r="L7567" t="n">
        <v>0</v>
      </c>
      <c r="M7567" t="n">
        <v>0</v>
      </c>
      <c r="N7567" t="n">
        <v>0</v>
      </c>
      <c r="O7567" t="n">
        <v>0</v>
      </c>
      <c r="P7567" t="n">
        <v>0</v>
      </c>
      <c r="Q7567" t="n">
        <v>0</v>
      </c>
      <c r="R7567" s="2" t="inlineStr"/>
    </row>
    <row r="7568" ht="15" customHeight="1">
      <c r="A7568" t="inlineStr">
        <is>
          <t>A 37298-2022</t>
        </is>
      </c>
      <c r="B7568" s="1" t="n">
        <v>44808</v>
      </c>
      <c r="C7568" s="1" t="n">
        <v>45810</v>
      </c>
      <c r="D7568" t="inlineStr">
        <is>
          <t>VÄRMLANDS LÄN</t>
        </is>
      </c>
      <c r="E7568" t="inlineStr">
        <is>
          <t>KARLSTAD</t>
        </is>
      </c>
      <c r="G7568" t="n">
        <v>0.6</v>
      </c>
      <c r="H7568" t="n">
        <v>0</v>
      </c>
      <c r="I7568" t="n">
        <v>0</v>
      </c>
      <c r="J7568" t="n">
        <v>0</v>
      </c>
      <c r="K7568" t="n">
        <v>0</v>
      </c>
      <c r="L7568" t="n">
        <v>0</v>
      </c>
      <c r="M7568" t="n">
        <v>0</v>
      </c>
      <c r="N7568" t="n">
        <v>0</v>
      </c>
      <c r="O7568" t="n">
        <v>0</v>
      </c>
      <c r="P7568" t="n">
        <v>0</v>
      </c>
      <c r="Q7568" t="n">
        <v>0</v>
      </c>
      <c r="R7568" s="2" t="inlineStr"/>
    </row>
    <row r="7569" ht="15" customHeight="1">
      <c r="A7569" t="inlineStr">
        <is>
          <t>A 37413-2022</t>
        </is>
      </c>
      <c r="B7569" s="1" t="n">
        <v>44808</v>
      </c>
      <c r="C7569" s="1" t="n">
        <v>45810</v>
      </c>
      <c r="D7569" t="inlineStr">
        <is>
          <t>VÄRMLANDS LÄN</t>
        </is>
      </c>
      <c r="E7569" t="inlineStr">
        <is>
          <t>ARVIKA</t>
        </is>
      </c>
      <c r="G7569" t="n">
        <v>4</v>
      </c>
      <c r="H7569" t="n">
        <v>0</v>
      </c>
      <c r="I7569" t="n">
        <v>0</v>
      </c>
      <c r="J7569" t="n">
        <v>0</v>
      </c>
      <c r="K7569" t="n">
        <v>0</v>
      </c>
      <c r="L7569" t="n">
        <v>0</v>
      </c>
      <c r="M7569" t="n">
        <v>0</v>
      </c>
      <c r="N7569" t="n">
        <v>0</v>
      </c>
      <c r="O7569" t="n">
        <v>0</v>
      </c>
      <c r="P7569" t="n">
        <v>0</v>
      </c>
      <c r="Q7569" t="n">
        <v>0</v>
      </c>
      <c r="R7569" s="2" t="inlineStr"/>
    </row>
    <row r="7570" ht="15" customHeight="1">
      <c r="A7570" t="inlineStr">
        <is>
          <t>A 37337-2022</t>
        </is>
      </c>
      <c r="B7570" s="1" t="n">
        <v>44809</v>
      </c>
      <c r="C7570" s="1" t="n">
        <v>45810</v>
      </c>
      <c r="D7570" t="inlineStr">
        <is>
          <t>VÄRMLANDS LÄN</t>
        </is>
      </c>
      <c r="E7570" t="inlineStr">
        <is>
          <t>STORFORS</t>
        </is>
      </c>
      <c r="F7570" t="inlineStr">
        <is>
          <t>Bergvik skog väst AB</t>
        </is>
      </c>
      <c r="G7570" t="n">
        <v>9.1</v>
      </c>
      <c r="H7570" t="n">
        <v>0</v>
      </c>
      <c r="I7570" t="n">
        <v>0</v>
      </c>
      <c r="J7570" t="n">
        <v>0</v>
      </c>
      <c r="K7570" t="n">
        <v>0</v>
      </c>
      <c r="L7570" t="n">
        <v>0</v>
      </c>
      <c r="M7570" t="n">
        <v>0</v>
      </c>
      <c r="N7570" t="n">
        <v>0</v>
      </c>
      <c r="O7570" t="n">
        <v>0</v>
      </c>
      <c r="P7570" t="n">
        <v>0</v>
      </c>
      <c r="Q7570" t="n">
        <v>0</v>
      </c>
      <c r="R7570" s="2" t="inlineStr"/>
    </row>
    <row r="7571" ht="15" customHeight="1">
      <c r="A7571" t="inlineStr">
        <is>
          <t>A 37342-2022</t>
        </is>
      </c>
      <c r="B7571" s="1" t="n">
        <v>44809</v>
      </c>
      <c r="C7571" s="1" t="n">
        <v>45810</v>
      </c>
      <c r="D7571" t="inlineStr">
        <is>
          <t>VÄRMLANDS LÄN</t>
        </is>
      </c>
      <c r="E7571" t="inlineStr">
        <is>
          <t>SUNNE</t>
        </is>
      </c>
      <c r="G7571" t="n">
        <v>3</v>
      </c>
      <c r="H7571" t="n">
        <v>0</v>
      </c>
      <c r="I7571" t="n">
        <v>0</v>
      </c>
      <c r="J7571" t="n">
        <v>0</v>
      </c>
      <c r="K7571" t="n">
        <v>0</v>
      </c>
      <c r="L7571" t="n">
        <v>0</v>
      </c>
      <c r="M7571" t="n">
        <v>0</v>
      </c>
      <c r="N7571" t="n">
        <v>0</v>
      </c>
      <c r="O7571" t="n">
        <v>0</v>
      </c>
      <c r="P7571" t="n">
        <v>0</v>
      </c>
      <c r="Q7571" t="n">
        <v>0</v>
      </c>
      <c r="R7571" s="2" t="inlineStr"/>
    </row>
    <row r="7572" ht="15" customHeight="1">
      <c r="A7572" t="inlineStr">
        <is>
          <t>A 37331-2022</t>
        </is>
      </c>
      <c r="B7572" s="1" t="n">
        <v>44809</v>
      </c>
      <c r="C7572" s="1" t="n">
        <v>45810</v>
      </c>
      <c r="D7572" t="inlineStr">
        <is>
          <t>VÄRMLANDS LÄN</t>
        </is>
      </c>
      <c r="E7572" t="inlineStr">
        <is>
          <t>SUNNE</t>
        </is>
      </c>
      <c r="G7572" t="n">
        <v>9.199999999999999</v>
      </c>
      <c r="H7572" t="n">
        <v>0</v>
      </c>
      <c r="I7572" t="n">
        <v>0</v>
      </c>
      <c r="J7572" t="n">
        <v>0</v>
      </c>
      <c r="K7572" t="n">
        <v>0</v>
      </c>
      <c r="L7572" t="n">
        <v>0</v>
      </c>
      <c r="M7572" t="n">
        <v>0</v>
      </c>
      <c r="N7572" t="n">
        <v>0</v>
      </c>
      <c r="O7572" t="n">
        <v>0</v>
      </c>
      <c r="P7572" t="n">
        <v>0</v>
      </c>
      <c r="Q7572" t="n">
        <v>0</v>
      </c>
      <c r="R7572" s="2" t="inlineStr"/>
    </row>
    <row r="7573" ht="15" customHeight="1">
      <c r="A7573" t="inlineStr">
        <is>
          <t>A 37338-2022</t>
        </is>
      </c>
      <c r="B7573" s="1" t="n">
        <v>44809</v>
      </c>
      <c r="C7573" s="1" t="n">
        <v>45810</v>
      </c>
      <c r="D7573" t="inlineStr">
        <is>
          <t>VÄRMLANDS LÄN</t>
        </is>
      </c>
      <c r="E7573" t="inlineStr">
        <is>
          <t>SUNNE</t>
        </is>
      </c>
      <c r="G7573" t="n">
        <v>6.8</v>
      </c>
      <c r="H7573" t="n">
        <v>0</v>
      </c>
      <c r="I7573" t="n">
        <v>0</v>
      </c>
      <c r="J7573" t="n">
        <v>0</v>
      </c>
      <c r="K7573" t="n">
        <v>0</v>
      </c>
      <c r="L7573" t="n">
        <v>0</v>
      </c>
      <c r="M7573" t="n">
        <v>0</v>
      </c>
      <c r="N7573" t="n">
        <v>0</v>
      </c>
      <c r="O7573" t="n">
        <v>0</v>
      </c>
      <c r="P7573" t="n">
        <v>0</v>
      </c>
      <c r="Q7573" t="n">
        <v>0</v>
      </c>
      <c r="R7573" s="2" t="inlineStr"/>
    </row>
    <row r="7574" ht="15" customHeight="1">
      <c r="A7574" t="inlineStr">
        <is>
          <t>A 37401-2022</t>
        </is>
      </c>
      <c r="B7574" s="1" t="n">
        <v>44809</v>
      </c>
      <c r="C7574" s="1" t="n">
        <v>45810</v>
      </c>
      <c r="D7574" t="inlineStr">
        <is>
          <t>VÄRMLANDS LÄN</t>
        </is>
      </c>
      <c r="E7574" t="inlineStr">
        <is>
          <t>TORSBY</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37449-2022</t>
        </is>
      </c>
      <c r="B7575" s="1" t="n">
        <v>44809</v>
      </c>
      <c r="C7575" s="1" t="n">
        <v>45810</v>
      </c>
      <c r="D7575" t="inlineStr">
        <is>
          <t>VÄRMLANDS LÄN</t>
        </is>
      </c>
      <c r="E7575" t="inlineStr">
        <is>
          <t>TORSBY</t>
        </is>
      </c>
      <c r="G7575" t="n">
        <v>2.5</v>
      </c>
      <c r="H7575" t="n">
        <v>0</v>
      </c>
      <c r="I7575" t="n">
        <v>0</v>
      </c>
      <c r="J7575" t="n">
        <v>0</v>
      </c>
      <c r="K7575" t="n">
        <v>0</v>
      </c>
      <c r="L7575" t="n">
        <v>0</v>
      </c>
      <c r="M7575" t="n">
        <v>0</v>
      </c>
      <c r="N7575" t="n">
        <v>0</v>
      </c>
      <c r="O7575" t="n">
        <v>0</v>
      </c>
      <c r="P7575" t="n">
        <v>0</v>
      </c>
      <c r="Q7575" t="n">
        <v>0</v>
      </c>
      <c r="R7575" s="2" t="inlineStr"/>
    </row>
    <row r="7576" ht="15" customHeight="1">
      <c r="A7576" t="inlineStr">
        <is>
          <t>A 37463-2022</t>
        </is>
      </c>
      <c r="B7576" s="1" t="n">
        <v>44809</v>
      </c>
      <c r="C7576" s="1" t="n">
        <v>45810</v>
      </c>
      <c r="D7576" t="inlineStr">
        <is>
          <t>VÄRMLANDS LÄN</t>
        </is>
      </c>
      <c r="E7576" t="inlineStr">
        <is>
          <t>HAGFORS</t>
        </is>
      </c>
      <c r="G7576" t="n">
        <v>1.7</v>
      </c>
      <c r="H7576" t="n">
        <v>0</v>
      </c>
      <c r="I7576" t="n">
        <v>0</v>
      </c>
      <c r="J7576" t="n">
        <v>0</v>
      </c>
      <c r="K7576" t="n">
        <v>0</v>
      </c>
      <c r="L7576" t="n">
        <v>0</v>
      </c>
      <c r="M7576" t="n">
        <v>0</v>
      </c>
      <c r="N7576" t="n">
        <v>0</v>
      </c>
      <c r="O7576" t="n">
        <v>0</v>
      </c>
      <c r="P7576" t="n">
        <v>0</v>
      </c>
      <c r="Q7576" t="n">
        <v>0</v>
      </c>
      <c r="R7576" s="2" t="inlineStr"/>
    </row>
    <row r="7577" ht="15" customHeight="1">
      <c r="A7577" t="inlineStr">
        <is>
          <t>A 37334-2022</t>
        </is>
      </c>
      <c r="B7577" s="1" t="n">
        <v>44809</v>
      </c>
      <c r="C7577" s="1" t="n">
        <v>45810</v>
      </c>
      <c r="D7577" t="inlineStr">
        <is>
          <t>VÄRMLANDS LÄN</t>
        </is>
      </c>
      <c r="E7577" t="inlineStr">
        <is>
          <t>SUNNE</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37340-2022</t>
        </is>
      </c>
      <c r="B7578" s="1" t="n">
        <v>44809</v>
      </c>
      <c r="C7578" s="1" t="n">
        <v>45810</v>
      </c>
      <c r="D7578" t="inlineStr">
        <is>
          <t>VÄRMLANDS LÄN</t>
        </is>
      </c>
      <c r="E7578" t="inlineStr">
        <is>
          <t>TORSBY</t>
        </is>
      </c>
      <c r="G7578" t="n">
        <v>1.3</v>
      </c>
      <c r="H7578" t="n">
        <v>0</v>
      </c>
      <c r="I7578" t="n">
        <v>0</v>
      </c>
      <c r="J7578" t="n">
        <v>0</v>
      </c>
      <c r="K7578" t="n">
        <v>0</v>
      </c>
      <c r="L7578" t="n">
        <v>0</v>
      </c>
      <c r="M7578" t="n">
        <v>0</v>
      </c>
      <c r="N7578" t="n">
        <v>0</v>
      </c>
      <c r="O7578" t="n">
        <v>0</v>
      </c>
      <c r="P7578" t="n">
        <v>0</v>
      </c>
      <c r="Q7578" t="n">
        <v>0</v>
      </c>
      <c r="R7578" s="2" t="inlineStr"/>
    </row>
    <row r="7579" ht="15" customHeight="1">
      <c r="A7579" t="inlineStr">
        <is>
          <t>A 37346-2022</t>
        </is>
      </c>
      <c r="B7579" s="1" t="n">
        <v>44809</v>
      </c>
      <c r="C7579" s="1" t="n">
        <v>45810</v>
      </c>
      <c r="D7579" t="inlineStr">
        <is>
          <t>VÄRMLANDS LÄN</t>
        </is>
      </c>
      <c r="E7579" t="inlineStr">
        <is>
          <t>SUNNE</t>
        </is>
      </c>
      <c r="G7579" t="n">
        <v>1.7</v>
      </c>
      <c r="H7579" t="n">
        <v>0</v>
      </c>
      <c r="I7579" t="n">
        <v>0</v>
      </c>
      <c r="J7579" t="n">
        <v>0</v>
      </c>
      <c r="K7579" t="n">
        <v>0</v>
      </c>
      <c r="L7579" t="n">
        <v>0</v>
      </c>
      <c r="M7579" t="n">
        <v>0</v>
      </c>
      <c r="N7579" t="n">
        <v>0</v>
      </c>
      <c r="O7579" t="n">
        <v>0</v>
      </c>
      <c r="P7579" t="n">
        <v>0</v>
      </c>
      <c r="Q7579" t="n">
        <v>0</v>
      </c>
      <c r="R7579" s="2" t="inlineStr"/>
    </row>
    <row r="7580" ht="15" customHeight="1">
      <c r="A7580" t="inlineStr">
        <is>
          <t>A 37486-2022</t>
        </is>
      </c>
      <c r="B7580" s="1" t="n">
        <v>44809</v>
      </c>
      <c r="C7580" s="1" t="n">
        <v>45810</v>
      </c>
      <c r="D7580" t="inlineStr">
        <is>
          <t>VÄRMLANDS LÄN</t>
        </is>
      </c>
      <c r="E7580" t="inlineStr">
        <is>
          <t>GRUMS</t>
        </is>
      </c>
      <c r="G7580" t="n">
        <v>8.6</v>
      </c>
      <c r="H7580" t="n">
        <v>0</v>
      </c>
      <c r="I7580" t="n">
        <v>0</v>
      </c>
      <c r="J7580" t="n">
        <v>0</v>
      </c>
      <c r="K7580" t="n">
        <v>0</v>
      </c>
      <c r="L7580" t="n">
        <v>0</v>
      </c>
      <c r="M7580" t="n">
        <v>0</v>
      </c>
      <c r="N7580" t="n">
        <v>0</v>
      </c>
      <c r="O7580" t="n">
        <v>0</v>
      </c>
      <c r="P7580" t="n">
        <v>0</v>
      </c>
      <c r="Q7580" t="n">
        <v>0</v>
      </c>
      <c r="R7580" s="2" t="inlineStr"/>
    </row>
    <row r="7581" ht="15" customHeight="1">
      <c r="A7581" t="inlineStr">
        <is>
          <t>A 37543-2022</t>
        </is>
      </c>
      <c r="B7581" s="1" t="n">
        <v>44809</v>
      </c>
      <c r="C7581" s="1" t="n">
        <v>45810</v>
      </c>
      <c r="D7581" t="inlineStr">
        <is>
          <t>VÄRMLANDS LÄN</t>
        </is>
      </c>
      <c r="E7581" t="inlineStr">
        <is>
          <t>FORSHAGA</t>
        </is>
      </c>
      <c r="G7581" t="n">
        <v>2.1</v>
      </c>
      <c r="H7581" t="n">
        <v>0</v>
      </c>
      <c r="I7581" t="n">
        <v>0</v>
      </c>
      <c r="J7581" t="n">
        <v>0</v>
      </c>
      <c r="K7581" t="n">
        <v>0</v>
      </c>
      <c r="L7581" t="n">
        <v>0</v>
      </c>
      <c r="M7581" t="n">
        <v>0</v>
      </c>
      <c r="N7581" t="n">
        <v>0</v>
      </c>
      <c r="O7581" t="n">
        <v>0</v>
      </c>
      <c r="P7581" t="n">
        <v>0</v>
      </c>
      <c r="Q7581" t="n">
        <v>0</v>
      </c>
      <c r="R7581" s="2" t="inlineStr"/>
    </row>
    <row r="7582" ht="15" customHeight="1">
      <c r="A7582" t="inlineStr">
        <is>
          <t>A 37538-2022</t>
        </is>
      </c>
      <c r="B7582" s="1" t="n">
        <v>44809</v>
      </c>
      <c r="C7582" s="1" t="n">
        <v>45810</v>
      </c>
      <c r="D7582" t="inlineStr">
        <is>
          <t>VÄRMLANDS LÄN</t>
        </is>
      </c>
      <c r="E7582" t="inlineStr">
        <is>
          <t>EDA</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37562-2022</t>
        </is>
      </c>
      <c r="B7583" s="1" t="n">
        <v>44809</v>
      </c>
      <c r="C7583" s="1" t="n">
        <v>45810</v>
      </c>
      <c r="D7583" t="inlineStr">
        <is>
          <t>VÄRMLANDS LÄN</t>
        </is>
      </c>
      <c r="E7583" t="inlineStr">
        <is>
          <t>SUNNE</t>
        </is>
      </c>
      <c r="F7583" t="inlineStr">
        <is>
          <t>Bergvik skog väst AB</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37611-2022</t>
        </is>
      </c>
      <c r="B7584" s="1" t="n">
        <v>44809</v>
      </c>
      <c r="C7584" s="1" t="n">
        <v>45810</v>
      </c>
      <c r="D7584" t="inlineStr">
        <is>
          <t>VÄRMLANDS LÄN</t>
        </is>
      </c>
      <c r="E7584" t="inlineStr">
        <is>
          <t>FILIPSTAD</t>
        </is>
      </c>
      <c r="G7584" t="n">
        <v>5.4</v>
      </c>
      <c r="H7584" t="n">
        <v>0</v>
      </c>
      <c r="I7584" t="n">
        <v>0</v>
      </c>
      <c r="J7584" t="n">
        <v>0</v>
      </c>
      <c r="K7584" t="n">
        <v>0</v>
      </c>
      <c r="L7584" t="n">
        <v>0</v>
      </c>
      <c r="M7584" t="n">
        <v>0</v>
      </c>
      <c r="N7584" t="n">
        <v>0</v>
      </c>
      <c r="O7584" t="n">
        <v>0</v>
      </c>
      <c r="P7584" t="n">
        <v>0</v>
      </c>
      <c r="Q7584" t="n">
        <v>0</v>
      </c>
      <c r="R7584" s="2" t="inlineStr"/>
    </row>
    <row r="7585" ht="15" customHeight="1">
      <c r="A7585" t="inlineStr">
        <is>
          <t>A 37647-2022</t>
        </is>
      </c>
      <c r="B7585" s="1" t="n">
        <v>44810</v>
      </c>
      <c r="C7585" s="1" t="n">
        <v>45810</v>
      </c>
      <c r="D7585" t="inlineStr">
        <is>
          <t>VÄRMLANDS LÄN</t>
        </is>
      </c>
      <c r="E7585" t="inlineStr">
        <is>
          <t>SÄFFLE</t>
        </is>
      </c>
      <c r="G7585" t="n">
        <v>3.6</v>
      </c>
      <c r="H7585" t="n">
        <v>0</v>
      </c>
      <c r="I7585" t="n">
        <v>0</v>
      </c>
      <c r="J7585" t="n">
        <v>0</v>
      </c>
      <c r="K7585" t="n">
        <v>0</v>
      </c>
      <c r="L7585" t="n">
        <v>0</v>
      </c>
      <c r="M7585" t="n">
        <v>0</v>
      </c>
      <c r="N7585" t="n">
        <v>0</v>
      </c>
      <c r="O7585" t="n">
        <v>0</v>
      </c>
      <c r="P7585" t="n">
        <v>0</v>
      </c>
      <c r="Q7585" t="n">
        <v>0</v>
      </c>
      <c r="R7585" s="2" t="inlineStr"/>
    </row>
    <row r="7586" ht="15" customHeight="1">
      <c r="A7586" t="inlineStr">
        <is>
          <t>A 37752-2022</t>
        </is>
      </c>
      <c r="B7586" s="1" t="n">
        <v>44810</v>
      </c>
      <c r="C7586" s="1" t="n">
        <v>45810</v>
      </c>
      <c r="D7586" t="inlineStr">
        <is>
          <t>VÄRMLANDS LÄN</t>
        </is>
      </c>
      <c r="E7586" t="inlineStr">
        <is>
          <t>TORSBY</t>
        </is>
      </c>
      <c r="F7586" t="inlineStr">
        <is>
          <t>Kyrkan</t>
        </is>
      </c>
      <c r="G7586" t="n">
        <v>4.5</v>
      </c>
      <c r="H7586" t="n">
        <v>0</v>
      </c>
      <c r="I7586" t="n">
        <v>0</v>
      </c>
      <c r="J7586" t="n">
        <v>0</v>
      </c>
      <c r="K7586" t="n">
        <v>0</v>
      </c>
      <c r="L7586" t="n">
        <v>0</v>
      </c>
      <c r="M7586" t="n">
        <v>0</v>
      </c>
      <c r="N7586" t="n">
        <v>0</v>
      </c>
      <c r="O7586" t="n">
        <v>0</v>
      </c>
      <c r="P7586" t="n">
        <v>0</v>
      </c>
      <c r="Q7586" t="n">
        <v>0</v>
      </c>
      <c r="R7586" s="2" t="inlineStr"/>
    </row>
    <row r="7587" ht="15" customHeight="1">
      <c r="A7587" t="inlineStr">
        <is>
          <t>A 37613-2022</t>
        </is>
      </c>
      <c r="B7587" s="1" t="n">
        <v>44810</v>
      </c>
      <c r="C7587" s="1" t="n">
        <v>45810</v>
      </c>
      <c r="D7587" t="inlineStr">
        <is>
          <t>VÄRMLANDS LÄN</t>
        </is>
      </c>
      <c r="E7587" t="inlineStr">
        <is>
          <t>EDA</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37695-2022</t>
        </is>
      </c>
      <c r="B7588" s="1" t="n">
        <v>44810</v>
      </c>
      <c r="C7588" s="1" t="n">
        <v>45810</v>
      </c>
      <c r="D7588" t="inlineStr">
        <is>
          <t>VÄRMLANDS LÄN</t>
        </is>
      </c>
      <c r="E7588" t="inlineStr">
        <is>
          <t>ARVIKA</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37745-2022</t>
        </is>
      </c>
      <c r="B7589" s="1" t="n">
        <v>44810</v>
      </c>
      <c r="C7589" s="1" t="n">
        <v>45810</v>
      </c>
      <c r="D7589" t="inlineStr">
        <is>
          <t>VÄRMLANDS LÄN</t>
        </is>
      </c>
      <c r="E7589" t="inlineStr">
        <is>
          <t>HAGFORS</t>
        </is>
      </c>
      <c r="F7589" t="inlineStr">
        <is>
          <t>Kyrkan</t>
        </is>
      </c>
      <c r="G7589" t="n">
        <v>2.4</v>
      </c>
      <c r="H7589" t="n">
        <v>0</v>
      </c>
      <c r="I7589" t="n">
        <v>0</v>
      </c>
      <c r="J7589" t="n">
        <v>0</v>
      </c>
      <c r="K7589" t="n">
        <v>0</v>
      </c>
      <c r="L7589" t="n">
        <v>0</v>
      </c>
      <c r="M7589" t="n">
        <v>0</v>
      </c>
      <c r="N7589" t="n">
        <v>0</v>
      </c>
      <c r="O7589" t="n">
        <v>0</v>
      </c>
      <c r="P7589" t="n">
        <v>0</v>
      </c>
      <c r="Q7589" t="n">
        <v>0</v>
      </c>
      <c r="R7589" s="2" t="inlineStr"/>
    </row>
    <row r="7590" ht="15" customHeight="1">
      <c r="A7590" t="inlineStr">
        <is>
          <t>A 37757-2022</t>
        </is>
      </c>
      <c r="B7590" s="1" t="n">
        <v>44810</v>
      </c>
      <c r="C7590" s="1" t="n">
        <v>45810</v>
      </c>
      <c r="D7590" t="inlineStr">
        <is>
          <t>VÄRMLANDS LÄN</t>
        </is>
      </c>
      <c r="E7590" t="inlineStr">
        <is>
          <t>KRISTINEHAMN</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37814-2022</t>
        </is>
      </c>
      <c r="B7591" s="1" t="n">
        <v>44810</v>
      </c>
      <c r="C7591" s="1" t="n">
        <v>45810</v>
      </c>
      <c r="D7591" t="inlineStr">
        <is>
          <t>VÄRMLANDS LÄN</t>
        </is>
      </c>
      <c r="E7591" t="inlineStr">
        <is>
          <t>TORSBY</t>
        </is>
      </c>
      <c r="F7591" t="inlineStr">
        <is>
          <t>Bergvik skog väst AB</t>
        </is>
      </c>
      <c r="G7591" t="n">
        <v>1.5</v>
      </c>
      <c r="H7591" t="n">
        <v>0</v>
      </c>
      <c r="I7591" t="n">
        <v>0</v>
      </c>
      <c r="J7591" t="n">
        <v>0</v>
      </c>
      <c r="K7591" t="n">
        <v>0</v>
      </c>
      <c r="L7591" t="n">
        <v>0</v>
      </c>
      <c r="M7591" t="n">
        <v>0</v>
      </c>
      <c r="N7591" t="n">
        <v>0</v>
      </c>
      <c r="O7591" t="n">
        <v>0</v>
      </c>
      <c r="P7591" t="n">
        <v>0</v>
      </c>
      <c r="Q7591" t="n">
        <v>0</v>
      </c>
      <c r="R7591" s="2" t="inlineStr"/>
    </row>
    <row r="7592" ht="15" customHeight="1">
      <c r="A7592" t="inlineStr">
        <is>
          <t>A 37773-2022</t>
        </is>
      </c>
      <c r="B7592" s="1" t="n">
        <v>44810</v>
      </c>
      <c r="C7592" s="1" t="n">
        <v>45810</v>
      </c>
      <c r="D7592" t="inlineStr">
        <is>
          <t>VÄRMLANDS LÄN</t>
        </is>
      </c>
      <c r="E7592" t="inlineStr">
        <is>
          <t>HAGFORS</t>
        </is>
      </c>
      <c r="G7592" t="n">
        <v>10.3</v>
      </c>
      <c r="H7592" t="n">
        <v>0</v>
      </c>
      <c r="I7592" t="n">
        <v>0</v>
      </c>
      <c r="J7592" t="n">
        <v>0</v>
      </c>
      <c r="K7592" t="n">
        <v>0</v>
      </c>
      <c r="L7592" t="n">
        <v>0</v>
      </c>
      <c r="M7592" t="n">
        <v>0</v>
      </c>
      <c r="N7592" t="n">
        <v>0</v>
      </c>
      <c r="O7592" t="n">
        <v>0</v>
      </c>
      <c r="P7592" t="n">
        <v>0</v>
      </c>
      <c r="Q7592" t="n">
        <v>0</v>
      </c>
      <c r="R7592" s="2" t="inlineStr"/>
    </row>
    <row r="7593" ht="15" customHeight="1">
      <c r="A7593" t="inlineStr">
        <is>
          <t>A 37754-2022</t>
        </is>
      </c>
      <c r="B7593" s="1" t="n">
        <v>44810</v>
      </c>
      <c r="C7593" s="1" t="n">
        <v>45810</v>
      </c>
      <c r="D7593" t="inlineStr">
        <is>
          <t>VÄRMLANDS LÄN</t>
        </is>
      </c>
      <c r="E7593" t="inlineStr">
        <is>
          <t>TORSBY</t>
        </is>
      </c>
      <c r="F7593" t="inlineStr">
        <is>
          <t>Kyrkan</t>
        </is>
      </c>
      <c r="G7593" t="n">
        <v>0.9</v>
      </c>
      <c r="H7593" t="n">
        <v>0</v>
      </c>
      <c r="I7593" t="n">
        <v>0</v>
      </c>
      <c r="J7593" t="n">
        <v>0</v>
      </c>
      <c r="K7593" t="n">
        <v>0</v>
      </c>
      <c r="L7593" t="n">
        <v>0</v>
      </c>
      <c r="M7593" t="n">
        <v>0</v>
      </c>
      <c r="N7593" t="n">
        <v>0</v>
      </c>
      <c r="O7593" t="n">
        <v>0</v>
      </c>
      <c r="P7593" t="n">
        <v>0</v>
      </c>
      <c r="Q7593" t="n">
        <v>0</v>
      </c>
      <c r="R7593" s="2" t="inlineStr"/>
    </row>
    <row r="7594" ht="15" customHeight="1">
      <c r="A7594" t="inlineStr">
        <is>
          <t>A 37794-2022</t>
        </is>
      </c>
      <c r="B7594" s="1" t="n">
        <v>44810</v>
      </c>
      <c r="C7594" s="1" t="n">
        <v>45810</v>
      </c>
      <c r="D7594" t="inlineStr">
        <is>
          <t>VÄRMLANDS LÄN</t>
        </is>
      </c>
      <c r="E7594" t="inlineStr">
        <is>
          <t>KRISTINEHAMN</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37913-2022</t>
        </is>
      </c>
      <c r="B7595" s="1" t="n">
        <v>44811</v>
      </c>
      <c r="C7595" s="1" t="n">
        <v>45810</v>
      </c>
      <c r="D7595" t="inlineStr">
        <is>
          <t>VÄRMLANDS LÄN</t>
        </is>
      </c>
      <c r="E7595" t="inlineStr">
        <is>
          <t>TORSBY</t>
        </is>
      </c>
      <c r="G7595" t="n">
        <v>3.7</v>
      </c>
      <c r="H7595" t="n">
        <v>0</v>
      </c>
      <c r="I7595" t="n">
        <v>0</v>
      </c>
      <c r="J7595" t="n">
        <v>0</v>
      </c>
      <c r="K7595" t="n">
        <v>0</v>
      </c>
      <c r="L7595" t="n">
        <v>0</v>
      </c>
      <c r="M7595" t="n">
        <v>0</v>
      </c>
      <c r="N7595" t="n">
        <v>0</v>
      </c>
      <c r="O7595" t="n">
        <v>0</v>
      </c>
      <c r="P7595" t="n">
        <v>0</v>
      </c>
      <c r="Q7595" t="n">
        <v>0</v>
      </c>
      <c r="R7595" s="2" t="inlineStr"/>
    </row>
    <row r="7596" ht="15" customHeight="1">
      <c r="A7596" t="inlineStr">
        <is>
          <t>A 37918-2022</t>
        </is>
      </c>
      <c r="B7596" s="1" t="n">
        <v>44811</v>
      </c>
      <c r="C7596" s="1" t="n">
        <v>45810</v>
      </c>
      <c r="D7596" t="inlineStr">
        <is>
          <t>VÄRMLANDS LÄN</t>
        </is>
      </c>
      <c r="E7596" t="inlineStr">
        <is>
          <t>KIL</t>
        </is>
      </c>
      <c r="G7596" t="n">
        <v>3.9</v>
      </c>
      <c r="H7596" t="n">
        <v>0</v>
      </c>
      <c r="I7596" t="n">
        <v>0</v>
      </c>
      <c r="J7596" t="n">
        <v>0</v>
      </c>
      <c r="K7596" t="n">
        <v>0</v>
      </c>
      <c r="L7596" t="n">
        <v>0</v>
      </c>
      <c r="M7596" t="n">
        <v>0</v>
      </c>
      <c r="N7596" t="n">
        <v>0</v>
      </c>
      <c r="O7596" t="n">
        <v>0</v>
      </c>
      <c r="P7596" t="n">
        <v>0</v>
      </c>
      <c r="Q7596" t="n">
        <v>0</v>
      </c>
      <c r="R7596" s="2" t="inlineStr"/>
    </row>
    <row r="7597" ht="15" customHeight="1">
      <c r="A7597" t="inlineStr">
        <is>
          <t>A 37929-2022</t>
        </is>
      </c>
      <c r="B7597" s="1" t="n">
        <v>44811</v>
      </c>
      <c r="C7597" s="1" t="n">
        <v>45810</v>
      </c>
      <c r="D7597" t="inlineStr">
        <is>
          <t>VÄRMLANDS LÄN</t>
        </is>
      </c>
      <c r="E7597" t="inlineStr">
        <is>
          <t>TORSBY</t>
        </is>
      </c>
      <c r="G7597" t="n">
        <v>2.6</v>
      </c>
      <c r="H7597" t="n">
        <v>0</v>
      </c>
      <c r="I7597" t="n">
        <v>0</v>
      </c>
      <c r="J7597" t="n">
        <v>0</v>
      </c>
      <c r="K7597" t="n">
        <v>0</v>
      </c>
      <c r="L7597" t="n">
        <v>0</v>
      </c>
      <c r="M7597" t="n">
        <v>0</v>
      </c>
      <c r="N7597" t="n">
        <v>0</v>
      </c>
      <c r="O7597" t="n">
        <v>0</v>
      </c>
      <c r="P7597" t="n">
        <v>0</v>
      </c>
      <c r="Q7597" t="n">
        <v>0</v>
      </c>
      <c r="R7597" s="2" t="inlineStr"/>
    </row>
    <row r="7598" ht="15" customHeight="1">
      <c r="A7598" t="inlineStr">
        <is>
          <t>A 37949-2022</t>
        </is>
      </c>
      <c r="B7598" s="1" t="n">
        <v>44811</v>
      </c>
      <c r="C7598" s="1" t="n">
        <v>45810</v>
      </c>
      <c r="D7598" t="inlineStr">
        <is>
          <t>VÄRMLANDS LÄN</t>
        </is>
      </c>
      <c r="E7598" t="inlineStr">
        <is>
          <t>ÅRJÄNG</t>
        </is>
      </c>
      <c r="G7598" t="n">
        <v>0.5</v>
      </c>
      <c r="H7598" t="n">
        <v>0</v>
      </c>
      <c r="I7598" t="n">
        <v>0</v>
      </c>
      <c r="J7598" t="n">
        <v>0</v>
      </c>
      <c r="K7598" t="n">
        <v>0</v>
      </c>
      <c r="L7598" t="n">
        <v>0</v>
      </c>
      <c r="M7598" t="n">
        <v>0</v>
      </c>
      <c r="N7598" t="n">
        <v>0</v>
      </c>
      <c r="O7598" t="n">
        <v>0</v>
      </c>
      <c r="P7598" t="n">
        <v>0</v>
      </c>
      <c r="Q7598" t="n">
        <v>0</v>
      </c>
      <c r="R7598" s="2" t="inlineStr"/>
    </row>
    <row r="7599" ht="15" customHeight="1">
      <c r="A7599" t="inlineStr">
        <is>
          <t>A 37962-2022</t>
        </is>
      </c>
      <c r="B7599" s="1" t="n">
        <v>44811</v>
      </c>
      <c r="C7599" s="1" t="n">
        <v>45810</v>
      </c>
      <c r="D7599" t="inlineStr">
        <is>
          <t>VÄRMLANDS LÄN</t>
        </is>
      </c>
      <c r="E7599" t="inlineStr">
        <is>
          <t>KIL</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37917-2022</t>
        </is>
      </c>
      <c r="B7600" s="1" t="n">
        <v>44811</v>
      </c>
      <c r="C7600" s="1" t="n">
        <v>45810</v>
      </c>
      <c r="D7600" t="inlineStr">
        <is>
          <t>VÄRMLANDS LÄN</t>
        </is>
      </c>
      <c r="E7600" t="inlineStr">
        <is>
          <t>TORSBY</t>
        </is>
      </c>
      <c r="G7600" t="n">
        <v>0.8</v>
      </c>
      <c r="H7600" t="n">
        <v>0</v>
      </c>
      <c r="I7600" t="n">
        <v>0</v>
      </c>
      <c r="J7600" t="n">
        <v>0</v>
      </c>
      <c r="K7600" t="n">
        <v>0</v>
      </c>
      <c r="L7600" t="n">
        <v>0</v>
      </c>
      <c r="M7600" t="n">
        <v>0</v>
      </c>
      <c r="N7600" t="n">
        <v>0</v>
      </c>
      <c r="O7600" t="n">
        <v>0</v>
      </c>
      <c r="P7600" t="n">
        <v>0</v>
      </c>
      <c r="Q7600" t="n">
        <v>0</v>
      </c>
      <c r="R7600" s="2" t="inlineStr"/>
    </row>
    <row r="7601" ht="15" customHeight="1">
      <c r="A7601" t="inlineStr">
        <is>
          <t>A 37937-2022</t>
        </is>
      </c>
      <c r="B7601" s="1" t="n">
        <v>44811</v>
      </c>
      <c r="C7601" s="1" t="n">
        <v>45810</v>
      </c>
      <c r="D7601" t="inlineStr">
        <is>
          <t>VÄRMLANDS LÄN</t>
        </is>
      </c>
      <c r="E7601" t="inlineStr">
        <is>
          <t>TORSBY</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37985-2022</t>
        </is>
      </c>
      <c r="B7602" s="1" t="n">
        <v>44811</v>
      </c>
      <c r="C7602" s="1" t="n">
        <v>45810</v>
      </c>
      <c r="D7602" t="inlineStr">
        <is>
          <t>VÄRMLANDS LÄN</t>
        </is>
      </c>
      <c r="E7602" t="inlineStr">
        <is>
          <t>TORSBY</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38033-2022</t>
        </is>
      </c>
      <c r="B7603" s="1" t="n">
        <v>44811</v>
      </c>
      <c r="C7603" s="1" t="n">
        <v>45810</v>
      </c>
      <c r="D7603" t="inlineStr">
        <is>
          <t>VÄRMLANDS LÄN</t>
        </is>
      </c>
      <c r="E7603" t="inlineStr">
        <is>
          <t>TORSBY</t>
        </is>
      </c>
      <c r="G7603" t="n">
        <v>3.5</v>
      </c>
      <c r="H7603" t="n">
        <v>0</v>
      </c>
      <c r="I7603" t="n">
        <v>0</v>
      </c>
      <c r="J7603" t="n">
        <v>0</v>
      </c>
      <c r="K7603" t="n">
        <v>0</v>
      </c>
      <c r="L7603" t="n">
        <v>0</v>
      </c>
      <c r="M7603" t="n">
        <v>0</v>
      </c>
      <c r="N7603" t="n">
        <v>0</v>
      </c>
      <c r="O7603" t="n">
        <v>0</v>
      </c>
      <c r="P7603" t="n">
        <v>0</v>
      </c>
      <c r="Q7603" t="n">
        <v>0</v>
      </c>
      <c r="R7603" s="2" t="inlineStr"/>
    </row>
    <row r="7604" ht="15" customHeight="1">
      <c r="A7604" t="inlineStr">
        <is>
          <t>A 38015-2022</t>
        </is>
      </c>
      <c r="B7604" s="1" t="n">
        <v>44811</v>
      </c>
      <c r="C7604" s="1" t="n">
        <v>45810</v>
      </c>
      <c r="D7604" t="inlineStr">
        <is>
          <t>VÄRMLANDS LÄN</t>
        </is>
      </c>
      <c r="E7604" t="inlineStr">
        <is>
          <t>ÅRJÄNG</t>
        </is>
      </c>
      <c r="G7604" t="n">
        <v>14.2</v>
      </c>
      <c r="H7604" t="n">
        <v>0</v>
      </c>
      <c r="I7604" t="n">
        <v>0</v>
      </c>
      <c r="J7604" t="n">
        <v>0</v>
      </c>
      <c r="K7604" t="n">
        <v>0</v>
      </c>
      <c r="L7604" t="n">
        <v>0</v>
      </c>
      <c r="M7604" t="n">
        <v>0</v>
      </c>
      <c r="N7604" t="n">
        <v>0</v>
      </c>
      <c r="O7604" t="n">
        <v>0</v>
      </c>
      <c r="P7604" t="n">
        <v>0</v>
      </c>
      <c r="Q7604" t="n">
        <v>0</v>
      </c>
      <c r="R7604" s="2" t="inlineStr"/>
    </row>
    <row r="7605" ht="15" customHeight="1">
      <c r="A7605" t="inlineStr">
        <is>
          <t>A 38200-2022</t>
        </is>
      </c>
      <c r="B7605" s="1" t="n">
        <v>44812</v>
      </c>
      <c r="C7605" s="1" t="n">
        <v>45810</v>
      </c>
      <c r="D7605" t="inlineStr">
        <is>
          <t>VÄRMLANDS LÄN</t>
        </is>
      </c>
      <c r="E7605" t="inlineStr">
        <is>
          <t>TORSBY</t>
        </is>
      </c>
      <c r="F7605" t="inlineStr">
        <is>
          <t>Bergvik skog väst AB</t>
        </is>
      </c>
      <c r="G7605" t="n">
        <v>8.1</v>
      </c>
      <c r="H7605" t="n">
        <v>0</v>
      </c>
      <c r="I7605" t="n">
        <v>0</v>
      </c>
      <c r="J7605" t="n">
        <v>0</v>
      </c>
      <c r="K7605" t="n">
        <v>0</v>
      </c>
      <c r="L7605" t="n">
        <v>0</v>
      </c>
      <c r="M7605" t="n">
        <v>0</v>
      </c>
      <c r="N7605" t="n">
        <v>0</v>
      </c>
      <c r="O7605" t="n">
        <v>0</v>
      </c>
      <c r="P7605" t="n">
        <v>0</v>
      </c>
      <c r="Q7605" t="n">
        <v>0</v>
      </c>
      <c r="R7605" s="2" t="inlineStr"/>
    </row>
    <row r="7606" ht="15" customHeight="1">
      <c r="A7606" t="inlineStr">
        <is>
          <t>A 38167-2022</t>
        </is>
      </c>
      <c r="B7606" s="1" t="n">
        <v>44812</v>
      </c>
      <c r="C7606" s="1" t="n">
        <v>45810</v>
      </c>
      <c r="D7606" t="inlineStr">
        <is>
          <t>VÄRMLANDS LÄN</t>
        </is>
      </c>
      <c r="E7606" t="inlineStr">
        <is>
          <t>ÅRJÄNG</t>
        </is>
      </c>
      <c r="G7606" t="n">
        <v>10.5</v>
      </c>
      <c r="H7606" t="n">
        <v>0</v>
      </c>
      <c r="I7606" t="n">
        <v>0</v>
      </c>
      <c r="J7606" t="n">
        <v>0</v>
      </c>
      <c r="K7606" t="n">
        <v>0</v>
      </c>
      <c r="L7606" t="n">
        <v>0</v>
      </c>
      <c r="M7606" t="n">
        <v>0</v>
      </c>
      <c r="N7606" t="n">
        <v>0</v>
      </c>
      <c r="O7606" t="n">
        <v>0</v>
      </c>
      <c r="P7606" t="n">
        <v>0</v>
      </c>
      <c r="Q7606" t="n">
        <v>0</v>
      </c>
      <c r="R7606" s="2" t="inlineStr"/>
    </row>
    <row r="7607" ht="15" customHeight="1">
      <c r="A7607" t="inlineStr">
        <is>
          <t>A 38132-2022</t>
        </is>
      </c>
      <c r="B7607" s="1" t="n">
        <v>44812</v>
      </c>
      <c r="C7607" s="1" t="n">
        <v>45810</v>
      </c>
      <c r="D7607" t="inlineStr">
        <is>
          <t>VÄRMLANDS LÄN</t>
        </is>
      </c>
      <c r="E7607" t="inlineStr">
        <is>
          <t>HAGFORS</t>
        </is>
      </c>
      <c r="F7607" t="inlineStr">
        <is>
          <t>Kyrkan</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38179-2022</t>
        </is>
      </c>
      <c r="B7608" s="1" t="n">
        <v>44812</v>
      </c>
      <c r="C7608" s="1" t="n">
        <v>45810</v>
      </c>
      <c r="D7608" t="inlineStr">
        <is>
          <t>VÄRMLANDS LÄN</t>
        </is>
      </c>
      <c r="E7608" t="inlineStr">
        <is>
          <t>TORSBY</t>
        </is>
      </c>
      <c r="G7608" t="n">
        <v>0.7</v>
      </c>
      <c r="H7608" t="n">
        <v>0</v>
      </c>
      <c r="I7608" t="n">
        <v>0</v>
      </c>
      <c r="J7608" t="n">
        <v>0</v>
      </c>
      <c r="K7608" t="n">
        <v>0</v>
      </c>
      <c r="L7608" t="n">
        <v>0</v>
      </c>
      <c r="M7608" t="n">
        <v>0</v>
      </c>
      <c r="N7608" t="n">
        <v>0</v>
      </c>
      <c r="O7608" t="n">
        <v>0</v>
      </c>
      <c r="P7608" t="n">
        <v>0</v>
      </c>
      <c r="Q7608" t="n">
        <v>0</v>
      </c>
      <c r="R7608" s="2" t="inlineStr"/>
    </row>
    <row r="7609" ht="15" customHeight="1">
      <c r="A7609" t="inlineStr">
        <is>
          <t>A 38261-2022</t>
        </is>
      </c>
      <c r="B7609" s="1" t="n">
        <v>44812</v>
      </c>
      <c r="C7609" s="1" t="n">
        <v>45810</v>
      </c>
      <c r="D7609" t="inlineStr">
        <is>
          <t>VÄRMLANDS LÄN</t>
        </is>
      </c>
      <c r="E7609" t="inlineStr">
        <is>
          <t>FORSHAGA</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38238-2022</t>
        </is>
      </c>
      <c r="B7610" s="1" t="n">
        <v>44812</v>
      </c>
      <c r="C7610" s="1" t="n">
        <v>45810</v>
      </c>
      <c r="D7610" t="inlineStr">
        <is>
          <t>VÄRMLANDS LÄN</t>
        </is>
      </c>
      <c r="E7610" t="inlineStr">
        <is>
          <t>MUNKFORS</t>
        </is>
      </c>
      <c r="G7610" t="n">
        <v>1.7</v>
      </c>
      <c r="H7610" t="n">
        <v>0</v>
      </c>
      <c r="I7610" t="n">
        <v>0</v>
      </c>
      <c r="J7610" t="n">
        <v>0</v>
      </c>
      <c r="K7610" t="n">
        <v>0</v>
      </c>
      <c r="L7610" t="n">
        <v>0</v>
      </c>
      <c r="M7610" t="n">
        <v>0</v>
      </c>
      <c r="N7610" t="n">
        <v>0</v>
      </c>
      <c r="O7610" t="n">
        <v>0</v>
      </c>
      <c r="P7610" t="n">
        <v>0</v>
      </c>
      <c r="Q7610" t="n">
        <v>0</v>
      </c>
      <c r="R7610" s="2" t="inlineStr"/>
    </row>
    <row r="7611" ht="15" customHeight="1">
      <c r="A7611" t="inlineStr">
        <is>
          <t>A 38302-2022</t>
        </is>
      </c>
      <c r="B7611" s="1" t="n">
        <v>44812</v>
      </c>
      <c r="C7611" s="1" t="n">
        <v>45810</v>
      </c>
      <c r="D7611" t="inlineStr">
        <is>
          <t>VÄRMLANDS LÄN</t>
        </is>
      </c>
      <c r="E7611" t="inlineStr">
        <is>
          <t>SÄFFLE</t>
        </is>
      </c>
      <c r="G7611" t="n">
        <v>3.7</v>
      </c>
      <c r="H7611" t="n">
        <v>0</v>
      </c>
      <c r="I7611" t="n">
        <v>0</v>
      </c>
      <c r="J7611" t="n">
        <v>0</v>
      </c>
      <c r="K7611" t="n">
        <v>0</v>
      </c>
      <c r="L7611" t="n">
        <v>0</v>
      </c>
      <c r="M7611" t="n">
        <v>0</v>
      </c>
      <c r="N7611" t="n">
        <v>0</v>
      </c>
      <c r="O7611" t="n">
        <v>0</v>
      </c>
      <c r="P7611" t="n">
        <v>0</v>
      </c>
      <c r="Q7611" t="n">
        <v>0</v>
      </c>
      <c r="R7611" s="2" t="inlineStr"/>
    </row>
    <row r="7612" ht="15" customHeight="1">
      <c r="A7612" t="inlineStr">
        <is>
          <t>A 38327-2022</t>
        </is>
      </c>
      <c r="B7612" s="1" t="n">
        <v>44812</v>
      </c>
      <c r="C7612" s="1" t="n">
        <v>45810</v>
      </c>
      <c r="D7612" t="inlineStr">
        <is>
          <t>VÄRMLANDS LÄN</t>
        </is>
      </c>
      <c r="E7612" t="inlineStr">
        <is>
          <t>ARVIKA</t>
        </is>
      </c>
      <c r="F7612" t="inlineStr">
        <is>
          <t>Bergvik skog väst AB</t>
        </is>
      </c>
      <c r="G7612" t="n">
        <v>11.1</v>
      </c>
      <c r="H7612" t="n">
        <v>0</v>
      </c>
      <c r="I7612" t="n">
        <v>0</v>
      </c>
      <c r="J7612" t="n">
        <v>0</v>
      </c>
      <c r="K7612" t="n">
        <v>0</v>
      </c>
      <c r="L7612" t="n">
        <v>0</v>
      </c>
      <c r="M7612" t="n">
        <v>0</v>
      </c>
      <c r="N7612" t="n">
        <v>0</v>
      </c>
      <c r="O7612" t="n">
        <v>0</v>
      </c>
      <c r="P7612" t="n">
        <v>0</v>
      </c>
      <c r="Q7612" t="n">
        <v>0</v>
      </c>
      <c r="R7612" s="2" t="inlineStr"/>
    </row>
    <row r="7613" ht="15" customHeight="1">
      <c r="A7613" t="inlineStr">
        <is>
          <t>A 38361-2022</t>
        </is>
      </c>
      <c r="B7613" s="1" t="n">
        <v>44812</v>
      </c>
      <c r="C7613" s="1" t="n">
        <v>45810</v>
      </c>
      <c r="D7613" t="inlineStr">
        <is>
          <t>VÄRMLANDS LÄN</t>
        </is>
      </c>
      <c r="E7613" t="inlineStr">
        <is>
          <t>SUNNE</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38291-2022</t>
        </is>
      </c>
      <c r="B7614" s="1" t="n">
        <v>44812</v>
      </c>
      <c r="C7614" s="1" t="n">
        <v>45810</v>
      </c>
      <c r="D7614" t="inlineStr">
        <is>
          <t>VÄRMLANDS LÄN</t>
        </is>
      </c>
      <c r="E7614" t="inlineStr">
        <is>
          <t>SÄFFLE</t>
        </is>
      </c>
      <c r="G7614" t="n">
        <v>2.8</v>
      </c>
      <c r="H7614" t="n">
        <v>0</v>
      </c>
      <c r="I7614" t="n">
        <v>0</v>
      </c>
      <c r="J7614" t="n">
        <v>0</v>
      </c>
      <c r="K7614" t="n">
        <v>0</v>
      </c>
      <c r="L7614" t="n">
        <v>0</v>
      </c>
      <c r="M7614" t="n">
        <v>0</v>
      </c>
      <c r="N7614" t="n">
        <v>0</v>
      </c>
      <c r="O7614" t="n">
        <v>0</v>
      </c>
      <c r="P7614" t="n">
        <v>0</v>
      </c>
      <c r="Q7614" t="n">
        <v>0</v>
      </c>
      <c r="R7614" s="2" t="inlineStr"/>
    </row>
    <row r="7615" ht="15" customHeight="1">
      <c r="A7615" t="inlineStr">
        <is>
          <t>A 38298-2022</t>
        </is>
      </c>
      <c r="B7615" s="1" t="n">
        <v>44812</v>
      </c>
      <c r="C7615" s="1" t="n">
        <v>45810</v>
      </c>
      <c r="D7615" t="inlineStr">
        <is>
          <t>VÄRMLANDS LÄN</t>
        </is>
      </c>
      <c r="E7615" t="inlineStr">
        <is>
          <t>KARLSTAD</t>
        </is>
      </c>
      <c r="F7615" t="inlineStr">
        <is>
          <t>Bergvik skog väst AB</t>
        </is>
      </c>
      <c r="G7615" t="n">
        <v>24.3</v>
      </c>
      <c r="H7615" t="n">
        <v>0</v>
      </c>
      <c r="I7615" t="n">
        <v>0</v>
      </c>
      <c r="J7615" t="n">
        <v>0</v>
      </c>
      <c r="K7615" t="n">
        <v>0</v>
      </c>
      <c r="L7615" t="n">
        <v>0</v>
      </c>
      <c r="M7615" t="n">
        <v>0</v>
      </c>
      <c r="N7615" t="n">
        <v>0</v>
      </c>
      <c r="O7615" t="n">
        <v>0</v>
      </c>
      <c r="P7615" t="n">
        <v>0</v>
      </c>
      <c r="Q7615" t="n">
        <v>0</v>
      </c>
      <c r="R7615" s="2" t="inlineStr"/>
    </row>
    <row r="7616" ht="15" customHeight="1">
      <c r="A7616" t="inlineStr">
        <is>
          <t>A 38342-2022</t>
        </is>
      </c>
      <c r="B7616" s="1" t="n">
        <v>44812</v>
      </c>
      <c r="C7616" s="1" t="n">
        <v>45810</v>
      </c>
      <c r="D7616" t="inlineStr">
        <is>
          <t>VÄRMLANDS LÄN</t>
        </is>
      </c>
      <c r="E7616" t="inlineStr">
        <is>
          <t>ARVIKA</t>
        </is>
      </c>
      <c r="F7616" t="inlineStr">
        <is>
          <t>Bergvik skog väst AB</t>
        </is>
      </c>
      <c r="G7616" t="n">
        <v>1.8</v>
      </c>
      <c r="H7616" t="n">
        <v>0</v>
      </c>
      <c r="I7616" t="n">
        <v>0</v>
      </c>
      <c r="J7616" t="n">
        <v>0</v>
      </c>
      <c r="K7616" t="n">
        <v>0</v>
      </c>
      <c r="L7616" t="n">
        <v>0</v>
      </c>
      <c r="M7616" t="n">
        <v>0</v>
      </c>
      <c r="N7616" t="n">
        <v>0</v>
      </c>
      <c r="O7616" t="n">
        <v>0</v>
      </c>
      <c r="P7616" t="n">
        <v>0</v>
      </c>
      <c r="Q7616" t="n">
        <v>0</v>
      </c>
      <c r="R7616" s="2" t="inlineStr"/>
    </row>
    <row r="7617" ht="15" customHeight="1">
      <c r="A7617" t="inlineStr">
        <is>
          <t>A 38378-2022</t>
        </is>
      </c>
      <c r="B7617" s="1" t="n">
        <v>44812</v>
      </c>
      <c r="C7617" s="1" t="n">
        <v>45810</v>
      </c>
      <c r="D7617" t="inlineStr">
        <is>
          <t>VÄRMLANDS LÄN</t>
        </is>
      </c>
      <c r="E7617" t="inlineStr">
        <is>
          <t>TORSBY</t>
        </is>
      </c>
      <c r="F7617" t="inlineStr">
        <is>
          <t>Bergvik skog väst AB</t>
        </is>
      </c>
      <c r="G7617" t="n">
        <v>8.6</v>
      </c>
      <c r="H7617" t="n">
        <v>0</v>
      </c>
      <c r="I7617" t="n">
        <v>0</v>
      </c>
      <c r="J7617" t="n">
        <v>0</v>
      </c>
      <c r="K7617" t="n">
        <v>0</v>
      </c>
      <c r="L7617" t="n">
        <v>0</v>
      </c>
      <c r="M7617" t="n">
        <v>0</v>
      </c>
      <c r="N7617" t="n">
        <v>0</v>
      </c>
      <c r="O7617" t="n">
        <v>0</v>
      </c>
      <c r="P7617" t="n">
        <v>0</v>
      </c>
      <c r="Q7617" t="n">
        <v>0</v>
      </c>
      <c r="R7617" s="2" t="inlineStr"/>
    </row>
    <row r="7618" ht="15" customHeight="1">
      <c r="A7618" t="inlineStr">
        <is>
          <t>A 38389-2022</t>
        </is>
      </c>
      <c r="B7618" s="1" t="n">
        <v>44812</v>
      </c>
      <c r="C7618" s="1" t="n">
        <v>45810</v>
      </c>
      <c r="D7618" t="inlineStr">
        <is>
          <t>VÄRMLANDS LÄN</t>
        </is>
      </c>
      <c r="E7618" t="inlineStr">
        <is>
          <t>ÅRJÄNG</t>
        </is>
      </c>
      <c r="G7618" t="n">
        <v>3.9</v>
      </c>
      <c r="H7618" t="n">
        <v>0</v>
      </c>
      <c r="I7618" t="n">
        <v>0</v>
      </c>
      <c r="J7618" t="n">
        <v>0</v>
      </c>
      <c r="K7618" t="n">
        <v>0</v>
      </c>
      <c r="L7618" t="n">
        <v>0</v>
      </c>
      <c r="M7618" t="n">
        <v>0</v>
      </c>
      <c r="N7618" t="n">
        <v>0</v>
      </c>
      <c r="O7618" t="n">
        <v>0</v>
      </c>
      <c r="P7618" t="n">
        <v>0</v>
      </c>
      <c r="Q7618" t="n">
        <v>0</v>
      </c>
      <c r="R7618" s="2" t="inlineStr"/>
    </row>
    <row r="7619" ht="15" customHeight="1">
      <c r="A7619" t="inlineStr">
        <is>
          <t>A 38404-2022</t>
        </is>
      </c>
      <c r="B7619" s="1" t="n">
        <v>44812</v>
      </c>
      <c r="C7619" s="1" t="n">
        <v>45810</v>
      </c>
      <c r="D7619" t="inlineStr">
        <is>
          <t>VÄRMLANDS LÄN</t>
        </is>
      </c>
      <c r="E7619" t="inlineStr">
        <is>
          <t>KRISTINEHAMN</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38518-2022</t>
        </is>
      </c>
      <c r="B7620" s="1" t="n">
        <v>44813</v>
      </c>
      <c r="C7620" s="1" t="n">
        <v>45810</v>
      </c>
      <c r="D7620" t="inlineStr">
        <is>
          <t>VÄRMLANDS LÄN</t>
        </is>
      </c>
      <c r="E7620" t="inlineStr">
        <is>
          <t>SUNNE</t>
        </is>
      </c>
      <c r="G7620" t="n">
        <v>1.7</v>
      </c>
      <c r="H7620" t="n">
        <v>0</v>
      </c>
      <c r="I7620" t="n">
        <v>0</v>
      </c>
      <c r="J7620" t="n">
        <v>0</v>
      </c>
      <c r="K7620" t="n">
        <v>0</v>
      </c>
      <c r="L7620" t="n">
        <v>0</v>
      </c>
      <c r="M7620" t="n">
        <v>0</v>
      </c>
      <c r="N7620" t="n">
        <v>0</v>
      </c>
      <c r="O7620" t="n">
        <v>0</v>
      </c>
      <c r="P7620" t="n">
        <v>0</v>
      </c>
      <c r="Q7620" t="n">
        <v>0</v>
      </c>
      <c r="R7620" s="2" t="inlineStr"/>
    </row>
    <row r="7621" ht="15" customHeight="1">
      <c r="A7621" t="inlineStr">
        <is>
          <t>A 38534-2022</t>
        </is>
      </c>
      <c r="B7621" s="1" t="n">
        <v>44813</v>
      </c>
      <c r="C7621" s="1" t="n">
        <v>45810</v>
      </c>
      <c r="D7621" t="inlineStr">
        <is>
          <t>VÄRMLANDS LÄN</t>
        </is>
      </c>
      <c r="E7621" t="inlineStr">
        <is>
          <t>SÄFFLE</t>
        </is>
      </c>
      <c r="G7621" t="n">
        <v>3.1</v>
      </c>
      <c r="H7621" t="n">
        <v>0</v>
      </c>
      <c r="I7621" t="n">
        <v>0</v>
      </c>
      <c r="J7621" t="n">
        <v>0</v>
      </c>
      <c r="K7621" t="n">
        <v>0</v>
      </c>
      <c r="L7621" t="n">
        <v>0</v>
      </c>
      <c r="M7621" t="n">
        <v>0</v>
      </c>
      <c r="N7621" t="n">
        <v>0</v>
      </c>
      <c r="O7621" t="n">
        <v>0</v>
      </c>
      <c r="P7621" t="n">
        <v>0</v>
      </c>
      <c r="Q7621" t="n">
        <v>0</v>
      </c>
      <c r="R7621" s="2" t="inlineStr"/>
    </row>
    <row r="7622" ht="15" customHeight="1">
      <c r="A7622" t="inlineStr">
        <is>
          <t>A 38454-2022</t>
        </is>
      </c>
      <c r="B7622" s="1" t="n">
        <v>44813</v>
      </c>
      <c r="C7622" s="1" t="n">
        <v>45810</v>
      </c>
      <c r="D7622" t="inlineStr">
        <is>
          <t>VÄRMLANDS LÄN</t>
        </is>
      </c>
      <c r="E7622" t="inlineStr">
        <is>
          <t>MUNKFORS</t>
        </is>
      </c>
      <c r="F7622" t="inlineStr">
        <is>
          <t>Bergvik skog väst AB</t>
        </is>
      </c>
      <c r="G7622" t="n">
        <v>2.9</v>
      </c>
      <c r="H7622" t="n">
        <v>0</v>
      </c>
      <c r="I7622" t="n">
        <v>0</v>
      </c>
      <c r="J7622" t="n">
        <v>0</v>
      </c>
      <c r="K7622" t="n">
        <v>0</v>
      </c>
      <c r="L7622" t="n">
        <v>0</v>
      </c>
      <c r="M7622" t="n">
        <v>0</v>
      </c>
      <c r="N7622" t="n">
        <v>0</v>
      </c>
      <c r="O7622" t="n">
        <v>0</v>
      </c>
      <c r="P7622" t="n">
        <v>0</v>
      </c>
      <c r="Q7622" t="n">
        <v>0</v>
      </c>
      <c r="R7622" s="2" t="inlineStr"/>
    </row>
    <row r="7623" ht="15" customHeight="1">
      <c r="A7623" t="inlineStr">
        <is>
          <t>A 38486-2022</t>
        </is>
      </c>
      <c r="B7623" s="1" t="n">
        <v>44813</v>
      </c>
      <c r="C7623" s="1" t="n">
        <v>45810</v>
      </c>
      <c r="D7623" t="inlineStr">
        <is>
          <t>VÄRMLANDS LÄN</t>
        </is>
      </c>
      <c r="E7623" t="inlineStr">
        <is>
          <t>TORSBY</t>
        </is>
      </c>
      <c r="F7623" t="inlineStr">
        <is>
          <t>Bergvik skog väst AB</t>
        </is>
      </c>
      <c r="G7623" t="n">
        <v>9.6</v>
      </c>
      <c r="H7623" t="n">
        <v>0</v>
      </c>
      <c r="I7623" t="n">
        <v>0</v>
      </c>
      <c r="J7623" t="n">
        <v>0</v>
      </c>
      <c r="K7623" t="n">
        <v>0</v>
      </c>
      <c r="L7623" t="n">
        <v>0</v>
      </c>
      <c r="M7623" t="n">
        <v>0</v>
      </c>
      <c r="N7623" t="n">
        <v>0</v>
      </c>
      <c r="O7623" t="n">
        <v>0</v>
      </c>
      <c r="P7623" t="n">
        <v>0</v>
      </c>
      <c r="Q7623" t="n">
        <v>0</v>
      </c>
      <c r="R7623" s="2" t="inlineStr"/>
    </row>
    <row r="7624" ht="15" customHeight="1">
      <c r="A7624" t="inlineStr">
        <is>
          <t>A 38591-2022</t>
        </is>
      </c>
      <c r="B7624" s="1" t="n">
        <v>44813</v>
      </c>
      <c r="C7624" s="1" t="n">
        <v>45810</v>
      </c>
      <c r="D7624" t="inlineStr">
        <is>
          <t>VÄRMLANDS LÄN</t>
        </is>
      </c>
      <c r="E7624" t="inlineStr">
        <is>
          <t>SÄFFLE</t>
        </is>
      </c>
      <c r="G7624" t="n">
        <v>2.4</v>
      </c>
      <c r="H7624" t="n">
        <v>0</v>
      </c>
      <c r="I7624" t="n">
        <v>0</v>
      </c>
      <c r="J7624" t="n">
        <v>0</v>
      </c>
      <c r="K7624" t="n">
        <v>0</v>
      </c>
      <c r="L7624" t="n">
        <v>0</v>
      </c>
      <c r="M7624" t="n">
        <v>0</v>
      </c>
      <c r="N7624" t="n">
        <v>0</v>
      </c>
      <c r="O7624" t="n">
        <v>0</v>
      </c>
      <c r="P7624" t="n">
        <v>0</v>
      </c>
      <c r="Q7624" t="n">
        <v>0</v>
      </c>
      <c r="R7624" s="2" t="inlineStr"/>
    </row>
    <row r="7625" ht="15" customHeight="1">
      <c r="A7625" t="inlineStr">
        <is>
          <t>A 38801-2022</t>
        </is>
      </c>
      <c r="B7625" s="1" t="n">
        <v>44813</v>
      </c>
      <c r="C7625" s="1" t="n">
        <v>45810</v>
      </c>
      <c r="D7625" t="inlineStr">
        <is>
          <t>VÄRMLANDS LÄN</t>
        </is>
      </c>
      <c r="E7625" t="inlineStr">
        <is>
          <t>SUNNE</t>
        </is>
      </c>
      <c r="F7625" t="inlineStr">
        <is>
          <t>Kyrkan</t>
        </is>
      </c>
      <c r="G7625" t="n">
        <v>10.5</v>
      </c>
      <c r="H7625" t="n">
        <v>0</v>
      </c>
      <c r="I7625" t="n">
        <v>0</v>
      </c>
      <c r="J7625" t="n">
        <v>0</v>
      </c>
      <c r="K7625" t="n">
        <v>0</v>
      </c>
      <c r="L7625" t="n">
        <v>0</v>
      </c>
      <c r="M7625" t="n">
        <v>0</v>
      </c>
      <c r="N7625" t="n">
        <v>0</v>
      </c>
      <c r="O7625" t="n">
        <v>0</v>
      </c>
      <c r="P7625" t="n">
        <v>0</v>
      </c>
      <c r="Q7625" t="n">
        <v>0</v>
      </c>
      <c r="R7625" s="2" t="inlineStr"/>
    </row>
    <row r="7626" ht="15" customHeight="1">
      <c r="A7626" t="inlineStr">
        <is>
          <t>A 38699-2022</t>
        </is>
      </c>
      <c r="B7626" s="1" t="n">
        <v>44814</v>
      </c>
      <c r="C7626" s="1" t="n">
        <v>45810</v>
      </c>
      <c r="D7626" t="inlineStr">
        <is>
          <t>VÄRMLANDS LÄN</t>
        </is>
      </c>
      <c r="E7626" t="inlineStr">
        <is>
          <t>TORSBY</t>
        </is>
      </c>
      <c r="F7626" t="inlineStr">
        <is>
          <t>Bergvik skog väst AB</t>
        </is>
      </c>
      <c r="G7626" t="n">
        <v>22.6</v>
      </c>
      <c r="H7626" t="n">
        <v>0</v>
      </c>
      <c r="I7626" t="n">
        <v>0</v>
      </c>
      <c r="J7626" t="n">
        <v>0</v>
      </c>
      <c r="K7626" t="n">
        <v>0</v>
      </c>
      <c r="L7626" t="n">
        <v>0</v>
      </c>
      <c r="M7626" t="n">
        <v>0</v>
      </c>
      <c r="N7626" t="n">
        <v>0</v>
      </c>
      <c r="O7626" t="n">
        <v>0</v>
      </c>
      <c r="P7626" t="n">
        <v>0</v>
      </c>
      <c r="Q7626" t="n">
        <v>0</v>
      </c>
      <c r="R7626" s="2" t="inlineStr"/>
    </row>
    <row r="7627" ht="15" customHeight="1">
      <c r="A7627" t="inlineStr">
        <is>
          <t>A 38706-2022</t>
        </is>
      </c>
      <c r="B7627" s="1" t="n">
        <v>44814</v>
      </c>
      <c r="C7627" s="1" t="n">
        <v>45810</v>
      </c>
      <c r="D7627" t="inlineStr">
        <is>
          <t>VÄRMLANDS LÄN</t>
        </is>
      </c>
      <c r="E7627" t="inlineStr">
        <is>
          <t>ARVIKA</t>
        </is>
      </c>
      <c r="G7627" t="n">
        <v>2.7</v>
      </c>
      <c r="H7627" t="n">
        <v>0</v>
      </c>
      <c r="I7627" t="n">
        <v>0</v>
      </c>
      <c r="J7627" t="n">
        <v>0</v>
      </c>
      <c r="K7627" t="n">
        <v>0</v>
      </c>
      <c r="L7627" t="n">
        <v>0</v>
      </c>
      <c r="M7627" t="n">
        <v>0</v>
      </c>
      <c r="N7627" t="n">
        <v>0</v>
      </c>
      <c r="O7627" t="n">
        <v>0</v>
      </c>
      <c r="P7627" t="n">
        <v>0</v>
      </c>
      <c r="Q7627" t="n">
        <v>0</v>
      </c>
      <c r="R7627" s="2" t="inlineStr"/>
    </row>
    <row r="7628" ht="15" customHeight="1">
      <c r="A7628" t="inlineStr">
        <is>
          <t>A 38705-2022</t>
        </is>
      </c>
      <c r="B7628" s="1" t="n">
        <v>44814</v>
      </c>
      <c r="C7628" s="1" t="n">
        <v>45810</v>
      </c>
      <c r="D7628" t="inlineStr">
        <is>
          <t>VÄRMLANDS LÄN</t>
        </is>
      </c>
      <c r="E7628" t="inlineStr">
        <is>
          <t>ARVIKA</t>
        </is>
      </c>
      <c r="G7628" t="n">
        <v>2.1</v>
      </c>
      <c r="H7628" t="n">
        <v>0</v>
      </c>
      <c r="I7628" t="n">
        <v>0</v>
      </c>
      <c r="J7628" t="n">
        <v>0</v>
      </c>
      <c r="K7628" t="n">
        <v>0</v>
      </c>
      <c r="L7628" t="n">
        <v>0</v>
      </c>
      <c r="M7628" t="n">
        <v>0</v>
      </c>
      <c r="N7628" t="n">
        <v>0</v>
      </c>
      <c r="O7628" t="n">
        <v>0</v>
      </c>
      <c r="P7628" t="n">
        <v>0</v>
      </c>
      <c r="Q7628" t="n">
        <v>0</v>
      </c>
      <c r="R7628" s="2" t="inlineStr"/>
    </row>
    <row r="7629" ht="15" customHeight="1">
      <c r="A7629" t="inlineStr">
        <is>
          <t>A 38709-2022</t>
        </is>
      </c>
      <c r="B7629" s="1" t="n">
        <v>44814</v>
      </c>
      <c r="C7629" s="1" t="n">
        <v>45810</v>
      </c>
      <c r="D7629" t="inlineStr">
        <is>
          <t>VÄRMLANDS LÄN</t>
        </is>
      </c>
      <c r="E7629" t="inlineStr">
        <is>
          <t>ARVIKA</t>
        </is>
      </c>
      <c r="G7629" t="n">
        <v>2.2</v>
      </c>
      <c r="H7629" t="n">
        <v>0</v>
      </c>
      <c r="I7629" t="n">
        <v>0</v>
      </c>
      <c r="J7629" t="n">
        <v>0</v>
      </c>
      <c r="K7629" t="n">
        <v>0</v>
      </c>
      <c r="L7629" t="n">
        <v>0</v>
      </c>
      <c r="M7629" t="n">
        <v>0</v>
      </c>
      <c r="N7629" t="n">
        <v>0</v>
      </c>
      <c r="O7629" t="n">
        <v>0</v>
      </c>
      <c r="P7629" t="n">
        <v>0</v>
      </c>
      <c r="Q7629" t="n">
        <v>0</v>
      </c>
      <c r="R7629" s="2" t="inlineStr"/>
    </row>
    <row r="7630" ht="15" customHeight="1">
      <c r="A7630" t="inlineStr">
        <is>
          <t>A 38707-2022</t>
        </is>
      </c>
      <c r="B7630" s="1" t="n">
        <v>44814</v>
      </c>
      <c r="C7630" s="1" t="n">
        <v>45810</v>
      </c>
      <c r="D7630" t="inlineStr">
        <is>
          <t>VÄRMLANDS LÄN</t>
        </is>
      </c>
      <c r="E7630" t="inlineStr">
        <is>
          <t>ARVIKA</t>
        </is>
      </c>
      <c r="G7630" t="n">
        <v>5.3</v>
      </c>
      <c r="H7630" t="n">
        <v>0</v>
      </c>
      <c r="I7630" t="n">
        <v>0</v>
      </c>
      <c r="J7630" t="n">
        <v>0</v>
      </c>
      <c r="K7630" t="n">
        <v>0</v>
      </c>
      <c r="L7630" t="n">
        <v>0</v>
      </c>
      <c r="M7630" t="n">
        <v>0</v>
      </c>
      <c r="N7630" t="n">
        <v>0</v>
      </c>
      <c r="O7630" t="n">
        <v>0</v>
      </c>
      <c r="P7630" t="n">
        <v>0</v>
      </c>
      <c r="Q7630" t="n">
        <v>0</v>
      </c>
      <c r="R7630" s="2" t="inlineStr"/>
    </row>
    <row r="7631" ht="15" customHeight="1">
      <c r="A7631" t="inlineStr">
        <is>
          <t>A 38708-2022</t>
        </is>
      </c>
      <c r="B7631" s="1" t="n">
        <v>44814</v>
      </c>
      <c r="C7631" s="1" t="n">
        <v>45810</v>
      </c>
      <c r="D7631" t="inlineStr">
        <is>
          <t>VÄRMLANDS LÄN</t>
        </is>
      </c>
      <c r="E7631" t="inlineStr">
        <is>
          <t>ARVIKA</t>
        </is>
      </c>
      <c r="G7631" t="n">
        <v>3</v>
      </c>
      <c r="H7631" t="n">
        <v>0</v>
      </c>
      <c r="I7631" t="n">
        <v>0</v>
      </c>
      <c r="J7631" t="n">
        <v>0</v>
      </c>
      <c r="K7631" t="n">
        <v>0</v>
      </c>
      <c r="L7631" t="n">
        <v>0</v>
      </c>
      <c r="M7631" t="n">
        <v>0</v>
      </c>
      <c r="N7631" t="n">
        <v>0</v>
      </c>
      <c r="O7631" t="n">
        <v>0</v>
      </c>
      <c r="P7631" t="n">
        <v>0</v>
      </c>
      <c r="Q7631" t="n">
        <v>0</v>
      </c>
      <c r="R7631" s="2" t="inlineStr"/>
    </row>
    <row r="7632" ht="15" customHeight="1">
      <c r="A7632" t="inlineStr">
        <is>
          <t>A 38713-2022</t>
        </is>
      </c>
      <c r="B7632" s="1" t="n">
        <v>44815</v>
      </c>
      <c r="C7632" s="1" t="n">
        <v>45810</v>
      </c>
      <c r="D7632" t="inlineStr">
        <is>
          <t>VÄRMLANDS LÄN</t>
        </is>
      </c>
      <c r="E7632" t="inlineStr">
        <is>
          <t>MUNKFORS</t>
        </is>
      </c>
      <c r="G7632" t="n">
        <v>2</v>
      </c>
      <c r="H7632" t="n">
        <v>0</v>
      </c>
      <c r="I7632" t="n">
        <v>0</v>
      </c>
      <c r="J7632" t="n">
        <v>0</v>
      </c>
      <c r="K7632" t="n">
        <v>0</v>
      </c>
      <c r="L7632" t="n">
        <v>0</v>
      </c>
      <c r="M7632" t="n">
        <v>0</v>
      </c>
      <c r="N7632" t="n">
        <v>0</v>
      </c>
      <c r="O7632" t="n">
        <v>0</v>
      </c>
      <c r="P7632" t="n">
        <v>0</v>
      </c>
      <c r="Q7632" t="n">
        <v>0</v>
      </c>
      <c r="R7632" s="2" t="inlineStr"/>
    </row>
    <row r="7633" ht="15" customHeight="1">
      <c r="A7633" t="inlineStr">
        <is>
          <t>A 38734-2022</t>
        </is>
      </c>
      <c r="B7633" s="1" t="n">
        <v>44816</v>
      </c>
      <c r="C7633" s="1" t="n">
        <v>45810</v>
      </c>
      <c r="D7633" t="inlineStr">
        <is>
          <t>VÄRMLANDS LÄN</t>
        </is>
      </c>
      <c r="E7633" t="inlineStr">
        <is>
          <t>ARVIKA</t>
        </is>
      </c>
      <c r="F7633" t="inlineStr">
        <is>
          <t>Bergvik skog väst AB</t>
        </is>
      </c>
      <c r="G7633" t="n">
        <v>8.9</v>
      </c>
      <c r="H7633" t="n">
        <v>0</v>
      </c>
      <c r="I7633" t="n">
        <v>0</v>
      </c>
      <c r="J7633" t="n">
        <v>0</v>
      </c>
      <c r="K7633" t="n">
        <v>0</v>
      </c>
      <c r="L7633" t="n">
        <v>0</v>
      </c>
      <c r="M7633" t="n">
        <v>0</v>
      </c>
      <c r="N7633" t="n">
        <v>0</v>
      </c>
      <c r="O7633" t="n">
        <v>0</v>
      </c>
      <c r="P7633" t="n">
        <v>0</v>
      </c>
      <c r="Q7633" t="n">
        <v>0</v>
      </c>
      <c r="R7633" s="2" t="inlineStr"/>
    </row>
    <row r="7634" ht="15" customHeight="1">
      <c r="A7634" t="inlineStr">
        <is>
          <t>A 38850-2022</t>
        </is>
      </c>
      <c r="B7634" s="1" t="n">
        <v>44816</v>
      </c>
      <c r="C7634" s="1" t="n">
        <v>45810</v>
      </c>
      <c r="D7634" t="inlineStr">
        <is>
          <t>VÄRMLANDS LÄN</t>
        </is>
      </c>
      <c r="E7634" t="inlineStr">
        <is>
          <t>FORSHAGA</t>
        </is>
      </c>
      <c r="G7634" t="n">
        <v>4.7</v>
      </c>
      <c r="H7634" t="n">
        <v>0</v>
      </c>
      <c r="I7634" t="n">
        <v>0</v>
      </c>
      <c r="J7634" t="n">
        <v>0</v>
      </c>
      <c r="K7634" t="n">
        <v>0</v>
      </c>
      <c r="L7634" t="n">
        <v>0</v>
      </c>
      <c r="M7634" t="n">
        <v>0</v>
      </c>
      <c r="N7634" t="n">
        <v>0</v>
      </c>
      <c r="O7634" t="n">
        <v>0</v>
      </c>
      <c r="P7634" t="n">
        <v>0</v>
      </c>
      <c r="Q7634" t="n">
        <v>0</v>
      </c>
      <c r="R7634" s="2" t="inlineStr"/>
    </row>
    <row r="7635" ht="15" customHeight="1">
      <c r="A7635" t="inlineStr">
        <is>
          <t>A 38735-2022</t>
        </is>
      </c>
      <c r="B7635" s="1" t="n">
        <v>44816</v>
      </c>
      <c r="C7635" s="1" t="n">
        <v>45810</v>
      </c>
      <c r="D7635" t="inlineStr">
        <is>
          <t>VÄRMLANDS LÄN</t>
        </is>
      </c>
      <c r="E7635" t="inlineStr">
        <is>
          <t>ÅRJÄNG</t>
        </is>
      </c>
      <c r="G7635" t="n">
        <v>1.7</v>
      </c>
      <c r="H7635" t="n">
        <v>0</v>
      </c>
      <c r="I7635" t="n">
        <v>0</v>
      </c>
      <c r="J7635" t="n">
        <v>0</v>
      </c>
      <c r="K7635" t="n">
        <v>0</v>
      </c>
      <c r="L7635" t="n">
        <v>0</v>
      </c>
      <c r="M7635" t="n">
        <v>0</v>
      </c>
      <c r="N7635" t="n">
        <v>0</v>
      </c>
      <c r="O7635" t="n">
        <v>0</v>
      </c>
      <c r="P7635" t="n">
        <v>0</v>
      </c>
      <c r="Q7635" t="n">
        <v>0</v>
      </c>
      <c r="R7635" s="2" t="inlineStr"/>
    </row>
    <row r="7636" ht="15" customHeight="1">
      <c r="A7636" t="inlineStr">
        <is>
          <t>A 38770-2022</t>
        </is>
      </c>
      <c r="B7636" s="1" t="n">
        <v>44816</v>
      </c>
      <c r="C7636" s="1" t="n">
        <v>45810</v>
      </c>
      <c r="D7636" t="inlineStr">
        <is>
          <t>VÄRMLANDS LÄN</t>
        </is>
      </c>
      <c r="E7636" t="inlineStr">
        <is>
          <t>KARLSTAD</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38788-2022</t>
        </is>
      </c>
      <c r="B7637" s="1" t="n">
        <v>44816</v>
      </c>
      <c r="C7637" s="1" t="n">
        <v>45810</v>
      </c>
      <c r="D7637" t="inlineStr">
        <is>
          <t>VÄRMLANDS LÄN</t>
        </is>
      </c>
      <c r="E7637" t="inlineStr">
        <is>
          <t>FORSHAGA</t>
        </is>
      </c>
      <c r="G7637" t="n">
        <v>2</v>
      </c>
      <c r="H7637" t="n">
        <v>0</v>
      </c>
      <c r="I7637" t="n">
        <v>0</v>
      </c>
      <c r="J7637" t="n">
        <v>0</v>
      </c>
      <c r="K7637" t="n">
        <v>0</v>
      </c>
      <c r="L7637" t="n">
        <v>0</v>
      </c>
      <c r="M7637" t="n">
        <v>0</v>
      </c>
      <c r="N7637" t="n">
        <v>0</v>
      </c>
      <c r="O7637" t="n">
        <v>0</v>
      </c>
      <c r="P7637" t="n">
        <v>0</v>
      </c>
      <c r="Q7637" t="n">
        <v>0</v>
      </c>
      <c r="R7637" s="2" t="inlineStr"/>
    </row>
    <row r="7638" ht="15" customHeight="1">
      <c r="A7638" t="inlineStr">
        <is>
          <t>A 38833-2022</t>
        </is>
      </c>
      <c r="B7638" s="1" t="n">
        <v>44816</v>
      </c>
      <c r="C7638" s="1" t="n">
        <v>45810</v>
      </c>
      <c r="D7638" t="inlineStr">
        <is>
          <t>VÄRMLANDS LÄN</t>
        </is>
      </c>
      <c r="E7638" t="inlineStr">
        <is>
          <t>EDA</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38882-2022</t>
        </is>
      </c>
      <c r="B7639" s="1" t="n">
        <v>44816</v>
      </c>
      <c r="C7639" s="1" t="n">
        <v>45810</v>
      </c>
      <c r="D7639" t="inlineStr">
        <is>
          <t>VÄRMLANDS LÄN</t>
        </is>
      </c>
      <c r="E7639" t="inlineStr">
        <is>
          <t>TORSBY</t>
        </is>
      </c>
      <c r="G7639" t="n">
        <v>1.8</v>
      </c>
      <c r="H7639" t="n">
        <v>0</v>
      </c>
      <c r="I7639" t="n">
        <v>0</v>
      </c>
      <c r="J7639" t="n">
        <v>0</v>
      </c>
      <c r="K7639" t="n">
        <v>0</v>
      </c>
      <c r="L7639" t="n">
        <v>0</v>
      </c>
      <c r="M7639" t="n">
        <v>0</v>
      </c>
      <c r="N7639" t="n">
        <v>0</v>
      </c>
      <c r="O7639" t="n">
        <v>0</v>
      </c>
      <c r="P7639" t="n">
        <v>0</v>
      </c>
      <c r="Q7639" t="n">
        <v>0</v>
      </c>
      <c r="R7639" s="2" t="inlineStr"/>
    </row>
    <row r="7640" ht="15" customHeight="1">
      <c r="A7640" t="inlineStr">
        <is>
          <t>A 38894-2022</t>
        </is>
      </c>
      <c r="B7640" s="1" t="n">
        <v>44816</v>
      </c>
      <c r="C7640" s="1" t="n">
        <v>45810</v>
      </c>
      <c r="D7640" t="inlineStr">
        <is>
          <t>VÄRMLANDS LÄN</t>
        </is>
      </c>
      <c r="E7640" t="inlineStr">
        <is>
          <t>ARVIKA</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38911-2022</t>
        </is>
      </c>
      <c r="B7641" s="1" t="n">
        <v>44816</v>
      </c>
      <c r="C7641" s="1" t="n">
        <v>45810</v>
      </c>
      <c r="D7641" t="inlineStr">
        <is>
          <t>VÄRMLANDS LÄN</t>
        </is>
      </c>
      <c r="E7641" t="inlineStr">
        <is>
          <t>ARVIKA</t>
        </is>
      </c>
      <c r="G7641" t="n">
        <v>2</v>
      </c>
      <c r="H7641" t="n">
        <v>0</v>
      </c>
      <c r="I7641" t="n">
        <v>0</v>
      </c>
      <c r="J7641" t="n">
        <v>0</v>
      </c>
      <c r="K7641" t="n">
        <v>0</v>
      </c>
      <c r="L7641" t="n">
        <v>0</v>
      </c>
      <c r="M7641" t="n">
        <v>0</v>
      </c>
      <c r="N7641" t="n">
        <v>0</v>
      </c>
      <c r="O7641" t="n">
        <v>0</v>
      </c>
      <c r="P7641" t="n">
        <v>0</v>
      </c>
      <c r="Q7641" t="n">
        <v>0</v>
      </c>
      <c r="R7641" s="2" t="inlineStr"/>
    </row>
    <row r="7642" ht="15" customHeight="1">
      <c r="A7642" t="inlineStr">
        <is>
          <t>A 38914-2022</t>
        </is>
      </c>
      <c r="B7642" s="1" t="n">
        <v>44816</v>
      </c>
      <c r="C7642" s="1" t="n">
        <v>45810</v>
      </c>
      <c r="D7642" t="inlineStr">
        <is>
          <t>VÄRMLANDS LÄN</t>
        </is>
      </c>
      <c r="E7642" t="inlineStr">
        <is>
          <t>TORSBY</t>
        </is>
      </c>
      <c r="G7642" t="n">
        <v>4.8</v>
      </c>
      <c r="H7642" t="n">
        <v>0</v>
      </c>
      <c r="I7642" t="n">
        <v>0</v>
      </c>
      <c r="J7642" t="n">
        <v>0</v>
      </c>
      <c r="K7642" t="n">
        <v>0</v>
      </c>
      <c r="L7642" t="n">
        <v>0</v>
      </c>
      <c r="M7642" t="n">
        <v>0</v>
      </c>
      <c r="N7642" t="n">
        <v>0</v>
      </c>
      <c r="O7642" t="n">
        <v>0</v>
      </c>
      <c r="P7642" t="n">
        <v>0</v>
      </c>
      <c r="Q7642" t="n">
        <v>0</v>
      </c>
      <c r="R7642" s="2" t="inlineStr"/>
    </row>
    <row r="7643" ht="15" customHeight="1">
      <c r="A7643" t="inlineStr">
        <is>
          <t>A 38987-2022</t>
        </is>
      </c>
      <c r="B7643" s="1" t="n">
        <v>44816</v>
      </c>
      <c r="C7643" s="1" t="n">
        <v>45810</v>
      </c>
      <c r="D7643" t="inlineStr">
        <is>
          <t>VÄRMLANDS LÄN</t>
        </is>
      </c>
      <c r="E7643" t="inlineStr">
        <is>
          <t>ARVIKA</t>
        </is>
      </c>
      <c r="G7643" t="n">
        <v>1.7</v>
      </c>
      <c r="H7643" t="n">
        <v>0</v>
      </c>
      <c r="I7643" t="n">
        <v>0</v>
      </c>
      <c r="J7643" t="n">
        <v>0</v>
      </c>
      <c r="K7643" t="n">
        <v>0</v>
      </c>
      <c r="L7643" t="n">
        <v>0</v>
      </c>
      <c r="M7643" t="n">
        <v>0</v>
      </c>
      <c r="N7643" t="n">
        <v>0</v>
      </c>
      <c r="O7643" t="n">
        <v>0</v>
      </c>
      <c r="P7643" t="n">
        <v>0</v>
      </c>
      <c r="Q7643" t="n">
        <v>0</v>
      </c>
      <c r="R7643" s="2" t="inlineStr"/>
    </row>
    <row r="7644" ht="15" customHeight="1">
      <c r="A7644" t="inlineStr">
        <is>
          <t>A 39063-2022</t>
        </is>
      </c>
      <c r="B7644" s="1" t="n">
        <v>44816</v>
      </c>
      <c r="C7644" s="1" t="n">
        <v>45810</v>
      </c>
      <c r="D7644" t="inlineStr">
        <is>
          <t>VÄRMLANDS LÄN</t>
        </is>
      </c>
      <c r="E7644" t="inlineStr">
        <is>
          <t>ÅRJÄNG</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39069-2022</t>
        </is>
      </c>
      <c r="B7645" s="1" t="n">
        <v>44816</v>
      </c>
      <c r="C7645" s="1" t="n">
        <v>45810</v>
      </c>
      <c r="D7645" t="inlineStr">
        <is>
          <t>VÄRMLANDS LÄN</t>
        </is>
      </c>
      <c r="E7645" t="inlineStr">
        <is>
          <t>TORSBY</t>
        </is>
      </c>
      <c r="G7645" t="n">
        <v>0.3</v>
      </c>
      <c r="H7645" t="n">
        <v>0</v>
      </c>
      <c r="I7645" t="n">
        <v>0</v>
      </c>
      <c r="J7645" t="n">
        <v>0</v>
      </c>
      <c r="K7645" t="n">
        <v>0</v>
      </c>
      <c r="L7645" t="n">
        <v>0</v>
      </c>
      <c r="M7645" t="n">
        <v>0</v>
      </c>
      <c r="N7645" t="n">
        <v>0</v>
      </c>
      <c r="O7645" t="n">
        <v>0</v>
      </c>
      <c r="P7645" t="n">
        <v>0</v>
      </c>
      <c r="Q7645" t="n">
        <v>0</v>
      </c>
      <c r="R7645" s="2" t="inlineStr"/>
    </row>
    <row r="7646" ht="15" customHeight="1">
      <c r="A7646" t="inlineStr">
        <is>
          <t>A 39029-2022</t>
        </is>
      </c>
      <c r="B7646" s="1" t="n">
        <v>44817</v>
      </c>
      <c r="C7646" s="1" t="n">
        <v>45810</v>
      </c>
      <c r="D7646" t="inlineStr">
        <is>
          <t>VÄRMLANDS LÄN</t>
        </is>
      </c>
      <c r="E7646" t="inlineStr">
        <is>
          <t>HAGFORS</t>
        </is>
      </c>
      <c r="F7646" t="inlineStr">
        <is>
          <t>Bergvik skog väst AB</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39059-2022</t>
        </is>
      </c>
      <c r="B7647" s="1" t="n">
        <v>44817</v>
      </c>
      <c r="C7647" s="1" t="n">
        <v>45810</v>
      </c>
      <c r="D7647" t="inlineStr">
        <is>
          <t>VÄRMLANDS LÄN</t>
        </is>
      </c>
      <c r="E7647" t="inlineStr">
        <is>
          <t>HAGFORS</t>
        </is>
      </c>
      <c r="F7647" t="inlineStr">
        <is>
          <t>Bergvik skog väst AB</t>
        </is>
      </c>
      <c r="G7647" t="n">
        <v>6.7</v>
      </c>
      <c r="H7647" t="n">
        <v>0</v>
      </c>
      <c r="I7647" t="n">
        <v>0</v>
      </c>
      <c r="J7647" t="n">
        <v>0</v>
      </c>
      <c r="K7647" t="n">
        <v>0</v>
      </c>
      <c r="L7647" t="n">
        <v>0</v>
      </c>
      <c r="M7647" t="n">
        <v>0</v>
      </c>
      <c r="N7647" t="n">
        <v>0</v>
      </c>
      <c r="O7647" t="n">
        <v>0</v>
      </c>
      <c r="P7647" t="n">
        <v>0</v>
      </c>
      <c r="Q7647" t="n">
        <v>0</v>
      </c>
      <c r="R7647" s="2" t="inlineStr"/>
    </row>
    <row r="7648" ht="15" customHeight="1">
      <c r="A7648" t="inlineStr">
        <is>
          <t>A 39073-2022</t>
        </is>
      </c>
      <c r="B7648" s="1" t="n">
        <v>44817</v>
      </c>
      <c r="C7648" s="1" t="n">
        <v>45810</v>
      </c>
      <c r="D7648" t="inlineStr">
        <is>
          <t>VÄRMLANDS LÄN</t>
        </is>
      </c>
      <c r="E7648" t="inlineStr">
        <is>
          <t>ARVIKA</t>
        </is>
      </c>
      <c r="F7648" t="inlineStr">
        <is>
          <t>Bergvik skog väst AB</t>
        </is>
      </c>
      <c r="G7648" t="n">
        <v>1.4</v>
      </c>
      <c r="H7648" t="n">
        <v>0</v>
      </c>
      <c r="I7648" t="n">
        <v>0</v>
      </c>
      <c r="J7648" t="n">
        <v>0</v>
      </c>
      <c r="K7648" t="n">
        <v>0</v>
      </c>
      <c r="L7648" t="n">
        <v>0</v>
      </c>
      <c r="M7648" t="n">
        <v>0</v>
      </c>
      <c r="N7648" t="n">
        <v>0</v>
      </c>
      <c r="O7648" t="n">
        <v>0</v>
      </c>
      <c r="P7648" t="n">
        <v>0</v>
      </c>
      <c r="Q7648" t="n">
        <v>0</v>
      </c>
      <c r="R7648" s="2" t="inlineStr"/>
    </row>
    <row r="7649" ht="15" customHeight="1">
      <c r="A7649" t="inlineStr">
        <is>
          <t>A 39096-2022</t>
        </is>
      </c>
      <c r="B7649" s="1" t="n">
        <v>44817</v>
      </c>
      <c r="C7649" s="1" t="n">
        <v>45810</v>
      </c>
      <c r="D7649" t="inlineStr">
        <is>
          <t>VÄRMLANDS LÄN</t>
        </is>
      </c>
      <c r="E7649" t="inlineStr">
        <is>
          <t>SUNNE</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39147-2022</t>
        </is>
      </c>
      <c r="B7650" s="1" t="n">
        <v>44817</v>
      </c>
      <c r="C7650" s="1" t="n">
        <v>45810</v>
      </c>
      <c r="D7650" t="inlineStr">
        <is>
          <t>VÄRMLANDS LÄN</t>
        </is>
      </c>
      <c r="E7650" t="inlineStr">
        <is>
          <t>SUNNE</t>
        </is>
      </c>
      <c r="G7650" t="n">
        <v>6.5</v>
      </c>
      <c r="H7650" t="n">
        <v>0</v>
      </c>
      <c r="I7650" t="n">
        <v>0</v>
      </c>
      <c r="J7650" t="n">
        <v>0</v>
      </c>
      <c r="K7650" t="n">
        <v>0</v>
      </c>
      <c r="L7650" t="n">
        <v>0</v>
      </c>
      <c r="M7650" t="n">
        <v>0</v>
      </c>
      <c r="N7650" t="n">
        <v>0</v>
      </c>
      <c r="O7650" t="n">
        <v>0</v>
      </c>
      <c r="P7650" t="n">
        <v>0</v>
      </c>
      <c r="Q7650" t="n">
        <v>0</v>
      </c>
      <c r="R7650" s="2" t="inlineStr"/>
    </row>
    <row r="7651" ht="15" customHeight="1">
      <c r="A7651" t="inlineStr">
        <is>
          <t>A 39167-2022</t>
        </is>
      </c>
      <c r="B7651" s="1" t="n">
        <v>44817</v>
      </c>
      <c r="C7651" s="1" t="n">
        <v>45810</v>
      </c>
      <c r="D7651" t="inlineStr">
        <is>
          <t>VÄRMLANDS LÄN</t>
        </is>
      </c>
      <c r="E7651" t="inlineStr">
        <is>
          <t>SUNNE</t>
        </is>
      </c>
      <c r="G7651" t="n">
        <v>1.9</v>
      </c>
      <c r="H7651" t="n">
        <v>0</v>
      </c>
      <c r="I7651" t="n">
        <v>0</v>
      </c>
      <c r="J7651" t="n">
        <v>0</v>
      </c>
      <c r="K7651" t="n">
        <v>0</v>
      </c>
      <c r="L7651" t="n">
        <v>0</v>
      </c>
      <c r="M7651" t="n">
        <v>0</v>
      </c>
      <c r="N7651" t="n">
        <v>0</v>
      </c>
      <c r="O7651" t="n">
        <v>0</v>
      </c>
      <c r="P7651" t="n">
        <v>0</v>
      </c>
      <c r="Q7651" t="n">
        <v>0</v>
      </c>
      <c r="R7651" s="2" t="inlineStr"/>
    </row>
    <row r="7652" ht="15" customHeight="1">
      <c r="A7652" t="inlineStr">
        <is>
          <t>A 39186-2022</t>
        </is>
      </c>
      <c r="B7652" s="1" t="n">
        <v>44817</v>
      </c>
      <c r="C7652" s="1" t="n">
        <v>45810</v>
      </c>
      <c r="D7652" t="inlineStr">
        <is>
          <t>VÄRMLANDS LÄN</t>
        </is>
      </c>
      <c r="E7652" t="inlineStr">
        <is>
          <t>TORSBY</t>
        </is>
      </c>
      <c r="F7652" t="inlineStr">
        <is>
          <t>Bergvik skog väst AB</t>
        </is>
      </c>
      <c r="G7652" t="n">
        <v>20.3</v>
      </c>
      <c r="H7652" t="n">
        <v>0</v>
      </c>
      <c r="I7652" t="n">
        <v>0</v>
      </c>
      <c r="J7652" t="n">
        <v>0</v>
      </c>
      <c r="K7652" t="n">
        <v>0</v>
      </c>
      <c r="L7652" t="n">
        <v>0</v>
      </c>
      <c r="M7652" t="n">
        <v>0</v>
      </c>
      <c r="N7652" t="n">
        <v>0</v>
      </c>
      <c r="O7652" t="n">
        <v>0</v>
      </c>
      <c r="P7652" t="n">
        <v>0</v>
      </c>
      <c r="Q7652" t="n">
        <v>0</v>
      </c>
      <c r="R7652" s="2" t="inlineStr"/>
    </row>
    <row r="7653" ht="15" customHeight="1">
      <c r="A7653" t="inlineStr">
        <is>
          <t>A 39216-2022</t>
        </is>
      </c>
      <c r="B7653" s="1" t="n">
        <v>44817</v>
      </c>
      <c r="C7653" s="1" t="n">
        <v>45810</v>
      </c>
      <c r="D7653" t="inlineStr">
        <is>
          <t>VÄRMLANDS LÄN</t>
        </is>
      </c>
      <c r="E7653" t="inlineStr">
        <is>
          <t>TORSBY</t>
        </is>
      </c>
      <c r="G7653" t="n">
        <v>6.6</v>
      </c>
      <c r="H7653" t="n">
        <v>0</v>
      </c>
      <c r="I7653" t="n">
        <v>0</v>
      </c>
      <c r="J7653" t="n">
        <v>0</v>
      </c>
      <c r="K7653" t="n">
        <v>0</v>
      </c>
      <c r="L7653" t="n">
        <v>0</v>
      </c>
      <c r="M7653" t="n">
        <v>0</v>
      </c>
      <c r="N7653" t="n">
        <v>0</v>
      </c>
      <c r="O7653" t="n">
        <v>0</v>
      </c>
      <c r="P7653" t="n">
        <v>0</v>
      </c>
      <c r="Q7653" t="n">
        <v>0</v>
      </c>
      <c r="R7653" s="2" t="inlineStr"/>
    </row>
    <row r="7654" ht="15" customHeight="1">
      <c r="A7654" t="inlineStr">
        <is>
          <t>A 39047-2022</t>
        </is>
      </c>
      <c r="B7654" s="1" t="n">
        <v>44817</v>
      </c>
      <c r="C7654" s="1" t="n">
        <v>45810</v>
      </c>
      <c r="D7654" t="inlineStr">
        <is>
          <t>VÄRMLANDS LÄN</t>
        </is>
      </c>
      <c r="E7654" t="inlineStr">
        <is>
          <t>HAGFORS</t>
        </is>
      </c>
      <c r="F7654" t="inlineStr">
        <is>
          <t>Bergvik skog väst AB</t>
        </is>
      </c>
      <c r="G7654" t="n">
        <v>4.7</v>
      </c>
      <c r="H7654" t="n">
        <v>0</v>
      </c>
      <c r="I7654" t="n">
        <v>0</v>
      </c>
      <c r="J7654" t="n">
        <v>0</v>
      </c>
      <c r="K7654" t="n">
        <v>0</v>
      </c>
      <c r="L7654" t="n">
        <v>0</v>
      </c>
      <c r="M7654" t="n">
        <v>0</v>
      </c>
      <c r="N7654" t="n">
        <v>0</v>
      </c>
      <c r="O7654" t="n">
        <v>0</v>
      </c>
      <c r="P7654" t="n">
        <v>0</v>
      </c>
      <c r="Q7654" t="n">
        <v>0</v>
      </c>
      <c r="R7654" s="2" t="inlineStr"/>
    </row>
    <row r="7655" ht="15" customHeight="1">
      <c r="A7655" t="inlineStr">
        <is>
          <t>A 39145-2022</t>
        </is>
      </c>
      <c r="B7655" s="1" t="n">
        <v>44817</v>
      </c>
      <c r="C7655" s="1" t="n">
        <v>45810</v>
      </c>
      <c r="D7655" t="inlineStr">
        <is>
          <t>VÄRMLANDS LÄN</t>
        </is>
      </c>
      <c r="E7655" t="inlineStr">
        <is>
          <t>SUNNE</t>
        </is>
      </c>
      <c r="G7655" t="n">
        <v>2.8</v>
      </c>
      <c r="H7655" t="n">
        <v>0</v>
      </c>
      <c r="I7655" t="n">
        <v>0</v>
      </c>
      <c r="J7655" t="n">
        <v>0</v>
      </c>
      <c r="K7655" t="n">
        <v>0</v>
      </c>
      <c r="L7655" t="n">
        <v>0</v>
      </c>
      <c r="M7655" t="n">
        <v>0</v>
      </c>
      <c r="N7655" t="n">
        <v>0</v>
      </c>
      <c r="O7655" t="n">
        <v>0</v>
      </c>
      <c r="P7655" t="n">
        <v>0</v>
      </c>
      <c r="Q7655" t="n">
        <v>0</v>
      </c>
      <c r="R7655" s="2" t="inlineStr"/>
    </row>
    <row r="7656" ht="15" customHeight="1">
      <c r="A7656" t="inlineStr">
        <is>
          <t>A 39211-2022</t>
        </is>
      </c>
      <c r="B7656" s="1" t="n">
        <v>44817</v>
      </c>
      <c r="C7656" s="1" t="n">
        <v>45810</v>
      </c>
      <c r="D7656" t="inlineStr">
        <is>
          <t>VÄRMLANDS LÄN</t>
        </is>
      </c>
      <c r="E7656" t="inlineStr">
        <is>
          <t>HAGFORS</t>
        </is>
      </c>
      <c r="G7656" t="n">
        <v>2.7</v>
      </c>
      <c r="H7656" t="n">
        <v>0</v>
      </c>
      <c r="I7656" t="n">
        <v>0</v>
      </c>
      <c r="J7656" t="n">
        <v>0</v>
      </c>
      <c r="K7656" t="n">
        <v>0</v>
      </c>
      <c r="L7656" t="n">
        <v>0</v>
      </c>
      <c r="M7656" t="n">
        <v>0</v>
      </c>
      <c r="N7656" t="n">
        <v>0</v>
      </c>
      <c r="O7656" t="n">
        <v>0</v>
      </c>
      <c r="P7656" t="n">
        <v>0</v>
      </c>
      <c r="Q7656" t="n">
        <v>0</v>
      </c>
      <c r="R7656" s="2" t="inlineStr"/>
    </row>
    <row r="7657" ht="15" customHeight="1">
      <c r="A7657" t="inlineStr">
        <is>
          <t>A 39215-2022</t>
        </is>
      </c>
      <c r="B7657" s="1" t="n">
        <v>44817</v>
      </c>
      <c r="C7657" s="1" t="n">
        <v>45810</v>
      </c>
      <c r="D7657" t="inlineStr">
        <is>
          <t>VÄRMLANDS LÄN</t>
        </is>
      </c>
      <c r="E7657" t="inlineStr">
        <is>
          <t>TORSBY</t>
        </is>
      </c>
      <c r="G7657" t="n">
        <v>3.8</v>
      </c>
      <c r="H7657" t="n">
        <v>0</v>
      </c>
      <c r="I7657" t="n">
        <v>0</v>
      </c>
      <c r="J7657" t="n">
        <v>0</v>
      </c>
      <c r="K7657" t="n">
        <v>0</v>
      </c>
      <c r="L7657" t="n">
        <v>0</v>
      </c>
      <c r="M7657" t="n">
        <v>0</v>
      </c>
      <c r="N7657" t="n">
        <v>0</v>
      </c>
      <c r="O7657" t="n">
        <v>0</v>
      </c>
      <c r="P7657" t="n">
        <v>0</v>
      </c>
      <c r="Q7657" t="n">
        <v>0</v>
      </c>
      <c r="R7657" s="2" t="inlineStr"/>
    </row>
    <row r="7658" ht="15" customHeight="1">
      <c r="A7658" t="inlineStr">
        <is>
          <t>A 39300-2022</t>
        </is>
      </c>
      <c r="B7658" s="1" t="n">
        <v>44817</v>
      </c>
      <c r="C7658" s="1" t="n">
        <v>45810</v>
      </c>
      <c r="D7658" t="inlineStr">
        <is>
          <t>VÄRMLANDS LÄN</t>
        </is>
      </c>
      <c r="E7658" t="inlineStr">
        <is>
          <t>HAGFORS</t>
        </is>
      </c>
      <c r="F7658" t="inlineStr">
        <is>
          <t>Bergvik skog väst AB</t>
        </is>
      </c>
      <c r="G7658" t="n">
        <v>3.2</v>
      </c>
      <c r="H7658" t="n">
        <v>0</v>
      </c>
      <c r="I7658" t="n">
        <v>0</v>
      </c>
      <c r="J7658" t="n">
        <v>0</v>
      </c>
      <c r="K7658" t="n">
        <v>0</v>
      </c>
      <c r="L7658" t="n">
        <v>0</v>
      </c>
      <c r="M7658" t="n">
        <v>0</v>
      </c>
      <c r="N7658" t="n">
        <v>0</v>
      </c>
      <c r="O7658" t="n">
        <v>0</v>
      </c>
      <c r="P7658" t="n">
        <v>0</v>
      </c>
      <c r="Q7658" t="n">
        <v>0</v>
      </c>
      <c r="R7658" s="2" t="inlineStr"/>
    </row>
    <row r="7659" ht="15" customHeight="1">
      <c r="A7659" t="inlineStr">
        <is>
          <t>A 39161-2022</t>
        </is>
      </c>
      <c r="B7659" s="1" t="n">
        <v>44817</v>
      </c>
      <c r="C7659" s="1" t="n">
        <v>45810</v>
      </c>
      <c r="D7659" t="inlineStr">
        <is>
          <t>VÄRMLANDS LÄN</t>
        </is>
      </c>
      <c r="E7659" t="inlineStr">
        <is>
          <t>ARVIKA</t>
        </is>
      </c>
      <c r="F7659" t="inlineStr">
        <is>
          <t>Bergvik skog väst AB</t>
        </is>
      </c>
      <c r="G7659" t="n">
        <v>16.7</v>
      </c>
      <c r="H7659" t="n">
        <v>0</v>
      </c>
      <c r="I7659" t="n">
        <v>0</v>
      </c>
      <c r="J7659" t="n">
        <v>0</v>
      </c>
      <c r="K7659" t="n">
        <v>0</v>
      </c>
      <c r="L7659" t="n">
        <v>0</v>
      </c>
      <c r="M7659" t="n">
        <v>0</v>
      </c>
      <c r="N7659" t="n">
        <v>0</v>
      </c>
      <c r="O7659" t="n">
        <v>0</v>
      </c>
      <c r="P7659" t="n">
        <v>0</v>
      </c>
      <c r="Q7659" t="n">
        <v>0</v>
      </c>
      <c r="R7659" s="2" t="inlineStr"/>
    </row>
    <row r="7660" ht="15" customHeight="1">
      <c r="A7660" t="inlineStr">
        <is>
          <t>A 39175-2022</t>
        </is>
      </c>
      <c r="B7660" s="1" t="n">
        <v>44817</v>
      </c>
      <c r="C7660" s="1" t="n">
        <v>45810</v>
      </c>
      <c r="D7660" t="inlineStr">
        <is>
          <t>VÄRMLANDS LÄN</t>
        </is>
      </c>
      <c r="E7660" t="inlineStr">
        <is>
          <t>SUNNE</t>
        </is>
      </c>
      <c r="G7660" t="n">
        <v>2.8</v>
      </c>
      <c r="H7660" t="n">
        <v>0</v>
      </c>
      <c r="I7660" t="n">
        <v>0</v>
      </c>
      <c r="J7660" t="n">
        <v>0</v>
      </c>
      <c r="K7660" t="n">
        <v>0</v>
      </c>
      <c r="L7660" t="n">
        <v>0</v>
      </c>
      <c r="M7660" t="n">
        <v>0</v>
      </c>
      <c r="N7660" t="n">
        <v>0</v>
      </c>
      <c r="O7660" t="n">
        <v>0</v>
      </c>
      <c r="P7660" t="n">
        <v>0</v>
      </c>
      <c r="Q7660" t="n">
        <v>0</v>
      </c>
      <c r="R7660" s="2" t="inlineStr"/>
    </row>
    <row r="7661" ht="15" customHeight="1">
      <c r="A7661" t="inlineStr">
        <is>
          <t>A 39188-2022</t>
        </is>
      </c>
      <c r="B7661" s="1" t="n">
        <v>44817</v>
      </c>
      <c r="C7661" s="1" t="n">
        <v>45810</v>
      </c>
      <c r="D7661" t="inlineStr">
        <is>
          <t>VÄRMLANDS LÄN</t>
        </is>
      </c>
      <c r="E7661" t="inlineStr">
        <is>
          <t>ARVIKA</t>
        </is>
      </c>
      <c r="F7661" t="inlineStr">
        <is>
          <t>Bergvik skog väst AB</t>
        </is>
      </c>
      <c r="G7661" t="n">
        <v>5.2</v>
      </c>
      <c r="H7661" t="n">
        <v>0</v>
      </c>
      <c r="I7661" t="n">
        <v>0</v>
      </c>
      <c r="J7661" t="n">
        <v>0</v>
      </c>
      <c r="K7661" t="n">
        <v>0</v>
      </c>
      <c r="L7661" t="n">
        <v>0</v>
      </c>
      <c r="M7661" t="n">
        <v>0</v>
      </c>
      <c r="N7661" t="n">
        <v>0</v>
      </c>
      <c r="O7661" t="n">
        <v>0</v>
      </c>
      <c r="P7661" t="n">
        <v>0</v>
      </c>
      <c r="Q7661" t="n">
        <v>0</v>
      </c>
      <c r="R7661" s="2" t="inlineStr"/>
    </row>
    <row r="7662" ht="15" customHeight="1">
      <c r="A7662" t="inlineStr">
        <is>
          <t>A 39221-2022</t>
        </is>
      </c>
      <c r="B7662" s="1" t="n">
        <v>44817</v>
      </c>
      <c r="C7662" s="1" t="n">
        <v>45810</v>
      </c>
      <c r="D7662" t="inlineStr">
        <is>
          <t>VÄRMLANDS LÄN</t>
        </is>
      </c>
      <c r="E7662" t="inlineStr">
        <is>
          <t>TORSBY</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39303-2022</t>
        </is>
      </c>
      <c r="B7663" s="1" t="n">
        <v>44817</v>
      </c>
      <c r="C7663" s="1" t="n">
        <v>45810</v>
      </c>
      <c r="D7663" t="inlineStr">
        <is>
          <t>VÄRMLANDS LÄN</t>
        </is>
      </c>
      <c r="E7663" t="inlineStr">
        <is>
          <t>HAGFORS</t>
        </is>
      </c>
      <c r="G7663" t="n">
        <v>2.6</v>
      </c>
      <c r="H7663" t="n">
        <v>0</v>
      </c>
      <c r="I7663" t="n">
        <v>0</v>
      </c>
      <c r="J7663" t="n">
        <v>0</v>
      </c>
      <c r="K7663" t="n">
        <v>0</v>
      </c>
      <c r="L7663" t="n">
        <v>0</v>
      </c>
      <c r="M7663" t="n">
        <v>0</v>
      </c>
      <c r="N7663" t="n">
        <v>0</v>
      </c>
      <c r="O7663" t="n">
        <v>0</v>
      </c>
      <c r="P7663" t="n">
        <v>0</v>
      </c>
      <c r="Q7663" t="n">
        <v>0</v>
      </c>
      <c r="R7663" s="2" t="inlineStr"/>
    </row>
    <row r="7664" ht="15" customHeight="1">
      <c r="A7664" t="inlineStr">
        <is>
          <t>A 39160-2022</t>
        </is>
      </c>
      <c r="B7664" s="1" t="n">
        <v>44817</v>
      </c>
      <c r="C7664" s="1" t="n">
        <v>45810</v>
      </c>
      <c r="D7664" t="inlineStr">
        <is>
          <t>VÄRMLANDS LÄN</t>
        </is>
      </c>
      <c r="E7664" t="inlineStr">
        <is>
          <t>SUNNE</t>
        </is>
      </c>
      <c r="G7664" t="n">
        <v>4</v>
      </c>
      <c r="H7664" t="n">
        <v>0</v>
      </c>
      <c r="I7664" t="n">
        <v>0</v>
      </c>
      <c r="J7664" t="n">
        <v>0</v>
      </c>
      <c r="K7664" t="n">
        <v>0</v>
      </c>
      <c r="L7664" t="n">
        <v>0</v>
      </c>
      <c r="M7664" t="n">
        <v>0</v>
      </c>
      <c r="N7664" t="n">
        <v>0</v>
      </c>
      <c r="O7664" t="n">
        <v>0</v>
      </c>
      <c r="P7664" t="n">
        <v>0</v>
      </c>
      <c r="Q7664" t="n">
        <v>0</v>
      </c>
      <c r="R7664" s="2" t="inlineStr"/>
    </row>
    <row r="7665" ht="15" customHeight="1">
      <c r="A7665" t="inlineStr">
        <is>
          <t>A 39194-2022</t>
        </is>
      </c>
      <c r="B7665" s="1" t="n">
        <v>44817</v>
      </c>
      <c r="C7665" s="1" t="n">
        <v>45810</v>
      </c>
      <c r="D7665" t="inlineStr">
        <is>
          <t>VÄRMLANDS LÄN</t>
        </is>
      </c>
      <c r="E7665" t="inlineStr">
        <is>
          <t>EDA</t>
        </is>
      </c>
      <c r="G7665" t="n">
        <v>0.6</v>
      </c>
      <c r="H7665" t="n">
        <v>0</v>
      </c>
      <c r="I7665" t="n">
        <v>0</v>
      </c>
      <c r="J7665" t="n">
        <v>0</v>
      </c>
      <c r="K7665" t="n">
        <v>0</v>
      </c>
      <c r="L7665" t="n">
        <v>0</v>
      </c>
      <c r="M7665" t="n">
        <v>0</v>
      </c>
      <c r="N7665" t="n">
        <v>0</v>
      </c>
      <c r="O7665" t="n">
        <v>0</v>
      </c>
      <c r="P7665" t="n">
        <v>0</v>
      </c>
      <c r="Q7665" t="n">
        <v>0</v>
      </c>
      <c r="R7665" s="2" t="inlineStr"/>
    </row>
    <row r="7666" ht="15" customHeight="1">
      <c r="A7666" t="inlineStr">
        <is>
          <t>A 39217-2022</t>
        </is>
      </c>
      <c r="B7666" s="1" t="n">
        <v>44817</v>
      </c>
      <c r="C7666" s="1" t="n">
        <v>45810</v>
      </c>
      <c r="D7666" t="inlineStr">
        <is>
          <t>VÄRMLANDS LÄN</t>
        </is>
      </c>
      <c r="E7666" t="inlineStr">
        <is>
          <t>TORSBY</t>
        </is>
      </c>
      <c r="G7666" t="n">
        <v>4.6</v>
      </c>
      <c r="H7666" t="n">
        <v>0</v>
      </c>
      <c r="I7666" t="n">
        <v>0</v>
      </c>
      <c r="J7666" t="n">
        <v>0</v>
      </c>
      <c r="K7666" t="n">
        <v>0</v>
      </c>
      <c r="L7666" t="n">
        <v>0</v>
      </c>
      <c r="M7666" t="n">
        <v>0</v>
      </c>
      <c r="N7666" t="n">
        <v>0</v>
      </c>
      <c r="O7666" t="n">
        <v>0</v>
      </c>
      <c r="P7666" t="n">
        <v>0</v>
      </c>
      <c r="Q7666" t="n">
        <v>0</v>
      </c>
      <c r="R7666" s="2" t="inlineStr"/>
    </row>
    <row r="7667" ht="15" customHeight="1">
      <c r="A7667" t="inlineStr">
        <is>
          <t>A 39287-2022</t>
        </is>
      </c>
      <c r="B7667" s="1" t="n">
        <v>44817</v>
      </c>
      <c r="C7667" s="1" t="n">
        <v>45810</v>
      </c>
      <c r="D7667" t="inlineStr">
        <is>
          <t>VÄRMLANDS LÄN</t>
        </is>
      </c>
      <c r="E7667" t="inlineStr">
        <is>
          <t>HAGFORS</t>
        </is>
      </c>
      <c r="F7667" t="inlineStr">
        <is>
          <t>Bergvik skog väst AB</t>
        </is>
      </c>
      <c r="G7667" t="n">
        <v>2.4</v>
      </c>
      <c r="H7667" t="n">
        <v>0</v>
      </c>
      <c r="I7667" t="n">
        <v>0</v>
      </c>
      <c r="J7667" t="n">
        <v>0</v>
      </c>
      <c r="K7667" t="n">
        <v>0</v>
      </c>
      <c r="L7667" t="n">
        <v>0</v>
      </c>
      <c r="M7667" t="n">
        <v>0</v>
      </c>
      <c r="N7667" t="n">
        <v>0</v>
      </c>
      <c r="O7667" t="n">
        <v>0</v>
      </c>
      <c r="P7667" t="n">
        <v>0</v>
      </c>
      <c r="Q7667" t="n">
        <v>0</v>
      </c>
      <c r="R7667" s="2" t="inlineStr"/>
    </row>
    <row r="7668" ht="15" customHeight="1">
      <c r="A7668" t="inlineStr">
        <is>
          <t>A 39640-2022</t>
        </is>
      </c>
      <c r="B7668" s="1" t="n">
        <v>44817</v>
      </c>
      <c r="C7668" s="1" t="n">
        <v>45810</v>
      </c>
      <c r="D7668" t="inlineStr">
        <is>
          <t>VÄRMLANDS LÄN</t>
        </is>
      </c>
      <c r="E7668" t="inlineStr">
        <is>
          <t>HAGFORS</t>
        </is>
      </c>
      <c r="G7668" t="n">
        <v>2.8</v>
      </c>
      <c r="H7668" t="n">
        <v>0</v>
      </c>
      <c r="I7668" t="n">
        <v>0</v>
      </c>
      <c r="J7668" t="n">
        <v>0</v>
      </c>
      <c r="K7668" t="n">
        <v>0</v>
      </c>
      <c r="L7668" t="n">
        <v>0</v>
      </c>
      <c r="M7668" t="n">
        <v>0</v>
      </c>
      <c r="N7668" t="n">
        <v>0</v>
      </c>
      <c r="O7668" t="n">
        <v>0</v>
      </c>
      <c r="P7668" t="n">
        <v>0</v>
      </c>
      <c r="Q7668" t="n">
        <v>0</v>
      </c>
      <c r="R7668" s="2" t="inlineStr"/>
    </row>
    <row r="7669" ht="15" customHeight="1">
      <c r="A7669" t="inlineStr">
        <is>
          <t>A 39504-2022</t>
        </is>
      </c>
      <c r="B7669" s="1" t="n">
        <v>44818</v>
      </c>
      <c r="C7669" s="1" t="n">
        <v>45810</v>
      </c>
      <c r="D7669" t="inlineStr">
        <is>
          <t>VÄRMLANDS LÄN</t>
        </is>
      </c>
      <c r="E7669" t="inlineStr">
        <is>
          <t>KARLSTAD</t>
        </is>
      </c>
      <c r="G7669" t="n">
        <v>2.5</v>
      </c>
      <c r="H7669" t="n">
        <v>0</v>
      </c>
      <c r="I7669" t="n">
        <v>0</v>
      </c>
      <c r="J7669" t="n">
        <v>0</v>
      </c>
      <c r="K7669" t="n">
        <v>0</v>
      </c>
      <c r="L7669" t="n">
        <v>0</v>
      </c>
      <c r="M7669" t="n">
        <v>0</v>
      </c>
      <c r="N7669" t="n">
        <v>0</v>
      </c>
      <c r="O7669" t="n">
        <v>0</v>
      </c>
      <c r="P7669" t="n">
        <v>0</v>
      </c>
      <c r="Q7669" t="n">
        <v>0</v>
      </c>
      <c r="R7669" s="2" t="inlineStr"/>
    </row>
    <row r="7670" ht="15" customHeight="1">
      <c r="A7670" t="inlineStr">
        <is>
          <t>A 39536-2022</t>
        </is>
      </c>
      <c r="B7670" s="1" t="n">
        <v>44818</v>
      </c>
      <c r="C7670" s="1" t="n">
        <v>45810</v>
      </c>
      <c r="D7670" t="inlineStr">
        <is>
          <t>VÄRMLANDS LÄN</t>
        </is>
      </c>
      <c r="E7670" t="inlineStr">
        <is>
          <t>ÅRJÄNG</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39560-2022</t>
        </is>
      </c>
      <c r="B7671" s="1" t="n">
        <v>44818</v>
      </c>
      <c r="C7671" s="1" t="n">
        <v>45810</v>
      </c>
      <c r="D7671" t="inlineStr">
        <is>
          <t>VÄRMLANDS LÄN</t>
        </is>
      </c>
      <c r="E7671" t="inlineStr">
        <is>
          <t>ÅRJÄNG</t>
        </is>
      </c>
      <c r="G7671" t="n">
        <v>2.7</v>
      </c>
      <c r="H7671" t="n">
        <v>0</v>
      </c>
      <c r="I7671" t="n">
        <v>0</v>
      </c>
      <c r="J7671" t="n">
        <v>0</v>
      </c>
      <c r="K7671" t="n">
        <v>0</v>
      </c>
      <c r="L7671" t="n">
        <v>0</v>
      </c>
      <c r="M7671" t="n">
        <v>0</v>
      </c>
      <c r="N7671" t="n">
        <v>0</v>
      </c>
      <c r="O7671" t="n">
        <v>0</v>
      </c>
      <c r="P7671" t="n">
        <v>0</v>
      </c>
      <c r="Q7671" t="n">
        <v>0</v>
      </c>
      <c r="R7671" s="2" t="inlineStr"/>
    </row>
    <row r="7672" ht="15" customHeight="1">
      <c r="A7672" t="inlineStr">
        <is>
          <t>A 39661-2022</t>
        </is>
      </c>
      <c r="B7672" s="1" t="n">
        <v>44818</v>
      </c>
      <c r="C7672" s="1" t="n">
        <v>45810</v>
      </c>
      <c r="D7672" t="inlineStr">
        <is>
          <t>VÄRMLANDS LÄN</t>
        </is>
      </c>
      <c r="E7672" t="inlineStr">
        <is>
          <t>ÅRJÄNG</t>
        </is>
      </c>
      <c r="G7672" t="n">
        <v>0.6</v>
      </c>
      <c r="H7672" t="n">
        <v>0</v>
      </c>
      <c r="I7672" t="n">
        <v>0</v>
      </c>
      <c r="J7672" t="n">
        <v>0</v>
      </c>
      <c r="K7672" t="n">
        <v>0</v>
      </c>
      <c r="L7672" t="n">
        <v>0</v>
      </c>
      <c r="M7672" t="n">
        <v>0</v>
      </c>
      <c r="N7672" t="n">
        <v>0</v>
      </c>
      <c r="O7672" t="n">
        <v>0</v>
      </c>
      <c r="P7672" t="n">
        <v>0</v>
      </c>
      <c r="Q7672" t="n">
        <v>0</v>
      </c>
      <c r="R7672" s="2" t="inlineStr"/>
    </row>
    <row r="7673" ht="15" customHeight="1">
      <c r="A7673" t="inlineStr">
        <is>
          <t>A 39664-2022</t>
        </is>
      </c>
      <c r="B7673" s="1" t="n">
        <v>44818</v>
      </c>
      <c r="C7673" s="1" t="n">
        <v>45810</v>
      </c>
      <c r="D7673" t="inlineStr">
        <is>
          <t>VÄRMLANDS LÄN</t>
        </is>
      </c>
      <c r="E7673" t="inlineStr">
        <is>
          <t>EDA</t>
        </is>
      </c>
      <c r="G7673" t="n">
        <v>0.9</v>
      </c>
      <c r="H7673" t="n">
        <v>0</v>
      </c>
      <c r="I7673" t="n">
        <v>0</v>
      </c>
      <c r="J7673" t="n">
        <v>0</v>
      </c>
      <c r="K7673" t="n">
        <v>0</v>
      </c>
      <c r="L7673" t="n">
        <v>0</v>
      </c>
      <c r="M7673" t="n">
        <v>0</v>
      </c>
      <c r="N7673" t="n">
        <v>0</v>
      </c>
      <c r="O7673" t="n">
        <v>0</v>
      </c>
      <c r="P7673" t="n">
        <v>0</v>
      </c>
      <c r="Q7673" t="n">
        <v>0</v>
      </c>
      <c r="R7673" s="2" t="inlineStr"/>
    </row>
    <row r="7674" ht="15" customHeight="1">
      <c r="A7674" t="inlineStr">
        <is>
          <t>A 39781-2022</t>
        </is>
      </c>
      <c r="B7674" s="1" t="n">
        <v>44819</v>
      </c>
      <c r="C7674" s="1" t="n">
        <v>45810</v>
      </c>
      <c r="D7674" t="inlineStr">
        <is>
          <t>VÄRMLANDS LÄN</t>
        </is>
      </c>
      <c r="E7674" t="inlineStr">
        <is>
          <t>TORSBY</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39835-2022</t>
        </is>
      </c>
      <c r="B7675" s="1" t="n">
        <v>44819</v>
      </c>
      <c r="C7675" s="1" t="n">
        <v>45810</v>
      </c>
      <c r="D7675" t="inlineStr">
        <is>
          <t>VÄRMLANDS LÄN</t>
        </is>
      </c>
      <c r="E7675" t="inlineStr">
        <is>
          <t>ARVIKA</t>
        </is>
      </c>
      <c r="F7675" t="inlineStr">
        <is>
          <t>Bergvik skog väst AB</t>
        </is>
      </c>
      <c r="G7675" t="n">
        <v>13.1</v>
      </c>
      <c r="H7675" t="n">
        <v>0</v>
      </c>
      <c r="I7675" t="n">
        <v>0</v>
      </c>
      <c r="J7675" t="n">
        <v>0</v>
      </c>
      <c r="K7675" t="n">
        <v>0</v>
      </c>
      <c r="L7675" t="n">
        <v>0</v>
      </c>
      <c r="M7675" t="n">
        <v>0</v>
      </c>
      <c r="N7675" t="n">
        <v>0</v>
      </c>
      <c r="O7675" t="n">
        <v>0</v>
      </c>
      <c r="P7675" t="n">
        <v>0</v>
      </c>
      <c r="Q7675" t="n">
        <v>0</v>
      </c>
      <c r="R7675" s="2" t="inlineStr"/>
    </row>
    <row r="7676" ht="15" customHeight="1">
      <c r="A7676" t="inlineStr">
        <is>
          <t>A 39780-2022</t>
        </is>
      </c>
      <c r="B7676" s="1" t="n">
        <v>44819</v>
      </c>
      <c r="C7676" s="1" t="n">
        <v>45810</v>
      </c>
      <c r="D7676" t="inlineStr">
        <is>
          <t>VÄRMLANDS LÄN</t>
        </is>
      </c>
      <c r="E7676" t="inlineStr">
        <is>
          <t>TORSBY</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40496-2022</t>
        </is>
      </c>
      <c r="B7677" s="1" t="n">
        <v>44819</v>
      </c>
      <c r="C7677" s="1" t="n">
        <v>45810</v>
      </c>
      <c r="D7677" t="inlineStr">
        <is>
          <t>VÄRMLANDS LÄN</t>
        </is>
      </c>
      <c r="E7677" t="inlineStr">
        <is>
          <t>SÄFFLE</t>
        </is>
      </c>
      <c r="G7677" t="n">
        <v>2.1</v>
      </c>
      <c r="H7677" t="n">
        <v>0</v>
      </c>
      <c r="I7677" t="n">
        <v>0</v>
      </c>
      <c r="J7677" t="n">
        <v>0</v>
      </c>
      <c r="K7677" t="n">
        <v>0</v>
      </c>
      <c r="L7677" t="n">
        <v>0</v>
      </c>
      <c r="M7677" t="n">
        <v>0</v>
      </c>
      <c r="N7677" t="n">
        <v>0</v>
      </c>
      <c r="O7677" t="n">
        <v>0</v>
      </c>
      <c r="P7677" t="n">
        <v>0</v>
      </c>
      <c r="Q7677" t="n">
        <v>0</v>
      </c>
      <c r="R7677" s="2" t="inlineStr"/>
    </row>
    <row r="7678" ht="15" customHeight="1">
      <c r="A7678" t="inlineStr">
        <is>
          <t>A 40487-2022</t>
        </is>
      </c>
      <c r="B7678" s="1" t="n">
        <v>44819</v>
      </c>
      <c r="C7678" s="1" t="n">
        <v>45810</v>
      </c>
      <c r="D7678" t="inlineStr">
        <is>
          <t>VÄRMLANDS LÄN</t>
        </is>
      </c>
      <c r="E7678" t="inlineStr">
        <is>
          <t>SÄFFLE</t>
        </is>
      </c>
      <c r="G7678" t="n">
        <v>1.3</v>
      </c>
      <c r="H7678" t="n">
        <v>0</v>
      </c>
      <c r="I7678" t="n">
        <v>0</v>
      </c>
      <c r="J7678" t="n">
        <v>0</v>
      </c>
      <c r="K7678" t="n">
        <v>0</v>
      </c>
      <c r="L7678" t="n">
        <v>0</v>
      </c>
      <c r="M7678" t="n">
        <v>0</v>
      </c>
      <c r="N7678" t="n">
        <v>0</v>
      </c>
      <c r="O7678" t="n">
        <v>0</v>
      </c>
      <c r="P7678" t="n">
        <v>0</v>
      </c>
      <c r="Q7678" t="n">
        <v>0</v>
      </c>
      <c r="R7678" s="2" t="inlineStr"/>
    </row>
    <row r="7679" ht="15" customHeight="1">
      <c r="A7679" t="inlineStr">
        <is>
          <t>A 40391-2022</t>
        </is>
      </c>
      <c r="B7679" s="1" t="n">
        <v>44819</v>
      </c>
      <c r="C7679" s="1" t="n">
        <v>45810</v>
      </c>
      <c r="D7679" t="inlineStr">
        <is>
          <t>VÄRMLANDS LÄN</t>
        </is>
      </c>
      <c r="E7679" t="inlineStr">
        <is>
          <t>SÄFFLE</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40011-2022</t>
        </is>
      </c>
      <c r="B7680" s="1" t="n">
        <v>44820</v>
      </c>
      <c r="C7680" s="1" t="n">
        <v>45810</v>
      </c>
      <c r="D7680" t="inlineStr">
        <is>
          <t>VÄRMLANDS LÄN</t>
        </is>
      </c>
      <c r="E7680" t="inlineStr">
        <is>
          <t>ARVIKA</t>
        </is>
      </c>
      <c r="G7680" t="n">
        <v>6.3</v>
      </c>
      <c r="H7680" t="n">
        <v>0</v>
      </c>
      <c r="I7680" t="n">
        <v>0</v>
      </c>
      <c r="J7680" t="n">
        <v>0</v>
      </c>
      <c r="K7680" t="n">
        <v>0</v>
      </c>
      <c r="L7680" t="n">
        <v>0</v>
      </c>
      <c r="M7680" t="n">
        <v>0</v>
      </c>
      <c r="N7680" t="n">
        <v>0</v>
      </c>
      <c r="O7680" t="n">
        <v>0</v>
      </c>
      <c r="P7680" t="n">
        <v>0</v>
      </c>
      <c r="Q7680" t="n">
        <v>0</v>
      </c>
      <c r="R7680" s="2" t="inlineStr"/>
    </row>
    <row r="7681" ht="15" customHeight="1">
      <c r="A7681" t="inlineStr">
        <is>
          <t>A 40107-2022</t>
        </is>
      </c>
      <c r="B7681" s="1" t="n">
        <v>44820</v>
      </c>
      <c r="C7681" s="1" t="n">
        <v>45810</v>
      </c>
      <c r="D7681" t="inlineStr">
        <is>
          <t>VÄRMLANDS LÄN</t>
        </is>
      </c>
      <c r="E7681" t="inlineStr">
        <is>
          <t>KIL</t>
        </is>
      </c>
      <c r="F7681" t="inlineStr">
        <is>
          <t>Kommuner</t>
        </is>
      </c>
      <c r="G7681" t="n">
        <v>0.5</v>
      </c>
      <c r="H7681" t="n">
        <v>0</v>
      </c>
      <c r="I7681" t="n">
        <v>0</v>
      </c>
      <c r="J7681" t="n">
        <v>0</v>
      </c>
      <c r="K7681" t="n">
        <v>0</v>
      </c>
      <c r="L7681" t="n">
        <v>0</v>
      </c>
      <c r="M7681" t="n">
        <v>0</v>
      </c>
      <c r="N7681" t="n">
        <v>0</v>
      </c>
      <c r="O7681" t="n">
        <v>0</v>
      </c>
      <c r="P7681" t="n">
        <v>0</v>
      </c>
      <c r="Q7681" t="n">
        <v>0</v>
      </c>
      <c r="R7681" s="2" t="inlineStr"/>
    </row>
    <row r="7682" ht="15" customHeight="1">
      <c r="A7682" t="inlineStr">
        <is>
          <t>A 40055-2022</t>
        </is>
      </c>
      <c r="B7682" s="1" t="n">
        <v>44820</v>
      </c>
      <c r="C7682" s="1" t="n">
        <v>45810</v>
      </c>
      <c r="D7682" t="inlineStr">
        <is>
          <t>VÄRMLANDS LÄN</t>
        </is>
      </c>
      <c r="E7682" t="inlineStr">
        <is>
          <t>EDA</t>
        </is>
      </c>
      <c r="G7682" t="n">
        <v>4.8</v>
      </c>
      <c r="H7682" t="n">
        <v>0</v>
      </c>
      <c r="I7682" t="n">
        <v>0</v>
      </c>
      <c r="J7682" t="n">
        <v>0</v>
      </c>
      <c r="K7682" t="n">
        <v>0</v>
      </c>
      <c r="L7682" t="n">
        <v>0</v>
      </c>
      <c r="M7682" t="n">
        <v>0</v>
      </c>
      <c r="N7682" t="n">
        <v>0</v>
      </c>
      <c r="O7682" t="n">
        <v>0</v>
      </c>
      <c r="P7682" t="n">
        <v>0</v>
      </c>
      <c r="Q7682" t="n">
        <v>0</v>
      </c>
      <c r="R7682" s="2" t="inlineStr"/>
    </row>
    <row r="7683" ht="15" customHeight="1">
      <c r="A7683" t="inlineStr">
        <is>
          <t>A 40223-2022</t>
        </is>
      </c>
      <c r="B7683" s="1" t="n">
        <v>44820</v>
      </c>
      <c r="C7683" s="1" t="n">
        <v>45810</v>
      </c>
      <c r="D7683" t="inlineStr">
        <is>
          <t>VÄRMLANDS LÄN</t>
        </is>
      </c>
      <c r="E7683" t="inlineStr">
        <is>
          <t>SUNNE</t>
        </is>
      </c>
      <c r="G7683" t="n">
        <v>2.6</v>
      </c>
      <c r="H7683" t="n">
        <v>0</v>
      </c>
      <c r="I7683" t="n">
        <v>0</v>
      </c>
      <c r="J7683" t="n">
        <v>0</v>
      </c>
      <c r="K7683" t="n">
        <v>0</v>
      </c>
      <c r="L7683" t="n">
        <v>0</v>
      </c>
      <c r="M7683" t="n">
        <v>0</v>
      </c>
      <c r="N7683" t="n">
        <v>0</v>
      </c>
      <c r="O7683" t="n">
        <v>0</v>
      </c>
      <c r="P7683" t="n">
        <v>0</v>
      </c>
      <c r="Q7683" t="n">
        <v>0</v>
      </c>
      <c r="R7683" s="2" t="inlineStr"/>
    </row>
    <row r="7684" ht="15" customHeight="1">
      <c r="A7684" t="inlineStr">
        <is>
          <t>A 40208-2022</t>
        </is>
      </c>
      <c r="B7684" s="1" t="n">
        <v>44820</v>
      </c>
      <c r="C7684" s="1" t="n">
        <v>45810</v>
      </c>
      <c r="D7684" t="inlineStr">
        <is>
          <t>VÄRMLANDS LÄN</t>
        </is>
      </c>
      <c r="E7684" t="inlineStr">
        <is>
          <t>EDA</t>
        </is>
      </c>
      <c r="G7684" t="n">
        <v>1.8</v>
      </c>
      <c r="H7684" t="n">
        <v>0</v>
      </c>
      <c r="I7684" t="n">
        <v>0</v>
      </c>
      <c r="J7684" t="n">
        <v>0</v>
      </c>
      <c r="K7684" t="n">
        <v>0</v>
      </c>
      <c r="L7684" t="n">
        <v>0</v>
      </c>
      <c r="M7684" t="n">
        <v>0</v>
      </c>
      <c r="N7684" t="n">
        <v>0</v>
      </c>
      <c r="O7684" t="n">
        <v>0</v>
      </c>
      <c r="P7684" t="n">
        <v>0</v>
      </c>
      <c r="Q7684" t="n">
        <v>0</v>
      </c>
      <c r="R7684" s="2" t="inlineStr"/>
    </row>
    <row r="7685" ht="15" customHeight="1">
      <c r="A7685" t="inlineStr">
        <is>
          <t>A 40220-2022</t>
        </is>
      </c>
      <c r="B7685" s="1" t="n">
        <v>44820</v>
      </c>
      <c r="C7685" s="1" t="n">
        <v>45810</v>
      </c>
      <c r="D7685" t="inlineStr">
        <is>
          <t>VÄRMLANDS LÄN</t>
        </is>
      </c>
      <c r="E7685" t="inlineStr">
        <is>
          <t>SÄFFLE</t>
        </is>
      </c>
      <c r="G7685" t="n">
        <v>7.8</v>
      </c>
      <c r="H7685" t="n">
        <v>0</v>
      </c>
      <c r="I7685" t="n">
        <v>0</v>
      </c>
      <c r="J7685" t="n">
        <v>0</v>
      </c>
      <c r="K7685" t="n">
        <v>0</v>
      </c>
      <c r="L7685" t="n">
        <v>0</v>
      </c>
      <c r="M7685" t="n">
        <v>0</v>
      </c>
      <c r="N7685" t="n">
        <v>0</v>
      </c>
      <c r="O7685" t="n">
        <v>0</v>
      </c>
      <c r="P7685" t="n">
        <v>0</v>
      </c>
      <c r="Q7685" t="n">
        <v>0</v>
      </c>
      <c r="R7685" s="2" t="inlineStr"/>
    </row>
    <row r="7686" ht="15" customHeight="1">
      <c r="A7686" t="inlineStr">
        <is>
          <t>A 40245-2022</t>
        </is>
      </c>
      <c r="B7686" s="1" t="n">
        <v>44820</v>
      </c>
      <c r="C7686" s="1" t="n">
        <v>45810</v>
      </c>
      <c r="D7686" t="inlineStr">
        <is>
          <t>VÄRMLANDS LÄN</t>
        </is>
      </c>
      <c r="E7686" t="inlineStr">
        <is>
          <t>SÄFFLE</t>
        </is>
      </c>
      <c r="F7686" t="inlineStr">
        <is>
          <t>Bergvik skog väst AB</t>
        </is>
      </c>
      <c r="G7686" t="n">
        <v>2.9</v>
      </c>
      <c r="H7686" t="n">
        <v>0</v>
      </c>
      <c r="I7686" t="n">
        <v>0</v>
      </c>
      <c r="J7686" t="n">
        <v>0</v>
      </c>
      <c r="K7686" t="n">
        <v>0</v>
      </c>
      <c r="L7686" t="n">
        <v>0</v>
      </c>
      <c r="M7686" t="n">
        <v>0</v>
      </c>
      <c r="N7686" t="n">
        <v>0</v>
      </c>
      <c r="O7686" t="n">
        <v>0</v>
      </c>
      <c r="P7686" t="n">
        <v>0</v>
      </c>
      <c r="Q7686" t="n">
        <v>0</v>
      </c>
      <c r="R7686" s="2" t="inlineStr"/>
    </row>
    <row r="7687" ht="15" customHeight="1">
      <c r="A7687" t="inlineStr">
        <is>
          <t>A 39980-2022</t>
        </is>
      </c>
      <c r="B7687" s="1" t="n">
        <v>44820</v>
      </c>
      <c r="C7687" s="1" t="n">
        <v>45810</v>
      </c>
      <c r="D7687" t="inlineStr">
        <is>
          <t>VÄRMLANDS LÄN</t>
        </is>
      </c>
      <c r="E7687" t="inlineStr">
        <is>
          <t>ARVIKA</t>
        </is>
      </c>
      <c r="F7687" t="inlineStr">
        <is>
          <t>Bergvik skog väst AB</t>
        </is>
      </c>
      <c r="G7687" t="n">
        <v>0.3</v>
      </c>
      <c r="H7687" t="n">
        <v>0</v>
      </c>
      <c r="I7687" t="n">
        <v>0</v>
      </c>
      <c r="J7687" t="n">
        <v>0</v>
      </c>
      <c r="K7687" t="n">
        <v>0</v>
      </c>
      <c r="L7687" t="n">
        <v>0</v>
      </c>
      <c r="M7687" t="n">
        <v>0</v>
      </c>
      <c r="N7687" t="n">
        <v>0</v>
      </c>
      <c r="O7687" t="n">
        <v>0</v>
      </c>
      <c r="P7687" t="n">
        <v>0</v>
      </c>
      <c r="Q7687" t="n">
        <v>0</v>
      </c>
      <c r="R7687" s="2" t="inlineStr"/>
    </row>
    <row r="7688" ht="15" customHeight="1">
      <c r="A7688" t="inlineStr">
        <is>
          <t>A 39990-2022</t>
        </is>
      </c>
      <c r="B7688" s="1" t="n">
        <v>44820</v>
      </c>
      <c r="C7688" s="1" t="n">
        <v>45810</v>
      </c>
      <c r="D7688" t="inlineStr">
        <is>
          <t>VÄRMLANDS LÄN</t>
        </is>
      </c>
      <c r="E7688" t="inlineStr">
        <is>
          <t>SÄFFLE</t>
        </is>
      </c>
      <c r="F7688" t="inlineStr">
        <is>
          <t>Kyrkan</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40009-2022</t>
        </is>
      </c>
      <c r="B7689" s="1" t="n">
        <v>44820</v>
      </c>
      <c r="C7689" s="1" t="n">
        <v>45810</v>
      </c>
      <c r="D7689" t="inlineStr">
        <is>
          <t>VÄRMLANDS LÄN</t>
        </is>
      </c>
      <c r="E7689" t="inlineStr">
        <is>
          <t>TORSBY</t>
        </is>
      </c>
      <c r="G7689" t="n">
        <v>4.8</v>
      </c>
      <c r="H7689" t="n">
        <v>0</v>
      </c>
      <c r="I7689" t="n">
        <v>0</v>
      </c>
      <c r="J7689" t="n">
        <v>0</v>
      </c>
      <c r="K7689" t="n">
        <v>0</v>
      </c>
      <c r="L7689" t="n">
        <v>0</v>
      </c>
      <c r="M7689" t="n">
        <v>0</v>
      </c>
      <c r="N7689" t="n">
        <v>0</v>
      </c>
      <c r="O7689" t="n">
        <v>0</v>
      </c>
      <c r="P7689" t="n">
        <v>0</v>
      </c>
      <c r="Q7689" t="n">
        <v>0</v>
      </c>
      <c r="R7689" s="2" t="inlineStr"/>
    </row>
    <row r="7690" ht="15" customHeight="1">
      <c r="A7690" t="inlineStr">
        <is>
          <t>A 40036-2022</t>
        </is>
      </c>
      <c r="B7690" s="1" t="n">
        <v>44820</v>
      </c>
      <c r="C7690" s="1" t="n">
        <v>45810</v>
      </c>
      <c r="D7690" t="inlineStr">
        <is>
          <t>VÄRMLANDS LÄN</t>
        </is>
      </c>
      <c r="E7690" t="inlineStr">
        <is>
          <t>TORSBY</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40112-2022</t>
        </is>
      </c>
      <c r="B7691" s="1" t="n">
        <v>44820</v>
      </c>
      <c r="C7691" s="1" t="n">
        <v>45810</v>
      </c>
      <c r="D7691" t="inlineStr">
        <is>
          <t>VÄRMLANDS LÄN</t>
        </is>
      </c>
      <c r="E7691" t="inlineStr">
        <is>
          <t>KIL</t>
        </is>
      </c>
      <c r="F7691" t="inlineStr">
        <is>
          <t>Kommuner</t>
        </is>
      </c>
      <c r="G7691" t="n">
        <v>2.4</v>
      </c>
      <c r="H7691" t="n">
        <v>0</v>
      </c>
      <c r="I7691" t="n">
        <v>0</v>
      </c>
      <c r="J7691" t="n">
        <v>0</v>
      </c>
      <c r="K7691" t="n">
        <v>0</v>
      </c>
      <c r="L7691" t="n">
        <v>0</v>
      </c>
      <c r="M7691" t="n">
        <v>0</v>
      </c>
      <c r="N7691" t="n">
        <v>0</v>
      </c>
      <c r="O7691" t="n">
        <v>0</v>
      </c>
      <c r="P7691" t="n">
        <v>0</v>
      </c>
      <c r="Q7691" t="n">
        <v>0</v>
      </c>
      <c r="R7691" s="2" t="inlineStr"/>
    </row>
    <row r="7692" ht="15" customHeight="1">
      <c r="A7692" t="inlineStr">
        <is>
          <t>A 40221-2022</t>
        </is>
      </c>
      <c r="B7692" s="1" t="n">
        <v>44820</v>
      </c>
      <c r="C7692" s="1" t="n">
        <v>45810</v>
      </c>
      <c r="D7692" t="inlineStr">
        <is>
          <t>VÄRMLANDS LÄN</t>
        </is>
      </c>
      <c r="E7692" t="inlineStr">
        <is>
          <t>TORSBY</t>
        </is>
      </c>
      <c r="G7692" t="n">
        <v>2.1</v>
      </c>
      <c r="H7692" t="n">
        <v>0</v>
      </c>
      <c r="I7692" t="n">
        <v>0</v>
      </c>
      <c r="J7692" t="n">
        <v>0</v>
      </c>
      <c r="K7692" t="n">
        <v>0</v>
      </c>
      <c r="L7692" t="n">
        <v>0</v>
      </c>
      <c r="M7692" t="n">
        <v>0</v>
      </c>
      <c r="N7692" t="n">
        <v>0</v>
      </c>
      <c r="O7692" t="n">
        <v>0</v>
      </c>
      <c r="P7692" t="n">
        <v>0</v>
      </c>
      <c r="Q7692" t="n">
        <v>0</v>
      </c>
      <c r="R7692" s="2" t="inlineStr"/>
    </row>
    <row r="7693" ht="15" customHeight="1">
      <c r="A7693" t="inlineStr">
        <is>
          <t>A 40238-2022</t>
        </is>
      </c>
      <c r="B7693" s="1" t="n">
        <v>44820</v>
      </c>
      <c r="C7693" s="1" t="n">
        <v>45810</v>
      </c>
      <c r="D7693" t="inlineStr">
        <is>
          <t>VÄRMLANDS LÄN</t>
        </is>
      </c>
      <c r="E7693" t="inlineStr">
        <is>
          <t>SUNNE</t>
        </is>
      </c>
      <c r="G7693" t="n">
        <v>1.4</v>
      </c>
      <c r="H7693" t="n">
        <v>0</v>
      </c>
      <c r="I7693" t="n">
        <v>0</v>
      </c>
      <c r="J7693" t="n">
        <v>0</v>
      </c>
      <c r="K7693" t="n">
        <v>0</v>
      </c>
      <c r="L7693" t="n">
        <v>0</v>
      </c>
      <c r="M7693" t="n">
        <v>0</v>
      </c>
      <c r="N7693" t="n">
        <v>0</v>
      </c>
      <c r="O7693" t="n">
        <v>0</v>
      </c>
      <c r="P7693" t="n">
        <v>0</v>
      </c>
      <c r="Q7693" t="n">
        <v>0</v>
      </c>
      <c r="R7693" s="2" t="inlineStr"/>
    </row>
    <row r="7694" ht="15" customHeight="1">
      <c r="A7694" t="inlineStr">
        <is>
          <t>A 40326-2022</t>
        </is>
      </c>
      <c r="B7694" s="1" t="n">
        <v>44823</v>
      </c>
      <c r="C7694" s="1" t="n">
        <v>45810</v>
      </c>
      <c r="D7694" t="inlineStr">
        <is>
          <t>VÄRMLANDS LÄN</t>
        </is>
      </c>
      <c r="E7694" t="inlineStr">
        <is>
          <t>KRISTINEHAMN</t>
        </is>
      </c>
      <c r="F7694" t="inlineStr">
        <is>
          <t>Sveaskog</t>
        </is>
      </c>
      <c r="G7694" t="n">
        <v>12.1</v>
      </c>
      <c r="H7694" t="n">
        <v>0</v>
      </c>
      <c r="I7694" t="n">
        <v>0</v>
      </c>
      <c r="J7694" t="n">
        <v>0</v>
      </c>
      <c r="K7694" t="n">
        <v>0</v>
      </c>
      <c r="L7694" t="n">
        <v>0</v>
      </c>
      <c r="M7694" t="n">
        <v>0</v>
      </c>
      <c r="N7694" t="n">
        <v>0</v>
      </c>
      <c r="O7694" t="n">
        <v>0</v>
      </c>
      <c r="P7694" t="n">
        <v>0</v>
      </c>
      <c r="Q7694" t="n">
        <v>0</v>
      </c>
      <c r="R7694" s="2" t="inlineStr"/>
    </row>
    <row r="7695" ht="15" customHeight="1">
      <c r="A7695" t="inlineStr">
        <is>
          <t>A 40352-2022</t>
        </is>
      </c>
      <c r="B7695" s="1" t="n">
        <v>44823</v>
      </c>
      <c r="C7695" s="1" t="n">
        <v>45810</v>
      </c>
      <c r="D7695" t="inlineStr">
        <is>
          <t>VÄRMLANDS LÄN</t>
        </is>
      </c>
      <c r="E7695" t="inlineStr">
        <is>
          <t>ÅRJÄNG</t>
        </is>
      </c>
      <c r="G7695" t="n">
        <v>2.6</v>
      </c>
      <c r="H7695" t="n">
        <v>0</v>
      </c>
      <c r="I7695" t="n">
        <v>0</v>
      </c>
      <c r="J7695" t="n">
        <v>0</v>
      </c>
      <c r="K7695" t="n">
        <v>0</v>
      </c>
      <c r="L7695" t="n">
        <v>0</v>
      </c>
      <c r="M7695" t="n">
        <v>0</v>
      </c>
      <c r="N7695" t="n">
        <v>0</v>
      </c>
      <c r="O7695" t="n">
        <v>0</v>
      </c>
      <c r="P7695" t="n">
        <v>0</v>
      </c>
      <c r="Q7695" t="n">
        <v>0</v>
      </c>
      <c r="R7695" s="2" t="inlineStr"/>
    </row>
    <row r="7696" ht="15" customHeight="1">
      <c r="A7696" t="inlineStr">
        <is>
          <t>A 40340-2022</t>
        </is>
      </c>
      <c r="B7696" s="1" t="n">
        <v>44823</v>
      </c>
      <c r="C7696" s="1" t="n">
        <v>45810</v>
      </c>
      <c r="D7696" t="inlineStr">
        <is>
          <t>VÄRMLANDS LÄN</t>
        </is>
      </c>
      <c r="E7696" t="inlineStr">
        <is>
          <t>SÄFFLE</t>
        </is>
      </c>
      <c r="G7696" t="n">
        <v>5.3</v>
      </c>
      <c r="H7696" t="n">
        <v>0</v>
      </c>
      <c r="I7696" t="n">
        <v>0</v>
      </c>
      <c r="J7696" t="n">
        <v>0</v>
      </c>
      <c r="K7696" t="n">
        <v>0</v>
      </c>
      <c r="L7696" t="n">
        <v>0</v>
      </c>
      <c r="M7696" t="n">
        <v>0</v>
      </c>
      <c r="N7696" t="n">
        <v>0</v>
      </c>
      <c r="O7696" t="n">
        <v>0</v>
      </c>
      <c r="P7696" t="n">
        <v>0</v>
      </c>
      <c r="Q7696" t="n">
        <v>0</v>
      </c>
      <c r="R7696" s="2" t="inlineStr"/>
    </row>
    <row r="7697" ht="15" customHeight="1">
      <c r="A7697" t="inlineStr">
        <is>
          <t>A 40353-2022</t>
        </is>
      </c>
      <c r="B7697" s="1" t="n">
        <v>44823</v>
      </c>
      <c r="C7697" s="1" t="n">
        <v>45810</v>
      </c>
      <c r="D7697" t="inlineStr">
        <is>
          <t>VÄRMLANDS LÄN</t>
        </is>
      </c>
      <c r="E7697" t="inlineStr">
        <is>
          <t>TORSBY</t>
        </is>
      </c>
      <c r="F7697" t="inlineStr">
        <is>
          <t>Bergvik skog väst AB</t>
        </is>
      </c>
      <c r="G7697" t="n">
        <v>9.1</v>
      </c>
      <c r="H7697" t="n">
        <v>0</v>
      </c>
      <c r="I7697" t="n">
        <v>0</v>
      </c>
      <c r="J7697" t="n">
        <v>0</v>
      </c>
      <c r="K7697" t="n">
        <v>0</v>
      </c>
      <c r="L7697" t="n">
        <v>0</v>
      </c>
      <c r="M7697" t="n">
        <v>0</v>
      </c>
      <c r="N7697" t="n">
        <v>0</v>
      </c>
      <c r="O7697" t="n">
        <v>0</v>
      </c>
      <c r="P7697" t="n">
        <v>0</v>
      </c>
      <c r="Q7697" t="n">
        <v>0</v>
      </c>
      <c r="R7697" s="2" t="inlineStr"/>
    </row>
    <row r="7698" ht="15" customHeight="1">
      <c r="A7698" t="inlineStr">
        <is>
          <t>A 40411-2022</t>
        </is>
      </c>
      <c r="B7698" s="1" t="n">
        <v>44823</v>
      </c>
      <c r="C7698" s="1" t="n">
        <v>45810</v>
      </c>
      <c r="D7698" t="inlineStr">
        <is>
          <t>VÄRMLANDS LÄN</t>
        </is>
      </c>
      <c r="E7698" t="inlineStr">
        <is>
          <t>SUNNE</t>
        </is>
      </c>
      <c r="G7698" t="n">
        <v>2.3</v>
      </c>
      <c r="H7698" t="n">
        <v>0</v>
      </c>
      <c r="I7698" t="n">
        <v>0</v>
      </c>
      <c r="J7698" t="n">
        <v>0</v>
      </c>
      <c r="K7698" t="n">
        <v>0</v>
      </c>
      <c r="L7698" t="n">
        <v>0</v>
      </c>
      <c r="M7698" t="n">
        <v>0</v>
      </c>
      <c r="N7698" t="n">
        <v>0</v>
      </c>
      <c r="O7698" t="n">
        <v>0</v>
      </c>
      <c r="P7698" t="n">
        <v>0</v>
      </c>
      <c r="Q7698" t="n">
        <v>0</v>
      </c>
      <c r="R7698" s="2" t="inlineStr"/>
    </row>
    <row r="7699" ht="15" customHeight="1">
      <c r="A7699" t="inlineStr">
        <is>
          <t>A 40366-2022</t>
        </is>
      </c>
      <c r="B7699" s="1" t="n">
        <v>44823</v>
      </c>
      <c r="C7699" s="1" t="n">
        <v>45810</v>
      </c>
      <c r="D7699" t="inlineStr">
        <is>
          <t>VÄRMLANDS LÄN</t>
        </is>
      </c>
      <c r="E7699" t="inlineStr">
        <is>
          <t>ÅRJÄNG</t>
        </is>
      </c>
      <c r="G7699" t="n">
        <v>3.2</v>
      </c>
      <c r="H7699" t="n">
        <v>0</v>
      </c>
      <c r="I7699" t="n">
        <v>0</v>
      </c>
      <c r="J7699" t="n">
        <v>0</v>
      </c>
      <c r="K7699" t="n">
        <v>0</v>
      </c>
      <c r="L7699" t="n">
        <v>0</v>
      </c>
      <c r="M7699" t="n">
        <v>0</v>
      </c>
      <c r="N7699" t="n">
        <v>0</v>
      </c>
      <c r="O7699" t="n">
        <v>0</v>
      </c>
      <c r="P7699" t="n">
        <v>0</v>
      </c>
      <c r="Q7699" t="n">
        <v>0</v>
      </c>
      <c r="R7699" s="2" t="inlineStr"/>
    </row>
    <row r="7700" ht="15" customHeight="1">
      <c r="A7700" t="inlineStr">
        <is>
          <t>A 40439-2022</t>
        </is>
      </c>
      <c r="B7700" s="1" t="n">
        <v>44823</v>
      </c>
      <c r="C7700" s="1" t="n">
        <v>45810</v>
      </c>
      <c r="D7700" t="inlineStr">
        <is>
          <t>VÄRMLANDS LÄN</t>
        </is>
      </c>
      <c r="E7700" t="inlineStr">
        <is>
          <t>ÅRJÄNG</t>
        </is>
      </c>
      <c r="G7700" t="n">
        <v>0.5</v>
      </c>
      <c r="H7700" t="n">
        <v>0</v>
      </c>
      <c r="I7700" t="n">
        <v>0</v>
      </c>
      <c r="J7700" t="n">
        <v>0</v>
      </c>
      <c r="K7700" t="n">
        <v>0</v>
      </c>
      <c r="L7700" t="n">
        <v>0</v>
      </c>
      <c r="M7700" t="n">
        <v>0</v>
      </c>
      <c r="N7700" t="n">
        <v>0</v>
      </c>
      <c r="O7700" t="n">
        <v>0</v>
      </c>
      <c r="P7700" t="n">
        <v>0</v>
      </c>
      <c r="Q7700" t="n">
        <v>0</v>
      </c>
      <c r="R7700" s="2" t="inlineStr"/>
    </row>
    <row r="7701" ht="15" customHeight="1">
      <c r="A7701" t="inlineStr">
        <is>
          <t>A 40485-2022</t>
        </is>
      </c>
      <c r="B7701" s="1" t="n">
        <v>44823</v>
      </c>
      <c r="C7701" s="1" t="n">
        <v>45810</v>
      </c>
      <c r="D7701" t="inlineStr">
        <is>
          <t>VÄRMLANDS LÄN</t>
        </is>
      </c>
      <c r="E7701" t="inlineStr">
        <is>
          <t>SUNNE</t>
        </is>
      </c>
      <c r="G7701" t="n">
        <v>2</v>
      </c>
      <c r="H7701" t="n">
        <v>0</v>
      </c>
      <c r="I7701" t="n">
        <v>0</v>
      </c>
      <c r="J7701" t="n">
        <v>0</v>
      </c>
      <c r="K7701" t="n">
        <v>0</v>
      </c>
      <c r="L7701" t="n">
        <v>0</v>
      </c>
      <c r="M7701" t="n">
        <v>0</v>
      </c>
      <c r="N7701" t="n">
        <v>0</v>
      </c>
      <c r="O7701" t="n">
        <v>0</v>
      </c>
      <c r="P7701" t="n">
        <v>0</v>
      </c>
      <c r="Q7701" t="n">
        <v>0</v>
      </c>
      <c r="R7701" s="2" t="inlineStr"/>
    </row>
    <row r="7702" ht="15" customHeight="1">
      <c r="A7702" t="inlineStr">
        <is>
          <t>A 40447-2022</t>
        </is>
      </c>
      <c r="B7702" s="1" t="n">
        <v>44823</v>
      </c>
      <c r="C7702" s="1" t="n">
        <v>45810</v>
      </c>
      <c r="D7702" t="inlineStr">
        <is>
          <t>VÄRMLANDS LÄN</t>
        </is>
      </c>
      <c r="E7702" t="inlineStr">
        <is>
          <t>ÅRJÄNG</t>
        </is>
      </c>
      <c r="G7702" t="n">
        <v>10.4</v>
      </c>
      <c r="H7702" t="n">
        <v>0</v>
      </c>
      <c r="I7702" t="n">
        <v>0</v>
      </c>
      <c r="J7702" t="n">
        <v>0</v>
      </c>
      <c r="K7702" t="n">
        <v>0</v>
      </c>
      <c r="L7702" t="n">
        <v>0</v>
      </c>
      <c r="M7702" t="n">
        <v>0</v>
      </c>
      <c r="N7702" t="n">
        <v>0</v>
      </c>
      <c r="O7702" t="n">
        <v>0</v>
      </c>
      <c r="P7702" t="n">
        <v>0</v>
      </c>
      <c r="Q7702" t="n">
        <v>0</v>
      </c>
      <c r="R7702" s="2" t="inlineStr"/>
    </row>
    <row r="7703" ht="15" customHeight="1">
      <c r="A7703" t="inlineStr">
        <is>
          <t>A 40481-2022</t>
        </is>
      </c>
      <c r="B7703" s="1" t="n">
        <v>44823</v>
      </c>
      <c r="C7703" s="1" t="n">
        <v>45810</v>
      </c>
      <c r="D7703" t="inlineStr">
        <is>
          <t>VÄRMLANDS LÄN</t>
        </is>
      </c>
      <c r="E7703" t="inlineStr">
        <is>
          <t>ÅRJÄNG</t>
        </is>
      </c>
      <c r="G7703" t="n">
        <v>4.3</v>
      </c>
      <c r="H7703" t="n">
        <v>0</v>
      </c>
      <c r="I7703" t="n">
        <v>0</v>
      </c>
      <c r="J7703" t="n">
        <v>0</v>
      </c>
      <c r="K7703" t="n">
        <v>0</v>
      </c>
      <c r="L7703" t="n">
        <v>0</v>
      </c>
      <c r="M7703" t="n">
        <v>0</v>
      </c>
      <c r="N7703" t="n">
        <v>0</v>
      </c>
      <c r="O7703" t="n">
        <v>0</v>
      </c>
      <c r="P7703" t="n">
        <v>0</v>
      </c>
      <c r="Q7703" t="n">
        <v>0</v>
      </c>
      <c r="R7703" s="2" t="inlineStr"/>
    </row>
    <row r="7704" ht="15" customHeight="1">
      <c r="A7704" t="inlineStr">
        <is>
          <t>A 40323-2022</t>
        </is>
      </c>
      <c r="B7704" s="1" t="n">
        <v>44823</v>
      </c>
      <c r="C7704" s="1" t="n">
        <v>45810</v>
      </c>
      <c r="D7704" t="inlineStr">
        <is>
          <t>VÄRMLANDS LÄN</t>
        </is>
      </c>
      <c r="E7704" t="inlineStr">
        <is>
          <t>EDA</t>
        </is>
      </c>
      <c r="G7704" t="n">
        <v>5.2</v>
      </c>
      <c r="H7704" t="n">
        <v>0</v>
      </c>
      <c r="I7704" t="n">
        <v>0</v>
      </c>
      <c r="J7704" t="n">
        <v>0</v>
      </c>
      <c r="K7704" t="n">
        <v>0</v>
      </c>
      <c r="L7704" t="n">
        <v>0</v>
      </c>
      <c r="M7704" t="n">
        <v>0</v>
      </c>
      <c r="N7704" t="n">
        <v>0</v>
      </c>
      <c r="O7704" t="n">
        <v>0</v>
      </c>
      <c r="P7704" t="n">
        <v>0</v>
      </c>
      <c r="Q7704" t="n">
        <v>0</v>
      </c>
      <c r="R7704" s="2" t="inlineStr"/>
    </row>
    <row r="7705" ht="15" customHeight="1">
      <c r="A7705" t="inlineStr">
        <is>
          <t>A 40371-2022</t>
        </is>
      </c>
      <c r="B7705" s="1" t="n">
        <v>44823</v>
      </c>
      <c r="C7705" s="1" t="n">
        <v>45810</v>
      </c>
      <c r="D7705" t="inlineStr">
        <is>
          <t>VÄRMLANDS LÄN</t>
        </is>
      </c>
      <c r="E7705" t="inlineStr">
        <is>
          <t>ARVIKA</t>
        </is>
      </c>
      <c r="G7705" t="n">
        <v>0.9</v>
      </c>
      <c r="H7705" t="n">
        <v>0</v>
      </c>
      <c r="I7705" t="n">
        <v>0</v>
      </c>
      <c r="J7705" t="n">
        <v>0</v>
      </c>
      <c r="K7705" t="n">
        <v>0</v>
      </c>
      <c r="L7705" t="n">
        <v>0</v>
      </c>
      <c r="M7705" t="n">
        <v>0</v>
      </c>
      <c r="N7705" t="n">
        <v>0</v>
      </c>
      <c r="O7705" t="n">
        <v>0</v>
      </c>
      <c r="P7705" t="n">
        <v>0</v>
      </c>
      <c r="Q7705" t="n">
        <v>0</v>
      </c>
      <c r="R7705" s="2" t="inlineStr"/>
    </row>
    <row r="7706" ht="15" customHeight="1">
      <c r="A7706" t="inlineStr">
        <is>
          <t>A 40395-2022</t>
        </is>
      </c>
      <c r="B7706" s="1" t="n">
        <v>44823</v>
      </c>
      <c r="C7706" s="1" t="n">
        <v>45810</v>
      </c>
      <c r="D7706" t="inlineStr">
        <is>
          <t>VÄRMLANDS LÄN</t>
        </is>
      </c>
      <c r="E7706" t="inlineStr">
        <is>
          <t>SÄFFLE</t>
        </is>
      </c>
      <c r="G7706" t="n">
        <v>2.8</v>
      </c>
      <c r="H7706" t="n">
        <v>0</v>
      </c>
      <c r="I7706" t="n">
        <v>0</v>
      </c>
      <c r="J7706" t="n">
        <v>0</v>
      </c>
      <c r="K7706" t="n">
        <v>0</v>
      </c>
      <c r="L7706" t="n">
        <v>0</v>
      </c>
      <c r="M7706" t="n">
        <v>0</v>
      </c>
      <c r="N7706" t="n">
        <v>0</v>
      </c>
      <c r="O7706" t="n">
        <v>0</v>
      </c>
      <c r="P7706" t="n">
        <v>0</v>
      </c>
      <c r="Q7706" t="n">
        <v>0</v>
      </c>
      <c r="R7706" s="2" t="inlineStr"/>
    </row>
    <row r="7707" ht="15" customHeight="1">
      <c r="A7707" t="inlineStr">
        <is>
          <t>A 40435-2022</t>
        </is>
      </c>
      <c r="B7707" s="1" t="n">
        <v>44823</v>
      </c>
      <c r="C7707" s="1" t="n">
        <v>45810</v>
      </c>
      <c r="D7707" t="inlineStr">
        <is>
          <t>VÄRMLANDS LÄN</t>
        </is>
      </c>
      <c r="E7707" t="inlineStr">
        <is>
          <t>ÅRJÄNG</t>
        </is>
      </c>
      <c r="G7707" t="n">
        <v>1.1</v>
      </c>
      <c r="H7707" t="n">
        <v>0</v>
      </c>
      <c r="I7707" t="n">
        <v>0</v>
      </c>
      <c r="J7707" t="n">
        <v>0</v>
      </c>
      <c r="K7707" t="n">
        <v>0</v>
      </c>
      <c r="L7707" t="n">
        <v>0</v>
      </c>
      <c r="M7707" t="n">
        <v>0</v>
      </c>
      <c r="N7707" t="n">
        <v>0</v>
      </c>
      <c r="O7707" t="n">
        <v>0</v>
      </c>
      <c r="P7707" t="n">
        <v>0</v>
      </c>
      <c r="Q7707" t="n">
        <v>0</v>
      </c>
      <c r="R7707" s="2" t="inlineStr"/>
    </row>
    <row r="7708" ht="15" customHeight="1">
      <c r="A7708" t="inlineStr">
        <is>
          <t>A 40490-2022</t>
        </is>
      </c>
      <c r="B7708" s="1" t="n">
        <v>44823</v>
      </c>
      <c r="C7708" s="1" t="n">
        <v>45810</v>
      </c>
      <c r="D7708" t="inlineStr">
        <is>
          <t>VÄRMLANDS LÄN</t>
        </is>
      </c>
      <c r="E7708" t="inlineStr">
        <is>
          <t>ÅRJÄNG</t>
        </is>
      </c>
      <c r="G7708" t="n">
        <v>1.4</v>
      </c>
      <c r="H7708" t="n">
        <v>0</v>
      </c>
      <c r="I7708" t="n">
        <v>0</v>
      </c>
      <c r="J7708" t="n">
        <v>0</v>
      </c>
      <c r="K7708" t="n">
        <v>0</v>
      </c>
      <c r="L7708" t="n">
        <v>0</v>
      </c>
      <c r="M7708" t="n">
        <v>0</v>
      </c>
      <c r="N7708" t="n">
        <v>0</v>
      </c>
      <c r="O7708" t="n">
        <v>0</v>
      </c>
      <c r="P7708" t="n">
        <v>0</v>
      </c>
      <c r="Q7708" t="n">
        <v>0</v>
      </c>
      <c r="R7708" s="2" t="inlineStr"/>
    </row>
    <row r="7709" ht="15" customHeight="1">
      <c r="A7709" t="inlineStr">
        <is>
          <t>A 40520-2022</t>
        </is>
      </c>
      <c r="B7709" s="1" t="n">
        <v>44823</v>
      </c>
      <c r="C7709" s="1" t="n">
        <v>45810</v>
      </c>
      <c r="D7709" t="inlineStr">
        <is>
          <t>VÄRMLANDS LÄN</t>
        </is>
      </c>
      <c r="E7709" t="inlineStr">
        <is>
          <t>ARVIKA</t>
        </is>
      </c>
      <c r="F7709" t="inlineStr">
        <is>
          <t>Bergvik skog väst AB</t>
        </is>
      </c>
      <c r="G7709" t="n">
        <v>11.2</v>
      </c>
      <c r="H7709" t="n">
        <v>0</v>
      </c>
      <c r="I7709" t="n">
        <v>0</v>
      </c>
      <c r="J7709" t="n">
        <v>0</v>
      </c>
      <c r="K7709" t="n">
        <v>0</v>
      </c>
      <c r="L7709" t="n">
        <v>0</v>
      </c>
      <c r="M7709" t="n">
        <v>0</v>
      </c>
      <c r="N7709" t="n">
        <v>0</v>
      </c>
      <c r="O7709" t="n">
        <v>0</v>
      </c>
      <c r="P7709" t="n">
        <v>0</v>
      </c>
      <c r="Q7709" t="n">
        <v>0</v>
      </c>
      <c r="R7709" s="2" t="inlineStr"/>
    </row>
    <row r="7710" ht="15" customHeight="1">
      <c r="A7710" t="inlineStr">
        <is>
          <t>A 40986-2022</t>
        </is>
      </c>
      <c r="B7710" s="1" t="n">
        <v>44823</v>
      </c>
      <c r="C7710" s="1" t="n">
        <v>45810</v>
      </c>
      <c r="D7710" t="inlineStr">
        <is>
          <t>VÄRMLANDS LÄN</t>
        </is>
      </c>
      <c r="E7710" t="inlineStr">
        <is>
          <t>SUNNE</t>
        </is>
      </c>
      <c r="F7710" t="inlineStr">
        <is>
          <t>Kyrkan</t>
        </is>
      </c>
      <c r="G7710" t="n">
        <v>5.7</v>
      </c>
      <c r="H7710" t="n">
        <v>0</v>
      </c>
      <c r="I7710" t="n">
        <v>0</v>
      </c>
      <c r="J7710" t="n">
        <v>0</v>
      </c>
      <c r="K7710" t="n">
        <v>0</v>
      </c>
      <c r="L7710" t="n">
        <v>0</v>
      </c>
      <c r="M7710" t="n">
        <v>0</v>
      </c>
      <c r="N7710" t="n">
        <v>0</v>
      </c>
      <c r="O7710" t="n">
        <v>0</v>
      </c>
      <c r="P7710" t="n">
        <v>0</v>
      </c>
      <c r="Q7710" t="n">
        <v>0</v>
      </c>
      <c r="R7710" s="2" t="inlineStr"/>
    </row>
    <row r="7711" ht="15" customHeight="1">
      <c r="A7711" t="inlineStr">
        <is>
          <t>A 41264-2022</t>
        </is>
      </c>
      <c r="B7711" s="1" t="n">
        <v>44823</v>
      </c>
      <c r="C7711" s="1" t="n">
        <v>45810</v>
      </c>
      <c r="D7711" t="inlineStr">
        <is>
          <t>VÄRMLANDS LÄN</t>
        </is>
      </c>
      <c r="E7711" t="inlineStr">
        <is>
          <t>TORSBY</t>
        </is>
      </c>
      <c r="G7711" t="n">
        <v>6.5</v>
      </c>
      <c r="H7711" t="n">
        <v>0</v>
      </c>
      <c r="I7711" t="n">
        <v>0</v>
      </c>
      <c r="J7711" t="n">
        <v>0</v>
      </c>
      <c r="K7711" t="n">
        <v>0</v>
      </c>
      <c r="L7711" t="n">
        <v>0</v>
      </c>
      <c r="M7711" t="n">
        <v>0</v>
      </c>
      <c r="N7711" t="n">
        <v>0</v>
      </c>
      <c r="O7711" t="n">
        <v>0</v>
      </c>
      <c r="P7711" t="n">
        <v>0</v>
      </c>
      <c r="Q7711" t="n">
        <v>0</v>
      </c>
      <c r="R7711" s="2" t="inlineStr"/>
    </row>
    <row r="7712" ht="15" customHeight="1">
      <c r="A7712" t="inlineStr">
        <is>
          <t>A 40935-2022</t>
        </is>
      </c>
      <c r="B7712" s="1" t="n">
        <v>44823</v>
      </c>
      <c r="C7712" s="1" t="n">
        <v>45810</v>
      </c>
      <c r="D7712" t="inlineStr">
        <is>
          <t>VÄRMLANDS LÄN</t>
        </is>
      </c>
      <c r="E7712" t="inlineStr">
        <is>
          <t>GRUMS</t>
        </is>
      </c>
      <c r="F7712" t="inlineStr">
        <is>
          <t>Bergvik skog väst AB</t>
        </is>
      </c>
      <c r="G7712" t="n">
        <v>5</v>
      </c>
      <c r="H7712" t="n">
        <v>0</v>
      </c>
      <c r="I7712" t="n">
        <v>0</v>
      </c>
      <c r="J7712" t="n">
        <v>0</v>
      </c>
      <c r="K7712" t="n">
        <v>0</v>
      </c>
      <c r="L7712" t="n">
        <v>0</v>
      </c>
      <c r="M7712" t="n">
        <v>0</v>
      </c>
      <c r="N7712" t="n">
        <v>0</v>
      </c>
      <c r="O7712" t="n">
        <v>0</v>
      </c>
      <c r="P7712" t="n">
        <v>0</v>
      </c>
      <c r="Q7712" t="n">
        <v>0</v>
      </c>
      <c r="R7712" s="2" t="inlineStr"/>
    </row>
    <row r="7713" ht="15" customHeight="1">
      <c r="A7713" t="inlineStr">
        <is>
          <t>A 40630-2022</t>
        </is>
      </c>
      <c r="B7713" s="1" t="n">
        <v>44823</v>
      </c>
      <c r="C7713" s="1" t="n">
        <v>45810</v>
      </c>
      <c r="D7713" t="inlineStr">
        <is>
          <t>VÄRMLANDS LÄN</t>
        </is>
      </c>
      <c r="E7713" t="inlineStr">
        <is>
          <t>SÄFFLE</t>
        </is>
      </c>
      <c r="G7713" t="n">
        <v>1.5</v>
      </c>
      <c r="H7713" t="n">
        <v>0</v>
      </c>
      <c r="I7713" t="n">
        <v>0</v>
      </c>
      <c r="J7713" t="n">
        <v>0</v>
      </c>
      <c r="K7713" t="n">
        <v>0</v>
      </c>
      <c r="L7713" t="n">
        <v>0</v>
      </c>
      <c r="M7713" t="n">
        <v>0</v>
      </c>
      <c r="N7713" t="n">
        <v>0</v>
      </c>
      <c r="O7713" t="n">
        <v>0</v>
      </c>
      <c r="P7713" t="n">
        <v>0</v>
      </c>
      <c r="Q7713" t="n">
        <v>0</v>
      </c>
      <c r="R7713" s="2" t="inlineStr"/>
    </row>
    <row r="7714" ht="15" customHeight="1">
      <c r="A7714" t="inlineStr">
        <is>
          <t>A 40968-2022</t>
        </is>
      </c>
      <c r="B7714" s="1" t="n">
        <v>44823</v>
      </c>
      <c r="C7714" s="1" t="n">
        <v>45810</v>
      </c>
      <c r="D7714" t="inlineStr">
        <is>
          <t>VÄRMLANDS LÄN</t>
        </is>
      </c>
      <c r="E7714" t="inlineStr">
        <is>
          <t>FORSHAGA</t>
        </is>
      </c>
      <c r="G7714" t="n">
        <v>16.5</v>
      </c>
      <c r="H7714" t="n">
        <v>0</v>
      </c>
      <c r="I7714" t="n">
        <v>0</v>
      </c>
      <c r="J7714" t="n">
        <v>0</v>
      </c>
      <c r="K7714" t="n">
        <v>0</v>
      </c>
      <c r="L7714" t="n">
        <v>0</v>
      </c>
      <c r="M7714" t="n">
        <v>0</v>
      </c>
      <c r="N7714" t="n">
        <v>0</v>
      </c>
      <c r="O7714" t="n">
        <v>0</v>
      </c>
      <c r="P7714" t="n">
        <v>0</v>
      </c>
      <c r="Q7714" t="n">
        <v>0</v>
      </c>
      <c r="R7714" s="2" t="inlineStr"/>
    </row>
    <row r="7715" ht="15" customHeight="1">
      <c r="A7715" t="inlineStr">
        <is>
          <t>A 41295-2022</t>
        </is>
      </c>
      <c r="B7715" s="1" t="n">
        <v>44823</v>
      </c>
      <c r="C7715" s="1" t="n">
        <v>45810</v>
      </c>
      <c r="D7715" t="inlineStr">
        <is>
          <t>VÄRMLANDS LÄN</t>
        </is>
      </c>
      <c r="E7715" t="inlineStr">
        <is>
          <t>TORSBY</t>
        </is>
      </c>
      <c r="G7715" t="n">
        <v>10.1</v>
      </c>
      <c r="H7715" t="n">
        <v>0</v>
      </c>
      <c r="I7715" t="n">
        <v>0</v>
      </c>
      <c r="J7715" t="n">
        <v>0</v>
      </c>
      <c r="K7715" t="n">
        <v>0</v>
      </c>
      <c r="L7715" t="n">
        <v>0</v>
      </c>
      <c r="M7715" t="n">
        <v>0</v>
      </c>
      <c r="N7715" t="n">
        <v>0</v>
      </c>
      <c r="O7715" t="n">
        <v>0</v>
      </c>
      <c r="P7715" t="n">
        <v>0</v>
      </c>
      <c r="Q7715" t="n">
        <v>0</v>
      </c>
      <c r="R7715" s="2" t="inlineStr"/>
    </row>
    <row r="7716" ht="15" customHeight="1">
      <c r="A7716" t="inlineStr">
        <is>
          <t>A 40799-2022</t>
        </is>
      </c>
      <c r="B7716" s="1" t="n">
        <v>44824</v>
      </c>
      <c r="C7716" s="1" t="n">
        <v>45810</v>
      </c>
      <c r="D7716" t="inlineStr">
        <is>
          <t>VÄRMLANDS LÄN</t>
        </is>
      </c>
      <c r="E7716" t="inlineStr">
        <is>
          <t>SÄFFLE</t>
        </is>
      </c>
      <c r="G7716" t="n">
        <v>11.4</v>
      </c>
      <c r="H7716" t="n">
        <v>0</v>
      </c>
      <c r="I7716" t="n">
        <v>0</v>
      </c>
      <c r="J7716" t="n">
        <v>0</v>
      </c>
      <c r="K7716" t="n">
        <v>0</v>
      </c>
      <c r="L7716" t="n">
        <v>0</v>
      </c>
      <c r="M7716" t="n">
        <v>0</v>
      </c>
      <c r="N7716" t="n">
        <v>0</v>
      </c>
      <c r="O7716" t="n">
        <v>0</v>
      </c>
      <c r="P7716" t="n">
        <v>0</v>
      </c>
      <c r="Q7716" t="n">
        <v>0</v>
      </c>
      <c r="R7716" s="2" t="inlineStr"/>
    </row>
    <row r="7717" ht="15" customHeight="1">
      <c r="A7717" t="inlineStr">
        <is>
          <t>A 40643-2022</t>
        </is>
      </c>
      <c r="B7717" s="1" t="n">
        <v>44824</v>
      </c>
      <c r="C7717" s="1" t="n">
        <v>45810</v>
      </c>
      <c r="D7717" t="inlineStr">
        <is>
          <t>VÄRMLANDS LÄN</t>
        </is>
      </c>
      <c r="E7717" t="inlineStr">
        <is>
          <t>ÅRJÄNG</t>
        </is>
      </c>
      <c r="G7717" t="n">
        <v>0.4</v>
      </c>
      <c r="H7717" t="n">
        <v>0</v>
      </c>
      <c r="I7717" t="n">
        <v>0</v>
      </c>
      <c r="J7717" t="n">
        <v>0</v>
      </c>
      <c r="K7717" t="n">
        <v>0</v>
      </c>
      <c r="L7717" t="n">
        <v>0</v>
      </c>
      <c r="M7717" t="n">
        <v>0</v>
      </c>
      <c r="N7717" t="n">
        <v>0</v>
      </c>
      <c r="O7717" t="n">
        <v>0</v>
      </c>
      <c r="P7717" t="n">
        <v>0</v>
      </c>
      <c r="Q7717" t="n">
        <v>0</v>
      </c>
      <c r="R7717" s="2" t="inlineStr"/>
    </row>
    <row r="7718" ht="15" customHeight="1">
      <c r="A7718" t="inlineStr">
        <is>
          <t>A 40689-2022</t>
        </is>
      </c>
      <c r="B7718" s="1" t="n">
        <v>44824</v>
      </c>
      <c r="C7718" s="1" t="n">
        <v>45810</v>
      </c>
      <c r="D7718" t="inlineStr">
        <is>
          <t>VÄRMLANDS LÄN</t>
        </is>
      </c>
      <c r="E7718" t="inlineStr">
        <is>
          <t>HAGFORS</t>
        </is>
      </c>
      <c r="F7718" t="inlineStr">
        <is>
          <t>Bergvik skog väst AB</t>
        </is>
      </c>
      <c r="G7718" t="n">
        <v>14.3</v>
      </c>
      <c r="H7718" t="n">
        <v>0</v>
      </c>
      <c r="I7718" t="n">
        <v>0</v>
      </c>
      <c r="J7718" t="n">
        <v>0</v>
      </c>
      <c r="K7718" t="n">
        <v>0</v>
      </c>
      <c r="L7718" t="n">
        <v>0</v>
      </c>
      <c r="M7718" t="n">
        <v>0</v>
      </c>
      <c r="N7718" t="n">
        <v>0</v>
      </c>
      <c r="O7718" t="n">
        <v>0</v>
      </c>
      <c r="P7718" t="n">
        <v>0</v>
      </c>
      <c r="Q7718" t="n">
        <v>0</v>
      </c>
      <c r="R7718" s="2" t="inlineStr"/>
    </row>
    <row r="7719" ht="15" customHeight="1">
      <c r="A7719" t="inlineStr">
        <is>
          <t>A 40692-2022</t>
        </is>
      </c>
      <c r="B7719" s="1" t="n">
        <v>44824</v>
      </c>
      <c r="C7719" s="1" t="n">
        <v>45810</v>
      </c>
      <c r="D7719" t="inlineStr">
        <is>
          <t>VÄRMLANDS LÄN</t>
        </is>
      </c>
      <c r="E7719" t="inlineStr">
        <is>
          <t>HAGFORS</t>
        </is>
      </c>
      <c r="F7719" t="inlineStr">
        <is>
          <t>Bergvik skog väst AB</t>
        </is>
      </c>
      <c r="G7719" t="n">
        <v>7.2</v>
      </c>
      <c r="H7719" t="n">
        <v>0</v>
      </c>
      <c r="I7719" t="n">
        <v>0</v>
      </c>
      <c r="J7719" t="n">
        <v>0</v>
      </c>
      <c r="K7719" t="n">
        <v>0</v>
      </c>
      <c r="L7719" t="n">
        <v>0</v>
      </c>
      <c r="M7719" t="n">
        <v>0</v>
      </c>
      <c r="N7719" t="n">
        <v>0</v>
      </c>
      <c r="O7719" t="n">
        <v>0</v>
      </c>
      <c r="P7719" t="n">
        <v>0</v>
      </c>
      <c r="Q7719" t="n">
        <v>0</v>
      </c>
      <c r="R7719" s="2" t="inlineStr"/>
    </row>
    <row r="7720" ht="15" customHeight="1">
      <c r="A7720" t="inlineStr">
        <is>
          <t>A 40714-2022</t>
        </is>
      </c>
      <c r="B7720" s="1" t="n">
        <v>44824</v>
      </c>
      <c r="C7720" s="1" t="n">
        <v>45810</v>
      </c>
      <c r="D7720" t="inlineStr">
        <is>
          <t>VÄRMLANDS LÄN</t>
        </is>
      </c>
      <c r="E7720" t="inlineStr">
        <is>
          <t>SUNNE</t>
        </is>
      </c>
      <c r="G7720" t="n">
        <v>7.3</v>
      </c>
      <c r="H7720" t="n">
        <v>0</v>
      </c>
      <c r="I7720" t="n">
        <v>0</v>
      </c>
      <c r="J7720" t="n">
        <v>0</v>
      </c>
      <c r="K7720" t="n">
        <v>0</v>
      </c>
      <c r="L7720" t="n">
        <v>0</v>
      </c>
      <c r="M7720" t="n">
        <v>0</v>
      </c>
      <c r="N7720" t="n">
        <v>0</v>
      </c>
      <c r="O7720" t="n">
        <v>0</v>
      </c>
      <c r="P7720" t="n">
        <v>0</v>
      </c>
      <c r="Q7720" t="n">
        <v>0</v>
      </c>
      <c r="R7720" s="2" t="inlineStr"/>
    </row>
    <row r="7721" ht="15" customHeight="1">
      <c r="A7721" t="inlineStr">
        <is>
          <t>A 40718-2022</t>
        </is>
      </c>
      <c r="B7721" s="1" t="n">
        <v>44824</v>
      </c>
      <c r="C7721" s="1" t="n">
        <v>45810</v>
      </c>
      <c r="D7721" t="inlineStr">
        <is>
          <t>VÄRMLANDS LÄN</t>
        </is>
      </c>
      <c r="E7721" t="inlineStr">
        <is>
          <t>TORSBY</t>
        </is>
      </c>
      <c r="G7721" t="n">
        <v>2.6</v>
      </c>
      <c r="H7721" t="n">
        <v>0</v>
      </c>
      <c r="I7721" t="n">
        <v>0</v>
      </c>
      <c r="J7721" t="n">
        <v>0</v>
      </c>
      <c r="K7721" t="n">
        <v>0</v>
      </c>
      <c r="L7721" t="n">
        <v>0</v>
      </c>
      <c r="M7721" t="n">
        <v>0</v>
      </c>
      <c r="N7721" t="n">
        <v>0</v>
      </c>
      <c r="O7721" t="n">
        <v>0</v>
      </c>
      <c r="P7721" t="n">
        <v>0</v>
      </c>
      <c r="Q7721" t="n">
        <v>0</v>
      </c>
      <c r="R7721" s="2" t="inlineStr"/>
    </row>
    <row r="7722" ht="15" customHeight="1">
      <c r="A7722" t="inlineStr">
        <is>
          <t>A 40788-2022</t>
        </is>
      </c>
      <c r="B7722" s="1" t="n">
        <v>44824</v>
      </c>
      <c r="C7722" s="1" t="n">
        <v>45810</v>
      </c>
      <c r="D7722" t="inlineStr">
        <is>
          <t>VÄRMLANDS LÄN</t>
        </is>
      </c>
      <c r="E7722" t="inlineStr">
        <is>
          <t>TORSBY</t>
        </is>
      </c>
      <c r="G7722" t="n">
        <v>3.8</v>
      </c>
      <c r="H7722" t="n">
        <v>0</v>
      </c>
      <c r="I7722" t="n">
        <v>0</v>
      </c>
      <c r="J7722" t="n">
        <v>0</v>
      </c>
      <c r="K7722" t="n">
        <v>0</v>
      </c>
      <c r="L7722" t="n">
        <v>0</v>
      </c>
      <c r="M7722" t="n">
        <v>0</v>
      </c>
      <c r="N7722" t="n">
        <v>0</v>
      </c>
      <c r="O7722" t="n">
        <v>0</v>
      </c>
      <c r="P7722" t="n">
        <v>0</v>
      </c>
      <c r="Q7722" t="n">
        <v>0</v>
      </c>
      <c r="R7722" s="2" t="inlineStr"/>
    </row>
    <row r="7723" ht="15" customHeight="1">
      <c r="A7723" t="inlineStr">
        <is>
          <t>A 41025-2022</t>
        </is>
      </c>
      <c r="B7723" s="1" t="n">
        <v>44824</v>
      </c>
      <c r="C7723" s="1" t="n">
        <v>45810</v>
      </c>
      <c r="D7723" t="inlineStr">
        <is>
          <t>VÄRMLANDS LÄN</t>
        </is>
      </c>
      <c r="E7723" t="inlineStr">
        <is>
          <t>SÄFFLE</t>
        </is>
      </c>
      <c r="G7723" t="n">
        <v>2.5</v>
      </c>
      <c r="H7723" t="n">
        <v>0</v>
      </c>
      <c r="I7723" t="n">
        <v>0</v>
      </c>
      <c r="J7723" t="n">
        <v>0</v>
      </c>
      <c r="K7723" t="n">
        <v>0</v>
      </c>
      <c r="L7723" t="n">
        <v>0</v>
      </c>
      <c r="M7723" t="n">
        <v>0</v>
      </c>
      <c r="N7723" t="n">
        <v>0</v>
      </c>
      <c r="O7723" t="n">
        <v>0</v>
      </c>
      <c r="P7723" t="n">
        <v>0</v>
      </c>
      <c r="Q7723" t="n">
        <v>0</v>
      </c>
      <c r="R7723" s="2" t="inlineStr"/>
    </row>
    <row r="7724" ht="15" customHeight="1">
      <c r="A7724" t="inlineStr">
        <is>
          <t>A 40819-2022</t>
        </is>
      </c>
      <c r="B7724" s="1" t="n">
        <v>44824</v>
      </c>
      <c r="C7724" s="1" t="n">
        <v>45810</v>
      </c>
      <c r="D7724" t="inlineStr">
        <is>
          <t>VÄRMLANDS LÄN</t>
        </is>
      </c>
      <c r="E7724" t="inlineStr">
        <is>
          <t>ÅRJÄNG</t>
        </is>
      </c>
      <c r="G7724" t="n">
        <v>6.4</v>
      </c>
      <c r="H7724" t="n">
        <v>0</v>
      </c>
      <c r="I7724" t="n">
        <v>0</v>
      </c>
      <c r="J7724" t="n">
        <v>0</v>
      </c>
      <c r="K7724" t="n">
        <v>0</v>
      </c>
      <c r="L7724" t="n">
        <v>0</v>
      </c>
      <c r="M7724" t="n">
        <v>0</v>
      </c>
      <c r="N7724" t="n">
        <v>0</v>
      </c>
      <c r="O7724" t="n">
        <v>0</v>
      </c>
      <c r="P7724" t="n">
        <v>0</v>
      </c>
      <c r="Q7724" t="n">
        <v>0</v>
      </c>
      <c r="R7724" s="2" t="inlineStr"/>
    </row>
    <row r="7725" ht="15" customHeight="1">
      <c r="A7725" t="inlineStr">
        <is>
          <t>A 41386-2022</t>
        </is>
      </c>
      <c r="B7725" s="1" t="n">
        <v>44824</v>
      </c>
      <c r="C7725" s="1" t="n">
        <v>45810</v>
      </c>
      <c r="D7725" t="inlineStr">
        <is>
          <t>VÄRMLANDS LÄN</t>
        </is>
      </c>
      <c r="E7725" t="inlineStr">
        <is>
          <t>ÅRJÄNG</t>
        </is>
      </c>
      <c r="G7725" t="n">
        <v>2.8</v>
      </c>
      <c r="H7725" t="n">
        <v>0</v>
      </c>
      <c r="I7725" t="n">
        <v>0</v>
      </c>
      <c r="J7725" t="n">
        <v>0</v>
      </c>
      <c r="K7725" t="n">
        <v>0</v>
      </c>
      <c r="L7725" t="n">
        <v>0</v>
      </c>
      <c r="M7725" t="n">
        <v>0</v>
      </c>
      <c r="N7725" t="n">
        <v>0</v>
      </c>
      <c r="O7725" t="n">
        <v>0</v>
      </c>
      <c r="P7725" t="n">
        <v>0</v>
      </c>
      <c r="Q7725" t="n">
        <v>0</v>
      </c>
      <c r="R7725" s="2" t="inlineStr"/>
    </row>
    <row r="7726" ht="15" customHeight="1">
      <c r="A7726" t="inlineStr">
        <is>
          <t>A 40860-2022</t>
        </is>
      </c>
      <c r="B7726" s="1" t="n">
        <v>44825</v>
      </c>
      <c r="C7726" s="1" t="n">
        <v>45810</v>
      </c>
      <c r="D7726" t="inlineStr">
        <is>
          <t>VÄRMLANDS LÄN</t>
        </is>
      </c>
      <c r="E7726" t="inlineStr">
        <is>
          <t>ÅRJÄNG</t>
        </is>
      </c>
      <c r="G7726" t="n">
        <v>4.4</v>
      </c>
      <c r="H7726" t="n">
        <v>0</v>
      </c>
      <c r="I7726" t="n">
        <v>0</v>
      </c>
      <c r="J7726" t="n">
        <v>0</v>
      </c>
      <c r="K7726" t="n">
        <v>0</v>
      </c>
      <c r="L7726" t="n">
        <v>0</v>
      </c>
      <c r="M7726" t="n">
        <v>0</v>
      </c>
      <c r="N7726" t="n">
        <v>0</v>
      </c>
      <c r="O7726" t="n">
        <v>0</v>
      </c>
      <c r="P7726" t="n">
        <v>0</v>
      </c>
      <c r="Q7726" t="n">
        <v>0</v>
      </c>
      <c r="R7726" s="2" t="inlineStr"/>
    </row>
    <row r="7727" ht="15" customHeight="1">
      <c r="A7727" t="inlineStr">
        <is>
          <t>A 40878-2022</t>
        </is>
      </c>
      <c r="B7727" s="1" t="n">
        <v>44825</v>
      </c>
      <c r="C7727" s="1" t="n">
        <v>45810</v>
      </c>
      <c r="D7727" t="inlineStr">
        <is>
          <t>VÄRMLANDS LÄN</t>
        </is>
      </c>
      <c r="E7727" t="inlineStr">
        <is>
          <t>ÅRJÄNG</t>
        </is>
      </c>
      <c r="G7727" t="n">
        <v>2.3</v>
      </c>
      <c r="H7727" t="n">
        <v>0</v>
      </c>
      <c r="I7727" t="n">
        <v>0</v>
      </c>
      <c r="J7727" t="n">
        <v>0</v>
      </c>
      <c r="K7727" t="n">
        <v>0</v>
      </c>
      <c r="L7727" t="n">
        <v>0</v>
      </c>
      <c r="M7727" t="n">
        <v>0</v>
      </c>
      <c r="N7727" t="n">
        <v>0</v>
      </c>
      <c r="O7727" t="n">
        <v>0</v>
      </c>
      <c r="P7727" t="n">
        <v>0</v>
      </c>
      <c r="Q7727" t="n">
        <v>0</v>
      </c>
      <c r="R7727" s="2" t="inlineStr"/>
    </row>
    <row r="7728" ht="15" customHeight="1">
      <c r="A7728" t="inlineStr">
        <is>
          <t>A 40949-2022</t>
        </is>
      </c>
      <c r="B7728" s="1" t="n">
        <v>44825</v>
      </c>
      <c r="C7728" s="1" t="n">
        <v>45810</v>
      </c>
      <c r="D7728" t="inlineStr">
        <is>
          <t>VÄRMLANDS LÄN</t>
        </is>
      </c>
      <c r="E7728" t="inlineStr">
        <is>
          <t>ARVIKA</t>
        </is>
      </c>
      <c r="G7728" t="n">
        <v>1.4</v>
      </c>
      <c r="H7728" t="n">
        <v>0</v>
      </c>
      <c r="I7728" t="n">
        <v>0</v>
      </c>
      <c r="J7728" t="n">
        <v>0</v>
      </c>
      <c r="K7728" t="n">
        <v>0</v>
      </c>
      <c r="L7728" t="n">
        <v>0</v>
      </c>
      <c r="M7728" t="n">
        <v>0</v>
      </c>
      <c r="N7728" t="n">
        <v>0</v>
      </c>
      <c r="O7728" t="n">
        <v>0</v>
      </c>
      <c r="P7728" t="n">
        <v>0</v>
      </c>
      <c r="Q7728" t="n">
        <v>0</v>
      </c>
      <c r="R7728" s="2" t="inlineStr"/>
    </row>
    <row r="7729" ht="15" customHeight="1">
      <c r="A7729" t="inlineStr">
        <is>
          <t>A 40997-2022</t>
        </is>
      </c>
      <c r="B7729" s="1" t="n">
        <v>44825</v>
      </c>
      <c r="C7729" s="1" t="n">
        <v>45810</v>
      </c>
      <c r="D7729" t="inlineStr">
        <is>
          <t>VÄRMLANDS LÄN</t>
        </is>
      </c>
      <c r="E7729" t="inlineStr">
        <is>
          <t>TORSBY</t>
        </is>
      </c>
      <c r="G7729" t="n">
        <v>2.3</v>
      </c>
      <c r="H7729" t="n">
        <v>0</v>
      </c>
      <c r="I7729" t="n">
        <v>0</v>
      </c>
      <c r="J7729" t="n">
        <v>0</v>
      </c>
      <c r="K7729" t="n">
        <v>0</v>
      </c>
      <c r="L7729" t="n">
        <v>0</v>
      </c>
      <c r="M7729" t="n">
        <v>0</v>
      </c>
      <c r="N7729" t="n">
        <v>0</v>
      </c>
      <c r="O7729" t="n">
        <v>0</v>
      </c>
      <c r="P7729" t="n">
        <v>0</v>
      </c>
      <c r="Q7729" t="n">
        <v>0</v>
      </c>
      <c r="R7729" s="2" t="inlineStr"/>
    </row>
    <row r="7730" ht="15" customHeight="1">
      <c r="A7730" t="inlineStr">
        <is>
          <t>A 40887-2022</t>
        </is>
      </c>
      <c r="B7730" s="1" t="n">
        <v>44825</v>
      </c>
      <c r="C7730" s="1" t="n">
        <v>45810</v>
      </c>
      <c r="D7730" t="inlineStr">
        <is>
          <t>VÄRMLANDS LÄN</t>
        </is>
      </c>
      <c r="E7730" t="inlineStr">
        <is>
          <t>SÄFFLE</t>
        </is>
      </c>
      <c r="G7730" t="n">
        <v>1.5</v>
      </c>
      <c r="H7730" t="n">
        <v>0</v>
      </c>
      <c r="I7730" t="n">
        <v>0</v>
      </c>
      <c r="J7730" t="n">
        <v>0</v>
      </c>
      <c r="K7730" t="n">
        <v>0</v>
      </c>
      <c r="L7730" t="n">
        <v>0</v>
      </c>
      <c r="M7730" t="n">
        <v>0</v>
      </c>
      <c r="N7730" t="n">
        <v>0</v>
      </c>
      <c r="O7730" t="n">
        <v>0</v>
      </c>
      <c r="P7730" t="n">
        <v>0</v>
      </c>
      <c r="Q7730" t="n">
        <v>0</v>
      </c>
      <c r="R7730" s="2" t="inlineStr"/>
    </row>
    <row r="7731" ht="15" customHeight="1">
      <c r="A7731" t="inlineStr">
        <is>
          <t>A 41065-2022</t>
        </is>
      </c>
      <c r="B7731" s="1" t="n">
        <v>44825</v>
      </c>
      <c r="C7731" s="1" t="n">
        <v>45810</v>
      </c>
      <c r="D7731" t="inlineStr">
        <is>
          <t>VÄRMLANDS LÄN</t>
        </is>
      </c>
      <c r="E7731" t="inlineStr">
        <is>
          <t>TORSBY</t>
        </is>
      </c>
      <c r="F7731" t="inlineStr">
        <is>
          <t>Kommuner</t>
        </is>
      </c>
      <c r="G7731" t="n">
        <v>1.8</v>
      </c>
      <c r="H7731" t="n">
        <v>0</v>
      </c>
      <c r="I7731" t="n">
        <v>0</v>
      </c>
      <c r="J7731" t="n">
        <v>0</v>
      </c>
      <c r="K7731" t="n">
        <v>0</v>
      </c>
      <c r="L7731" t="n">
        <v>0</v>
      </c>
      <c r="M7731" t="n">
        <v>0</v>
      </c>
      <c r="N7731" t="n">
        <v>0</v>
      </c>
      <c r="O7731" t="n">
        <v>0</v>
      </c>
      <c r="P7731" t="n">
        <v>0</v>
      </c>
      <c r="Q7731" t="n">
        <v>0</v>
      </c>
      <c r="R7731" s="2" t="inlineStr"/>
    </row>
    <row r="7732" ht="15" customHeight="1">
      <c r="A7732" t="inlineStr">
        <is>
          <t>A 41074-2022</t>
        </is>
      </c>
      <c r="B7732" s="1" t="n">
        <v>44825</v>
      </c>
      <c r="C7732" s="1" t="n">
        <v>45810</v>
      </c>
      <c r="D7732" t="inlineStr">
        <is>
          <t>VÄRMLANDS LÄN</t>
        </is>
      </c>
      <c r="E7732" t="inlineStr">
        <is>
          <t>KIL</t>
        </is>
      </c>
      <c r="G7732" t="n">
        <v>4.8</v>
      </c>
      <c r="H7732" t="n">
        <v>0</v>
      </c>
      <c r="I7732" t="n">
        <v>0</v>
      </c>
      <c r="J7732" t="n">
        <v>0</v>
      </c>
      <c r="K7732" t="n">
        <v>0</v>
      </c>
      <c r="L7732" t="n">
        <v>0</v>
      </c>
      <c r="M7732" t="n">
        <v>0</v>
      </c>
      <c r="N7732" t="n">
        <v>0</v>
      </c>
      <c r="O7732" t="n">
        <v>0</v>
      </c>
      <c r="P7732" t="n">
        <v>0</v>
      </c>
      <c r="Q7732" t="n">
        <v>0</v>
      </c>
      <c r="R7732" s="2" t="inlineStr"/>
    </row>
    <row r="7733" ht="15" customHeight="1">
      <c r="A7733" t="inlineStr">
        <is>
          <t>A 41062-2022</t>
        </is>
      </c>
      <c r="B7733" s="1" t="n">
        <v>44825</v>
      </c>
      <c r="C7733" s="1" t="n">
        <v>45810</v>
      </c>
      <c r="D7733" t="inlineStr">
        <is>
          <t>VÄRMLANDS LÄN</t>
        </is>
      </c>
      <c r="E7733" t="inlineStr">
        <is>
          <t>HAGFORS</t>
        </is>
      </c>
      <c r="G7733" t="n">
        <v>15</v>
      </c>
      <c r="H7733" t="n">
        <v>0</v>
      </c>
      <c r="I7733" t="n">
        <v>0</v>
      </c>
      <c r="J7733" t="n">
        <v>0</v>
      </c>
      <c r="K7733" t="n">
        <v>0</v>
      </c>
      <c r="L7733" t="n">
        <v>0</v>
      </c>
      <c r="M7733" t="n">
        <v>0</v>
      </c>
      <c r="N7733" t="n">
        <v>0</v>
      </c>
      <c r="O7733" t="n">
        <v>0</v>
      </c>
      <c r="P7733" t="n">
        <v>0</v>
      </c>
      <c r="Q7733" t="n">
        <v>0</v>
      </c>
      <c r="R7733" s="2" t="inlineStr"/>
    </row>
    <row r="7734" ht="15" customHeight="1">
      <c r="A7734" t="inlineStr">
        <is>
          <t>A 40996-2022</t>
        </is>
      </c>
      <c r="B7734" s="1" t="n">
        <v>44825</v>
      </c>
      <c r="C7734" s="1" t="n">
        <v>45810</v>
      </c>
      <c r="D7734" t="inlineStr">
        <is>
          <t>VÄRMLANDS LÄN</t>
        </is>
      </c>
      <c r="E7734" t="inlineStr">
        <is>
          <t>KIL</t>
        </is>
      </c>
      <c r="G7734" t="n">
        <v>1.7</v>
      </c>
      <c r="H7734" t="n">
        <v>0</v>
      </c>
      <c r="I7734" t="n">
        <v>0</v>
      </c>
      <c r="J7734" t="n">
        <v>0</v>
      </c>
      <c r="K7734" t="n">
        <v>0</v>
      </c>
      <c r="L7734" t="n">
        <v>0</v>
      </c>
      <c r="M7734" t="n">
        <v>0</v>
      </c>
      <c r="N7734" t="n">
        <v>0</v>
      </c>
      <c r="O7734" t="n">
        <v>0</v>
      </c>
      <c r="P7734" t="n">
        <v>0</v>
      </c>
      <c r="Q7734" t="n">
        <v>0</v>
      </c>
      <c r="R7734" s="2" t="inlineStr"/>
    </row>
    <row r="7735" ht="15" customHeight="1">
      <c r="A7735" t="inlineStr">
        <is>
          <t>A 40855-2022</t>
        </is>
      </c>
      <c r="B7735" s="1" t="n">
        <v>44825</v>
      </c>
      <c r="C7735" s="1" t="n">
        <v>45810</v>
      </c>
      <c r="D7735" t="inlineStr">
        <is>
          <t>VÄRMLANDS LÄN</t>
        </is>
      </c>
      <c r="E7735" t="inlineStr">
        <is>
          <t>KARLSTAD</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40872-2022</t>
        </is>
      </c>
      <c r="B7736" s="1" t="n">
        <v>44825</v>
      </c>
      <c r="C7736" s="1" t="n">
        <v>45810</v>
      </c>
      <c r="D7736" t="inlineStr">
        <is>
          <t>VÄRMLANDS LÄN</t>
        </is>
      </c>
      <c r="E7736" t="inlineStr">
        <is>
          <t>ÅRJÄNG</t>
        </is>
      </c>
      <c r="G7736" t="n">
        <v>0.5</v>
      </c>
      <c r="H7736" t="n">
        <v>0</v>
      </c>
      <c r="I7736" t="n">
        <v>0</v>
      </c>
      <c r="J7736" t="n">
        <v>0</v>
      </c>
      <c r="K7736" t="n">
        <v>0</v>
      </c>
      <c r="L7736" t="n">
        <v>0</v>
      </c>
      <c r="M7736" t="n">
        <v>0</v>
      </c>
      <c r="N7736" t="n">
        <v>0</v>
      </c>
      <c r="O7736" t="n">
        <v>0</v>
      </c>
      <c r="P7736" t="n">
        <v>0</v>
      </c>
      <c r="Q7736" t="n">
        <v>0</v>
      </c>
      <c r="R7736" s="2" t="inlineStr"/>
    </row>
    <row r="7737" ht="15" customHeight="1">
      <c r="A7737" t="inlineStr">
        <is>
          <t>A 41130-2022</t>
        </is>
      </c>
      <c r="B7737" s="1" t="n">
        <v>44825</v>
      </c>
      <c r="C7737" s="1" t="n">
        <v>45810</v>
      </c>
      <c r="D7737" t="inlineStr">
        <is>
          <t>VÄRMLANDS LÄN</t>
        </is>
      </c>
      <c r="E7737" t="inlineStr">
        <is>
          <t>TORSBY</t>
        </is>
      </c>
      <c r="F7737" t="inlineStr">
        <is>
          <t>Kyrkan</t>
        </is>
      </c>
      <c r="G7737" t="n">
        <v>1.3</v>
      </c>
      <c r="H7737" t="n">
        <v>0</v>
      </c>
      <c r="I7737" t="n">
        <v>0</v>
      </c>
      <c r="J7737" t="n">
        <v>0</v>
      </c>
      <c r="K7737" t="n">
        <v>0</v>
      </c>
      <c r="L7737" t="n">
        <v>0</v>
      </c>
      <c r="M7737" t="n">
        <v>0</v>
      </c>
      <c r="N7737" t="n">
        <v>0</v>
      </c>
      <c r="O7737" t="n">
        <v>0</v>
      </c>
      <c r="P7737" t="n">
        <v>0</v>
      </c>
      <c r="Q7737" t="n">
        <v>0</v>
      </c>
      <c r="R7737" s="2" t="inlineStr"/>
    </row>
    <row r="7738" ht="15" customHeight="1">
      <c r="A7738" t="inlineStr">
        <is>
          <t>A 41150-2022</t>
        </is>
      </c>
      <c r="B7738" s="1" t="n">
        <v>44825</v>
      </c>
      <c r="C7738" s="1" t="n">
        <v>45810</v>
      </c>
      <c r="D7738" t="inlineStr">
        <is>
          <t>VÄRMLANDS LÄN</t>
        </is>
      </c>
      <c r="E7738" t="inlineStr">
        <is>
          <t>MUNKFORS</t>
        </is>
      </c>
      <c r="G7738" t="n">
        <v>0.5</v>
      </c>
      <c r="H7738" t="n">
        <v>0</v>
      </c>
      <c r="I7738" t="n">
        <v>0</v>
      </c>
      <c r="J7738" t="n">
        <v>0</v>
      </c>
      <c r="K7738" t="n">
        <v>0</v>
      </c>
      <c r="L7738" t="n">
        <v>0</v>
      </c>
      <c r="M7738" t="n">
        <v>0</v>
      </c>
      <c r="N7738" t="n">
        <v>0</v>
      </c>
      <c r="O7738" t="n">
        <v>0</v>
      </c>
      <c r="P7738" t="n">
        <v>0</v>
      </c>
      <c r="Q7738" t="n">
        <v>0</v>
      </c>
      <c r="R7738" s="2" t="inlineStr"/>
    </row>
    <row r="7739" ht="15" customHeight="1">
      <c r="A7739" t="inlineStr">
        <is>
          <t>A 41539-2022</t>
        </is>
      </c>
      <c r="B7739" s="1" t="n">
        <v>44825</v>
      </c>
      <c r="C7739" s="1" t="n">
        <v>45810</v>
      </c>
      <c r="D7739" t="inlineStr">
        <is>
          <t>VÄRMLANDS LÄN</t>
        </is>
      </c>
      <c r="E7739" t="inlineStr">
        <is>
          <t>ÅRJÄNG</t>
        </is>
      </c>
      <c r="G7739" t="n">
        <v>2.3</v>
      </c>
      <c r="H7739" t="n">
        <v>0</v>
      </c>
      <c r="I7739" t="n">
        <v>0</v>
      </c>
      <c r="J7739" t="n">
        <v>0</v>
      </c>
      <c r="K7739" t="n">
        <v>0</v>
      </c>
      <c r="L7739" t="n">
        <v>0</v>
      </c>
      <c r="M7739" t="n">
        <v>0</v>
      </c>
      <c r="N7739" t="n">
        <v>0</v>
      </c>
      <c r="O7739" t="n">
        <v>0</v>
      </c>
      <c r="P7739" t="n">
        <v>0</v>
      </c>
      <c r="Q7739" t="n">
        <v>0</v>
      </c>
      <c r="R7739" s="2" t="inlineStr"/>
    </row>
    <row r="7740" ht="15" customHeight="1">
      <c r="A7740" t="inlineStr">
        <is>
          <t>A 41551-2022</t>
        </is>
      </c>
      <c r="B7740" s="1" t="n">
        <v>44825</v>
      </c>
      <c r="C7740" s="1" t="n">
        <v>45810</v>
      </c>
      <c r="D7740" t="inlineStr">
        <is>
          <t>VÄRMLANDS LÄN</t>
        </is>
      </c>
      <c r="E7740" t="inlineStr">
        <is>
          <t>KRISTINEHAMN</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41315-2022</t>
        </is>
      </c>
      <c r="B7741" s="1" t="n">
        <v>44826</v>
      </c>
      <c r="C7741" s="1" t="n">
        <v>45810</v>
      </c>
      <c r="D7741" t="inlineStr">
        <is>
          <t>VÄRMLANDS LÄN</t>
        </is>
      </c>
      <c r="E7741" t="inlineStr">
        <is>
          <t>TORSBY</t>
        </is>
      </c>
      <c r="G7741" t="n">
        <v>5.5</v>
      </c>
      <c r="H7741" t="n">
        <v>0</v>
      </c>
      <c r="I7741" t="n">
        <v>0</v>
      </c>
      <c r="J7741" t="n">
        <v>0</v>
      </c>
      <c r="K7741" t="n">
        <v>0</v>
      </c>
      <c r="L7741" t="n">
        <v>0</v>
      </c>
      <c r="M7741" t="n">
        <v>0</v>
      </c>
      <c r="N7741" t="n">
        <v>0</v>
      </c>
      <c r="O7741" t="n">
        <v>0</v>
      </c>
      <c r="P7741" t="n">
        <v>0</v>
      </c>
      <c r="Q7741" t="n">
        <v>0</v>
      </c>
      <c r="R7741" s="2" t="inlineStr"/>
    </row>
    <row r="7742" ht="15" customHeight="1">
      <c r="A7742" t="inlineStr">
        <is>
          <t>A 41228-2022</t>
        </is>
      </c>
      <c r="B7742" s="1" t="n">
        <v>44826</v>
      </c>
      <c r="C7742" s="1" t="n">
        <v>45810</v>
      </c>
      <c r="D7742" t="inlineStr">
        <is>
          <t>VÄRMLANDS LÄN</t>
        </is>
      </c>
      <c r="E7742" t="inlineStr">
        <is>
          <t>ÅRJÄNG</t>
        </is>
      </c>
      <c r="G7742" t="n">
        <v>3.6</v>
      </c>
      <c r="H7742" t="n">
        <v>0</v>
      </c>
      <c r="I7742" t="n">
        <v>0</v>
      </c>
      <c r="J7742" t="n">
        <v>0</v>
      </c>
      <c r="K7742" t="n">
        <v>0</v>
      </c>
      <c r="L7742" t="n">
        <v>0</v>
      </c>
      <c r="M7742" t="n">
        <v>0</v>
      </c>
      <c r="N7742" t="n">
        <v>0</v>
      </c>
      <c r="O7742" t="n">
        <v>0</v>
      </c>
      <c r="P7742" t="n">
        <v>0</v>
      </c>
      <c r="Q7742" t="n">
        <v>0</v>
      </c>
      <c r="R7742" s="2" t="inlineStr"/>
    </row>
    <row r="7743" ht="15" customHeight="1">
      <c r="A7743" t="inlineStr">
        <is>
          <t>A 41322-2022</t>
        </is>
      </c>
      <c r="B7743" s="1" t="n">
        <v>44826</v>
      </c>
      <c r="C7743" s="1" t="n">
        <v>45810</v>
      </c>
      <c r="D7743" t="inlineStr">
        <is>
          <t>VÄRMLANDS LÄN</t>
        </is>
      </c>
      <c r="E7743" t="inlineStr">
        <is>
          <t>TORSBY</t>
        </is>
      </c>
      <c r="G7743" t="n">
        <v>3.7</v>
      </c>
      <c r="H7743" t="n">
        <v>0</v>
      </c>
      <c r="I7743" t="n">
        <v>0</v>
      </c>
      <c r="J7743" t="n">
        <v>0</v>
      </c>
      <c r="K7743" t="n">
        <v>0</v>
      </c>
      <c r="L7743" t="n">
        <v>0</v>
      </c>
      <c r="M7743" t="n">
        <v>0</v>
      </c>
      <c r="N7743" t="n">
        <v>0</v>
      </c>
      <c r="O7743" t="n">
        <v>0</v>
      </c>
      <c r="P7743" t="n">
        <v>0</v>
      </c>
      <c r="Q7743" t="n">
        <v>0</v>
      </c>
      <c r="R7743" s="2" t="inlineStr"/>
    </row>
    <row r="7744" ht="15" customHeight="1">
      <c r="A7744" t="inlineStr">
        <is>
          <t>A 41396-2022</t>
        </is>
      </c>
      <c r="B7744" s="1" t="n">
        <v>44826</v>
      </c>
      <c r="C7744" s="1" t="n">
        <v>45810</v>
      </c>
      <c r="D7744" t="inlineStr">
        <is>
          <t>VÄRMLANDS LÄN</t>
        </is>
      </c>
      <c r="E7744" t="inlineStr">
        <is>
          <t>MUNKFORS</t>
        </is>
      </c>
      <c r="F7744" t="inlineStr">
        <is>
          <t>Bergvik skog väst AB</t>
        </is>
      </c>
      <c r="G7744" t="n">
        <v>14.4</v>
      </c>
      <c r="H7744" t="n">
        <v>0</v>
      </c>
      <c r="I7744" t="n">
        <v>0</v>
      </c>
      <c r="J7744" t="n">
        <v>0</v>
      </c>
      <c r="K7744" t="n">
        <v>0</v>
      </c>
      <c r="L7744" t="n">
        <v>0</v>
      </c>
      <c r="M7744" t="n">
        <v>0</v>
      </c>
      <c r="N7744" t="n">
        <v>0</v>
      </c>
      <c r="O7744" t="n">
        <v>0</v>
      </c>
      <c r="P7744" t="n">
        <v>0</v>
      </c>
      <c r="Q7744" t="n">
        <v>0</v>
      </c>
      <c r="R7744" s="2" t="inlineStr"/>
    </row>
    <row r="7745" ht="15" customHeight="1">
      <c r="A7745" t="inlineStr">
        <is>
          <t>A 41686-2022</t>
        </is>
      </c>
      <c r="B7745" s="1" t="n">
        <v>44826</v>
      </c>
      <c r="C7745" s="1" t="n">
        <v>45810</v>
      </c>
      <c r="D7745" t="inlineStr">
        <is>
          <t>VÄRMLANDS LÄN</t>
        </is>
      </c>
      <c r="E7745" t="inlineStr">
        <is>
          <t>SÄFFLE</t>
        </is>
      </c>
      <c r="G7745" t="n">
        <v>0.6</v>
      </c>
      <c r="H7745" t="n">
        <v>0</v>
      </c>
      <c r="I7745" t="n">
        <v>0</v>
      </c>
      <c r="J7745" t="n">
        <v>0</v>
      </c>
      <c r="K7745" t="n">
        <v>0</v>
      </c>
      <c r="L7745" t="n">
        <v>0</v>
      </c>
      <c r="M7745" t="n">
        <v>0</v>
      </c>
      <c r="N7745" t="n">
        <v>0</v>
      </c>
      <c r="O7745" t="n">
        <v>0</v>
      </c>
      <c r="P7745" t="n">
        <v>0</v>
      </c>
      <c r="Q7745" t="n">
        <v>0</v>
      </c>
      <c r="R7745" s="2" t="inlineStr"/>
    </row>
    <row r="7746" ht="15" customHeight="1">
      <c r="A7746" t="inlineStr">
        <is>
          <t>A 41569-2022</t>
        </is>
      </c>
      <c r="B7746" s="1" t="n">
        <v>44827</v>
      </c>
      <c r="C7746" s="1" t="n">
        <v>45810</v>
      </c>
      <c r="D7746" t="inlineStr">
        <is>
          <t>VÄRMLANDS LÄN</t>
        </is>
      </c>
      <c r="E7746" t="inlineStr">
        <is>
          <t>SUNNE</t>
        </is>
      </c>
      <c r="G7746" t="n">
        <v>2.5</v>
      </c>
      <c r="H7746" t="n">
        <v>0</v>
      </c>
      <c r="I7746" t="n">
        <v>0</v>
      </c>
      <c r="J7746" t="n">
        <v>0</v>
      </c>
      <c r="K7746" t="n">
        <v>0</v>
      </c>
      <c r="L7746" t="n">
        <v>0</v>
      </c>
      <c r="M7746" t="n">
        <v>0</v>
      </c>
      <c r="N7746" t="n">
        <v>0</v>
      </c>
      <c r="O7746" t="n">
        <v>0</v>
      </c>
      <c r="P7746" t="n">
        <v>0</v>
      </c>
      <c r="Q7746" t="n">
        <v>0</v>
      </c>
      <c r="R7746" s="2" t="inlineStr"/>
    </row>
    <row r="7747" ht="15" customHeight="1">
      <c r="A7747" t="inlineStr">
        <is>
          <t>A 41550-2022</t>
        </is>
      </c>
      <c r="B7747" s="1" t="n">
        <v>44827</v>
      </c>
      <c r="C7747" s="1" t="n">
        <v>45810</v>
      </c>
      <c r="D7747" t="inlineStr">
        <is>
          <t>VÄRMLANDS LÄN</t>
        </is>
      </c>
      <c r="E7747" t="inlineStr">
        <is>
          <t>ÅRJÄNG</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41589-2022</t>
        </is>
      </c>
      <c r="B7748" s="1" t="n">
        <v>44827</v>
      </c>
      <c r="C7748" s="1" t="n">
        <v>45810</v>
      </c>
      <c r="D7748" t="inlineStr">
        <is>
          <t>VÄRMLANDS LÄN</t>
        </is>
      </c>
      <c r="E7748" t="inlineStr">
        <is>
          <t>SÄFFLE</t>
        </is>
      </c>
      <c r="F7748" t="inlineStr">
        <is>
          <t>Bergvik skog väst AB</t>
        </is>
      </c>
      <c r="G7748" t="n">
        <v>22.2</v>
      </c>
      <c r="H7748" t="n">
        <v>0</v>
      </c>
      <c r="I7748" t="n">
        <v>0</v>
      </c>
      <c r="J7748" t="n">
        <v>0</v>
      </c>
      <c r="K7748" t="n">
        <v>0</v>
      </c>
      <c r="L7748" t="n">
        <v>0</v>
      </c>
      <c r="M7748" t="n">
        <v>0</v>
      </c>
      <c r="N7748" t="n">
        <v>0</v>
      </c>
      <c r="O7748" t="n">
        <v>0</v>
      </c>
      <c r="P7748" t="n">
        <v>0</v>
      </c>
      <c r="Q7748" t="n">
        <v>0</v>
      </c>
      <c r="R7748" s="2" t="inlineStr"/>
    </row>
    <row r="7749" ht="15" customHeight="1">
      <c r="A7749" t="inlineStr">
        <is>
          <t>A 41781-2022</t>
        </is>
      </c>
      <c r="B7749" s="1" t="n">
        <v>44827</v>
      </c>
      <c r="C7749" s="1" t="n">
        <v>45810</v>
      </c>
      <c r="D7749" t="inlineStr">
        <is>
          <t>VÄRMLANDS LÄN</t>
        </is>
      </c>
      <c r="E7749" t="inlineStr">
        <is>
          <t>TORSBY</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41580-2022</t>
        </is>
      </c>
      <c r="B7750" s="1" t="n">
        <v>44827</v>
      </c>
      <c r="C7750" s="1" t="n">
        <v>45810</v>
      </c>
      <c r="D7750" t="inlineStr">
        <is>
          <t>VÄRMLANDS LÄN</t>
        </is>
      </c>
      <c r="E7750" t="inlineStr">
        <is>
          <t>ARVIKA</t>
        </is>
      </c>
      <c r="G7750" t="n">
        <v>1.8</v>
      </c>
      <c r="H7750" t="n">
        <v>0</v>
      </c>
      <c r="I7750" t="n">
        <v>0</v>
      </c>
      <c r="J7750" t="n">
        <v>0</v>
      </c>
      <c r="K7750" t="n">
        <v>0</v>
      </c>
      <c r="L7750" t="n">
        <v>0</v>
      </c>
      <c r="M7750" t="n">
        <v>0</v>
      </c>
      <c r="N7750" t="n">
        <v>0</v>
      </c>
      <c r="O7750" t="n">
        <v>0</v>
      </c>
      <c r="P7750" t="n">
        <v>0</v>
      </c>
      <c r="Q7750" t="n">
        <v>0</v>
      </c>
      <c r="R7750" s="2" t="inlineStr"/>
    </row>
    <row r="7751" ht="15" customHeight="1">
      <c r="A7751" t="inlineStr">
        <is>
          <t>A 41675-2022</t>
        </is>
      </c>
      <c r="B7751" s="1" t="n">
        <v>44827</v>
      </c>
      <c r="C7751" s="1" t="n">
        <v>45810</v>
      </c>
      <c r="D7751" t="inlineStr">
        <is>
          <t>VÄRMLANDS LÄN</t>
        </is>
      </c>
      <c r="E7751" t="inlineStr">
        <is>
          <t>TORSBY</t>
        </is>
      </c>
      <c r="G7751" t="n">
        <v>2.6</v>
      </c>
      <c r="H7751" t="n">
        <v>0</v>
      </c>
      <c r="I7751" t="n">
        <v>0</v>
      </c>
      <c r="J7751" t="n">
        <v>0</v>
      </c>
      <c r="K7751" t="n">
        <v>0</v>
      </c>
      <c r="L7751" t="n">
        <v>0</v>
      </c>
      <c r="M7751" t="n">
        <v>0</v>
      </c>
      <c r="N7751" t="n">
        <v>0</v>
      </c>
      <c r="O7751" t="n">
        <v>0</v>
      </c>
      <c r="P7751" t="n">
        <v>0</v>
      </c>
      <c r="Q7751" t="n">
        <v>0</v>
      </c>
      <c r="R7751" s="2" t="inlineStr"/>
    </row>
    <row r="7752" ht="15" customHeight="1">
      <c r="A7752" t="inlineStr">
        <is>
          <t>A 41590-2022</t>
        </is>
      </c>
      <c r="B7752" s="1" t="n">
        <v>44827</v>
      </c>
      <c r="C7752" s="1" t="n">
        <v>45810</v>
      </c>
      <c r="D7752" t="inlineStr">
        <is>
          <t>VÄRMLANDS LÄN</t>
        </is>
      </c>
      <c r="E7752" t="inlineStr">
        <is>
          <t>TORSBY</t>
        </is>
      </c>
      <c r="F7752" t="inlineStr">
        <is>
          <t>Bergvik skog väst AB</t>
        </is>
      </c>
      <c r="G7752" t="n">
        <v>42.5</v>
      </c>
      <c r="H7752" t="n">
        <v>0</v>
      </c>
      <c r="I7752" t="n">
        <v>0</v>
      </c>
      <c r="J7752" t="n">
        <v>0</v>
      </c>
      <c r="K7752" t="n">
        <v>0</v>
      </c>
      <c r="L7752" t="n">
        <v>0</v>
      </c>
      <c r="M7752" t="n">
        <v>0</v>
      </c>
      <c r="N7752" t="n">
        <v>0</v>
      </c>
      <c r="O7752" t="n">
        <v>0</v>
      </c>
      <c r="P7752" t="n">
        <v>0</v>
      </c>
      <c r="Q7752" t="n">
        <v>0</v>
      </c>
      <c r="R7752" s="2" t="inlineStr"/>
    </row>
    <row r="7753" ht="15" customHeight="1">
      <c r="A7753" t="inlineStr">
        <is>
          <t>A 41853-2022</t>
        </is>
      </c>
      <c r="B7753" s="1" t="n">
        <v>44829</v>
      </c>
      <c r="C7753" s="1" t="n">
        <v>45810</v>
      </c>
      <c r="D7753" t="inlineStr">
        <is>
          <t>VÄRMLANDS LÄN</t>
        </is>
      </c>
      <c r="E7753" t="inlineStr">
        <is>
          <t>KRISTINEHAMN</t>
        </is>
      </c>
      <c r="G7753" t="n">
        <v>1.8</v>
      </c>
      <c r="H7753" t="n">
        <v>0</v>
      </c>
      <c r="I7753" t="n">
        <v>0</v>
      </c>
      <c r="J7753" t="n">
        <v>0</v>
      </c>
      <c r="K7753" t="n">
        <v>0</v>
      </c>
      <c r="L7753" t="n">
        <v>0</v>
      </c>
      <c r="M7753" t="n">
        <v>0</v>
      </c>
      <c r="N7753" t="n">
        <v>0</v>
      </c>
      <c r="O7753" t="n">
        <v>0</v>
      </c>
      <c r="P7753" t="n">
        <v>0</v>
      </c>
      <c r="Q7753" t="n">
        <v>0</v>
      </c>
      <c r="R7753" s="2" t="inlineStr"/>
    </row>
    <row r="7754" ht="15" customHeight="1">
      <c r="A7754" t="inlineStr">
        <is>
          <t>A 41857-2022</t>
        </is>
      </c>
      <c r="B7754" s="1" t="n">
        <v>44829</v>
      </c>
      <c r="C7754" s="1" t="n">
        <v>45810</v>
      </c>
      <c r="D7754" t="inlineStr">
        <is>
          <t>VÄRMLANDS LÄN</t>
        </is>
      </c>
      <c r="E7754" t="inlineStr">
        <is>
          <t>SÄFFLE</t>
        </is>
      </c>
      <c r="F7754" t="inlineStr">
        <is>
          <t>Kommuner</t>
        </is>
      </c>
      <c r="G7754" t="n">
        <v>7.1</v>
      </c>
      <c r="H7754" t="n">
        <v>0</v>
      </c>
      <c r="I7754" t="n">
        <v>0</v>
      </c>
      <c r="J7754" t="n">
        <v>0</v>
      </c>
      <c r="K7754" t="n">
        <v>0</v>
      </c>
      <c r="L7754" t="n">
        <v>0</v>
      </c>
      <c r="M7754" t="n">
        <v>0</v>
      </c>
      <c r="N7754" t="n">
        <v>0</v>
      </c>
      <c r="O7754" t="n">
        <v>0</v>
      </c>
      <c r="P7754" t="n">
        <v>0</v>
      </c>
      <c r="Q7754" t="n">
        <v>0</v>
      </c>
      <c r="R7754" s="2" t="inlineStr"/>
    </row>
    <row r="7755" ht="15" customHeight="1">
      <c r="A7755" t="inlineStr">
        <is>
          <t>A 41858-2022</t>
        </is>
      </c>
      <c r="B7755" s="1" t="n">
        <v>44829</v>
      </c>
      <c r="C7755" s="1" t="n">
        <v>45810</v>
      </c>
      <c r="D7755" t="inlineStr">
        <is>
          <t>VÄRMLANDS LÄN</t>
        </is>
      </c>
      <c r="E7755" t="inlineStr">
        <is>
          <t>SÄFFLE</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41975-2022</t>
        </is>
      </c>
      <c r="B7756" s="1" t="n">
        <v>44830</v>
      </c>
      <c r="C7756" s="1" t="n">
        <v>45810</v>
      </c>
      <c r="D7756" t="inlineStr">
        <is>
          <t>VÄRMLANDS LÄN</t>
        </is>
      </c>
      <c r="E7756" t="inlineStr">
        <is>
          <t>ÅRJÄNG</t>
        </is>
      </c>
      <c r="G7756" t="n">
        <v>4.1</v>
      </c>
      <c r="H7756" t="n">
        <v>0</v>
      </c>
      <c r="I7756" t="n">
        <v>0</v>
      </c>
      <c r="J7756" t="n">
        <v>0</v>
      </c>
      <c r="K7756" t="n">
        <v>0</v>
      </c>
      <c r="L7756" t="n">
        <v>0</v>
      </c>
      <c r="M7756" t="n">
        <v>0</v>
      </c>
      <c r="N7756" t="n">
        <v>0</v>
      </c>
      <c r="O7756" t="n">
        <v>0</v>
      </c>
      <c r="P7756" t="n">
        <v>0</v>
      </c>
      <c r="Q7756" t="n">
        <v>0</v>
      </c>
      <c r="R7756" s="2" t="inlineStr"/>
    </row>
    <row r="7757" ht="15" customHeight="1">
      <c r="A7757" t="inlineStr">
        <is>
          <t>A 42071-2022</t>
        </is>
      </c>
      <c r="B7757" s="1" t="n">
        <v>44830</v>
      </c>
      <c r="C7757" s="1" t="n">
        <v>45810</v>
      </c>
      <c r="D7757" t="inlineStr">
        <is>
          <t>VÄRMLANDS LÄN</t>
        </is>
      </c>
      <c r="E7757" t="inlineStr">
        <is>
          <t>SÄFFLE</t>
        </is>
      </c>
      <c r="G7757" t="n">
        <v>0.5</v>
      </c>
      <c r="H7757" t="n">
        <v>0</v>
      </c>
      <c r="I7757" t="n">
        <v>0</v>
      </c>
      <c r="J7757" t="n">
        <v>0</v>
      </c>
      <c r="K7757" t="n">
        <v>0</v>
      </c>
      <c r="L7757" t="n">
        <v>0</v>
      </c>
      <c r="M7757" t="n">
        <v>0</v>
      </c>
      <c r="N7757" t="n">
        <v>0</v>
      </c>
      <c r="O7757" t="n">
        <v>0</v>
      </c>
      <c r="P7757" t="n">
        <v>0</v>
      </c>
      <c r="Q7757" t="n">
        <v>0</v>
      </c>
      <c r="R7757" s="2" t="inlineStr"/>
    </row>
    <row r="7758" ht="15" customHeight="1">
      <c r="A7758" t="inlineStr">
        <is>
          <t>A 42168-2022</t>
        </is>
      </c>
      <c r="B7758" s="1" t="n">
        <v>44830</v>
      </c>
      <c r="C7758" s="1" t="n">
        <v>45810</v>
      </c>
      <c r="D7758" t="inlineStr">
        <is>
          <t>VÄRMLANDS LÄN</t>
        </is>
      </c>
      <c r="E7758" t="inlineStr">
        <is>
          <t>HAGFORS</t>
        </is>
      </c>
      <c r="F7758" t="inlineStr">
        <is>
          <t>Bergvik skog väst AB</t>
        </is>
      </c>
      <c r="G7758" t="n">
        <v>8.1</v>
      </c>
      <c r="H7758" t="n">
        <v>0</v>
      </c>
      <c r="I7758" t="n">
        <v>0</v>
      </c>
      <c r="J7758" t="n">
        <v>0</v>
      </c>
      <c r="K7758" t="n">
        <v>0</v>
      </c>
      <c r="L7758" t="n">
        <v>0</v>
      </c>
      <c r="M7758" t="n">
        <v>0</v>
      </c>
      <c r="N7758" t="n">
        <v>0</v>
      </c>
      <c r="O7758" t="n">
        <v>0</v>
      </c>
      <c r="P7758" t="n">
        <v>0</v>
      </c>
      <c r="Q7758" t="n">
        <v>0</v>
      </c>
      <c r="R7758" s="2" t="inlineStr"/>
    </row>
    <row r="7759" ht="15" customHeight="1">
      <c r="A7759" t="inlineStr">
        <is>
          <t>A 42179-2022</t>
        </is>
      </c>
      <c r="B7759" s="1" t="n">
        <v>44830</v>
      </c>
      <c r="C7759" s="1" t="n">
        <v>45810</v>
      </c>
      <c r="D7759" t="inlineStr">
        <is>
          <t>VÄRMLANDS LÄN</t>
        </is>
      </c>
      <c r="E7759" t="inlineStr">
        <is>
          <t>ARVIKA</t>
        </is>
      </c>
      <c r="G7759" t="n">
        <v>2.8</v>
      </c>
      <c r="H7759" t="n">
        <v>0</v>
      </c>
      <c r="I7759" t="n">
        <v>0</v>
      </c>
      <c r="J7759" t="n">
        <v>0</v>
      </c>
      <c r="K7759" t="n">
        <v>0</v>
      </c>
      <c r="L7759" t="n">
        <v>0</v>
      </c>
      <c r="M7759" t="n">
        <v>0</v>
      </c>
      <c r="N7759" t="n">
        <v>0</v>
      </c>
      <c r="O7759" t="n">
        <v>0</v>
      </c>
      <c r="P7759" t="n">
        <v>0</v>
      </c>
      <c r="Q7759" t="n">
        <v>0</v>
      </c>
      <c r="R7759" s="2" t="inlineStr"/>
    </row>
    <row r="7760" ht="15" customHeight="1">
      <c r="A7760" t="inlineStr">
        <is>
          <t>A 41982-2022</t>
        </is>
      </c>
      <c r="B7760" s="1" t="n">
        <v>44830</v>
      </c>
      <c r="C7760" s="1" t="n">
        <v>45810</v>
      </c>
      <c r="D7760" t="inlineStr">
        <is>
          <t>VÄRMLANDS LÄN</t>
        </is>
      </c>
      <c r="E7760" t="inlineStr">
        <is>
          <t>ÅRJÄNG</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42163-2022</t>
        </is>
      </c>
      <c r="B7761" s="1" t="n">
        <v>44830</v>
      </c>
      <c r="C7761" s="1" t="n">
        <v>45810</v>
      </c>
      <c r="D7761" t="inlineStr">
        <is>
          <t>VÄRMLANDS LÄN</t>
        </is>
      </c>
      <c r="E7761" t="inlineStr">
        <is>
          <t>ARVIKA</t>
        </is>
      </c>
      <c r="F7761" t="inlineStr">
        <is>
          <t>Bergvik skog väst AB</t>
        </is>
      </c>
      <c r="G7761" t="n">
        <v>1.3</v>
      </c>
      <c r="H7761" t="n">
        <v>0</v>
      </c>
      <c r="I7761" t="n">
        <v>0</v>
      </c>
      <c r="J7761" t="n">
        <v>0</v>
      </c>
      <c r="K7761" t="n">
        <v>0</v>
      </c>
      <c r="L7761" t="n">
        <v>0</v>
      </c>
      <c r="M7761" t="n">
        <v>0</v>
      </c>
      <c r="N7761" t="n">
        <v>0</v>
      </c>
      <c r="O7761" t="n">
        <v>0</v>
      </c>
      <c r="P7761" t="n">
        <v>0</v>
      </c>
      <c r="Q7761" t="n">
        <v>0</v>
      </c>
      <c r="R7761" s="2" t="inlineStr"/>
    </row>
    <row r="7762" ht="15" customHeight="1">
      <c r="A7762" t="inlineStr">
        <is>
          <t>A 41986-2022</t>
        </is>
      </c>
      <c r="B7762" s="1" t="n">
        <v>44830</v>
      </c>
      <c r="C7762" s="1" t="n">
        <v>45810</v>
      </c>
      <c r="D7762" t="inlineStr">
        <is>
          <t>VÄRMLANDS LÄN</t>
        </is>
      </c>
      <c r="E7762" t="inlineStr">
        <is>
          <t>ÅRJÄNG</t>
        </is>
      </c>
      <c r="G7762" t="n">
        <v>4.3</v>
      </c>
      <c r="H7762" t="n">
        <v>0</v>
      </c>
      <c r="I7762" t="n">
        <v>0</v>
      </c>
      <c r="J7762" t="n">
        <v>0</v>
      </c>
      <c r="K7762" t="n">
        <v>0</v>
      </c>
      <c r="L7762" t="n">
        <v>0</v>
      </c>
      <c r="M7762" t="n">
        <v>0</v>
      </c>
      <c r="N7762" t="n">
        <v>0</v>
      </c>
      <c r="O7762" t="n">
        <v>0</v>
      </c>
      <c r="P7762" t="n">
        <v>0</v>
      </c>
      <c r="Q7762" t="n">
        <v>0</v>
      </c>
      <c r="R7762" s="2" t="inlineStr"/>
    </row>
    <row r="7763" ht="15" customHeight="1">
      <c r="A7763" t="inlineStr">
        <is>
          <t>A 41995-2022</t>
        </is>
      </c>
      <c r="B7763" s="1" t="n">
        <v>44830</v>
      </c>
      <c r="C7763" s="1" t="n">
        <v>45810</v>
      </c>
      <c r="D7763" t="inlineStr">
        <is>
          <t>VÄRMLANDS LÄN</t>
        </is>
      </c>
      <c r="E7763" t="inlineStr">
        <is>
          <t>TORSBY</t>
        </is>
      </c>
      <c r="F7763" t="inlineStr">
        <is>
          <t>Bergvik skog väst AB</t>
        </is>
      </c>
      <c r="G7763" t="n">
        <v>5.2</v>
      </c>
      <c r="H7763" t="n">
        <v>0</v>
      </c>
      <c r="I7763" t="n">
        <v>0</v>
      </c>
      <c r="J7763" t="n">
        <v>0</v>
      </c>
      <c r="K7763" t="n">
        <v>0</v>
      </c>
      <c r="L7763" t="n">
        <v>0</v>
      </c>
      <c r="M7763" t="n">
        <v>0</v>
      </c>
      <c r="N7763" t="n">
        <v>0</v>
      </c>
      <c r="O7763" t="n">
        <v>0</v>
      </c>
      <c r="P7763" t="n">
        <v>0</v>
      </c>
      <c r="Q7763" t="n">
        <v>0</v>
      </c>
      <c r="R7763" s="2" t="inlineStr"/>
    </row>
    <row r="7764" ht="15" customHeight="1">
      <c r="A7764" t="inlineStr">
        <is>
          <t>A 42067-2022</t>
        </is>
      </c>
      <c r="B7764" s="1" t="n">
        <v>44830</v>
      </c>
      <c r="C7764" s="1" t="n">
        <v>45810</v>
      </c>
      <c r="D7764" t="inlineStr">
        <is>
          <t>VÄRMLANDS LÄN</t>
        </is>
      </c>
      <c r="E7764" t="inlineStr">
        <is>
          <t>SÄFFLE</t>
        </is>
      </c>
      <c r="G7764" t="n">
        <v>1.4</v>
      </c>
      <c r="H7764" t="n">
        <v>0</v>
      </c>
      <c r="I7764" t="n">
        <v>0</v>
      </c>
      <c r="J7764" t="n">
        <v>0</v>
      </c>
      <c r="K7764" t="n">
        <v>0</v>
      </c>
      <c r="L7764" t="n">
        <v>0</v>
      </c>
      <c r="M7764" t="n">
        <v>0</v>
      </c>
      <c r="N7764" t="n">
        <v>0</v>
      </c>
      <c r="O7764" t="n">
        <v>0</v>
      </c>
      <c r="P7764" t="n">
        <v>0</v>
      </c>
      <c r="Q7764" t="n">
        <v>0</v>
      </c>
      <c r="R7764" s="2" t="inlineStr"/>
    </row>
    <row r="7765" ht="15" customHeight="1">
      <c r="A7765" t="inlineStr">
        <is>
          <t>A 42160-2022</t>
        </is>
      </c>
      <c r="B7765" s="1" t="n">
        <v>44830</v>
      </c>
      <c r="C7765" s="1" t="n">
        <v>45810</v>
      </c>
      <c r="D7765" t="inlineStr">
        <is>
          <t>VÄRMLANDS LÄN</t>
        </is>
      </c>
      <c r="E7765" t="inlineStr">
        <is>
          <t>ARVIKA</t>
        </is>
      </c>
      <c r="G7765" t="n">
        <v>0.4</v>
      </c>
      <c r="H7765" t="n">
        <v>0</v>
      </c>
      <c r="I7765" t="n">
        <v>0</v>
      </c>
      <c r="J7765" t="n">
        <v>0</v>
      </c>
      <c r="K7765" t="n">
        <v>0</v>
      </c>
      <c r="L7765" t="n">
        <v>0</v>
      </c>
      <c r="M7765" t="n">
        <v>0</v>
      </c>
      <c r="N7765" t="n">
        <v>0</v>
      </c>
      <c r="O7765" t="n">
        <v>0</v>
      </c>
      <c r="P7765" t="n">
        <v>0</v>
      </c>
      <c r="Q7765" t="n">
        <v>0</v>
      </c>
      <c r="R7765" s="2" t="inlineStr"/>
    </row>
    <row r="7766" ht="15" customHeight="1">
      <c r="A7766" t="inlineStr">
        <is>
          <t>A 42149-2022</t>
        </is>
      </c>
      <c r="B7766" s="1" t="n">
        <v>44830</v>
      </c>
      <c r="C7766" s="1" t="n">
        <v>45810</v>
      </c>
      <c r="D7766" t="inlineStr">
        <is>
          <t>VÄRMLANDS LÄN</t>
        </is>
      </c>
      <c r="E7766" t="inlineStr">
        <is>
          <t>SUNNE</t>
        </is>
      </c>
      <c r="F7766" t="inlineStr">
        <is>
          <t>Bergvik skog väst AB</t>
        </is>
      </c>
      <c r="G7766" t="n">
        <v>4.3</v>
      </c>
      <c r="H7766" t="n">
        <v>0</v>
      </c>
      <c r="I7766" t="n">
        <v>0</v>
      </c>
      <c r="J7766" t="n">
        <v>0</v>
      </c>
      <c r="K7766" t="n">
        <v>0</v>
      </c>
      <c r="L7766" t="n">
        <v>0</v>
      </c>
      <c r="M7766" t="n">
        <v>0</v>
      </c>
      <c r="N7766" t="n">
        <v>0</v>
      </c>
      <c r="O7766" t="n">
        <v>0</v>
      </c>
      <c r="P7766" t="n">
        <v>0</v>
      </c>
      <c r="Q7766" t="n">
        <v>0</v>
      </c>
      <c r="R7766" s="2" t="inlineStr"/>
    </row>
    <row r="7767" ht="15" customHeight="1">
      <c r="A7767" t="inlineStr">
        <is>
          <t>A 42156-2022</t>
        </is>
      </c>
      <c r="B7767" s="1" t="n">
        <v>44830</v>
      </c>
      <c r="C7767" s="1" t="n">
        <v>45810</v>
      </c>
      <c r="D7767" t="inlineStr">
        <is>
          <t>VÄRMLANDS LÄN</t>
        </is>
      </c>
      <c r="E7767" t="inlineStr">
        <is>
          <t>ARVIKA</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42184-2022</t>
        </is>
      </c>
      <c r="B7768" s="1" t="n">
        <v>44830</v>
      </c>
      <c r="C7768" s="1" t="n">
        <v>45810</v>
      </c>
      <c r="D7768" t="inlineStr">
        <is>
          <t>VÄRMLANDS LÄN</t>
        </is>
      </c>
      <c r="E7768" t="inlineStr">
        <is>
          <t>ARVIKA</t>
        </is>
      </c>
      <c r="G7768" t="n">
        <v>0.9</v>
      </c>
      <c r="H7768" t="n">
        <v>0</v>
      </c>
      <c r="I7768" t="n">
        <v>0</v>
      </c>
      <c r="J7768" t="n">
        <v>0</v>
      </c>
      <c r="K7768" t="n">
        <v>0</v>
      </c>
      <c r="L7768" t="n">
        <v>0</v>
      </c>
      <c r="M7768" t="n">
        <v>0</v>
      </c>
      <c r="N7768" t="n">
        <v>0</v>
      </c>
      <c r="O7768" t="n">
        <v>0</v>
      </c>
      <c r="P7768" t="n">
        <v>0</v>
      </c>
      <c r="Q7768" t="n">
        <v>0</v>
      </c>
      <c r="R7768" s="2" t="inlineStr"/>
    </row>
    <row r="7769" ht="15" customHeight="1">
      <c r="A7769" t="inlineStr">
        <is>
          <t>A 42207-2022</t>
        </is>
      </c>
      <c r="B7769" s="1" t="n">
        <v>44830</v>
      </c>
      <c r="C7769" s="1" t="n">
        <v>45810</v>
      </c>
      <c r="D7769" t="inlineStr">
        <is>
          <t>VÄRMLANDS LÄN</t>
        </is>
      </c>
      <c r="E7769" t="inlineStr">
        <is>
          <t>ARVIKA</t>
        </is>
      </c>
      <c r="F7769" t="inlineStr">
        <is>
          <t>Bergvik skog väst AB</t>
        </is>
      </c>
      <c r="G7769" t="n">
        <v>9</v>
      </c>
      <c r="H7769" t="n">
        <v>0</v>
      </c>
      <c r="I7769" t="n">
        <v>0</v>
      </c>
      <c r="J7769" t="n">
        <v>0</v>
      </c>
      <c r="K7769" t="n">
        <v>0</v>
      </c>
      <c r="L7769" t="n">
        <v>0</v>
      </c>
      <c r="M7769" t="n">
        <v>0</v>
      </c>
      <c r="N7769" t="n">
        <v>0</v>
      </c>
      <c r="O7769" t="n">
        <v>0</v>
      </c>
      <c r="P7769" t="n">
        <v>0</v>
      </c>
      <c r="Q7769" t="n">
        <v>0</v>
      </c>
      <c r="R7769" s="2" t="inlineStr"/>
    </row>
    <row r="7770" ht="15" customHeight="1">
      <c r="A7770" t="inlineStr">
        <is>
          <t>A 42443-2022</t>
        </is>
      </c>
      <c r="B7770" s="1" t="n">
        <v>44830</v>
      </c>
      <c r="C7770" s="1" t="n">
        <v>45810</v>
      </c>
      <c r="D7770" t="inlineStr">
        <is>
          <t>VÄRMLANDS LÄN</t>
        </is>
      </c>
      <c r="E7770" t="inlineStr">
        <is>
          <t>SUNNE</t>
        </is>
      </c>
      <c r="G7770" t="n">
        <v>3.7</v>
      </c>
      <c r="H7770" t="n">
        <v>0</v>
      </c>
      <c r="I7770" t="n">
        <v>0</v>
      </c>
      <c r="J7770" t="n">
        <v>0</v>
      </c>
      <c r="K7770" t="n">
        <v>0</v>
      </c>
      <c r="L7770" t="n">
        <v>0</v>
      </c>
      <c r="M7770" t="n">
        <v>0</v>
      </c>
      <c r="N7770" t="n">
        <v>0</v>
      </c>
      <c r="O7770" t="n">
        <v>0</v>
      </c>
      <c r="P7770" t="n">
        <v>0</v>
      </c>
      <c r="Q7770" t="n">
        <v>0</v>
      </c>
      <c r="R7770" s="2" t="inlineStr"/>
    </row>
    <row r="7771" ht="15" customHeight="1">
      <c r="A7771" t="inlineStr">
        <is>
          <t>A 42423-2022</t>
        </is>
      </c>
      <c r="B7771" s="1" t="n">
        <v>44830</v>
      </c>
      <c r="C7771" s="1" t="n">
        <v>45810</v>
      </c>
      <c r="D7771" t="inlineStr">
        <is>
          <t>VÄRMLANDS LÄN</t>
        </is>
      </c>
      <c r="E7771" t="inlineStr">
        <is>
          <t>HAGFORS</t>
        </is>
      </c>
      <c r="G7771" t="n">
        <v>10.9</v>
      </c>
      <c r="H7771" t="n">
        <v>0</v>
      </c>
      <c r="I7771" t="n">
        <v>0</v>
      </c>
      <c r="J7771" t="n">
        <v>0</v>
      </c>
      <c r="K7771" t="n">
        <v>0</v>
      </c>
      <c r="L7771" t="n">
        <v>0</v>
      </c>
      <c r="M7771" t="n">
        <v>0</v>
      </c>
      <c r="N7771" t="n">
        <v>0</v>
      </c>
      <c r="O7771" t="n">
        <v>0</v>
      </c>
      <c r="P7771" t="n">
        <v>0</v>
      </c>
      <c r="Q7771" t="n">
        <v>0</v>
      </c>
      <c r="R7771" s="2" t="inlineStr"/>
    </row>
    <row r="7772" ht="15" customHeight="1">
      <c r="A7772" t="inlineStr">
        <is>
          <t>A 42324-2022</t>
        </is>
      </c>
      <c r="B7772" s="1" t="n">
        <v>44831</v>
      </c>
      <c r="C7772" s="1" t="n">
        <v>45810</v>
      </c>
      <c r="D7772" t="inlineStr">
        <is>
          <t>VÄRMLANDS LÄN</t>
        </is>
      </c>
      <c r="E7772" t="inlineStr">
        <is>
          <t>ARVIKA</t>
        </is>
      </c>
      <c r="G7772" t="n">
        <v>2</v>
      </c>
      <c r="H7772" t="n">
        <v>0</v>
      </c>
      <c r="I7772" t="n">
        <v>0</v>
      </c>
      <c r="J7772" t="n">
        <v>0</v>
      </c>
      <c r="K7772" t="n">
        <v>0</v>
      </c>
      <c r="L7772" t="n">
        <v>0</v>
      </c>
      <c r="M7772" t="n">
        <v>0</v>
      </c>
      <c r="N7772" t="n">
        <v>0</v>
      </c>
      <c r="O7772" t="n">
        <v>0</v>
      </c>
      <c r="P7772" t="n">
        <v>0</v>
      </c>
      <c r="Q7772" t="n">
        <v>0</v>
      </c>
      <c r="R7772" s="2" t="inlineStr"/>
    </row>
    <row r="7773" ht="15" customHeight="1">
      <c r="A7773" t="inlineStr">
        <is>
          <t>A 42411-2022</t>
        </is>
      </c>
      <c r="B7773" s="1" t="n">
        <v>44831</v>
      </c>
      <c r="C7773" s="1" t="n">
        <v>45810</v>
      </c>
      <c r="D7773" t="inlineStr">
        <is>
          <t>VÄRMLANDS LÄN</t>
        </is>
      </c>
      <c r="E7773" t="inlineStr">
        <is>
          <t>KRISTINEHAMN</t>
        </is>
      </c>
      <c r="G7773" t="n">
        <v>2.8</v>
      </c>
      <c r="H7773" t="n">
        <v>0</v>
      </c>
      <c r="I7773" t="n">
        <v>0</v>
      </c>
      <c r="J7773" t="n">
        <v>0</v>
      </c>
      <c r="K7773" t="n">
        <v>0</v>
      </c>
      <c r="L7773" t="n">
        <v>0</v>
      </c>
      <c r="M7773" t="n">
        <v>0</v>
      </c>
      <c r="N7773" t="n">
        <v>0</v>
      </c>
      <c r="O7773" t="n">
        <v>0</v>
      </c>
      <c r="P7773" t="n">
        <v>0</v>
      </c>
      <c r="Q7773" t="n">
        <v>0</v>
      </c>
      <c r="R7773" s="2" t="inlineStr"/>
    </row>
    <row r="7774" ht="15" customHeight="1">
      <c r="A7774" t="inlineStr">
        <is>
          <t>A 42461-2022</t>
        </is>
      </c>
      <c r="B7774" s="1" t="n">
        <v>44831</v>
      </c>
      <c r="C7774" s="1" t="n">
        <v>45810</v>
      </c>
      <c r="D7774" t="inlineStr">
        <is>
          <t>VÄRMLANDS LÄN</t>
        </is>
      </c>
      <c r="E7774" t="inlineStr">
        <is>
          <t>ARVIKA</t>
        </is>
      </c>
      <c r="G7774" t="n">
        <v>4.3</v>
      </c>
      <c r="H7774" t="n">
        <v>0</v>
      </c>
      <c r="I7774" t="n">
        <v>0</v>
      </c>
      <c r="J7774" t="n">
        <v>0</v>
      </c>
      <c r="K7774" t="n">
        <v>0</v>
      </c>
      <c r="L7774" t="n">
        <v>0</v>
      </c>
      <c r="M7774" t="n">
        <v>0</v>
      </c>
      <c r="N7774" t="n">
        <v>0</v>
      </c>
      <c r="O7774" t="n">
        <v>0</v>
      </c>
      <c r="P7774" t="n">
        <v>0</v>
      </c>
      <c r="Q7774" t="n">
        <v>0</v>
      </c>
      <c r="R7774" s="2" t="inlineStr"/>
    </row>
    <row r="7775" ht="15" customHeight="1">
      <c r="A7775" t="inlineStr">
        <is>
          <t>A 42402-2022</t>
        </is>
      </c>
      <c r="B7775" s="1" t="n">
        <v>44831</v>
      </c>
      <c r="C7775" s="1" t="n">
        <v>45810</v>
      </c>
      <c r="D7775" t="inlineStr">
        <is>
          <t>VÄRMLANDS LÄN</t>
        </is>
      </c>
      <c r="E7775" t="inlineStr">
        <is>
          <t>SÄFFLE</t>
        </is>
      </c>
      <c r="F7775" t="inlineStr">
        <is>
          <t>Bergvik skog väst AB</t>
        </is>
      </c>
      <c r="G7775" t="n">
        <v>13.1</v>
      </c>
      <c r="H7775" t="n">
        <v>0</v>
      </c>
      <c r="I7775" t="n">
        <v>0</v>
      </c>
      <c r="J7775" t="n">
        <v>0</v>
      </c>
      <c r="K7775" t="n">
        <v>0</v>
      </c>
      <c r="L7775" t="n">
        <v>0</v>
      </c>
      <c r="M7775" t="n">
        <v>0</v>
      </c>
      <c r="N7775" t="n">
        <v>0</v>
      </c>
      <c r="O7775" t="n">
        <v>0</v>
      </c>
      <c r="P7775" t="n">
        <v>0</v>
      </c>
      <c r="Q7775" t="n">
        <v>0</v>
      </c>
      <c r="R7775" s="2" t="inlineStr"/>
    </row>
    <row r="7776" ht="15" customHeight="1">
      <c r="A7776" t="inlineStr">
        <is>
          <t>A 42408-2022</t>
        </is>
      </c>
      <c r="B7776" s="1" t="n">
        <v>44831</v>
      </c>
      <c r="C7776" s="1" t="n">
        <v>45810</v>
      </c>
      <c r="D7776" t="inlineStr">
        <is>
          <t>VÄRMLANDS LÄN</t>
        </is>
      </c>
      <c r="E7776" t="inlineStr">
        <is>
          <t>KRISTINEHAMN</t>
        </is>
      </c>
      <c r="G7776" t="n">
        <v>0.9</v>
      </c>
      <c r="H7776" t="n">
        <v>0</v>
      </c>
      <c r="I7776" t="n">
        <v>0</v>
      </c>
      <c r="J7776" t="n">
        <v>0</v>
      </c>
      <c r="K7776" t="n">
        <v>0</v>
      </c>
      <c r="L7776" t="n">
        <v>0</v>
      </c>
      <c r="M7776" t="n">
        <v>0</v>
      </c>
      <c r="N7776" t="n">
        <v>0</v>
      </c>
      <c r="O7776" t="n">
        <v>0</v>
      </c>
      <c r="P7776" t="n">
        <v>0</v>
      </c>
      <c r="Q7776" t="n">
        <v>0</v>
      </c>
      <c r="R7776" s="2" t="inlineStr"/>
    </row>
    <row r="7777" ht="15" customHeight="1">
      <c r="A7777" t="inlineStr">
        <is>
          <t>A 42418-2022</t>
        </is>
      </c>
      <c r="B7777" s="1" t="n">
        <v>44831</v>
      </c>
      <c r="C7777" s="1" t="n">
        <v>45810</v>
      </c>
      <c r="D7777" t="inlineStr">
        <is>
          <t>VÄRMLANDS LÄN</t>
        </is>
      </c>
      <c r="E7777" t="inlineStr">
        <is>
          <t>ARVIKA</t>
        </is>
      </c>
      <c r="F7777" t="inlineStr">
        <is>
          <t>Bergvik skog väst AB</t>
        </is>
      </c>
      <c r="G7777" t="n">
        <v>2</v>
      </c>
      <c r="H7777" t="n">
        <v>0</v>
      </c>
      <c r="I7777" t="n">
        <v>0</v>
      </c>
      <c r="J7777" t="n">
        <v>0</v>
      </c>
      <c r="K7777" t="n">
        <v>0</v>
      </c>
      <c r="L7777" t="n">
        <v>0</v>
      </c>
      <c r="M7777" t="n">
        <v>0</v>
      </c>
      <c r="N7777" t="n">
        <v>0</v>
      </c>
      <c r="O7777" t="n">
        <v>0</v>
      </c>
      <c r="P7777" t="n">
        <v>0</v>
      </c>
      <c r="Q7777" t="n">
        <v>0</v>
      </c>
      <c r="R7777" s="2" t="inlineStr"/>
    </row>
    <row r="7778" ht="15" customHeight="1">
      <c r="A7778" t="inlineStr">
        <is>
          <t>A 42388-2022</t>
        </is>
      </c>
      <c r="B7778" s="1" t="n">
        <v>44831</v>
      </c>
      <c r="C7778" s="1" t="n">
        <v>45810</v>
      </c>
      <c r="D7778" t="inlineStr">
        <is>
          <t>VÄRMLANDS LÄN</t>
        </is>
      </c>
      <c r="E7778" t="inlineStr">
        <is>
          <t>SUNNE</t>
        </is>
      </c>
      <c r="G7778" t="n">
        <v>2.9</v>
      </c>
      <c r="H7778" t="n">
        <v>0</v>
      </c>
      <c r="I7778" t="n">
        <v>0</v>
      </c>
      <c r="J7778" t="n">
        <v>0</v>
      </c>
      <c r="K7778" t="n">
        <v>0</v>
      </c>
      <c r="L7778" t="n">
        <v>0</v>
      </c>
      <c r="M7778" t="n">
        <v>0</v>
      </c>
      <c r="N7778" t="n">
        <v>0</v>
      </c>
      <c r="O7778" t="n">
        <v>0</v>
      </c>
      <c r="P7778" t="n">
        <v>0</v>
      </c>
      <c r="Q7778" t="n">
        <v>0</v>
      </c>
      <c r="R7778" s="2" t="inlineStr"/>
    </row>
    <row r="7779" ht="15" customHeight="1">
      <c r="A7779" t="inlineStr">
        <is>
          <t>A 42538-2022</t>
        </is>
      </c>
      <c r="B7779" s="1" t="n">
        <v>44831</v>
      </c>
      <c r="C7779" s="1" t="n">
        <v>45810</v>
      </c>
      <c r="D7779" t="inlineStr">
        <is>
          <t>VÄRMLANDS LÄN</t>
        </is>
      </c>
      <c r="E7779" t="inlineStr">
        <is>
          <t>SUNNE</t>
        </is>
      </c>
      <c r="G7779" t="n">
        <v>0.9</v>
      </c>
      <c r="H7779" t="n">
        <v>0</v>
      </c>
      <c r="I7779" t="n">
        <v>0</v>
      </c>
      <c r="J7779" t="n">
        <v>0</v>
      </c>
      <c r="K7779" t="n">
        <v>0</v>
      </c>
      <c r="L7779" t="n">
        <v>0</v>
      </c>
      <c r="M7779" t="n">
        <v>0</v>
      </c>
      <c r="N7779" t="n">
        <v>0</v>
      </c>
      <c r="O7779" t="n">
        <v>0</v>
      </c>
      <c r="P7779" t="n">
        <v>0</v>
      </c>
      <c r="Q7779" t="n">
        <v>0</v>
      </c>
      <c r="R7779" s="2" t="inlineStr"/>
    </row>
    <row r="7780" ht="15" customHeight="1">
      <c r="A7780" t="inlineStr">
        <is>
          <t>A 42549-2022</t>
        </is>
      </c>
      <c r="B7780" s="1" t="n">
        <v>44831</v>
      </c>
      <c r="C7780" s="1" t="n">
        <v>45810</v>
      </c>
      <c r="D7780" t="inlineStr">
        <is>
          <t>VÄRMLANDS LÄN</t>
        </is>
      </c>
      <c r="E7780" t="inlineStr">
        <is>
          <t>EDA</t>
        </is>
      </c>
      <c r="F7780" t="inlineStr">
        <is>
          <t>Bergvik skog väst AB</t>
        </is>
      </c>
      <c r="G7780" t="n">
        <v>2.7</v>
      </c>
      <c r="H7780" t="n">
        <v>0</v>
      </c>
      <c r="I7780" t="n">
        <v>0</v>
      </c>
      <c r="J7780" t="n">
        <v>0</v>
      </c>
      <c r="K7780" t="n">
        <v>0</v>
      </c>
      <c r="L7780" t="n">
        <v>0</v>
      </c>
      <c r="M7780" t="n">
        <v>0</v>
      </c>
      <c r="N7780" t="n">
        <v>0</v>
      </c>
      <c r="O7780" t="n">
        <v>0</v>
      </c>
      <c r="P7780" t="n">
        <v>0</v>
      </c>
      <c r="Q7780" t="n">
        <v>0</v>
      </c>
      <c r="R7780" s="2" t="inlineStr"/>
    </row>
    <row r="7781" ht="15" customHeight="1">
      <c r="A7781" t="inlineStr">
        <is>
          <t>A 42588-2022</t>
        </is>
      </c>
      <c r="B7781" s="1" t="n">
        <v>44831</v>
      </c>
      <c r="C7781" s="1" t="n">
        <v>45810</v>
      </c>
      <c r="D7781" t="inlineStr">
        <is>
          <t>VÄRMLANDS LÄN</t>
        </is>
      </c>
      <c r="E7781" t="inlineStr">
        <is>
          <t>TORSBY</t>
        </is>
      </c>
      <c r="F7781" t="inlineStr">
        <is>
          <t>Bergvik skog väst AB</t>
        </is>
      </c>
      <c r="G7781" t="n">
        <v>41.4</v>
      </c>
      <c r="H7781" t="n">
        <v>0</v>
      </c>
      <c r="I7781" t="n">
        <v>0</v>
      </c>
      <c r="J7781" t="n">
        <v>0</v>
      </c>
      <c r="K7781" t="n">
        <v>0</v>
      </c>
      <c r="L7781" t="n">
        <v>0</v>
      </c>
      <c r="M7781" t="n">
        <v>0</v>
      </c>
      <c r="N7781" t="n">
        <v>0</v>
      </c>
      <c r="O7781" t="n">
        <v>0</v>
      </c>
      <c r="P7781" t="n">
        <v>0</v>
      </c>
      <c r="Q7781" t="n">
        <v>0</v>
      </c>
      <c r="R7781" s="2" t="inlineStr"/>
    </row>
    <row r="7782" ht="15" customHeight="1">
      <c r="A7782" t="inlineStr">
        <is>
          <t>A 42624-2022</t>
        </is>
      </c>
      <c r="B7782" s="1" t="n">
        <v>44831</v>
      </c>
      <c r="C7782" s="1" t="n">
        <v>45810</v>
      </c>
      <c r="D7782" t="inlineStr">
        <is>
          <t>VÄRMLANDS LÄN</t>
        </is>
      </c>
      <c r="E7782" t="inlineStr">
        <is>
          <t>SUNNE</t>
        </is>
      </c>
      <c r="G7782" t="n">
        <v>1.9</v>
      </c>
      <c r="H7782" t="n">
        <v>0</v>
      </c>
      <c r="I7782" t="n">
        <v>0</v>
      </c>
      <c r="J7782" t="n">
        <v>0</v>
      </c>
      <c r="K7782" t="n">
        <v>0</v>
      </c>
      <c r="L7782" t="n">
        <v>0</v>
      </c>
      <c r="M7782" t="n">
        <v>0</v>
      </c>
      <c r="N7782" t="n">
        <v>0</v>
      </c>
      <c r="O7782" t="n">
        <v>0</v>
      </c>
      <c r="P7782" t="n">
        <v>0</v>
      </c>
      <c r="Q7782" t="n">
        <v>0</v>
      </c>
      <c r="R7782" s="2" t="inlineStr"/>
    </row>
    <row r="7783" ht="15" customHeight="1">
      <c r="A7783" t="inlineStr">
        <is>
          <t>A 42557-2022</t>
        </is>
      </c>
      <c r="B7783" s="1" t="n">
        <v>44831</v>
      </c>
      <c r="C7783" s="1" t="n">
        <v>45810</v>
      </c>
      <c r="D7783" t="inlineStr">
        <is>
          <t>VÄRMLANDS LÄN</t>
        </is>
      </c>
      <c r="E7783" t="inlineStr">
        <is>
          <t>GRUMS</t>
        </is>
      </c>
      <c r="G7783" t="n">
        <v>13.7</v>
      </c>
      <c r="H7783" t="n">
        <v>0</v>
      </c>
      <c r="I7783" t="n">
        <v>0</v>
      </c>
      <c r="J7783" t="n">
        <v>0</v>
      </c>
      <c r="K7783" t="n">
        <v>0</v>
      </c>
      <c r="L7783" t="n">
        <v>0</v>
      </c>
      <c r="M7783" t="n">
        <v>0</v>
      </c>
      <c r="N7783" t="n">
        <v>0</v>
      </c>
      <c r="O7783" t="n">
        <v>0</v>
      </c>
      <c r="P7783" t="n">
        <v>0</v>
      </c>
      <c r="Q7783" t="n">
        <v>0</v>
      </c>
      <c r="R7783" s="2" t="inlineStr"/>
    </row>
    <row r="7784" ht="15" customHeight="1">
      <c r="A7784" t="inlineStr">
        <is>
          <t>A 42739-2022</t>
        </is>
      </c>
      <c r="B7784" s="1" t="n">
        <v>44832</v>
      </c>
      <c r="C7784" s="1" t="n">
        <v>45810</v>
      </c>
      <c r="D7784" t="inlineStr">
        <is>
          <t>VÄRMLANDS LÄN</t>
        </is>
      </c>
      <c r="E7784" t="inlineStr">
        <is>
          <t>HAGFORS</t>
        </is>
      </c>
      <c r="F7784" t="inlineStr">
        <is>
          <t>Bergvik skog väst AB</t>
        </is>
      </c>
      <c r="G7784" t="n">
        <v>0.6</v>
      </c>
      <c r="H7784" t="n">
        <v>0</v>
      </c>
      <c r="I7784" t="n">
        <v>0</v>
      </c>
      <c r="J7784" t="n">
        <v>0</v>
      </c>
      <c r="K7784" t="n">
        <v>0</v>
      </c>
      <c r="L7784" t="n">
        <v>0</v>
      </c>
      <c r="M7784" t="n">
        <v>0</v>
      </c>
      <c r="N7784" t="n">
        <v>0</v>
      </c>
      <c r="O7784" t="n">
        <v>0</v>
      </c>
      <c r="P7784" t="n">
        <v>0</v>
      </c>
      <c r="Q7784" t="n">
        <v>0</v>
      </c>
      <c r="R7784" s="2" t="inlineStr"/>
    </row>
    <row r="7785" ht="15" customHeight="1">
      <c r="A7785" t="inlineStr">
        <is>
          <t>A 42784-2022</t>
        </is>
      </c>
      <c r="B7785" s="1" t="n">
        <v>44832</v>
      </c>
      <c r="C7785" s="1" t="n">
        <v>45810</v>
      </c>
      <c r="D7785" t="inlineStr">
        <is>
          <t>VÄRMLANDS LÄN</t>
        </is>
      </c>
      <c r="E7785" t="inlineStr">
        <is>
          <t>TORSBY</t>
        </is>
      </c>
      <c r="F7785" t="inlineStr">
        <is>
          <t>Bergvik skog väst AB</t>
        </is>
      </c>
      <c r="G7785" t="n">
        <v>16</v>
      </c>
      <c r="H7785" t="n">
        <v>0</v>
      </c>
      <c r="I7785" t="n">
        <v>0</v>
      </c>
      <c r="J7785" t="n">
        <v>0</v>
      </c>
      <c r="K7785" t="n">
        <v>0</v>
      </c>
      <c r="L7785" t="n">
        <v>0</v>
      </c>
      <c r="M7785" t="n">
        <v>0</v>
      </c>
      <c r="N7785" t="n">
        <v>0</v>
      </c>
      <c r="O7785" t="n">
        <v>0</v>
      </c>
      <c r="P7785" t="n">
        <v>0</v>
      </c>
      <c r="Q7785" t="n">
        <v>0</v>
      </c>
      <c r="R7785" s="2" t="inlineStr"/>
    </row>
    <row r="7786" ht="15" customHeight="1">
      <c r="A7786" t="inlineStr">
        <is>
          <t>A 42777-2022</t>
        </is>
      </c>
      <c r="B7786" s="1" t="n">
        <v>44832</v>
      </c>
      <c r="C7786" s="1" t="n">
        <v>45810</v>
      </c>
      <c r="D7786" t="inlineStr">
        <is>
          <t>VÄRMLANDS LÄN</t>
        </is>
      </c>
      <c r="E7786" t="inlineStr">
        <is>
          <t>HAGFORS</t>
        </is>
      </c>
      <c r="F7786" t="inlineStr">
        <is>
          <t>Bergvik skog väst AB</t>
        </is>
      </c>
      <c r="G7786" t="n">
        <v>5.8</v>
      </c>
      <c r="H7786" t="n">
        <v>0</v>
      </c>
      <c r="I7786" t="n">
        <v>0</v>
      </c>
      <c r="J7786" t="n">
        <v>0</v>
      </c>
      <c r="K7786" t="n">
        <v>0</v>
      </c>
      <c r="L7786" t="n">
        <v>0</v>
      </c>
      <c r="M7786" t="n">
        <v>0</v>
      </c>
      <c r="N7786" t="n">
        <v>0</v>
      </c>
      <c r="O7786" t="n">
        <v>0</v>
      </c>
      <c r="P7786" t="n">
        <v>0</v>
      </c>
      <c r="Q7786" t="n">
        <v>0</v>
      </c>
      <c r="R7786" s="2" t="inlineStr"/>
    </row>
    <row r="7787" ht="15" customHeight="1">
      <c r="A7787" t="inlineStr">
        <is>
          <t>A 42701-2022</t>
        </is>
      </c>
      <c r="B7787" s="1" t="n">
        <v>44832</v>
      </c>
      <c r="C7787" s="1" t="n">
        <v>45810</v>
      </c>
      <c r="D7787" t="inlineStr">
        <is>
          <t>VÄRMLANDS LÄN</t>
        </is>
      </c>
      <c r="E7787" t="inlineStr">
        <is>
          <t>TORSBY</t>
        </is>
      </c>
      <c r="G7787" t="n">
        <v>2.4</v>
      </c>
      <c r="H7787" t="n">
        <v>0</v>
      </c>
      <c r="I7787" t="n">
        <v>0</v>
      </c>
      <c r="J7787" t="n">
        <v>0</v>
      </c>
      <c r="K7787" t="n">
        <v>0</v>
      </c>
      <c r="L7787" t="n">
        <v>0</v>
      </c>
      <c r="M7787" t="n">
        <v>0</v>
      </c>
      <c r="N7787" t="n">
        <v>0</v>
      </c>
      <c r="O7787" t="n">
        <v>0</v>
      </c>
      <c r="P7787" t="n">
        <v>0</v>
      </c>
      <c r="Q7787" t="n">
        <v>0</v>
      </c>
      <c r="R7787" s="2" t="inlineStr"/>
    </row>
    <row r="7788" ht="15" customHeight="1">
      <c r="A7788" t="inlineStr">
        <is>
          <t>A 42742-2022</t>
        </is>
      </c>
      <c r="B7788" s="1" t="n">
        <v>44832</v>
      </c>
      <c r="C7788" s="1" t="n">
        <v>45810</v>
      </c>
      <c r="D7788" t="inlineStr">
        <is>
          <t>VÄRMLANDS LÄN</t>
        </is>
      </c>
      <c r="E7788" t="inlineStr">
        <is>
          <t>HAGFORS</t>
        </is>
      </c>
      <c r="F7788" t="inlineStr">
        <is>
          <t>Bergvik skog väst AB</t>
        </is>
      </c>
      <c r="G7788" t="n">
        <v>39.3</v>
      </c>
      <c r="H7788" t="n">
        <v>0</v>
      </c>
      <c r="I7788" t="n">
        <v>0</v>
      </c>
      <c r="J7788" t="n">
        <v>0</v>
      </c>
      <c r="K7788" t="n">
        <v>0</v>
      </c>
      <c r="L7788" t="n">
        <v>0</v>
      </c>
      <c r="M7788" t="n">
        <v>0</v>
      </c>
      <c r="N7788" t="n">
        <v>0</v>
      </c>
      <c r="O7788" t="n">
        <v>0</v>
      </c>
      <c r="P7788" t="n">
        <v>0</v>
      </c>
      <c r="Q7788" t="n">
        <v>0</v>
      </c>
      <c r="R7788" s="2" t="inlineStr"/>
    </row>
    <row r="7789" ht="15" customHeight="1">
      <c r="A7789" t="inlineStr">
        <is>
          <t>A 42759-2022</t>
        </is>
      </c>
      <c r="B7789" s="1" t="n">
        <v>44832</v>
      </c>
      <c r="C7789" s="1" t="n">
        <v>45810</v>
      </c>
      <c r="D7789" t="inlineStr">
        <is>
          <t>VÄRMLANDS LÄN</t>
        </is>
      </c>
      <c r="E7789" t="inlineStr">
        <is>
          <t>FILIPSTAD</t>
        </is>
      </c>
      <c r="F7789" t="inlineStr">
        <is>
          <t>Bergvik skog väst AB</t>
        </is>
      </c>
      <c r="G7789" t="n">
        <v>4.9</v>
      </c>
      <c r="H7789" t="n">
        <v>0</v>
      </c>
      <c r="I7789" t="n">
        <v>0</v>
      </c>
      <c r="J7789" t="n">
        <v>0</v>
      </c>
      <c r="K7789" t="n">
        <v>0</v>
      </c>
      <c r="L7789" t="n">
        <v>0</v>
      </c>
      <c r="M7789" t="n">
        <v>0</v>
      </c>
      <c r="N7789" t="n">
        <v>0</v>
      </c>
      <c r="O7789" t="n">
        <v>0</v>
      </c>
      <c r="P7789" t="n">
        <v>0</v>
      </c>
      <c r="Q7789" t="n">
        <v>0</v>
      </c>
      <c r="R7789" s="2" t="inlineStr"/>
    </row>
    <row r="7790" ht="15" customHeight="1">
      <c r="A7790" t="inlineStr">
        <is>
          <t>A 42768-2022</t>
        </is>
      </c>
      <c r="B7790" s="1" t="n">
        <v>44832</v>
      </c>
      <c r="C7790" s="1" t="n">
        <v>45810</v>
      </c>
      <c r="D7790" t="inlineStr">
        <is>
          <t>VÄRMLANDS LÄN</t>
        </is>
      </c>
      <c r="E7790" t="inlineStr">
        <is>
          <t>ÅRJÄNG</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42800-2022</t>
        </is>
      </c>
      <c r="B7791" s="1" t="n">
        <v>44832</v>
      </c>
      <c r="C7791" s="1" t="n">
        <v>45810</v>
      </c>
      <c r="D7791" t="inlineStr">
        <is>
          <t>VÄRMLANDS LÄN</t>
        </is>
      </c>
      <c r="E7791" t="inlineStr">
        <is>
          <t>ÅRJÄNG</t>
        </is>
      </c>
      <c r="G7791" t="n">
        <v>5.6</v>
      </c>
      <c r="H7791" t="n">
        <v>0</v>
      </c>
      <c r="I7791" t="n">
        <v>0</v>
      </c>
      <c r="J7791" t="n">
        <v>0</v>
      </c>
      <c r="K7791" t="n">
        <v>0</v>
      </c>
      <c r="L7791" t="n">
        <v>0</v>
      </c>
      <c r="M7791" t="n">
        <v>0</v>
      </c>
      <c r="N7791" t="n">
        <v>0</v>
      </c>
      <c r="O7791" t="n">
        <v>0</v>
      </c>
      <c r="P7791" t="n">
        <v>0</v>
      </c>
      <c r="Q7791" t="n">
        <v>0</v>
      </c>
      <c r="R7791" s="2" t="inlineStr"/>
    </row>
    <row r="7792" ht="15" customHeight="1">
      <c r="A7792" t="inlineStr">
        <is>
          <t>A 42986-2022</t>
        </is>
      </c>
      <c r="B7792" s="1" t="n">
        <v>44833</v>
      </c>
      <c r="C7792" s="1" t="n">
        <v>45810</v>
      </c>
      <c r="D7792" t="inlineStr">
        <is>
          <t>VÄRMLANDS LÄN</t>
        </is>
      </c>
      <c r="E7792" t="inlineStr">
        <is>
          <t>ARVIKA</t>
        </is>
      </c>
      <c r="G7792" t="n">
        <v>2.8</v>
      </c>
      <c r="H7792" t="n">
        <v>0</v>
      </c>
      <c r="I7792" t="n">
        <v>0</v>
      </c>
      <c r="J7792" t="n">
        <v>0</v>
      </c>
      <c r="K7792" t="n">
        <v>0</v>
      </c>
      <c r="L7792" t="n">
        <v>0</v>
      </c>
      <c r="M7792" t="n">
        <v>0</v>
      </c>
      <c r="N7792" t="n">
        <v>0</v>
      </c>
      <c r="O7792" t="n">
        <v>0</v>
      </c>
      <c r="P7792" t="n">
        <v>0</v>
      </c>
      <c r="Q7792" t="n">
        <v>0</v>
      </c>
      <c r="R7792" s="2" t="inlineStr"/>
    </row>
    <row r="7793" ht="15" customHeight="1">
      <c r="A7793" t="inlineStr">
        <is>
          <t>A 42952-2022</t>
        </is>
      </c>
      <c r="B7793" s="1" t="n">
        <v>44833</v>
      </c>
      <c r="C7793" s="1" t="n">
        <v>45810</v>
      </c>
      <c r="D7793" t="inlineStr">
        <is>
          <t>VÄRMLANDS LÄN</t>
        </is>
      </c>
      <c r="E7793" t="inlineStr">
        <is>
          <t>KIL</t>
        </is>
      </c>
      <c r="G7793" t="n">
        <v>8.5</v>
      </c>
      <c r="H7793" t="n">
        <v>0</v>
      </c>
      <c r="I7793" t="n">
        <v>0</v>
      </c>
      <c r="J7793" t="n">
        <v>0</v>
      </c>
      <c r="K7793" t="n">
        <v>0</v>
      </c>
      <c r="L7793" t="n">
        <v>0</v>
      </c>
      <c r="M7793" t="n">
        <v>0</v>
      </c>
      <c r="N7793" t="n">
        <v>0</v>
      </c>
      <c r="O7793" t="n">
        <v>0</v>
      </c>
      <c r="P7793" t="n">
        <v>0</v>
      </c>
      <c r="Q7793" t="n">
        <v>0</v>
      </c>
      <c r="R7793" s="2" t="inlineStr"/>
    </row>
    <row r="7794" ht="15" customHeight="1">
      <c r="A7794" t="inlineStr">
        <is>
          <t>A 42958-2022</t>
        </is>
      </c>
      <c r="B7794" s="1" t="n">
        <v>44833</v>
      </c>
      <c r="C7794" s="1" t="n">
        <v>45810</v>
      </c>
      <c r="D7794" t="inlineStr">
        <is>
          <t>VÄRMLANDS LÄN</t>
        </is>
      </c>
      <c r="E7794" t="inlineStr">
        <is>
          <t>FILIPSTAD</t>
        </is>
      </c>
      <c r="F7794" t="inlineStr">
        <is>
          <t>Bergvik skog väst AB</t>
        </is>
      </c>
      <c r="G7794" t="n">
        <v>6.7</v>
      </c>
      <c r="H7794" t="n">
        <v>0</v>
      </c>
      <c r="I7794" t="n">
        <v>0</v>
      </c>
      <c r="J7794" t="n">
        <v>0</v>
      </c>
      <c r="K7794" t="n">
        <v>0</v>
      </c>
      <c r="L7794" t="n">
        <v>0</v>
      </c>
      <c r="M7794" t="n">
        <v>0</v>
      </c>
      <c r="N7794" t="n">
        <v>0</v>
      </c>
      <c r="O7794" t="n">
        <v>0</v>
      </c>
      <c r="P7794" t="n">
        <v>0</v>
      </c>
      <c r="Q7794" t="n">
        <v>0</v>
      </c>
      <c r="R7794" s="2" t="inlineStr"/>
    </row>
    <row r="7795" ht="15" customHeight="1">
      <c r="A7795" t="inlineStr">
        <is>
          <t>A 43022-2022</t>
        </is>
      </c>
      <c r="B7795" s="1" t="n">
        <v>44833</v>
      </c>
      <c r="C7795" s="1" t="n">
        <v>45810</v>
      </c>
      <c r="D7795" t="inlineStr">
        <is>
          <t>VÄRMLANDS LÄN</t>
        </is>
      </c>
      <c r="E7795" t="inlineStr">
        <is>
          <t>TORSBY</t>
        </is>
      </c>
      <c r="G7795" t="n">
        <v>0.5</v>
      </c>
      <c r="H7795" t="n">
        <v>0</v>
      </c>
      <c r="I7795" t="n">
        <v>0</v>
      </c>
      <c r="J7795" t="n">
        <v>0</v>
      </c>
      <c r="K7795" t="n">
        <v>0</v>
      </c>
      <c r="L7795" t="n">
        <v>0</v>
      </c>
      <c r="M7795" t="n">
        <v>0</v>
      </c>
      <c r="N7795" t="n">
        <v>0</v>
      </c>
      <c r="O7795" t="n">
        <v>0</v>
      </c>
      <c r="P7795" t="n">
        <v>0</v>
      </c>
      <c r="Q7795" t="n">
        <v>0</v>
      </c>
      <c r="R7795" s="2" t="inlineStr"/>
    </row>
    <row r="7796" ht="15" customHeight="1">
      <c r="A7796" t="inlineStr">
        <is>
          <t>A 43083-2022</t>
        </is>
      </c>
      <c r="B7796" s="1" t="n">
        <v>44833</v>
      </c>
      <c r="C7796" s="1" t="n">
        <v>45810</v>
      </c>
      <c r="D7796" t="inlineStr">
        <is>
          <t>VÄRMLANDS LÄN</t>
        </is>
      </c>
      <c r="E7796" t="inlineStr">
        <is>
          <t>SUNNE</t>
        </is>
      </c>
      <c r="G7796" t="n">
        <v>3.1</v>
      </c>
      <c r="H7796" t="n">
        <v>0</v>
      </c>
      <c r="I7796" t="n">
        <v>0</v>
      </c>
      <c r="J7796" t="n">
        <v>0</v>
      </c>
      <c r="K7796" t="n">
        <v>0</v>
      </c>
      <c r="L7796" t="n">
        <v>0</v>
      </c>
      <c r="M7796" t="n">
        <v>0</v>
      </c>
      <c r="N7796" t="n">
        <v>0</v>
      </c>
      <c r="O7796" t="n">
        <v>0</v>
      </c>
      <c r="P7796" t="n">
        <v>0</v>
      </c>
      <c r="Q7796" t="n">
        <v>0</v>
      </c>
      <c r="R7796" s="2" t="inlineStr"/>
    </row>
    <row r="7797" ht="15" customHeight="1">
      <c r="A7797" t="inlineStr">
        <is>
          <t>A 43092-2022</t>
        </is>
      </c>
      <c r="B7797" s="1" t="n">
        <v>44833</v>
      </c>
      <c r="C7797" s="1" t="n">
        <v>45810</v>
      </c>
      <c r="D7797" t="inlineStr">
        <is>
          <t>VÄRMLANDS LÄN</t>
        </is>
      </c>
      <c r="E7797" t="inlineStr">
        <is>
          <t>SUNNE</t>
        </is>
      </c>
      <c r="G7797" t="n">
        <v>0.7</v>
      </c>
      <c r="H7797" t="n">
        <v>0</v>
      </c>
      <c r="I7797" t="n">
        <v>0</v>
      </c>
      <c r="J7797" t="n">
        <v>0</v>
      </c>
      <c r="K7797" t="n">
        <v>0</v>
      </c>
      <c r="L7797" t="n">
        <v>0</v>
      </c>
      <c r="M7797" t="n">
        <v>0</v>
      </c>
      <c r="N7797" t="n">
        <v>0</v>
      </c>
      <c r="O7797" t="n">
        <v>0</v>
      </c>
      <c r="P7797" t="n">
        <v>0</v>
      </c>
      <c r="Q7797" t="n">
        <v>0</v>
      </c>
      <c r="R7797" s="2" t="inlineStr"/>
    </row>
    <row r="7798" ht="15" customHeight="1">
      <c r="A7798" t="inlineStr">
        <is>
          <t>A 43089-2022</t>
        </is>
      </c>
      <c r="B7798" s="1" t="n">
        <v>44833</v>
      </c>
      <c r="C7798" s="1" t="n">
        <v>45810</v>
      </c>
      <c r="D7798" t="inlineStr">
        <is>
          <t>VÄRMLANDS LÄN</t>
        </is>
      </c>
      <c r="E7798" t="inlineStr">
        <is>
          <t>SUNNE</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43111-2022</t>
        </is>
      </c>
      <c r="B7799" s="1" t="n">
        <v>44833</v>
      </c>
      <c r="C7799" s="1" t="n">
        <v>45810</v>
      </c>
      <c r="D7799" t="inlineStr">
        <is>
          <t>VÄRMLANDS LÄN</t>
        </is>
      </c>
      <c r="E7799" t="inlineStr">
        <is>
          <t>TORSBY</t>
        </is>
      </c>
      <c r="G7799" t="n">
        <v>0.8</v>
      </c>
      <c r="H7799" t="n">
        <v>0</v>
      </c>
      <c r="I7799" t="n">
        <v>0</v>
      </c>
      <c r="J7799" t="n">
        <v>0</v>
      </c>
      <c r="K7799" t="n">
        <v>0</v>
      </c>
      <c r="L7799" t="n">
        <v>0</v>
      </c>
      <c r="M7799" t="n">
        <v>0</v>
      </c>
      <c r="N7799" t="n">
        <v>0</v>
      </c>
      <c r="O7799" t="n">
        <v>0</v>
      </c>
      <c r="P7799" t="n">
        <v>0</v>
      </c>
      <c r="Q7799" t="n">
        <v>0</v>
      </c>
      <c r="R7799" s="2" t="inlineStr"/>
    </row>
    <row r="7800" ht="15" customHeight="1">
      <c r="A7800" t="inlineStr">
        <is>
          <t>A 43213-2022</t>
        </is>
      </c>
      <c r="B7800" s="1" t="n">
        <v>44834</v>
      </c>
      <c r="C7800" s="1" t="n">
        <v>45810</v>
      </c>
      <c r="D7800" t="inlineStr">
        <is>
          <t>VÄRMLANDS LÄN</t>
        </is>
      </c>
      <c r="E7800" t="inlineStr">
        <is>
          <t>ARVIKA</t>
        </is>
      </c>
      <c r="F7800" t="inlineStr">
        <is>
          <t>Bergvik skog väst AB</t>
        </is>
      </c>
      <c r="G7800" t="n">
        <v>14</v>
      </c>
      <c r="H7800" t="n">
        <v>0</v>
      </c>
      <c r="I7800" t="n">
        <v>0</v>
      </c>
      <c r="J7800" t="n">
        <v>0</v>
      </c>
      <c r="K7800" t="n">
        <v>0</v>
      </c>
      <c r="L7800" t="n">
        <v>0</v>
      </c>
      <c r="M7800" t="n">
        <v>0</v>
      </c>
      <c r="N7800" t="n">
        <v>0</v>
      </c>
      <c r="O7800" t="n">
        <v>0</v>
      </c>
      <c r="P7800" t="n">
        <v>0</v>
      </c>
      <c r="Q7800" t="n">
        <v>0</v>
      </c>
      <c r="R7800" s="2" t="inlineStr"/>
    </row>
    <row r="7801" ht="15" customHeight="1">
      <c r="A7801" t="inlineStr">
        <is>
          <t>A 43305-2022</t>
        </is>
      </c>
      <c r="B7801" s="1" t="n">
        <v>44834</v>
      </c>
      <c r="C7801" s="1" t="n">
        <v>45810</v>
      </c>
      <c r="D7801" t="inlineStr">
        <is>
          <t>VÄRMLANDS LÄN</t>
        </is>
      </c>
      <c r="E7801" t="inlineStr">
        <is>
          <t>SUNNE</t>
        </is>
      </c>
      <c r="G7801" t="n">
        <v>1.8</v>
      </c>
      <c r="H7801" t="n">
        <v>0</v>
      </c>
      <c r="I7801" t="n">
        <v>0</v>
      </c>
      <c r="J7801" t="n">
        <v>0</v>
      </c>
      <c r="K7801" t="n">
        <v>0</v>
      </c>
      <c r="L7801" t="n">
        <v>0</v>
      </c>
      <c r="M7801" t="n">
        <v>0</v>
      </c>
      <c r="N7801" t="n">
        <v>0</v>
      </c>
      <c r="O7801" t="n">
        <v>0</v>
      </c>
      <c r="P7801" t="n">
        <v>0</v>
      </c>
      <c r="Q7801" t="n">
        <v>0</v>
      </c>
      <c r="R7801" s="2" t="inlineStr"/>
    </row>
    <row r="7802" ht="15" customHeight="1">
      <c r="A7802" t="inlineStr">
        <is>
          <t>A 43313-2022</t>
        </is>
      </c>
      <c r="B7802" s="1" t="n">
        <v>44834</v>
      </c>
      <c r="C7802" s="1" t="n">
        <v>45810</v>
      </c>
      <c r="D7802" t="inlineStr">
        <is>
          <t>VÄRMLANDS LÄN</t>
        </is>
      </c>
      <c r="E7802" t="inlineStr">
        <is>
          <t>FILIPSTAD</t>
        </is>
      </c>
      <c r="F7802" t="inlineStr">
        <is>
          <t>Bergvik skog väst AB</t>
        </is>
      </c>
      <c r="G7802" t="n">
        <v>14.7</v>
      </c>
      <c r="H7802" t="n">
        <v>0</v>
      </c>
      <c r="I7802" t="n">
        <v>0</v>
      </c>
      <c r="J7802" t="n">
        <v>0</v>
      </c>
      <c r="K7802" t="n">
        <v>0</v>
      </c>
      <c r="L7802" t="n">
        <v>0</v>
      </c>
      <c r="M7802" t="n">
        <v>0</v>
      </c>
      <c r="N7802" t="n">
        <v>0</v>
      </c>
      <c r="O7802" t="n">
        <v>0</v>
      </c>
      <c r="P7802" t="n">
        <v>0</v>
      </c>
      <c r="Q7802" t="n">
        <v>0</v>
      </c>
      <c r="R7802" s="2" t="inlineStr"/>
    </row>
    <row r="7803" ht="15" customHeight="1">
      <c r="A7803" t="inlineStr">
        <is>
          <t>A 43346-2022</t>
        </is>
      </c>
      <c r="B7803" s="1" t="n">
        <v>44834</v>
      </c>
      <c r="C7803" s="1" t="n">
        <v>45810</v>
      </c>
      <c r="D7803" t="inlineStr">
        <is>
          <t>VÄRMLANDS LÄN</t>
        </is>
      </c>
      <c r="E7803" t="inlineStr">
        <is>
          <t>HAGFORS</t>
        </is>
      </c>
      <c r="F7803" t="inlineStr">
        <is>
          <t>Bergvik skog väst AB</t>
        </is>
      </c>
      <c r="G7803" t="n">
        <v>4.9</v>
      </c>
      <c r="H7803" t="n">
        <v>0</v>
      </c>
      <c r="I7803" t="n">
        <v>0</v>
      </c>
      <c r="J7803" t="n">
        <v>0</v>
      </c>
      <c r="K7803" t="n">
        <v>0</v>
      </c>
      <c r="L7803" t="n">
        <v>0</v>
      </c>
      <c r="M7803" t="n">
        <v>0</v>
      </c>
      <c r="N7803" t="n">
        <v>0</v>
      </c>
      <c r="O7803" t="n">
        <v>0</v>
      </c>
      <c r="P7803" t="n">
        <v>0</v>
      </c>
      <c r="Q7803" t="n">
        <v>0</v>
      </c>
      <c r="R7803" s="2" t="inlineStr"/>
    </row>
    <row r="7804" ht="15" customHeight="1">
      <c r="A7804" t="inlineStr">
        <is>
          <t>A 43248-2022</t>
        </is>
      </c>
      <c r="B7804" s="1" t="n">
        <v>44834</v>
      </c>
      <c r="C7804" s="1" t="n">
        <v>45810</v>
      </c>
      <c r="D7804" t="inlineStr">
        <is>
          <t>VÄRMLANDS LÄN</t>
        </is>
      </c>
      <c r="E7804" t="inlineStr">
        <is>
          <t>TORSBY</t>
        </is>
      </c>
      <c r="G7804" t="n">
        <v>2.9</v>
      </c>
      <c r="H7804" t="n">
        <v>0</v>
      </c>
      <c r="I7804" t="n">
        <v>0</v>
      </c>
      <c r="J7804" t="n">
        <v>0</v>
      </c>
      <c r="K7804" t="n">
        <v>0</v>
      </c>
      <c r="L7804" t="n">
        <v>0</v>
      </c>
      <c r="M7804" t="n">
        <v>0</v>
      </c>
      <c r="N7804" t="n">
        <v>0</v>
      </c>
      <c r="O7804" t="n">
        <v>0</v>
      </c>
      <c r="P7804" t="n">
        <v>0</v>
      </c>
      <c r="Q7804" t="n">
        <v>0</v>
      </c>
      <c r="R7804" s="2" t="inlineStr"/>
    </row>
    <row r="7805" ht="15" customHeight="1">
      <c r="A7805" t="inlineStr">
        <is>
          <t>A 43309-2022</t>
        </is>
      </c>
      <c r="B7805" s="1" t="n">
        <v>44834</v>
      </c>
      <c r="C7805" s="1" t="n">
        <v>45810</v>
      </c>
      <c r="D7805" t="inlineStr">
        <is>
          <t>VÄRMLANDS LÄN</t>
        </is>
      </c>
      <c r="E7805" t="inlineStr">
        <is>
          <t>HAGFORS</t>
        </is>
      </c>
      <c r="F7805" t="inlineStr">
        <is>
          <t>Kyrkan</t>
        </is>
      </c>
      <c r="G7805" t="n">
        <v>5.2</v>
      </c>
      <c r="H7805" t="n">
        <v>0</v>
      </c>
      <c r="I7805" t="n">
        <v>0</v>
      </c>
      <c r="J7805" t="n">
        <v>0</v>
      </c>
      <c r="K7805" t="n">
        <v>0</v>
      </c>
      <c r="L7805" t="n">
        <v>0</v>
      </c>
      <c r="M7805" t="n">
        <v>0</v>
      </c>
      <c r="N7805" t="n">
        <v>0</v>
      </c>
      <c r="O7805" t="n">
        <v>0</v>
      </c>
      <c r="P7805" t="n">
        <v>0</v>
      </c>
      <c r="Q7805" t="n">
        <v>0</v>
      </c>
      <c r="R7805" s="2" t="inlineStr"/>
    </row>
    <row r="7806" ht="15" customHeight="1">
      <c r="A7806" t="inlineStr">
        <is>
          <t>A 43315-2022</t>
        </is>
      </c>
      <c r="B7806" s="1" t="n">
        <v>44834</v>
      </c>
      <c r="C7806" s="1" t="n">
        <v>45810</v>
      </c>
      <c r="D7806" t="inlineStr">
        <is>
          <t>VÄRMLANDS LÄN</t>
        </is>
      </c>
      <c r="E7806" t="inlineStr">
        <is>
          <t>EDA</t>
        </is>
      </c>
      <c r="F7806" t="inlineStr">
        <is>
          <t>Kommuner</t>
        </is>
      </c>
      <c r="G7806" t="n">
        <v>1.3</v>
      </c>
      <c r="H7806" t="n">
        <v>0</v>
      </c>
      <c r="I7806" t="n">
        <v>0</v>
      </c>
      <c r="J7806" t="n">
        <v>0</v>
      </c>
      <c r="K7806" t="n">
        <v>0</v>
      </c>
      <c r="L7806" t="n">
        <v>0</v>
      </c>
      <c r="M7806" t="n">
        <v>0</v>
      </c>
      <c r="N7806" t="n">
        <v>0</v>
      </c>
      <c r="O7806" t="n">
        <v>0</v>
      </c>
      <c r="P7806" t="n">
        <v>0</v>
      </c>
      <c r="Q7806" t="n">
        <v>0</v>
      </c>
      <c r="R7806" s="2" t="inlineStr"/>
    </row>
    <row r="7807" ht="15" customHeight="1">
      <c r="A7807" t="inlineStr">
        <is>
          <t>A 43224-2022</t>
        </is>
      </c>
      <c r="B7807" s="1" t="n">
        <v>44834</v>
      </c>
      <c r="C7807" s="1" t="n">
        <v>45810</v>
      </c>
      <c r="D7807" t="inlineStr">
        <is>
          <t>VÄRMLANDS LÄN</t>
        </is>
      </c>
      <c r="E7807" t="inlineStr">
        <is>
          <t>STORFORS</t>
        </is>
      </c>
      <c r="F7807" t="inlineStr">
        <is>
          <t>Bergvik skog väst AB</t>
        </is>
      </c>
      <c r="G7807" t="n">
        <v>29.5</v>
      </c>
      <c r="H7807" t="n">
        <v>0</v>
      </c>
      <c r="I7807" t="n">
        <v>0</v>
      </c>
      <c r="J7807" t="n">
        <v>0</v>
      </c>
      <c r="K7807" t="n">
        <v>0</v>
      </c>
      <c r="L7807" t="n">
        <v>0</v>
      </c>
      <c r="M7807" t="n">
        <v>0</v>
      </c>
      <c r="N7807" t="n">
        <v>0</v>
      </c>
      <c r="O7807" t="n">
        <v>0</v>
      </c>
      <c r="P7807" t="n">
        <v>0</v>
      </c>
      <c r="Q7807" t="n">
        <v>0</v>
      </c>
      <c r="R7807" s="2" t="inlineStr"/>
    </row>
    <row r="7808" ht="15" customHeight="1">
      <c r="A7808" t="inlineStr">
        <is>
          <t>A 43302-2022</t>
        </is>
      </c>
      <c r="B7808" s="1" t="n">
        <v>44834</v>
      </c>
      <c r="C7808" s="1" t="n">
        <v>45810</v>
      </c>
      <c r="D7808" t="inlineStr">
        <is>
          <t>VÄRMLANDS LÄN</t>
        </is>
      </c>
      <c r="E7808" t="inlineStr">
        <is>
          <t>SUNNE</t>
        </is>
      </c>
      <c r="G7808" t="n">
        <v>1.2</v>
      </c>
      <c r="H7808" t="n">
        <v>0</v>
      </c>
      <c r="I7808" t="n">
        <v>0</v>
      </c>
      <c r="J7808" t="n">
        <v>0</v>
      </c>
      <c r="K7808" t="n">
        <v>0</v>
      </c>
      <c r="L7808" t="n">
        <v>0</v>
      </c>
      <c r="M7808" t="n">
        <v>0</v>
      </c>
      <c r="N7808" t="n">
        <v>0</v>
      </c>
      <c r="O7808" t="n">
        <v>0</v>
      </c>
      <c r="P7808" t="n">
        <v>0</v>
      </c>
      <c r="Q7808" t="n">
        <v>0</v>
      </c>
      <c r="R7808" s="2" t="inlineStr"/>
    </row>
    <row r="7809" ht="15" customHeight="1">
      <c r="A7809" t="inlineStr">
        <is>
          <t>A 43308-2022</t>
        </is>
      </c>
      <c r="B7809" s="1" t="n">
        <v>44834</v>
      </c>
      <c r="C7809" s="1" t="n">
        <v>45810</v>
      </c>
      <c r="D7809" t="inlineStr">
        <is>
          <t>VÄRMLANDS LÄN</t>
        </is>
      </c>
      <c r="E7809" t="inlineStr">
        <is>
          <t>SUNNE</t>
        </is>
      </c>
      <c r="G7809" t="n">
        <v>2.9</v>
      </c>
      <c r="H7809" t="n">
        <v>0</v>
      </c>
      <c r="I7809" t="n">
        <v>0</v>
      </c>
      <c r="J7809" t="n">
        <v>0</v>
      </c>
      <c r="K7809" t="n">
        <v>0</v>
      </c>
      <c r="L7809" t="n">
        <v>0</v>
      </c>
      <c r="M7809" t="n">
        <v>0</v>
      </c>
      <c r="N7809" t="n">
        <v>0</v>
      </c>
      <c r="O7809" t="n">
        <v>0</v>
      </c>
      <c r="P7809" t="n">
        <v>0</v>
      </c>
      <c r="Q7809" t="n">
        <v>0</v>
      </c>
      <c r="R7809" s="2" t="inlineStr"/>
    </row>
    <row r="7810" ht="15" customHeight="1">
      <c r="A7810" t="inlineStr">
        <is>
          <t>A 43289-2022</t>
        </is>
      </c>
      <c r="B7810" s="1" t="n">
        <v>44834</v>
      </c>
      <c r="C7810" s="1" t="n">
        <v>45810</v>
      </c>
      <c r="D7810" t="inlineStr">
        <is>
          <t>VÄRMLANDS LÄN</t>
        </is>
      </c>
      <c r="E7810" t="inlineStr">
        <is>
          <t>TORSBY</t>
        </is>
      </c>
      <c r="G7810" t="n">
        <v>11.2</v>
      </c>
      <c r="H7810" t="n">
        <v>0</v>
      </c>
      <c r="I7810" t="n">
        <v>0</v>
      </c>
      <c r="J7810" t="n">
        <v>0</v>
      </c>
      <c r="K7810" t="n">
        <v>0</v>
      </c>
      <c r="L7810" t="n">
        <v>0</v>
      </c>
      <c r="M7810" t="n">
        <v>0</v>
      </c>
      <c r="N7810" t="n">
        <v>0</v>
      </c>
      <c r="O7810" t="n">
        <v>0</v>
      </c>
      <c r="P7810" t="n">
        <v>0</v>
      </c>
      <c r="Q7810" t="n">
        <v>0</v>
      </c>
      <c r="R7810" s="2" t="inlineStr"/>
    </row>
    <row r="7811" ht="15" customHeight="1">
      <c r="A7811" t="inlineStr">
        <is>
          <t>A 43345-2022</t>
        </is>
      </c>
      <c r="B7811" s="1" t="n">
        <v>44834</v>
      </c>
      <c r="C7811" s="1" t="n">
        <v>45810</v>
      </c>
      <c r="D7811" t="inlineStr">
        <is>
          <t>VÄRMLANDS LÄN</t>
        </is>
      </c>
      <c r="E7811" t="inlineStr">
        <is>
          <t>KIL</t>
        </is>
      </c>
      <c r="G7811" t="n">
        <v>2.7</v>
      </c>
      <c r="H7811" t="n">
        <v>0</v>
      </c>
      <c r="I7811" t="n">
        <v>0</v>
      </c>
      <c r="J7811" t="n">
        <v>0</v>
      </c>
      <c r="K7811" t="n">
        <v>0</v>
      </c>
      <c r="L7811" t="n">
        <v>0</v>
      </c>
      <c r="M7811" t="n">
        <v>0</v>
      </c>
      <c r="N7811" t="n">
        <v>0</v>
      </c>
      <c r="O7811" t="n">
        <v>0</v>
      </c>
      <c r="P7811" t="n">
        <v>0</v>
      </c>
      <c r="Q7811" t="n">
        <v>0</v>
      </c>
      <c r="R7811" s="2" t="inlineStr"/>
    </row>
    <row r="7812" ht="15" customHeight="1">
      <c r="A7812" t="inlineStr">
        <is>
          <t>A 43375-2022</t>
        </is>
      </c>
      <c r="B7812" s="1" t="n">
        <v>44834</v>
      </c>
      <c r="C7812" s="1" t="n">
        <v>45810</v>
      </c>
      <c r="D7812" t="inlineStr">
        <is>
          <t>VÄRMLANDS LÄN</t>
        </is>
      </c>
      <c r="E7812" t="inlineStr">
        <is>
          <t>SUNNE</t>
        </is>
      </c>
      <c r="G7812" t="n">
        <v>1.2</v>
      </c>
      <c r="H7812" t="n">
        <v>0</v>
      </c>
      <c r="I7812" t="n">
        <v>0</v>
      </c>
      <c r="J7812" t="n">
        <v>0</v>
      </c>
      <c r="K7812" t="n">
        <v>0</v>
      </c>
      <c r="L7812" t="n">
        <v>0</v>
      </c>
      <c r="M7812" t="n">
        <v>0</v>
      </c>
      <c r="N7812" t="n">
        <v>0</v>
      </c>
      <c r="O7812" t="n">
        <v>0</v>
      </c>
      <c r="P7812" t="n">
        <v>0</v>
      </c>
      <c r="Q7812" t="n">
        <v>0</v>
      </c>
      <c r="R7812" s="2" t="inlineStr"/>
    </row>
    <row r="7813" ht="15" customHeight="1">
      <c r="A7813" t="inlineStr">
        <is>
          <t>A 43407-2022</t>
        </is>
      </c>
      <c r="B7813" s="1" t="n">
        <v>44834</v>
      </c>
      <c r="C7813" s="1" t="n">
        <v>45810</v>
      </c>
      <c r="D7813" t="inlineStr">
        <is>
          <t>VÄRMLANDS LÄN</t>
        </is>
      </c>
      <c r="E7813" t="inlineStr">
        <is>
          <t>STORFORS</t>
        </is>
      </c>
      <c r="F7813" t="inlineStr">
        <is>
          <t>Bergvik skog väst AB</t>
        </is>
      </c>
      <c r="G7813" t="n">
        <v>7.1</v>
      </c>
      <c r="H7813" t="n">
        <v>0</v>
      </c>
      <c r="I7813" t="n">
        <v>0</v>
      </c>
      <c r="J7813" t="n">
        <v>0</v>
      </c>
      <c r="K7813" t="n">
        <v>0</v>
      </c>
      <c r="L7813" t="n">
        <v>0</v>
      </c>
      <c r="M7813" t="n">
        <v>0</v>
      </c>
      <c r="N7813" t="n">
        <v>0</v>
      </c>
      <c r="O7813" t="n">
        <v>0</v>
      </c>
      <c r="P7813" t="n">
        <v>0</v>
      </c>
      <c r="Q7813" t="n">
        <v>0</v>
      </c>
      <c r="R7813" s="2" t="inlineStr"/>
    </row>
    <row r="7814" ht="15" customHeight="1">
      <c r="A7814" t="inlineStr">
        <is>
          <t>A 43338-2022</t>
        </is>
      </c>
      <c r="B7814" s="1" t="n">
        <v>44834</v>
      </c>
      <c r="C7814" s="1" t="n">
        <v>45810</v>
      </c>
      <c r="D7814" t="inlineStr">
        <is>
          <t>VÄRMLANDS LÄN</t>
        </is>
      </c>
      <c r="E7814" t="inlineStr">
        <is>
          <t>STORFORS</t>
        </is>
      </c>
      <c r="F7814" t="inlineStr">
        <is>
          <t>Bergvik skog väst AB</t>
        </is>
      </c>
      <c r="G7814" t="n">
        <v>8.9</v>
      </c>
      <c r="H7814" t="n">
        <v>0</v>
      </c>
      <c r="I7814" t="n">
        <v>0</v>
      </c>
      <c r="J7814" t="n">
        <v>0</v>
      </c>
      <c r="K7814" t="n">
        <v>0</v>
      </c>
      <c r="L7814" t="n">
        <v>0</v>
      </c>
      <c r="M7814" t="n">
        <v>0</v>
      </c>
      <c r="N7814" t="n">
        <v>0</v>
      </c>
      <c r="O7814" t="n">
        <v>0</v>
      </c>
      <c r="P7814" t="n">
        <v>0</v>
      </c>
      <c r="Q7814" t="n">
        <v>0</v>
      </c>
      <c r="R7814" s="2" t="inlineStr"/>
    </row>
    <row r="7815" ht="15" customHeight="1">
      <c r="A7815" t="inlineStr">
        <is>
          <t>A 43558-2022</t>
        </is>
      </c>
      <c r="B7815" s="1" t="n">
        <v>44834</v>
      </c>
      <c r="C7815" s="1" t="n">
        <v>45810</v>
      </c>
      <c r="D7815" t="inlineStr">
        <is>
          <t>VÄRMLANDS LÄN</t>
        </is>
      </c>
      <c r="E7815" t="inlineStr">
        <is>
          <t>KRISTINEHAMN</t>
        </is>
      </c>
      <c r="G7815" t="n">
        <v>12.1</v>
      </c>
      <c r="H7815" t="n">
        <v>0</v>
      </c>
      <c r="I7815" t="n">
        <v>0</v>
      </c>
      <c r="J7815" t="n">
        <v>0</v>
      </c>
      <c r="K7815" t="n">
        <v>0</v>
      </c>
      <c r="L7815" t="n">
        <v>0</v>
      </c>
      <c r="M7815" t="n">
        <v>0</v>
      </c>
      <c r="N7815" t="n">
        <v>0</v>
      </c>
      <c r="O7815" t="n">
        <v>0</v>
      </c>
      <c r="P7815" t="n">
        <v>0</v>
      </c>
      <c r="Q7815" t="n">
        <v>0</v>
      </c>
      <c r="R7815" s="2" t="inlineStr"/>
    </row>
    <row r="7816" ht="15" customHeight="1">
      <c r="A7816" t="inlineStr">
        <is>
          <t>A 43472-2022</t>
        </is>
      </c>
      <c r="B7816" s="1" t="n">
        <v>44836</v>
      </c>
      <c r="C7816" s="1" t="n">
        <v>45810</v>
      </c>
      <c r="D7816" t="inlineStr">
        <is>
          <t>VÄRMLANDS LÄN</t>
        </is>
      </c>
      <c r="E7816" t="inlineStr">
        <is>
          <t>FORSHAGA</t>
        </is>
      </c>
      <c r="G7816" t="n">
        <v>4.6</v>
      </c>
      <c r="H7816" t="n">
        <v>0</v>
      </c>
      <c r="I7816" t="n">
        <v>0</v>
      </c>
      <c r="J7816" t="n">
        <v>0</v>
      </c>
      <c r="K7816" t="n">
        <v>0</v>
      </c>
      <c r="L7816" t="n">
        <v>0</v>
      </c>
      <c r="M7816" t="n">
        <v>0</v>
      </c>
      <c r="N7816" t="n">
        <v>0</v>
      </c>
      <c r="O7816" t="n">
        <v>0</v>
      </c>
      <c r="P7816" t="n">
        <v>0</v>
      </c>
      <c r="Q7816" t="n">
        <v>0</v>
      </c>
      <c r="R7816" s="2" t="inlineStr"/>
    </row>
    <row r="7817" ht="15" customHeight="1">
      <c r="A7817" t="inlineStr">
        <is>
          <t>A 43475-2022</t>
        </is>
      </c>
      <c r="B7817" s="1" t="n">
        <v>44836</v>
      </c>
      <c r="C7817" s="1" t="n">
        <v>45810</v>
      </c>
      <c r="D7817" t="inlineStr">
        <is>
          <t>VÄRMLANDS LÄN</t>
        </is>
      </c>
      <c r="E7817" t="inlineStr">
        <is>
          <t>HAGFORS</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43465-2022</t>
        </is>
      </c>
      <c r="B7818" s="1" t="n">
        <v>44836</v>
      </c>
      <c r="C7818" s="1" t="n">
        <v>45810</v>
      </c>
      <c r="D7818" t="inlineStr">
        <is>
          <t>VÄRMLANDS LÄN</t>
        </is>
      </c>
      <c r="E7818" t="inlineStr">
        <is>
          <t>TORSBY</t>
        </is>
      </c>
      <c r="G7818" t="n">
        <v>7.2</v>
      </c>
      <c r="H7818" t="n">
        <v>0</v>
      </c>
      <c r="I7818" t="n">
        <v>0</v>
      </c>
      <c r="J7818" t="n">
        <v>0</v>
      </c>
      <c r="K7818" t="n">
        <v>0</v>
      </c>
      <c r="L7818" t="n">
        <v>0</v>
      </c>
      <c r="M7818" t="n">
        <v>0</v>
      </c>
      <c r="N7818" t="n">
        <v>0</v>
      </c>
      <c r="O7818" t="n">
        <v>0</v>
      </c>
      <c r="P7818" t="n">
        <v>0</v>
      </c>
      <c r="Q7818" t="n">
        <v>0</v>
      </c>
      <c r="R7818" s="2" t="inlineStr"/>
    </row>
    <row r="7819" ht="15" customHeight="1">
      <c r="A7819" t="inlineStr">
        <is>
          <t>A 43514-2022</t>
        </is>
      </c>
      <c r="B7819" s="1" t="n">
        <v>44837</v>
      </c>
      <c r="C7819" s="1" t="n">
        <v>45810</v>
      </c>
      <c r="D7819" t="inlineStr">
        <is>
          <t>VÄRMLANDS LÄN</t>
        </is>
      </c>
      <c r="E7819" t="inlineStr">
        <is>
          <t>FILIPSTAD</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43725-2022</t>
        </is>
      </c>
      <c r="B7820" s="1" t="n">
        <v>44837</v>
      </c>
      <c r="C7820" s="1" t="n">
        <v>45810</v>
      </c>
      <c r="D7820" t="inlineStr">
        <is>
          <t>VÄRMLANDS LÄN</t>
        </is>
      </c>
      <c r="E7820" t="inlineStr">
        <is>
          <t>EDA</t>
        </is>
      </c>
      <c r="G7820" t="n">
        <v>7.8</v>
      </c>
      <c r="H7820" t="n">
        <v>0</v>
      </c>
      <c r="I7820" t="n">
        <v>0</v>
      </c>
      <c r="J7820" t="n">
        <v>0</v>
      </c>
      <c r="K7820" t="n">
        <v>0</v>
      </c>
      <c r="L7820" t="n">
        <v>0</v>
      </c>
      <c r="M7820" t="n">
        <v>0</v>
      </c>
      <c r="N7820" t="n">
        <v>0</v>
      </c>
      <c r="O7820" t="n">
        <v>0</v>
      </c>
      <c r="P7820" t="n">
        <v>0</v>
      </c>
      <c r="Q7820" t="n">
        <v>0</v>
      </c>
      <c r="R7820" s="2" t="inlineStr"/>
    </row>
    <row r="7821" ht="15" customHeight="1">
      <c r="A7821" t="inlineStr">
        <is>
          <t>A 43586-2022</t>
        </is>
      </c>
      <c r="B7821" s="1" t="n">
        <v>44837</v>
      </c>
      <c r="C7821" s="1" t="n">
        <v>45810</v>
      </c>
      <c r="D7821" t="inlineStr">
        <is>
          <t>VÄRMLANDS LÄN</t>
        </is>
      </c>
      <c r="E7821" t="inlineStr">
        <is>
          <t>FILIPSTAD</t>
        </is>
      </c>
      <c r="F7821" t="inlineStr">
        <is>
          <t>Bergvik skog väst AB</t>
        </is>
      </c>
      <c r="G7821" t="n">
        <v>2.4</v>
      </c>
      <c r="H7821" t="n">
        <v>0</v>
      </c>
      <c r="I7821" t="n">
        <v>0</v>
      </c>
      <c r="J7821" t="n">
        <v>0</v>
      </c>
      <c r="K7821" t="n">
        <v>0</v>
      </c>
      <c r="L7821" t="n">
        <v>0</v>
      </c>
      <c r="M7821" t="n">
        <v>0</v>
      </c>
      <c r="N7821" t="n">
        <v>0</v>
      </c>
      <c r="O7821" t="n">
        <v>0</v>
      </c>
      <c r="P7821" t="n">
        <v>0</v>
      </c>
      <c r="Q7821" t="n">
        <v>0</v>
      </c>
      <c r="R7821" s="2" t="inlineStr"/>
    </row>
    <row r="7822" ht="15" customHeight="1">
      <c r="A7822" t="inlineStr">
        <is>
          <t>A 43839-2022</t>
        </is>
      </c>
      <c r="B7822" s="1" t="n">
        <v>44838</v>
      </c>
      <c r="C7822" s="1" t="n">
        <v>45810</v>
      </c>
      <c r="D7822" t="inlineStr">
        <is>
          <t>VÄRMLANDS LÄN</t>
        </is>
      </c>
      <c r="E7822" t="inlineStr">
        <is>
          <t>SUNNE</t>
        </is>
      </c>
      <c r="G7822" t="n">
        <v>6</v>
      </c>
      <c r="H7822" t="n">
        <v>0</v>
      </c>
      <c r="I7822" t="n">
        <v>0</v>
      </c>
      <c r="J7822" t="n">
        <v>0</v>
      </c>
      <c r="K7822" t="n">
        <v>0</v>
      </c>
      <c r="L7822" t="n">
        <v>0</v>
      </c>
      <c r="M7822" t="n">
        <v>0</v>
      </c>
      <c r="N7822" t="n">
        <v>0</v>
      </c>
      <c r="O7822" t="n">
        <v>0</v>
      </c>
      <c r="P7822" t="n">
        <v>0</v>
      </c>
      <c r="Q7822" t="n">
        <v>0</v>
      </c>
      <c r="R7822" s="2" t="inlineStr"/>
    </row>
    <row r="7823" ht="15" customHeight="1">
      <c r="A7823" t="inlineStr">
        <is>
          <t>A 43943-2022</t>
        </is>
      </c>
      <c r="B7823" s="1" t="n">
        <v>44838</v>
      </c>
      <c r="C7823" s="1" t="n">
        <v>45810</v>
      </c>
      <c r="D7823" t="inlineStr">
        <is>
          <t>VÄRMLANDS LÄN</t>
        </is>
      </c>
      <c r="E7823" t="inlineStr">
        <is>
          <t>TORSBY</t>
        </is>
      </c>
      <c r="G7823" t="n">
        <v>3.6</v>
      </c>
      <c r="H7823" t="n">
        <v>0</v>
      </c>
      <c r="I7823" t="n">
        <v>0</v>
      </c>
      <c r="J7823" t="n">
        <v>0</v>
      </c>
      <c r="K7823" t="n">
        <v>0</v>
      </c>
      <c r="L7823" t="n">
        <v>0</v>
      </c>
      <c r="M7823" t="n">
        <v>0</v>
      </c>
      <c r="N7823" t="n">
        <v>0</v>
      </c>
      <c r="O7823" t="n">
        <v>0</v>
      </c>
      <c r="P7823" t="n">
        <v>0</v>
      </c>
      <c r="Q7823" t="n">
        <v>0</v>
      </c>
      <c r="R7823" s="2" t="inlineStr"/>
    </row>
    <row r="7824" ht="15" customHeight="1">
      <c r="A7824" t="inlineStr">
        <is>
          <t>A 43806-2022</t>
        </is>
      </c>
      <c r="B7824" s="1" t="n">
        <v>44838</v>
      </c>
      <c r="C7824" s="1" t="n">
        <v>45810</v>
      </c>
      <c r="D7824" t="inlineStr">
        <is>
          <t>VÄRMLANDS LÄN</t>
        </is>
      </c>
      <c r="E7824" t="inlineStr">
        <is>
          <t>GRUMS</t>
        </is>
      </c>
      <c r="G7824" t="n">
        <v>2.9</v>
      </c>
      <c r="H7824" t="n">
        <v>0</v>
      </c>
      <c r="I7824" t="n">
        <v>0</v>
      </c>
      <c r="J7824" t="n">
        <v>0</v>
      </c>
      <c r="K7824" t="n">
        <v>0</v>
      </c>
      <c r="L7824" t="n">
        <v>0</v>
      </c>
      <c r="M7824" t="n">
        <v>0</v>
      </c>
      <c r="N7824" t="n">
        <v>0</v>
      </c>
      <c r="O7824" t="n">
        <v>0</v>
      </c>
      <c r="P7824" t="n">
        <v>0</v>
      </c>
      <c r="Q7824" t="n">
        <v>0</v>
      </c>
      <c r="R7824" s="2" t="inlineStr"/>
    </row>
    <row r="7825" ht="15" customHeight="1">
      <c r="A7825" t="inlineStr">
        <is>
          <t>A 43923-2022</t>
        </is>
      </c>
      <c r="B7825" s="1" t="n">
        <v>44838</v>
      </c>
      <c r="C7825" s="1" t="n">
        <v>45810</v>
      </c>
      <c r="D7825" t="inlineStr">
        <is>
          <t>VÄRMLANDS LÄN</t>
        </is>
      </c>
      <c r="E7825" t="inlineStr">
        <is>
          <t>SUNNE</t>
        </is>
      </c>
      <c r="G7825" t="n">
        <v>0.6</v>
      </c>
      <c r="H7825" t="n">
        <v>0</v>
      </c>
      <c r="I7825" t="n">
        <v>0</v>
      </c>
      <c r="J7825" t="n">
        <v>0</v>
      </c>
      <c r="K7825" t="n">
        <v>0</v>
      </c>
      <c r="L7825" t="n">
        <v>0</v>
      </c>
      <c r="M7825" t="n">
        <v>0</v>
      </c>
      <c r="N7825" t="n">
        <v>0</v>
      </c>
      <c r="O7825" t="n">
        <v>0</v>
      </c>
      <c r="P7825" t="n">
        <v>0</v>
      </c>
      <c r="Q7825" t="n">
        <v>0</v>
      </c>
      <c r="R7825" s="2" t="inlineStr"/>
    </row>
    <row r="7826" ht="15" customHeight="1">
      <c r="A7826" t="inlineStr">
        <is>
          <t>A 43989-2022</t>
        </is>
      </c>
      <c r="B7826" s="1" t="n">
        <v>44838</v>
      </c>
      <c r="C7826" s="1" t="n">
        <v>45810</v>
      </c>
      <c r="D7826" t="inlineStr">
        <is>
          <t>VÄRMLANDS LÄN</t>
        </is>
      </c>
      <c r="E7826" t="inlineStr">
        <is>
          <t>TORSBY</t>
        </is>
      </c>
      <c r="G7826" t="n">
        <v>1.5</v>
      </c>
      <c r="H7826" t="n">
        <v>0</v>
      </c>
      <c r="I7826" t="n">
        <v>0</v>
      </c>
      <c r="J7826" t="n">
        <v>0</v>
      </c>
      <c r="K7826" t="n">
        <v>0</v>
      </c>
      <c r="L7826" t="n">
        <v>0</v>
      </c>
      <c r="M7826" t="n">
        <v>0</v>
      </c>
      <c r="N7826" t="n">
        <v>0</v>
      </c>
      <c r="O7826" t="n">
        <v>0</v>
      </c>
      <c r="P7826" t="n">
        <v>0</v>
      </c>
      <c r="Q7826" t="n">
        <v>0</v>
      </c>
      <c r="R7826" s="2" t="inlineStr"/>
    </row>
    <row r="7827" ht="15" customHeight="1">
      <c r="A7827" t="inlineStr">
        <is>
          <t>A 44214-2022</t>
        </is>
      </c>
      <c r="B7827" s="1" t="n">
        <v>44838</v>
      </c>
      <c r="C7827" s="1" t="n">
        <v>45810</v>
      </c>
      <c r="D7827" t="inlineStr">
        <is>
          <t>VÄRMLANDS LÄN</t>
        </is>
      </c>
      <c r="E7827" t="inlineStr">
        <is>
          <t>TORSBY</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44340-2022</t>
        </is>
      </c>
      <c r="B7828" s="1" t="n">
        <v>44838</v>
      </c>
      <c r="C7828" s="1" t="n">
        <v>45810</v>
      </c>
      <c r="D7828" t="inlineStr">
        <is>
          <t>VÄRMLANDS LÄN</t>
        </is>
      </c>
      <c r="E7828" t="inlineStr">
        <is>
          <t>TORSBY</t>
        </is>
      </c>
      <c r="G7828" t="n">
        <v>0.5</v>
      </c>
      <c r="H7828" t="n">
        <v>0</v>
      </c>
      <c r="I7828" t="n">
        <v>0</v>
      </c>
      <c r="J7828" t="n">
        <v>0</v>
      </c>
      <c r="K7828" t="n">
        <v>0</v>
      </c>
      <c r="L7828" t="n">
        <v>0</v>
      </c>
      <c r="M7828" t="n">
        <v>0</v>
      </c>
      <c r="N7828" t="n">
        <v>0</v>
      </c>
      <c r="O7828" t="n">
        <v>0</v>
      </c>
      <c r="P7828" t="n">
        <v>0</v>
      </c>
      <c r="Q7828" t="n">
        <v>0</v>
      </c>
      <c r="R7828" s="2" t="inlineStr"/>
    </row>
    <row r="7829" ht="15" customHeight="1">
      <c r="A7829" t="inlineStr">
        <is>
          <t>A 44170-2022</t>
        </is>
      </c>
      <c r="B7829" s="1" t="n">
        <v>44838</v>
      </c>
      <c r="C7829" s="1" t="n">
        <v>45810</v>
      </c>
      <c r="D7829" t="inlineStr">
        <is>
          <t>VÄRMLANDS LÄN</t>
        </is>
      </c>
      <c r="E7829" t="inlineStr">
        <is>
          <t>TORSBY</t>
        </is>
      </c>
      <c r="G7829" t="n">
        <v>1.5</v>
      </c>
      <c r="H7829" t="n">
        <v>0</v>
      </c>
      <c r="I7829" t="n">
        <v>0</v>
      </c>
      <c r="J7829" t="n">
        <v>0</v>
      </c>
      <c r="K7829" t="n">
        <v>0</v>
      </c>
      <c r="L7829" t="n">
        <v>0</v>
      </c>
      <c r="M7829" t="n">
        <v>0</v>
      </c>
      <c r="N7829" t="n">
        <v>0</v>
      </c>
      <c r="O7829" t="n">
        <v>0</v>
      </c>
      <c r="P7829" t="n">
        <v>0</v>
      </c>
      <c r="Q7829" t="n">
        <v>0</v>
      </c>
      <c r="R7829" s="2" t="inlineStr"/>
    </row>
    <row r="7830" ht="15" customHeight="1">
      <c r="A7830" t="inlineStr">
        <is>
          <t>A 44149-2022</t>
        </is>
      </c>
      <c r="B7830" s="1" t="n">
        <v>44839</v>
      </c>
      <c r="C7830" s="1" t="n">
        <v>45810</v>
      </c>
      <c r="D7830" t="inlineStr">
        <is>
          <t>VÄRMLANDS LÄN</t>
        </is>
      </c>
      <c r="E7830" t="inlineStr">
        <is>
          <t>TORSBY</t>
        </is>
      </c>
      <c r="F7830" t="inlineStr">
        <is>
          <t>Bergvik skog väst AB</t>
        </is>
      </c>
      <c r="G7830" t="n">
        <v>4.1</v>
      </c>
      <c r="H7830" t="n">
        <v>0</v>
      </c>
      <c r="I7830" t="n">
        <v>0</v>
      </c>
      <c r="J7830" t="n">
        <v>0</v>
      </c>
      <c r="K7830" t="n">
        <v>0</v>
      </c>
      <c r="L7830" t="n">
        <v>0</v>
      </c>
      <c r="M7830" t="n">
        <v>0</v>
      </c>
      <c r="N7830" t="n">
        <v>0</v>
      </c>
      <c r="O7830" t="n">
        <v>0</v>
      </c>
      <c r="P7830" t="n">
        <v>0</v>
      </c>
      <c r="Q7830" t="n">
        <v>0</v>
      </c>
      <c r="R7830" s="2" t="inlineStr"/>
    </row>
    <row r="7831" ht="15" customHeight="1">
      <c r="A7831" t="inlineStr">
        <is>
          <t>A 44159-2022</t>
        </is>
      </c>
      <c r="B7831" s="1" t="n">
        <v>44839</v>
      </c>
      <c r="C7831" s="1" t="n">
        <v>45810</v>
      </c>
      <c r="D7831" t="inlineStr">
        <is>
          <t>VÄRMLANDS LÄN</t>
        </is>
      </c>
      <c r="E7831" t="inlineStr">
        <is>
          <t>ARVIKA</t>
        </is>
      </c>
      <c r="F7831" t="inlineStr">
        <is>
          <t>Bergvik skog väst AB</t>
        </is>
      </c>
      <c r="G7831" t="n">
        <v>11.4</v>
      </c>
      <c r="H7831" t="n">
        <v>0</v>
      </c>
      <c r="I7831" t="n">
        <v>0</v>
      </c>
      <c r="J7831" t="n">
        <v>0</v>
      </c>
      <c r="K7831" t="n">
        <v>0</v>
      </c>
      <c r="L7831" t="n">
        <v>0</v>
      </c>
      <c r="M7831" t="n">
        <v>0</v>
      </c>
      <c r="N7831" t="n">
        <v>0</v>
      </c>
      <c r="O7831" t="n">
        <v>0</v>
      </c>
      <c r="P7831" t="n">
        <v>0</v>
      </c>
      <c r="Q7831" t="n">
        <v>0</v>
      </c>
      <c r="R7831" s="2" t="inlineStr"/>
    </row>
    <row r="7832" ht="15" customHeight="1">
      <c r="A7832" t="inlineStr">
        <is>
          <t>A 44084-2022</t>
        </is>
      </c>
      <c r="B7832" s="1" t="n">
        <v>44839</v>
      </c>
      <c r="C7832" s="1" t="n">
        <v>45810</v>
      </c>
      <c r="D7832" t="inlineStr">
        <is>
          <t>VÄRMLANDS LÄN</t>
        </is>
      </c>
      <c r="E7832" t="inlineStr">
        <is>
          <t>ARVIKA</t>
        </is>
      </c>
      <c r="F7832" t="inlineStr">
        <is>
          <t>Bergvik skog väst AB</t>
        </is>
      </c>
      <c r="G7832" t="n">
        <v>6.2</v>
      </c>
      <c r="H7832" t="n">
        <v>0</v>
      </c>
      <c r="I7832" t="n">
        <v>0</v>
      </c>
      <c r="J7832" t="n">
        <v>0</v>
      </c>
      <c r="K7832" t="n">
        <v>0</v>
      </c>
      <c r="L7832" t="n">
        <v>0</v>
      </c>
      <c r="M7832" t="n">
        <v>0</v>
      </c>
      <c r="N7832" t="n">
        <v>0</v>
      </c>
      <c r="O7832" t="n">
        <v>0</v>
      </c>
      <c r="P7832" t="n">
        <v>0</v>
      </c>
      <c r="Q7832" t="n">
        <v>0</v>
      </c>
      <c r="R7832" s="2" t="inlineStr"/>
    </row>
    <row r="7833" ht="15" customHeight="1">
      <c r="A7833" t="inlineStr">
        <is>
          <t>A 44080-2022</t>
        </is>
      </c>
      <c r="B7833" s="1" t="n">
        <v>44839</v>
      </c>
      <c r="C7833" s="1" t="n">
        <v>45810</v>
      </c>
      <c r="D7833" t="inlineStr">
        <is>
          <t>VÄRMLANDS LÄN</t>
        </is>
      </c>
      <c r="E7833" t="inlineStr">
        <is>
          <t>KARLSTAD</t>
        </is>
      </c>
      <c r="G7833" t="n">
        <v>3</v>
      </c>
      <c r="H7833" t="n">
        <v>0</v>
      </c>
      <c r="I7833" t="n">
        <v>0</v>
      </c>
      <c r="J7833" t="n">
        <v>0</v>
      </c>
      <c r="K7833" t="n">
        <v>0</v>
      </c>
      <c r="L7833" t="n">
        <v>0</v>
      </c>
      <c r="M7833" t="n">
        <v>0</v>
      </c>
      <c r="N7833" t="n">
        <v>0</v>
      </c>
      <c r="O7833" t="n">
        <v>0</v>
      </c>
      <c r="P7833" t="n">
        <v>0</v>
      </c>
      <c r="Q7833" t="n">
        <v>0</v>
      </c>
      <c r="R7833" s="2" t="inlineStr"/>
    </row>
    <row r="7834" ht="15" customHeight="1">
      <c r="A7834" t="inlineStr">
        <is>
          <t>A 44196-2022</t>
        </is>
      </c>
      <c r="B7834" s="1" t="n">
        <v>44839</v>
      </c>
      <c r="C7834" s="1" t="n">
        <v>45810</v>
      </c>
      <c r="D7834" t="inlineStr">
        <is>
          <t>VÄRMLANDS LÄN</t>
        </is>
      </c>
      <c r="E7834" t="inlineStr">
        <is>
          <t>TORSBY</t>
        </is>
      </c>
      <c r="F7834" t="inlineStr">
        <is>
          <t>Bergvik skog väst AB</t>
        </is>
      </c>
      <c r="G7834" t="n">
        <v>3</v>
      </c>
      <c r="H7834" t="n">
        <v>0</v>
      </c>
      <c r="I7834" t="n">
        <v>0</v>
      </c>
      <c r="J7834" t="n">
        <v>0</v>
      </c>
      <c r="K7834" t="n">
        <v>0</v>
      </c>
      <c r="L7834" t="n">
        <v>0</v>
      </c>
      <c r="M7834" t="n">
        <v>0</v>
      </c>
      <c r="N7834" t="n">
        <v>0</v>
      </c>
      <c r="O7834" t="n">
        <v>0</v>
      </c>
      <c r="P7834" t="n">
        <v>0</v>
      </c>
      <c r="Q7834" t="n">
        <v>0</v>
      </c>
      <c r="R7834" s="2" t="inlineStr"/>
    </row>
    <row r="7835" ht="15" customHeight="1">
      <c r="A7835" t="inlineStr">
        <is>
          <t>A 44203-2022</t>
        </is>
      </c>
      <c r="B7835" s="1" t="n">
        <v>44839</v>
      </c>
      <c r="C7835" s="1" t="n">
        <v>45810</v>
      </c>
      <c r="D7835" t="inlineStr">
        <is>
          <t>VÄRMLANDS LÄN</t>
        </is>
      </c>
      <c r="E7835" t="inlineStr">
        <is>
          <t>ÅRJÄNG</t>
        </is>
      </c>
      <c r="G7835" t="n">
        <v>1.4</v>
      </c>
      <c r="H7835" t="n">
        <v>0</v>
      </c>
      <c r="I7835" t="n">
        <v>0</v>
      </c>
      <c r="J7835" t="n">
        <v>0</v>
      </c>
      <c r="K7835" t="n">
        <v>0</v>
      </c>
      <c r="L7835" t="n">
        <v>0</v>
      </c>
      <c r="M7835" t="n">
        <v>0</v>
      </c>
      <c r="N7835" t="n">
        <v>0</v>
      </c>
      <c r="O7835" t="n">
        <v>0</v>
      </c>
      <c r="P7835" t="n">
        <v>0</v>
      </c>
      <c r="Q7835" t="n">
        <v>0</v>
      </c>
      <c r="R7835" s="2" t="inlineStr"/>
    </row>
    <row r="7836" ht="15" customHeight="1">
      <c r="A7836" t="inlineStr">
        <is>
          <t>A 44246-2022</t>
        </is>
      </c>
      <c r="B7836" s="1" t="n">
        <v>44839</v>
      </c>
      <c r="C7836" s="1" t="n">
        <v>45810</v>
      </c>
      <c r="D7836" t="inlineStr">
        <is>
          <t>VÄRMLANDS LÄN</t>
        </is>
      </c>
      <c r="E7836" t="inlineStr">
        <is>
          <t>HAGFORS</t>
        </is>
      </c>
      <c r="G7836" t="n">
        <v>3.8</v>
      </c>
      <c r="H7836" t="n">
        <v>0</v>
      </c>
      <c r="I7836" t="n">
        <v>0</v>
      </c>
      <c r="J7836" t="n">
        <v>0</v>
      </c>
      <c r="K7836" t="n">
        <v>0</v>
      </c>
      <c r="L7836" t="n">
        <v>0</v>
      </c>
      <c r="M7836" t="n">
        <v>0</v>
      </c>
      <c r="N7836" t="n">
        <v>0</v>
      </c>
      <c r="O7836" t="n">
        <v>0</v>
      </c>
      <c r="P7836" t="n">
        <v>0</v>
      </c>
      <c r="Q7836" t="n">
        <v>0</v>
      </c>
      <c r="R7836" s="2" t="inlineStr"/>
    </row>
    <row r="7837" ht="15" customHeight="1">
      <c r="A7837" t="inlineStr">
        <is>
          <t>A 44327-2022</t>
        </is>
      </c>
      <c r="B7837" s="1" t="n">
        <v>44839</v>
      </c>
      <c r="C7837" s="1" t="n">
        <v>45810</v>
      </c>
      <c r="D7837" t="inlineStr">
        <is>
          <t>VÄRMLANDS LÄN</t>
        </is>
      </c>
      <c r="E7837" t="inlineStr">
        <is>
          <t>TORSBY</t>
        </is>
      </c>
      <c r="G7837" t="n">
        <v>3.5</v>
      </c>
      <c r="H7837" t="n">
        <v>0</v>
      </c>
      <c r="I7837" t="n">
        <v>0</v>
      </c>
      <c r="J7837" t="n">
        <v>0</v>
      </c>
      <c r="K7837" t="n">
        <v>0</v>
      </c>
      <c r="L7837" t="n">
        <v>0</v>
      </c>
      <c r="M7837" t="n">
        <v>0</v>
      </c>
      <c r="N7837" t="n">
        <v>0</v>
      </c>
      <c r="O7837" t="n">
        <v>0</v>
      </c>
      <c r="P7837" t="n">
        <v>0</v>
      </c>
      <c r="Q7837" t="n">
        <v>0</v>
      </c>
      <c r="R7837" s="2" t="inlineStr"/>
    </row>
    <row r="7838" ht="15" customHeight="1">
      <c r="A7838" t="inlineStr">
        <is>
          <t>A 44387-2022</t>
        </is>
      </c>
      <c r="B7838" s="1" t="n">
        <v>44839</v>
      </c>
      <c r="C7838" s="1" t="n">
        <v>45810</v>
      </c>
      <c r="D7838" t="inlineStr">
        <is>
          <t>VÄRMLANDS LÄN</t>
        </is>
      </c>
      <c r="E7838" t="inlineStr">
        <is>
          <t>ÅRJÄNG</t>
        </is>
      </c>
      <c r="G7838" t="n">
        <v>2.1</v>
      </c>
      <c r="H7838" t="n">
        <v>0</v>
      </c>
      <c r="I7838" t="n">
        <v>0</v>
      </c>
      <c r="J7838" t="n">
        <v>0</v>
      </c>
      <c r="K7838" t="n">
        <v>0</v>
      </c>
      <c r="L7838" t="n">
        <v>0</v>
      </c>
      <c r="M7838" t="n">
        <v>0</v>
      </c>
      <c r="N7838" t="n">
        <v>0</v>
      </c>
      <c r="O7838" t="n">
        <v>0</v>
      </c>
      <c r="P7838" t="n">
        <v>0</v>
      </c>
      <c r="Q7838" t="n">
        <v>0</v>
      </c>
      <c r="R7838" s="2" t="inlineStr"/>
    </row>
    <row r="7839" ht="15" customHeight="1">
      <c r="A7839" t="inlineStr">
        <is>
          <t>A 44066-2022</t>
        </is>
      </c>
      <c r="B7839" s="1" t="n">
        <v>44839</v>
      </c>
      <c r="C7839" s="1" t="n">
        <v>45810</v>
      </c>
      <c r="D7839" t="inlineStr">
        <is>
          <t>VÄRMLANDS LÄN</t>
        </is>
      </c>
      <c r="E7839" t="inlineStr">
        <is>
          <t>ARVIKA</t>
        </is>
      </c>
      <c r="F7839" t="inlineStr">
        <is>
          <t>Bergvik skog väst AB</t>
        </is>
      </c>
      <c r="G7839" t="n">
        <v>3.6</v>
      </c>
      <c r="H7839" t="n">
        <v>0</v>
      </c>
      <c r="I7839" t="n">
        <v>0</v>
      </c>
      <c r="J7839" t="n">
        <v>0</v>
      </c>
      <c r="K7839" t="n">
        <v>0</v>
      </c>
      <c r="L7839" t="n">
        <v>0</v>
      </c>
      <c r="M7839" t="n">
        <v>0</v>
      </c>
      <c r="N7839" t="n">
        <v>0</v>
      </c>
      <c r="O7839" t="n">
        <v>0</v>
      </c>
      <c r="P7839" t="n">
        <v>0</v>
      </c>
      <c r="Q7839" t="n">
        <v>0</v>
      </c>
      <c r="R7839" s="2" t="inlineStr"/>
    </row>
    <row r="7840" ht="15" customHeight="1">
      <c r="A7840" t="inlineStr">
        <is>
          <t>A 44077-2022</t>
        </is>
      </c>
      <c r="B7840" s="1" t="n">
        <v>44839</v>
      </c>
      <c r="C7840" s="1" t="n">
        <v>45810</v>
      </c>
      <c r="D7840" t="inlineStr">
        <is>
          <t>VÄRMLANDS LÄN</t>
        </is>
      </c>
      <c r="E7840" t="inlineStr">
        <is>
          <t>FORSHAGA</t>
        </is>
      </c>
      <c r="G7840" t="n">
        <v>4</v>
      </c>
      <c r="H7840" t="n">
        <v>0</v>
      </c>
      <c r="I7840" t="n">
        <v>0</v>
      </c>
      <c r="J7840" t="n">
        <v>0</v>
      </c>
      <c r="K7840" t="n">
        <v>0</v>
      </c>
      <c r="L7840" t="n">
        <v>0</v>
      </c>
      <c r="M7840" t="n">
        <v>0</v>
      </c>
      <c r="N7840" t="n">
        <v>0</v>
      </c>
      <c r="O7840" t="n">
        <v>0</v>
      </c>
      <c r="P7840" t="n">
        <v>0</v>
      </c>
      <c r="Q7840" t="n">
        <v>0</v>
      </c>
      <c r="R7840" s="2" t="inlineStr"/>
    </row>
    <row r="7841" ht="15" customHeight="1">
      <c r="A7841" t="inlineStr">
        <is>
          <t>A 44135-2022</t>
        </is>
      </c>
      <c r="B7841" s="1" t="n">
        <v>44839</v>
      </c>
      <c r="C7841" s="1" t="n">
        <v>45810</v>
      </c>
      <c r="D7841" t="inlineStr">
        <is>
          <t>VÄRMLANDS LÄN</t>
        </is>
      </c>
      <c r="E7841" t="inlineStr">
        <is>
          <t>ARVIKA</t>
        </is>
      </c>
      <c r="F7841" t="inlineStr">
        <is>
          <t>Bergvik skog väst AB</t>
        </is>
      </c>
      <c r="G7841" t="n">
        <v>8.199999999999999</v>
      </c>
      <c r="H7841" t="n">
        <v>0</v>
      </c>
      <c r="I7841" t="n">
        <v>0</v>
      </c>
      <c r="J7841" t="n">
        <v>0</v>
      </c>
      <c r="K7841" t="n">
        <v>0</v>
      </c>
      <c r="L7841" t="n">
        <v>0</v>
      </c>
      <c r="M7841" t="n">
        <v>0</v>
      </c>
      <c r="N7841" t="n">
        <v>0</v>
      </c>
      <c r="O7841" t="n">
        <v>0</v>
      </c>
      <c r="P7841" t="n">
        <v>0</v>
      </c>
      <c r="Q7841" t="n">
        <v>0</v>
      </c>
      <c r="R7841" s="2" t="inlineStr"/>
    </row>
    <row r="7842" ht="15" customHeight="1">
      <c r="A7842" t="inlineStr">
        <is>
          <t>A 44189-2022</t>
        </is>
      </c>
      <c r="B7842" s="1" t="n">
        <v>44839</v>
      </c>
      <c r="C7842" s="1" t="n">
        <v>45810</v>
      </c>
      <c r="D7842" t="inlineStr">
        <is>
          <t>VÄRMLANDS LÄN</t>
        </is>
      </c>
      <c r="E7842" t="inlineStr">
        <is>
          <t>EDA</t>
        </is>
      </c>
      <c r="G7842" t="n">
        <v>1.7</v>
      </c>
      <c r="H7842" t="n">
        <v>0</v>
      </c>
      <c r="I7842" t="n">
        <v>0</v>
      </c>
      <c r="J7842" t="n">
        <v>0</v>
      </c>
      <c r="K7842" t="n">
        <v>0</v>
      </c>
      <c r="L7842" t="n">
        <v>0</v>
      </c>
      <c r="M7842" t="n">
        <v>0</v>
      </c>
      <c r="N7842" t="n">
        <v>0</v>
      </c>
      <c r="O7842" t="n">
        <v>0</v>
      </c>
      <c r="P7842" t="n">
        <v>0</v>
      </c>
      <c r="Q7842" t="n">
        <v>0</v>
      </c>
      <c r="R7842" s="2" t="inlineStr"/>
    </row>
    <row r="7843" ht="15" customHeight="1">
      <c r="A7843" t="inlineStr">
        <is>
          <t>A 44297-2022</t>
        </is>
      </c>
      <c r="B7843" s="1" t="n">
        <v>44839</v>
      </c>
      <c r="C7843" s="1" t="n">
        <v>45810</v>
      </c>
      <c r="D7843" t="inlineStr">
        <is>
          <t>VÄRMLANDS LÄN</t>
        </is>
      </c>
      <c r="E7843" t="inlineStr">
        <is>
          <t>SUNNE</t>
        </is>
      </c>
      <c r="F7843" t="inlineStr">
        <is>
          <t>Bergvik skog väst AB</t>
        </is>
      </c>
      <c r="G7843" t="n">
        <v>2.9</v>
      </c>
      <c r="H7843" t="n">
        <v>0</v>
      </c>
      <c r="I7843" t="n">
        <v>0</v>
      </c>
      <c r="J7843" t="n">
        <v>0</v>
      </c>
      <c r="K7843" t="n">
        <v>0</v>
      </c>
      <c r="L7843" t="n">
        <v>0</v>
      </c>
      <c r="M7843" t="n">
        <v>0</v>
      </c>
      <c r="N7843" t="n">
        <v>0</v>
      </c>
      <c r="O7843" t="n">
        <v>0</v>
      </c>
      <c r="P7843" t="n">
        <v>0</v>
      </c>
      <c r="Q7843" t="n">
        <v>0</v>
      </c>
      <c r="R7843" s="2" t="inlineStr"/>
    </row>
    <row r="7844" ht="15" customHeight="1">
      <c r="A7844" t="inlineStr">
        <is>
          <t>A 44180-2022</t>
        </is>
      </c>
      <c r="B7844" s="1" t="n">
        <v>44839</v>
      </c>
      <c r="C7844" s="1" t="n">
        <v>45810</v>
      </c>
      <c r="D7844" t="inlineStr">
        <is>
          <t>VÄRMLANDS LÄN</t>
        </is>
      </c>
      <c r="E7844" t="inlineStr">
        <is>
          <t>FILIPSTAD</t>
        </is>
      </c>
      <c r="F7844" t="inlineStr">
        <is>
          <t>Bergvik skog väst AB</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44369-2022</t>
        </is>
      </c>
      <c r="B7845" s="1" t="n">
        <v>44839</v>
      </c>
      <c r="C7845" s="1" t="n">
        <v>45810</v>
      </c>
      <c r="D7845" t="inlineStr">
        <is>
          <t>VÄRMLANDS LÄN</t>
        </is>
      </c>
      <c r="E7845" t="inlineStr">
        <is>
          <t>SUNNE</t>
        </is>
      </c>
      <c r="G7845" t="n">
        <v>1.7</v>
      </c>
      <c r="H7845" t="n">
        <v>0</v>
      </c>
      <c r="I7845" t="n">
        <v>0</v>
      </c>
      <c r="J7845" t="n">
        <v>0</v>
      </c>
      <c r="K7845" t="n">
        <v>0</v>
      </c>
      <c r="L7845" t="n">
        <v>0</v>
      </c>
      <c r="M7845" t="n">
        <v>0</v>
      </c>
      <c r="N7845" t="n">
        <v>0</v>
      </c>
      <c r="O7845" t="n">
        <v>0</v>
      </c>
      <c r="P7845" t="n">
        <v>0</v>
      </c>
      <c r="Q7845" t="n">
        <v>0</v>
      </c>
      <c r="R7845" s="2" t="inlineStr"/>
    </row>
    <row r="7846" ht="15" customHeight="1">
      <c r="A7846" t="inlineStr">
        <is>
          <t>A 44390-2022</t>
        </is>
      </c>
      <c r="B7846" s="1" t="n">
        <v>44839</v>
      </c>
      <c r="C7846" s="1" t="n">
        <v>45810</v>
      </c>
      <c r="D7846" t="inlineStr">
        <is>
          <t>VÄRMLANDS LÄN</t>
        </is>
      </c>
      <c r="E7846" t="inlineStr">
        <is>
          <t>ÅRJÄNG</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44534-2022</t>
        </is>
      </c>
      <c r="B7847" s="1" t="n">
        <v>44839</v>
      </c>
      <c r="C7847" s="1" t="n">
        <v>45810</v>
      </c>
      <c r="D7847" t="inlineStr">
        <is>
          <t>VÄRMLANDS LÄN</t>
        </is>
      </c>
      <c r="E7847" t="inlineStr">
        <is>
          <t>ARVIKA</t>
        </is>
      </c>
      <c r="G7847" t="n">
        <v>0.8</v>
      </c>
      <c r="H7847" t="n">
        <v>0</v>
      </c>
      <c r="I7847" t="n">
        <v>0</v>
      </c>
      <c r="J7847" t="n">
        <v>0</v>
      </c>
      <c r="K7847" t="n">
        <v>0</v>
      </c>
      <c r="L7847" t="n">
        <v>0</v>
      </c>
      <c r="M7847" t="n">
        <v>0</v>
      </c>
      <c r="N7847" t="n">
        <v>0</v>
      </c>
      <c r="O7847" t="n">
        <v>0</v>
      </c>
      <c r="P7847" t="n">
        <v>0</v>
      </c>
      <c r="Q7847" t="n">
        <v>0</v>
      </c>
      <c r="R7847" s="2" t="inlineStr"/>
    </row>
    <row r="7848" ht="15" customHeight="1">
      <c r="A7848" t="inlineStr">
        <is>
          <t>A 44661-2022</t>
        </is>
      </c>
      <c r="B7848" s="1" t="n">
        <v>44839</v>
      </c>
      <c r="C7848" s="1" t="n">
        <v>45810</v>
      </c>
      <c r="D7848" t="inlineStr">
        <is>
          <t>VÄRMLANDS LÄN</t>
        </is>
      </c>
      <c r="E7848" t="inlineStr">
        <is>
          <t>KRISTINEHAMN</t>
        </is>
      </c>
      <c r="F7848" t="inlineStr">
        <is>
          <t>Kommuner</t>
        </is>
      </c>
      <c r="G7848" t="n">
        <v>0.3</v>
      </c>
      <c r="H7848" t="n">
        <v>0</v>
      </c>
      <c r="I7848" t="n">
        <v>0</v>
      </c>
      <c r="J7848" t="n">
        <v>0</v>
      </c>
      <c r="K7848" t="n">
        <v>0</v>
      </c>
      <c r="L7848" t="n">
        <v>0</v>
      </c>
      <c r="M7848" t="n">
        <v>0</v>
      </c>
      <c r="N7848" t="n">
        <v>0</v>
      </c>
      <c r="O7848" t="n">
        <v>0</v>
      </c>
      <c r="P7848" t="n">
        <v>0</v>
      </c>
      <c r="Q7848" t="n">
        <v>0</v>
      </c>
      <c r="R7848" s="2" t="inlineStr"/>
    </row>
    <row r="7849" ht="15" customHeight="1">
      <c r="A7849" t="inlineStr">
        <is>
          <t>A 44263-2022</t>
        </is>
      </c>
      <c r="B7849" s="1" t="n">
        <v>44839</v>
      </c>
      <c r="C7849" s="1" t="n">
        <v>45810</v>
      </c>
      <c r="D7849" t="inlineStr">
        <is>
          <t>VÄRMLANDS LÄN</t>
        </is>
      </c>
      <c r="E7849" t="inlineStr">
        <is>
          <t>SUNNE</t>
        </is>
      </c>
      <c r="F7849" t="inlineStr">
        <is>
          <t>Bergvik skog väst AB</t>
        </is>
      </c>
      <c r="G7849" t="n">
        <v>3</v>
      </c>
      <c r="H7849" t="n">
        <v>0</v>
      </c>
      <c r="I7849" t="n">
        <v>0</v>
      </c>
      <c r="J7849" t="n">
        <v>0</v>
      </c>
      <c r="K7849" t="n">
        <v>0</v>
      </c>
      <c r="L7849" t="n">
        <v>0</v>
      </c>
      <c r="M7849" t="n">
        <v>0</v>
      </c>
      <c r="N7849" t="n">
        <v>0</v>
      </c>
      <c r="O7849" t="n">
        <v>0</v>
      </c>
      <c r="P7849" t="n">
        <v>0</v>
      </c>
      <c r="Q7849" t="n">
        <v>0</v>
      </c>
      <c r="R7849" s="2" t="inlineStr"/>
    </row>
    <row r="7850" ht="15" customHeight="1">
      <c r="A7850" t="inlineStr">
        <is>
          <t>A 44270-2022</t>
        </is>
      </c>
      <c r="B7850" s="1" t="n">
        <v>44839</v>
      </c>
      <c r="C7850" s="1" t="n">
        <v>45810</v>
      </c>
      <c r="D7850" t="inlineStr">
        <is>
          <t>VÄRMLANDS LÄN</t>
        </is>
      </c>
      <c r="E7850" t="inlineStr">
        <is>
          <t>ARVIKA</t>
        </is>
      </c>
      <c r="G7850" t="n">
        <v>1.3</v>
      </c>
      <c r="H7850" t="n">
        <v>0</v>
      </c>
      <c r="I7850" t="n">
        <v>0</v>
      </c>
      <c r="J7850" t="n">
        <v>0</v>
      </c>
      <c r="K7850" t="n">
        <v>0</v>
      </c>
      <c r="L7850" t="n">
        <v>0</v>
      </c>
      <c r="M7850" t="n">
        <v>0</v>
      </c>
      <c r="N7850" t="n">
        <v>0</v>
      </c>
      <c r="O7850" t="n">
        <v>0</v>
      </c>
      <c r="P7850" t="n">
        <v>0</v>
      </c>
      <c r="Q7850" t="n">
        <v>0</v>
      </c>
      <c r="R7850" s="2" t="inlineStr"/>
    </row>
    <row r="7851" ht="15" customHeight="1">
      <c r="A7851" t="inlineStr">
        <is>
          <t>A 44385-2022</t>
        </is>
      </c>
      <c r="B7851" s="1" t="n">
        <v>44839</v>
      </c>
      <c r="C7851" s="1" t="n">
        <v>45810</v>
      </c>
      <c r="D7851" t="inlineStr">
        <is>
          <t>VÄRMLANDS LÄN</t>
        </is>
      </c>
      <c r="E7851" t="inlineStr">
        <is>
          <t>ÅRJÄNG</t>
        </is>
      </c>
      <c r="G7851" t="n">
        <v>1.2</v>
      </c>
      <c r="H7851" t="n">
        <v>0</v>
      </c>
      <c r="I7851" t="n">
        <v>0</v>
      </c>
      <c r="J7851" t="n">
        <v>0</v>
      </c>
      <c r="K7851" t="n">
        <v>0</v>
      </c>
      <c r="L7851" t="n">
        <v>0</v>
      </c>
      <c r="M7851" t="n">
        <v>0</v>
      </c>
      <c r="N7851" t="n">
        <v>0</v>
      </c>
      <c r="O7851" t="n">
        <v>0</v>
      </c>
      <c r="P7851" t="n">
        <v>0</v>
      </c>
      <c r="Q7851" t="n">
        <v>0</v>
      </c>
      <c r="R7851" s="2" t="inlineStr"/>
    </row>
    <row r="7852" ht="15" customHeight="1">
      <c r="A7852" t="inlineStr">
        <is>
          <t>A 44456-2022</t>
        </is>
      </c>
      <c r="B7852" s="1" t="n">
        <v>44839</v>
      </c>
      <c r="C7852" s="1" t="n">
        <v>45810</v>
      </c>
      <c r="D7852" t="inlineStr">
        <is>
          <t>VÄRMLANDS LÄN</t>
        </is>
      </c>
      <c r="E7852" t="inlineStr">
        <is>
          <t>FORSHAGA</t>
        </is>
      </c>
      <c r="G7852" t="n">
        <v>6.5</v>
      </c>
      <c r="H7852" t="n">
        <v>0</v>
      </c>
      <c r="I7852" t="n">
        <v>0</v>
      </c>
      <c r="J7852" t="n">
        <v>0</v>
      </c>
      <c r="K7852" t="n">
        <v>0</v>
      </c>
      <c r="L7852" t="n">
        <v>0</v>
      </c>
      <c r="M7852" t="n">
        <v>0</v>
      </c>
      <c r="N7852" t="n">
        <v>0</v>
      </c>
      <c r="O7852" t="n">
        <v>0</v>
      </c>
      <c r="P7852" t="n">
        <v>0</v>
      </c>
      <c r="Q7852" t="n">
        <v>0</v>
      </c>
      <c r="R7852" s="2" t="inlineStr"/>
    </row>
    <row r="7853" ht="15" customHeight="1">
      <c r="A7853" t="inlineStr">
        <is>
          <t>A 44657-2022</t>
        </is>
      </c>
      <c r="B7853" s="1" t="n">
        <v>44839</v>
      </c>
      <c r="C7853" s="1" t="n">
        <v>45810</v>
      </c>
      <c r="D7853" t="inlineStr">
        <is>
          <t>VÄRMLANDS LÄN</t>
        </is>
      </c>
      <c r="E7853" t="inlineStr">
        <is>
          <t>KRISTINEHAMN</t>
        </is>
      </c>
      <c r="F7853" t="inlineStr">
        <is>
          <t>Kommuner</t>
        </is>
      </c>
      <c r="G7853" t="n">
        <v>0.5</v>
      </c>
      <c r="H7853" t="n">
        <v>0</v>
      </c>
      <c r="I7853" t="n">
        <v>0</v>
      </c>
      <c r="J7853" t="n">
        <v>0</v>
      </c>
      <c r="K7853" t="n">
        <v>0</v>
      </c>
      <c r="L7853" t="n">
        <v>0</v>
      </c>
      <c r="M7853" t="n">
        <v>0</v>
      </c>
      <c r="N7853" t="n">
        <v>0</v>
      </c>
      <c r="O7853" t="n">
        <v>0</v>
      </c>
      <c r="P7853" t="n">
        <v>0</v>
      </c>
      <c r="Q7853" t="n">
        <v>0</v>
      </c>
      <c r="R7853" s="2" t="inlineStr"/>
    </row>
    <row r="7854" ht="15" customHeight="1">
      <c r="A7854" t="inlineStr">
        <is>
          <t>A 44893-2022</t>
        </is>
      </c>
      <c r="B7854" s="1" t="n">
        <v>44839</v>
      </c>
      <c r="C7854" s="1" t="n">
        <v>45810</v>
      </c>
      <c r="D7854" t="inlineStr">
        <is>
          <t>VÄRMLANDS LÄN</t>
        </is>
      </c>
      <c r="E7854" t="inlineStr">
        <is>
          <t>SUNNE</t>
        </is>
      </c>
      <c r="F7854" t="inlineStr">
        <is>
          <t>Kyrkan</t>
        </is>
      </c>
      <c r="G7854" t="n">
        <v>2</v>
      </c>
      <c r="H7854" t="n">
        <v>0</v>
      </c>
      <c r="I7854" t="n">
        <v>0</v>
      </c>
      <c r="J7854" t="n">
        <v>0</v>
      </c>
      <c r="K7854" t="n">
        <v>0</v>
      </c>
      <c r="L7854" t="n">
        <v>0</v>
      </c>
      <c r="M7854" t="n">
        <v>0</v>
      </c>
      <c r="N7854" t="n">
        <v>0</v>
      </c>
      <c r="O7854" t="n">
        <v>0</v>
      </c>
      <c r="P7854" t="n">
        <v>0</v>
      </c>
      <c r="Q7854" t="n">
        <v>0</v>
      </c>
      <c r="R7854" s="2" t="inlineStr"/>
    </row>
    <row r="7855" ht="15" customHeight="1">
      <c r="A7855" t="inlineStr">
        <is>
          <t>A 44841-2022</t>
        </is>
      </c>
      <c r="B7855" s="1" t="n">
        <v>44839</v>
      </c>
      <c r="C7855" s="1" t="n">
        <v>45810</v>
      </c>
      <c r="D7855" t="inlineStr">
        <is>
          <t>VÄRMLANDS LÄN</t>
        </is>
      </c>
      <c r="E7855" t="inlineStr">
        <is>
          <t>TORSBY</t>
        </is>
      </c>
      <c r="G7855" t="n">
        <v>5.1</v>
      </c>
      <c r="H7855" t="n">
        <v>0</v>
      </c>
      <c r="I7855" t="n">
        <v>0</v>
      </c>
      <c r="J7855" t="n">
        <v>0</v>
      </c>
      <c r="K7855" t="n">
        <v>0</v>
      </c>
      <c r="L7855" t="n">
        <v>0</v>
      </c>
      <c r="M7855" t="n">
        <v>0</v>
      </c>
      <c r="N7855" t="n">
        <v>0</v>
      </c>
      <c r="O7855" t="n">
        <v>0</v>
      </c>
      <c r="P7855" t="n">
        <v>0</v>
      </c>
      <c r="Q7855" t="n">
        <v>0</v>
      </c>
      <c r="R7855" s="2" t="inlineStr"/>
    </row>
    <row r="7856" ht="15" customHeight="1">
      <c r="A7856" t="inlineStr">
        <is>
          <t>A 44879-2022</t>
        </is>
      </c>
      <c r="B7856" s="1" t="n">
        <v>44839</v>
      </c>
      <c r="C7856" s="1" t="n">
        <v>45810</v>
      </c>
      <c r="D7856" t="inlineStr">
        <is>
          <t>VÄRMLANDS LÄN</t>
        </is>
      </c>
      <c r="E7856" t="inlineStr">
        <is>
          <t>TORSBY</t>
        </is>
      </c>
      <c r="G7856" t="n">
        <v>3.5</v>
      </c>
      <c r="H7856" t="n">
        <v>0</v>
      </c>
      <c r="I7856" t="n">
        <v>0</v>
      </c>
      <c r="J7856" t="n">
        <v>0</v>
      </c>
      <c r="K7856" t="n">
        <v>0</v>
      </c>
      <c r="L7856" t="n">
        <v>0</v>
      </c>
      <c r="M7856" t="n">
        <v>0</v>
      </c>
      <c r="N7856" t="n">
        <v>0</v>
      </c>
      <c r="O7856" t="n">
        <v>0</v>
      </c>
      <c r="P7856" t="n">
        <v>0</v>
      </c>
      <c r="Q7856" t="n">
        <v>0</v>
      </c>
      <c r="R7856" s="2" t="inlineStr"/>
    </row>
    <row r="7857" ht="15" customHeight="1">
      <c r="A7857" t="inlineStr">
        <is>
          <t>A 44484-2022</t>
        </is>
      </c>
      <c r="B7857" s="1" t="n">
        <v>44840</v>
      </c>
      <c r="C7857" s="1" t="n">
        <v>45810</v>
      </c>
      <c r="D7857" t="inlineStr">
        <is>
          <t>VÄRMLANDS LÄN</t>
        </is>
      </c>
      <c r="E7857" t="inlineStr">
        <is>
          <t>SUNNE</t>
        </is>
      </c>
      <c r="G7857" t="n">
        <v>1.3</v>
      </c>
      <c r="H7857" t="n">
        <v>0</v>
      </c>
      <c r="I7857" t="n">
        <v>0</v>
      </c>
      <c r="J7857" t="n">
        <v>0</v>
      </c>
      <c r="K7857" t="n">
        <v>0</v>
      </c>
      <c r="L7857" t="n">
        <v>0</v>
      </c>
      <c r="M7857" t="n">
        <v>0</v>
      </c>
      <c r="N7857" t="n">
        <v>0</v>
      </c>
      <c r="O7857" t="n">
        <v>0</v>
      </c>
      <c r="P7857" t="n">
        <v>0</v>
      </c>
      <c r="Q7857" t="n">
        <v>0</v>
      </c>
      <c r="R7857" s="2" t="inlineStr"/>
    </row>
    <row r="7858" ht="15" customHeight="1">
      <c r="A7858" t="inlineStr">
        <is>
          <t>A 44498-2022</t>
        </is>
      </c>
      <c r="B7858" s="1" t="n">
        <v>44840</v>
      </c>
      <c r="C7858" s="1" t="n">
        <v>45810</v>
      </c>
      <c r="D7858" t="inlineStr">
        <is>
          <t>VÄRMLANDS LÄN</t>
        </is>
      </c>
      <c r="E7858" t="inlineStr">
        <is>
          <t>TORSBY</t>
        </is>
      </c>
      <c r="G7858" t="n">
        <v>4.6</v>
      </c>
      <c r="H7858" t="n">
        <v>0</v>
      </c>
      <c r="I7858" t="n">
        <v>0</v>
      </c>
      <c r="J7858" t="n">
        <v>0</v>
      </c>
      <c r="K7858" t="n">
        <v>0</v>
      </c>
      <c r="L7858" t="n">
        <v>0</v>
      </c>
      <c r="M7858" t="n">
        <v>0</v>
      </c>
      <c r="N7858" t="n">
        <v>0</v>
      </c>
      <c r="O7858" t="n">
        <v>0</v>
      </c>
      <c r="P7858" t="n">
        <v>0</v>
      </c>
      <c r="Q7858" t="n">
        <v>0</v>
      </c>
      <c r="R7858" s="2" t="inlineStr"/>
    </row>
    <row r="7859" ht="15" customHeight="1">
      <c r="A7859" t="inlineStr">
        <is>
          <t>A 44554-2022</t>
        </is>
      </c>
      <c r="B7859" s="1" t="n">
        <v>44840</v>
      </c>
      <c r="C7859" s="1" t="n">
        <v>45810</v>
      </c>
      <c r="D7859" t="inlineStr">
        <is>
          <t>VÄRMLANDS LÄN</t>
        </is>
      </c>
      <c r="E7859" t="inlineStr">
        <is>
          <t>SÄFFLE</t>
        </is>
      </c>
      <c r="G7859" t="n">
        <v>6.3</v>
      </c>
      <c r="H7859" t="n">
        <v>0</v>
      </c>
      <c r="I7859" t="n">
        <v>0</v>
      </c>
      <c r="J7859" t="n">
        <v>0</v>
      </c>
      <c r="K7859" t="n">
        <v>0</v>
      </c>
      <c r="L7859" t="n">
        <v>0</v>
      </c>
      <c r="M7859" t="n">
        <v>0</v>
      </c>
      <c r="N7859" t="n">
        <v>0</v>
      </c>
      <c r="O7859" t="n">
        <v>0</v>
      </c>
      <c r="P7859" t="n">
        <v>0</v>
      </c>
      <c r="Q7859" t="n">
        <v>0</v>
      </c>
      <c r="R7859" s="2" t="inlineStr"/>
    </row>
    <row r="7860" ht="15" customHeight="1">
      <c r="A7860" t="inlineStr">
        <is>
          <t>A 44516-2022</t>
        </is>
      </c>
      <c r="B7860" s="1" t="n">
        <v>44840</v>
      </c>
      <c r="C7860" s="1" t="n">
        <v>45810</v>
      </c>
      <c r="D7860" t="inlineStr">
        <is>
          <t>VÄRMLANDS LÄN</t>
        </is>
      </c>
      <c r="E7860" t="inlineStr">
        <is>
          <t>TORSBY</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44979-2022</t>
        </is>
      </c>
      <c r="B7861" s="1" t="n">
        <v>44840</v>
      </c>
      <c r="C7861" s="1" t="n">
        <v>45810</v>
      </c>
      <c r="D7861" t="inlineStr">
        <is>
          <t>VÄRMLANDS LÄN</t>
        </is>
      </c>
      <c r="E7861" t="inlineStr">
        <is>
          <t>STORFORS</t>
        </is>
      </c>
      <c r="G7861" t="n">
        <v>7.9</v>
      </c>
      <c r="H7861" t="n">
        <v>0</v>
      </c>
      <c r="I7861" t="n">
        <v>0</v>
      </c>
      <c r="J7861" t="n">
        <v>0</v>
      </c>
      <c r="K7861" t="n">
        <v>0</v>
      </c>
      <c r="L7861" t="n">
        <v>0</v>
      </c>
      <c r="M7861" t="n">
        <v>0</v>
      </c>
      <c r="N7861" t="n">
        <v>0</v>
      </c>
      <c r="O7861" t="n">
        <v>0</v>
      </c>
      <c r="P7861" t="n">
        <v>0</v>
      </c>
      <c r="Q7861" t="n">
        <v>0</v>
      </c>
      <c r="R7861" s="2" t="inlineStr"/>
    </row>
    <row r="7862" ht="15" customHeight="1">
      <c r="A7862" t="inlineStr">
        <is>
          <t>A 44517-2022</t>
        </is>
      </c>
      <c r="B7862" s="1" t="n">
        <v>44840</v>
      </c>
      <c r="C7862" s="1" t="n">
        <v>45810</v>
      </c>
      <c r="D7862" t="inlineStr">
        <is>
          <t>VÄRMLANDS LÄN</t>
        </is>
      </c>
      <c r="E7862" t="inlineStr">
        <is>
          <t>TORSBY</t>
        </is>
      </c>
      <c r="G7862" t="n">
        <v>0.6</v>
      </c>
      <c r="H7862" t="n">
        <v>0</v>
      </c>
      <c r="I7862" t="n">
        <v>0</v>
      </c>
      <c r="J7862" t="n">
        <v>0</v>
      </c>
      <c r="K7862" t="n">
        <v>0</v>
      </c>
      <c r="L7862" t="n">
        <v>0</v>
      </c>
      <c r="M7862" t="n">
        <v>0</v>
      </c>
      <c r="N7862" t="n">
        <v>0</v>
      </c>
      <c r="O7862" t="n">
        <v>0</v>
      </c>
      <c r="P7862" t="n">
        <v>0</v>
      </c>
      <c r="Q7862" t="n">
        <v>0</v>
      </c>
      <c r="R7862" s="2" t="inlineStr"/>
    </row>
    <row r="7863" ht="15" customHeight="1">
      <c r="A7863" t="inlineStr">
        <is>
          <t>A 44532-2022</t>
        </is>
      </c>
      <c r="B7863" s="1" t="n">
        <v>44840</v>
      </c>
      <c r="C7863" s="1" t="n">
        <v>45810</v>
      </c>
      <c r="D7863" t="inlineStr">
        <is>
          <t>VÄRMLANDS LÄN</t>
        </is>
      </c>
      <c r="E7863" t="inlineStr">
        <is>
          <t>TORSBY</t>
        </is>
      </c>
      <c r="G7863" t="n">
        <v>12.3</v>
      </c>
      <c r="H7863" t="n">
        <v>0</v>
      </c>
      <c r="I7863" t="n">
        <v>0</v>
      </c>
      <c r="J7863" t="n">
        <v>0</v>
      </c>
      <c r="K7863" t="n">
        <v>0</v>
      </c>
      <c r="L7863" t="n">
        <v>0</v>
      </c>
      <c r="M7863" t="n">
        <v>0</v>
      </c>
      <c r="N7863" t="n">
        <v>0</v>
      </c>
      <c r="O7863" t="n">
        <v>0</v>
      </c>
      <c r="P7863" t="n">
        <v>0</v>
      </c>
      <c r="Q7863" t="n">
        <v>0</v>
      </c>
      <c r="R7863" s="2" t="inlineStr"/>
    </row>
    <row r="7864" ht="15" customHeight="1">
      <c r="A7864" t="inlineStr">
        <is>
          <t>A 44561-2022</t>
        </is>
      </c>
      <c r="B7864" s="1" t="n">
        <v>44840</v>
      </c>
      <c r="C7864" s="1" t="n">
        <v>45810</v>
      </c>
      <c r="D7864" t="inlineStr">
        <is>
          <t>VÄRMLANDS LÄN</t>
        </is>
      </c>
      <c r="E7864" t="inlineStr">
        <is>
          <t>SÄFFLE</t>
        </is>
      </c>
      <c r="G7864" t="n">
        <v>6.6</v>
      </c>
      <c r="H7864" t="n">
        <v>0</v>
      </c>
      <c r="I7864" t="n">
        <v>0</v>
      </c>
      <c r="J7864" t="n">
        <v>0</v>
      </c>
      <c r="K7864" t="n">
        <v>0</v>
      </c>
      <c r="L7864" t="n">
        <v>0</v>
      </c>
      <c r="M7864" t="n">
        <v>0</v>
      </c>
      <c r="N7864" t="n">
        <v>0</v>
      </c>
      <c r="O7864" t="n">
        <v>0</v>
      </c>
      <c r="P7864" t="n">
        <v>0</v>
      </c>
      <c r="Q7864" t="n">
        <v>0</v>
      </c>
      <c r="R7864" s="2" t="inlineStr"/>
    </row>
    <row r="7865" ht="15" customHeight="1">
      <c r="A7865" t="inlineStr">
        <is>
          <t>A 44694-2022</t>
        </is>
      </c>
      <c r="B7865" s="1" t="n">
        <v>44840</v>
      </c>
      <c r="C7865" s="1" t="n">
        <v>45810</v>
      </c>
      <c r="D7865" t="inlineStr">
        <is>
          <t>VÄRMLANDS LÄN</t>
        </is>
      </c>
      <c r="E7865" t="inlineStr">
        <is>
          <t>EDA</t>
        </is>
      </c>
      <c r="G7865" t="n">
        <v>1.1</v>
      </c>
      <c r="H7865" t="n">
        <v>0</v>
      </c>
      <c r="I7865" t="n">
        <v>0</v>
      </c>
      <c r="J7865" t="n">
        <v>0</v>
      </c>
      <c r="K7865" t="n">
        <v>0</v>
      </c>
      <c r="L7865" t="n">
        <v>0</v>
      </c>
      <c r="M7865" t="n">
        <v>0</v>
      </c>
      <c r="N7865" t="n">
        <v>0</v>
      </c>
      <c r="O7865" t="n">
        <v>0</v>
      </c>
      <c r="P7865" t="n">
        <v>0</v>
      </c>
      <c r="Q7865" t="n">
        <v>0</v>
      </c>
      <c r="R7865" s="2" t="inlineStr"/>
    </row>
    <row r="7866" ht="15" customHeight="1">
      <c r="A7866" t="inlineStr">
        <is>
          <t>A 44708-2022</t>
        </is>
      </c>
      <c r="B7866" s="1" t="n">
        <v>44840</v>
      </c>
      <c r="C7866" s="1" t="n">
        <v>45810</v>
      </c>
      <c r="D7866" t="inlineStr">
        <is>
          <t>VÄRMLANDS LÄN</t>
        </is>
      </c>
      <c r="E7866" t="inlineStr">
        <is>
          <t>TORSBY</t>
        </is>
      </c>
      <c r="G7866" t="n">
        <v>2.4</v>
      </c>
      <c r="H7866" t="n">
        <v>0</v>
      </c>
      <c r="I7866" t="n">
        <v>0</v>
      </c>
      <c r="J7866" t="n">
        <v>0</v>
      </c>
      <c r="K7866" t="n">
        <v>0</v>
      </c>
      <c r="L7866" t="n">
        <v>0</v>
      </c>
      <c r="M7866" t="n">
        <v>0</v>
      </c>
      <c r="N7866" t="n">
        <v>0</v>
      </c>
      <c r="O7866" t="n">
        <v>0</v>
      </c>
      <c r="P7866" t="n">
        <v>0</v>
      </c>
      <c r="Q7866" t="n">
        <v>0</v>
      </c>
      <c r="R7866" s="2" t="inlineStr"/>
    </row>
    <row r="7867" ht="15" customHeight="1">
      <c r="A7867" t="inlineStr">
        <is>
          <t>A 44566-2022</t>
        </is>
      </c>
      <c r="B7867" s="1" t="n">
        <v>44840</v>
      </c>
      <c r="C7867" s="1" t="n">
        <v>45810</v>
      </c>
      <c r="D7867" t="inlineStr">
        <is>
          <t>VÄRMLANDS LÄN</t>
        </is>
      </c>
      <c r="E7867" t="inlineStr">
        <is>
          <t>SÄFFLE</t>
        </is>
      </c>
      <c r="G7867" t="n">
        <v>4.4</v>
      </c>
      <c r="H7867" t="n">
        <v>0</v>
      </c>
      <c r="I7867" t="n">
        <v>0</v>
      </c>
      <c r="J7867" t="n">
        <v>0</v>
      </c>
      <c r="K7867" t="n">
        <v>0</v>
      </c>
      <c r="L7867" t="n">
        <v>0</v>
      </c>
      <c r="M7867" t="n">
        <v>0</v>
      </c>
      <c r="N7867" t="n">
        <v>0</v>
      </c>
      <c r="O7867" t="n">
        <v>0</v>
      </c>
      <c r="P7867" t="n">
        <v>0</v>
      </c>
      <c r="Q7867" t="n">
        <v>0</v>
      </c>
      <c r="R7867" s="2" t="inlineStr"/>
    </row>
    <row r="7868" ht="15" customHeight="1">
      <c r="A7868" t="inlineStr">
        <is>
          <t>A 44691-2022</t>
        </is>
      </c>
      <c r="B7868" s="1" t="n">
        <v>44840</v>
      </c>
      <c r="C7868" s="1" t="n">
        <v>45810</v>
      </c>
      <c r="D7868" t="inlineStr">
        <is>
          <t>VÄRMLANDS LÄN</t>
        </is>
      </c>
      <c r="E7868" t="inlineStr">
        <is>
          <t>EDA</t>
        </is>
      </c>
      <c r="G7868" t="n">
        <v>1.8</v>
      </c>
      <c r="H7868" t="n">
        <v>0</v>
      </c>
      <c r="I7868" t="n">
        <v>0</v>
      </c>
      <c r="J7868" t="n">
        <v>0</v>
      </c>
      <c r="K7868" t="n">
        <v>0</v>
      </c>
      <c r="L7868" t="n">
        <v>0</v>
      </c>
      <c r="M7868" t="n">
        <v>0</v>
      </c>
      <c r="N7868" t="n">
        <v>0</v>
      </c>
      <c r="O7868" t="n">
        <v>0</v>
      </c>
      <c r="P7868" t="n">
        <v>0</v>
      </c>
      <c r="Q7868" t="n">
        <v>0</v>
      </c>
      <c r="R7868" s="2" t="inlineStr"/>
    </row>
    <row r="7869" ht="15" customHeight="1">
      <c r="A7869" t="inlineStr">
        <is>
          <t>A 44683-2022</t>
        </is>
      </c>
      <c r="B7869" s="1" t="n">
        <v>44840</v>
      </c>
      <c r="C7869" s="1" t="n">
        <v>45810</v>
      </c>
      <c r="D7869" t="inlineStr">
        <is>
          <t>VÄRMLANDS LÄN</t>
        </is>
      </c>
      <c r="E7869" t="inlineStr">
        <is>
          <t>FILIPSTAD</t>
        </is>
      </c>
      <c r="G7869" t="n">
        <v>1.7</v>
      </c>
      <c r="H7869" t="n">
        <v>0</v>
      </c>
      <c r="I7869" t="n">
        <v>0</v>
      </c>
      <c r="J7869" t="n">
        <v>0</v>
      </c>
      <c r="K7869" t="n">
        <v>0</v>
      </c>
      <c r="L7869" t="n">
        <v>0</v>
      </c>
      <c r="M7869" t="n">
        <v>0</v>
      </c>
      <c r="N7869" t="n">
        <v>0</v>
      </c>
      <c r="O7869" t="n">
        <v>0</v>
      </c>
      <c r="P7869" t="n">
        <v>0</v>
      </c>
      <c r="Q7869" t="n">
        <v>0</v>
      </c>
      <c r="R7869" s="2" t="inlineStr"/>
    </row>
    <row r="7870" ht="15" customHeight="1">
      <c r="A7870" t="inlineStr">
        <is>
          <t>A 45132-2022</t>
        </is>
      </c>
      <c r="B7870" s="1" t="n">
        <v>44840</v>
      </c>
      <c r="C7870" s="1" t="n">
        <v>45810</v>
      </c>
      <c r="D7870" t="inlineStr">
        <is>
          <t>VÄRMLANDS LÄN</t>
        </is>
      </c>
      <c r="E7870" t="inlineStr">
        <is>
          <t>EDA</t>
        </is>
      </c>
      <c r="G7870" t="n">
        <v>12</v>
      </c>
      <c r="H7870" t="n">
        <v>0</v>
      </c>
      <c r="I7870" t="n">
        <v>0</v>
      </c>
      <c r="J7870" t="n">
        <v>0</v>
      </c>
      <c r="K7870" t="n">
        <v>0</v>
      </c>
      <c r="L7870" t="n">
        <v>0</v>
      </c>
      <c r="M7870" t="n">
        <v>0</v>
      </c>
      <c r="N7870" t="n">
        <v>0</v>
      </c>
      <c r="O7870" t="n">
        <v>0</v>
      </c>
      <c r="P7870" t="n">
        <v>0</v>
      </c>
      <c r="Q7870" t="n">
        <v>0</v>
      </c>
      <c r="R7870" s="2" t="inlineStr"/>
    </row>
    <row r="7871" ht="15" customHeight="1">
      <c r="A7871" t="inlineStr">
        <is>
          <t>A 44802-2022</t>
        </is>
      </c>
      <c r="B7871" s="1" t="n">
        <v>44841</v>
      </c>
      <c r="C7871" s="1" t="n">
        <v>45810</v>
      </c>
      <c r="D7871" t="inlineStr">
        <is>
          <t>VÄRMLANDS LÄN</t>
        </is>
      </c>
      <c r="E7871" t="inlineStr">
        <is>
          <t>STORFORS</t>
        </is>
      </c>
      <c r="G7871" t="n">
        <v>0.5</v>
      </c>
      <c r="H7871" t="n">
        <v>0</v>
      </c>
      <c r="I7871" t="n">
        <v>0</v>
      </c>
      <c r="J7871" t="n">
        <v>0</v>
      </c>
      <c r="K7871" t="n">
        <v>0</v>
      </c>
      <c r="L7871" t="n">
        <v>0</v>
      </c>
      <c r="M7871" t="n">
        <v>0</v>
      </c>
      <c r="N7871" t="n">
        <v>0</v>
      </c>
      <c r="O7871" t="n">
        <v>0</v>
      </c>
      <c r="P7871" t="n">
        <v>0</v>
      </c>
      <c r="Q7871" t="n">
        <v>0</v>
      </c>
      <c r="R7871" s="2" t="inlineStr"/>
    </row>
    <row r="7872" ht="15" customHeight="1">
      <c r="A7872" t="inlineStr">
        <is>
          <t>A 44845-2022</t>
        </is>
      </c>
      <c r="B7872" s="1" t="n">
        <v>44841</v>
      </c>
      <c r="C7872" s="1" t="n">
        <v>45810</v>
      </c>
      <c r="D7872" t="inlineStr">
        <is>
          <t>VÄRMLANDS LÄN</t>
        </is>
      </c>
      <c r="E7872" t="inlineStr">
        <is>
          <t>SUNNE</t>
        </is>
      </c>
      <c r="G7872" t="n">
        <v>0.6</v>
      </c>
      <c r="H7872" t="n">
        <v>0</v>
      </c>
      <c r="I7872" t="n">
        <v>0</v>
      </c>
      <c r="J7872" t="n">
        <v>0</v>
      </c>
      <c r="K7872" t="n">
        <v>0</v>
      </c>
      <c r="L7872" t="n">
        <v>0</v>
      </c>
      <c r="M7872" t="n">
        <v>0</v>
      </c>
      <c r="N7872" t="n">
        <v>0</v>
      </c>
      <c r="O7872" t="n">
        <v>0</v>
      </c>
      <c r="P7872" t="n">
        <v>0</v>
      </c>
      <c r="Q7872" t="n">
        <v>0</v>
      </c>
      <c r="R7872" s="2" t="inlineStr"/>
    </row>
    <row r="7873" ht="15" customHeight="1">
      <c r="A7873" t="inlineStr">
        <is>
          <t>A 44860-2022</t>
        </is>
      </c>
      <c r="B7873" s="1" t="n">
        <v>44841</v>
      </c>
      <c r="C7873" s="1" t="n">
        <v>45810</v>
      </c>
      <c r="D7873" t="inlineStr">
        <is>
          <t>VÄRMLANDS LÄN</t>
        </is>
      </c>
      <c r="E7873" t="inlineStr">
        <is>
          <t>SUNNE</t>
        </is>
      </c>
      <c r="G7873" t="n">
        <v>2.4</v>
      </c>
      <c r="H7873" t="n">
        <v>0</v>
      </c>
      <c r="I7873" t="n">
        <v>0</v>
      </c>
      <c r="J7873" t="n">
        <v>0</v>
      </c>
      <c r="K7873" t="n">
        <v>0</v>
      </c>
      <c r="L7873" t="n">
        <v>0</v>
      </c>
      <c r="M7873" t="n">
        <v>0</v>
      </c>
      <c r="N7873" t="n">
        <v>0</v>
      </c>
      <c r="O7873" t="n">
        <v>0</v>
      </c>
      <c r="P7873" t="n">
        <v>0</v>
      </c>
      <c r="Q7873" t="n">
        <v>0</v>
      </c>
      <c r="R7873" s="2" t="inlineStr"/>
    </row>
    <row r="7874" ht="15" customHeight="1">
      <c r="A7874" t="inlineStr">
        <is>
          <t>A 44894-2022</t>
        </is>
      </c>
      <c r="B7874" s="1" t="n">
        <v>44841</v>
      </c>
      <c r="C7874" s="1" t="n">
        <v>45810</v>
      </c>
      <c r="D7874" t="inlineStr">
        <is>
          <t>VÄRMLANDS LÄN</t>
        </is>
      </c>
      <c r="E7874" t="inlineStr">
        <is>
          <t>SUNNE</t>
        </is>
      </c>
      <c r="G7874" t="n">
        <v>2.4</v>
      </c>
      <c r="H7874" t="n">
        <v>0</v>
      </c>
      <c r="I7874" t="n">
        <v>0</v>
      </c>
      <c r="J7874" t="n">
        <v>0</v>
      </c>
      <c r="K7874" t="n">
        <v>0</v>
      </c>
      <c r="L7874" t="n">
        <v>0</v>
      </c>
      <c r="M7874" t="n">
        <v>0</v>
      </c>
      <c r="N7874" t="n">
        <v>0</v>
      </c>
      <c r="O7874" t="n">
        <v>0</v>
      </c>
      <c r="P7874" t="n">
        <v>0</v>
      </c>
      <c r="Q7874" t="n">
        <v>0</v>
      </c>
      <c r="R7874" s="2" t="inlineStr"/>
    </row>
    <row r="7875" ht="15" customHeight="1">
      <c r="A7875" t="inlineStr">
        <is>
          <t>A 44899-2022</t>
        </is>
      </c>
      <c r="B7875" s="1" t="n">
        <v>44841</v>
      </c>
      <c r="C7875" s="1" t="n">
        <v>45810</v>
      </c>
      <c r="D7875" t="inlineStr">
        <is>
          <t>VÄRMLANDS LÄN</t>
        </is>
      </c>
      <c r="E7875" t="inlineStr">
        <is>
          <t>SUNNE</t>
        </is>
      </c>
      <c r="G7875" t="n">
        <v>1.3</v>
      </c>
      <c r="H7875" t="n">
        <v>0</v>
      </c>
      <c r="I7875" t="n">
        <v>0</v>
      </c>
      <c r="J7875" t="n">
        <v>0</v>
      </c>
      <c r="K7875" t="n">
        <v>0</v>
      </c>
      <c r="L7875" t="n">
        <v>0</v>
      </c>
      <c r="M7875" t="n">
        <v>0</v>
      </c>
      <c r="N7875" t="n">
        <v>0</v>
      </c>
      <c r="O7875" t="n">
        <v>0</v>
      </c>
      <c r="P7875" t="n">
        <v>0</v>
      </c>
      <c r="Q7875" t="n">
        <v>0</v>
      </c>
      <c r="R7875" s="2" t="inlineStr"/>
    </row>
    <row r="7876" ht="15" customHeight="1">
      <c r="A7876" t="inlineStr">
        <is>
          <t>A 44783-2022</t>
        </is>
      </c>
      <c r="B7876" s="1" t="n">
        <v>44841</v>
      </c>
      <c r="C7876" s="1" t="n">
        <v>45810</v>
      </c>
      <c r="D7876" t="inlineStr">
        <is>
          <t>VÄRMLANDS LÄN</t>
        </is>
      </c>
      <c r="E7876" t="inlineStr">
        <is>
          <t>STORFORS</t>
        </is>
      </c>
      <c r="G7876" t="n">
        <v>0.7</v>
      </c>
      <c r="H7876" t="n">
        <v>0</v>
      </c>
      <c r="I7876" t="n">
        <v>0</v>
      </c>
      <c r="J7876" t="n">
        <v>0</v>
      </c>
      <c r="K7876" t="n">
        <v>0</v>
      </c>
      <c r="L7876" t="n">
        <v>0</v>
      </c>
      <c r="M7876" t="n">
        <v>0</v>
      </c>
      <c r="N7876" t="n">
        <v>0</v>
      </c>
      <c r="O7876" t="n">
        <v>0</v>
      </c>
      <c r="P7876" t="n">
        <v>0</v>
      </c>
      <c r="Q7876" t="n">
        <v>0</v>
      </c>
      <c r="R7876" s="2" t="inlineStr"/>
    </row>
    <row r="7877" ht="15" customHeight="1">
      <c r="A7877" t="inlineStr">
        <is>
          <t>A 44795-2022</t>
        </is>
      </c>
      <c r="B7877" s="1" t="n">
        <v>44841</v>
      </c>
      <c r="C7877" s="1" t="n">
        <v>45810</v>
      </c>
      <c r="D7877" t="inlineStr">
        <is>
          <t>VÄRMLANDS LÄN</t>
        </is>
      </c>
      <c r="E7877" t="inlineStr">
        <is>
          <t>STORFORS</t>
        </is>
      </c>
      <c r="G7877" t="n">
        <v>2.5</v>
      </c>
      <c r="H7877" t="n">
        <v>0</v>
      </c>
      <c r="I7877" t="n">
        <v>0</v>
      </c>
      <c r="J7877" t="n">
        <v>0</v>
      </c>
      <c r="K7877" t="n">
        <v>0</v>
      </c>
      <c r="L7877" t="n">
        <v>0</v>
      </c>
      <c r="M7877" t="n">
        <v>0</v>
      </c>
      <c r="N7877" t="n">
        <v>0</v>
      </c>
      <c r="O7877" t="n">
        <v>0</v>
      </c>
      <c r="P7877" t="n">
        <v>0</v>
      </c>
      <c r="Q7877" t="n">
        <v>0</v>
      </c>
      <c r="R7877" s="2" t="inlineStr"/>
    </row>
    <row r="7878" ht="15" customHeight="1">
      <c r="A7878" t="inlineStr">
        <is>
          <t>A 44971-2022</t>
        </is>
      </c>
      <c r="B7878" s="1" t="n">
        <v>44841</v>
      </c>
      <c r="C7878" s="1" t="n">
        <v>45810</v>
      </c>
      <c r="D7878" t="inlineStr">
        <is>
          <t>VÄRMLANDS LÄN</t>
        </is>
      </c>
      <c r="E7878" t="inlineStr">
        <is>
          <t>FILIPSTAD</t>
        </is>
      </c>
      <c r="F7878" t="inlineStr">
        <is>
          <t>Bergvik skog väst AB</t>
        </is>
      </c>
      <c r="G7878" t="n">
        <v>10</v>
      </c>
      <c r="H7878" t="n">
        <v>0</v>
      </c>
      <c r="I7878" t="n">
        <v>0</v>
      </c>
      <c r="J7878" t="n">
        <v>0</v>
      </c>
      <c r="K7878" t="n">
        <v>0</v>
      </c>
      <c r="L7878" t="n">
        <v>0</v>
      </c>
      <c r="M7878" t="n">
        <v>0</v>
      </c>
      <c r="N7878" t="n">
        <v>0</v>
      </c>
      <c r="O7878" t="n">
        <v>0</v>
      </c>
      <c r="P7878" t="n">
        <v>0</v>
      </c>
      <c r="Q7878" t="n">
        <v>0</v>
      </c>
      <c r="R7878" s="2" t="inlineStr"/>
    </row>
    <row r="7879" ht="15" customHeight="1">
      <c r="A7879" t="inlineStr">
        <is>
          <t>A 45056-2022</t>
        </is>
      </c>
      <c r="B7879" s="1" t="n">
        <v>44841</v>
      </c>
      <c r="C7879" s="1" t="n">
        <v>45810</v>
      </c>
      <c r="D7879" t="inlineStr">
        <is>
          <t>VÄRMLANDS LÄN</t>
        </is>
      </c>
      <c r="E7879" t="inlineStr">
        <is>
          <t>TORSBY</t>
        </is>
      </c>
      <c r="G7879" t="n">
        <v>1.9</v>
      </c>
      <c r="H7879" t="n">
        <v>0</v>
      </c>
      <c r="I7879" t="n">
        <v>0</v>
      </c>
      <c r="J7879" t="n">
        <v>0</v>
      </c>
      <c r="K7879" t="n">
        <v>0</v>
      </c>
      <c r="L7879" t="n">
        <v>0</v>
      </c>
      <c r="M7879" t="n">
        <v>0</v>
      </c>
      <c r="N7879" t="n">
        <v>0</v>
      </c>
      <c r="O7879" t="n">
        <v>0</v>
      </c>
      <c r="P7879" t="n">
        <v>0</v>
      </c>
      <c r="Q7879" t="n">
        <v>0</v>
      </c>
      <c r="R7879" s="2" t="inlineStr"/>
    </row>
    <row r="7880" ht="15" customHeight="1">
      <c r="A7880" t="inlineStr">
        <is>
          <t>A 45563-2022</t>
        </is>
      </c>
      <c r="B7880" s="1" t="n">
        <v>44841</v>
      </c>
      <c r="C7880" s="1" t="n">
        <v>45810</v>
      </c>
      <c r="D7880" t="inlineStr">
        <is>
          <t>VÄRMLANDS LÄN</t>
        </is>
      </c>
      <c r="E7880" t="inlineStr">
        <is>
          <t>KRISTINEHAMN</t>
        </is>
      </c>
      <c r="G7880" t="n">
        <v>6.9</v>
      </c>
      <c r="H7880" t="n">
        <v>0</v>
      </c>
      <c r="I7880" t="n">
        <v>0</v>
      </c>
      <c r="J7880" t="n">
        <v>0</v>
      </c>
      <c r="K7880" t="n">
        <v>0</v>
      </c>
      <c r="L7880" t="n">
        <v>0</v>
      </c>
      <c r="M7880" t="n">
        <v>0</v>
      </c>
      <c r="N7880" t="n">
        <v>0</v>
      </c>
      <c r="O7880" t="n">
        <v>0</v>
      </c>
      <c r="P7880" t="n">
        <v>0</v>
      </c>
      <c r="Q7880" t="n">
        <v>0</v>
      </c>
      <c r="R7880" s="2" t="inlineStr"/>
    </row>
    <row r="7881" ht="15" customHeight="1">
      <c r="A7881" t="inlineStr">
        <is>
          <t>A 45122-2022</t>
        </is>
      </c>
      <c r="B7881" s="1" t="n">
        <v>44843</v>
      </c>
      <c r="C7881" s="1" t="n">
        <v>45810</v>
      </c>
      <c r="D7881" t="inlineStr">
        <is>
          <t>VÄRMLANDS LÄN</t>
        </is>
      </c>
      <c r="E7881" t="inlineStr">
        <is>
          <t>KRISTINEHAMN</t>
        </is>
      </c>
      <c r="G7881" t="n">
        <v>3.3</v>
      </c>
      <c r="H7881" t="n">
        <v>0</v>
      </c>
      <c r="I7881" t="n">
        <v>0</v>
      </c>
      <c r="J7881" t="n">
        <v>0</v>
      </c>
      <c r="K7881" t="n">
        <v>0</v>
      </c>
      <c r="L7881" t="n">
        <v>0</v>
      </c>
      <c r="M7881" t="n">
        <v>0</v>
      </c>
      <c r="N7881" t="n">
        <v>0</v>
      </c>
      <c r="O7881" t="n">
        <v>0</v>
      </c>
      <c r="P7881" t="n">
        <v>0</v>
      </c>
      <c r="Q7881" t="n">
        <v>0</v>
      </c>
      <c r="R7881" s="2" t="inlineStr"/>
    </row>
    <row r="7882" ht="15" customHeight="1">
      <c r="A7882" t="inlineStr">
        <is>
          <t>A 45135-2022</t>
        </is>
      </c>
      <c r="B7882" s="1" t="n">
        <v>44844</v>
      </c>
      <c r="C7882" s="1" t="n">
        <v>45810</v>
      </c>
      <c r="D7882" t="inlineStr">
        <is>
          <t>VÄRMLANDS LÄN</t>
        </is>
      </c>
      <c r="E7882" t="inlineStr">
        <is>
          <t>ÅRJÄNG</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45303-2022</t>
        </is>
      </c>
      <c r="B7883" s="1" t="n">
        <v>44844</v>
      </c>
      <c r="C7883" s="1" t="n">
        <v>45810</v>
      </c>
      <c r="D7883" t="inlineStr">
        <is>
          <t>VÄRMLANDS LÄN</t>
        </is>
      </c>
      <c r="E7883" t="inlineStr">
        <is>
          <t>TORSBY</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45368-2022</t>
        </is>
      </c>
      <c r="B7884" s="1" t="n">
        <v>44844</v>
      </c>
      <c r="C7884" s="1" t="n">
        <v>45810</v>
      </c>
      <c r="D7884" t="inlineStr">
        <is>
          <t>VÄRMLANDS LÄN</t>
        </is>
      </c>
      <c r="E7884" t="inlineStr">
        <is>
          <t>TORSBY</t>
        </is>
      </c>
      <c r="F7884" t="inlineStr">
        <is>
          <t>Bergvik skog väst AB</t>
        </is>
      </c>
      <c r="G7884" t="n">
        <v>3.4</v>
      </c>
      <c r="H7884" t="n">
        <v>0</v>
      </c>
      <c r="I7884" t="n">
        <v>0</v>
      </c>
      <c r="J7884" t="n">
        <v>0</v>
      </c>
      <c r="K7884" t="n">
        <v>0</v>
      </c>
      <c r="L7884" t="n">
        <v>0</v>
      </c>
      <c r="M7884" t="n">
        <v>0</v>
      </c>
      <c r="N7884" t="n">
        <v>0</v>
      </c>
      <c r="O7884" t="n">
        <v>0</v>
      </c>
      <c r="P7884" t="n">
        <v>0</v>
      </c>
      <c r="Q7884" t="n">
        <v>0</v>
      </c>
      <c r="R7884" s="2" t="inlineStr"/>
    </row>
    <row r="7885" ht="15" customHeight="1">
      <c r="A7885" t="inlineStr">
        <is>
          <t>A 45384-2022</t>
        </is>
      </c>
      <c r="B7885" s="1" t="n">
        <v>44844</v>
      </c>
      <c r="C7885" s="1" t="n">
        <v>45810</v>
      </c>
      <c r="D7885" t="inlineStr">
        <is>
          <t>VÄRMLANDS LÄN</t>
        </is>
      </c>
      <c r="E7885" t="inlineStr">
        <is>
          <t>GRUMS</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45328-2022</t>
        </is>
      </c>
      <c r="B7886" s="1" t="n">
        <v>44844</v>
      </c>
      <c r="C7886" s="1" t="n">
        <v>45810</v>
      </c>
      <c r="D7886" t="inlineStr">
        <is>
          <t>VÄRMLANDS LÄN</t>
        </is>
      </c>
      <c r="E7886" t="inlineStr">
        <is>
          <t>TORSBY</t>
        </is>
      </c>
      <c r="G7886" t="n">
        <v>2.4</v>
      </c>
      <c r="H7886" t="n">
        <v>0</v>
      </c>
      <c r="I7886" t="n">
        <v>0</v>
      </c>
      <c r="J7886" t="n">
        <v>0</v>
      </c>
      <c r="K7886" t="n">
        <v>0</v>
      </c>
      <c r="L7886" t="n">
        <v>0</v>
      </c>
      <c r="M7886" t="n">
        <v>0</v>
      </c>
      <c r="N7886" t="n">
        <v>0</v>
      </c>
      <c r="O7886" t="n">
        <v>0</v>
      </c>
      <c r="P7886" t="n">
        <v>0</v>
      </c>
      <c r="Q7886" t="n">
        <v>0</v>
      </c>
      <c r="R7886" s="2" t="inlineStr"/>
    </row>
    <row r="7887" ht="15" customHeight="1">
      <c r="A7887" t="inlineStr">
        <is>
          <t>A 45325-2022</t>
        </is>
      </c>
      <c r="B7887" s="1" t="n">
        <v>44844</v>
      </c>
      <c r="C7887" s="1" t="n">
        <v>45810</v>
      </c>
      <c r="D7887" t="inlineStr">
        <is>
          <t>VÄRMLANDS LÄN</t>
        </is>
      </c>
      <c r="E7887" t="inlineStr">
        <is>
          <t>TORSBY</t>
        </is>
      </c>
      <c r="G7887" t="n">
        <v>2.9</v>
      </c>
      <c r="H7887" t="n">
        <v>0</v>
      </c>
      <c r="I7887" t="n">
        <v>0</v>
      </c>
      <c r="J7887" t="n">
        <v>0</v>
      </c>
      <c r="K7887" t="n">
        <v>0</v>
      </c>
      <c r="L7887" t="n">
        <v>0</v>
      </c>
      <c r="M7887" t="n">
        <v>0</v>
      </c>
      <c r="N7887" t="n">
        <v>0</v>
      </c>
      <c r="O7887" t="n">
        <v>0</v>
      </c>
      <c r="P7887" t="n">
        <v>0</v>
      </c>
      <c r="Q7887" t="n">
        <v>0</v>
      </c>
      <c r="R7887" s="2" t="inlineStr"/>
    </row>
    <row r="7888" ht="15" customHeight="1">
      <c r="A7888" t="inlineStr">
        <is>
          <t>A 45337-2022</t>
        </is>
      </c>
      <c r="B7888" s="1" t="n">
        <v>44844</v>
      </c>
      <c r="C7888" s="1" t="n">
        <v>45810</v>
      </c>
      <c r="D7888" t="inlineStr">
        <is>
          <t>VÄRMLANDS LÄN</t>
        </is>
      </c>
      <c r="E7888" t="inlineStr">
        <is>
          <t>HAGFORS</t>
        </is>
      </c>
      <c r="F7888" t="inlineStr">
        <is>
          <t>Bergvik skog väst AB</t>
        </is>
      </c>
      <c r="G7888" t="n">
        <v>15.9</v>
      </c>
      <c r="H7888" t="n">
        <v>0</v>
      </c>
      <c r="I7888" t="n">
        <v>0</v>
      </c>
      <c r="J7888" t="n">
        <v>0</v>
      </c>
      <c r="K7888" t="n">
        <v>0</v>
      </c>
      <c r="L7888" t="n">
        <v>0</v>
      </c>
      <c r="M7888" t="n">
        <v>0</v>
      </c>
      <c r="N7888" t="n">
        <v>0</v>
      </c>
      <c r="O7888" t="n">
        <v>0</v>
      </c>
      <c r="P7888" t="n">
        <v>0</v>
      </c>
      <c r="Q7888" t="n">
        <v>0</v>
      </c>
      <c r="R7888" s="2" t="inlineStr"/>
    </row>
    <row r="7889" ht="15" customHeight="1">
      <c r="A7889" t="inlineStr">
        <is>
          <t>A 45363-2022</t>
        </is>
      </c>
      <c r="B7889" s="1" t="n">
        <v>44844</v>
      </c>
      <c r="C7889" s="1" t="n">
        <v>45810</v>
      </c>
      <c r="D7889" t="inlineStr">
        <is>
          <t>VÄRMLANDS LÄN</t>
        </is>
      </c>
      <c r="E7889" t="inlineStr">
        <is>
          <t>ARVIKA</t>
        </is>
      </c>
      <c r="F7889" t="inlineStr">
        <is>
          <t>Bergvik skog väst AB</t>
        </is>
      </c>
      <c r="G7889" t="n">
        <v>16.6</v>
      </c>
      <c r="H7889" t="n">
        <v>0</v>
      </c>
      <c r="I7889" t="n">
        <v>0</v>
      </c>
      <c r="J7889" t="n">
        <v>0</v>
      </c>
      <c r="K7889" t="n">
        <v>0</v>
      </c>
      <c r="L7889" t="n">
        <v>0</v>
      </c>
      <c r="M7889" t="n">
        <v>0</v>
      </c>
      <c r="N7889" t="n">
        <v>0</v>
      </c>
      <c r="O7889" t="n">
        <v>0</v>
      </c>
      <c r="P7889" t="n">
        <v>0</v>
      </c>
      <c r="Q7889" t="n">
        <v>0</v>
      </c>
      <c r="R7889" s="2" t="inlineStr"/>
    </row>
    <row r="7890" ht="15" customHeight="1">
      <c r="A7890" t="inlineStr">
        <is>
          <t>A 45372-2022</t>
        </is>
      </c>
      <c r="B7890" s="1" t="n">
        <v>44844</v>
      </c>
      <c r="C7890" s="1" t="n">
        <v>45810</v>
      </c>
      <c r="D7890" t="inlineStr">
        <is>
          <t>VÄRMLANDS LÄN</t>
        </is>
      </c>
      <c r="E7890" t="inlineStr">
        <is>
          <t>FILIPSTAD</t>
        </is>
      </c>
      <c r="F7890" t="inlineStr">
        <is>
          <t>Bergvik skog väst AB</t>
        </is>
      </c>
      <c r="G7890" t="n">
        <v>9.300000000000001</v>
      </c>
      <c r="H7890" t="n">
        <v>0</v>
      </c>
      <c r="I7890" t="n">
        <v>0</v>
      </c>
      <c r="J7890" t="n">
        <v>0</v>
      </c>
      <c r="K7890" t="n">
        <v>0</v>
      </c>
      <c r="L7890" t="n">
        <v>0</v>
      </c>
      <c r="M7890" t="n">
        <v>0</v>
      </c>
      <c r="N7890" t="n">
        <v>0</v>
      </c>
      <c r="O7890" t="n">
        <v>0</v>
      </c>
      <c r="P7890" t="n">
        <v>0</v>
      </c>
      <c r="Q7890" t="n">
        <v>0</v>
      </c>
      <c r="R7890" s="2" t="inlineStr"/>
    </row>
    <row r="7891" ht="15" customHeight="1">
      <c r="A7891" t="inlineStr">
        <is>
          <t>A 45383-2022</t>
        </is>
      </c>
      <c r="B7891" s="1" t="n">
        <v>44844</v>
      </c>
      <c r="C7891" s="1" t="n">
        <v>45810</v>
      </c>
      <c r="D7891" t="inlineStr">
        <is>
          <t>VÄRMLANDS LÄN</t>
        </is>
      </c>
      <c r="E7891" t="inlineStr">
        <is>
          <t>KRISTINEHAMN</t>
        </is>
      </c>
      <c r="F7891" t="inlineStr">
        <is>
          <t>Naturvårdsverket</t>
        </is>
      </c>
      <c r="G7891" t="n">
        <v>0.7</v>
      </c>
      <c r="H7891" t="n">
        <v>0</v>
      </c>
      <c r="I7891" t="n">
        <v>0</v>
      </c>
      <c r="J7891" t="n">
        <v>0</v>
      </c>
      <c r="K7891" t="n">
        <v>0</v>
      </c>
      <c r="L7891" t="n">
        <v>0</v>
      </c>
      <c r="M7891" t="n">
        <v>0</v>
      </c>
      <c r="N7891" t="n">
        <v>0</v>
      </c>
      <c r="O7891" t="n">
        <v>0</v>
      </c>
      <c r="P7891" t="n">
        <v>0</v>
      </c>
      <c r="Q7891" t="n">
        <v>0</v>
      </c>
      <c r="R7891" s="2" t="inlineStr"/>
    </row>
    <row r="7892" ht="15" customHeight="1">
      <c r="A7892" t="inlineStr">
        <is>
          <t>A 45369-2022</t>
        </is>
      </c>
      <c r="B7892" s="1" t="n">
        <v>44844</v>
      </c>
      <c r="C7892" s="1" t="n">
        <v>45810</v>
      </c>
      <c r="D7892" t="inlineStr">
        <is>
          <t>VÄRMLANDS LÄN</t>
        </is>
      </c>
      <c r="E7892" t="inlineStr">
        <is>
          <t>TORSBY</t>
        </is>
      </c>
      <c r="F7892" t="inlineStr">
        <is>
          <t>Bergvik skog väst AB</t>
        </is>
      </c>
      <c r="G7892" t="n">
        <v>5.2</v>
      </c>
      <c r="H7892" t="n">
        <v>0</v>
      </c>
      <c r="I7892" t="n">
        <v>0</v>
      </c>
      <c r="J7892" t="n">
        <v>0</v>
      </c>
      <c r="K7892" t="n">
        <v>0</v>
      </c>
      <c r="L7892" t="n">
        <v>0</v>
      </c>
      <c r="M7892" t="n">
        <v>0</v>
      </c>
      <c r="N7892" t="n">
        <v>0</v>
      </c>
      <c r="O7892" t="n">
        <v>0</v>
      </c>
      <c r="P7892" t="n">
        <v>0</v>
      </c>
      <c r="Q7892" t="n">
        <v>0</v>
      </c>
      <c r="R7892" s="2" t="inlineStr"/>
    </row>
    <row r="7893" ht="15" customHeight="1">
      <c r="A7893" t="inlineStr">
        <is>
          <t>A 45809-2022</t>
        </is>
      </c>
      <c r="B7893" s="1" t="n">
        <v>44844</v>
      </c>
      <c r="C7893" s="1" t="n">
        <v>45810</v>
      </c>
      <c r="D7893" t="inlineStr">
        <is>
          <t>VÄRMLANDS LÄN</t>
        </is>
      </c>
      <c r="E7893" t="inlineStr">
        <is>
          <t>TORSBY</t>
        </is>
      </c>
      <c r="G7893" t="n">
        <v>4.4</v>
      </c>
      <c r="H7893" t="n">
        <v>0</v>
      </c>
      <c r="I7893" t="n">
        <v>0</v>
      </c>
      <c r="J7893" t="n">
        <v>0</v>
      </c>
      <c r="K7893" t="n">
        <v>0</v>
      </c>
      <c r="L7893" t="n">
        <v>0</v>
      </c>
      <c r="M7893" t="n">
        <v>0</v>
      </c>
      <c r="N7893" t="n">
        <v>0</v>
      </c>
      <c r="O7893" t="n">
        <v>0</v>
      </c>
      <c r="P7893" t="n">
        <v>0</v>
      </c>
      <c r="Q7893" t="n">
        <v>0</v>
      </c>
      <c r="R7893" s="2" t="inlineStr"/>
    </row>
    <row r="7894" ht="15" customHeight="1">
      <c r="A7894" t="inlineStr">
        <is>
          <t>A 45467-2022</t>
        </is>
      </c>
      <c r="B7894" s="1" t="n">
        <v>44845</v>
      </c>
      <c r="C7894" s="1" t="n">
        <v>45810</v>
      </c>
      <c r="D7894" t="inlineStr">
        <is>
          <t>VÄRMLANDS LÄN</t>
        </is>
      </c>
      <c r="E7894" t="inlineStr">
        <is>
          <t>GRUMS</t>
        </is>
      </c>
      <c r="G7894" t="n">
        <v>4.6</v>
      </c>
      <c r="H7894" t="n">
        <v>0</v>
      </c>
      <c r="I7894" t="n">
        <v>0</v>
      </c>
      <c r="J7894" t="n">
        <v>0</v>
      </c>
      <c r="K7894" t="n">
        <v>0</v>
      </c>
      <c r="L7894" t="n">
        <v>0</v>
      </c>
      <c r="M7894" t="n">
        <v>0</v>
      </c>
      <c r="N7894" t="n">
        <v>0</v>
      </c>
      <c r="O7894" t="n">
        <v>0</v>
      </c>
      <c r="P7894" t="n">
        <v>0</v>
      </c>
      <c r="Q7894" t="n">
        <v>0</v>
      </c>
      <c r="R7894" s="2" t="inlineStr"/>
    </row>
    <row r="7895" ht="15" customHeight="1">
      <c r="A7895" t="inlineStr">
        <is>
          <t>A 45466-2022</t>
        </is>
      </c>
      <c r="B7895" s="1" t="n">
        <v>44845</v>
      </c>
      <c r="C7895" s="1" t="n">
        <v>45810</v>
      </c>
      <c r="D7895" t="inlineStr">
        <is>
          <t>VÄRMLANDS LÄN</t>
        </is>
      </c>
      <c r="E7895" t="inlineStr">
        <is>
          <t>EDA</t>
        </is>
      </c>
      <c r="G7895" t="n">
        <v>1.2</v>
      </c>
      <c r="H7895" t="n">
        <v>0</v>
      </c>
      <c r="I7895" t="n">
        <v>0</v>
      </c>
      <c r="J7895" t="n">
        <v>0</v>
      </c>
      <c r="K7895" t="n">
        <v>0</v>
      </c>
      <c r="L7895" t="n">
        <v>0</v>
      </c>
      <c r="M7895" t="n">
        <v>0</v>
      </c>
      <c r="N7895" t="n">
        <v>0</v>
      </c>
      <c r="O7895" t="n">
        <v>0</v>
      </c>
      <c r="P7895" t="n">
        <v>0</v>
      </c>
      <c r="Q7895" t="n">
        <v>0</v>
      </c>
      <c r="R7895" s="2" t="inlineStr"/>
    </row>
    <row r="7896" ht="15" customHeight="1">
      <c r="A7896" t="inlineStr">
        <is>
          <t>A 45443-2022</t>
        </is>
      </c>
      <c r="B7896" s="1" t="n">
        <v>44845</v>
      </c>
      <c r="C7896" s="1" t="n">
        <v>45810</v>
      </c>
      <c r="D7896" t="inlineStr">
        <is>
          <t>VÄRMLANDS LÄN</t>
        </is>
      </c>
      <c r="E7896" t="inlineStr">
        <is>
          <t>GRUMS</t>
        </is>
      </c>
      <c r="G7896" t="n">
        <v>1.5</v>
      </c>
      <c r="H7896" t="n">
        <v>0</v>
      </c>
      <c r="I7896" t="n">
        <v>0</v>
      </c>
      <c r="J7896" t="n">
        <v>0</v>
      </c>
      <c r="K7896" t="n">
        <v>0</v>
      </c>
      <c r="L7896" t="n">
        <v>0</v>
      </c>
      <c r="M7896" t="n">
        <v>0</v>
      </c>
      <c r="N7896" t="n">
        <v>0</v>
      </c>
      <c r="O7896" t="n">
        <v>0</v>
      </c>
      <c r="P7896" t="n">
        <v>0</v>
      </c>
      <c r="Q7896" t="n">
        <v>0</v>
      </c>
      <c r="R7896" s="2" t="inlineStr"/>
    </row>
    <row r="7897" ht="15" customHeight="1">
      <c r="A7897" t="inlineStr">
        <is>
          <t>A 45666-2022</t>
        </is>
      </c>
      <c r="B7897" s="1" t="n">
        <v>44845</v>
      </c>
      <c r="C7897" s="1" t="n">
        <v>45810</v>
      </c>
      <c r="D7897" t="inlineStr">
        <is>
          <t>VÄRMLANDS LÄN</t>
        </is>
      </c>
      <c r="E7897" t="inlineStr">
        <is>
          <t>TORSBY</t>
        </is>
      </c>
      <c r="G7897" t="n">
        <v>0.5</v>
      </c>
      <c r="H7897" t="n">
        <v>0</v>
      </c>
      <c r="I7897" t="n">
        <v>0</v>
      </c>
      <c r="J7897" t="n">
        <v>0</v>
      </c>
      <c r="K7897" t="n">
        <v>0</v>
      </c>
      <c r="L7897" t="n">
        <v>0</v>
      </c>
      <c r="M7897" t="n">
        <v>0</v>
      </c>
      <c r="N7897" t="n">
        <v>0</v>
      </c>
      <c r="O7897" t="n">
        <v>0</v>
      </c>
      <c r="P7897" t="n">
        <v>0</v>
      </c>
      <c r="Q7897" t="n">
        <v>0</v>
      </c>
      <c r="R7897" s="2" t="inlineStr"/>
    </row>
    <row r="7898" ht="15" customHeight="1">
      <c r="A7898" t="inlineStr">
        <is>
          <t>A 45757-2022</t>
        </is>
      </c>
      <c r="B7898" s="1" t="n">
        <v>44846</v>
      </c>
      <c r="C7898" s="1" t="n">
        <v>45810</v>
      </c>
      <c r="D7898" t="inlineStr">
        <is>
          <t>VÄRMLANDS LÄN</t>
        </is>
      </c>
      <c r="E7898" t="inlineStr">
        <is>
          <t>KARLSTAD</t>
        </is>
      </c>
      <c r="G7898" t="n">
        <v>4.4</v>
      </c>
      <c r="H7898" t="n">
        <v>0</v>
      </c>
      <c r="I7898" t="n">
        <v>0</v>
      </c>
      <c r="J7898" t="n">
        <v>0</v>
      </c>
      <c r="K7898" t="n">
        <v>0</v>
      </c>
      <c r="L7898" t="n">
        <v>0</v>
      </c>
      <c r="M7898" t="n">
        <v>0</v>
      </c>
      <c r="N7898" t="n">
        <v>0</v>
      </c>
      <c r="O7898" t="n">
        <v>0</v>
      </c>
      <c r="P7898" t="n">
        <v>0</v>
      </c>
      <c r="Q7898" t="n">
        <v>0</v>
      </c>
      <c r="R7898" s="2" t="inlineStr"/>
    </row>
    <row r="7899" ht="15" customHeight="1">
      <c r="A7899" t="inlineStr">
        <is>
          <t>A 45773-2022</t>
        </is>
      </c>
      <c r="B7899" s="1" t="n">
        <v>44846</v>
      </c>
      <c r="C7899" s="1" t="n">
        <v>45810</v>
      </c>
      <c r="D7899" t="inlineStr">
        <is>
          <t>VÄRMLANDS LÄN</t>
        </is>
      </c>
      <c r="E7899" t="inlineStr">
        <is>
          <t>KIL</t>
        </is>
      </c>
      <c r="G7899" t="n">
        <v>0.5</v>
      </c>
      <c r="H7899" t="n">
        <v>0</v>
      </c>
      <c r="I7899" t="n">
        <v>0</v>
      </c>
      <c r="J7899" t="n">
        <v>0</v>
      </c>
      <c r="K7899" t="n">
        <v>0</v>
      </c>
      <c r="L7899" t="n">
        <v>0</v>
      </c>
      <c r="M7899" t="n">
        <v>0</v>
      </c>
      <c r="N7899" t="n">
        <v>0</v>
      </c>
      <c r="O7899" t="n">
        <v>0</v>
      </c>
      <c r="P7899" t="n">
        <v>0</v>
      </c>
      <c r="Q7899" t="n">
        <v>0</v>
      </c>
      <c r="R7899" s="2" t="inlineStr"/>
    </row>
    <row r="7900" ht="15" customHeight="1">
      <c r="A7900" t="inlineStr">
        <is>
          <t>A 45828-2022</t>
        </is>
      </c>
      <c r="B7900" s="1" t="n">
        <v>44846</v>
      </c>
      <c r="C7900" s="1" t="n">
        <v>45810</v>
      </c>
      <c r="D7900" t="inlineStr">
        <is>
          <t>VÄRMLANDS LÄN</t>
        </is>
      </c>
      <c r="E7900" t="inlineStr">
        <is>
          <t>SÄFFLE</t>
        </is>
      </c>
      <c r="G7900" t="n">
        <v>0.9</v>
      </c>
      <c r="H7900" t="n">
        <v>0</v>
      </c>
      <c r="I7900" t="n">
        <v>0</v>
      </c>
      <c r="J7900" t="n">
        <v>0</v>
      </c>
      <c r="K7900" t="n">
        <v>0</v>
      </c>
      <c r="L7900" t="n">
        <v>0</v>
      </c>
      <c r="M7900" t="n">
        <v>0</v>
      </c>
      <c r="N7900" t="n">
        <v>0</v>
      </c>
      <c r="O7900" t="n">
        <v>0</v>
      </c>
      <c r="P7900" t="n">
        <v>0</v>
      </c>
      <c r="Q7900" t="n">
        <v>0</v>
      </c>
      <c r="R7900" s="2" t="inlineStr"/>
    </row>
    <row r="7901" ht="15" customHeight="1">
      <c r="A7901" t="inlineStr">
        <is>
          <t>A 45908-2022</t>
        </is>
      </c>
      <c r="B7901" s="1" t="n">
        <v>44846</v>
      </c>
      <c r="C7901" s="1" t="n">
        <v>45810</v>
      </c>
      <c r="D7901" t="inlineStr">
        <is>
          <t>VÄRMLANDS LÄN</t>
        </is>
      </c>
      <c r="E7901" t="inlineStr">
        <is>
          <t>ARVIKA</t>
        </is>
      </c>
      <c r="G7901" t="n">
        <v>0.6</v>
      </c>
      <c r="H7901" t="n">
        <v>0</v>
      </c>
      <c r="I7901" t="n">
        <v>0</v>
      </c>
      <c r="J7901" t="n">
        <v>0</v>
      </c>
      <c r="K7901" t="n">
        <v>0</v>
      </c>
      <c r="L7901" t="n">
        <v>0</v>
      </c>
      <c r="M7901" t="n">
        <v>0</v>
      </c>
      <c r="N7901" t="n">
        <v>0</v>
      </c>
      <c r="O7901" t="n">
        <v>0</v>
      </c>
      <c r="P7901" t="n">
        <v>0</v>
      </c>
      <c r="Q7901" t="n">
        <v>0</v>
      </c>
      <c r="R7901" s="2" t="inlineStr"/>
    </row>
    <row r="7902" ht="15" customHeight="1">
      <c r="A7902" t="inlineStr">
        <is>
          <t>A 45954-2022</t>
        </is>
      </c>
      <c r="B7902" s="1" t="n">
        <v>44846</v>
      </c>
      <c r="C7902" s="1" t="n">
        <v>45810</v>
      </c>
      <c r="D7902" t="inlineStr">
        <is>
          <t>VÄRMLANDS LÄN</t>
        </is>
      </c>
      <c r="E7902" t="inlineStr">
        <is>
          <t>SÄFFLE</t>
        </is>
      </c>
      <c r="F7902" t="inlineStr">
        <is>
          <t>Bergvik skog väst AB</t>
        </is>
      </c>
      <c r="G7902" t="n">
        <v>2.6</v>
      </c>
      <c r="H7902" t="n">
        <v>0</v>
      </c>
      <c r="I7902" t="n">
        <v>0</v>
      </c>
      <c r="J7902" t="n">
        <v>0</v>
      </c>
      <c r="K7902" t="n">
        <v>0</v>
      </c>
      <c r="L7902" t="n">
        <v>0</v>
      </c>
      <c r="M7902" t="n">
        <v>0</v>
      </c>
      <c r="N7902" t="n">
        <v>0</v>
      </c>
      <c r="O7902" t="n">
        <v>0</v>
      </c>
      <c r="P7902" t="n">
        <v>0</v>
      </c>
      <c r="Q7902" t="n">
        <v>0</v>
      </c>
      <c r="R7902" s="2" t="inlineStr"/>
    </row>
    <row r="7903" ht="15" customHeight="1">
      <c r="A7903" t="inlineStr">
        <is>
          <t>A 45776-2022</t>
        </is>
      </c>
      <c r="B7903" s="1" t="n">
        <v>44846</v>
      </c>
      <c r="C7903" s="1" t="n">
        <v>45810</v>
      </c>
      <c r="D7903" t="inlineStr">
        <is>
          <t>VÄRMLANDS LÄN</t>
        </is>
      </c>
      <c r="E7903" t="inlineStr">
        <is>
          <t>KIL</t>
        </is>
      </c>
      <c r="G7903" t="n">
        <v>0.5</v>
      </c>
      <c r="H7903" t="n">
        <v>0</v>
      </c>
      <c r="I7903" t="n">
        <v>0</v>
      </c>
      <c r="J7903" t="n">
        <v>0</v>
      </c>
      <c r="K7903" t="n">
        <v>0</v>
      </c>
      <c r="L7903" t="n">
        <v>0</v>
      </c>
      <c r="M7903" t="n">
        <v>0</v>
      </c>
      <c r="N7903" t="n">
        <v>0</v>
      </c>
      <c r="O7903" t="n">
        <v>0</v>
      </c>
      <c r="P7903" t="n">
        <v>0</v>
      </c>
      <c r="Q7903" t="n">
        <v>0</v>
      </c>
      <c r="R7903" s="2" t="inlineStr"/>
    </row>
    <row r="7904" ht="15" customHeight="1">
      <c r="A7904" t="inlineStr">
        <is>
          <t>A 45799-2022</t>
        </is>
      </c>
      <c r="B7904" s="1" t="n">
        <v>44846</v>
      </c>
      <c r="C7904" s="1" t="n">
        <v>45810</v>
      </c>
      <c r="D7904" t="inlineStr">
        <is>
          <t>VÄRMLANDS LÄN</t>
        </is>
      </c>
      <c r="E7904" t="inlineStr">
        <is>
          <t>SÄFFLE</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45867-2022</t>
        </is>
      </c>
      <c r="B7905" s="1" t="n">
        <v>44846</v>
      </c>
      <c r="C7905" s="1" t="n">
        <v>45810</v>
      </c>
      <c r="D7905" t="inlineStr">
        <is>
          <t>VÄRMLANDS LÄN</t>
        </is>
      </c>
      <c r="E7905" t="inlineStr">
        <is>
          <t>SÄFFLE</t>
        </is>
      </c>
      <c r="F7905" t="inlineStr">
        <is>
          <t>Kyrkan</t>
        </is>
      </c>
      <c r="G7905" t="n">
        <v>3.5</v>
      </c>
      <c r="H7905" t="n">
        <v>0</v>
      </c>
      <c r="I7905" t="n">
        <v>0</v>
      </c>
      <c r="J7905" t="n">
        <v>0</v>
      </c>
      <c r="K7905" t="n">
        <v>0</v>
      </c>
      <c r="L7905" t="n">
        <v>0</v>
      </c>
      <c r="M7905" t="n">
        <v>0</v>
      </c>
      <c r="N7905" t="n">
        <v>0</v>
      </c>
      <c r="O7905" t="n">
        <v>0</v>
      </c>
      <c r="P7905" t="n">
        <v>0</v>
      </c>
      <c r="Q7905" t="n">
        <v>0</v>
      </c>
      <c r="R7905" s="2" t="inlineStr"/>
    </row>
    <row r="7906" ht="15" customHeight="1">
      <c r="A7906" t="inlineStr">
        <is>
          <t>A 45928-2022</t>
        </is>
      </c>
      <c r="B7906" s="1" t="n">
        <v>44846</v>
      </c>
      <c r="C7906" s="1" t="n">
        <v>45810</v>
      </c>
      <c r="D7906" t="inlineStr">
        <is>
          <t>VÄRMLANDS LÄN</t>
        </is>
      </c>
      <c r="E7906" t="inlineStr">
        <is>
          <t>SUNNE</t>
        </is>
      </c>
      <c r="G7906" t="n">
        <v>0.5</v>
      </c>
      <c r="H7906" t="n">
        <v>0</v>
      </c>
      <c r="I7906" t="n">
        <v>0</v>
      </c>
      <c r="J7906" t="n">
        <v>0</v>
      </c>
      <c r="K7906" t="n">
        <v>0</v>
      </c>
      <c r="L7906" t="n">
        <v>0</v>
      </c>
      <c r="M7906" t="n">
        <v>0</v>
      </c>
      <c r="N7906" t="n">
        <v>0</v>
      </c>
      <c r="O7906" t="n">
        <v>0</v>
      </c>
      <c r="P7906" t="n">
        <v>0</v>
      </c>
      <c r="Q7906" t="n">
        <v>0</v>
      </c>
      <c r="R7906" s="2" t="inlineStr"/>
    </row>
    <row r="7907" ht="15" customHeight="1">
      <c r="A7907" t="inlineStr">
        <is>
          <t>A 45923-2022</t>
        </is>
      </c>
      <c r="B7907" s="1" t="n">
        <v>44846</v>
      </c>
      <c r="C7907" s="1" t="n">
        <v>45810</v>
      </c>
      <c r="D7907" t="inlineStr">
        <is>
          <t>VÄRMLANDS LÄN</t>
        </is>
      </c>
      <c r="E7907" t="inlineStr">
        <is>
          <t>SUNNE</t>
        </is>
      </c>
      <c r="G7907" t="n">
        <v>0.6</v>
      </c>
      <c r="H7907" t="n">
        <v>0</v>
      </c>
      <c r="I7907" t="n">
        <v>0</v>
      </c>
      <c r="J7907" t="n">
        <v>0</v>
      </c>
      <c r="K7907" t="n">
        <v>0</v>
      </c>
      <c r="L7907" t="n">
        <v>0</v>
      </c>
      <c r="M7907" t="n">
        <v>0</v>
      </c>
      <c r="N7907" t="n">
        <v>0</v>
      </c>
      <c r="O7907" t="n">
        <v>0</v>
      </c>
      <c r="P7907" t="n">
        <v>0</v>
      </c>
      <c r="Q7907" t="n">
        <v>0</v>
      </c>
      <c r="R7907" s="2" t="inlineStr"/>
    </row>
    <row r="7908" ht="15" customHeight="1">
      <c r="A7908" t="inlineStr">
        <is>
          <t>A 45893-2022</t>
        </is>
      </c>
      <c r="B7908" s="1" t="n">
        <v>44846</v>
      </c>
      <c r="C7908" s="1" t="n">
        <v>45810</v>
      </c>
      <c r="D7908" t="inlineStr">
        <is>
          <t>VÄRMLANDS LÄN</t>
        </is>
      </c>
      <c r="E7908" t="inlineStr">
        <is>
          <t>SÄFFLE</t>
        </is>
      </c>
      <c r="F7908" t="inlineStr">
        <is>
          <t>Kyrkan</t>
        </is>
      </c>
      <c r="G7908" t="n">
        <v>1</v>
      </c>
      <c r="H7908" t="n">
        <v>0</v>
      </c>
      <c r="I7908" t="n">
        <v>0</v>
      </c>
      <c r="J7908" t="n">
        <v>0</v>
      </c>
      <c r="K7908" t="n">
        <v>0</v>
      </c>
      <c r="L7908" t="n">
        <v>0</v>
      </c>
      <c r="M7908" t="n">
        <v>0</v>
      </c>
      <c r="N7908" t="n">
        <v>0</v>
      </c>
      <c r="O7908" t="n">
        <v>0</v>
      </c>
      <c r="P7908" t="n">
        <v>0</v>
      </c>
      <c r="Q7908" t="n">
        <v>0</v>
      </c>
      <c r="R7908" s="2" t="inlineStr"/>
    </row>
    <row r="7909" ht="15" customHeight="1">
      <c r="A7909" t="inlineStr">
        <is>
          <t>A 46091-2022</t>
        </is>
      </c>
      <c r="B7909" s="1" t="n">
        <v>44847</v>
      </c>
      <c r="C7909" s="1" t="n">
        <v>45810</v>
      </c>
      <c r="D7909" t="inlineStr">
        <is>
          <t>VÄRMLANDS LÄN</t>
        </is>
      </c>
      <c r="E7909" t="inlineStr">
        <is>
          <t>ARVIKA</t>
        </is>
      </c>
      <c r="F7909" t="inlineStr">
        <is>
          <t>Bergvik skog väst AB</t>
        </is>
      </c>
      <c r="G7909" t="n">
        <v>20.9</v>
      </c>
      <c r="H7909" t="n">
        <v>0</v>
      </c>
      <c r="I7909" t="n">
        <v>0</v>
      </c>
      <c r="J7909" t="n">
        <v>0</v>
      </c>
      <c r="K7909" t="n">
        <v>0</v>
      </c>
      <c r="L7909" t="n">
        <v>0</v>
      </c>
      <c r="M7909" t="n">
        <v>0</v>
      </c>
      <c r="N7909" t="n">
        <v>0</v>
      </c>
      <c r="O7909" t="n">
        <v>0</v>
      </c>
      <c r="P7909" t="n">
        <v>0</v>
      </c>
      <c r="Q7909" t="n">
        <v>0</v>
      </c>
      <c r="R7909" s="2" t="inlineStr"/>
    </row>
    <row r="7910" ht="15" customHeight="1">
      <c r="A7910" t="inlineStr">
        <is>
          <t>A 46117-2022</t>
        </is>
      </c>
      <c r="B7910" s="1" t="n">
        <v>44847</v>
      </c>
      <c r="C7910" s="1" t="n">
        <v>45810</v>
      </c>
      <c r="D7910" t="inlineStr">
        <is>
          <t>VÄRMLANDS LÄN</t>
        </is>
      </c>
      <c r="E7910" t="inlineStr">
        <is>
          <t>KIL</t>
        </is>
      </c>
      <c r="G7910" t="n">
        <v>3</v>
      </c>
      <c r="H7910" t="n">
        <v>0</v>
      </c>
      <c r="I7910" t="n">
        <v>0</v>
      </c>
      <c r="J7910" t="n">
        <v>0</v>
      </c>
      <c r="K7910" t="n">
        <v>0</v>
      </c>
      <c r="L7910" t="n">
        <v>0</v>
      </c>
      <c r="M7910" t="n">
        <v>0</v>
      </c>
      <c r="N7910" t="n">
        <v>0</v>
      </c>
      <c r="O7910" t="n">
        <v>0</v>
      </c>
      <c r="P7910" t="n">
        <v>0</v>
      </c>
      <c r="Q7910" t="n">
        <v>0</v>
      </c>
      <c r="R7910" s="2" t="inlineStr"/>
    </row>
    <row r="7911" ht="15" customHeight="1">
      <c r="A7911" t="inlineStr">
        <is>
          <t>A 46111-2022</t>
        </is>
      </c>
      <c r="B7911" s="1" t="n">
        <v>44847</v>
      </c>
      <c r="C7911" s="1" t="n">
        <v>45810</v>
      </c>
      <c r="D7911" t="inlineStr">
        <is>
          <t>VÄRMLANDS LÄN</t>
        </is>
      </c>
      <c r="E7911" t="inlineStr">
        <is>
          <t>KIL</t>
        </is>
      </c>
      <c r="G7911" t="n">
        <v>11.4</v>
      </c>
      <c r="H7911" t="n">
        <v>0</v>
      </c>
      <c r="I7911" t="n">
        <v>0</v>
      </c>
      <c r="J7911" t="n">
        <v>0</v>
      </c>
      <c r="K7911" t="n">
        <v>0</v>
      </c>
      <c r="L7911" t="n">
        <v>0</v>
      </c>
      <c r="M7911" t="n">
        <v>0</v>
      </c>
      <c r="N7911" t="n">
        <v>0</v>
      </c>
      <c r="O7911" t="n">
        <v>0</v>
      </c>
      <c r="P7911" t="n">
        <v>0</v>
      </c>
      <c r="Q7911" t="n">
        <v>0</v>
      </c>
      <c r="R7911" s="2" t="inlineStr"/>
    </row>
    <row r="7912" ht="15" customHeight="1">
      <c r="A7912" t="inlineStr">
        <is>
          <t>A 46122-2022</t>
        </is>
      </c>
      <c r="B7912" s="1" t="n">
        <v>44847</v>
      </c>
      <c r="C7912" s="1" t="n">
        <v>45810</v>
      </c>
      <c r="D7912" t="inlineStr">
        <is>
          <t>VÄRMLANDS LÄN</t>
        </is>
      </c>
      <c r="E7912" t="inlineStr">
        <is>
          <t>SUNNE</t>
        </is>
      </c>
      <c r="G7912" t="n">
        <v>4.3</v>
      </c>
      <c r="H7912" t="n">
        <v>0</v>
      </c>
      <c r="I7912" t="n">
        <v>0</v>
      </c>
      <c r="J7912" t="n">
        <v>0</v>
      </c>
      <c r="K7912" t="n">
        <v>0</v>
      </c>
      <c r="L7912" t="n">
        <v>0</v>
      </c>
      <c r="M7912" t="n">
        <v>0</v>
      </c>
      <c r="N7912" t="n">
        <v>0</v>
      </c>
      <c r="O7912" t="n">
        <v>0</v>
      </c>
      <c r="P7912" t="n">
        <v>0</v>
      </c>
      <c r="Q7912" t="n">
        <v>0</v>
      </c>
      <c r="R7912" s="2" t="inlineStr"/>
    </row>
    <row r="7913" ht="15" customHeight="1">
      <c r="A7913" t="inlineStr">
        <is>
          <t>A 46295-2022</t>
        </is>
      </c>
      <c r="B7913" s="1" t="n">
        <v>44847</v>
      </c>
      <c r="C7913" s="1" t="n">
        <v>45810</v>
      </c>
      <c r="D7913" t="inlineStr">
        <is>
          <t>VÄRMLANDS LÄN</t>
        </is>
      </c>
      <c r="E7913" t="inlineStr">
        <is>
          <t>KIL</t>
        </is>
      </c>
      <c r="G7913" t="n">
        <v>1.5</v>
      </c>
      <c r="H7913" t="n">
        <v>0</v>
      </c>
      <c r="I7913" t="n">
        <v>0</v>
      </c>
      <c r="J7913" t="n">
        <v>0</v>
      </c>
      <c r="K7913" t="n">
        <v>0</v>
      </c>
      <c r="L7913" t="n">
        <v>0</v>
      </c>
      <c r="M7913" t="n">
        <v>0</v>
      </c>
      <c r="N7913" t="n">
        <v>0</v>
      </c>
      <c r="O7913" t="n">
        <v>0</v>
      </c>
      <c r="P7913" t="n">
        <v>0</v>
      </c>
      <c r="Q7913" t="n">
        <v>0</v>
      </c>
      <c r="R7913" s="2" t="inlineStr"/>
    </row>
    <row r="7914" ht="15" customHeight="1">
      <c r="A7914" t="inlineStr">
        <is>
          <t>A 46282-2022</t>
        </is>
      </c>
      <c r="B7914" s="1" t="n">
        <v>44847</v>
      </c>
      <c r="C7914" s="1" t="n">
        <v>45810</v>
      </c>
      <c r="D7914" t="inlineStr">
        <is>
          <t>VÄRMLANDS LÄN</t>
        </is>
      </c>
      <c r="E7914" t="inlineStr">
        <is>
          <t>ARVIKA</t>
        </is>
      </c>
      <c r="G7914" t="n">
        <v>10.6</v>
      </c>
      <c r="H7914" t="n">
        <v>0</v>
      </c>
      <c r="I7914" t="n">
        <v>0</v>
      </c>
      <c r="J7914" t="n">
        <v>0</v>
      </c>
      <c r="K7914" t="n">
        <v>0</v>
      </c>
      <c r="L7914" t="n">
        <v>0</v>
      </c>
      <c r="M7914" t="n">
        <v>0</v>
      </c>
      <c r="N7914" t="n">
        <v>0</v>
      </c>
      <c r="O7914" t="n">
        <v>0</v>
      </c>
      <c r="P7914" t="n">
        <v>0</v>
      </c>
      <c r="Q7914" t="n">
        <v>0</v>
      </c>
      <c r="R7914" s="2" t="inlineStr"/>
    </row>
    <row r="7915" ht="15" customHeight="1">
      <c r="A7915" t="inlineStr">
        <is>
          <t>A 46290-2022</t>
        </is>
      </c>
      <c r="B7915" s="1" t="n">
        <v>44847</v>
      </c>
      <c r="C7915" s="1" t="n">
        <v>45810</v>
      </c>
      <c r="D7915" t="inlineStr">
        <is>
          <t>VÄRMLANDS LÄN</t>
        </is>
      </c>
      <c r="E7915" t="inlineStr">
        <is>
          <t>KIL</t>
        </is>
      </c>
      <c r="G7915" t="n">
        <v>8.300000000000001</v>
      </c>
      <c r="H7915" t="n">
        <v>0</v>
      </c>
      <c r="I7915" t="n">
        <v>0</v>
      </c>
      <c r="J7915" t="n">
        <v>0</v>
      </c>
      <c r="K7915" t="n">
        <v>0</v>
      </c>
      <c r="L7915" t="n">
        <v>0</v>
      </c>
      <c r="M7915" t="n">
        <v>0</v>
      </c>
      <c r="N7915" t="n">
        <v>0</v>
      </c>
      <c r="O7915" t="n">
        <v>0</v>
      </c>
      <c r="P7915" t="n">
        <v>0</v>
      </c>
      <c r="Q7915" t="n">
        <v>0</v>
      </c>
      <c r="R7915" s="2" t="inlineStr"/>
    </row>
    <row r="7916" ht="15" customHeight="1">
      <c r="A7916" t="inlineStr">
        <is>
          <t>A 46298-2022</t>
        </is>
      </c>
      <c r="B7916" s="1" t="n">
        <v>44847</v>
      </c>
      <c r="C7916" s="1" t="n">
        <v>45810</v>
      </c>
      <c r="D7916" t="inlineStr">
        <is>
          <t>VÄRMLANDS LÄN</t>
        </is>
      </c>
      <c r="E7916" t="inlineStr">
        <is>
          <t>GRUMS</t>
        </is>
      </c>
      <c r="G7916" t="n">
        <v>0.7</v>
      </c>
      <c r="H7916" t="n">
        <v>0</v>
      </c>
      <c r="I7916" t="n">
        <v>0</v>
      </c>
      <c r="J7916" t="n">
        <v>0</v>
      </c>
      <c r="K7916" t="n">
        <v>0</v>
      </c>
      <c r="L7916" t="n">
        <v>0</v>
      </c>
      <c r="M7916" t="n">
        <v>0</v>
      </c>
      <c r="N7916" t="n">
        <v>0</v>
      </c>
      <c r="O7916" t="n">
        <v>0</v>
      </c>
      <c r="P7916" t="n">
        <v>0</v>
      </c>
      <c r="Q7916" t="n">
        <v>0</v>
      </c>
      <c r="R7916" s="2" t="inlineStr"/>
    </row>
    <row r="7917" ht="15" customHeight="1">
      <c r="A7917" t="inlineStr">
        <is>
          <t>A 46257-2022</t>
        </is>
      </c>
      <c r="B7917" s="1" t="n">
        <v>44847</v>
      </c>
      <c r="C7917" s="1" t="n">
        <v>45810</v>
      </c>
      <c r="D7917" t="inlineStr">
        <is>
          <t>VÄRMLANDS LÄN</t>
        </is>
      </c>
      <c r="E7917" t="inlineStr">
        <is>
          <t>FILIPSTAD</t>
        </is>
      </c>
      <c r="G7917" t="n">
        <v>0.3</v>
      </c>
      <c r="H7917" t="n">
        <v>0</v>
      </c>
      <c r="I7917" t="n">
        <v>0</v>
      </c>
      <c r="J7917" t="n">
        <v>0</v>
      </c>
      <c r="K7917" t="n">
        <v>0</v>
      </c>
      <c r="L7917" t="n">
        <v>0</v>
      </c>
      <c r="M7917" t="n">
        <v>0</v>
      </c>
      <c r="N7917" t="n">
        <v>0</v>
      </c>
      <c r="O7917" t="n">
        <v>0</v>
      </c>
      <c r="P7917" t="n">
        <v>0</v>
      </c>
      <c r="Q7917" t="n">
        <v>0</v>
      </c>
      <c r="R7917" s="2" t="inlineStr"/>
    </row>
    <row r="7918" ht="15" customHeight="1">
      <c r="A7918" t="inlineStr">
        <is>
          <t>A 46288-2022</t>
        </is>
      </c>
      <c r="B7918" s="1" t="n">
        <v>44847</v>
      </c>
      <c r="C7918" s="1" t="n">
        <v>45810</v>
      </c>
      <c r="D7918" t="inlineStr">
        <is>
          <t>VÄRMLANDS LÄN</t>
        </is>
      </c>
      <c r="E7918" t="inlineStr">
        <is>
          <t>KIL</t>
        </is>
      </c>
      <c r="G7918" t="n">
        <v>2.3</v>
      </c>
      <c r="H7918" t="n">
        <v>0</v>
      </c>
      <c r="I7918" t="n">
        <v>0</v>
      </c>
      <c r="J7918" t="n">
        <v>0</v>
      </c>
      <c r="K7918" t="n">
        <v>0</v>
      </c>
      <c r="L7918" t="n">
        <v>0</v>
      </c>
      <c r="M7918" t="n">
        <v>0</v>
      </c>
      <c r="N7918" t="n">
        <v>0</v>
      </c>
      <c r="O7918" t="n">
        <v>0</v>
      </c>
      <c r="P7918" t="n">
        <v>0</v>
      </c>
      <c r="Q7918" t="n">
        <v>0</v>
      </c>
      <c r="R7918" s="2" t="inlineStr"/>
    </row>
    <row r="7919" ht="15" customHeight="1">
      <c r="A7919" t="inlineStr">
        <is>
          <t>A 46300-2022</t>
        </is>
      </c>
      <c r="B7919" s="1" t="n">
        <v>44847</v>
      </c>
      <c r="C7919" s="1" t="n">
        <v>45810</v>
      </c>
      <c r="D7919" t="inlineStr">
        <is>
          <t>VÄRMLANDS LÄN</t>
        </is>
      </c>
      <c r="E7919" t="inlineStr">
        <is>
          <t>FORSHAGA</t>
        </is>
      </c>
      <c r="G7919" t="n">
        <v>0.7</v>
      </c>
      <c r="H7919" t="n">
        <v>0</v>
      </c>
      <c r="I7919" t="n">
        <v>0</v>
      </c>
      <c r="J7919" t="n">
        <v>0</v>
      </c>
      <c r="K7919" t="n">
        <v>0</v>
      </c>
      <c r="L7919" t="n">
        <v>0</v>
      </c>
      <c r="M7919" t="n">
        <v>0</v>
      </c>
      <c r="N7919" t="n">
        <v>0</v>
      </c>
      <c r="O7919" t="n">
        <v>0</v>
      </c>
      <c r="P7919" t="n">
        <v>0</v>
      </c>
      <c r="Q7919" t="n">
        <v>0</v>
      </c>
      <c r="R7919" s="2" t="inlineStr"/>
    </row>
    <row r="7920" ht="15" customHeight="1">
      <c r="A7920" t="inlineStr">
        <is>
          <t>A 46108-2022</t>
        </is>
      </c>
      <c r="B7920" s="1" t="n">
        <v>44847</v>
      </c>
      <c r="C7920" s="1" t="n">
        <v>45810</v>
      </c>
      <c r="D7920" t="inlineStr">
        <is>
          <t>VÄRMLANDS LÄN</t>
        </is>
      </c>
      <c r="E7920" t="inlineStr">
        <is>
          <t>KIL</t>
        </is>
      </c>
      <c r="G7920" t="n">
        <v>4</v>
      </c>
      <c r="H7920" t="n">
        <v>0</v>
      </c>
      <c r="I7920" t="n">
        <v>0</v>
      </c>
      <c r="J7920" t="n">
        <v>0</v>
      </c>
      <c r="K7920" t="n">
        <v>0</v>
      </c>
      <c r="L7920" t="n">
        <v>0</v>
      </c>
      <c r="M7920" t="n">
        <v>0</v>
      </c>
      <c r="N7920" t="n">
        <v>0</v>
      </c>
      <c r="O7920" t="n">
        <v>0</v>
      </c>
      <c r="P7920" t="n">
        <v>0</v>
      </c>
      <c r="Q7920" t="n">
        <v>0</v>
      </c>
      <c r="R7920" s="2" t="inlineStr"/>
    </row>
    <row r="7921" ht="15" customHeight="1">
      <c r="A7921" t="inlineStr">
        <is>
          <t>A 46299-2022</t>
        </is>
      </c>
      <c r="B7921" s="1" t="n">
        <v>44847</v>
      </c>
      <c r="C7921" s="1" t="n">
        <v>45810</v>
      </c>
      <c r="D7921" t="inlineStr">
        <is>
          <t>VÄRMLANDS LÄN</t>
        </is>
      </c>
      <c r="E7921" t="inlineStr">
        <is>
          <t>GRUMS</t>
        </is>
      </c>
      <c r="G7921" t="n">
        <v>2</v>
      </c>
      <c r="H7921" t="n">
        <v>0</v>
      </c>
      <c r="I7921" t="n">
        <v>0</v>
      </c>
      <c r="J7921" t="n">
        <v>0</v>
      </c>
      <c r="K7921" t="n">
        <v>0</v>
      </c>
      <c r="L7921" t="n">
        <v>0</v>
      </c>
      <c r="M7921" t="n">
        <v>0</v>
      </c>
      <c r="N7921" t="n">
        <v>0</v>
      </c>
      <c r="O7921" t="n">
        <v>0</v>
      </c>
      <c r="P7921" t="n">
        <v>0</v>
      </c>
      <c r="Q7921" t="n">
        <v>0</v>
      </c>
      <c r="R7921" s="2" t="inlineStr"/>
    </row>
    <row r="7922" ht="15" customHeight="1">
      <c r="A7922" t="inlineStr">
        <is>
          <t>A 46526-2022</t>
        </is>
      </c>
      <c r="B7922" s="1" t="n">
        <v>44847</v>
      </c>
      <c r="C7922" s="1" t="n">
        <v>45810</v>
      </c>
      <c r="D7922" t="inlineStr">
        <is>
          <t>VÄRMLANDS LÄN</t>
        </is>
      </c>
      <c r="E7922" t="inlineStr">
        <is>
          <t>KRISTINEHAMN</t>
        </is>
      </c>
      <c r="G7922" t="n">
        <v>1.2</v>
      </c>
      <c r="H7922" t="n">
        <v>0</v>
      </c>
      <c r="I7922" t="n">
        <v>0</v>
      </c>
      <c r="J7922" t="n">
        <v>0</v>
      </c>
      <c r="K7922" t="n">
        <v>0</v>
      </c>
      <c r="L7922" t="n">
        <v>0</v>
      </c>
      <c r="M7922" t="n">
        <v>0</v>
      </c>
      <c r="N7922" t="n">
        <v>0</v>
      </c>
      <c r="O7922" t="n">
        <v>0</v>
      </c>
      <c r="P7922" t="n">
        <v>0</v>
      </c>
      <c r="Q7922" t="n">
        <v>0</v>
      </c>
      <c r="R7922" s="2" t="inlineStr"/>
    </row>
    <row r="7923" ht="15" customHeight="1">
      <c r="A7923" t="inlineStr">
        <is>
          <t>A 46677-2022</t>
        </is>
      </c>
      <c r="B7923" s="1" t="n">
        <v>44847</v>
      </c>
      <c r="C7923" s="1" t="n">
        <v>45810</v>
      </c>
      <c r="D7923" t="inlineStr">
        <is>
          <t>VÄRMLANDS LÄN</t>
        </is>
      </c>
      <c r="E7923" t="inlineStr">
        <is>
          <t>ÅRJÄNG</t>
        </is>
      </c>
      <c r="F7923" t="inlineStr">
        <is>
          <t>Övriga Aktiebolag</t>
        </is>
      </c>
      <c r="G7923" t="n">
        <v>8</v>
      </c>
      <c r="H7923" t="n">
        <v>0</v>
      </c>
      <c r="I7923" t="n">
        <v>0</v>
      </c>
      <c r="J7923" t="n">
        <v>0</v>
      </c>
      <c r="K7923" t="n">
        <v>0</v>
      </c>
      <c r="L7923" t="n">
        <v>0</v>
      </c>
      <c r="M7923" t="n">
        <v>0</v>
      </c>
      <c r="N7923" t="n">
        <v>0</v>
      </c>
      <c r="O7923" t="n">
        <v>0</v>
      </c>
      <c r="P7923" t="n">
        <v>0</v>
      </c>
      <c r="Q7923" t="n">
        <v>0</v>
      </c>
      <c r="R7923" s="2" t="inlineStr"/>
    </row>
    <row r="7924" ht="15" customHeight="1">
      <c r="A7924" t="inlineStr">
        <is>
          <t>A 46363-2022</t>
        </is>
      </c>
      <c r="B7924" s="1" t="n">
        <v>44848</v>
      </c>
      <c r="C7924" s="1" t="n">
        <v>45810</v>
      </c>
      <c r="D7924" t="inlineStr">
        <is>
          <t>VÄRMLANDS LÄN</t>
        </is>
      </c>
      <c r="E7924" t="inlineStr">
        <is>
          <t>HAGFORS</t>
        </is>
      </c>
      <c r="F7924" t="inlineStr">
        <is>
          <t>Bergvik skog väst AB</t>
        </is>
      </c>
      <c r="G7924" t="n">
        <v>2.6</v>
      </c>
      <c r="H7924" t="n">
        <v>0</v>
      </c>
      <c r="I7924" t="n">
        <v>0</v>
      </c>
      <c r="J7924" t="n">
        <v>0</v>
      </c>
      <c r="K7924" t="n">
        <v>0</v>
      </c>
      <c r="L7924" t="n">
        <v>0</v>
      </c>
      <c r="M7924" t="n">
        <v>0</v>
      </c>
      <c r="N7924" t="n">
        <v>0</v>
      </c>
      <c r="O7924" t="n">
        <v>0</v>
      </c>
      <c r="P7924" t="n">
        <v>0</v>
      </c>
      <c r="Q7924" t="n">
        <v>0</v>
      </c>
      <c r="R7924" s="2" t="inlineStr"/>
    </row>
    <row r="7925" ht="15" customHeight="1">
      <c r="A7925" t="inlineStr">
        <is>
          <t>A 46551-2022</t>
        </is>
      </c>
      <c r="B7925" s="1" t="n">
        <v>44848</v>
      </c>
      <c r="C7925" s="1" t="n">
        <v>45810</v>
      </c>
      <c r="D7925" t="inlineStr">
        <is>
          <t>VÄRMLANDS LÄN</t>
        </is>
      </c>
      <c r="E7925" t="inlineStr">
        <is>
          <t>TORSBY</t>
        </is>
      </c>
      <c r="F7925" t="inlineStr">
        <is>
          <t>Bergvik skog väst AB</t>
        </is>
      </c>
      <c r="G7925" t="n">
        <v>3</v>
      </c>
      <c r="H7925" t="n">
        <v>0</v>
      </c>
      <c r="I7925" t="n">
        <v>0</v>
      </c>
      <c r="J7925" t="n">
        <v>0</v>
      </c>
      <c r="K7925" t="n">
        <v>0</v>
      </c>
      <c r="L7925" t="n">
        <v>0</v>
      </c>
      <c r="M7925" t="n">
        <v>0</v>
      </c>
      <c r="N7925" t="n">
        <v>0</v>
      </c>
      <c r="O7925" t="n">
        <v>0</v>
      </c>
      <c r="P7925" t="n">
        <v>0</v>
      </c>
      <c r="Q7925" t="n">
        <v>0</v>
      </c>
      <c r="R7925" s="2" t="inlineStr"/>
    </row>
    <row r="7926" ht="15" customHeight="1">
      <c r="A7926" t="inlineStr">
        <is>
          <t>A 46636-2022</t>
        </is>
      </c>
      <c r="B7926" s="1" t="n">
        <v>44849</v>
      </c>
      <c r="C7926" s="1" t="n">
        <v>45810</v>
      </c>
      <c r="D7926" t="inlineStr">
        <is>
          <t>VÄRMLANDS LÄN</t>
        </is>
      </c>
      <c r="E7926" t="inlineStr">
        <is>
          <t>ARVIKA</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46683-2022</t>
        </is>
      </c>
      <c r="B7927" s="1" t="n">
        <v>44851</v>
      </c>
      <c r="C7927" s="1" t="n">
        <v>45810</v>
      </c>
      <c r="D7927" t="inlineStr">
        <is>
          <t>VÄRMLANDS LÄN</t>
        </is>
      </c>
      <c r="E7927" t="inlineStr">
        <is>
          <t>SUNNE</t>
        </is>
      </c>
      <c r="G7927" t="n">
        <v>0.9</v>
      </c>
      <c r="H7927" t="n">
        <v>0</v>
      </c>
      <c r="I7927" t="n">
        <v>0</v>
      </c>
      <c r="J7927" t="n">
        <v>0</v>
      </c>
      <c r="K7927" t="n">
        <v>0</v>
      </c>
      <c r="L7927" t="n">
        <v>0</v>
      </c>
      <c r="M7927" t="n">
        <v>0</v>
      </c>
      <c r="N7927" t="n">
        <v>0</v>
      </c>
      <c r="O7927" t="n">
        <v>0</v>
      </c>
      <c r="P7927" t="n">
        <v>0</v>
      </c>
      <c r="Q7927" t="n">
        <v>0</v>
      </c>
      <c r="R7927" s="2" t="inlineStr"/>
    </row>
    <row r="7928" ht="15" customHeight="1">
      <c r="A7928" t="inlineStr">
        <is>
          <t>A 46668-2022</t>
        </is>
      </c>
      <c r="B7928" s="1" t="n">
        <v>44851</v>
      </c>
      <c r="C7928" s="1" t="n">
        <v>45810</v>
      </c>
      <c r="D7928" t="inlineStr">
        <is>
          <t>VÄRMLANDS LÄN</t>
        </is>
      </c>
      <c r="E7928" t="inlineStr">
        <is>
          <t>KRISTINEHAMN</t>
        </is>
      </c>
      <c r="G7928" t="n">
        <v>0.5</v>
      </c>
      <c r="H7928" t="n">
        <v>0</v>
      </c>
      <c r="I7928" t="n">
        <v>0</v>
      </c>
      <c r="J7928" t="n">
        <v>0</v>
      </c>
      <c r="K7928" t="n">
        <v>0</v>
      </c>
      <c r="L7928" t="n">
        <v>0</v>
      </c>
      <c r="M7928" t="n">
        <v>0</v>
      </c>
      <c r="N7928" t="n">
        <v>0</v>
      </c>
      <c r="O7928" t="n">
        <v>0</v>
      </c>
      <c r="P7928" t="n">
        <v>0</v>
      </c>
      <c r="Q7928" t="n">
        <v>0</v>
      </c>
      <c r="R7928" s="2" t="inlineStr"/>
    </row>
    <row r="7929" ht="15" customHeight="1">
      <c r="A7929" t="inlineStr">
        <is>
          <t>A 46718-2022</t>
        </is>
      </c>
      <c r="B7929" s="1" t="n">
        <v>44851</v>
      </c>
      <c r="C7929" s="1" t="n">
        <v>45810</v>
      </c>
      <c r="D7929" t="inlineStr">
        <is>
          <t>VÄRMLANDS LÄN</t>
        </is>
      </c>
      <c r="E7929" t="inlineStr">
        <is>
          <t>EDA</t>
        </is>
      </c>
      <c r="G7929" t="n">
        <v>3</v>
      </c>
      <c r="H7929" t="n">
        <v>0</v>
      </c>
      <c r="I7929" t="n">
        <v>0</v>
      </c>
      <c r="J7929" t="n">
        <v>0</v>
      </c>
      <c r="K7929" t="n">
        <v>0</v>
      </c>
      <c r="L7929" t="n">
        <v>0</v>
      </c>
      <c r="M7929" t="n">
        <v>0</v>
      </c>
      <c r="N7929" t="n">
        <v>0</v>
      </c>
      <c r="O7929" t="n">
        <v>0</v>
      </c>
      <c r="P7929" t="n">
        <v>0</v>
      </c>
      <c r="Q7929" t="n">
        <v>0</v>
      </c>
      <c r="R7929" s="2" t="inlineStr"/>
    </row>
    <row r="7930" ht="15" customHeight="1">
      <c r="A7930" t="inlineStr">
        <is>
          <t>A 46737-2022</t>
        </is>
      </c>
      <c r="B7930" s="1" t="n">
        <v>44851</v>
      </c>
      <c r="C7930" s="1" t="n">
        <v>45810</v>
      </c>
      <c r="D7930" t="inlineStr">
        <is>
          <t>VÄRMLANDS LÄN</t>
        </is>
      </c>
      <c r="E7930" t="inlineStr">
        <is>
          <t>EDA</t>
        </is>
      </c>
      <c r="G7930" t="n">
        <v>2.9</v>
      </c>
      <c r="H7930" t="n">
        <v>0</v>
      </c>
      <c r="I7930" t="n">
        <v>0</v>
      </c>
      <c r="J7930" t="n">
        <v>0</v>
      </c>
      <c r="K7930" t="n">
        <v>0</v>
      </c>
      <c r="L7930" t="n">
        <v>0</v>
      </c>
      <c r="M7930" t="n">
        <v>0</v>
      </c>
      <c r="N7930" t="n">
        <v>0</v>
      </c>
      <c r="O7930" t="n">
        <v>0</v>
      </c>
      <c r="P7930" t="n">
        <v>0</v>
      </c>
      <c r="Q7930" t="n">
        <v>0</v>
      </c>
      <c r="R7930" s="2" t="inlineStr"/>
    </row>
    <row r="7931" ht="15" customHeight="1">
      <c r="A7931" t="inlineStr">
        <is>
          <t>A 46777-2022</t>
        </is>
      </c>
      <c r="B7931" s="1" t="n">
        <v>44851</v>
      </c>
      <c r="C7931" s="1" t="n">
        <v>45810</v>
      </c>
      <c r="D7931" t="inlineStr">
        <is>
          <t>VÄRMLANDS LÄN</t>
        </is>
      </c>
      <c r="E7931" t="inlineStr">
        <is>
          <t>SUNNE</t>
        </is>
      </c>
      <c r="G7931" t="n">
        <v>0.6</v>
      </c>
      <c r="H7931" t="n">
        <v>0</v>
      </c>
      <c r="I7931" t="n">
        <v>0</v>
      </c>
      <c r="J7931" t="n">
        <v>0</v>
      </c>
      <c r="K7931" t="n">
        <v>0</v>
      </c>
      <c r="L7931" t="n">
        <v>0</v>
      </c>
      <c r="M7931" t="n">
        <v>0</v>
      </c>
      <c r="N7931" t="n">
        <v>0</v>
      </c>
      <c r="O7931" t="n">
        <v>0</v>
      </c>
      <c r="P7931" t="n">
        <v>0</v>
      </c>
      <c r="Q7931" t="n">
        <v>0</v>
      </c>
      <c r="R7931" s="2" t="inlineStr"/>
    </row>
    <row r="7932" ht="15" customHeight="1">
      <c r="A7932" t="inlineStr">
        <is>
          <t>A 46829-2022</t>
        </is>
      </c>
      <c r="B7932" s="1" t="n">
        <v>44851</v>
      </c>
      <c r="C7932" s="1" t="n">
        <v>45810</v>
      </c>
      <c r="D7932" t="inlineStr">
        <is>
          <t>VÄRMLANDS LÄN</t>
        </is>
      </c>
      <c r="E7932" t="inlineStr">
        <is>
          <t>ARVIKA</t>
        </is>
      </c>
      <c r="G7932" t="n">
        <v>0.6</v>
      </c>
      <c r="H7932" t="n">
        <v>0</v>
      </c>
      <c r="I7932" t="n">
        <v>0</v>
      </c>
      <c r="J7932" t="n">
        <v>0</v>
      </c>
      <c r="K7932" t="n">
        <v>0</v>
      </c>
      <c r="L7932" t="n">
        <v>0</v>
      </c>
      <c r="M7932" t="n">
        <v>0</v>
      </c>
      <c r="N7932" t="n">
        <v>0</v>
      </c>
      <c r="O7932" t="n">
        <v>0</v>
      </c>
      <c r="P7932" t="n">
        <v>0</v>
      </c>
      <c r="Q7932" t="n">
        <v>0</v>
      </c>
      <c r="R7932" s="2" t="inlineStr"/>
    </row>
    <row r="7933" ht="15" customHeight="1">
      <c r="A7933" t="inlineStr">
        <is>
          <t>A 46925-2022</t>
        </is>
      </c>
      <c r="B7933" s="1" t="n">
        <v>44851</v>
      </c>
      <c r="C7933" s="1" t="n">
        <v>45810</v>
      </c>
      <c r="D7933" t="inlineStr">
        <is>
          <t>VÄRMLANDS LÄN</t>
        </is>
      </c>
      <c r="E7933" t="inlineStr">
        <is>
          <t>ARVIKA</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46792-2022</t>
        </is>
      </c>
      <c r="B7934" s="1" t="n">
        <v>44851</v>
      </c>
      <c r="C7934" s="1" t="n">
        <v>45810</v>
      </c>
      <c r="D7934" t="inlineStr">
        <is>
          <t>VÄRMLANDS LÄN</t>
        </is>
      </c>
      <c r="E7934" t="inlineStr">
        <is>
          <t>HAGFORS</t>
        </is>
      </c>
      <c r="G7934" t="n">
        <v>1.6</v>
      </c>
      <c r="H7934" t="n">
        <v>0</v>
      </c>
      <c r="I7934" t="n">
        <v>0</v>
      </c>
      <c r="J7934" t="n">
        <v>0</v>
      </c>
      <c r="K7934" t="n">
        <v>0</v>
      </c>
      <c r="L7934" t="n">
        <v>0</v>
      </c>
      <c r="M7934" t="n">
        <v>0</v>
      </c>
      <c r="N7934" t="n">
        <v>0</v>
      </c>
      <c r="O7934" t="n">
        <v>0</v>
      </c>
      <c r="P7934" t="n">
        <v>0</v>
      </c>
      <c r="Q7934" t="n">
        <v>0</v>
      </c>
      <c r="R7934" s="2" t="inlineStr"/>
    </row>
    <row r="7935" ht="15" customHeight="1">
      <c r="A7935" t="inlineStr">
        <is>
          <t>A 46924-2022</t>
        </is>
      </c>
      <c r="B7935" s="1" t="n">
        <v>44851</v>
      </c>
      <c r="C7935" s="1" t="n">
        <v>45810</v>
      </c>
      <c r="D7935" t="inlineStr">
        <is>
          <t>VÄRMLANDS LÄN</t>
        </is>
      </c>
      <c r="E7935" t="inlineStr">
        <is>
          <t>ARVIKA</t>
        </is>
      </c>
      <c r="G7935" t="n">
        <v>1.6</v>
      </c>
      <c r="H7935" t="n">
        <v>0</v>
      </c>
      <c r="I7935" t="n">
        <v>0</v>
      </c>
      <c r="J7935" t="n">
        <v>0</v>
      </c>
      <c r="K7935" t="n">
        <v>0</v>
      </c>
      <c r="L7935" t="n">
        <v>0</v>
      </c>
      <c r="M7935" t="n">
        <v>0</v>
      </c>
      <c r="N7935" t="n">
        <v>0</v>
      </c>
      <c r="O7935" t="n">
        <v>0</v>
      </c>
      <c r="P7935" t="n">
        <v>0</v>
      </c>
      <c r="Q7935" t="n">
        <v>0</v>
      </c>
      <c r="R7935" s="2" t="inlineStr"/>
    </row>
    <row r="7936" ht="15" customHeight="1">
      <c r="A7936" t="inlineStr">
        <is>
          <t>A 47091-2022</t>
        </is>
      </c>
      <c r="B7936" s="1" t="n">
        <v>44851</v>
      </c>
      <c r="C7936" s="1" t="n">
        <v>45810</v>
      </c>
      <c r="D7936" t="inlineStr">
        <is>
          <t>VÄRMLANDS LÄN</t>
        </is>
      </c>
      <c r="E7936" t="inlineStr">
        <is>
          <t>KRISTINEHAMN</t>
        </is>
      </c>
      <c r="F7936" t="inlineStr">
        <is>
          <t>Kommuner</t>
        </is>
      </c>
      <c r="G7936" t="n">
        <v>8.6</v>
      </c>
      <c r="H7936" t="n">
        <v>0</v>
      </c>
      <c r="I7936" t="n">
        <v>0</v>
      </c>
      <c r="J7936" t="n">
        <v>0</v>
      </c>
      <c r="K7936" t="n">
        <v>0</v>
      </c>
      <c r="L7936" t="n">
        <v>0</v>
      </c>
      <c r="M7936" t="n">
        <v>0</v>
      </c>
      <c r="N7936" t="n">
        <v>0</v>
      </c>
      <c r="O7936" t="n">
        <v>0</v>
      </c>
      <c r="P7936" t="n">
        <v>0</v>
      </c>
      <c r="Q7936" t="n">
        <v>0</v>
      </c>
      <c r="R7936" s="2" t="inlineStr"/>
    </row>
    <row r="7937" ht="15" customHeight="1">
      <c r="A7937" t="inlineStr">
        <is>
          <t>A 47408-2022</t>
        </is>
      </c>
      <c r="B7937" s="1" t="n">
        <v>44851</v>
      </c>
      <c r="C7937" s="1" t="n">
        <v>45810</v>
      </c>
      <c r="D7937" t="inlineStr">
        <is>
          <t>VÄRMLANDS LÄN</t>
        </is>
      </c>
      <c r="E7937" t="inlineStr">
        <is>
          <t>STORFORS</t>
        </is>
      </c>
      <c r="G7937" t="n">
        <v>6</v>
      </c>
      <c r="H7937" t="n">
        <v>0</v>
      </c>
      <c r="I7937" t="n">
        <v>0</v>
      </c>
      <c r="J7937" t="n">
        <v>0</v>
      </c>
      <c r="K7937" t="n">
        <v>0</v>
      </c>
      <c r="L7937" t="n">
        <v>0</v>
      </c>
      <c r="M7937" t="n">
        <v>0</v>
      </c>
      <c r="N7937" t="n">
        <v>0</v>
      </c>
      <c r="O7937" t="n">
        <v>0</v>
      </c>
      <c r="P7937" t="n">
        <v>0</v>
      </c>
      <c r="Q7937" t="n">
        <v>0</v>
      </c>
      <c r="R7937" s="2" t="inlineStr"/>
    </row>
    <row r="7938" ht="15" customHeight="1">
      <c r="A7938" t="inlineStr">
        <is>
          <t>A 47126-2022</t>
        </is>
      </c>
      <c r="B7938" s="1" t="n">
        <v>44852</v>
      </c>
      <c r="C7938" s="1" t="n">
        <v>45810</v>
      </c>
      <c r="D7938" t="inlineStr">
        <is>
          <t>VÄRMLANDS LÄN</t>
        </is>
      </c>
      <c r="E7938" t="inlineStr">
        <is>
          <t>FORSHAGA</t>
        </is>
      </c>
      <c r="F7938" t="inlineStr">
        <is>
          <t>Bergvik skog väst AB</t>
        </is>
      </c>
      <c r="G7938" t="n">
        <v>7.3</v>
      </c>
      <c r="H7938" t="n">
        <v>0</v>
      </c>
      <c r="I7938" t="n">
        <v>0</v>
      </c>
      <c r="J7938" t="n">
        <v>0</v>
      </c>
      <c r="K7938" t="n">
        <v>0</v>
      </c>
      <c r="L7938" t="n">
        <v>0</v>
      </c>
      <c r="M7938" t="n">
        <v>0</v>
      </c>
      <c r="N7938" t="n">
        <v>0</v>
      </c>
      <c r="O7938" t="n">
        <v>0</v>
      </c>
      <c r="P7938" t="n">
        <v>0</v>
      </c>
      <c r="Q7938" t="n">
        <v>0</v>
      </c>
      <c r="R7938" s="2" t="inlineStr"/>
    </row>
    <row r="7939" ht="15" customHeight="1">
      <c r="A7939" t="inlineStr">
        <is>
          <t>A 47167-2022</t>
        </is>
      </c>
      <c r="B7939" s="1" t="n">
        <v>44852</v>
      </c>
      <c r="C7939" s="1" t="n">
        <v>45810</v>
      </c>
      <c r="D7939" t="inlineStr">
        <is>
          <t>VÄRMLANDS LÄN</t>
        </is>
      </c>
      <c r="E7939" t="inlineStr">
        <is>
          <t>TORSBY</t>
        </is>
      </c>
      <c r="G7939" t="n">
        <v>1</v>
      </c>
      <c r="H7939" t="n">
        <v>0</v>
      </c>
      <c r="I7939" t="n">
        <v>0</v>
      </c>
      <c r="J7939" t="n">
        <v>0</v>
      </c>
      <c r="K7939" t="n">
        <v>0</v>
      </c>
      <c r="L7939" t="n">
        <v>0</v>
      </c>
      <c r="M7939" t="n">
        <v>0</v>
      </c>
      <c r="N7939" t="n">
        <v>0</v>
      </c>
      <c r="O7939" t="n">
        <v>0</v>
      </c>
      <c r="P7939" t="n">
        <v>0</v>
      </c>
      <c r="Q7939" t="n">
        <v>0</v>
      </c>
      <c r="R7939" s="2" t="inlineStr"/>
    </row>
    <row r="7940" ht="15" customHeight="1">
      <c r="A7940" t="inlineStr">
        <is>
          <t>A 47188-2022</t>
        </is>
      </c>
      <c r="B7940" s="1" t="n">
        <v>44852</v>
      </c>
      <c r="C7940" s="1" t="n">
        <v>45810</v>
      </c>
      <c r="D7940" t="inlineStr">
        <is>
          <t>VÄRMLANDS LÄN</t>
        </is>
      </c>
      <c r="E7940" t="inlineStr">
        <is>
          <t>FILIPSTAD</t>
        </is>
      </c>
      <c r="G7940" t="n">
        <v>1.7</v>
      </c>
      <c r="H7940" t="n">
        <v>0</v>
      </c>
      <c r="I7940" t="n">
        <v>0</v>
      </c>
      <c r="J7940" t="n">
        <v>0</v>
      </c>
      <c r="K7940" t="n">
        <v>0</v>
      </c>
      <c r="L7940" t="n">
        <v>0</v>
      </c>
      <c r="M7940" t="n">
        <v>0</v>
      </c>
      <c r="N7940" t="n">
        <v>0</v>
      </c>
      <c r="O7940" t="n">
        <v>0</v>
      </c>
      <c r="P7940" t="n">
        <v>0</v>
      </c>
      <c r="Q7940" t="n">
        <v>0</v>
      </c>
      <c r="R7940" s="2" t="inlineStr"/>
    </row>
    <row r="7941" ht="15" customHeight="1">
      <c r="A7941" t="inlineStr">
        <is>
          <t>A 47236-2022</t>
        </is>
      </c>
      <c r="B7941" s="1" t="n">
        <v>44852</v>
      </c>
      <c r="C7941" s="1" t="n">
        <v>45810</v>
      </c>
      <c r="D7941" t="inlineStr">
        <is>
          <t>VÄRMLANDS LÄN</t>
        </is>
      </c>
      <c r="E7941" t="inlineStr">
        <is>
          <t>SÄFFLE</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47191-2022</t>
        </is>
      </c>
      <c r="B7942" s="1" t="n">
        <v>44852</v>
      </c>
      <c r="C7942" s="1" t="n">
        <v>45810</v>
      </c>
      <c r="D7942" t="inlineStr">
        <is>
          <t>VÄRMLANDS LÄN</t>
        </is>
      </c>
      <c r="E7942" t="inlineStr">
        <is>
          <t>KIL</t>
        </is>
      </c>
      <c r="G7942" t="n">
        <v>1.9</v>
      </c>
      <c r="H7942" t="n">
        <v>0</v>
      </c>
      <c r="I7942" t="n">
        <v>0</v>
      </c>
      <c r="J7942" t="n">
        <v>0</v>
      </c>
      <c r="K7942" t="n">
        <v>0</v>
      </c>
      <c r="L7942" t="n">
        <v>0</v>
      </c>
      <c r="M7942" t="n">
        <v>0</v>
      </c>
      <c r="N7942" t="n">
        <v>0</v>
      </c>
      <c r="O7942" t="n">
        <v>0</v>
      </c>
      <c r="P7942" t="n">
        <v>0</v>
      </c>
      <c r="Q7942" t="n">
        <v>0</v>
      </c>
      <c r="R7942" s="2" t="inlineStr"/>
    </row>
    <row r="7943" ht="15" customHeight="1">
      <c r="A7943" t="inlineStr">
        <is>
          <t>A 47203-2022</t>
        </is>
      </c>
      <c r="B7943" s="1" t="n">
        <v>44852</v>
      </c>
      <c r="C7943" s="1" t="n">
        <v>45810</v>
      </c>
      <c r="D7943" t="inlineStr">
        <is>
          <t>VÄRMLANDS LÄN</t>
        </is>
      </c>
      <c r="E7943" t="inlineStr">
        <is>
          <t>KARLSTAD</t>
        </is>
      </c>
      <c r="G7943" t="n">
        <v>1.1</v>
      </c>
      <c r="H7943" t="n">
        <v>0</v>
      </c>
      <c r="I7943" t="n">
        <v>0</v>
      </c>
      <c r="J7943" t="n">
        <v>0</v>
      </c>
      <c r="K7943" t="n">
        <v>0</v>
      </c>
      <c r="L7943" t="n">
        <v>0</v>
      </c>
      <c r="M7943" t="n">
        <v>0</v>
      </c>
      <c r="N7943" t="n">
        <v>0</v>
      </c>
      <c r="O7943" t="n">
        <v>0</v>
      </c>
      <c r="P7943" t="n">
        <v>0</v>
      </c>
      <c r="Q7943" t="n">
        <v>0</v>
      </c>
      <c r="R7943" s="2" t="inlineStr"/>
    </row>
    <row r="7944" ht="15" customHeight="1">
      <c r="A7944" t="inlineStr">
        <is>
          <t>A 47141-2022</t>
        </is>
      </c>
      <c r="B7944" s="1" t="n">
        <v>44852</v>
      </c>
      <c r="C7944" s="1" t="n">
        <v>45810</v>
      </c>
      <c r="D7944" t="inlineStr">
        <is>
          <t>VÄRMLANDS LÄN</t>
        </is>
      </c>
      <c r="E7944" t="inlineStr">
        <is>
          <t>TORSBY</t>
        </is>
      </c>
      <c r="G7944" t="n">
        <v>2.6</v>
      </c>
      <c r="H7944" t="n">
        <v>0</v>
      </c>
      <c r="I7944" t="n">
        <v>0</v>
      </c>
      <c r="J7944" t="n">
        <v>0</v>
      </c>
      <c r="K7944" t="n">
        <v>0</v>
      </c>
      <c r="L7944" t="n">
        <v>0</v>
      </c>
      <c r="M7944" t="n">
        <v>0</v>
      </c>
      <c r="N7944" t="n">
        <v>0</v>
      </c>
      <c r="O7944" t="n">
        <v>0</v>
      </c>
      <c r="P7944" t="n">
        <v>0</v>
      </c>
      <c r="Q7944" t="n">
        <v>0</v>
      </c>
      <c r="R7944" s="2" t="inlineStr"/>
    </row>
    <row r="7945" ht="15" customHeight="1">
      <c r="A7945" t="inlineStr">
        <is>
          <t>A 47175-2022</t>
        </is>
      </c>
      <c r="B7945" s="1" t="n">
        <v>44852</v>
      </c>
      <c r="C7945" s="1" t="n">
        <v>45810</v>
      </c>
      <c r="D7945" t="inlineStr">
        <is>
          <t>VÄRMLANDS LÄN</t>
        </is>
      </c>
      <c r="E7945" t="inlineStr">
        <is>
          <t>EDA</t>
        </is>
      </c>
      <c r="G7945" t="n">
        <v>0.9</v>
      </c>
      <c r="H7945" t="n">
        <v>0</v>
      </c>
      <c r="I7945" t="n">
        <v>0</v>
      </c>
      <c r="J7945" t="n">
        <v>0</v>
      </c>
      <c r="K7945" t="n">
        <v>0</v>
      </c>
      <c r="L7945" t="n">
        <v>0</v>
      </c>
      <c r="M7945" t="n">
        <v>0</v>
      </c>
      <c r="N7945" t="n">
        <v>0</v>
      </c>
      <c r="O7945" t="n">
        <v>0</v>
      </c>
      <c r="P7945" t="n">
        <v>0</v>
      </c>
      <c r="Q7945" t="n">
        <v>0</v>
      </c>
      <c r="R7945" s="2" t="inlineStr"/>
    </row>
    <row r="7946" ht="15" customHeight="1">
      <c r="A7946" t="inlineStr">
        <is>
          <t>A 47180-2022</t>
        </is>
      </c>
      <c r="B7946" s="1" t="n">
        <v>44852</v>
      </c>
      <c r="C7946" s="1" t="n">
        <v>45810</v>
      </c>
      <c r="D7946" t="inlineStr">
        <is>
          <t>VÄRMLANDS LÄN</t>
        </is>
      </c>
      <c r="E7946" t="inlineStr">
        <is>
          <t>EDA</t>
        </is>
      </c>
      <c r="G7946" t="n">
        <v>1.3</v>
      </c>
      <c r="H7946" t="n">
        <v>0</v>
      </c>
      <c r="I7946" t="n">
        <v>0</v>
      </c>
      <c r="J7946" t="n">
        <v>0</v>
      </c>
      <c r="K7946" t="n">
        <v>0</v>
      </c>
      <c r="L7946" t="n">
        <v>0</v>
      </c>
      <c r="M7946" t="n">
        <v>0</v>
      </c>
      <c r="N7946" t="n">
        <v>0</v>
      </c>
      <c r="O7946" t="n">
        <v>0</v>
      </c>
      <c r="P7946" t="n">
        <v>0</v>
      </c>
      <c r="Q7946" t="n">
        <v>0</v>
      </c>
      <c r="R7946" s="2" t="inlineStr"/>
    </row>
    <row r="7947" ht="15" customHeight="1">
      <c r="A7947" t="inlineStr">
        <is>
          <t>A 47206-2022</t>
        </is>
      </c>
      <c r="B7947" s="1" t="n">
        <v>44852</v>
      </c>
      <c r="C7947" s="1" t="n">
        <v>45810</v>
      </c>
      <c r="D7947" t="inlineStr">
        <is>
          <t>VÄRMLANDS LÄN</t>
        </is>
      </c>
      <c r="E7947" t="inlineStr">
        <is>
          <t>TORSBY</t>
        </is>
      </c>
      <c r="G7947" t="n">
        <v>8.5</v>
      </c>
      <c r="H7947" t="n">
        <v>0</v>
      </c>
      <c r="I7947" t="n">
        <v>0</v>
      </c>
      <c r="J7947" t="n">
        <v>0</v>
      </c>
      <c r="K7947" t="n">
        <v>0</v>
      </c>
      <c r="L7947" t="n">
        <v>0</v>
      </c>
      <c r="M7947" t="n">
        <v>0</v>
      </c>
      <c r="N7947" t="n">
        <v>0</v>
      </c>
      <c r="O7947" t="n">
        <v>0</v>
      </c>
      <c r="P7947" t="n">
        <v>0</v>
      </c>
      <c r="Q7947" t="n">
        <v>0</v>
      </c>
      <c r="R7947" s="2" t="inlineStr"/>
    </row>
    <row r="7948" ht="15" customHeight="1">
      <c r="A7948" t="inlineStr">
        <is>
          <t>A 47181-2022</t>
        </is>
      </c>
      <c r="B7948" s="1" t="n">
        <v>44852</v>
      </c>
      <c r="C7948" s="1" t="n">
        <v>45810</v>
      </c>
      <c r="D7948" t="inlineStr">
        <is>
          <t>VÄRMLANDS LÄN</t>
        </is>
      </c>
      <c r="E7948" t="inlineStr">
        <is>
          <t>KIL</t>
        </is>
      </c>
      <c r="G7948" t="n">
        <v>6.5</v>
      </c>
      <c r="H7948" t="n">
        <v>0</v>
      </c>
      <c r="I7948" t="n">
        <v>0</v>
      </c>
      <c r="J7948" t="n">
        <v>0</v>
      </c>
      <c r="K7948" t="n">
        <v>0</v>
      </c>
      <c r="L7948" t="n">
        <v>0</v>
      </c>
      <c r="M7948" t="n">
        <v>0</v>
      </c>
      <c r="N7948" t="n">
        <v>0</v>
      </c>
      <c r="O7948" t="n">
        <v>0</v>
      </c>
      <c r="P7948" t="n">
        <v>0</v>
      </c>
      <c r="Q7948" t="n">
        <v>0</v>
      </c>
      <c r="R7948" s="2" t="inlineStr"/>
    </row>
    <row r="7949" ht="15" customHeight="1">
      <c r="A7949" t="inlineStr">
        <is>
          <t>A 47239-2022</t>
        </is>
      </c>
      <c r="B7949" s="1" t="n">
        <v>44852</v>
      </c>
      <c r="C7949" s="1" t="n">
        <v>45810</v>
      </c>
      <c r="D7949" t="inlineStr">
        <is>
          <t>VÄRMLANDS LÄN</t>
        </is>
      </c>
      <c r="E7949" t="inlineStr">
        <is>
          <t>ARVIKA</t>
        </is>
      </c>
      <c r="G7949" t="n">
        <v>1.5</v>
      </c>
      <c r="H7949" t="n">
        <v>0</v>
      </c>
      <c r="I7949" t="n">
        <v>0</v>
      </c>
      <c r="J7949" t="n">
        <v>0</v>
      </c>
      <c r="K7949" t="n">
        <v>0</v>
      </c>
      <c r="L7949" t="n">
        <v>0</v>
      </c>
      <c r="M7949" t="n">
        <v>0</v>
      </c>
      <c r="N7949" t="n">
        <v>0</v>
      </c>
      <c r="O7949" t="n">
        <v>0</v>
      </c>
      <c r="P7949" t="n">
        <v>0</v>
      </c>
      <c r="Q7949" t="n">
        <v>0</v>
      </c>
      <c r="R7949" s="2" t="inlineStr"/>
    </row>
    <row r="7950" ht="15" customHeight="1">
      <c r="A7950" t="inlineStr">
        <is>
          <t>A 47349-2022</t>
        </is>
      </c>
      <c r="B7950" s="1" t="n">
        <v>44852</v>
      </c>
      <c r="C7950" s="1" t="n">
        <v>45810</v>
      </c>
      <c r="D7950" t="inlineStr">
        <is>
          <t>VÄRMLANDS LÄN</t>
        </is>
      </c>
      <c r="E7950" t="inlineStr">
        <is>
          <t>KARLSTAD</t>
        </is>
      </c>
      <c r="G7950" t="n">
        <v>2.7</v>
      </c>
      <c r="H7950" t="n">
        <v>0</v>
      </c>
      <c r="I7950" t="n">
        <v>0</v>
      </c>
      <c r="J7950" t="n">
        <v>0</v>
      </c>
      <c r="K7950" t="n">
        <v>0</v>
      </c>
      <c r="L7950" t="n">
        <v>0</v>
      </c>
      <c r="M7950" t="n">
        <v>0</v>
      </c>
      <c r="N7950" t="n">
        <v>0</v>
      </c>
      <c r="O7950" t="n">
        <v>0</v>
      </c>
      <c r="P7950" t="n">
        <v>0</v>
      </c>
      <c r="Q7950" t="n">
        <v>0</v>
      </c>
      <c r="R7950" s="2" t="inlineStr"/>
    </row>
    <row r="7951" ht="15" customHeight="1">
      <c r="A7951" t="inlineStr">
        <is>
          <t>A 47008-2022</t>
        </is>
      </c>
      <c r="B7951" s="1" t="n">
        <v>44852</v>
      </c>
      <c r="C7951" s="1" t="n">
        <v>45810</v>
      </c>
      <c r="D7951" t="inlineStr">
        <is>
          <t>VÄRMLANDS LÄN</t>
        </is>
      </c>
      <c r="E7951" t="inlineStr">
        <is>
          <t>HAGFORS</t>
        </is>
      </c>
      <c r="F7951" t="inlineStr">
        <is>
          <t>Bergvik skog väst AB</t>
        </is>
      </c>
      <c r="G7951" t="n">
        <v>5.2</v>
      </c>
      <c r="H7951" t="n">
        <v>0</v>
      </c>
      <c r="I7951" t="n">
        <v>0</v>
      </c>
      <c r="J7951" t="n">
        <v>0</v>
      </c>
      <c r="K7951" t="n">
        <v>0</v>
      </c>
      <c r="L7951" t="n">
        <v>0</v>
      </c>
      <c r="M7951" t="n">
        <v>0</v>
      </c>
      <c r="N7951" t="n">
        <v>0</v>
      </c>
      <c r="O7951" t="n">
        <v>0</v>
      </c>
      <c r="P7951" t="n">
        <v>0</v>
      </c>
      <c r="Q7951" t="n">
        <v>0</v>
      </c>
      <c r="R7951" s="2" t="inlineStr"/>
    </row>
    <row r="7952" ht="15" customHeight="1">
      <c r="A7952" t="inlineStr">
        <is>
          <t>A 47638-2022</t>
        </is>
      </c>
      <c r="B7952" s="1" t="n">
        <v>44852</v>
      </c>
      <c r="C7952" s="1" t="n">
        <v>45810</v>
      </c>
      <c r="D7952" t="inlineStr">
        <is>
          <t>VÄRMLANDS LÄN</t>
        </is>
      </c>
      <c r="E7952" t="inlineStr">
        <is>
          <t>ARVIKA</t>
        </is>
      </c>
      <c r="G7952" t="n">
        <v>0.7</v>
      </c>
      <c r="H7952" t="n">
        <v>0</v>
      </c>
      <c r="I7952" t="n">
        <v>0</v>
      </c>
      <c r="J7952" t="n">
        <v>0</v>
      </c>
      <c r="K7952" t="n">
        <v>0</v>
      </c>
      <c r="L7952" t="n">
        <v>0</v>
      </c>
      <c r="M7952" t="n">
        <v>0</v>
      </c>
      <c r="N7952" t="n">
        <v>0</v>
      </c>
      <c r="O7952" t="n">
        <v>0</v>
      </c>
      <c r="P7952" t="n">
        <v>0</v>
      </c>
      <c r="Q7952" t="n">
        <v>0</v>
      </c>
      <c r="R7952" s="2" t="inlineStr"/>
    </row>
    <row r="7953" ht="15" customHeight="1">
      <c r="A7953" t="inlineStr">
        <is>
          <t>A 47004-2022</t>
        </is>
      </c>
      <c r="B7953" s="1" t="n">
        <v>44852</v>
      </c>
      <c r="C7953" s="1" t="n">
        <v>45810</v>
      </c>
      <c r="D7953" t="inlineStr">
        <is>
          <t>VÄRMLANDS LÄN</t>
        </is>
      </c>
      <c r="E7953" t="inlineStr">
        <is>
          <t>ARVIKA</t>
        </is>
      </c>
      <c r="G7953" t="n">
        <v>0.2</v>
      </c>
      <c r="H7953" t="n">
        <v>0</v>
      </c>
      <c r="I7953" t="n">
        <v>0</v>
      </c>
      <c r="J7953" t="n">
        <v>0</v>
      </c>
      <c r="K7953" t="n">
        <v>0</v>
      </c>
      <c r="L7953" t="n">
        <v>0</v>
      </c>
      <c r="M7953" t="n">
        <v>0</v>
      </c>
      <c r="N7953" t="n">
        <v>0</v>
      </c>
      <c r="O7953" t="n">
        <v>0</v>
      </c>
      <c r="P7953" t="n">
        <v>0</v>
      </c>
      <c r="Q7953" t="n">
        <v>0</v>
      </c>
      <c r="R7953" s="2" t="inlineStr"/>
    </row>
    <row r="7954" ht="15" customHeight="1">
      <c r="A7954" t="inlineStr">
        <is>
          <t>A 47012-2022</t>
        </is>
      </c>
      <c r="B7954" s="1" t="n">
        <v>44852</v>
      </c>
      <c r="C7954" s="1" t="n">
        <v>45810</v>
      </c>
      <c r="D7954" t="inlineStr">
        <is>
          <t>VÄRMLANDS LÄN</t>
        </is>
      </c>
      <c r="E7954" t="inlineStr">
        <is>
          <t>HAGFORS</t>
        </is>
      </c>
      <c r="F7954" t="inlineStr">
        <is>
          <t>Bergvik skog väst AB</t>
        </is>
      </c>
      <c r="G7954" t="n">
        <v>9</v>
      </c>
      <c r="H7954" t="n">
        <v>0</v>
      </c>
      <c r="I7954" t="n">
        <v>0</v>
      </c>
      <c r="J7954" t="n">
        <v>0</v>
      </c>
      <c r="K7954" t="n">
        <v>0</v>
      </c>
      <c r="L7954" t="n">
        <v>0</v>
      </c>
      <c r="M7954" t="n">
        <v>0</v>
      </c>
      <c r="N7954" t="n">
        <v>0</v>
      </c>
      <c r="O7954" t="n">
        <v>0</v>
      </c>
      <c r="P7954" t="n">
        <v>0</v>
      </c>
      <c r="Q7954" t="n">
        <v>0</v>
      </c>
      <c r="R7954" s="2" t="inlineStr"/>
    </row>
    <row r="7955" ht="15" customHeight="1">
      <c r="A7955" t="inlineStr">
        <is>
          <t>A 47068-2022</t>
        </is>
      </c>
      <c r="B7955" s="1" t="n">
        <v>44852</v>
      </c>
      <c r="C7955" s="1" t="n">
        <v>45810</v>
      </c>
      <c r="D7955" t="inlineStr">
        <is>
          <t>VÄRMLANDS LÄN</t>
        </is>
      </c>
      <c r="E7955" t="inlineStr">
        <is>
          <t>SUNNE</t>
        </is>
      </c>
      <c r="G7955" t="n">
        <v>7.9</v>
      </c>
      <c r="H7955" t="n">
        <v>0</v>
      </c>
      <c r="I7955" t="n">
        <v>0</v>
      </c>
      <c r="J7955" t="n">
        <v>0</v>
      </c>
      <c r="K7955" t="n">
        <v>0</v>
      </c>
      <c r="L7955" t="n">
        <v>0</v>
      </c>
      <c r="M7955" t="n">
        <v>0</v>
      </c>
      <c r="N7955" t="n">
        <v>0</v>
      </c>
      <c r="O7955" t="n">
        <v>0</v>
      </c>
      <c r="P7955" t="n">
        <v>0</v>
      </c>
      <c r="Q7955" t="n">
        <v>0</v>
      </c>
      <c r="R7955" s="2" t="inlineStr"/>
    </row>
    <row r="7956" ht="15" customHeight="1">
      <c r="A7956" t="inlineStr">
        <is>
          <t>A 47005-2022</t>
        </is>
      </c>
      <c r="B7956" s="1" t="n">
        <v>44852</v>
      </c>
      <c r="C7956" s="1" t="n">
        <v>45810</v>
      </c>
      <c r="D7956" t="inlineStr">
        <is>
          <t>VÄRMLANDS LÄN</t>
        </is>
      </c>
      <c r="E7956" t="inlineStr">
        <is>
          <t>HAGFORS</t>
        </is>
      </c>
      <c r="F7956" t="inlineStr">
        <is>
          <t>Bergvik skog väst AB</t>
        </is>
      </c>
      <c r="G7956" t="n">
        <v>0.6</v>
      </c>
      <c r="H7956" t="n">
        <v>0</v>
      </c>
      <c r="I7956" t="n">
        <v>0</v>
      </c>
      <c r="J7956" t="n">
        <v>0</v>
      </c>
      <c r="K7956" t="n">
        <v>0</v>
      </c>
      <c r="L7956" t="n">
        <v>0</v>
      </c>
      <c r="M7956" t="n">
        <v>0</v>
      </c>
      <c r="N7956" t="n">
        <v>0</v>
      </c>
      <c r="O7956" t="n">
        <v>0</v>
      </c>
      <c r="P7956" t="n">
        <v>0</v>
      </c>
      <c r="Q7956" t="n">
        <v>0</v>
      </c>
      <c r="R7956" s="2" t="inlineStr"/>
    </row>
    <row r="7957" ht="15" customHeight="1">
      <c r="A7957" t="inlineStr">
        <is>
          <t>A 47045-2022</t>
        </is>
      </c>
      <c r="B7957" s="1" t="n">
        <v>44852</v>
      </c>
      <c r="C7957" s="1" t="n">
        <v>45810</v>
      </c>
      <c r="D7957" t="inlineStr">
        <is>
          <t>VÄRMLANDS LÄN</t>
        </is>
      </c>
      <c r="E7957" t="inlineStr">
        <is>
          <t>EDA</t>
        </is>
      </c>
      <c r="G7957" t="n">
        <v>0.6</v>
      </c>
      <c r="H7957" t="n">
        <v>0</v>
      </c>
      <c r="I7957" t="n">
        <v>0</v>
      </c>
      <c r="J7957" t="n">
        <v>0</v>
      </c>
      <c r="K7957" t="n">
        <v>0</v>
      </c>
      <c r="L7957" t="n">
        <v>0</v>
      </c>
      <c r="M7957" t="n">
        <v>0</v>
      </c>
      <c r="N7957" t="n">
        <v>0</v>
      </c>
      <c r="O7957" t="n">
        <v>0</v>
      </c>
      <c r="P7957" t="n">
        <v>0</v>
      </c>
      <c r="Q7957" t="n">
        <v>0</v>
      </c>
      <c r="R7957" s="2" t="inlineStr"/>
    </row>
    <row r="7958" ht="15" customHeight="1">
      <c r="A7958" t="inlineStr">
        <is>
          <t>A 47466-2022</t>
        </is>
      </c>
      <c r="B7958" s="1" t="n">
        <v>44852</v>
      </c>
      <c r="C7958" s="1" t="n">
        <v>45810</v>
      </c>
      <c r="D7958" t="inlineStr">
        <is>
          <t>VÄRMLANDS LÄN</t>
        </is>
      </c>
      <c r="E7958" t="inlineStr">
        <is>
          <t>TORSBY</t>
        </is>
      </c>
      <c r="G7958" t="n">
        <v>3</v>
      </c>
      <c r="H7958" t="n">
        <v>0</v>
      </c>
      <c r="I7958" t="n">
        <v>0</v>
      </c>
      <c r="J7958" t="n">
        <v>0</v>
      </c>
      <c r="K7958" t="n">
        <v>0</v>
      </c>
      <c r="L7958" t="n">
        <v>0</v>
      </c>
      <c r="M7958" t="n">
        <v>0</v>
      </c>
      <c r="N7958" t="n">
        <v>0</v>
      </c>
      <c r="O7958" t="n">
        <v>0</v>
      </c>
      <c r="P7958" t="n">
        <v>0</v>
      </c>
      <c r="Q7958" t="n">
        <v>0</v>
      </c>
      <c r="R7958" s="2" t="inlineStr"/>
    </row>
    <row r="7959" ht="15" customHeight="1">
      <c r="A7959" t="inlineStr">
        <is>
          <t>A 47634-2022</t>
        </is>
      </c>
      <c r="B7959" s="1" t="n">
        <v>44852</v>
      </c>
      <c r="C7959" s="1" t="n">
        <v>45810</v>
      </c>
      <c r="D7959" t="inlineStr">
        <is>
          <t>VÄRMLANDS LÄN</t>
        </is>
      </c>
      <c r="E7959" t="inlineStr">
        <is>
          <t>SÄFFLE</t>
        </is>
      </c>
      <c r="G7959" t="n">
        <v>0.7</v>
      </c>
      <c r="H7959" t="n">
        <v>0</v>
      </c>
      <c r="I7959" t="n">
        <v>0</v>
      </c>
      <c r="J7959" t="n">
        <v>0</v>
      </c>
      <c r="K7959" t="n">
        <v>0</v>
      </c>
      <c r="L7959" t="n">
        <v>0</v>
      </c>
      <c r="M7959" t="n">
        <v>0</v>
      </c>
      <c r="N7959" t="n">
        <v>0</v>
      </c>
      <c r="O7959" t="n">
        <v>0</v>
      </c>
      <c r="P7959" t="n">
        <v>0</v>
      </c>
      <c r="Q7959" t="n">
        <v>0</v>
      </c>
      <c r="R7959" s="2" t="inlineStr"/>
    </row>
    <row r="7960" ht="15" customHeight="1">
      <c r="A7960" t="inlineStr">
        <is>
          <t>A 47090-2022</t>
        </is>
      </c>
      <c r="B7960" s="1" t="n">
        <v>44852</v>
      </c>
      <c r="C7960" s="1" t="n">
        <v>45810</v>
      </c>
      <c r="D7960" t="inlineStr">
        <is>
          <t>VÄRMLANDS LÄN</t>
        </is>
      </c>
      <c r="E7960" t="inlineStr">
        <is>
          <t>KIL</t>
        </is>
      </c>
      <c r="G7960" t="n">
        <v>2.7</v>
      </c>
      <c r="H7960" t="n">
        <v>0</v>
      </c>
      <c r="I7960" t="n">
        <v>0</v>
      </c>
      <c r="J7960" t="n">
        <v>0</v>
      </c>
      <c r="K7960" t="n">
        <v>0</v>
      </c>
      <c r="L7960" t="n">
        <v>0</v>
      </c>
      <c r="M7960" t="n">
        <v>0</v>
      </c>
      <c r="N7960" t="n">
        <v>0</v>
      </c>
      <c r="O7960" t="n">
        <v>0</v>
      </c>
      <c r="P7960" t="n">
        <v>0</v>
      </c>
      <c r="Q7960" t="n">
        <v>0</v>
      </c>
      <c r="R7960" s="2" t="inlineStr"/>
    </row>
    <row r="7961" ht="15" customHeight="1">
      <c r="A7961" t="inlineStr">
        <is>
          <t>A 47332-2022</t>
        </is>
      </c>
      <c r="B7961" s="1" t="n">
        <v>44853</v>
      </c>
      <c r="C7961" s="1" t="n">
        <v>45810</v>
      </c>
      <c r="D7961" t="inlineStr">
        <is>
          <t>VÄRMLANDS LÄN</t>
        </is>
      </c>
      <c r="E7961" t="inlineStr">
        <is>
          <t>ÅRJÄNG</t>
        </is>
      </c>
      <c r="G7961" t="n">
        <v>8.199999999999999</v>
      </c>
      <c r="H7961" t="n">
        <v>0</v>
      </c>
      <c r="I7961" t="n">
        <v>0</v>
      </c>
      <c r="J7961" t="n">
        <v>0</v>
      </c>
      <c r="K7961" t="n">
        <v>0</v>
      </c>
      <c r="L7961" t="n">
        <v>0</v>
      </c>
      <c r="M7961" t="n">
        <v>0</v>
      </c>
      <c r="N7961" t="n">
        <v>0</v>
      </c>
      <c r="O7961" t="n">
        <v>0</v>
      </c>
      <c r="P7961" t="n">
        <v>0</v>
      </c>
      <c r="Q7961" t="n">
        <v>0</v>
      </c>
      <c r="R7961" s="2" t="inlineStr"/>
    </row>
    <row r="7962" ht="15" customHeight="1">
      <c r="A7962" t="inlineStr">
        <is>
          <t>A 47330-2022</t>
        </is>
      </c>
      <c r="B7962" s="1" t="n">
        <v>44853</v>
      </c>
      <c r="C7962" s="1" t="n">
        <v>45810</v>
      </c>
      <c r="D7962" t="inlineStr">
        <is>
          <t>VÄRMLANDS LÄN</t>
        </is>
      </c>
      <c r="E7962" t="inlineStr">
        <is>
          <t>KARLSTAD</t>
        </is>
      </c>
      <c r="G7962" t="n">
        <v>0.4</v>
      </c>
      <c r="H7962" t="n">
        <v>0</v>
      </c>
      <c r="I7962" t="n">
        <v>0</v>
      </c>
      <c r="J7962" t="n">
        <v>0</v>
      </c>
      <c r="K7962" t="n">
        <v>0</v>
      </c>
      <c r="L7962" t="n">
        <v>0</v>
      </c>
      <c r="M7962" t="n">
        <v>0</v>
      </c>
      <c r="N7962" t="n">
        <v>0</v>
      </c>
      <c r="O7962" t="n">
        <v>0</v>
      </c>
      <c r="P7962" t="n">
        <v>0</v>
      </c>
      <c r="Q7962" t="n">
        <v>0</v>
      </c>
      <c r="R7962" s="2" t="inlineStr"/>
    </row>
    <row r="7963" ht="15" customHeight="1">
      <c r="A7963" t="inlineStr">
        <is>
          <t>A 47336-2022</t>
        </is>
      </c>
      <c r="B7963" s="1" t="n">
        <v>44853</v>
      </c>
      <c r="C7963" s="1" t="n">
        <v>45810</v>
      </c>
      <c r="D7963" t="inlineStr">
        <is>
          <t>VÄRMLANDS LÄN</t>
        </is>
      </c>
      <c r="E7963" t="inlineStr">
        <is>
          <t>SÄFFLE</t>
        </is>
      </c>
      <c r="G7963" t="n">
        <v>1</v>
      </c>
      <c r="H7963" t="n">
        <v>0</v>
      </c>
      <c r="I7963" t="n">
        <v>0</v>
      </c>
      <c r="J7963" t="n">
        <v>0</v>
      </c>
      <c r="K7963" t="n">
        <v>0</v>
      </c>
      <c r="L7963" t="n">
        <v>0</v>
      </c>
      <c r="M7963" t="n">
        <v>0</v>
      </c>
      <c r="N7963" t="n">
        <v>0</v>
      </c>
      <c r="O7963" t="n">
        <v>0</v>
      </c>
      <c r="P7963" t="n">
        <v>0</v>
      </c>
      <c r="Q7963" t="n">
        <v>0</v>
      </c>
      <c r="R7963" s="2" t="inlineStr"/>
    </row>
    <row r="7964" ht="15" customHeight="1">
      <c r="A7964" t="inlineStr">
        <is>
          <t>A 47337-2022</t>
        </is>
      </c>
      <c r="B7964" s="1" t="n">
        <v>44853</v>
      </c>
      <c r="C7964" s="1" t="n">
        <v>45810</v>
      </c>
      <c r="D7964" t="inlineStr">
        <is>
          <t>VÄRMLANDS LÄN</t>
        </is>
      </c>
      <c r="E7964" t="inlineStr">
        <is>
          <t>SÄFFLE</t>
        </is>
      </c>
      <c r="G7964" t="n">
        <v>1.4</v>
      </c>
      <c r="H7964" t="n">
        <v>0</v>
      </c>
      <c r="I7964" t="n">
        <v>0</v>
      </c>
      <c r="J7964" t="n">
        <v>0</v>
      </c>
      <c r="K7964" t="n">
        <v>0</v>
      </c>
      <c r="L7964" t="n">
        <v>0</v>
      </c>
      <c r="M7964" t="n">
        <v>0</v>
      </c>
      <c r="N7964" t="n">
        <v>0</v>
      </c>
      <c r="O7964" t="n">
        <v>0</v>
      </c>
      <c r="P7964" t="n">
        <v>0</v>
      </c>
      <c r="Q7964" t="n">
        <v>0</v>
      </c>
      <c r="R7964" s="2" t="inlineStr"/>
    </row>
    <row r="7965" ht="15" customHeight="1">
      <c r="A7965" t="inlineStr">
        <is>
          <t>A 47364-2022</t>
        </is>
      </c>
      <c r="B7965" s="1" t="n">
        <v>44853</v>
      </c>
      <c r="C7965" s="1" t="n">
        <v>45810</v>
      </c>
      <c r="D7965" t="inlineStr">
        <is>
          <t>VÄRMLANDS LÄN</t>
        </is>
      </c>
      <c r="E7965" t="inlineStr">
        <is>
          <t>HAGFORS</t>
        </is>
      </c>
      <c r="F7965" t="inlineStr">
        <is>
          <t>Bergvik skog väst AB</t>
        </is>
      </c>
      <c r="G7965" t="n">
        <v>6.5</v>
      </c>
      <c r="H7965" t="n">
        <v>0</v>
      </c>
      <c r="I7965" t="n">
        <v>0</v>
      </c>
      <c r="J7965" t="n">
        <v>0</v>
      </c>
      <c r="K7965" t="n">
        <v>0</v>
      </c>
      <c r="L7965" t="n">
        <v>0</v>
      </c>
      <c r="M7965" t="n">
        <v>0</v>
      </c>
      <c r="N7965" t="n">
        <v>0</v>
      </c>
      <c r="O7965" t="n">
        <v>0</v>
      </c>
      <c r="P7965" t="n">
        <v>0</v>
      </c>
      <c r="Q7965" t="n">
        <v>0</v>
      </c>
      <c r="R7965" s="2" t="inlineStr"/>
    </row>
    <row r="7966" ht="15" customHeight="1">
      <c r="A7966" t="inlineStr">
        <is>
          <t>A 47421-2022</t>
        </is>
      </c>
      <c r="B7966" s="1" t="n">
        <v>44853</v>
      </c>
      <c r="C7966" s="1" t="n">
        <v>45810</v>
      </c>
      <c r="D7966" t="inlineStr">
        <is>
          <t>VÄRMLANDS LÄN</t>
        </is>
      </c>
      <c r="E7966" t="inlineStr">
        <is>
          <t>EDA</t>
        </is>
      </c>
      <c r="G7966" t="n">
        <v>8.300000000000001</v>
      </c>
      <c r="H7966" t="n">
        <v>0</v>
      </c>
      <c r="I7966" t="n">
        <v>0</v>
      </c>
      <c r="J7966" t="n">
        <v>0</v>
      </c>
      <c r="K7966" t="n">
        <v>0</v>
      </c>
      <c r="L7966" t="n">
        <v>0</v>
      </c>
      <c r="M7966" t="n">
        <v>0</v>
      </c>
      <c r="N7966" t="n">
        <v>0</v>
      </c>
      <c r="O7966" t="n">
        <v>0</v>
      </c>
      <c r="P7966" t="n">
        <v>0</v>
      </c>
      <c r="Q7966" t="n">
        <v>0</v>
      </c>
      <c r="R7966" s="2" t="inlineStr"/>
    </row>
    <row r="7967" ht="15" customHeight="1">
      <c r="A7967" t="inlineStr">
        <is>
          <t>A 47974-2022</t>
        </is>
      </c>
      <c r="B7967" s="1" t="n">
        <v>44853</v>
      </c>
      <c r="C7967" s="1" t="n">
        <v>45810</v>
      </c>
      <c r="D7967" t="inlineStr">
        <is>
          <t>VÄRMLANDS LÄN</t>
        </is>
      </c>
      <c r="E7967" t="inlineStr">
        <is>
          <t>KRISTINEHAMN</t>
        </is>
      </c>
      <c r="G7967" t="n">
        <v>4</v>
      </c>
      <c r="H7967" t="n">
        <v>0</v>
      </c>
      <c r="I7967" t="n">
        <v>0</v>
      </c>
      <c r="J7967" t="n">
        <v>0</v>
      </c>
      <c r="K7967" t="n">
        <v>0</v>
      </c>
      <c r="L7967" t="n">
        <v>0</v>
      </c>
      <c r="M7967" t="n">
        <v>0</v>
      </c>
      <c r="N7967" t="n">
        <v>0</v>
      </c>
      <c r="O7967" t="n">
        <v>0</v>
      </c>
      <c r="P7967" t="n">
        <v>0</v>
      </c>
      <c r="Q7967" t="n">
        <v>0</v>
      </c>
      <c r="R7967" s="2" t="inlineStr"/>
    </row>
    <row r="7968" ht="15" customHeight="1">
      <c r="A7968" t="inlineStr">
        <is>
          <t>A 48328-2022</t>
        </is>
      </c>
      <c r="B7968" s="1" t="n">
        <v>44853</v>
      </c>
      <c r="C7968" s="1" t="n">
        <v>45810</v>
      </c>
      <c r="D7968" t="inlineStr">
        <is>
          <t>VÄRMLANDS LÄN</t>
        </is>
      </c>
      <c r="E7968" t="inlineStr">
        <is>
          <t>TORSBY</t>
        </is>
      </c>
      <c r="G7968" t="n">
        <v>0.4</v>
      </c>
      <c r="H7968" t="n">
        <v>0</v>
      </c>
      <c r="I7968" t="n">
        <v>0</v>
      </c>
      <c r="J7968" t="n">
        <v>0</v>
      </c>
      <c r="K7968" t="n">
        <v>0</v>
      </c>
      <c r="L7968" t="n">
        <v>0</v>
      </c>
      <c r="M7968" t="n">
        <v>0</v>
      </c>
      <c r="N7968" t="n">
        <v>0</v>
      </c>
      <c r="O7968" t="n">
        <v>0</v>
      </c>
      <c r="P7968" t="n">
        <v>0</v>
      </c>
      <c r="Q7968" t="n">
        <v>0</v>
      </c>
      <c r="R7968" s="2" t="inlineStr"/>
    </row>
    <row r="7969" ht="15" customHeight="1">
      <c r="A7969" t="inlineStr">
        <is>
          <t>A 48356-2022</t>
        </is>
      </c>
      <c r="B7969" s="1" t="n">
        <v>44853</v>
      </c>
      <c r="C7969" s="1" t="n">
        <v>45810</v>
      </c>
      <c r="D7969" t="inlineStr">
        <is>
          <t>VÄRMLANDS LÄN</t>
        </is>
      </c>
      <c r="E7969" t="inlineStr">
        <is>
          <t>TORSBY</t>
        </is>
      </c>
      <c r="G7969" t="n">
        <v>0.6</v>
      </c>
      <c r="H7969" t="n">
        <v>0</v>
      </c>
      <c r="I7969" t="n">
        <v>0</v>
      </c>
      <c r="J7969" t="n">
        <v>0</v>
      </c>
      <c r="K7969" t="n">
        <v>0</v>
      </c>
      <c r="L7969" t="n">
        <v>0</v>
      </c>
      <c r="M7969" t="n">
        <v>0</v>
      </c>
      <c r="N7969" t="n">
        <v>0</v>
      </c>
      <c r="O7969" t="n">
        <v>0</v>
      </c>
      <c r="P7969" t="n">
        <v>0</v>
      </c>
      <c r="Q7969" t="n">
        <v>0</v>
      </c>
      <c r="R7969" s="2" t="inlineStr"/>
    </row>
    <row r="7970" ht="15" customHeight="1">
      <c r="A7970" t="inlineStr">
        <is>
          <t>A 48320-2022</t>
        </is>
      </c>
      <c r="B7970" s="1" t="n">
        <v>44853</v>
      </c>
      <c r="C7970" s="1" t="n">
        <v>45810</v>
      </c>
      <c r="D7970" t="inlineStr">
        <is>
          <t>VÄRMLANDS LÄN</t>
        </is>
      </c>
      <c r="E7970" t="inlineStr">
        <is>
          <t>TORSBY</t>
        </is>
      </c>
      <c r="G7970" t="n">
        <v>0.4</v>
      </c>
      <c r="H7970" t="n">
        <v>0</v>
      </c>
      <c r="I7970" t="n">
        <v>0</v>
      </c>
      <c r="J7970" t="n">
        <v>0</v>
      </c>
      <c r="K7970" t="n">
        <v>0</v>
      </c>
      <c r="L7970" t="n">
        <v>0</v>
      </c>
      <c r="M7970" t="n">
        <v>0</v>
      </c>
      <c r="N7970" t="n">
        <v>0</v>
      </c>
      <c r="O7970" t="n">
        <v>0</v>
      </c>
      <c r="P7970" t="n">
        <v>0</v>
      </c>
      <c r="Q7970" t="n">
        <v>0</v>
      </c>
      <c r="R7970" s="2" t="inlineStr"/>
    </row>
    <row r="7971" ht="15" customHeight="1">
      <c r="A7971" t="inlineStr">
        <is>
          <t>A 48192-2022</t>
        </is>
      </c>
      <c r="B7971" s="1" t="n">
        <v>44853</v>
      </c>
      <c r="C7971" s="1" t="n">
        <v>45810</v>
      </c>
      <c r="D7971" t="inlineStr">
        <is>
          <t>VÄRMLANDS LÄN</t>
        </is>
      </c>
      <c r="E7971" t="inlineStr">
        <is>
          <t>ÅRJÄNG</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47694-2022</t>
        </is>
      </c>
      <c r="B7972" s="1" t="n">
        <v>44854</v>
      </c>
      <c r="C7972" s="1" t="n">
        <v>45810</v>
      </c>
      <c r="D7972" t="inlineStr">
        <is>
          <t>VÄRMLANDS LÄN</t>
        </is>
      </c>
      <c r="E7972" t="inlineStr">
        <is>
          <t>TORSBY</t>
        </is>
      </c>
      <c r="G7972" t="n">
        <v>7.9</v>
      </c>
      <c r="H7972" t="n">
        <v>0</v>
      </c>
      <c r="I7972" t="n">
        <v>0</v>
      </c>
      <c r="J7972" t="n">
        <v>0</v>
      </c>
      <c r="K7972" t="n">
        <v>0</v>
      </c>
      <c r="L7972" t="n">
        <v>0</v>
      </c>
      <c r="M7972" t="n">
        <v>0</v>
      </c>
      <c r="N7972" t="n">
        <v>0</v>
      </c>
      <c r="O7972" t="n">
        <v>0</v>
      </c>
      <c r="P7972" t="n">
        <v>0</v>
      </c>
      <c r="Q7972" t="n">
        <v>0</v>
      </c>
      <c r="R7972" s="2" t="inlineStr"/>
    </row>
    <row r="7973" ht="15" customHeight="1">
      <c r="A7973" t="inlineStr">
        <is>
          <t>A 47750-2022</t>
        </is>
      </c>
      <c r="B7973" s="1" t="n">
        <v>44854</v>
      </c>
      <c r="C7973" s="1" t="n">
        <v>45810</v>
      </c>
      <c r="D7973" t="inlineStr">
        <is>
          <t>VÄRMLANDS LÄN</t>
        </is>
      </c>
      <c r="E7973" t="inlineStr">
        <is>
          <t>ARVIKA</t>
        </is>
      </c>
      <c r="F7973" t="inlineStr">
        <is>
          <t>Bergvik skog väst AB</t>
        </is>
      </c>
      <c r="G7973" t="n">
        <v>11.7</v>
      </c>
      <c r="H7973" t="n">
        <v>0</v>
      </c>
      <c r="I7973" t="n">
        <v>0</v>
      </c>
      <c r="J7973" t="n">
        <v>0</v>
      </c>
      <c r="K7973" t="n">
        <v>0</v>
      </c>
      <c r="L7973" t="n">
        <v>0</v>
      </c>
      <c r="M7973" t="n">
        <v>0</v>
      </c>
      <c r="N7973" t="n">
        <v>0</v>
      </c>
      <c r="O7973" t="n">
        <v>0</v>
      </c>
      <c r="P7973" t="n">
        <v>0</v>
      </c>
      <c r="Q7973" t="n">
        <v>0</v>
      </c>
      <c r="R7973" s="2" t="inlineStr"/>
    </row>
    <row r="7974" ht="15" customHeight="1">
      <c r="A7974" t="inlineStr">
        <is>
          <t>A 47618-2022</t>
        </is>
      </c>
      <c r="B7974" s="1" t="n">
        <v>44854</v>
      </c>
      <c r="C7974" s="1" t="n">
        <v>45810</v>
      </c>
      <c r="D7974" t="inlineStr">
        <is>
          <t>VÄRMLANDS LÄN</t>
        </is>
      </c>
      <c r="E7974" t="inlineStr">
        <is>
          <t>SÄFFLE</t>
        </is>
      </c>
      <c r="G7974" t="n">
        <v>3</v>
      </c>
      <c r="H7974" t="n">
        <v>0</v>
      </c>
      <c r="I7974" t="n">
        <v>0</v>
      </c>
      <c r="J7974" t="n">
        <v>0</v>
      </c>
      <c r="K7974" t="n">
        <v>0</v>
      </c>
      <c r="L7974" t="n">
        <v>0</v>
      </c>
      <c r="M7974" t="n">
        <v>0</v>
      </c>
      <c r="N7974" t="n">
        <v>0</v>
      </c>
      <c r="O7974" t="n">
        <v>0</v>
      </c>
      <c r="P7974" t="n">
        <v>0</v>
      </c>
      <c r="Q7974" t="n">
        <v>0</v>
      </c>
      <c r="R7974" s="2" t="inlineStr"/>
    </row>
    <row r="7975" ht="15" customHeight="1">
      <c r="A7975" t="inlineStr">
        <is>
          <t>A 47693-2022</t>
        </is>
      </c>
      <c r="B7975" s="1" t="n">
        <v>44854</v>
      </c>
      <c r="C7975" s="1" t="n">
        <v>45810</v>
      </c>
      <c r="D7975" t="inlineStr">
        <is>
          <t>VÄRMLANDS LÄN</t>
        </is>
      </c>
      <c r="E7975" t="inlineStr">
        <is>
          <t>FILIPSTAD</t>
        </is>
      </c>
      <c r="F7975" t="inlineStr">
        <is>
          <t>Bergvik skog väst AB</t>
        </is>
      </c>
      <c r="G7975" t="n">
        <v>5.9</v>
      </c>
      <c r="H7975" t="n">
        <v>0</v>
      </c>
      <c r="I7975" t="n">
        <v>0</v>
      </c>
      <c r="J7975" t="n">
        <v>0</v>
      </c>
      <c r="K7975" t="n">
        <v>0</v>
      </c>
      <c r="L7975" t="n">
        <v>0</v>
      </c>
      <c r="M7975" t="n">
        <v>0</v>
      </c>
      <c r="N7975" t="n">
        <v>0</v>
      </c>
      <c r="O7975" t="n">
        <v>0</v>
      </c>
      <c r="P7975" t="n">
        <v>0</v>
      </c>
      <c r="Q7975" t="n">
        <v>0</v>
      </c>
      <c r="R7975" s="2" t="inlineStr"/>
    </row>
    <row r="7976" ht="15" customHeight="1">
      <c r="A7976" t="inlineStr">
        <is>
          <t>A 48805-2022</t>
        </is>
      </c>
      <c r="B7976" s="1" t="n">
        <v>44854</v>
      </c>
      <c r="C7976" s="1" t="n">
        <v>45810</v>
      </c>
      <c r="D7976" t="inlineStr">
        <is>
          <t>VÄRMLANDS LÄN</t>
        </is>
      </c>
      <c r="E7976" t="inlineStr">
        <is>
          <t>ÅRJÄNG</t>
        </is>
      </c>
      <c r="G7976" t="n">
        <v>4</v>
      </c>
      <c r="H7976" t="n">
        <v>0</v>
      </c>
      <c r="I7976" t="n">
        <v>0</v>
      </c>
      <c r="J7976" t="n">
        <v>0</v>
      </c>
      <c r="K7976" t="n">
        <v>0</v>
      </c>
      <c r="L7976" t="n">
        <v>0</v>
      </c>
      <c r="M7976" t="n">
        <v>0</v>
      </c>
      <c r="N7976" t="n">
        <v>0</v>
      </c>
      <c r="O7976" t="n">
        <v>0</v>
      </c>
      <c r="P7976" t="n">
        <v>0</v>
      </c>
      <c r="Q7976" t="n">
        <v>0</v>
      </c>
      <c r="R7976" s="2" t="inlineStr"/>
    </row>
    <row r="7977" ht="15" customHeight="1">
      <c r="A7977" t="inlineStr">
        <is>
          <t>A 47817-2022</t>
        </is>
      </c>
      <c r="B7977" s="1" t="n">
        <v>44855</v>
      </c>
      <c r="C7977" s="1" t="n">
        <v>45810</v>
      </c>
      <c r="D7977" t="inlineStr">
        <is>
          <t>VÄRMLANDS LÄN</t>
        </is>
      </c>
      <c r="E7977" t="inlineStr">
        <is>
          <t>KIL</t>
        </is>
      </c>
      <c r="G7977" t="n">
        <v>4.3</v>
      </c>
      <c r="H7977" t="n">
        <v>0</v>
      </c>
      <c r="I7977" t="n">
        <v>0</v>
      </c>
      <c r="J7977" t="n">
        <v>0</v>
      </c>
      <c r="K7977" t="n">
        <v>0</v>
      </c>
      <c r="L7977" t="n">
        <v>0</v>
      </c>
      <c r="M7977" t="n">
        <v>0</v>
      </c>
      <c r="N7977" t="n">
        <v>0</v>
      </c>
      <c r="O7977" t="n">
        <v>0</v>
      </c>
      <c r="P7977" t="n">
        <v>0</v>
      </c>
      <c r="Q7977" t="n">
        <v>0</v>
      </c>
      <c r="R7977" s="2" t="inlineStr"/>
    </row>
    <row r="7978" ht="15" customHeight="1">
      <c r="A7978" t="inlineStr">
        <is>
          <t>A 47915-2022</t>
        </is>
      </c>
      <c r="B7978" s="1" t="n">
        <v>44855</v>
      </c>
      <c r="C7978" s="1" t="n">
        <v>45810</v>
      </c>
      <c r="D7978" t="inlineStr">
        <is>
          <t>VÄRMLANDS LÄN</t>
        </is>
      </c>
      <c r="E7978" t="inlineStr">
        <is>
          <t>KRISTINEHAMN</t>
        </is>
      </c>
      <c r="G7978" t="n">
        <v>1.4</v>
      </c>
      <c r="H7978" t="n">
        <v>0</v>
      </c>
      <c r="I7978" t="n">
        <v>0</v>
      </c>
      <c r="J7978" t="n">
        <v>0</v>
      </c>
      <c r="K7978" t="n">
        <v>0</v>
      </c>
      <c r="L7978" t="n">
        <v>0</v>
      </c>
      <c r="M7978" t="n">
        <v>0</v>
      </c>
      <c r="N7978" t="n">
        <v>0</v>
      </c>
      <c r="O7978" t="n">
        <v>0</v>
      </c>
      <c r="P7978" t="n">
        <v>0</v>
      </c>
      <c r="Q7978" t="n">
        <v>0</v>
      </c>
      <c r="R7978" s="2" t="inlineStr"/>
    </row>
    <row r="7979" ht="15" customHeight="1">
      <c r="A7979" t="inlineStr">
        <is>
          <t>A 47921-2022</t>
        </is>
      </c>
      <c r="B7979" s="1" t="n">
        <v>44855</v>
      </c>
      <c r="C7979" s="1" t="n">
        <v>45810</v>
      </c>
      <c r="D7979" t="inlineStr">
        <is>
          <t>VÄRMLANDS LÄN</t>
        </is>
      </c>
      <c r="E7979" t="inlineStr">
        <is>
          <t>KRISTINEHAMN</t>
        </is>
      </c>
      <c r="G7979" t="n">
        <v>0.7</v>
      </c>
      <c r="H7979" t="n">
        <v>0</v>
      </c>
      <c r="I7979" t="n">
        <v>0</v>
      </c>
      <c r="J7979" t="n">
        <v>0</v>
      </c>
      <c r="K7979" t="n">
        <v>0</v>
      </c>
      <c r="L7979" t="n">
        <v>0</v>
      </c>
      <c r="M7979" t="n">
        <v>0</v>
      </c>
      <c r="N7979" t="n">
        <v>0</v>
      </c>
      <c r="O7979" t="n">
        <v>0</v>
      </c>
      <c r="P7979" t="n">
        <v>0</v>
      </c>
      <c r="Q7979" t="n">
        <v>0</v>
      </c>
      <c r="R7979" s="2" t="inlineStr"/>
    </row>
    <row r="7980" ht="15" customHeight="1">
      <c r="A7980" t="inlineStr">
        <is>
          <t>A 49012-2022</t>
        </is>
      </c>
      <c r="B7980" s="1" t="n">
        <v>44855</v>
      </c>
      <c r="C7980" s="1" t="n">
        <v>45810</v>
      </c>
      <c r="D7980" t="inlineStr">
        <is>
          <t>VÄRMLANDS LÄN</t>
        </is>
      </c>
      <c r="E7980" t="inlineStr">
        <is>
          <t>ARVIKA</t>
        </is>
      </c>
      <c r="G7980" t="n">
        <v>2.6</v>
      </c>
      <c r="H7980" t="n">
        <v>0</v>
      </c>
      <c r="I7980" t="n">
        <v>0</v>
      </c>
      <c r="J7980" t="n">
        <v>0</v>
      </c>
      <c r="K7980" t="n">
        <v>0</v>
      </c>
      <c r="L7980" t="n">
        <v>0</v>
      </c>
      <c r="M7980" t="n">
        <v>0</v>
      </c>
      <c r="N7980" t="n">
        <v>0</v>
      </c>
      <c r="O7980" t="n">
        <v>0</v>
      </c>
      <c r="P7980" t="n">
        <v>0</v>
      </c>
      <c r="Q7980" t="n">
        <v>0</v>
      </c>
      <c r="R7980" s="2" t="inlineStr"/>
    </row>
    <row r="7981" ht="15" customHeight="1">
      <c r="A7981" t="inlineStr">
        <is>
          <t>A 48984-2022</t>
        </is>
      </c>
      <c r="B7981" s="1" t="n">
        <v>44855</v>
      </c>
      <c r="C7981" s="1" t="n">
        <v>45810</v>
      </c>
      <c r="D7981" t="inlineStr">
        <is>
          <t>VÄRMLANDS LÄN</t>
        </is>
      </c>
      <c r="E7981" t="inlineStr">
        <is>
          <t>KARLSTAD</t>
        </is>
      </c>
      <c r="G7981" t="n">
        <v>7.2</v>
      </c>
      <c r="H7981" t="n">
        <v>0</v>
      </c>
      <c r="I7981" t="n">
        <v>0</v>
      </c>
      <c r="J7981" t="n">
        <v>0</v>
      </c>
      <c r="K7981" t="n">
        <v>0</v>
      </c>
      <c r="L7981" t="n">
        <v>0</v>
      </c>
      <c r="M7981" t="n">
        <v>0</v>
      </c>
      <c r="N7981" t="n">
        <v>0</v>
      </c>
      <c r="O7981" t="n">
        <v>0</v>
      </c>
      <c r="P7981" t="n">
        <v>0</v>
      </c>
      <c r="Q7981" t="n">
        <v>0</v>
      </c>
      <c r="R7981" s="2" t="inlineStr"/>
    </row>
    <row r="7982" ht="15" customHeight="1">
      <c r="A7982" t="inlineStr">
        <is>
          <t>A 48128-2022</t>
        </is>
      </c>
      <c r="B7982" s="1" t="n">
        <v>44857</v>
      </c>
      <c r="C7982" s="1" t="n">
        <v>45810</v>
      </c>
      <c r="D7982" t="inlineStr">
        <is>
          <t>VÄRMLANDS LÄN</t>
        </is>
      </c>
      <c r="E7982" t="inlineStr">
        <is>
          <t>EDA</t>
        </is>
      </c>
      <c r="G7982" t="n">
        <v>1.4</v>
      </c>
      <c r="H7982" t="n">
        <v>0</v>
      </c>
      <c r="I7982" t="n">
        <v>0</v>
      </c>
      <c r="J7982" t="n">
        <v>0</v>
      </c>
      <c r="K7982" t="n">
        <v>0</v>
      </c>
      <c r="L7982" t="n">
        <v>0</v>
      </c>
      <c r="M7982" t="n">
        <v>0</v>
      </c>
      <c r="N7982" t="n">
        <v>0</v>
      </c>
      <c r="O7982" t="n">
        <v>0</v>
      </c>
      <c r="P7982" t="n">
        <v>0</v>
      </c>
      <c r="Q7982" t="n">
        <v>0</v>
      </c>
      <c r="R7982" s="2" t="inlineStr"/>
    </row>
    <row r="7983" ht="15" customHeight="1">
      <c r="A7983" t="inlineStr">
        <is>
          <t>A 48129-2022</t>
        </is>
      </c>
      <c r="B7983" s="1" t="n">
        <v>44857</v>
      </c>
      <c r="C7983" s="1" t="n">
        <v>45810</v>
      </c>
      <c r="D7983" t="inlineStr">
        <is>
          <t>VÄRMLANDS LÄN</t>
        </is>
      </c>
      <c r="E7983" t="inlineStr">
        <is>
          <t>EDA</t>
        </is>
      </c>
      <c r="G7983" t="n">
        <v>1.6</v>
      </c>
      <c r="H7983" t="n">
        <v>0</v>
      </c>
      <c r="I7983" t="n">
        <v>0</v>
      </c>
      <c r="J7983" t="n">
        <v>0</v>
      </c>
      <c r="K7983" t="n">
        <v>0</v>
      </c>
      <c r="L7983" t="n">
        <v>0</v>
      </c>
      <c r="M7983" t="n">
        <v>0</v>
      </c>
      <c r="N7983" t="n">
        <v>0</v>
      </c>
      <c r="O7983" t="n">
        <v>0</v>
      </c>
      <c r="P7983" t="n">
        <v>0</v>
      </c>
      <c r="Q7983" t="n">
        <v>0</v>
      </c>
      <c r="R7983" s="2" t="inlineStr"/>
    </row>
    <row r="7984" ht="15" customHeight="1">
      <c r="A7984" t="inlineStr">
        <is>
          <t>A 48134-2022</t>
        </is>
      </c>
      <c r="B7984" s="1" t="n">
        <v>44858</v>
      </c>
      <c r="C7984" s="1" t="n">
        <v>45810</v>
      </c>
      <c r="D7984" t="inlineStr">
        <is>
          <t>VÄRMLANDS LÄN</t>
        </is>
      </c>
      <c r="E7984" t="inlineStr">
        <is>
          <t>SUNNE</t>
        </is>
      </c>
      <c r="G7984" t="n">
        <v>0.5</v>
      </c>
      <c r="H7984" t="n">
        <v>0</v>
      </c>
      <c r="I7984" t="n">
        <v>0</v>
      </c>
      <c r="J7984" t="n">
        <v>0</v>
      </c>
      <c r="K7984" t="n">
        <v>0</v>
      </c>
      <c r="L7984" t="n">
        <v>0</v>
      </c>
      <c r="M7984" t="n">
        <v>0</v>
      </c>
      <c r="N7984" t="n">
        <v>0</v>
      </c>
      <c r="O7984" t="n">
        <v>0</v>
      </c>
      <c r="P7984" t="n">
        <v>0</v>
      </c>
      <c r="Q7984" t="n">
        <v>0</v>
      </c>
      <c r="R7984" s="2" t="inlineStr"/>
    </row>
    <row r="7985" ht="15" customHeight="1">
      <c r="A7985" t="inlineStr">
        <is>
          <t>A 48203-2022</t>
        </is>
      </c>
      <c r="B7985" s="1" t="n">
        <v>44858</v>
      </c>
      <c r="C7985" s="1" t="n">
        <v>45810</v>
      </c>
      <c r="D7985" t="inlineStr">
        <is>
          <t>VÄRMLANDS LÄN</t>
        </is>
      </c>
      <c r="E7985" t="inlineStr">
        <is>
          <t>HAGFORS</t>
        </is>
      </c>
      <c r="G7985" t="n">
        <v>0.4</v>
      </c>
      <c r="H7985" t="n">
        <v>0</v>
      </c>
      <c r="I7985" t="n">
        <v>0</v>
      </c>
      <c r="J7985" t="n">
        <v>0</v>
      </c>
      <c r="K7985" t="n">
        <v>0</v>
      </c>
      <c r="L7985" t="n">
        <v>0</v>
      </c>
      <c r="M7985" t="n">
        <v>0</v>
      </c>
      <c r="N7985" t="n">
        <v>0</v>
      </c>
      <c r="O7985" t="n">
        <v>0</v>
      </c>
      <c r="P7985" t="n">
        <v>0</v>
      </c>
      <c r="Q7985" t="n">
        <v>0</v>
      </c>
      <c r="R7985" s="2" t="inlineStr"/>
    </row>
    <row r="7986" ht="15" customHeight="1">
      <c r="A7986" t="inlineStr">
        <is>
          <t>A 48210-2022</t>
        </is>
      </c>
      <c r="B7986" s="1" t="n">
        <v>44858</v>
      </c>
      <c r="C7986" s="1" t="n">
        <v>45810</v>
      </c>
      <c r="D7986" t="inlineStr">
        <is>
          <t>VÄRMLANDS LÄN</t>
        </is>
      </c>
      <c r="E7986" t="inlineStr">
        <is>
          <t>HAGFORS</t>
        </is>
      </c>
      <c r="G7986" t="n">
        <v>0.5</v>
      </c>
      <c r="H7986" t="n">
        <v>0</v>
      </c>
      <c r="I7986" t="n">
        <v>0</v>
      </c>
      <c r="J7986" t="n">
        <v>0</v>
      </c>
      <c r="K7986" t="n">
        <v>0</v>
      </c>
      <c r="L7986" t="n">
        <v>0</v>
      </c>
      <c r="M7986" t="n">
        <v>0</v>
      </c>
      <c r="N7986" t="n">
        <v>0</v>
      </c>
      <c r="O7986" t="n">
        <v>0</v>
      </c>
      <c r="P7986" t="n">
        <v>0</v>
      </c>
      <c r="Q7986" t="n">
        <v>0</v>
      </c>
      <c r="R7986" s="2" t="inlineStr"/>
    </row>
    <row r="7987" ht="15" customHeight="1">
      <c r="A7987" t="inlineStr">
        <is>
          <t>A 48265-2022</t>
        </is>
      </c>
      <c r="B7987" s="1" t="n">
        <v>44858</v>
      </c>
      <c r="C7987" s="1" t="n">
        <v>45810</v>
      </c>
      <c r="D7987" t="inlineStr">
        <is>
          <t>VÄRMLANDS LÄN</t>
        </is>
      </c>
      <c r="E7987" t="inlineStr">
        <is>
          <t>SUNNE</t>
        </is>
      </c>
      <c r="G7987" t="n">
        <v>4.5</v>
      </c>
      <c r="H7987" t="n">
        <v>0</v>
      </c>
      <c r="I7987" t="n">
        <v>0</v>
      </c>
      <c r="J7987" t="n">
        <v>0</v>
      </c>
      <c r="K7987" t="n">
        <v>0</v>
      </c>
      <c r="L7987" t="n">
        <v>0</v>
      </c>
      <c r="M7987" t="n">
        <v>0</v>
      </c>
      <c r="N7987" t="n">
        <v>0</v>
      </c>
      <c r="O7987" t="n">
        <v>0</v>
      </c>
      <c r="P7987" t="n">
        <v>0</v>
      </c>
      <c r="Q7987" t="n">
        <v>0</v>
      </c>
      <c r="R7987" s="2" t="inlineStr"/>
    </row>
    <row r="7988" ht="15" customHeight="1">
      <c r="A7988" t="inlineStr">
        <is>
          <t>A 48314-2022</t>
        </is>
      </c>
      <c r="B7988" s="1" t="n">
        <v>44858</v>
      </c>
      <c r="C7988" s="1" t="n">
        <v>45810</v>
      </c>
      <c r="D7988" t="inlineStr">
        <is>
          <t>VÄRMLANDS LÄN</t>
        </is>
      </c>
      <c r="E7988" t="inlineStr">
        <is>
          <t>EDA</t>
        </is>
      </c>
      <c r="G7988" t="n">
        <v>3.5</v>
      </c>
      <c r="H7988" t="n">
        <v>0</v>
      </c>
      <c r="I7988" t="n">
        <v>0</v>
      </c>
      <c r="J7988" t="n">
        <v>0</v>
      </c>
      <c r="K7988" t="n">
        <v>0</v>
      </c>
      <c r="L7988" t="n">
        <v>0</v>
      </c>
      <c r="M7988" t="n">
        <v>0</v>
      </c>
      <c r="N7988" t="n">
        <v>0</v>
      </c>
      <c r="O7988" t="n">
        <v>0</v>
      </c>
      <c r="P7988" t="n">
        <v>0</v>
      </c>
      <c r="Q7988" t="n">
        <v>0</v>
      </c>
      <c r="R7988" s="2" t="inlineStr"/>
    </row>
    <row r="7989" ht="15" customHeight="1">
      <c r="A7989" t="inlineStr">
        <is>
          <t>A 48445-2022</t>
        </is>
      </c>
      <c r="B7989" s="1" t="n">
        <v>44858</v>
      </c>
      <c r="C7989" s="1" t="n">
        <v>45810</v>
      </c>
      <c r="D7989" t="inlineStr">
        <is>
          <t>VÄRMLANDS LÄN</t>
        </is>
      </c>
      <c r="E7989" t="inlineStr">
        <is>
          <t>SUNNE</t>
        </is>
      </c>
      <c r="G7989" t="n">
        <v>3.5</v>
      </c>
      <c r="H7989" t="n">
        <v>0</v>
      </c>
      <c r="I7989" t="n">
        <v>0</v>
      </c>
      <c r="J7989" t="n">
        <v>0</v>
      </c>
      <c r="K7989" t="n">
        <v>0</v>
      </c>
      <c r="L7989" t="n">
        <v>0</v>
      </c>
      <c r="M7989" t="n">
        <v>0</v>
      </c>
      <c r="N7989" t="n">
        <v>0</v>
      </c>
      <c r="O7989" t="n">
        <v>0</v>
      </c>
      <c r="P7989" t="n">
        <v>0</v>
      </c>
      <c r="Q7989" t="n">
        <v>0</v>
      </c>
      <c r="R7989" s="2" t="inlineStr"/>
    </row>
    <row r="7990" ht="15" customHeight="1">
      <c r="A7990" t="inlineStr">
        <is>
          <t>A 48183-2022</t>
        </is>
      </c>
      <c r="B7990" s="1" t="n">
        <v>44858</v>
      </c>
      <c r="C7990" s="1" t="n">
        <v>45810</v>
      </c>
      <c r="D7990" t="inlineStr">
        <is>
          <t>VÄRMLANDS LÄN</t>
        </is>
      </c>
      <c r="E7990" t="inlineStr">
        <is>
          <t>ARVIKA</t>
        </is>
      </c>
      <c r="G7990" t="n">
        <v>13.9</v>
      </c>
      <c r="H7990" t="n">
        <v>0</v>
      </c>
      <c r="I7990" t="n">
        <v>0</v>
      </c>
      <c r="J7990" t="n">
        <v>0</v>
      </c>
      <c r="K7990" t="n">
        <v>0</v>
      </c>
      <c r="L7990" t="n">
        <v>0</v>
      </c>
      <c r="M7990" t="n">
        <v>0</v>
      </c>
      <c r="N7990" t="n">
        <v>0</v>
      </c>
      <c r="O7990" t="n">
        <v>0</v>
      </c>
      <c r="P7990" t="n">
        <v>0</v>
      </c>
      <c r="Q7990" t="n">
        <v>0</v>
      </c>
      <c r="R7990" s="2" t="inlineStr"/>
    </row>
    <row r="7991" ht="15" customHeight="1">
      <c r="A7991" t="inlineStr">
        <is>
          <t>A 48239-2022</t>
        </is>
      </c>
      <c r="B7991" s="1" t="n">
        <v>44858</v>
      </c>
      <c r="C7991" s="1" t="n">
        <v>45810</v>
      </c>
      <c r="D7991" t="inlineStr">
        <is>
          <t>VÄRMLANDS LÄN</t>
        </is>
      </c>
      <c r="E7991" t="inlineStr">
        <is>
          <t>TORSBY</t>
        </is>
      </c>
      <c r="G7991" t="n">
        <v>3.9</v>
      </c>
      <c r="H7991" t="n">
        <v>0</v>
      </c>
      <c r="I7991" t="n">
        <v>0</v>
      </c>
      <c r="J7991" t="n">
        <v>0</v>
      </c>
      <c r="K7991" t="n">
        <v>0</v>
      </c>
      <c r="L7991" t="n">
        <v>0</v>
      </c>
      <c r="M7991" t="n">
        <v>0</v>
      </c>
      <c r="N7991" t="n">
        <v>0</v>
      </c>
      <c r="O7991" t="n">
        <v>0</v>
      </c>
      <c r="P7991" t="n">
        <v>0</v>
      </c>
      <c r="Q7991" t="n">
        <v>0</v>
      </c>
      <c r="R7991" s="2" t="inlineStr"/>
    </row>
    <row r="7992" ht="15" customHeight="1">
      <c r="A7992" t="inlineStr">
        <is>
          <t>A 48300-2022</t>
        </is>
      </c>
      <c r="B7992" s="1" t="n">
        <v>44858</v>
      </c>
      <c r="C7992" s="1" t="n">
        <v>45810</v>
      </c>
      <c r="D7992" t="inlineStr">
        <is>
          <t>VÄRMLANDS LÄN</t>
        </is>
      </c>
      <c r="E7992" t="inlineStr">
        <is>
          <t>ÅRJÄNG</t>
        </is>
      </c>
      <c r="G7992" t="n">
        <v>2.2</v>
      </c>
      <c r="H7992" t="n">
        <v>0</v>
      </c>
      <c r="I7992" t="n">
        <v>0</v>
      </c>
      <c r="J7992" t="n">
        <v>0</v>
      </c>
      <c r="K7992" t="n">
        <v>0</v>
      </c>
      <c r="L7992" t="n">
        <v>0</v>
      </c>
      <c r="M7992" t="n">
        <v>0</v>
      </c>
      <c r="N7992" t="n">
        <v>0</v>
      </c>
      <c r="O7992" t="n">
        <v>0</v>
      </c>
      <c r="P7992" t="n">
        <v>0</v>
      </c>
      <c r="Q7992" t="n">
        <v>0</v>
      </c>
      <c r="R7992" s="2" t="inlineStr"/>
    </row>
    <row r="7993" ht="15" customHeight="1">
      <c r="A7993" t="inlineStr">
        <is>
          <t>A 48310-2022</t>
        </is>
      </c>
      <c r="B7993" s="1" t="n">
        <v>44858</v>
      </c>
      <c r="C7993" s="1" t="n">
        <v>45810</v>
      </c>
      <c r="D7993" t="inlineStr">
        <is>
          <t>VÄRMLANDS LÄN</t>
        </is>
      </c>
      <c r="E7993" t="inlineStr">
        <is>
          <t>ÅRJÄNG</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48482-2022</t>
        </is>
      </c>
      <c r="B7994" s="1" t="n">
        <v>44858</v>
      </c>
      <c r="C7994" s="1" t="n">
        <v>45810</v>
      </c>
      <c r="D7994" t="inlineStr">
        <is>
          <t>VÄRMLANDS LÄN</t>
        </is>
      </c>
      <c r="E7994" t="inlineStr">
        <is>
          <t>ÅRJÄNG</t>
        </is>
      </c>
      <c r="G7994" t="n">
        <v>0.9</v>
      </c>
      <c r="H7994" t="n">
        <v>0</v>
      </c>
      <c r="I7994" t="n">
        <v>0</v>
      </c>
      <c r="J7994" t="n">
        <v>0</v>
      </c>
      <c r="K7994" t="n">
        <v>0</v>
      </c>
      <c r="L7994" t="n">
        <v>0</v>
      </c>
      <c r="M7994" t="n">
        <v>0</v>
      </c>
      <c r="N7994" t="n">
        <v>0</v>
      </c>
      <c r="O7994" t="n">
        <v>0</v>
      </c>
      <c r="P7994" t="n">
        <v>0</v>
      </c>
      <c r="Q7994" t="n">
        <v>0</v>
      </c>
      <c r="R7994" s="2" t="inlineStr"/>
    </row>
    <row r="7995" ht="15" customHeight="1">
      <c r="A7995" t="inlineStr">
        <is>
          <t>A 48488-2022</t>
        </is>
      </c>
      <c r="B7995" s="1" t="n">
        <v>44858</v>
      </c>
      <c r="C7995" s="1" t="n">
        <v>45810</v>
      </c>
      <c r="D7995" t="inlineStr">
        <is>
          <t>VÄRMLANDS LÄN</t>
        </is>
      </c>
      <c r="E7995" t="inlineStr">
        <is>
          <t>ARVIKA</t>
        </is>
      </c>
      <c r="G7995" t="n">
        <v>2</v>
      </c>
      <c r="H7995" t="n">
        <v>0</v>
      </c>
      <c r="I7995" t="n">
        <v>0</v>
      </c>
      <c r="J7995" t="n">
        <v>0</v>
      </c>
      <c r="K7995" t="n">
        <v>0</v>
      </c>
      <c r="L7995" t="n">
        <v>0</v>
      </c>
      <c r="M7995" t="n">
        <v>0</v>
      </c>
      <c r="N7995" t="n">
        <v>0</v>
      </c>
      <c r="O7995" t="n">
        <v>0</v>
      </c>
      <c r="P7995" t="n">
        <v>0</v>
      </c>
      <c r="Q7995" t="n">
        <v>0</v>
      </c>
      <c r="R7995" s="2" t="inlineStr"/>
    </row>
    <row r="7996" ht="15" customHeight="1">
      <c r="A7996" t="inlineStr">
        <is>
          <t>A 48293-2022</t>
        </is>
      </c>
      <c r="B7996" s="1" t="n">
        <v>44858</v>
      </c>
      <c r="C7996" s="1" t="n">
        <v>45810</v>
      </c>
      <c r="D7996" t="inlineStr">
        <is>
          <t>VÄRMLANDS LÄN</t>
        </is>
      </c>
      <c r="E7996" t="inlineStr">
        <is>
          <t>ÅRJÄNG</t>
        </is>
      </c>
      <c r="G7996" t="n">
        <v>3.2</v>
      </c>
      <c r="H7996" t="n">
        <v>0</v>
      </c>
      <c r="I7996" t="n">
        <v>0</v>
      </c>
      <c r="J7996" t="n">
        <v>0</v>
      </c>
      <c r="K7996" t="n">
        <v>0</v>
      </c>
      <c r="L7996" t="n">
        <v>0</v>
      </c>
      <c r="M7996" t="n">
        <v>0</v>
      </c>
      <c r="N7996" t="n">
        <v>0</v>
      </c>
      <c r="O7996" t="n">
        <v>0</v>
      </c>
      <c r="P7996" t="n">
        <v>0</v>
      </c>
      <c r="Q7996" t="n">
        <v>0</v>
      </c>
      <c r="R7996" s="2" t="inlineStr"/>
    </row>
    <row r="7997" ht="15" customHeight="1">
      <c r="A7997" t="inlineStr">
        <is>
          <t>A 48288-2022</t>
        </is>
      </c>
      <c r="B7997" s="1" t="n">
        <v>44858</v>
      </c>
      <c r="C7997" s="1" t="n">
        <v>45810</v>
      </c>
      <c r="D7997" t="inlineStr">
        <is>
          <t>VÄRMLANDS LÄN</t>
        </is>
      </c>
      <c r="E7997" t="inlineStr">
        <is>
          <t>EDA</t>
        </is>
      </c>
      <c r="G7997" t="n">
        <v>2</v>
      </c>
      <c r="H7997" t="n">
        <v>0</v>
      </c>
      <c r="I7997" t="n">
        <v>0</v>
      </c>
      <c r="J7997" t="n">
        <v>0</v>
      </c>
      <c r="K7997" t="n">
        <v>0</v>
      </c>
      <c r="L7997" t="n">
        <v>0</v>
      </c>
      <c r="M7997" t="n">
        <v>0</v>
      </c>
      <c r="N7997" t="n">
        <v>0</v>
      </c>
      <c r="O7997" t="n">
        <v>0</v>
      </c>
      <c r="P7997" t="n">
        <v>0</v>
      </c>
      <c r="Q7997" t="n">
        <v>0</v>
      </c>
      <c r="R7997" s="2" t="inlineStr"/>
    </row>
    <row r="7998" ht="15" customHeight="1">
      <c r="A7998" t="inlineStr">
        <is>
          <t>A 48396-2022</t>
        </is>
      </c>
      <c r="B7998" s="1" t="n">
        <v>44858</v>
      </c>
      <c r="C7998" s="1" t="n">
        <v>45810</v>
      </c>
      <c r="D7998" t="inlineStr">
        <is>
          <t>VÄRMLANDS LÄN</t>
        </is>
      </c>
      <c r="E7998" t="inlineStr">
        <is>
          <t>SÄFFLE</t>
        </is>
      </c>
      <c r="G7998" t="n">
        <v>13.7</v>
      </c>
      <c r="H7998" t="n">
        <v>0</v>
      </c>
      <c r="I7998" t="n">
        <v>0</v>
      </c>
      <c r="J7998" t="n">
        <v>0</v>
      </c>
      <c r="K7998" t="n">
        <v>0</v>
      </c>
      <c r="L7998" t="n">
        <v>0</v>
      </c>
      <c r="M7998" t="n">
        <v>0</v>
      </c>
      <c r="N7998" t="n">
        <v>0</v>
      </c>
      <c r="O7998" t="n">
        <v>0</v>
      </c>
      <c r="P7998" t="n">
        <v>0</v>
      </c>
      <c r="Q7998" t="n">
        <v>0</v>
      </c>
      <c r="R7998" s="2" t="inlineStr"/>
    </row>
    <row r="7999" ht="15" customHeight="1">
      <c r="A7999" t="inlineStr">
        <is>
          <t>A 48306-2022</t>
        </is>
      </c>
      <c r="B7999" s="1" t="n">
        <v>44858</v>
      </c>
      <c r="C7999" s="1" t="n">
        <v>45810</v>
      </c>
      <c r="D7999" t="inlineStr">
        <is>
          <t>VÄRMLANDS LÄN</t>
        </is>
      </c>
      <c r="E7999" t="inlineStr">
        <is>
          <t>ÅRJÄNG</t>
        </is>
      </c>
      <c r="G7999" t="n">
        <v>3.1</v>
      </c>
      <c r="H7999" t="n">
        <v>0</v>
      </c>
      <c r="I7999" t="n">
        <v>0</v>
      </c>
      <c r="J7999" t="n">
        <v>0</v>
      </c>
      <c r="K7999" t="n">
        <v>0</v>
      </c>
      <c r="L7999" t="n">
        <v>0</v>
      </c>
      <c r="M7999" t="n">
        <v>0</v>
      </c>
      <c r="N7999" t="n">
        <v>0</v>
      </c>
      <c r="O7999" t="n">
        <v>0</v>
      </c>
      <c r="P7999" t="n">
        <v>0</v>
      </c>
      <c r="Q7999" t="n">
        <v>0</v>
      </c>
      <c r="R7999" s="2" t="inlineStr"/>
    </row>
    <row r="8000" ht="15" customHeight="1">
      <c r="A8000" t="inlineStr">
        <is>
          <t>A 49127-2022</t>
        </is>
      </c>
      <c r="B8000" s="1" t="n">
        <v>44858</v>
      </c>
      <c r="C8000" s="1" t="n">
        <v>45810</v>
      </c>
      <c r="D8000" t="inlineStr">
        <is>
          <t>VÄRMLANDS LÄN</t>
        </is>
      </c>
      <c r="E8000" t="inlineStr">
        <is>
          <t>KARLSTAD</t>
        </is>
      </c>
      <c r="G8000" t="n">
        <v>10.9</v>
      </c>
      <c r="H8000" t="n">
        <v>0</v>
      </c>
      <c r="I8000" t="n">
        <v>0</v>
      </c>
      <c r="J8000" t="n">
        <v>0</v>
      </c>
      <c r="K8000" t="n">
        <v>0</v>
      </c>
      <c r="L8000" t="n">
        <v>0</v>
      </c>
      <c r="M8000" t="n">
        <v>0</v>
      </c>
      <c r="N8000" t="n">
        <v>0</v>
      </c>
      <c r="O8000" t="n">
        <v>0</v>
      </c>
      <c r="P8000" t="n">
        <v>0</v>
      </c>
      <c r="Q8000" t="n">
        <v>0</v>
      </c>
      <c r="R8000" s="2" t="inlineStr"/>
    </row>
    <row r="8001" ht="15" customHeight="1">
      <c r="A8001" t="inlineStr">
        <is>
          <t>A 48622-2022</t>
        </is>
      </c>
      <c r="B8001" s="1" t="n">
        <v>44859</v>
      </c>
      <c r="C8001" s="1" t="n">
        <v>45810</v>
      </c>
      <c r="D8001" t="inlineStr">
        <is>
          <t>VÄRMLANDS LÄN</t>
        </is>
      </c>
      <c r="E8001" t="inlineStr">
        <is>
          <t>ÅRJÄNG</t>
        </is>
      </c>
      <c r="G8001" t="n">
        <v>2.6</v>
      </c>
      <c r="H8001" t="n">
        <v>0</v>
      </c>
      <c r="I8001" t="n">
        <v>0</v>
      </c>
      <c r="J8001" t="n">
        <v>0</v>
      </c>
      <c r="K8001" t="n">
        <v>0</v>
      </c>
      <c r="L8001" t="n">
        <v>0</v>
      </c>
      <c r="M8001" t="n">
        <v>0</v>
      </c>
      <c r="N8001" t="n">
        <v>0</v>
      </c>
      <c r="O8001" t="n">
        <v>0</v>
      </c>
      <c r="P8001" t="n">
        <v>0</v>
      </c>
      <c r="Q8001" t="n">
        <v>0</v>
      </c>
      <c r="R8001" s="2" t="inlineStr"/>
    </row>
    <row r="8002" ht="15" customHeight="1">
      <c r="A8002" t="inlineStr">
        <is>
          <t>A 48720-2022</t>
        </is>
      </c>
      <c r="B8002" s="1" t="n">
        <v>44859</v>
      </c>
      <c r="C8002" s="1" t="n">
        <v>45810</v>
      </c>
      <c r="D8002" t="inlineStr">
        <is>
          <t>VÄRMLANDS LÄN</t>
        </is>
      </c>
      <c r="E8002" t="inlineStr">
        <is>
          <t>ARVIKA</t>
        </is>
      </c>
      <c r="F8002" t="inlineStr">
        <is>
          <t>Bergvik skog väst AB</t>
        </is>
      </c>
      <c r="G8002" t="n">
        <v>13.1</v>
      </c>
      <c r="H8002" t="n">
        <v>0</v>
      </c>
      <c r="I8002" t="n">
        <v>0</v>
      </c>
      <c r="J8002" t="n">
        <v>0</v>
      </c>
      <c r="K8002" t="n">
        <v>0</v>
      </c>
      <c r="L8002" t="n">
        <v>0</v>
      </c>
      <c r="M8002" t="n">
        <v>0</v>
      </c>
      <c r="N8002" t="n">
        <v>0</v>
      </c>
      <c r="O8002" t="n">
        <v>0</v>
      </c>
      <c r="P8002" t="n">
        <v>0</v>
      </c>
      <c r="Q8002" t="n">
        <v>0</v>
      </c>
      <c r="R8002" s="2" t="inlineStr"/>
    </row>
    <row r="8003" ht="15" customHeight="1">
      <c r="A8003" t="inlineStr">
        <is>
          <t>A 48872-2022</t>
        </is>
      </c>
      <c r="B8003" s="1" t="n">
        <v>44859</v>
      </c>
      <c r="C8003" s="1" t="n">
        <v>45810</v>
      </c>
      <c r="D8003" t="inlineStr">
        <is>
          <t>VÄRMLANDS LÄN</t>
        </is>
      </c>
      <c r="E8003" t="inlineStr">
        <is>
          <t>ÅRJÄNG</t>
        </is>
      </c>
      <c r="G8003" t="n">
        <v>2.4</v>
      </c>
      <c r="H8003" t="n">
        <v>0</v>
      </c>
      <c r="I8003" t="n">
        <v>0</v>
      </c>
      <c r="J8003" t="n">
        <v>0</v>
      </c>
      <c r="K8003" t="n">
        <v>0</v>
      </c>
      <c r="L8003" t="n">
        <v>0</v>
      </c>
      <c r="M8003" t="n">
        <v>0</v>
      </c>
      <c r="N8003" t="n">
        <v>0</v>
      </c>
      <c r="O8003" t="n">
        <v>0</v>
      </c>
      <c r="P8003" t="n">
        <v>0</v>
      </c>
      <c r="Q8003" t="n">
        <v>0</v>
      </c>
      <c r="R8003" s="2" t="inlineStr"/>
    </row>
    <row r="8004" ht="15" customHeight="1">
      <c r="A8004" t="inlineStr">
        <is>
          <t>A 48787-2022</t>
        </is>
      </c>
      <c r="B8004" s="1" t="n">
        <v>44859</v>
      </c>
      <c r="C8004" s="1" t="n">
        <v>45810</v>
      </c>
      <c r="D8004" t="inlineStr">
        <is>
          <t>VÄRMLANDS LÄN</t>
        </is>
      </c>
      <c r="E8004" t="inlineStr">
        <is>
          <t>KIL</t>
        </is>
      </c>
      <c r="G8004" t="n">
        <v>0.6</v>
      </c>
      <c r="H8004" t="n">
        <v>0</v>
      </c>
      <c r="I8004" t="n">
        <v>0</v>
      </c>
      <c r="J8004" t="n">
        <v>0</v>
      </c>
      <c r="K8004" t="n">
        <v>0</v>
      </c>
      <c r="L8004" t="n">
        <v>0</v>
      </c>
      <c r="M8004" t="n">
        <v>0</v>
      </c>
      <c r="N8004" t="n">
        <v>0</v>
      </c>
      <c r="O8004" t="n">
        <v>0</v>
      </c>
      <c r="P8004" t="n">
        <v>0</v>
      </c>
      <c r="Q8004" t="n">
        <v>0</v>
      </c>
      <c r="R8004" s="2" t="inlineStr"/>
    </row>
    <row r="8005" ht="15" customHeight="1">
      <c r="A8005" t="inlineStr">
        <is>
          <t>A 48853-2022</t>
        </is>
      </c>
      <c r="B8005" s="1" t="n">
        <v>44859</v>
      </c>
      <c r="C8005" s="1" t="n">
        <v>45810</v>
      </c>
      <c r="D8005" t="inlineStr">
        <is>
          <t>VÄRMLANDS LÄN</t>
        </is>
      </c>
      <c r="E8005" t="inlineStr">
        <is>
          <t>SUNNE</t>
        </is>
      </c>
      <c r="G8005" t="n">
        <v>1.1</v>
      </c>
      <c r="H8005" t="n">
        <v>0</v>
      </c>
      <c r="I8005" t="n">
        <v>0</v>
      </c>
      <c r="J8005" t="n">
        <v>0</v>
      </c>
      <c r="K8005" t="n">
        <v>0</v>
      </c>
      <c r="L8005" t="n">
        <v>0</v>
      </c>
      <c r="M8005" t="n">
        <v>0</v>
      </c>
      <c r="N8005" t="n">
        <v>0</v>
      </c>
      <c r="O8005" t="n">
        <v>0</v>
      </c>
      <c r="P8005" t="n">
        <v>0</v>
      </c>
      <c r="Q8005" t="n">
        <v>0</v>
      </c>
      <c r="R8005" s="2" t="inlineStr"/>
    </row>
    <row r="8006" ht="15" customHeight="1">
      <c r="A8006" t="inlineStr">
        <is>
          <t>A 48712-2022</t>
        </is>
      </c>
      <c r="B8006" s="1" t="n">
        <v>44859</v>
      </c>
      <c r="C8006" s="1" t="n">
        <v>45810</v>
      </c>
      <c r="D8006" t="inlineStr">
        <is>
          <t>VÄRMLANDS LÄN</t>
        </is>
      </c>
      <c r="E8006" t="inlineStr">
        <is>
          <t>TORSBY</t>
        </is>
      </c>
      <c r="F8006" t="inlineStr">
        <is>
          <t>Bergvik skog väst AB</t>
        </is>
      </c>
      <c r="G8006" t="n">
        <v>22.7</v>
      </c>
      <c r="H8006" t="n">
        <v>0</v>
      </c>
      <c r="I8006" t="n">
        <v>0</v>
      </c>
      <c r="J8006" t="n">
        <v>0</v>
      </c>
      <c r="K8006" t="n">
        <v>0</v>
      </c>
      <c r="L8006" t="n">
        <v>0</v>
      </c>
      <c r="M8006" t="n">
        <v>0</v>
      </c>
      <c r="N8006" t="n">
        <v>0</v>
      </c>
      <c r="O8006" t="n">
        <v>0</v>
      </c>
      <c r="P8006" t="n">
        <v>0</v>
      </c>
      <c r="Q8006" t="n">
        <v>0</v>
      </c>
      <c r="R8006" s="2" t="inlineStr"/>
    </row>
    <row r="8007" ht="15" customHeight="1">
      <c r="A8007" t="inlineStr">
        <is>
          <t>A 48794-2022</t>
        </is>
      </c>
      <c r="B8007" s="1" t="n">
        <v>44859</v>
      </c>
      <c r="C8007" s="1" t="n">
        <v>45810</v>
      </c>
      <c r="D8007" t="inlineStr">
        <is>
          <t>VÄRMLANDS LÄN</t>
        </is>
      </c>
      <c r="E8007" t="inlineStr">
        <is>
          <t>ARVIKA</t>
        </is>
      </c>
      <c r="F8007" t="inlineStr">
        <is>
          <t>Bergvik skog väst AB</t>
        </is>
      </c>
      <c r="G8007" t="n">
        <v>1.9</v>
      </c>
      <c r="H8007" t="n">
        <v>0</v>
      </c>
      <c r="I8007" t="n">
        <v>0</v>
      </c>
      <c r="J8007" t="n">
        <v>0</v>
      </c>
      <c r="K8007" t="n">
        <v>0</v>
      </c>
      <c r="L8007" t="n">
        <v>0</v>
      </c>
      <c r="M8007" t="n">
        <v>0</v>
      </c>
      <c r="N8007" t="n">
        <v>0</v>
      </c>
      <c r="O8007" t="n">
        <v>0</v>
      </c>
      <c r="P8007" t="n">
        <v>0</v>
      </c>
      <c r="Q8007" t="n">
        <v>0</v>
      </c>
      <c r="R8007" s="2" t="inlineStr"/>
    </row>
    <row r="8008" ht="15" customHeight="1">
      <c r="A8008" t="inlineStr">
        <is>
          <t>A 48827-2022</t>
        </is>
      </c>
      <c r="B8008" s="1" t="n">
        <v>44859</v>
      </c>
      <c r="C8008" s="1" t="n">
        <v>45810</v>
      </c>
      <c r="D8008" t="inlineStr">
        <is>
          <t>VÄRMLANDS LÄN</t>
        </is>
      </c>
      <c r="E8008" t="inlineStr">
        <is>
          <t>ARVIKA</t>
        </is>
      </c>
      <c r="G8008" t="n">
        <v>1.4</v>
      </c>
      <c r="H8008" t="n">
        <v>0</v>
      </c>
      <c r="I8008" t="n">
        <v>0</v>
      </c>
      <c r="J8008" t="n">
        <v>0</v>
      </c>
      <c r="K8008" t="n">
        <v>0</v>
      </c>
      <c r="L8008" t="n">
        <v>0</v>
      </c>
      <c r="M8008" t="n">
        <v>0</v>
      </c>
      <c r="N8008" t="n">
        <v>0</v>
      </c>
      <c r="O8008" t="n">
        <v>0</v>
      </c>
      <c r="P8008" t="n">
        <v>0</v>
      </c>
      <c r="Q8008" t="n">
        <v>0</v>
      </c>
      <c r="R8008" s="2" t="inlineStr"/>
    </row>
    <row r="8009" ht="15" customHeight="1">
      <c r="A8009" t="inlineStr">
        <is>
          <t>A 48833-2022</t>
        </is>
      </c>
      <c r="B8009" s="1" t="n">
        <v>44859</v>
      </c>
      <c r="C8009" s="1" t="n">
        <v>45810</v>
      </c>
      <c r="D8009" t="inlineStr">
        <is>
          <t>VÄRMLANDS LÄN</t>
        </is>
      </c>
      <c r="E8009" t="inlineStr">
        <is>
          <t>ARVIKA</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49699-2022</t>
        </is>
      </c>
      <c r="B8010" s="1" t="n">
        <v>44859</v>
      </c>
      <c r="C8010" s="1" t="n">
        <v>45810</v>
      </c>
      <c r="D8010" t="inlineStr">
        <is>
          <t>VÄRMLANDS LÄN</t>
        </is>
      </c>
      <c r="E8010" t="inlineStr">
        <is>
          <t>TORSBY</t>
        </is>
      </c>
      <c r="F8010" t="inlineStr">
        <is>
          <t>Kyrkan</t>
        </is>
      </c>
      <c r="G8010" t="n">
        <v>2.6</v>
      </c>
      <c r="H8010" t="n">
        <v>0</v>
      </c>
      <c r="I8010" t="n">
        <v>0</v>
      </c>
      <c r="J8010" t="n">
        <v>0</v>
      </c>
      <c r="K8010" t="n">
        <v>0</v>
      </c>
      <c r="L8010" t="n">
        <v>0</v>
      </c>
      <c r="M8010" t="n">
        <v>0</v>
      </c>
      <c r="N8010" t="n">
        <v>0</v>
      </c>
      <c r="O8010" t="n">
        <v>0</v>
      </c>
      <c r="P8010" t="n">
        <v>0</v>
      </c>
      <c r="Q8010" t="n">
        <v>0</v>
      </c>
      <c r="R8010" s="2" t="inlineStr"/>
    </row>
    <row r="8011" ht="15" customHeight="1">
      <c r="A8011" t="inlineStr">
        <is>
          <t>A 49814-2022</t>
        </is>
      </c>
      <c r="B8011" s="1" t="n">
        <v>44859</v>
      </c>
      <c r="C8011" s="1" t="n">
        <v>45810</v>
      </c>
      <c r="D8011" t="inlineStr">
        <is>
          <t>VÄRMLANDS LÄN</t>
        </is>
      </c>
      <c r="E8011" t="inlineStr">
        <is>
          <t>TORSBY</t>
        </is>
      </c>
      <c r="F8011" t="inlineStr">
        <is>
          <t>Kyrkan</t>
        </is>
      </c>
      <c r="G8011" t="n">
        <v>2.4</v>
      </c>
      <c r="H8011" t="n">
        <v>0</v>
      </c>
      <c r="I8011" t="n">
        <v>0</v>
      </c>
      <c r="J8011" t="n">
        <v>0</v>
      </c>
      <c r="K8011" t="n">
        <v>0</v>
      </c>
      <c r="L8011" t="n">
        <v>0</v>
      </c>
      <c r="M8011" t="n">
        <v>0</v>
      </c>
      <c r="N8011" t="n">
        <v>0</v>
      </c>
      <c r="O8011" t="n">
        <v>0</v>
      </c>
      <c r="P8011" t="n">
        <v>0</v>
      </c>
      <c r="Q8011" t="n">
        <v>0</v>
      </c>
      <c r="R8011" s="2" t="inlineStr"/>
    </row>
    <row r="8012" ht="15" customHeight="1">
      <c r="A8012" t="inlineStr">
        <is>
          <t>A 49608-2022</t>
        </is>
      </c>
      <c r="B8012" s="1" t="n">
        <v>44859</v>
      </c>
      <c r="C8012" s="1" t="n">
        <v>45810</v>
      </c>
      <c r="D8012" t="inlineStr">
        <is>
          <t>VÄRMLANDS LÄN</t>
        </is>
      </c>
      <c r="E8012" t="inlineStr">
        <is>
          <t>TORSBY</t>
        </is>
      </c>
      <c r="F8012" t="inlineStr">
        <is>
          <t>Kyrkan</t>
        </is>
      </c>
      <c r="G8012" t="n">
        <v>0.9</v>
      </c>
      <c r="H8012" t="n">
        <v>0</v>
      </c>
      <c r="I8012" t="n">
        <v>0</v>
      </c>
      <c r="J8012" t="n">
        <v>0</v>
      </c>
      <c r="K8012" t="n">
        <v>0</v>
      </c>
      <c r="L8012" t="n">
        <v>0</v>
      </c>
      <c r="M8012" t="n">
        <v>0</v>
      </c>
      <c r="N8012" t="n">
        <v>0</v>
      </c>
      <c r="O8012" t="n">
        <v>0</v>
      </c>
      <c r="P8012" t="n">
        <v>0</v>
      </c>
      <c r="Q8012" t="n">
        <v>0</v>
      </c>
      <c r="R8012" s="2" t="inlineStr"/>
    </row>
    <row r="8013" ht="15" customHeight="1">
      <c r="A8013" t="inlineStr">
        <is>
          <t>A 49705-2022</t>
        </is>
      </c>
      <c r="B8013" s="1" t="n">
        <v>44859</v>
      </c>
      <c r="C8013" s="1" t="n">
        <v>45810</v>
      </c>
      <c r="D8013" t="inlineStr">
        <is>
          <t>VÄRMLANDS LÄN</t>
        </is>
      </c>
      <c r="E8013" t="inlineStr">
        <is>
          <t>SUNNE</t>
        </is>
      </c>
      <c r="F8013" t="inlineStr">
        <is>
          <t>Kyrkan</t>
        </is>
      </c>
      <c r="G8013" t="n">
        <v>2.9</v>
      </c>
      <c r="H8013" t="n">
        <v>0</v>
      </c>
      <c r="I8013" t="n">
        <v>0</v>
      </c>
      <c r="J8013" t="n">
        <v>0</v>
      </c>
      <c r="K8013" t="n">
        <v>0</v>
      </c>
      <c r="L8013" t="n">
        <v>0</v>
      </c>
      <c r="M8013" t="n">
        <v>0</v>
      </c>
      <c r="N8013" t="n">
        <v>0</v>
      </c>
      <c r="O8013" t="n">
        <v>0</v>
      </c>
      <c r="P8013" t="n">
        <v>0</v>
      </c>
      <c r="Q8013" t="n">
        <v>0</v>
      </c>
      <c r="R8013" s="2" t="inlineStr"/>
    </row>
    <row r="8014" ht="15" customHeight="1">
      <c r="A8014" t="inlineStr">
        <is>
          <t>A 48971-2022</t>
        </is>
      </c>
      <c r="B8014" s="1" t="n">
        <v>44860</v>
      </c>
      <c r="C8014" s="1" t="n">
        <v>45810</v>
      </c>
      <c r="D8014" t="inlineStr">
        <is>
          <t>VÄRMLANDS LÄN</t>
        </is>
      </c>
      <c r="E8014" t="inlineStr">
        <is>
          <t>HAGFORS</t>
        </is>
      </c>
      <c r="F8014" t="inlineStr">
        <is>
          <t>Bergvik skog väst AB</t>
        </is>
      </c>
      <c r="G8014" t="n">
        <v>2.3</v>
      </c>
      <c r="H8014" t="n">
        <v>0</v>
      </c>
      <c r="I8014" t="n">
        <v>0</v>
      </c>
      <c r="J8014" t="n">
        <v>0</v>
      </c>
      <c r="K8014" t="n">
        <v>0</v>
      </c>
      <c r="L8014" t="n">
        <v>0</v>
      </c>
      <c r="M8014" t="n">
        <v>0</v>
      </c>
      <c r="N8014" t="n">
        <v>0</v>
      </c>
      <c r="O8014" t="n">
        <v>0</v>
      </c>
      <c r="P8014" t="n">
        <v>0</v>
      </c>
      <c r="Q8014" t="n">
        <v>0</v>
      </c>
      <c r="R8014" s="2" t="inlineStr"/>
    </row>
    <row r="8015" ht="15" customHeight="1">
      <c r="A8015" t="inlineStr">
        <is>
          <t>A 49028-2022</t>
        </is>
      </c>
      <c r="B8015" s="1" t="n">
        <v>44860</v>
      </c>
      <c r="C8015" s="1" t="n">
        <v>45810</v>
      </c>
      <c r="D8015" t="inlineStr">
        <is>
          <t>VÄRMLANDS LÄN</t>
        </is>
      </c>
      <c r="E8015" t="inlineStr">
        <is>
          <t>EDA</t>
        </is>
      </c>
      <c r="G8015" t="n">
        <v>1.6</v>
      </c>
      <c r="H8015" t="n">
        <v>0</v>
      </c>
      <c r="I8015" t="n">
        <v>0</v>
      </c>
      <c r="J8015" t="n">
        <v>0</v>
      </c>
      <c r="K8015" t="n">
        <v>0</v>
      </c>
      <c r="L8015" t="n">
        <v>0</v>
      </c>
      <c r="M8015" t="n">
        <v>0</v>
      </c>
      <c r="N8015" t="n">
        <v>0</v>
      </c>
      <c r="O8015" t="n">
        <v>0</v>
      </c>
      <c r="P8015" t="n">
        <v>0</v>
      </c>
      <c r="Q8015" t="n">
        <v>0</v>
      </c>
      <c r="R8015" s="2" t="inlineStr"/>
    </row>
    <row r="8016" ht="15" customHeight="1">
      <c r="A8016" t="inlineStr">
        <is>
          <t>A 48966-2022</t>
        </is>
      </c>
      <c r="B8016" s="1" t="n">
        <v>44860</v>
      </c>
      <c r="C8016" s="1" t="n">
        <v>45810</v>
      </c>
      <c r="D8016" t="inlineStr">
        <is>
          <t>VÄRMLANDS LÄN</t>
        </is>
      </c>
      <c r="E8016" t="inlineStr">
        <is>
          <t>ARVIKA</t>
        </is>
      </c>
      <c r="G8016" t="n">
        <v>2.2</v>
      </c>
      <c r="H8016" t="n">
        <v>0</v>
      </c>
      <c r="I8016" t="n">
        <v>0</v>
      </c>
      <c r="J8016" t="n">
        <v>0</v>
      </c>
      <c r="K8016" t="n">
        <v>0</v>
      </c>
      <c r="L8016" t="n">
        <v>0</v>
      </c>
      <c r="M8016" t="n">
        <v>0</v>
      </c>
      <c r="N8016" t="n">
        <v>0</v>
      </c>
      <c r="O8016" t="n">
        <v>0</v>
      </c>
      <c r="P8016" t="n">
        <v>0</v>
      </c>
      <c r="Q8016" t="n">
        <v>0</v>
      </c>
      <c r="R8016" s="2" t="inlineStr"/>
    </row>
    <row r="8017" ht="15" customHeight="1">
      <c r="A8017" t="inlineStr">
        <is>
          <t>A 48972-2022</t>
        </is>
      </c>
      <c r="B8017" s="1" t="n">
        <v>44860</v>
      </c>
      <c r="C8017" s="1" t="n">
        <v>45810</v>
      </c>
      <c r="D8017" t="inlineStr">
        <is>
          <t>VÄRMLANDS LÄN</t>
        </is>
      </c>
      <c r="E8017" t="inlineStr">
        <is>
          <t>EDA</t>
        </is>
      </c>
      <c r="G8017" t="n">
        <v>5</v>
      </c>
      <c r="H8017" t="n">
        <v>0</v>
      </c>
      <c r="I8017" t="n">
        <v>0</v>
      </c>
      <c r="J8017" t="n">
        <v>0</v>
      </c>
      <c r="K8017" t="n">
        <v>0</v>
      </c>
      <c r="L8017" t="n">
        <v>0</v>
      </c>
      <c r="M8017" t="n">
        <v>0</v>
      </c>
      <c r="N8017" t="n">
        <v>0</v>
      </c>
      <c r="O8017" t="n">
        <v>0</v>
      </c>
      <c r="P8017" t="n">
        <v>0</v>
      </c>
      <c r="Q8017" t="n">
        <v>0</v>
      </c>
      <c r="R8017" s="2" t="inlineStr"/>
    </row>
    <row r="8018" ht="15" customHeight="1">
      <c r="A8018" t="inlineStr">
        <is>
          <t>A 49030-2022</t>
        </is>
      </c>
      <c r="B8018" s="1" t="n">
        <v>44860</v>
      </c>
      <c r="C8018" s="1" t="n">
        <v>45810</v>
      </c>
      <c r="D8018" t="inlineStr">
        <is>
          <t>VÄRMLANDS LÄN</t>
        </is>
      </c>
      <c r="E8018" t="inlineStr">
        <is>
          <t>SUNNE</t>
        </is>
      </c>
      <c r="G8018" t="n">
        <v>0.3</v>
      </c>
      <c r="H8018" t="n">
        <v>0</v>
      </c>
      <c r="I8018" t="n">
        <v>0</v>
      </c>
      <c r="J8018" t="n">
        <v>0</v>
      </c>
      <c r="K8018" t="n">
        <v>0</v>
      </c>
      <c r="L8018" t="n">
        <v>0</v>
      </c>
      <c r="M8018" t="n">
        <v>0</v>
      </c>
      <c r="N8018" t="n">
        <v>0</v>
      </c>
      <c r="O8018" t="n">
        <v>0</v>
      </c>
      <c r="P8018" t="n">
        <v>0</v>
      </c>
      <c r="Q8018" t="n">
        <v>0</v>
      </c>
      <c r="R8018" s="2" t="inlineStr"/>
    </row>
    <row r="8019" ht="15" customHeight="1">
      <c r="A8019" t="inlineStr">
        <is>
          <t>A 48973-2022</t>
        </is>
      </c>
      <c r="B8019" s="1" t="n">
        <v>44860</v>
      </c>
      <c r="C8019" s="1" t="n">
        <v>45810</v>
      </c>
      <c r="D8019" t="inlineStr">
        <is>
          <t>VÄRMLANDS LÄN</t>
        </is>
      </c>
      <c r="E8019" t="inlineStr">
        <is>
          <t>HAGFORS</t>
        </is>
      </c>
      <c r="F8019" t="inlineStr">
        <is>
          <t>Bergvik skog väst AB</t>
        </is>
      </c>
      <c r="G8019" t="n">
        <v>2.8</v>
      </c>
      <c r="H8019" t="n">
        <v>0</v>
      </c>
      <c r="I8019" t="n">
        <v>0</v>
      </c>
      <c r="J8019" t="n">
        <v>0</v>
      </c>
      <c r="K8019" t="n">
        <v>0</v>
      </c>
      <c r="L8019" t="n">
        <v>0</v>
      </c>
      <c r="M8019" t="n">
        <v>0</v>
      </c>
      <c r="N8019" t="n">
        <v>0</v>
      </c>
      <c r="O8019" t="n">
        <v>0</v>
      </c>
      <c r="P8019" t="n">
        <v>0</v>
      </c>
      <c r="Q8019" t="n">
        <v>0</v>
      </c>
      <c r="R8019" s="2" t="inlineStr"/>
    </row>
    <row r="8020" ht="15" customHeight="1">
      <c r="A8020" t="inlineStr">
        <is>
          <t>A 48970-2022</t>
        </is>
      </c>
      <c r="B8020" s="1" t="n">
        <v>44860</v>
      </c>
      <c r="C8020" s="1" t="n">
        <v>45810</v>
      </c>
      <c r="D8020" t="inlineStr">
        <is>
          <t>VÄRMLANDS LÄN</t>
        </is>
      </c>
      <c r="E8020" t="inlineStr">
        <is>
          <t>HAGFORS</t>
        </is>
      </c>
      <c r="F8020" t="inlineStr">
        <is>
          <t>Bergvik skog väst AB</t>
        </is>
      </c>
      <c r="G8020" t="n">
        <v>0.7</v>
      </c>
      <c r="H8020" t="n">
        <v>0</v>
      </c>
      <c r="I8020" t="n">
        <v>0</v>
      </c>
      <c r="J8020" t="n">
        <v>0</v>
      </c>
      <c r="K8020" t="n">
        <v>0</v>
      </c>
      <c r="L8020" t="n">
        <v>0</v>
      </c>
      <c r="M8020" t="n">
        <v>0</v>
      </c>
      <c r="N8020" t="n">
        <v>0</v>
      </c>
      <c r="O8020" t="n">
        <v>0</v>
      </c>
      <c r="P8020" t="n">
        <v>0</v>
      </c>
      <c r="Q8020" t="n">
        <v>0</v>
      </c>
      <c r="R8020" s="2" t="inlineStr"/>
    </row>
    <row r="8021" ht="15" customHeight="1">
      <c r="A8021" t="inlineStr">
        <is>
          <t>A 49046-2022</t>
        </is>
      </c>
      <c r="B8021" s="1" t="n">
        <v>44860</v>
      </c>
      <c r="C8021" s="1" t="n">
        <v>45810</v>
      </c>
      <c r="D8021" t="inlineStr">
        <is>
          <t>VÄRMLANDS LÄN</t>
        </is>
      </c>
      <c r="E8021" t="inlineStr">
        <is>
          <t>FILIPSTAD</t>
        </is>
      </c>
      <c r="G8021" t="n">
        <v>1.7</v>
      </c>
      <c r="H8021" t="n">
        <v>0</v>
      </c>
      <c r="I8021" t="n">
        <v>0</v>
      </c>
      <c r="J8021" t="n">
        <v>0</v>
      </c>
      <c r="K8021" t="n">
        <v>0</v>
      </c>
      <c r="L8021" t="n">
        <v>0</v>
      </c>
      <c r="M8021" t="n">
        <v>0</v>
      </c>
      <c r="N8021" t="n">
        <v>0</v>
      </c>
      <c r="O8021" t="n">
        <v>0</v>
      </c>
      <c r="P8021" t="n">
        <v>0</v>
      </c>
      <c r="Q8021" t="n">
        <v>0</v>
      </c>
      <c r="R8021" s="2" t="inlineStr"/>
    </row>
    <row r="8022" ht="15" customHeight="1">
      <c r="A8022" t="inlineStr">
        <is>
          <t>A 49073-2022</t>
        </is>
      </c>
      <c r="B8022" s="1" t="n">
        <v>44860</v>
      </c>
      <c r="C8022" s="1" t="n">
        <v>45810</v>
      </c>
      <c r="D8022" t="inlineStr">
        <is>
          <t>VÄRMLANDS LÄN</t>
        </is>
      </c>
      <c r="E8022" t="inlineStr">
        <is>
          <t>TORSBY</t>
        </is>
      </c>
      <c r="G8022" t="n">
        <v>4.7</v>
      </c>
      <c r="H8022" t="n">
        <v>0</v>
      </c>
      <c r="I8022" t="n">
        <v>0</v>
      </c>
      <c r="J8022" t="n">
        <v>0</v>
      </c>
      <c r="K8022" t="n">
        <v>0</v>
      </c>
      <c r="L8022" t="n">
        <v>0</v>
      </c>
      <c r="M8022" t="n">
        <v>0</v>
      </c>
      <c r="N8022" t="n">
        <v>0</v>
      </c>
      <c r="O8022" t="n">
        <v>0</v>
      </c>
      <c r="P8022" t="n">
        <v>0</v>
      </c>
      <c r="Q8022" t="n">
        <v>0</v>
      </c>
      <c r="R8022" s="2" t="inlineStr"/>
    </row>
    <row r="8023" ht="15" customHeight="1">
      <c r="A8023" t="inlineStr">
        <is>
          <t>A 49116-2022</t>
        </is>
      </c>
      <c r="B8023" s="1" t="n">
        <v>44860</v>
      </c>
      <c r="C8023" s="1" t="n">
        <v>45810</v>
      </c>
      <c r="D8023" t="inlineStr">
        <is>
          <t>VÄRMLANDS LÄN</t>
        </is>
      </c>
      <c r="E8023" t="inlineStr">
        <is>
          <t>GRUMS</t>
        </is>
      </c>
      <c r="G8023" t="n">
        <v>0.7</v>
      </c>
      <c r="H8023" t="n">
        <v>0</v>
      </c>
      <c r="I8023" t="n">
        <v>0</v>
      </c>
      <c r="J8023" t="n">
        <v>0</v>
      </c>
      <c r="K8023" t="n">
        <v>0</v>
      </c>
      <c r="L8023" t="n">
        <v>0</v>
      </c>
      <c r="M8023" t="n">
        <v>0</v>
      </c>
      <c r="N8023" t="n">
        <v>0</v>
      </c>
      <c r="O8023" t="n">
        <v>0</v>
      </c>
      <c r="P8023" t="n">
        <v>0</v>
      </c>
      <c r="Q8023" t="n">
        <v>0</v>
      </c>
      <c r="R8023" s="2" t="inlineStr"/>
    </row>
    <row r="8024" ht="15" customHeight="1">
      <c r="A8024" t="inlineStr">
        <is>
          <t>A 49180-2022</t>
        </is>
      </c>
      <c r="B8024" s="1" t="n">
        <v>44861</v>
      </c>
      <c r="C8024" s="1" t="n">
        <v>45810</v>
      </c>
      <c r="D8024" t="inlineStr">
        <is>
          <t>VÄRMLANDS LÄN</t>
        </is>
      </c>
      <c r="E8024" t="inlineStr">
        <is>
          <t>SUNNE</t>
        </is>
      </c>
      <c r="G8024" t="n">
        <v>7.7</v>
      </c>
      <c r="H8024" t="n">
        <v>0</v>
      </c>
      <c r="I8024" t="n">
        <v>0</v>
      </c>
      <c r="J8024" t="n">
        <v>0</v>
      </c>
      <c r="K8024" t="n">
        <v>0</v>
      </c>
      <c r="L8024" t="n">
        <v>0</v>
      </c>
      <c r="M8024" t="n">
        <v>0</v>
      </c>
      <c r="N8024" t="n">
        <v>0</v>
      </c>
      <c r="O8024" t="n">
        <v>0</v>
      </c>
      <c r="P8024" t="n">
        <v>0</v>
      </c>
      <c r="Q8024" t="n">
        <v>0</v>
      </c>
      <c r="R8024" s="2" t="inlineStr"/>
    </row>
    <row r="8025" ht="15" customHeight="1">
      <c r="A8025" t="inlineStr">
        <is>
          <t>A 49206-2022</t>
        </is>
      </c>
      <c r="B8025" s="1" t="n">
        <v>44861</v>
      </c>
      <c r="C8025" s="1" t="n">
        <v>45810</v>
      </c>
      <c r="D8025" t="inlineStr">
        <is>
          <t>VÄRMLANDS LÄN</t>
        </is>
      </c>
      <c r="E8025" t="inlineStr">
        <is>
          <t>TORSBY</t>
        </is>
      </c>
      <c r="G8025" t="n">
        <v>2.4</v>
      </c>
      <c r="H8025" t="n">
        <v>0</v>
      </c>
      <c r="I8025" t="n">
        <v>0</v>
      </c>
      <c r="J8025" t="n">
        <v>0</v>
      </c>
      <c r="K8025" t="n">
        <v>0</v>
      </c>
      <c r="L8025" t="n">
        <v>0</v>
      </c>
      <c r="M8025" t="n">
        <v>0</v>
      </c>
      <c r="N8025" t="n">
        <v>0</v>
      </c>
      <c r="O8025" t="n">
        <v>0</v>
      </c>
      <c r="P8025" t="n">
        <v>0</v>
      </c>
      <c r="Q8025" t="n">
        <v>0</v>
      </c>
      <c r="R8025" s="2" t="inlineStr"/>
    </row>
    <row r="8026" ht="15" customHeight="1">
      <c r="A8026" t="inlineStr">
        <is>
          <t>A 49244-2022</t>
        </is>
      </c>
      <c r="B8026" s="1" t="n">
        <v>44861</v>
      </c>
      <c r="C8026" s="1" t="n">
        <v>45810</v>
      </c>
      <c r="D8026" t="inlineStr">
        <is>
          <t>VÄRMLANDS LÄN</t>
        </is>
      </c>
      <c r="E8026" t="inlineStr">
        <is>
          <t>SUNNE</t>
        </is>
      </c>
      <c r="G8026" t="n">
        <v>2.2</v>
      </c>
      <c r="H8026" t="n">
        <v>0</v>
      </c>
      <c r="I8026" t="n">
        <v>0</v>
      </c>
      <c r="J8026" t="n">
        <v>0</v>
      </c>
      <c r="K8026" t="n">
        <v>0</v>
      </c>
      <c r="L8026" t="n">
        <v>0</v>
      </c>
      <c r="M8026" t="n">
        <v>0</v>
      </c>
      <c r="N8026" t="n">
        <v>0</v>
      </c>
      <c r="O8026" t="n">
        <v>0</v>
      </c>
      <c r="P8026" t="n">
        <v>0</v>
      </c>
      <c r="Q8026" t="n">
        <v>0</v>
      </c>
      <c r="R8026" s="2" t="inlineStr"/>
    </row>
    <row r="8027" ht="15" customHeight="1">
      <c r="A8027" t="inlineStr">
        <is>
          <t>A 49258-2022</t>
        </is>
      </c>
      <c r="B8027" s="1" t="n">
        <v>44861</v>
      </c>
      <c r="C8027" s="1" t="n">
        <v>45810</v>
      </c>
      <c r="D8027" t="inlineStr">
        <is>
          <t>VÄRMLANDS LÄN</t>
        </is>
      </c>
      <c r="E8027" t="inlineStr">
        <is>
          <t>ÅRJÄNG</t>
        </is>
      </c>
      <c r="G8027" t="n">
        <v>2.6</v>
      </c>
      <c r="H8027" t="n">
        <v>0</v>
      </c>
      <c r="I8027" t="n">
        <v>0</v>
      </c>
      <c r="J8027" t="n">
        <v>0</v>
      </c>
      <c r="K8027" t="n">
        <v>0</v>
      </c>
      <c r="L8027" t="n">
        <v>0</v>
      </c>
      <c r="M8027" t="n">
        <v>0</v>
      </c>
      <c r="N8027" t="n">
        <v>0</v>
      </c>
      <c r="O8027" t="n">
        <v>0</v>
      </c>
      <c r="P8027" t="n">
        <v>0</v>
      </c>
      <c r="Q8027" t="n">
        <v>0</v>
      </c>
      <c r="R8027" s="2" t="inlineStr"/>
    </row>
    <row r="8028" ht="15" customHeight="1">
      <c r="A8028" t="inlineStr">
        <is>
          <t>A 49285-2022</t>
        </is>
      </c>
      <c r="B8028" s="1" t="n">
        <v>44861</v>
      </c>
      <c r="C8028" s="1" t="n">
        <v>45810</v>
      </c>
      <c r="D8028" t="inlineStr">
        <is>
          <t>VÄRMLANDS LÄN</t>
        </is>
      </c>
      <c r="E8028" t="inlineStr">
        <is>
          <t>KARLSTAD</t>
        </is>
      </c>
      <c r="G8028" t="n">
        <v>2.5</v>
      </c>
      <c r="H8028" t="n">
        <v>0</v>
      </c>
      <c r="I8028" t="n">
        <v>0</v>
      </c>
      <c r="J8028" t="n">
        <v>0</v>
      </c>
      <c r="K8028" t="n">
        <v>0</v>
      </c>
      <c r="L8028" t="n">
        <v>0</v>
      </c>
      <c r="M8028" t="n">
        <v>0</v>
      </c>
      <c r="N8028" t="n">
        <v>0</v>
      </c>
      <c r="O8028" t="n">
        <v>0</v>
      </c>
      <c r="P8028" t="n">
        <v>0</v>
      </c>
      <c r="Q8028" t="n">
        <v>0</v>
      </c>
      <c r="R8028" s="2" t="inlineStr"/>
    </row>
    <row r="8029" ht="15" customHeight="1">
      <c r="A8029" t="inlineStr">
        <is>
          <t>A 49346-2022</t>
        </is>
      </c>
      <c r="B8029" s="1" t="n">
        <v>44861</v>
      </c>
      <c r="C8029" s="1" t="n">
        <v>45810</v>
      </c>
      <c r="D8029" t="inlineStr">
        <is>
          <t>VÄRMLANDS LÄN</t>
        </is>
      </c>
      <c r="E8029" t="inlineStr">
        <is>
          <t>TORSBY</t>
        </is>
      </c>
      <c r="G8029" t="n">
        <v>1.5</v>
      </c>
      <c r="H8029" t="n">
        <v>0</v>
      </c>
      <c r="I8029" t="n">
        <v>0</v>
      </c>
      <c r="J8029" t="n">
        <v>0</v>
      </c>
      <c r="K8029" t="n">
        <v>0</v>
      </c>
      <c r="L8029" t="n">
        <v>0</v>
      </c>
      <c r="M8029" t="n">
        <v>0</v>
      </c>
      <c r="N8029" t="n">
        <v>0</v>
      </c>
      <c r="O8029" t="n">
        <v>0</v>
      </c>
      <c r="P8029" t="n">
        <v>0</v>
      </c>
      <c r="Q8029" t="n">
        <v>0</v>
      </c>
      <c r="R8029" s="2" t="inlineStr"/>
    </row>
    <row r="8030" ht="15" customHeight="1">
      <c r="A8030" t="inlineStr">
        <is>
          <t>A 49405-2022</t>
        </is>
      </c>
      <c r="B8030" s="1" t="n">
        <v>44861</v>
      </c>
      <c r="C8030" s="1" t="n">
        <v>45810</v>
      </c>
      <c r="D8030" t="inlineStr">
        <is>
          <t>VÄRMLANDS LÄN</t>
        </is>
      </c>
      <c r="E8030" t="inlineStr">
        <is>
          <t>ÅRJÄNG</t>
        </is>
      </c>
      <c r="G8030" t="n">
        <v>1.1</v>
      </c>
      <c r="H8030" t="n">
        <v>0</v>
      </c>
      <c r="I8030" t="n">
        <v>0</v>
      </c>
      <c r="J8030" t="n">
        <v>0</v>
      </c>
      <c r="K8030" t="n">
        <v>0</v>
      </c>
      <c r="L8030" t="n">
        <v>0</v>
      </c>
      <c r="M8030" t="n">
        <v>0</v>
      </c>
      <c r="N8030" t="n">
        <v>0</v>
      </c>
      <c r="O8030" t="n">
        <v>0</v>
      </c>
      <c r="P8030" t="n">
        <v>0</v>
      </c>
      <c r="Q8030" t="n">
        <v>0</v>
      </c>
      <c r="R8030" s="2" t="inlineStr"/>
    </row>
    <row r="8031" ht="15" customHeight="1">
      <c r="A8031" t="inlineStr">
        <is>
          <t>A 49436-2022</t>
        </is>
      </c>
      <c r="B8031" s="1" t="n">
        <v>44861</v>
      </c>
      <c r="C8031" s="1" t="n">
        <v>45810</v>
      </c>
      <c r="D8031" t="inlineStr">
        <is>
          <t>VÄRMLANDS LÄN</t>
        </is>
      </c>
      <c r="E8031" t="inlineStr">
        <is>
          <t>EDA</t>
        </is>
      </c>
      <c r="G8031" t="n">
        <v>2.8</v>
      </c>
      <c r="H8031" t="n">
        <v>0</v>
      </c>
      <c r="I8031" t="n">
        <v>0</v>
      </c>
      <c r="J8031" t="n">
        <v>0</v>
      </c>
      <c r="K8031" t="n">
        <v>0</v>
      </c>
      <c r="L8031" t="n">
        <v>0</v>
      </c>
      <c r="M8031" t="n">
        <v>0</v>
      </c>
      <c r="N8031" t="n">
        <v>0</v>
      </c>
      <c r="O8031" t="n">
        <v>0</v>
      </c>
      <c r="P8031" t="n">
        <v>0</v>
      </c>
      <c r="Q8031" t="n">
        <v>0</v>
      </c>
      <c r="R8031" s="2" t="inlineStr"/>
    </row>
    <row r="8032" ht="15" customHeight="1">
      <c r="A8032" t="inlineStr">
        <is>
          <t>A 50415-2022</t>
        </is>
      </c>
      <c r="B8032" s="1" t="n">
        <v>44861</v>
      </c>
      <c r="C8032" s="1" t="n">
        <v>45810</v>
      </c>
      <c r="D8032" t="inlineStr">
        <is>
          <t>VÄRMLANDS LÄN</t>
        </is>
      </c>
      <c r="E8032" t="inlineStr">
        <is>
          <t>SÄFFLE</t>
        </is>
      </c>
      <c r="G8032" t="n">
        <v>4.8</v>
      </c>
      <c r="H8032" t="n">
        <v>0</v>
      </c>
      <c r="I8032" t="n">
        <v>0</v>
      </c>
      <c r="J8032" t="n">
        <v>0</v>
      </c>
      <c r="K8032" t="n">
        <v>0</v>
      </c>
      <c r="L8032" t="n">
        <v>0</v>
      </c>
      <c r="M8032" t="n">
        <v>0</v>
      </c>
      <c r="N8032" t="n">
        <v>0</v>
      </c>
      <c r="O8032" t="n">
        <v>0</v>
      </c>
      <c r="P8032" t="n">
        <v>0</v>
      </c>
      <c r="Q8032" t="n">
        <v>0</v>
      </c>
      <c r="R8032" s="2" t="inlineStr"/>
    </row>
    <row r="8033" ht="15" customHeight="1">
      <c r="A8033" t="inlineStr">
        <is>
          <t>A 50442-2022</t>
        </is>
      </c>
      <c r="B8033" s="1" t="n">
        <v>44861</v>
      </c>
      <c r="C8033" s="1" t="n">
        <v>45810</v>
      </c>
      <c r="D8033" t="inlineStr">
        <is>
          <t>VÄRMLANDS LÄN</t>
        </is>
      </c>
      <c r="E8033" t="inlineStr">
        <is>
          <t>SÄFFLE</t>
        </is>
      </c>
      <c r="G8033" t="n">
        <v>1.4</v>
      </c>
      <c r="H8033" t="n">
        <v>0</v>
      </c>
      <c r="I8033" t="n">
        <v>0</v>
      </c>
      <c r="J8033" t="n">
        <v>0</v>
      </c>
      <c r="K8033" t="n">
        <v>0</v>
      </c>
      <c r="L8033" t="n">
        <v>0</v>
      </c>
      <c r="M8033" t="n">
        <v>0</v>
      </c>
      <c r="N8033" t="n">
        <v>0</v>
      </c>
      <c r="O8033" t="n">
        <v>0</v>
      </c>
      <c r="P8033" t="n">
        <v>0</v>
      </c>
      <c r="Q8033" t="n">
        <v>0</v>
      </c>
      <c r="R8033" s="2" t="inlineStr"/>
    </row>
    <row r="8034" ht="15" customHeight="1">
      <c r="A8034" t="inlineStr">
        <is>
          <t>A 49300-2022</t>
        </is>
      </c>
      <c r="B8034" s="1" t="n">
        <v>44861</v>
      </c>
      <c r="C8034" s="1" t="n">
        <v>45810</v>
      </c>
      <c r="D8034" t="inlineStr">
        <is>
          <t>VÄRMLANDS LÄN</t>
        </is>
      </c>
      <c r="E8034" t="inlineStr">
        <is>
          <t>GRUMS</t>
        </is>
      </c>
      <c r="G8034" t="n">
        <v>2.2</v>
      </c>
      <c r="H8034" t="n">
        <v>0</v>
      </c>
      <c r="I8034" t="n">
        <v>0</v>
      </c>
      <c r="J8034" t="n">
        <v>0</v>
      </c>
      <c r="K8034" t="n">
        <v>0</v>
      </c>
      <c r="L8034" t="n">
        <v>0</v>
      </c>
      <c r="M8034" t="n">
        <v>0</v>
      </c>
      <c r="N8034" t="n">
        <v>0</v>
      </c>
      <c r="O8034" t="n">
        <v>0</v>
      </c>
      <c r="P8034" t="n">
        <v>0</v>
      </c>
      <c r="Q8034" t="n">
        <v>0</v>
      </c>
      <c r="R8034" s="2" t="inlineStr"/>
    </row>
    <row r="8035" ht="15" customHeight="1">
      <c r="A8035" t="inlineStr">
        <is>
          <t>A 50390-2022</t>
        </is>
      </c>
      <c r="B8035" s="1" t="n">
        <v>44861</v>
      </c>
      <c r="C8035" s="1" t="n">
        <v>45810</v>
      </c>
      <c r="D8035" t="inlineStr">
        <is>
          <t>VÄRMLANDS LÄN</t>
        </is>
      </c>
      <c r="E8035" t="inlineStr">
        <is>
          <t>TORSBY</t>
        </is>
      </c>
      <c r="G8035" t="n">
        <v>2.9</v>
      </c>
      <c r="H8035" t="n">
        <v>0</v>
      </c>
      <c r="I8035" t="n">
        <v>0</v>
      </c>
      <c r="J8035" t="n">
        <v>0</v>
      </c>
      <c r="K8035" t="n">
        <v>0</v>
      </c>
      <c r="L8035" t="n">
        <v>0</v>
      </c>
      <c r="M8035" t="n">
        <v>0</v>
      </c>
      <c r="N8035" t="n">
        <v>0</v>
      </c>
      <c r="O8035" t="n">
        <v>0</v>
      </c>
      <c r="P8035" t="n">
        <v>0</v>
      </c>
      <c r="Q8035" t="n">
        <v>0</v>
      </c>
      <c r="R8035" s="2" t="inlineStr"/>
    </row>
    <row r="8036" ht="15" customHeight="1">
      <c r="A8036" t="inlineStr">
        <is>
          <t>A 50558-2022</t>
        </is>
      </c>
      <c r="B8036" s="1" t="n">
        <v>44861</v>
      </c>
      <c r="C8036" s="1" t="n">
        <v>45810</v>
      </c>
      <c r="D8036" t="inlineStr">
        <is>
          <t>VÄRMLANDS LÄN</t>
        </is>
      </c>
      <c r="E8036" t="inlineStr">
        <is>
          <t>KRISTINEHAMN</t>
        </is>
      </c>
      <c r="G8036" t="n">
        <v>4.3</v>
      </c>
      <c r="H8036" t="n">
        <v>0</v>
      </c>
      <c r="I8036" t="n">
        <v>0</v>
      </c>
      <c r="J8036" t="n">
        <v>0</v>
      </c>
      <c r="K8036" t="n">
        <v>0</v>
      </c>
      <c r="L8036" t="n">
        <v>0</v>
      </c>
      <c r="M8036" t="n">
        <v>0</v>
      </c>
      <c r="N8036" t="n">
        <v>0</v>
      </c>
      <c r="O8036" t="n">
        <v>0</v>
      </c>
      <c r="P8036" t="n">
        <v>0</v>
      </c>
      <c r="Q8036" t="n">
        <v>0</v>
      </c>
      <c r="R8036" s="2" t="inlineStr"/>
    </row>
    <row r="8037" ht="15" customHeight="1">
      <c r="A8037" t="inlineStr">
        <is>
          <t>A 49673-2022</t>
        </is>
      </c>
      <c r="B8037" s="1" t="n">
        <v>44862</v>
      </c>
      <c r="C8037" s="1" t="n">
        <v>45810</v>
      </c>
      <c r="D8037" t="inlineStr">
        <is>
          <t>VÄRMLANDS LÄN</t>
        </is>
      </c>
      <c r="E8037" t="inlineStr">
        <is>
          <t>ÅRJÄNG</t>
        </is>
      </c>
      <c r="G8037" t="n">
        <v>2.1</v>
      </c>
      <c r="H8037" t="n">
        <v>0</v>
      </c>
      <c r="I8037" t="n">
        <v>0</v>
      </c>
      <c r="J8037" t="n">
        <v>0</v>
      </c>
      <c r="K8037" t="n">
        <v>0</v>
      </c>
      <c r="L8037" t="n">
        <v>0</v>
      </c>
      <c r="M8037" t="n">
        <v>0</v>
      </c>
      <c r="N8037" t="n">
        <v>0</v>
      </c>
      <c r="O8037" t="n">
        <v>0</v>
      </c>
      <c r="P8037" t="n">
        <v>0</v>
      </c>
      <c r="Q8037" t="n">
        <v>0</v>
      </c>
      <c r="R8037" s="2" t="inlineStr"/>
    </row>
    <row r="8038" ht="15" customHeight="1">
      <c r="A8038" t="inlineStr">
        <is>
          <t>A 49701-2022</t>
        </is>
      </c>
      <c r="B8038" s="1" t="n">
        <v>44862</v>
      </c>
      <c r="C8038" s="1" t="n">
        <v>45810</v>
      </c>
      <c r="D8038" t="inlineStr">
        <is>
          <t>VÄRMLANDS LÄN</t>
        </is>
      </c>
      <c r="E8038" t="inlineStr">
        <is>
          <t>ÅRJÄNG</t>
        </is>
      </c>
      <c r="G8038" t="n">
        <v>2.3</v>
      </c>
      <c r="H8038" t="n">
        <v>0</v>
      </c>
      <c r="I8038" t="n">
        <v>0</v>
      </c>
      <c r="J8038" t="n">
        <v>0</v>
      </c>
      <c r="K8038" t="n">
        <v>0</v>
      </c>
      <c r="L8038" t="n">
        <v>0</v>
      </c>
      <c r="M8038" t="n">
        <v>0</v>
      </c>
      <c r="N8038" t="n">
        <v>0</v>
      </c>
      <c r="O8038" t="n">
        <v>0</v>
      </c>
      <c r="P8038" t="n">
        <v>0</v>
      </c>
      <c r="Q8038" t="n">
        <v>0</v>
      </c>
      <c r="R8038" s="2" t="inlineStr"/>
    </row>
    <row r="8039" ht="15" customHeight="1">
      <c r="A8039" t="inlineStr">
        <is>
          <t>A 49732-2022</t>
        </is>
      </c>
      <c r="B8039" s="1" t="n">
        <v>44862</v>
      </c>
      <c r="C8039" s="1" t="n">
        <v>45810</v>
      </c>
      <c r="D8039" t="inlineStr">
        <is>
          <t>VÄRMLANDS LÄN</t>
        </is>
      </c>
      <c r="E8039" t="inlineStr">
        <is>
          <t>SUNNE</t>
        </is>
      </c>
      <c r="G8039" t="n">
        <v>4.3</v>
      </c>
      <c r="H8039" t="n">
        <v>0</v>
      </c>
      <c r="I8039" t="n">
        <v>0</v>
      </c>
      <c r="J8039" t="n">
        <v>0</v>
      </c>
      <c r="K8039" t="n">
        <v>0</v>
      </c>
      <c r="L8039" t="n">
        <v>0</v>
      </c>
      <c r="M8039" t="n">
        <v>0</v>
      </c>
      <c r="N8039" t="n">
        <v>0</v>
      </c>
      <c r="O8039" t="n">
        <v>0</v>
      </c>
      <c r="P8039" t="n">
        <v>0</v>
      </c>
      <c r="Q8039" t="n">
        <v>0</v>
      </c>
      <c r="R8039" s="2" t="inlineStr"/>
    </row>
    <row r="8040" ht="15" customHeight="1">
      <c r="A8040" t="inlineStr">
        <is>
          <t>A 49795-2022</t>
        </is>
      </c>
      <c r="B8040" s="1" t="n">
        <v>44862</v>
      </c>
      <c r="C8040" s="1" t="n">
        <v>45810</v>
      </c>
      <c r="D8040" t="inlineStr">
        <is>
          <t>VÄRMLANDS LÄN</t>
        </is>
      </c>
      <c r="E8040" t="inlineStr">
        <is>
          <t>TORSBY</t>
        </is>
      </c>
      <c r="G8040" t="n">
        <v>7.6</v>
      </c>
      <c r="H8040" t="n">
        <v>0</v>
      </c>
      <c r="I8040" t="n">
        <v>0</v>
      </c>
      <c r="J8040" t="n">
        <v>0</v>
      </c>
      <c r="K8040" t="n">
        <v>0</v>
      </c>
      <c r="L8040" t="n">
        <v>0</v>
      </c>
      <c r="M8040" t="n">
        <v>0</v>
      </c>
      <c r="N8040" t="n">
        <v>0</v>
      </c>
      <c r="O8040" t="n">
        <v>0</v>
      </c>
      <c r="P8040" t="n">
        <v>0</v>
      </c>
      <c r="Q8040" t="n">
        <v>0</v>
      </c>
      <c r="R8040" s="2" t="inlineStr"/>
    </row>
    <row r="8041" ht="15" customHeight="1">
      <c r="A8041" t="inlineStr">
        <is>
          <t>A 49810-2022</t>
        </is>
      </c>
      <c r="B8041" s="1" t="n">
        <v>44862</v>
      </c>
      <c r="C8041" s="1" t="n">
        <v>45810</v>
      </c>
      <c r="D8041" t="inlineStr">
        <is>
          <t>VÄRMLANDS LÄN</t>
        </is>
      </c>
      <c r="E8041" t="inlineStr">
        <is>
          <t>TORSBY</t>
        </is>
      </c>
      <c r="F8041" t="inlineStr">
        <is>
          <t>Bergvik skog väst AB</t>
        </is>
      </c>
      <c r="G8041" t="n">
        <v>7</v>
      </c>
      <c r="H8041" t="n">
        <v>0</v>
      </c>
      <c r="I8041" t="n">
        <v>0</v>
      </c>
      <c r="J8041" t="n">
        <v>0</v>
      </c>
      <c r="K8041" t="n">
        <v>0</v>
      </c>
      <c r="L8041" t="n">
        <v>0</v>
      </c>
      <c r="M8041" t="n">
        <v>0</v>
      </c>
      <c r="N8041" t="n">
        <v>0</v>
      </c>
      <c r="O8041" t="n">
        <v>0</v>
      </c>
      <c r="P8041" t="n">
        <v>0</v>
      </c>
      <c r="Q8041" t="n">
        <v>0</v>
      </c>
      <c r="R8041" s="2" t="inlineStr"/>
    </row>
    <row r="8042" ht="15" customHeight="1">
      <c r="A8042" t="inlineStr">
        <is>
          <t>A 50720-2022</t>
        </is>
      </c>
      <c r="B8042" s="1" t="n">
        <v>44862</v>
      </c>
      <c r="C8042" s="1" t="n">
        <v>45810</v>
      </c>
      <c r="D8042" t="inlineStr">
        <is>
          <t>VÄRMLANDS LÄN</t>
        </is>
      </c>
      <c r="E8042" t="inlineStr">
        <is>
          <t>SÄFFLE</t>
        </is>
      </c>
      <c r="G8042" t="n">
        <v>1.2</v>
      </c>
      <c r="H8042" t="n">
        <v>0</v>
      </c>
      <c r="I8042" t="n">
        <v>0</v>
      </c>
      <c r="J8042" t="n">
        <v>0</v>
      </c>
      <c r="K8042" t="n">
        <v>0</v>
      </c>
      <c r="L8042" t="n">
        <v>0</v>
      </c>
      <c r="M8042" t="n">
        <v>0</v>
      </c>
      <c r="N8042" t="n">
        <v>0</v>
      </c>
      <c r="O8042" t="n">
        <v>0</v>
      </c>
      <c r="P8042" t="n">
        <v>0</v>
      </c>
      <c r="Q8042" t="n">
        <v>0</v>
      </c>
      <c r="R8042" s="2" t="inlineStr"/>
    </row>
    <row r="8043" ht="15" customHeight="1">
      <c r="A8043" t="inlineStr">
        <is>
          <t>A 49891-2022</t>
        </is>
      </c>
      <c r="B8043" s="1" t="n">
        <v>44864</v>
      </c>
      <c r="C8043" s="1" t="n">
        <v>45810</v>
      </c>
      <c r="D8043" t="inlineStr">
        <is>
          <t>VÄRMLANDS LÄN</t>
        </is>
      </c>
      <c r="E8043" t="inlineStr">
        <is>
          <t>ÅRJÄNG</t>
        </is>
      </c>
      <c r="G8043" t="n">
        <v>5.6</v>
      </c>
      <c r="H8043" t="n">
        <v>0</v>
      </c>
      <c r="I8043" t="n">
        <v>0</v>
      </c>
      <c r="J8043" t="n">
        <v>0</v>
      </c>
      <c r="K8043" t="n">
        <v>0</v>
      </c>
      <c r="L8043" t="n">
        <v>0</v>
      </c>
      <c r="M8043" t="n">
        <v>0</v>
      </c>
      <c r="N8043" t="n">
        <v>0</v>
      </c>
      <c r="O8043" t="n">
        <v>0</v>
      </c>
      <c r="P8043" t="n">
        <v>0</v>
      </c>
      <c r="Q8043" t="n">
        <v>0</v>
      </c>
      <c r="R8043" s="2" t="inlineStr"/>
    </row>
    <row r="8044" ht="15" customHeight="1">
      <c r="A8044" t="inlineStr">
        <is>
          <t>A 49896-2022</t>
        </is>
      </c>
      <c r="B8044" s="1" t="n">
        <v>44864</v>
      </c>
      <c r="C8044" s="1" t="n">
        <v>45810</v>
      </c>
      <c r="D8044" t="inlineStr">
        <is>
          <t>VÄRMLANDS LÄN</t>
        </is>
      </c>
      <c r="E8044" t="inlineStr">
        <is>
          <t>ÅRJÄNG</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49888-2022</t>
        </is>
      </c>
      <c r="B8045" s="1" t="n">
        <v>44864</v>
      </c>
      <c r="C8045" s="1" t="n">
        <v>45810</v>
      </c>
      <c r="D8045" t="inlineStr">
        <is>
          <t>VÄRMLANDS LÄN</t>
        </is>
      </c>
      <c r="E8045" t="inlineStr">
        <is>
          <t>SÄFFLE</t>
        </is>
      </c>
      <c r="G8045" t="n">
        <v>2.5</v>
      </c>
      <c r="H8045" t="n">
        <v>0</v>
      </c>
      <c r="I8045" t="n">
        <v>0</v>
      </c>
      <c r="J8045" t="n">
        <v>0</v>
      </c>
      <c r="K8045" t="n">
        <v>0</v>
      </c>
      <c r="L8045" t="n">
        <v>0</v>
      </c>
      <c r="M8045" t="n">
        <v>0</v>
      </c>
      <c r="N8045" t="n">
        <v>0</v>
      </c>
      <c r="O8045" t="n">
        <v>0</v>
      </c>
      <c r="P8045" t="n">
        <v>0</v>
      </c>
      <c r="Q8045" t="n">
        <v>0</v>
      </c>
      <c r="R8045" s="2" t="inlineStr"/>
    </row>
    <row r="8046" ht="15" customHeight="1">
      <c r="A8046" t="inlineStr">
        <is>
          <t>A 49957-2022</t>
        </is>
      </c>
      <c r="B8046" s="1" t="n">
        <v>44865</v>
      </c>
      <c r="C8046" s="1" t="n">
        <v>45810</v>
      </c>
      <c r="D8046" t="inlineStr">
        <is>
          <t>VÄRMLANDS LÄN</t>
        </is>
      </c>
      <c r="E8046" t="inlineStr">
        <is>
          <t>TORSBY</t>
        </is>
      </c>
      <c r="G8046" t="n">
        <v>2.9</v>
      </c>
      <c r="H8046" t="n">
        <v>0</v>
      </c>
      <c r="I8046" t="n">
        <v>0</v>
      </c>
      <c r="J8046" t="n">
        <v>0</v>
      </c>
      <c r="K8046" t="n">
        <v>0</v>
      </c>
      <c r="L8046" t="n">
        <v>0</v>
      </c>
      <c r="M8046" t="n">
        <v>0</v>
      </c>
      <c r="N8046" t="n">
        <v>0</v>
      </c>
      <c r="O8046" t="n">
        <v>0</v>
      </c>
      <c r="P8046" t="n">
        <v>0</v>
      </c>
      <c r="Q8046" t="n">
        <v>0</v>
      </c>
      <c r="R8046" s="2" t="inlineStr"/>
    </row>
    <row r="8047" ht="15" customHeight="1">
      <c r="A8047" t="inlineStr">
        <is>
          <t>A 49983-2022</t>
        </is>
      </c>
      <c r="B8047" s="1" t="n">
        <v>44865</v>
      </c>
      <c r="C8047" s="1" t="n">
        <v>45810</v>
      </c>
      <c r="D8047" t="inlineStr">
        <is>
          <t>VÄRMLANDS LÄN</t>
        </is>
      </c>
      <c r="E8047" t="inlineStr">
        <is>
          <t>TORSBY</t>
        </is>
      </c>
      <c r="G8047" t="n">
        <v>0.7</v>
      </c>
      <c r="H8047" t="n">
        <v>0</v>
      </c>
      <c r="I8047" t="n">
        <v>0</v>
      </c>
      <c r="J8047" t="n">
        <v>0</v>
      </c>
      <c r="K8047" t="n">
        <v>0</v>
      </c>
      <c r="L8047" t="n">
        <v>0</v>
      </c>
      <c r="M8047" t="n">
        <v>0</v>
      </c>
      <c r="N8047" t="n">
        <v>0</v>
      </c>
      <c r="O8047" t="n">
        <v>0</v>
      </c>
      <c r="P8047" t="n">
        <v>0</v>
      </c>
      <c r="Q8047" t="n">
        <v>0</v>
      </c>
      <c r="R8047" s="2" t="inlineStr"/>
    </row>
    <row r="8048" ht="15" customHeight="1">
      <c r="A8048" t="inlineStr">
        <is>
          <t>A 50030-2022</t>
        </is>
      </c>
      <c r="B8048" s="1" t="n">
        <v>44865</v>
      </c>
      <c r="C8048" s="1" t="n">
        <v>45810</v>
      </c>
      <c r="D8048" t="inlineStr">
        <is>
          <t>VÄRMLANDS LÄN</t>
        </is>
      </c>
      <c r="E8048" t="inlineStr">
        <is>
          <t>EDA</t>
        </is>
      </c>
      <c r="G8048" t="n">
        <v>0.9</v>
      </c>
      <c r="H8048" t="n">
        <v>0</v>
      </c>
      <c r="I8048" t="n">
        <v>0</v>
      </c>
      <c r="J8048" t="n">
        <v>0</v>
      </c>
      <c r="K8048" t="n">
        <v>0</v>
      </c>
      <c r="L8048" t="n">
        <v>0</v>
      </c>
      <c r="M8048" t="n">
        <v>0</v>
      </c>
      <c r="N8048" t="n">
        <v>0</v>
      </c>
      <c r="O8048" t="n">
        <v>0</v>
      </c>
      <c r="P8048" t="n">
        <v>0</v>
      </c>
      <c r="Q8048" t="n">
        <v>0</v>
      </c>
      <c r="R8048" s="2" t="inlineStr"/>
    </row>
    <row r="8049" ht="15" customHeight="1">
      <c r="A8049" t="inlineStr">
        <is>
          <t>A 50098-2022</t>
        </is>
      </c>
      <c r="B8049" s="1" t="n">
        <v>44865</v>
      </c>
      <c r="C8049" s="1" t="n">
        <v>45810</v>
      </c>
      <c r="D8049" t="inlineStr">
        <is>
          <t>VÄRMLANDS LÄN</t>
        </is>
      </c>
      <c r="E8049" t="inlineStr">
        <is>
          <t>ARVIKA</t>
        </is>
      </c>
      <c r="F8049" t="inlineStr">
        <is>
          <t>Bergvik skog väst AB</t>
        </is>
      </c>
      <c r="G8049" t="n">
        <v>7.1</v>
      </c>
      <c r="H8049" t="n">
        <v>0</v>
      </c>
      <c r="I8049" t="n">
        <v>0</v>
      </c>
      <c r="J8049" t="n">
        <v>0</v>
      </c>
      <c r="K8049" t="n">
        <v>0</v>
      </c>
      <c r="L8049" t="n">
        <v>0</v>
      </c>
      <c r="M8049" t="n">
        <v>0</v>
      </c>
      <c r="N8049" t="n">
        <v>0</v>
      </c>
      <c r="O8049" t="n">
        <v>0</v>
      </c>
      <c r="P8049" t="n">
        <v>0</v>
      </c>
      <c r="Q8049" t="n">
        <v>0</v>
      </c>
      <c r="R8049" s="2" t="inlineStr"/>
    </row>
    <row r="8050" ht="15" customHeight="1">
      <c r="A8050" t="inlineStr">
        <is>
          <t>A 50114-2022</t>
        </is>
      </c>
      <c r="B8050" s="1" t="n">
        <v>44865</v>
      </c>
      <c r="C8050" s="1" t="n">
        <v>45810</v>
      </c>
      <c r="D8050" t="inlineStr">
        <is>
          <t>VÄRMLANDS LÄN</t>
        </is>
      </c>
      <c r="E8050" t="inlineStr">
        <is>
          <t>EDA</t>
        </is>
      </c>
      <c r="G8050" t="n">
        <v>2.1</v>
      </c>
      <c r="H8050" t="n">
        <v>0</v>
      </c>
      <c r="I8050" t="n">
        <v>0</v>
      </c>
      <c r="J8050" t="n">
        <v>0</v>
      </c>
      <c r="K8050" t="n">
        <v>0</v>
      </c>
      <c r="L8050" t="n">
        <v>0</v>
      </c>
      <c r="M8050" t="n">
        <v>0</v>
      </c>
      <c r="N8050" t="n">
        <v>0</v>
      </c>
      <c r="O8050" t="n">
        <v>0</v>
      </c>
      <c r="P8050" t="n">
        <v>0</v>
      </c>
      <c r="Q8050" t="n">
        <v>0</v>
      </c>
      <c r="R8050" s="2" t="inlineStr"/>
    </row>
    <row r="8051" ht="15" customHeight="1">
      <c r="A8051" t="inlineStr">
        <is>
          <t>A 49970-2022</t>
        </is>
      </c>
      <c r="B8051" s="1" t="n">
        <v>44865</v>
      </c>
      <c r="C8051" s="1" t="n">
        <v>45810</v>
      </c>
      <c r="D8051" t="inlineStr">
        <is>
          <t>VÄRMLANDS LÄN</t>
        </is>
      </c>
      <c r="E8051" t="inlineStr">
        <is>
          <t>TORSBY</t>
        </is>
      </c>
      <c r="G8051" t="n">
        <v>2.9</v>
      </c>
      <c r="H8051" t="n">
        <v>0</v>
      </c>
      <c r="I8051" t="n">
        <v>0</v>
      </c>
      <c r="J8051" t="n">
        <v>0</v>
      </c>
      <c r="K8051" t="n">
        <v>0</v>
      </c>
      <c r="L8051" t="n">
        <v>0</v>
      </c>
      <c r="M8051" t="n">
        <v>0</v>
      </c>
      <c r="N8051" t="n">
        <v>0</v>
      </c>
      <c r="O8051" t="n">
        <v>0</v>
      </c>
      <c r="P8051" t="n">
        <v>0</v>
      </c>
      <c r="Q8051" t="n">
        <v>0</v>
      </c>
      <c r="R8051" s="2" t="inlineStr"/>
    </row>
    <row r="8052" ht="15" customHeight="1">
      <c r="A8052" t="inlineStr">
        <is>
          <t>A 50060-2022</t>
        </is>
      </c>
      <c r="B8052" s="1" t="n">
        <v>44865</v>
      </c>
      <c r="C8052" s="1" t="n">
        <v>45810</v>
      </c>
      <c r="D8052" t="inlineStr">
        <is>
          <t>VÄRMLANDS LÄN</t>
        </is>
      </c>
      <c r="E8052" t="inlineStr">
        <is>
          <t>FORSHAGA</t>
        </is>
      </c>
      <c r="G8052" t="n">
        <v>2.5</v>
      </c>
      <c r="H8052" t="n">
        <v>0</v>
      </c>
      <c r="I8052" t="n">
        <v>0</v>
      </c>
      <c r="J8052" t="n">
        <v>0</v>
      </c>
      <c r="K8052" t="n">
        <v>0</v>
      </c>
      <c r="L8052" t="n">
        <v>0</v>
      </c>
      <c r="M8052" t="n">
        <v>0</v>
      </c>
      <c r="N8052" t="n">
        <v>0</v>
      </c>
      <c r="O8052" t="n">
        <v>0</v>
      </c>
      <c r="P8052" t="n">
        <v>0</v>
      </c>
      <c r="Q8052" t="n">
        <v>0</v>
      </c>
      <c r="R8052" s="2" t="inlineStr"/>
    </row>
    <row r="8053" ht="15" customHeight="1">
      <c r="A8053" t="inlineStr">
        <is>
          <t>A 50068-2022</t>
        </is>
      </c>
      <c r="B8053" s="1" t="n">
        <v>44865</v>
      </c>
      <c r="C8053" s="1" t="n">
        <v>45810</v>
      </c>
      <c r="D8053" t="inlineStr">
        <is>
          <t>VÄRMLANDS LÄN</t>
        </is>
      </c>
      <c r="E8053" t="inlineStr">
        <is>
          <t>FORSHAGA</t>
        </is>
      </c>
      <c r="G8053" t="n">
        <v>2.4</v>
      </c>
      <c r="H8053" t="n">
        <v>0</v>
      </c>
      <c r="I8053" t="n">
        <v>0</v>
      </c>
      <c r="J8053" t="n">
        <v>0</v>
      </c>
      <c r="K8053" t="n">
        <v>0</v>
      </c>
      <c r="L8053" t="n">
        <v>0</v>
      </c>
      <c r="M8053" t="n">
        <v>0</v>
      </c>
      <c r="N8053" t="n">
        <v>0</v>
      </c>
      <c r="O8053" t="n">
        <v>0</v>
      </c>
      <c r="P8053" t="n">
        <v>0</v>
      </c>
      <c r="Q8053" t="n">
        <v>0</v>
      </c>
      <c r="R8053" s="2" t="inlineStr"/>
    </row>
    <row r="8054" ht="15" customHeight="1">
      <c r="A8054" t="inlineStr">
        <is>
          <t>A 49959-2022</t>
        </is>
      </c>
      <c r="B8054" s="1" t="n">
        <v>44865</v>
      </c>
      <c r="C8054" s="1" t="n">
        <v>45810</v>
      </c>
      <c r="D8054" t="inlineStr">
        <is>
          <t>VÄRMLANDS LÄN</t>
        </is>
      </c>
      <c r="E8054" t="inlineStr">
        <is>
          <t>TORSBY</t>
        </is>
      </c>
      <c r="G8054" t="n">
        <v>0.5</v>
      </c>
      <c r="H8054" t="n">
        <v>0</v>
      </c>
      <c r="I8054" t="n">
        <v>0</v>
      </c>
      <c r="J8054" t="n">
        <v>0</v>
      </c>
      <c r="K8054" t="n">
        <v>0</v>
      </c>
      <c r="L8054" t="n">
        <v>0</v>
      </c>
      <c r="M8054" t="n">
        <v>0</v>
      </c>
      <c r="N8054" t="n">
        <v>0</v>
      </c>
      <c r="O8054" t="n">
        <v>0</v>
      </c>
      <c r="P8054" t="n">
        <v>0</v>
      </c>
      <c r="Q8054" t="n">
        <v>0</v>
      </c>
      <c r="R8054" s="2" t="inlineStr"/>
    </row>
    <row r="8055" ht="15" customHeight="1">
      <c r="A8055" t="inlineStr">
        <is>
          <t>A 50025-2022</t>
        </is>
      </c>
      <c r="B8055" s="1" t="n">
        <v>44865</v>
      </c>
      <c r="C8055" s="1" t="n">
        <v>45810</v>
      </c>
      <c r="D8055" t="inlineStr">
        <is>
          <t>VÄRMLANDS LÄN</t>
        </is>
      </c>
      <c r="E8055" t="inlineStr">
        <is>
          <t>ÅRJÄNG</t>
        </is>
      </c>
      <c r="G8055" t="n">
        <v>7.2</v>
      </c>
      <c r="H8055" t="n">
        <v>0</v>
      </c>
      <c r="I8055" t="n">
        <v>0</v>
      </c>
      <c r="J8055" t="n">
        <v>0</v>
      </c>
      <c r="K8055" t="n">
        <v>0</v>
      </c>
      <c r="L8055" t="n">
        <v>0</v>
      </c>
      <c r="M8055" t="n">
        <v>0</v>
      </c>
      <c r="N8055" t="n">
        <v>0</v>
      </c>
      <c r="O8055" t="n">
        <v>0</v>
      </c>
      <c r="P8055" t="n">
        <v>0</v>
      </c>
      <c r="Q8055" t="n">
        <v>0</v>
      </c>
      <c r="R8055" s="2" t="inlineStr"/>
    </row>
    <row r="8056" ht="15" customHeight="1">
      <c r="A8056" t="inlineStr">
        <is>
          <t>A 50044-2022</t>
        </is>
      </c>
      <c r="B8056" s="1" t="n">
        <v>44865</v>
      </c>
      <c r="C8056" s="1" t="n">
        <v>45810</v>
      </c>
      <c r="D8056" t="inlineStr">
        <is>
          <t>VÄRMLANDS LÄN</t>
        </is>
      </c>
      <c r="E8056" t="inlineStr">
        <is>
          <t>ÅRJÄNG</t>
        </is>
      </c>
      <c r="F8056" t="inlineStr">
        <is>
          <t>Bergvik skog väst AB</t>
        </is>
      </c>
      <c r="G8056" t="n">
        <v>2.2</v>
      </c>
      <c r="H8056" t="n">
        <v>0</v>
      </c>
      <c r="I8056" t="n">
        <v>0</v>
      </c>
      <c r="J8056" t="n">
        <v>0</v>
      </c>
      <c r="K8056" t="n">
        <v>0</v>
      </c>
      <c r="L8056" t="n">
        <v>0</v>
      </c>
      <c r="M8056" t="n">
        <v>0</v>
      </c>
      <c r="N8056" t="n">
        <v>0</v>
      </c>
      <c r="O8056" t="n">
        <v>0</v>
      </c>
      <c r="P8056" t="n">
        <v>0</v>
      </c>
      <c r="Q8056" t="n">
        <v>0</v>
      </c>
      <c r="R8056" s="2" t="inlineStr"/>
    </row>
    <row r="8057" ht="15" customHeight="1">
      <c r="A8057" t="inlineStr">
        <is>
          <t>A 50106-2022</t>
        </is>
      </c>
      <c r="B8057" s="1" t="n">
        <v>44865</v>
      </c>
      <c r="C8057" s="1" t="n">
        <v>45810</v>
      </c>
      <c r="D8057" t="inlineStr">
        <is>
          <t>VÄRMLANDS LÄN</t>
        </is>
      </c>
      <c r="E8057" t="inlineStr">
        <is>
          <t>EDA</t>
        </is>
      </c>
      <c r="G8057" t="n">
        <v>2.6</v>
      </c>
      <c r="H8057" t="n">
        <v>0</v>
      </c>
      <c r="I8057" t="n">
        <v>0</v>
      </c>
      <c r="J8057" t="n">
        <v>0</v>
      </c>
      <c r="K8057" t="n">
        <v>0</v>
      </c>
      <c r="L8057" t="n">
        <v>0</v>
      </c>
      <c r="M8057" t="n">
        <v>0</v>
      </c>
      <c r="N8057" t="n">
        <v>0</v>
      </c>
      <c r="O8057" t="n">
        <v>0</v>
      </c>
      <c r="P8057" t="n">
        <v>0</v>
      </c>
      <c r="Q8057" t="n">
        <v>0</v>
      </c>
      <c r="R8057" s="2" t="inlineStr"/>
    </row>
    <row r="8058" ht="15" customHeight="1">
      <c r="A8058" t="inlineStr">
        <is>
          <t>A 50199-2022</t>
        </is>
      </c>
      <c r="B8058" s="1" t="n">
        <v>44865</v>
      </c>
      <c r="C8058" s="1" t="n">
        <v>45810</v>
      </c>
      <c r="D8058" t="inlineStr">
        <is>
          <t>VÄRMLANDS LÄN</t>
        </is>
      </c>
      <c r="E8058" t="inlineStr">
        <is>
          <t>HAGFORS</t>
        </is>
      </c>
      <c r="F8058" t="inlineStr">
        <is>
          <t>Bergvik skog väst AB</t>
        </is>
      </c>
      <c r="G8058" t="n">
        <v>33.2</v>
      </c>
      <c r="H8058" t="n">
        <v>0</v>
      </c>
      <c r="I8058" t="n">
        <v>0</v>
      </c>
      <c r="J8058" t="n">
        <v>0</v>
      </c>
      <c r="K8058" t="n">
        <v>0</v>
      </c>
      <c r="L8058" t="n">
        <v>0</v>
      </c>
      <c r="M8058" t="n">
        <v>0</v>
      </c>
      <c r="N8058" t="n">
        <v>0</v>
      </c>
      <c r="O8058" t="n">
        <v>0</v>
      </c>
      <c r="P8058" t="n">
        <v>0</v>
      </c>
      <c r="Q8058" t="n">
        <v>0</v>
      </c>
      <c r="R8058" s="2" t="inlineStr"/>
    </row>
    <row r="8059" ht="15" customHeight="1">
      <c r="A8059" t="inlineStr">
        <is>
          <t>A 49949-2022</t>
        </is>
      </c>
      <c r="B8059" s="1" t="n">
        <v>44865</v>
      </c>
      <c r="C8059" s="1" t="n">
        <v>45810</v>
      </c>
      <c r="D8059" t="inlineStr">
        <is>
          <t>VÄRMLANDS LÄN</t>
        </is>
      </c>
      <c r="E8059" t="inlineStr">
        <is>
          <t>ÅRJÄNG</t>
        </is>
      </c>
      <c r="F8059" t="inlineStr">
        <is>
          <t>Bergvik skog väst AB</t>
        </is>
      </c>
      <c r="G8059" t="n">
        <v>2</v>
      </c>
      <c r="H8059" t="n">
        <v>0</v>
      </c>
      <c r="I8059" t="n">
        <v>0</v>
      </c>
      <c r="J8059" t="n">
        <v>0</v>
      </c>
      <c r="K8059" t="n">
        <v>0</v>
      </c>
      <c r="L8059" t="n">
        <v>0</v>
      </c>
      <c r="M8059" t="n">
        <v>0</v>
      </c>
      <c r="N8059" t="n">
        <v>0</v>
      </c>
      <c r="O8059" t="n">
        <v>0</v>
      </c>
      <c r="P8059" t="n">
        <v>0</v>
      </c>
      <c r="Q8059" t="n">
        <v>0</v>
      </c>
      <c r="R8059" s="2" t="inlineStr"/>
    </row>
    <row r="8060" ht="15" customHeight="1">
      <c r="A8060" t="inlineStr">
        <is>
          <t>A 50263-2022</t>
        </is>
      </c>
      <c r="B8060" s="1" t="n">
        <v>44865</v>
      </c>
      <c r="C8060" s="1" t="n">
        <v>45810</v>
      </c>
      <c r="D8060" t="inlineStr">
        <is>
          <t>VÄRMLANDS LÄN</t>
        </is>
      </c>
      <c r="E8060" t="inlineStr">
        <is>
          <t>ARVIKA</t>
        </is>
      </c>
      <c r="G8060" t="n">
        <v>2</v>
      </c>
      <c r="H8060" t="n">
        <v>0</v>
      </c>
      <c r="I8060" t="n">
        <v>0</v>
      </c>
      <c r="J8060" t="n">
        <v>0</v>
      </c>
      <c r="K8060" t="n">
        <v>0</v>
      </c>
      <c r="L8060" t="n">
        <v>0</v>
      </c>
      <c r="M8060" t="n">
        <v>0</v>
      </c>
      <c r="N8060" t="n">
        <v>0</v>
      </c>
      <c r="O8060" t="n">
        <v>0</v>
      </c>
      <c r="P8060" t="n">
        <v>0</v>
      </c>
      <c r="Q8060" t="n">
        <v>0</v>
      </c>
      <c r="R8060" s="2" t="inlineStr"/>
    </row>
    <row r="8061" ht="15" customHeight="1">
      <c r="A8061" t="inlineStr">
        <is>
          <t>A 50280-2022</t>
        </is>
      </c>
      <c r="B8061" s="1" t="n">
        <v>44865</v>
      </c>
      <c r="C8061" s="1" t="n">
        <v>45810</v>
      </c>
      <c r="D8061" t="inlineStr">
        <is>
          <t>VÄRMLANDS LÄN</t>
        </is>
      </c>
      <c r="E8061" t="inlineStr">
        <is>
          <t>TORSBY</t>
        </is>
      </c>
      <c r="F8061" t="inlineStr">
        <is>
          <t>Bergvik skog väst AB</t>
        </is>
      </c>
      <c r="G8061" t="n">
        <v>4.7</v>
      </c>
      <c r="H8061" t="n">
        <v>0</v>
      </c>
      <c r="I8061" t="n">
        <v>0</v>
      </c>
      <c r="J8061" t="n">
        <v>0</v>
      </c>
      <c r="K8061" t="n">
        <v>0</v>
      </c>
      <c r="L8061" t="n">
        <v>0</v>
      </c>
      <c r="M8061" t="n">
        <v>0</v>
      </c>
      <c r="N8061" t="n">
        <v>0</v>
      </c>
      <c r="O8061" t="n">
        <v>0</v>
      </c>
      <c r="P8061" t="n">
        <v>0</v>
      </c>
      <c r="Q8061" t="n">
        <v>0</v>
      </c>
      <c r="R8061" s="2" t="inlineStr"/>
    </row>
    <row r="8062" ht="15" customHeight="1">
      <c r="A8062" t="inlineStr">
        <is>
          <t>A 50417-2022</t>
        </is>
      </c>
      <c r="B8062" s="1" t="n">
        <v>44866</v>
      </c>
      <c r="C8062" s="1" t="n">
        <v>45810</v>
      </c>
      <c r="D8062" t="inlineStr">
        <is>
          <t>VÄRMLANDS LÄN</t>
        </is>
      </c>
      <c r="E8062" t="inlineStr">
        <is>
          <t>TORSBY</t>
        </is>
      </c>
      <c r="G8062" t="n">
        <v>2.2</v>
      </c>
      <c r="H8062" t="n">
        <v>0</v>
      </c>
      <c r="I8062" t="n">
        <v>0</v>
      </c>
      <c r="J8062" t="n">
        <v>0</v>
      </c>
      <c r="K8062" t="n">
        <v>0</v>
      </c>
      <c r="L8062" t="n">
        <v>0</v>
      </c>
      <c r="M8062" t="n">
        <v>0</v>
      </c>
      <c r="N8062" t="n">
        <v>0</v>
      </c>
      <c r="O8062" t="n">
        <v>0</v>
      </c>
      <c r="P8062" t="n">
        <v>0</v>
      </c>
      <c r="Q8062" t="n">
        <v>0</v>
      </c>
      <c r="R8062" s="2" t="inlineStr"/>
    </row>
    <row r="8063" ht="15" customHeight="1">
      <c r="A8063" t="inlineStr">
        <is>
          <t>A 50436-2022</t>
        </is>
      </c>
      <c r="B8063" s="1" t="n">
        <v>44866</v>
      </c>
      <c r="C8063" s="1" t="n">
        <v>45810</v>
      </c>
      <c r="D8063" t="inlineStr">
        <is>
          <t>VÄRMLANDS LÄN</t>
        </is>
      </c>
      <c r="E8063" t="inlineStr">
        <is>
          <t>TORSBY</t>
        </is>
      </c>
      <c r="G8063" t="n">
        <v>1.1</v>
      </c>
      <c r="H8063" t="n">
        <v>0</v>
      </c>
      <c r="I8063" t="n">
        <v>0</v>
      </c>
      <c r="J8063" t="n">
        <v>0</v>
      </c>
      <c r="K8063" t="n">
        <v>0</v>
      </c>
      <c r="L8063" t="n">
        <v>0</v>
      </c>
      <c r="M8063" t="n">
        <v>0</v>
      </c>
      <c r="N8063" t="n">
        <v>0</v>
      </c>
      <c r="O8063" t="n">
        <v>0</v>
      </c>
      <c r="P8063" t="n">
        <v>0</v>
      </c>
      <c r="Q8063" t="n">
        <v>0</v>
      </c>
      <c r="R8063" s="2" t="inlineStr"/>
    </row>
    <row r="8064" ht="15" customHeight="1">
      <c r="A8064" t="inlineStr">
        <is>
          <t>A 50434-2022</t>
        </is>
      </c>
      <c r="B8064" s="1" t="n">
        <v>44866</v>
      </c>
      <c r="C8064" s="1" t="n">
        <v>45810</v>
      </c>
      <c r="D8064" t="inlineStr">
        <is>
          <t>VÄRMLANDS LÄN</t>
        </is>
      </c>
      <c r="E8064" t="inlineStr">
        <is>
          <t>TORSBY</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50560-2022</t>
        </is>
      </c>
      <c r="B8065" s="1" t="n">
        <v>44866</v>
      </c>
      <c r="C8065" s="1" t="n">
        <v>45810</v>
      </c>
      <c r="D8065" t="inlineStr">
        <is>
          <t>VÄRMLANDS LÄN</t>
        </is>
      </c>
      <c r="E8065" t="inlineStr">
        <is>
          <t>ARVIKA</t>
        </is>
      </c>
      <c r="G8065" t="n">
        <v>2</v>
      </c>
      <c r="H8065" t="n">
        <v>0</v>
      </c>
      <c r="I8065" t="n">
        <v>0</v>
      </c>
      <c r="J8065" t="n">
        <v>0</v>
      </c>
      <c r="K8065" t="n">
        <v>0</v>
      </c>
      <c r="L8065" t="n">
        <v>0</v>
      </c>
      <c r="M8065" t="n">
        <v>0</v>
      </c>
      <c r="N8065" t="n">
        <v>0</v>
      </c>
      <c r="O8065" t="n">
        <v>0</v>
      </c>
      <c r="P8065" t="n">
        <v>0</v>
      </c>
      <c r="Q8065" t="n">
        <v>0</v>
      </c>
      <c r="R8065" s="2" t="inlineStr"/>
    </row>
    <row r="8066" ht="15" customHeight="1">
      <c r="A8066" t="inlineStr">
        <is>
          <t>A 50584-2022</t>
        </is>
      </c>
      <c r="B8066" s="1" t="n">
        <v>44866</v>
      </c>
      <c r="C8066" s="1" t="n">
        <v>45810</v>
      </c>
      <c r="D8066" t="inlineStr">
        <is>
          <t>VÄRMLANDS LÄN</t>
        </is>
      </c>
      <c r="E8066" t="inlineStr">
        <is>
          <t>ARVIKA</t>
        </is>
      </c>
      <c r="F8066" t="inlineStr">
        <is>
          <t>Bergvik skog väst AB</t>
        </is>
      </c>
      <c r="G8066" t="n">
        <v>5.8</v>
      </c>
      <c r="H8066" t="n">
        <v>0</v>
      </c>
      <c r="I8066" t="n">
        <v>0</v>
      </c>
      <c r="J8066" t="n">
        <v>0</v>
      </c>
      <c r="K8066" t="n">
        <v>0</v>
      </c>
      <c r="L8066" t="n">
        <v>0</v>
      </c>
      <c r="M8066" t="n">
        <v>0</v>
      </c>
      <c r="N8066" t="n">
        <v>0</v>
      </c>
      <c r="O8066" t="n">
        <v>0</v>
      </c>
      <c r="P8066" t="n">
        <v>0</v>
      </c>
      <c r="Q8066" t="n">
        <v>0</v>
      </c>
      <c r="R8066" s="2" t="inlineStr"/>
    </row>
    <row r="8067" ht="15" customHeight="1">
      <c r="A8067" t="inlineStr">
        <is>
          <t>A 51350-2022</t>
        </is>
      </c>
      <c r="B8067" s="1" t="n">
        <v>44866</v>
      </c>
      <c r="C8067" s="1" t="n">
        <v>45810</v>
      </c>
      <c r="D8067" t="inlineStr">
        <is>
          <t>VÄRMLANDS LÄN</t>
        </is>
      </c>
      <c r="E8067" t="inlineStr">
        <is>
          <t>SÄFFLE</t>
        </is>
      </c>
      <c r="G8067" t="n">
        <v>3.2</v>
      </c>
      <c r="H8067" t="n">
        <v>0</v>
      </c>
      <c r="I8067" t="n">
        <v>0</v>
      </c>
      <c r="J8067" t="n">
        <v>0</v>
      </c>
      <c r="K8067" t="n">
        <v>0</v>
      </c>
      <c r="L8067" t="n">
        <v>0</v>
      </c>
      <c r="M8067" t="n">
        <v>0</v>
      </c>
      <c r="N8067" t="n">
        <v>0</v>
      </c>
      <c r="O8067" t="n">
        <v>0</v>
      </c>
      <c r="P8067" t="n">
        <v>0</v>
      </c>
      <c r="Q8067" t="n">
        <v>0</v>
      </c>
      <c r="R8067" s="2" t="inlineStr"/>
    </row>
    <row r="8068" ht="15" customHeight="1">
      <c r="A8068" t="inlineStr">
        <is>
          <t>A 50953-2022</t>
        </is>
      </c>
      <c r="B8068" s="1" t="n">
        <v>44866</v>
      </c>
      <c r="C8068" s="1" t="n">
        <v>45810</v>
      </c>
      <c r="D8068" t="inlineStr">
        <is>
          <t>VÄRMLANDS LÄN</t>
        </is>
      </c>
      <c r="E8068" t="inlineStr">
        <is>
          <t>TORSBY</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50856-2022</t>
        </is>
      </c>
      <c r="B8069" s="1" t="n">
        <v>44867</v>
      </c>
      <c r="C8069" s="1" t="n">
        <v>45810</v>
      </c>
      <c r="D8069" t="inlineStr">
        <is>
          <t>VÄRMLANDS LÄN</t>
        </is>
      </c>
      <c r="E8069" t="inlineStr">
        <is>
          <t>FILIPSTAD</t>
        </is>
      </c>
      <c r="F8069" t="inlineStr">
        <is>
          <t>Bergvik skog väst AB</t>
        </is>
      </c>
      <c r="G8069" t="n">
        <v>3.5</v>
      </c>
      <c r="H8069" t="n">
        <v>0</v>
      </c>
      <c r="I8069" t="n">
        <v>0</v>
      </c>
      <c r="J8069" t="n">
        <v>0</v>
      </c>
      <c r="K8069" t="n">
        <v>0</v>
      </c>
      <c r="L8069" t="n">
        <v>0</v>
      </c>
      <c r="M8069" t="n">
        <v>0</v>
      </c>
      <c r="N8069" t="n">
        <v>0</v>
      </c>
      <c r="O8069" t="n">
        <v>0</v>
      </c>
      <c r="P8069" t="n">
        <v>0</v>
      </c>
      <c r="Q8069" t="n">
        <v>0</v>
      </c>
      <c r="R8069" s="2" t="inlineStr"/>
    </row>
    <row r="8070" ht="15" customHeight="1">
      <c r="A8070" t="inlineStr">
        <is>
          <t>A 50789-2022</t>
        </is>
      </c>
      <c r="B8070" s="1" t="n">
        <v>44867</v>
      </c>
      <c r="C8070" s="1" t="n">
        <v>45810</v>
      </c>
      <c r="D8070" t="inlineStr">
        <is>
          <t>VÄRMLANDS LÄN</t>
        </is>
      </c>
      <c r="E8070" t="inlineStr">
        <is>
          <t>TORSBY</t>
        </is>
      </c>
      <c r="G8070" t="n">
        <v>9.1</v>
      </c>
      <c r="H8070" t="n">
        <v>0</v>
      </c>
      <c r="I8070" t="n">
        <v>0</v>
      </c>
      <c r="J8070" t="n">
        <v>0</v>
      </c>
      <c r="K8070" t="n">
        <v>0</v>
      </c>
      <c r="L8070" t="n">
        <v>0</v>
      </c>
      <c r="M8070" t="n">
        <v>0</v>
      </c>
      <c r="N8070" t="n">
        <v>0</v>
      </c>
      <c r="O8070" t="n">
        <v>0</v>
      </c>
      <c r="P8070" t="n">
        <v>0</v>
      </c>
      <c r="Q8070" t="n">
        <v>0</v>
      </c>
      <c r="R8070" s="2" t="inlineStr"/>
    </row>
    <row r="8071" ht="15" customHeight="1">
      <c r="A8071" t="inlineStr">
        <is>
          <t>A 50803-2022</t>
        </is>
      </c>
      <c r="B8071" s="1" t="n">
        <v>44867</v>
      </c>
      <c r="C8071" s="1" t="n">
        <v>45810</v>
      </c>
      <c r="D8071" t="inlineStr">
        <is>
          <t>VÄRMLANDS LÄN</t>
        </is>
      </c>
      <c r="E8071" t="inlineStr">
        <is>
          <t>KARLSTAD</t>
        </is>
      </c>
      <c r="G8071" t="n">
        <v>2.8</v>
      </c>
      <c r="H8071" t="n">
        <v>0</v>
      </c>
      <c r="I8071" t="n">
        <v>0</v>
      </c>
      <c r="J8071" t="n">
        <v>0</v>
      </c>
      <c r="K8071" t="n">
        <v>0</v>
      </c>
      <c r="L8071" t="n">
        <v>0</v>
      </c>
      <c r="M8071" t="n">
        <v>0</v>
      </c>
      <c r="N8071" t="n">
        <v>0</v>
      </c>
      <c r="O8071" t="n">
        <v>0</v>
      </c>
      <c r="P8071" t="n">
        <v>0</v>
      </c>
      <c r="Q8071" t="n">
        <v>0</v>
      </c>
      <c r="R8071" s="2" t="inlineStr"/>
    </row>
    <row r="8072" ht="15" customHeight="1">
      <c r="A8072" t="inlineStr">
        <is>
          <t>A 50831-2022</t>
        </is>
      </c>
      <c r="B8072" s="1" t="n">
        <v>44867</v>
      </c>
      <c r="C8072" s="1" t="n">
        <v>45810</v>
      </c>
      <c r="D8072" t="inlineStr">
        <is>
          <t>VÄRMLANDS LÄN</t>
        </is>
      </c>
      <c r="E8072" t="inlineStr">
        <is>
          <t>EDA</t>
        </is>
      </c>
      <c r="G8072" t="n">
        <v>1</v>
      </c>
      <c r="H8072" t="n">
        <v>0</v>
      </c>
      <c r="I8072" t="n">
        <v>0</v>
      </c>
      <c r="J8072" t="n">
        <v>0</v>
      </c>
      <c r="K8072" t="n">
        <v>0</v>
      </c>
      <c r="L8072" t="n">
        <v>0</v>
      </c>
      <c r="M8072" t="n">
        <v>0</v>
      </c>
      <c r="N8072" t="n">
        <v>0</v>
      </c>
      <c r="O8072" t="n">
        <v>0</v>
      </c>
      <c r="P8072" t="n">
        <v>0</v>
      </c>
      <c r="Q8072" t="n">
        <v>0</v>
      </c>
      <c r="R8072" s="2" t="inlineStr"/>
    </row>
    <row r="8073" ht="15" customHeight="1">
      <c r="A8073" t="inlineStr">
        <is>
          <t>A 50764-2022</t>
        </is>
      </c>
      <c r="B8073" s="1" t="n">
        <v>44867</v>
      </c>
      <c r="C8073" s="1" t="n">
        <v>45810</v>
      </c>
      <c r="D8073" t="inlineStr">
        <is>
          <t>VÄRMLANDS LÄN</t>
        </is>
      </c>
      <c r="E8073" t="inlineStr">
        <is>
          <t>ARVIKA</t>
        </is>
      </c>
      <c r="G8073" t="n">
        <v>5.7</v>
      </c>
      <c r="H8073" t="n">
        <v>0</v>
      </c>
      <c r="I8073" t="n">
        <v>0</v>
      </c>
      <c r="J8073" t="n">
        <v>0</v>
      </c>
      <c r="K8073" t="n">
        <v>0</v>
      </c>
      <c r="L8073" t="n">
        <v>0</v>
      </c>
      <c r="M8073" t="n">
        <v>0</v>
      </c>
      <c r="N8073" t="n">
        <v>0</v>
      </c>
      <c r="O8073" t="n">
        <v>0</v>
      </c>
      <c r="P8073" t="n">
        <v>0</v>
      </c>
      <c r="Q8073" t="n">
        <v>0</v>
      </c>
      <c r="R8073" s="2" t="inlineStr"/>
    </row>
    <row r="8074" ht="15" customHeight="1">
      <c r="A8074" t="inlineStr">
        <is>
          <t>A 50956-2022</t>
        </is>
      </c>
      <c r="B8074" s="1" t="n">
        <v>44867</v>
      </c>
      <c r="C8074" s="1" t="n">
        <v>45810</v>
      </c>
      <c r="D8074" t="inlineStr">
        <is>
          <t>VÄRMLANDS LÄN</t>
        </is>
      </c>
      <c r="E8074" t="inlineStr">
        <is>
          <t>SÄFFLE</t>
        </is>
      </c>
      <c r="F8074" t="inlineStr">
        <is>
          <t>Kyrkan</t>
        </is>
      </c>
      <c r="G8074" t="n">
        <v>49.2</v>
      </c>
      <c r="H8074" t="n">
        <v>0</v>
      </c>
      <c r="I8074" t="n">
        <v>0</v>
      </c>
      <c r="J8074" t="n">
        <v>0</v>
      </c>
      <c r="K8074" t="n">
        <v>0</v>
      </c>
      <c r="L8074" t="n">
        <v>0</v>
      </c>
      <c r="M8074" t="n">
        <v>0</v>
      </c>
      <c r="N8074" t="n">
        <v>0</v>
      </c>
      <c r="O8074" t="n">
        <v>0</v>
      </c>
      <c r="P8074" t="n">
        <v>0</v>
      </c>
      <c r="Q8074" t="n">
        <v>0</v>
      </c>
      <c r="R8074" s="2" t="inlineStr"/>
    </row>
    <row r="8075" ht="15" customHeight="1">
      <c r="A8075" t="inlineStr">
        <is>
          <t>A 51124-2022</t>
        </is>
      </c>
      <c r="B8075" s="1" t="n">
        <v>44868</v>
      </c>
      <c r="C8075" s="1" t="n">
        <v>45810</v>
      </c>
      <c r="D8075" t="inlineStr">
        <is>
          <t>VÄRMLANDS LÄN</t>
        </is>
      </c>
      <c r="E8075" t="inlineStr">
        <is>
          <t>TORSBY</t>
        </is>
      </c>
      <c r="G8075" t="n">
        <v>2.3</v>
      </c>
      <c r="H8075" t="n">
        <v>0</v>
      </c>
      <c r="I8075" t="n">
        <v>0</v>
      </c>
      <c r="J8075" t="n">
        <v>0</v>
      </c>
      <c r="K8075" t="n">
        <v>0</v>
      </c>
      <c r="L8075" t="n">
        <v>0</v>
      </c>
      <c r="M8075" t="n">
        <v>0</v>
      </c>
      <c r="N8075" t="n">
        <v>0</v>
      </c>
      <c r="O8075" t="n">
        <v>0</v>
      </c>
      <c r="P8075" t="n">
        <v>0</v>
      </c>
      <c r="Q8075" t="n">
        <v>0</v>
      </c>
      <c r="R8075" s="2" t="inlineStr"/>
    </row>
    <row r="8076" ht="15" customHeight="1">
      <c r="A8076" t="inlineStr">
        <is>
          <t>A 51059-2022</t>
        </is>
      </c>
      <c r="B8076" s="1" t="n">
        <v>44868</v>
      </c>
      <c r="C8076" s="1" t="n">
        <v>45810</v>
      </c>
      <c r="D8076" t="inlineStr">
        <is>
          <t>VÄRMLANDS LÄN</t>
        </is>
      </c>
      <c r="E8076" t="inlineStr">
        <is>
          <t>HAGFORS</t>
        </is>
      </c>
      <c r="F8076" t="inlineStr">
        <is>
          <t>Bergvik skog väst AB</t>
        </is>
      </c>
      <c r="G8076" t="n">
        <v>2.3</v>
      </c>
      <c r="H8076" t="n">
        <v>0</v>
      </c>
      <c r="I8076" t="n">
        <v>0</v>
      </c>
      <c r="J8076" t="n">
        <v>0</v>
      </c>
      <c r="K8076" t="n">
        <v>0</v>
      </c>
      <c r="L8076" t="n">
        <v>0</v>
      </c>
      <c r="M8076" t="n">
        <v>0</v>
      </c>
      <c r="N8076" t="n">
        <v>0</v>
      </c>
      <c r="O8076" t="n">
        <v>0</v>
      </c>
      <c r="P8076" t="n">
        <v>0</v>
      </c>
      <c r="Q8076" t="n">
        <v>0</v>
      </c>
      <c r="R8076" s="2" t="inlineStr"/>
    </row>
    <row r="8077" ht="15" customHeight="1">
      <c r="A8077" t="inlineStr">
        <is>
          <t>A 51052-2022</t>
        </is>
      </c>
      <c r="B8077" s="1" t="n">
        <v>44868</v>
      </c>
      <c r="C8077" s="1" t="n">
        <v>45810</v>
      </c>
      <c r="D8077" t="inlineStr">
        <is>
          <t>VÄRMLANDS LÄN</t>
        </is>
      </c>
      <c r="E8077" t="inlineStr">
        <is>
          <t>SÄFFLE</t>
        </is>
      </c>
      <c r="G8077" t="n">
        <v>0.1</v>
      </c>
      <c r="H8077" t="n">
        <v>0</v>
      </c>
      <c r="I8077" t="n">
        <v>0</v>
      </c>
      <c r="J8077" t="n">
        <v>0</v>
      </c>
      <c r="K8077" t="n">
        <v>0</v>
      </c>
      <c r="L8077" t="n">
        <v>0</v>
      </c>
      <c r="M8077" t="n">
        <v>0</v>
      </c>
      <c r="N8077" t="n">
        <v>0</v>
      </c>
      <c r="O8077" t="n">
        <v>0</v>
      </c>
      <c r="P8077" t="n">
        <v>0</v>
      </c>
      <c r="Q8077" t="n">
        <v>0</v>
      </c>
      <c r="R8077" s="2" t="inlineStr"/>
    </row>
    <row r="8078" ht="15" customHeight="1">
      <c r="A8078" t="inlineStr">
        <is>
          <t>A 51101-2022</t>
        </is>
      </c>
      <c r="B8078" s="1" t="n">
        <v>44868</v>
      </c>
      <c r="C8078" s="1" t="n">
        <v>45810</v>
      </c>
      <c r="D8078" t="inlineStr">
        <is>
          <t>VÄRMLANDS LÄN</t>
        </is>
      </c>
      <c r="E8078" t="inlineStr">
        <is>
          <t>EDA</t>
        </is>
      </c>
      <c r="G8078" t="n">
        <v>9.9</v>
      </c>
      <c r="H8078" t="n">
        <v>0</v>
      </c>
      <c r="I8078" t="n">
        <v>0</v>
      </c>
      <c r="J8078" t="n">
        <v>0</v>
      </c>
      <c r="K8078" t="n">
        <v>0</v>
      </c>
      <c r="L8078" t="n">
        <v>0</v>
      </c>
      <c r="M8078" t="n">
        <v>0</v>
      </c>
      <c r="N8078" t="n">
        <v>0</v>
      </c>
      <c r="O8078" t="n">
        <v>0</v>
      </c>
      <c r="P8078" t="n">
        <v>0</v>
      </c>
      <c r="Q8078" t="n">
        <v>0</v>
      </c>
      <c r="R8078" s="2" t="inlineStr"/>
    </row>
    <row r="8079" ht="15" customHeight="1">
      <c r="A8079" t="inlineStr">
        <is>
          <t>A 51109-2022</t>
        </is>
      </c>
      <c r="B8079" s="1" t="n">
        <v>44868</v>
      </c>
      <c r="C8079" s="1" t="n">
        <v>45810</v>
      </c>
      <c r="D8079" t="inlineStr">
        <is>
          <t>VÄRMLANDS LÄN</t>
        </is>
      </c>
      <c r="E8079" t="inlineStr">
        <is>
          <t>ÅRJÄNG</t>
        </is>
      </c>
      <c r="G8079" t="n">
        <v>4.3</v>
      </c>
      <c r="H8079" t="n">
        <v>0</v>
      </c>
      <c r="I8079" t="n">
        <v>0</v>
      </c>
      <c r="J8079" t="n">
        <v>0</v>
      </c>
      <c r="K8079" t="n">
        <v>0</v>
      </c>
      <c r="L8079" t="n">
        <v>0</v>
      </c>
      <c r="M8079" t="n">
        <v>0</v>
      </c>
      <c r="N8079" t="n">
        <v>0</v>
      </c>
      <c r="O8079" t="n">
        <v>0</v>
      </c>
      <c r="P8079" t="n">
        <v>0</v>
      </c>
      <c r="Q8079" t="n">
        <v>0</v>
      </c>
      <c r="R8079" s="2" t="inlineStr"/>
    </row>
    <row r="8080" ht="15" customHeight="1">
      <c r="A8080" t="inlineStr">
        <is>
          <t>A 51105-2022</t>
        </is>
      </c>
      <c r="B8080" s="1" t="n">
        <v>44868</v>
      </c>
      <c r="C8080" s="1" t="n">
        <v>45810</v>
      </c>
      <c r="D8080" t="inlineStr">
        <is>
          <t>VÄRMLANDS LÄN</t>
        </is>
      </c>
      <c r="E8080" t="inlineStr">
        <is>
          <t>HAGFORS</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51113-2022</t>
        </is>
      </c>
      <c r="B8081" s="1" t="n">
        <v>44868</v>
      </c>
      <c r="C8081" s="1" t="n">
        <v>45810</v>
      </c>
      <c r="D8081" t="inlineStr">
        <is>
          <t>VÄRMLANDS LÄN</t>
        </is>
      </c>
      <c r="E8081" t="inlineStr">
        <is>
          <t>SÄFFLE</t>
        </is>
      </c>
      <c r="G8081" t="n">
        <v>0.6</v>
      </c>
      <c r="H8081" t="n">
        <v>0</v>
      </c>
      <c r="I8081" t="n">
        <v>0</v>
      </c>
      <c r="J8081" t="n">
        <v>0</v>
      </c>
      <c r="K8081" t="n">
        <v>0</v>
      </c>
      <c r="L8081" t="n">
        <v>0</v>
      </c>
      <c r="M8081" t="n">
        <v>0</v>
      </c>
      <c r="N8081" t="n">
        <v>0</v>
      </c>
      <c r="O8081" t="n">
        <v>0</v>
      </c>
      <c r="P8081" t="n">
        <v>0</v>
      </c>
      <c r="Q8081" t="n">
        <v>0</v>
      </c>
      <c r="R8081" s="2" t="inlineStr"/>
    </row>
    <row r="8082" ht="15" customHeight="1">
      <c r="A8082" t="inlineStr">
        <is>
          <t>A 51188-2022</t>
        </is>
      </c>
      <c r="B8082" s="1" t="n">
        <v>44868</v>
      </c>
      <c r="C8082" s="1" t="n">
        <v>45810</v>
      </c>
      <c r="D8082" t="inlineStr">
        <is>
          <t>VÄRMLANDS LÄN</t>
        </is>
      </c>
      <c r="E8082" t="inlineStr">
        <is>
          <t>FORSHAGA</t>
        </is>
      </c>
      <c r="F8082" t="inlineStr">
        <is>
          <t>Bergvik skog väst AB</t>
        </is>
      </c>
      <c r="G8082" t="n">
        <v>3.6</v>
      </c>
      <c r="H8082" t="n">
        <v>0</v>
      </c>
      <c r="I8082" t="n">
        <v>0</v>
      </c>
      <c r="J8082" t="n">
        <v>0</v>
      </c>
      <c r="K8082" t="n">
        <v>0</v>
      </c>
      <c r="L8082" t="n">
        <v>0</v>
      </c>
      <c r="M8082" t="n">
        <v>0</v>
      </c>
      <c r="N8082" t="n">
        <v>0</v>
      </c>
      <c r="O8082" t="n">
        <v>0</v>
      </c>
      <c r="P8082" t="n">
        <v>0</v>
      </c>
      <c r="Q8082" t="n">
        <v>0</v>
      </c>
      <c r="R8082" s="2" t="inlineStr"/>
    </row>
    <row r="8083" ht="15" customHeight="1">
      <c r="A8083" t="inlineStr">
        <is>
          <t>A 51171-2022</t>
        </is>
      </c>
      <c r="B8083" s="1" t="n">
        <v>44868</v>
      </c>
      <c r="C8083" s="1" t="n">
        <v>45810</v>
      </c>
      <c r="D8083" t="inlineStr">
        <is>
          <t>VÄRMLANDS LÄN</t>
        </is>
      </c>
      <c r="E8083" t="inlineStr">
        <is>
          <t>STORFORS</t>
        </is>
      </c>
      <c r="F8083" t="inlineStr">
        <is>
          <t>Kyrkan</t>
        </is>
      </c>
      <c r="G8083" t="n">
        <v>0.6</v>
      </c>
      <c r="H8083" t="n">
        <v>0</v>
      </c>
      <c r="I8083" t="n">
        <v>0</v>
      </c>
      <c r="J8083" t="n">
        <v>0</v>
      </c>
      <c r="K8083" t="n">
        <v>0</v>
      </c>
      <c r="L8083" t="n">
        <v>0</v>
      </c>
      <c r="M8083" t="n">
        <v>0</v>
      </c>
      <c r="N8083" t="n">
        <v>0</v>
      </c>
      <c r="O8083" t="n">
        <v>0</v>
      </c>
      <c r="P8083" t="n">
        <v>0</v>
      </c>
      <c r="Q8083" t="n">
        <v>0</v>
      </c>
      <c r="R8083" s="2" t="inlineStr"/>
    </row>
    <row r="8084" ht="15" customHeight="1">
      <c r="A8084" t="inlineStr">
        <is>
          <t>A 51194-2022</t>
        </is>
      </c>
      <c r="B8084" s="1" t="n">
        <v>44868</v>
      </c>
      <c r="C8084" s="1" t="n">
        <v>45810</v>
      </c>
      <c r="D8084" t="inlineStr">
        <is>
          <t>VÄRMLANDS LÄN</t>
        </is>
      </c>
      <c r="E8084" t="inlineStr">
        <is>
          <t>HAGFORS</t>
        </is>
      </c>
      <c r="G8084" t="n">
        <v>1.6</v>
      </c>
      <c r="H8084" t="n">
        <v>0</v>
      </c>
      <c r="I8084" t="n">
        <v>0</v>
      </c>
      <c r="J8084" t="n">
        <v>0</v>
      </c>
      <c r="K8084" t="n">
        <v>0</v>
      </c>
      <c r="L8084" t="n">
        <v>0</v>
      </c>
      <c r="M8084" t="n">
        <v>0</v>
      </c>
      <c r="N8084" t="n">
        <v>0</v>
      </c>
      <c r="O8084" t="n">
        <v>0</v>
      </c>
      <c r="P8084" t="n">
        <v>0</v>
      </c>
      <c r="Q8084" t="n">
        <v>0</v>
      </c>
      <c r="R8084" s="2" t="inlineStr"/>
    </row>
    <row r="8085" ht="15" customHeight="1">
      <c r="A8085" t="inlineStr">
        <is>
          <t>A 51241-2022</t>
        </is>
      </c>
      <c r="B8085" s="1" t="n">
        <v>44868</v>
      </c>
      <c r="C8085" s="1" t="n">
        <v>45810</v>
      </c>
      <c r="D8085" t="inlineStr">
        <is>
          <t>VÄRMLANDS LÄN</t>
        </is>
      </c>
      <c r="E8085" t="inlineStr">
        <is>
          <t>KARLSTAD</t>
        </is>
      </c>
      <c r="G8085" t="n">
        <v>16.3</v>
      </c>
      <c r="H8085" t="n">
        <v>0</v>
      </c>
      <c r="I8085" t="n">
        <v>0</v>
      </c>
      <c r="J8085" t="n">
        <v>0</v>
      </c>
      <c r="K8085" t="n">
        <v>0</v>
      </c>
      <c r="L8085" t="n">
        <v>0</v>
      </c>
      <c r="M8085" t="n">
        <v>0</v>
      </c>
      <c r="N8085" t="n">
        <v>0</v>
      </c>
      <c r="O8085" t="n">
        <v>0</v>
      </c>
      <c r="P8085" t="n">
        <v>0</v>
      </c>
      <c r="Q8085" t="n">
        <v>0</v>
      </c>
      <c r="R8085" s="2" t="inlineStr"/>
    </row>
    <row r="8086" ht="15" customHeight="1">
      <c r="A8086" t="inlineStr">
        <is>
          <t>A 51258-2022</t>
        </is>
      </c>
      <c r="B8086" s="1" t="n">
        <v>44868</v>
      </c>
      <c r="C8086" s="1" t="n">
        <v>45810</v>
      </c>
      <c r="D8086" t="inlineStr">
        <is>
          <t>VÄRMLANDS LÄN</t>
        </is>
      </c>
      <c r="E8086" t="inlineStr">
        <is>
          <t>ÅRJÄNG</t>
        </is>
      </c>
      <c r="G8086" t="n">
        <v>2.6</v>
      </c>
      <c r="H8086" t="n">
        <v>0</v>
      </c>
      <c r="I8086" t="n">
        <v>0</v>
      </c>
      <c r="J8086" t="n">
        <v>0</v>
      </c>
      <c r="K8086" t="n">
        <v>0</v>
      </c>
      <c r="L8086" t="n">
        <v>0</v>
      </c>
      <c r="M8086" t="n">
        <v>0</v>
      </c>
      <c r="N8086" t="n">
        <v>0</v>
      </c>
      <c r="O8086" t="n">
        <v>0</v>
      </c>
      <c r="P8086" t="n">
        <v>0</v>
      </c>
      <c r="Q8086" t="n">
        <v>0</v>
      </c>
      <c r="R8086" s="2" t="inlineStr"/>
    </row>
    <row r="8087" ht="15" customHeight="1">
      <c r="A8087" t="inlineStr">
        <is>
          <t>A 51271-2022</t>
        </is>
      </c>
      <c r="B8087" s="1" t="n">
        <v>44868</v>
      </c>
      <c r="C8087" s="1" t="n">
        <v>45810</v>
      </c>
      <c r="D8087" t="inlineStr">
        <is>
          <t>VÄRMLANDS LÄN</t>
        </is>
      </c>
      <c r="E8087" t="inlineStr">
        <is>
          <t>ÅRJÄNG</t>
        </is>
      </c>
      <c r="G8087" t="n">
        <v>2.1</v>
      </c>
      <c r="H8087" t="n">
        <v>0</v>
      </c>
      <c r="I8087" t="n">
        <v>0</v>
      </c>
      <c r="J8087" t="n">
        <v>0</v>
      </c>
      <c r="K8087" t="n">
        <v>0</v>
      </c>
      <c r="L8087" t="n">
        <v>0</v>
      </c>
      <c r="M8087" t="n">
        <v>0</v>
      </c>
      <c r="N8087" t="n">
        <v>0</v>
      </c>
      <c r="O8087" t="n">
        <v>0</v>
      </c>
      <c r="P8087" t="n">
        <v>0</v>
      </c>
      <c r="Q8087" t="n">
        <v>0</v>
      </c>
      <c r="R8087" s="2" t="inlineStr"/>
    </row>
    <row r="8088" ht="15" customHeight="1">
      <c r="A8088" t="inlineStr">
        <is>
          <t>A 51296-2022</t>
        </is>
      </c>
      <c r="B8088" s="1" t="n">
        <v>44868</v>
      </c>
      <c r="C8088" s="1" t="n">
        <v>45810</v>
      </c>
      <c r="D8088" t="inlineStr">
        <is>
          <t>VÄRMLANDS LÄN</t>
        </is>
      </c>
      <c r="E8088" t="inlineStr">
        <is>
          <t>FORSHAGA</t>
        </is>
      </c>
      <c r="G8088" t="n">
        <v>2.4</v>
      </c>
      <c r="H8088" t="n">
        <v>0</v>
      </c>
      <c r="I8088" t="n">
        <v>0</v>
      </c>
      <c r="J8088" t="n">
        <v>0</v>
      </c>
      <c r="K8088" t="n">
        <v>0</v>
      </c>
      <c r="L8088" t="n">
        <v>0</v>
      </c>
      <c r="M8088" t="n">
        <v>0</v>
      </c>
      <c r="N8088" t="n">
        <v>0</v>
      </c>
      <c r="O8088" t="n">
        <v>0</v>
      </c>
      <c r="P8088" t="n">
        <v>0</v>
      </c>
      <c r="Q8088" t="n">
        <v>0</v>
      </c>
      <c r="R8088" s="2" t="inlineStr"/>
    </row>
    <row r="8089" ht="15" customHeight="1">
      <c r="A8089" t="inlineStr">
        <is>
          <t>A 51187-2022</t>
        </is>
      </c>
      <c r="B8089" s="1" t="n">
        <v>44868</v>
      </c>
      <c r="C8089" s="1" t="n">
        <v>45810</v>
      </c>
      <c r="D8089" t="inlineStr">
        <is>
          <t>VÄRMLANDS LÄN</t>
        </is>
      </c>
      <c r="E8089" t="inlineStr">
        <is>
          <t>FORSHAGA</t>
        </is>
      </c>
      <c r="F8089" t="inlineStr">
        <is>
          <t>Bergvik skog väst AB</t>
        </is>
      </c>
      <c r="G8089" t="n">
        <v>3.3</v>
      </c>
      <c r="H8089" t="n">
        <v>0</v>
      </c>
      <c r="I8089" t="n">
        <v>0</v>
      </c>
      <c r="J8089" t="n">
        <v>0</v>
      </c>
      <c r="K8089" t="n">
        <v>0</v>
      </c>
      <c r="L8089" t="n">
        <v>0</v>
      </c>
      <c r="M8089" t="n">
        <v>0</v>
      </c>
      <c r="N8089" t="n">
        <v>0</v>
      </c>
      <c r="O8089" t="n">
        <v>0</v>
      </c>
      <c r="P8089" t="n">
        <v>0</v>
      </c>
      <c r="Q8089" t="n">
        <v>0</v>
      </c>
      <c r="R8089" s="2" t="inlineStr"/>
    </row>
    <row r="8090" ht="15" customHeight="1">
      <c r="A8090" t="inlineStr">
        <is>
          <t>A 51269-2022</t>
        </is>
      </c>
      <c r="B8090" s="1" t="n">
        <v>44868</v>
      </c>
      <c r="C8090" s="1" t="n">
        <v>45810</v>
      </c>
      <c r="D8090" t="inlineStr">
        <is>
          <t>VÄRMLANDS LÄN</t>
        </is>
      </c>
      <c r="E8090" t="inlineStr">
        <is>
          <t>ÅRJÄNG</t>
        </is>
      </c>
      <c r="G8090" t="n">
        <v>2.1</v>
      </c>
      <c r="H8090" t="n">
        <v>0</v>
      </c>
      <c r="I8090" t="n">
        <v>0</v>
      </c>
      <c r="J8090" t="n">
        <v>0</v>
      </c>
      <c r="K8090" t="n">
        <v>0</v>
      </c>
      <c r="L8090" t="n">
        <v>0</v>
      </c>
      <c r="M8090" t="n">
        <v>0</v>
      </c>
      <c r="N8090" t="n">
        <v>0</v>
      </c>
      <c r="O8090" t="n">
        <v>0</v>
      </c>
      <c r="P8090" t="n">
        <v>0</v>
      </c>
      <c r="Q8090" t="n">
        <v>0</v>
      </c>
      <c r="R8090" s="2" t="inlineStr"/>
    </row>
    <row r="8091" ht="15" customHeight="1">
      <c r="A8091" t="inlineStr">
        <is>
          <t>A 52081-2022</t>
        </is>
      </c>
      <c r="B8091" s="1" t="n">
        <v>44868</v>
      </c>
      <c r="C8091" s="1" t="n">
        <v>45810</v>
      </c>
      <c r="D8091" t="inlineStr">
        <is>
          <t>VÄRMLANDS LÄN</t>
        </is>
      </c>
      <c r="E8091" t="inlineStr">
        <is>
          <t>SÄFFLE</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51246-2022</t>
        </is>
      </c>
      <c r="B8092" s="1" t="n">
        <v>44868</v>
      </c>
      <c r="C8092" s="1" t="n">
        <v>45810</v>
      </c>
      <c r="D8092" t="inlineStr">
        <is>
          <t>VÄRMLANDS LÄN</t>
        </is>
      </c>
      <c r="E8092" t="inlineStr">
        <is>
          <t>KARLSTAD</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51400-2022</t>
        </is>
      </c>
      <c r="B8093" s="1" t="n">
        <v>44869</v>
      </c>
      <c r="C8093" s="1" t="n">
        <v>45810</v>
      </c>
      <c r="D8093" t="inlineStr">
        <is>
          <t>VÄRMLANDS LÄN</t>
        </is>
      </c>
      <c r="E8093" t="inlineStr">
        <is>
          <t>ARVIKA</t>
        </is>
      </c>
      <c r="F8093" t="inlineStr">
        <is>
          <t>Bergvik skog väst AB</t>
        </is>
      </c>
      <c r="G8093" t="n">
        <v>0.4</v>
      </c>
      <c r="H8093" t="n">
        <v>0</v>
      </c>
      <c r="I8093" t="n">
        <v>0</v>
      </c>
      <c r="J8093" t="n">
        <v>0</v>
      </c>
      <c r="K8093" t="n">
        <v>0</v>
      </c>
      <c r="L8093" t="n">
        <v>0</v>
      </c>
      <c r="M8093" t="n">
        <v>0</v>
      </c>
      <c r="N8093" t="n">
        <v>0</v>
      </c>
      <c r="O8093" t="n">
        <v>0</v>
      </c>
      <c r="P8093" t="n">
        <v>0</v>
      </c>
      <c r="Q8093" t="n">
        <v>0</v>
      </c>
      <c r="R8093" s="2" t="inlineStr"/>
    </row>
    <row r="8094" ht="15" customHeight="1">
      <c r="A8094" t="inlineStr">
        <is>
          <t>A 51346-2022</t>
        </is>
      </c>
      <c r="B8094" s="1" t="n">
        <v>44869</v>
      </c>
      <c r="C8094" s="1" t="n">
        <v>45810</v>
      </c>
      <c r="D8094" t="inlineStr">
        <is>
          <t>VÄRMLANDS LÄN</t>
        </is>
      </c>
      <c r="E8094" t="inlineStr">
        <is>
          <t>HAGFORS</t>
        </is>
      </c>
      <c r="G8094" t="n">
        <v>1.7</v>
      </c>
      <c r="H8094" t="n">
        <v>0</v>
      </c>
      <c r="I8094" t="n">
        <v>0</v>
      </c>
      <c r="J8094" t="n">
        <v>0</v>
      </c>
      <c r="K8094" t="n">
        <v>0</v>
      </c>
      <c r="L8094" t="n">
        <v>0</v>
      </c>
      <c r="M8094" t="n">
        <v>0</v>
      </c>
      <c r="N8094" t="n">
        <v>0</v>
      </c>
      <c r="O8094" t="n">
        <v>0</v>
      </c>
      <c r="P8094" t="n">
        <v>0</v>
      </c>
      <c r="Q8094" t="n">
        <v>0</v>
      </c>
      <c r="R8094" s="2" t="inlineStr"/>
    </row>
    <row r="8095" ht="15" customHeight="1">
      <c r="A8095" t="inlineStr">
        <is>
          <t>A 51384-2022</t>
        </is>
      </c>
      <c r="B8095" s="1" t="n">
        <v>44869</v>
      </c>
      <c r="C8095" s="1" t="n">
        <v>45810</v>
      </c>
      <c r="D8095" t="inlineStr">
        <is>
          <t>VÄRMLANDS LÄN</t>
        </is>
      </c>
      <c r="E8095" t="inlineStr">
        <is>
          <t>HAGFORS</t>
        </is>
      </c>
      <c r="F8095" t="inlineStr">
        <is>
          <t>Bergvik skog väst AB</t>
        </is>
      </c>
      <c r="G8095" t="n">
        <v>5.1</v>
      </c>
      <c r="H8095" t="n">
        <v>0</v>
      </c>
      <c r="I8095" t="n">
        <v>0</v>
      </c>
      <c r="J8095" t="n">
        <v>0</v>
      </c>
      <c r="K8095" t="n">
        <v>0</v>
      </c>
      <c r="L8095" t="n">
        <v>0</v>
      </c>
      <c r="M8095" t="n">
        <v>0</v>
      </c>
      <c r="N8095" t="n">
        <v>0</v>
      </c>
      <c r="O8095" t="n">
        <v>0</v>
      </c>
      <c r="P8095" t="n">
        <v>0</v>
      </c>
      <c r="Q8095" t="n">
        <v>0</v>
      </c>
      <c r="R8095" s="2" t="inlineStr"/>
    </row>
    <row r="8096" ht="15" customHeight="1">
      <c r="A8096" t="inlineStr">
        <is>
          <t>A 51439-2022</t>
        </is>
      </c>
      <c r="B8096" s="1" t="n">
        <v>44869</v>
      </c>
      <c r="C8096" s="1" t="n">
        <v>45810</v>
      </c>
      <c r="D8096" t="inlineStr">
        <is>
          <t>VÄRMLANDS LÄN</t>
        </is>
      </c>
      <c r="E8096" t="inlineStr">
        <is>
          <t>TORSBY</t>
        </is>
      </c>
      <c r="G8096" t="n">
        <v>4.2</v>
      </c>
      <c r="H8096" t="n">
        <v>0</v>
      </c>
      <c r="I8096" t="n">
        <v>0</v>
      </c>
      <c r="J8096" t="n">
        <v>0</v>
      </c>
      <c r="K8096" t="n">
        <v>0</v>
      </c>
      <c r="L8096" t="n">
        <v>0</v>
      </c>
      <c r="M8096" t="n">
        <v>0</v>
      </c>
      <c r="N8096" t="n">
        <v>0</v>
      </c>
      <c r="O8096" t="n">
        <v>0</v>
      </c>
      <c r="P8096" t="n">
        <v>0</v>
      </c>
      <c r="Q8096" t="n">
        <v>0</v>
      </c>
      <c r="R8096" s="2" t="inlineStr"/>
    </row>
    <row r="8097" ht="15" customHeight="1">
      <c r="A8097" t="inlineStr">
        <is>
          <t>A 51490-2022</t>
        </is>
      </c>
      <c r="B8097" s="1" t="n">
        <v>44869</v>
      </c>
      <c r="C8097" s="1" t="n">
        <v>45810</v>
      </c>
      <c r="D8097" t="inlineStr">
        <is>
          <t>VÄRMLANDS LÄN</t>
        </is>
      </c>
      <c r="E8097" t="inlineStr">
        <is>
          <t>TORSBY</t>
        </is>
      </c>
      <c r="F8097" t="inlineStr">
        <is>
          <t>Bergvik skog väst AB</t>
        </is>
      </c>
      <c r="G8097" t="n">
        <v>1.7</v>
      </c>
      <c r="H8097" t="n">
        <v>0</v>
      </c>
      <c r="I8097" t="n">
        <v>0</v>
      </c>
      <c r="J8097" t="n">
        <v>0</v>
      </c>
      <c r="K8097" t="n">
        <v>0</v>
      </c>
      <c r="L8097" t="n">
        <v>0</v>
      </c>
      <c r="M8097" t="n">
        <v>0</v>
      </c>
      <c r="N8097" t="n">
        <v>0</v>
      </c>
      <c r="O8097" t="n">
        <v>0</v>
      </c>
      <c r="P8097" t="n">
        <v>0</v>
      </c>
      <c r="Q8097" t="n">
        <v>0</v>
      </c>
      <c r="R8097" s="2" t="inlineStr"/>
    </row>
    <row r="8098" ht="15" customHeight="1">
      <c r="A8098" t="inlineStr">
        <is>
          <t>A 51492-2022</t>
        </is>
      </c>
      <c r="B8098" s="1" t="n">
        <v>44869</v>
      </c>
      <c r="C8098" s="1" t="n">
        <v>45810</v>
      </c>
      <c r="D8098" t="inlineStr">
        <is>
          <t>VÄRMLANDS LÄN</t>
        </is>
      </c>
      <c r="E8098" t="inlineStr">
        <is>
          <t>FILIPSTAD</t>
        </is>
      </c>
      <c r="F8098" t="inlineStr">
        <is>
          <t>Bergvik skog väst AB</t>
        </is>
      </c>
      <c r="G8098" t="n">
        <v>7.2</v>
      </c>
      <c r="H8098" t="n">
        <v>0</v>
      </c>
      <c r="I8098" t="n">
        <v>0</v>
      </c>
      <c r="J8098" t="n">
        <v>0</v>
      </c>
      <c r="K8098" t="n">
        <v>0</v>
      </c>
      <c r="L8098" t="n">
        <v>0</v>
      </c>
      <c r="M8098" t="n">
        <v>0</v>
      </c>
      <c r="N8098" t="n">
        <v>0</v>
      </c>
      <c r="O8098" t="n">
        <v>0</v>
      </c>
      <c r="P8098" t="n">
        <v>0</v>
      </c>
      <c r="Q8098" t="n">
        <v>0</v>
      </c>
      <c r="R8098" s="2" t="inlineStr"/>
    </row>
    <row r="8099" ht="15" customHeight="1">
      <c r="A8099" t="inlineStr">
        <is>
          <t>A 51511-2022</t>
        </is>
      </c>
      <c r="B8099" s="1" t="n">
        <v>44869</v>
      </c>
      <c r="C8099" s="1" t="n">
        <v>45810</v>
      </c>
      <c r="D8099" t="inlineStr">
        <is>
          <t>VÄRMLANDS LÄN</t>
        </is>
      </c>
      <c r="E8099" t="inlineStr">
        <is>
          <t>ARVIKA</t>
        </is>
      </c>
      <c r="G8099" t="n">
        <v>0.5</v>
      </c>
      <c r="H8099" t="n">
        <v>0</v>
      </c>
      <c r="I8099" t="n">
        <v>0</v>
      </c>
      <c r="J8099" t="n">
        <v>0</v>
      </c>
      <c r="K8099" t="n">
        <v>0</v>
      </c>
      <c r="L8099" t="n">
        <v>0</v>
      </c>
      <c r="M8099" t="n">
        <v>0</v>
      </c>
      <c r="N8099" t="n">
        <v>0</v>
      </c>
      <c r="O8099" t="n">
        <v>0</v>
      </c>
      <c r="P8099" t="n">
        <v>0</v>
      </c>
      <c r="Q8099" t="n">
        <v>0</v>
      </c>
      <c r="R8099" s="2" t="inlineStr"/>
    </row>
    <row r="8100" ht="15" customHeight="1">
      <c r="A8100" t="inlineStr">
        <is>
          <t>A 51456-2022</t>
        </is>
      </c>
      <c r="B8100" s="1" t="n">
        <v>44869</v>
      </c>
      <c r="C8100" s="1" t="n">
        <v>45810</v>
      </c>
      <c r="D8100" t="inlineStr">
        <is>
          <t>VÄRMLANDS LÄN</t>
        </is>
      </c>
      <c r="E8100" t="inlineStr">
        <is>
          <t>ÅRJÄNG</t>
        </is>
      </c>
      <c r="G8100" t="n">
        <v>3.4</v>
      </c>
      <c r="H8100" t="n">
        <v>0</v>
      </c>
      <c r="I8100" t="n">
        <v>0</v>
      </c>
      <c r="J8100" t="n">
        <v>0</v>
      </c>
      <c r="K8100" t="n">
        <v>0</v>
      </c>
      <c r="L8100" t="n">
        <v>0</v>
      </c>
      <c r="M8100" t="n">
        <v>0</v>
      </c>
      <c r="N8100" t="n">
        <v>0</v>
      </c>
      <c r="O8100" t="n">
        <v>0</v>
      </c>
      <c r="P8100" t="n">
        <v>0</v>
      </c>
      <c r="Q8100" t="n">
        <v>0</v>
      </c>
      <c r="R8100" s="2" t="inlineStr"/>
    </row>
    <row r="8101" ht="15" customHeight="1">
      <c r="A8101" t="inlineStr">
        <is>
          <t>A 51489-2022</t>
        </is>
      </c>
      <c r="B8101" s="1" t="n">
        <v>44869</v>
      </c>
      <c r="C8101" s="1" t="n">
        <v>45810</v>
      </c>
      <c r="D8101" t="inlineStr">
        <is>
          <t>VÄRMLANDS LÄN</t>
        </is>
      </c>
      <c r="E8101" t="inlineStr">
        <is>
          <t>TORSBY</t>
        </is>
      </c>
      <c r="F8101" t="inlineStr">
        <is>
          <t>Bergvik skog väst AB</t>
        </is>
      </c>
      <c r="G8101" t="n">
        <v>7.8</v>
      </c>
      <c r="H8101" t="n">
        <v>0</v>
      </c>
      <c r="I8101" t="n">
        <v>0</v>
      </c>
      <c r="J8101" t="n">
        <v>0</v>
      </c>
      <c r="K8101" t="n">
        <v>0</v>
      </c>
      <c r="L8101" t="n">
        <v>0</v>
      </c>
      <c r="M8101" t="n">
        <v>0</v>
      </c>
      <c r="N8101" t="n">
        <v>0</v>
      </c>
      <c r="O8101" t="n">
        <v>0</v>
      </c>
      <c r="P8101" t="n">
        <v>0</v>
      </c>
      <c r="Q8101" t="n">
        <v>0</v>
      </c>
      <c r="R8101" s="2" t="inlineStr"/>
    </row>
    <row r="8102" ht="15" customHeight="1">
      <c r="A8102" t="inlineStr">
        <is>
          <t>A 51589-2022</t>
        </is>
      </c>
      <c r="B8102" s="1" t="n">
        <v>44871</v>
      </c>
      <c r="C8102" s="1" t="n">
        <v>45810</v>
      </c>
      <c r="D8102" t="inlineStr">
        <is>
          <t>VÄRMLANDS LÄN</t>
        </is>
      </c>
      <c r="E8102" t="inlineStr">
        <is>
          <t>FILIPSTAD</t>
        </is>
      </c>
      <c r="F8102" t="inlineStr">
        <is>
          <t>Bergvik skog väst AB</t>
        </is>
      </c>
      <c r="G8102" t="n">
        <v>8</v>
      </c>
      <c r="H8102" t="n">
        <v>0</v>
      </c>
      <c r="I8102" t="n">
        <v>0</v>
      </c>
      <c r="J8102" t="n">
        <v>0</v>
      </c>
      <c r="K8102" t="n">
        <v>0</v>
      </c>
      <c r="L8102" t="n">
        <v>0</v>
      </c>
      <c r="M8102" t="n">
        <v>0</v>
      </c>
      <c r="N8102" t="n">
        <v>0</v>
      </c>
      <c r="O8102" t="n">
        <v>0</v>
      </c>
      <c r="P8102" t="n">
        <v>0</v>
      </c>
      <c r="Q8102" t="n">
        <v>0</v>
      </c>
      <c r="R8102" s="2" t="inlineStr"/>
    </row>
    <row r="8103" ht="15" customHeight="1">
      <c r="A8103" t="inlineStr">
        <is>
          <t>A 51618-2022</t>
        </is>
      </c>
      <c r="B8103" s="1" t="n">
        <v>44872</v>
      </c>
      <c r="C8103" s="1" t="n">
        <v>45810</v>
      </c>
      <c r="D8103" t="inlineStr">
        <is>
          <t>VÄRMLANDS LÄN</t>
        </is>
      </c>
      <c r="E8103" t="inlineStr">
        <is>
          <t>FILIPSTAD</t>
        </is>
      </c>
      <c r="G8103" t="n">
        <v>1.6</v>
      </c>
      <c r="H8103" t="n">
        <v>0</v>
      </c>
      <c r="I8103" t="n">
        <v>0</v>
      </c>
      <c r="J8103" t="n">
        <v>0</v>
      </c>
      <c r="K8103" t="n">
        <v>0</v>
      </c>
      <c r="L8103" t="n">
        <v>0</v>
      </c>
      <c r="M8103" t="n">
        <v>0</v>
      </c>
      <c r="N8103" t="n">
        <v>0</v>
      </c>
      <c r="O8103" t="n">
        <v>0</v>
      </c>
      <c r="P8103" t="n">
        <v>0</v>
      </c>
      <c r="Q8103" t="n">
        <v>0</v>
      </c>
      <c r="R8103" s="2" t="inlineStr"/>
    </row>
    <row r="8104" ht="15" customHeight="1">
      <c r="A8104" t="inlineStr">
        <is>
          <t>A 51640-2022</t>
        </is>
      </c>
      <c r="B8104" s="1" t="n">
        <v>44872</v>
      </c>
      <c r="C8104" s="1" t="n">
        <v>45810</v>
      </c>
      <c r="D8104" t="inlineStr">
        <is>
          <t>VÄRMLANDS LÄN</t>
        </is>
      </c>
      <c r="E8104" t="inlineStr">
        <is>
          <t>SÄFFLE</t>
        </is>
      </c>
      <c r="G8104" t="n">
        <v>3.4</v>
      </c>
      <c r="H8104" t="n">
        <v>0</v>
      </c>
      <c r="I8104" t="n">
        <v>0</v>
      </c>
      <c r="J8104" t="n">
        <v>0</v>
      </c>
      <c r="K8104" t="n">
        <v>0</v>
      </c>
      <c r="L8104" t="n">
        <v>0</v>
      </c>
      <c r="M8104" t="n">
        <v>0</v>
      </c>
      <c r="N8104" t="n">
        <v>0</v>
      </c>
      <c r="O8104" t="n">
        <v>0</v>
      </c>
      <c r="P8104" t="n">
        <v>0</v>
      </c>
      <c r="Q8104" t="n">
        <v>0</v>
      </c>
      <c r="R8104" s="2" t="inlineStr"/>
    </row>
    <row r="8105" ht="15" customHeight="1">
      <c r="A8105" t="inlineStr">
        <is>
          <t>A 51650-2022</t>
        </is>
      </c>
      <c r="B8105" s="1" t="n">
        <v>44872</v>
      </c>
      <c r="C8105" s="1" t="n">
        <v>45810</v>
      </c>
      <c r="D8105" t="inlineStr">
        <is>
          <t>VÄRMLANDS LÄN</t>
        </is>
      </c>
      <c r="E8105" t="inlineStr">
        <is>
          <t>EDA</t>
        </is>
      </c>
      <c r="G8105" t="n">
        <v>1.4</v>
      </c>
      <c r="H8105" t="n">
        <v>0</v>
      </c>
      <c r="I8105" t="n">
        <v>0</v>
      </c>
      <c r="J8105" t="n">
        <v>0</v>
      </c>
      <c r="K8105" t="n">
        <v>0</v>
      </c>
      <c r="L8105" t="n">
        <v>0</v>
      </c>
      <c r="M8105" t="n">
        <v>0</v>
      </c>
      <c r="N8105" t="n">
        <v>0</v>
      </c>
      <c r="O8105" t="n">
        <v>0</v>
      </c>
      <c r="P8105" t="n">
        <v>0</v>
      </c>
      <c r="Q8105" t="n">
        <v>0</v>
      </c>
      <c r="R8105" s="2" t="inlineStr"/>
    </row>
    <row r="8106" ht="15" customHeight="1">
      <c r="A8106" t="inlineStr">
        <is>
          <t>A 51771-2022</t>
        </is>
      </c>
      <c r="B8106" s="1" t="n">
        <v>44872</v>
      </c>
      <c r="C8106" s="1" t="n">
        <v>45810</v>
      </c>
      <c r="D8106" t="inlineStr">
        <is>
          <t>VÄRMLANDS LÄN</t>
        </is>
      </c>
      <c r="E8106" t="inlineStr">
        <is>
          <t>HAGFORS</t>
        </is>
      </c>
      <c r="F8106" t="inlineStr">
        <is>
          <t>Bergvik skog väst AB</t>
        </is>
      </c>
      <c r="G8106" t="n">
        <v>14.8</v>
      </c>
      <c r="H8106" t="n">
        <v>0</v>
      </c>
      <c r="I8106" t="n">
        <v>0</v>
      </c>
      <c r="J8106" t="n">
        <v>0</v>
      </c>
      <c r="K8106" t="n">
        <v>0</v>
      </c>
      <c r="L8106" t="n">
        <v>0</v>
      </c>
      <c r="M8106" t="n">
        <v>0</v>
      </c>
      <c r="N8106" t="n">
        <v>0</v>
      </c>
      <c r="O8106" t="n">
        <v>0</v>
      </c>
      <c r="P8106" t="n">
        <v>0</v>
      </c>
      <c r="Q8106" t="n">
        <v>0</v>
      </c>
      <c r="R8106" s="2" t="inlineStr"/>
    </row>
    <row r="8107" ht="15" customHeight="1">
      <c r="A8107" t="inlineStr">
        <is>
          <t>A 51778-2022</t>
        </is>
      </c>
      <c r="B8107" s="1" t="n">
        <v>44872</v>
      </c>
      <c r="C8107" s="1" t="n">
        <v>45810</v>
      </c>
      <c r="D8107" t="inlineStr">
        <is>
          <t>VÄRMLANDS LÄN</t>
        </is>
      </c>
      <c r="E8107" t="inlineStr">
        <is>
          <t>EDA</t>
        </is>
      </c>
      <c r="G8107" t="n">
        <v>1.9</v>
      </c>
      <c r="H8107" t="n">
        <v>0</v>
      </c>
      <c r="I8107" t="n">
        <v>0</v>
      </c>
      <c r="J8107" t="n">
        <v>0</v>
      </c>
      <c r="K8107" t="n">
        <v>0</v>
      </c>
      <c r="L8107" t="n">
        <v>0</v>
      </c>
      <c r="M8107" t="n">
        <v>0</v>
      </c>
      <c r="N8107" t="n">
        <v>0</v>
      </c>
      <c r="O8107" t="n">
        <v>0</v>
      </c>
      <c r="P8107" t="n">
        <v>0</v>
      </c>
      <c r="Q8107" t="n">
        <v>0</v>
      </c>
      <c r="R8107" s="2" t="inlineStr"/>
    </row>
    <row r="8108" ht="15" customHeight="1">
      <c r="A8108" t="inlineStr">
        <is>
          <t>A 51803-2022</t>
        </is>
      </c>
      <c r="B8108" s="1" t="n">
        <v>44872</v>
      </c>
      <c r="C8108" s="1" t="n">
        <v>45810</v>
      </c>
      <c r="D8108" t="inlineStr">
        <is>
          <t>VÄRMLANDS LÄN</t>
        </is>
      </c>
      <c r="E8108" t="inlineStr">
        <is>
          <t>SUNNE</t>
        </is>
      </c>
      <c r="G8108" t="n">
        <v>0.8</v>
      </c>
      <c r="H8108" t="n">
        <v>0</v>
      </c>
      <c r="I8108" t="n">
        <v>0</v>
      </c>
      <c r="J8108" t="n">
        <v>0</v>
      </c>
      <c r="K8108" t="n">
        <v>0</v>
      </c>
      <c r="L8108" t="n">
        <v>0</v>
      </c>
      <c r="M8108" t="n">
        <v>0</v>
      </c>
      <c r="N8108" t="n">
        <v>0</v>
      </c>
      <c r="O8108" t="n">
        <v>0</v>
      </c>
      <c r="P8108" t="n">
        <v>0</v>
      </c>
      <c r="Q8108" t="n">
        <v>0</v>
      </c>
      <c r="R8108" s="2" t="inlineStr"/>
    </row>
    <row r="8109" ht="15" customHeight="1">
      <c r="A8109" t="inlineStr">
        <is>
          <t>A 51654-2022</t>
        </is>
      </c>
      <c r="B8109" s="1" t="n">
        <v>44872</v>
      </c>
      <c r="C8109" s="1" t="n">
        <v>45810</v>
      </c>
      <c r="D8109" t="inlineStr">
        <is>
          <t>VÄRMLANDS LÄN</t>
        </is>
      </c>
      <c r="E8109" t="inlineStr">
        <is>
          <t>EDA</t>
        </is>
      </c>
      <c r="G8109" t="n">
        <v>1.4</v>
      </c>
      <c r="H8109" t="n">
        <v>0</v>
      </c>
      <c r="I8109" t="n">
        <v>0</v>
      </c>
      <c r="J8109" t="n">
        <v>0</v>
      </c>
      <c r="K8109" t="n">
        <v>0</v>
      </c>
      <c r="L8109" t="n">
        <v>0</v>
      </c>
      <c r="M8109" t="n">
        <v>0</v>
      </c>
      <c r="N8109" t="n">
        <v>0</v>
      </c>
      <c r="O8109" t="n">
        <v>0</v>
      </c>
      <c r="P8109" t="n">
        <v>0</v>
      </c>
      <c r="Q8109" t="n">
        <v>0</v>
      </c>
      <c r="R8109" s="2" t="inlineStr"/>
    </row>
    <row r="8110" ht="15" customHeight="1">
      <c r="A8110" t="inlineStr">
        <is>
          <t>A 51647-2022</t>
        </is>
      </c>
      <c r="B8110" s="1" t="n">
        <v>44872</v>
      </c>
      <c r="C8110" s="1" t="n">
        <v>45810</v>
      </c>
      <c r="D8110" t="inlineStr">
        <is>
          <t>VÄRMLANDS LÄN</t>
        </is>
      </c>
      <c r="E8110" t="inlineStr">
        <is>
          <t>SÄFFLE</t>
        </is>
      </c>
      <c r="G8110" t="n">
        <v>6.3</v>
      </c>
      <c r="H8110" t="n">
        <v>0</v>
      </c>
      <c r="I8110" t="n">
        <v>0</v>
      </c>
      <c r="J8110" t="n">
        <v>0</v>
      </c>
      <c r="K8110" t="n">
        <v>0</v>
      </c>
      <c r="L8110" t="n">
        <v>0</v>
      </c>
      <c r="M8110" t="n">
        <v>0</v>
      </c>
      <c r="N8110" t="n">
        <v>0</v>
      </c>
      <c r="O8110" t="n">
        <v>0</v>
      </c>
      <c r="P8110" t="n">
        <v>0</v>
      </c>
      <c r="Q8110" t="n">
        <v>0</v>
      </c>
      <c r="R8110" s="2" t="inlineStr"/>
    </row>
    <row r="8111" ht="15" customHeight="1">
      <c r="A8111" t="inlineStr">
        <is>
          <t>A 51730-2022</t>
        </is>
      </c>
      <c r="B8111" s="1" t="n">
        <v>44872</v>
      </c>
      <c r="C8111" s="1" t="n">
        <v>45810</v>
      </c>
      <c r="D8111" t="inlineStr">
        <is>
          <t>VÄRMLANDS LÄN</t>
        </is>
      </c>
      <c r="E8111" t="inlineStr">
        <is>
          <t>EDA</t>
        </is>
      </c>
      <c r="G8111" t="n">
        <v>12.2</v>
      </c>
      <c r="H8111" t="n">
        <v>0</v>
      </c>
      <c r="I8111" t="n">
        <v>0</v>
      </c>
      <c r="J8111" t="n">
        <v>0</v>
      </c>
      <c r="K8111" t="n">
        <v>0</v>
      </c>
      <c r="L8111" t="n">
        <v>0</v>
      </c>
      <c r="M8111" t="n">
        <v>0</v>
      </c>
      <c r="N8111" t="n">
        <v>0</v>
      </c>
      <c r="O8111" t="n">
        <v>0</v>
      </c>
      <c r="P8111" t="n">
        <v>0</v>
      </c>
      <c r="Q8111" t="n">
        <v>0</v>
      </c>
      <c r="R8111" s="2" t="inlineStr"/>
    </row>
    <row r="8112" ht="15" customHeight="1">
      <c r="A8112" t="inlineStr">
        <is>
          <t>A 51759-2022</t>
        </is>
      </c>
      <c r="B8112" s="1" t="n">
        <v>44872</v>
      </c>
      <c r="C8112" s="1" t="n">
        <v>45810</v>
      </c>
      <c r="D8112" t="inlineStr">
        <is>
          <t>VÄRMLANDS LÄN</t>
        </is>
      </c>
      <c r="E8112" t="inlineStr">
        <is>
          <t>HAGFORS</t>
        </is>
      </c>
      <c r="F8112" t="inlineStr">
        <is>
          <t>Bergvik skog väst AB</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51792-2022</t>
        </is>
      </c>
      <c r="B8113" s="1" t="n">
        <v>44872</v>
      </c>
      <c r="C8113" s="1" t="n">
        <v>45810</v>
      </c>
      <c r="D8113" t="inlineStr">
        <is>
          <t>VÄRMLANDS LÄN</t>
        </is>
      </c>
      <c r="E8113" t="inlineStr">
        <is>
          <t>KARLSTAD</t>
        </is>
      </c>
      <c r="F8113" t="inlineStr">
        <is>
          <t>Bergvik skog väst AB</t>
        </is>
      </c>
      <c r="G8113" t="n">
        <v>21.2</v>
      </c>
      <c r="H8113" t="n">
        <v>0</v>
      </c>
      <c r="I8113" t="n">
        <v>0</v>
      </c>
      <c r="J8113" t="n">
        <v>0</v>
      </c>
      <c r="K8113" t="n">
        <v>0</v>
      </c>
      <c r="L8113" t="n">
        <v>0</v>
      </c>
      <c r="M8113" t="n">
        <v>0</v>
      </c>
      <c r="N8113" t="n">
        <v>0</v>
      </c>
      <c r="O8113" t="n">
        <v>0</v>
      </c>
      <c r="P8113" t="n">
        <v>0</v>
      </c>
      <c r="Q8113" t="n">
        <v>0</v>
      </c>
      <c r="R8113" s="2" t="inlineStr"/>
    </row>
    <row r="8114" ht="15" customHeight="1">
      <c r="A8114" t="inlineStr">
        <is>
          <t>A 51782-2022</t>
        </is>
      </c>
      <c r="B8114" s="1" t="n">
        <v>44872</v>
      </c>
      <c r="C8114" s="1" t="n">
        <v>45810</v>
      </c>
      <c r="D8114" t="inlineStr">
        <is>
          <t>VÄRMLANDS LÄN</t>
        </is>
      </c>
      <c r="E8114" t="inlineStr">
        <is>
          <t>EDA</t>
        </is>
      </c>
      <c r="G8114" t="n">
        <v>3.7</v>
      </c>
      <c r="H8114" t="n">
        <v>0</v>
      </c>
      <c r="I8114" t="n">
        <v>0</v>
      </c>
      <c r="J8114" t="n">
        <v>0</v>
      </c>
      <c r="K8114" t="n">
        <v>0</v>
      </c>
      <c r="L8114" t="n">
        <v>0</v>
      </c>
      <c r="M8114" t="n">
        <v>0</v>
      </c>
      <c r="N8114" t="n">
        <v>0</v>
      </c>
      <c r="O8114" t="n">
        <v>0</v>
      </c>
      <c r="P8114" t="n">
        <v>0</v>
      </c>
      <c r="Q8114" t="n">
        <v>0</v>
      </c>
      <c r="R8114" s="2" t="inlineStr"/>
    </row>
    <row r="8115" ht="15" customHeight="1">
      <c r="A8115" t="inlineStr">
        <is>
          <t>A 51895-2022</t>
        </is>
      </c>
      <c r="B8115" s="1" t="n">
        <v>44872</v>
      </c>
      <c r="C8115" s="1" t="n">
        <v>45810</v>
      </c>
      <c r="D8115" t="inlineStr">
        <is>
          <t>VÄRMLANDS LÄN</t>
        </is>
      </c>
      <c r="E8115" t="inlineStr">
        <is>
          <t>ÅRJÄNG</t>
        </is>
      </c>
      <c r="F8115" t="inlineStr">
        <is>
          <t>Kyrkan</t>
        </is>
      </c>
      <c r="G8115" t="n">
        <v>3.1</v>
      </c>
      <c r="H8115" t="n">
        <v>0</v>
      </c>
      <c r="I8115" t="n">
        <v>0</v>
      </c>
      <c r="J8115" t="n">
        <v>0</v>
      </c>
      <c r="K8115" t="n">
        <v>0</v>
      </c>
      <c r="L8115" t="n">
        <v>0</v>
      </c>
      <c r="M8115" t="n">
        <v>0</v>
      </c>
      <c r="N8115" t="n">
        <v>0</v>
      </c>
      <c r="O8115" t="n">
        <v>0</v>
      </c>
      <c r="P8115" t="n">
        <v>0</v>
      </c>
      <c r="Q8115" t="n">
        <v>0</v>
      </c>
      <c r="R8115" s="2" t="inlineStr"/>
    </row>
    <row r="8116" ht="15" customHeight="1">
      <c r="A8116" t="inlineStr">
        <is>
          <t>A 51847-2022</t>
        </is>
      </c>
      <c r="B8116" s="1" t="n">
        <v>44872</v>
      </c>
      <c r="C8116" s="1" t="n">
        <v>45810</v>
      </c>
      <c r="D8116" t="inlineStr">
        <is>
          <t>VÄRMLANDS LÄN</t>
        </is>
      </c>
      <c r="E8116" t="inlineStr">
        <is>
          <t>TORSBY</t>
        </is>
      </c>
      <c r="F8116" t="inlineStr">
        <is>
          <t>Bergvik skog väst AB</t>
        </is>
      </c>
      <c r="G8116" t="n">
        <v>1.4</v>
      </c>
      <c r="H8116" t="n">
        <v>0</v>
      </c>
      <c r="I8116" t="n">
        <v>0</v>
      </c>
      <c r="J8116" t="n">
        <v>0</v>
      </c>
      <c r="K8116" t="n">
        <v>0</v>
      </c>
      <c r="L8116" t="n">
        <v>0</v>
      </c>
      <c r="M8116" t="n">
        <v>0</v>
      </c>
      <c r="N8116" t="n">
        <v>0</v>
      </c>
      <c r="O8116" t="n">
        <v>0</v>
      </c>
      <c r="P8116" t="n">
        <v>0</v>
      </c>
      <c r="Q8116" t="n">
        <v>0</v>
      </c>
      <c r="R8116" s="2" t="inlineStr"/>
    </row>
    <row r="8117" ht="15" customHeight="1">
      <c r="A8117" t="inlineStr">
        <is>
          <t>A 51962-2022</t>
        </is>
      </c>
      <c r="B8117" s="1" t="n">
        <v>44872</v>
      </c>
      <c r="C8117" s="1" t="n">
        <v>45810</v>
      </c>
      <c r="D8117" t="inlineStr">
        <is>
          <t>VÄRMLANDS LÄN</t>
        </is>
      </c>
      <c r="E8117" t="inlineStr">
        <is>
          <t>ÅRJÄNG</t>
        </is>
      </c>
      <c r="G8117" t="n">
        <v>1.7</v>
      </c>
      <c r="H8117" t="n">
        <v>0</v>
      </c>
      <c r="I8117" t="n">
        <v>0</v>
      </c>
      <c r="J8117" t="n">
        <v>0</v>
      </c>
      <c r="K8117" t="n">
        <v>0</v>
      </c>
      <c r="L8117" t="n">
        <v>0</v>
      </c>
      <c r="M8117" t="n">
        <v>0</v>
      </c>
      <c r="N8117" t="n">
        <v>0</v>
      </c>
      <c r="O8117" t="n">
        <v>0</v>
      </c>
      <c r="P8117" t="n">
        <v>0</v>
      </c>
      <c r="Q8117" t="n">
        <v>0</v>
      </c>
      <c r="R8117" s="2" t="inlineStr"/>
    </row>
    <row r="8118" ht="15" customHeight="1">
      <c r="A8118" t="inlineStr">
        <is>
          <t>A 51957-2022</t>
        </is>
      </c>
      <c r="B8118" s="1" t="n">
        <v>44872</v>
      </c>
      <c r="C8118" s="1" t="n">
        <v>45810</v>
      </c>
      <c r="D8118" t="inlineStr">
        <is>
          <t>VÄRMLANDS LÄN</t>
        </is>
      </c>
      <c r="E8118" t="inlineStr">
        <is>
          <t>ARVIKA</t>
        </is>
      </c>
      <c r="F8118" t="inlineStr">
        <is>
          <t>Bergvik skog väst AB</t>
        </is>
      </c>
      <c r="G8118" t="n">
        <v>6.6</v>
      </c>
      <c r="H8118" t="n">
        <v>0</v>
      </c>
      <c r="I8118" t="n">
        <v>0</v>
      </c>
      <c r="J8118" t="n">
        <v>0</v>
      </c>
      <c r="K8118" t="n">
        <v>0</v>
      </c>
      <c r="L8118" t="n">
        <v>0</v>
      </c>
      <c r="M8118" t="n">
        <v>0</v>
      </c>
      <c r="N8118" t="n">
        <v>0</v>
      </c>
      <c r="O8118" t="n">
        <v>0</v>
      </c>
      <c r="P8118" t="n">
        <v>0</v>
      </c>
      <c r="Q8118" t="n">
        <v>0</v>
      </c>
      <c r="R8118" s="2" t="inlineStr"/>
    </row>
    <row r="8119" ht="15" customHeight="1">
      <c r="A8119" t="inlineStr">
        <is>
          <t>A 51965-2022</t>
        </is>
      </c>
      <c r="B8119" s="1" t="n">
        <v>44872</v>
      </c>
      <c r="C8119" s="1" t="n">
        <v>45810</v>
      </c>
      <c r="D8119" t="inlineStr">
        <is>
          <t>VÄRMLANDS LÄN</t>
        </is>
      </c>
      <c r="E8119" t="inlineStr">
        <is>
          <t>ÅRJÄNG</t>
        </is>
      </c>
      <c r="G8119" t="n">
        <v>0.6</v>
      </c>
      <c r="H8119" t="n">
        <v>0</v>
      </c>
      <c r="I8119" t="n">
        <v>0</v>
      </c>
      <c r="J8119" t="n">
        <v>0</v>
      </c>
      <c r="K8119" t="n">
        <v>0</v>
      </c>
      <c r="L8119" t="n">
        <v>0</v>
      </c>
      <c r="M8119" t="n">
        <v>0</v>
      </c>
      <c r="N8119" t="n">
        <v>0</v>
      </c>
      <c r="O8119" t="n">
        <v>0</v>
      </c>
      <c r="P8119" t="n">
        <v>0</v>
      </c>
      <c r="Q8119" t="n">
        <v>0</v>
      </c>
      <c r="R8119" s="2" t="inlineStr"/>
    </row>
    <row r="8120" ht="15" customHeight="1">
      <c r="A8120" t="inlineStr">
        <is>
          <t>A 51843-2022</t>
        </is>
      </c>
      <c r="B8120" s="1" t="n">
        <v>44872</v>
      </c>
      <c r="C8120" s="1" t="n">
        <v>45810</v>
      </c>
      <c r="D8120" t="inlineStr">
        <is>
          <t>VÄRMLANDS LÄN</t>
        </is>
      </c>
      <c r="E8120" t="inlineStr">
        <is>
          <t>TORSBY</t>
        </is>
      </c>
      <c r="G8120" t="n">
        <v>0.7</v>
      </c>
      <c r="H8120" t="n">
        <v>0</v>
      </c>
      <c r="I8120" t="n">
        <v>0</v>
      </c>
      <c r="J8120" t="n">
        <v>0</v>
      </c>
      <c r="K8120" t="n">
        <v>0</v>
      </c>
      <c r="L8120" t="n">
        <v>0</v>
      </c>
      <c r="M8120" t="n">
        <v>0</v>
      </c>
      <c r="N8120" t="n">
        <v>0</v>
      </c>
      <c r="O8120" t="n">
        <v>0</v>
      </c>
      <c r="P8120" t="n">
        <v>0</v>
      </c>
      <c r="Q8120" t="n">
        <v>0</v>
      </c>
      <c r="R8120" s="2" t="inlineStr"/>
    </row>
    <row r="8121" ht="15" customHeight="1">
      <c r="A8121" t="inlineStr">
        <is>
          <t>A 51911-2022</t>
        </is>
      </c>
      <c r="B8121" s="1" t="n">
        <v>44872</v>
      </c>
      <c r="C8121" s="1" t="n">
        <v>45810</v>
      </c>
      <c r="D8121" t="inlineStr">
        <is>
          <t>VÄRMLANDS LÄN</t>
        </is>
      </c>
      <c r="E8121" t="inlineStr">
        <is>
          <t>TORSBY</t>
        </is>
      </c>
      <c r="F8121" t="inlineStr">
        <is>
          <t>Bergvik skog väst AB</t>
        </is>
      </c>
      <c r="G8121" t="n">
        <v>5</v>
      </c>
      <c r="H8121" t="n">
        <v>0</v>
      </c>
      <c r="I8121" t="n">
        <v>0</v>
      </c>
      <c r="J8121" t="n">
        <v>0</v>
      </c>
      <c r="K8121" t="n">
        <v>0</v>
      </c>
      <c r="L8121" t="n">
        <v>0</v>
      </c>
      <c r="M8121" t="n">
        <v>0</v>
      </c>
      <c r="N8121" t="n">
        <v>0</v>
      </c>
      <c r="O8121" t="n">
        <v>0</v>
      </c>
      <c r="P8121" t="n">
        <v>0</v>
      </c>
      <c r="Q8121" t="n">
        <v>0</v>
      </c>
      <c r="R8121" s="2" t="inlineStr"/>
    </row>
    <row r="8122" ht="15" customHeight="1">
      <c r="A8122" t="inlineStr">
        <is>
          <t>A 51914-2022</t>
        </is>
      </c>
      <c r="B8122" s="1" t="n">
        <v>44872</v>
      </c>
      <c r="C8122" s="1" t="n">
        <v>45810</v>
      </c>
      <c r="D8122" t="inlineStr">
        <is>
          <t>VÄRMLANDS LÄN</t>
        </is>
      </c>
      <c r="E8122" t="inlineStr">
        <is>
          <t>KARLSTAD</t>
        </is>
      </c>
      <c r="F8122" t="inlineStr">
        <is>
          <t>Bergvik skog väst AB</t>
        </is>
      </c>
      <c r="G8122" t="n">
        <v>10</v>
      </c>
      <c r="H8122" t="n">
        <v>0</v>
      </c>
      <c r="I8122" t="n">
        <v>0</v>
      </c>
      <c r="J8122" t="n">
        <v>0</v>
      </c>
      <c r="K8122" t="n">
        <v>0</v>
      </c>
      <c r="L8122" t="n">
        <v>0</v>
      </c>
      <c r="M8122" t="n">
        <v>0</v>
      </c>
      <c r="N8122" t="n">
        <v>0</v>
      </c>
      <c r="O8122" t="n">
        <v>0</v>
      </c>
      <c r="P8122" t="n">
        <v>0</v>
      </c>
      <c r="Q8122" t="n">
        <v>0</v>
      </c>
      <c r="R8122" s="2" t="inlineStr"/>
    </row>
    <row r="8123" ht="15" customHeight="1">
      <c r="A8123" t="inlineStr">
        <is>
          <t>A 51975-2022</t>
        </is>
      </c>
      <c r="B8123" s="1" t="n">
        <v>44872</v>
      </c>
      <c r="C8123" s="1" t="n">
        <v>45810</v>
      </c>
      <c r="D8123" t="inlineStr">
        <is>
          <t>VÄRMLANDS LÄN</t>
        </is>
      </c>
      <c r="E8123" t="inlineStr">
        <is>
          <t>ÅRJÄNG</t>
        </is>
      </c>
      <c r="G8123" t="n">
        <v>0.6</v>
      </c>
      <c r="H8123" t="n">
        <v>0</v>
      </c>
      <c r="I8123" t="n">
        <v>0</v>
      </c>
      <c r="J8123" t="n">
        <v>0</v>
      </c>
      <c r="K8123" t="n">
        <v>0</v>
      </c>
      <c r="L8123" t="n">
        <v>0</v>
      </c>
      <c r="M8123" t="n">
        <v>0</v>
      </c>
      <c r="N8123" t="n">
        <v>0</v>
      </c>
      <c r="O8123" t="n">
        <v>0</v>
      </c>
      <c r="P8123" t="n">
        <v>0</v>
      </c>
      <c r="Q8123" t="n">
        <v>0</v>
      </c>
      <c r="R8123" s="2" t="inlineStr"/>
    </row>
    <row r="8124" ht="15" customHeight="1">
      <c r="A8124" t="inlineStr">
        <is>
          <t>A 51988-2022</t>
        </is>
      </c>
      <c r="B8124" s="1" t="n">
        <v>44872</v>
      </c>
      <c r="C8124" s="1" t="n">
        <v>45810</v>
      </c>
      <c r="D8124" t="inlineStr">
        <is>
          <t>VÄRMLANDS LÄN</t>
        </is>
      </c>
      <c r="E8124" t="inlineStr">
        <is>
          <t>SUNNE</t>
        </is>
      </c>
      <c r="G8124" t="n">
        <v>1.6</v>
      </c>
      <c r="H8124" t="n">
        <v>0</v>
      </c>
      <c r="I8124" t="n">
        <v>0</v>
      </c>
      <c r="J8124" t="n">
        <v>0</v>
      </c>
      <c r="K8124" t="n">
        <v>0</v>
      </c>
      <c r="L8124" t="n">
        <v>0</v>
      </c>
      <c r="M8124" t="n">
        <v>0</v>
      </c>
      <c r="N8124" t="n">
        <v>0</v>
      </c>
      <c r="O8124" t="n">
        <v>0</v>
      </c>
      <c r="P8124" t="n">
        <v>0</v>
      </c>
      <c r="Q8124" t="n">
        <v>0</v>
      </c>
      <c r="R8124" s="2" t="inlineStr"/>
    </row>
    <row r="8125" ht="15" customHeight="1">
      <c r="A8125" t="inlineStr">
        <is>
          <t>A 52921-2022</t>
        </is>
      </c>
      <c r="B8125" s="1" t="n">
        <v>44872</v>
      </c>
      <c r="C8125" s="1" t="n">
        <v>45810</v>
      </c>
      <c r="D8125" t="inlineStr">
        <is>
          <t>VÄRMLANDS LÄN</t>
        </is>
      </c>
      <c r="E8125" t="inlineStr">
        <is>
          <t>TORSBY</t>
        </is>
      </c>
      <c r="G8125" t="n">
        <v>2.9</v>
      </c>
      <c r="H8125" t="n">
        <v>0</v>
      </c>
      <c r="I8125" t="n">
        <v>0</v>
      </c>
      <c r="J8125" t="n">
        <v>0</v>
      </c>
      <c r="K8125" t="n">
        <v>0</v>
      </c>
      <c r="L8125" t="n">
        <v>0</v>
      </c>
      <c r="M8125" t="n">
        <v>0</v>
      </c>
      <c r="N8125" t="n">
        <v>0</v>
      </c>
      <c r="O8125" t="n">
        <v>0</v>
      </c>
      <c r="P8125" t="n">
        <v>0</v>
      </c>
      <c r="Q8125" t="n">
        <v>0</v>
      </c>
      <c r="R8125" s="2" t="inlineStr"/>
    </row>
    <row r="8126" ht="15" customHeight="1">
      <c r="A8126" t="inlineStr">
        <is>
          <t>A 52901-2022</t>
        </is>
      </c>
      <c r="B8126" s="1" t="n">
        <v>44872</v>
      </c>
      <c r="C8126" s="1" t="n">
        <v>45810</v>
      </c>
      <c r="D8126" t="inlineStr">
        <is>
          <t>VÄRMLANDS LÄN</t>
        </is>
      </c>
      <c r="E8126" t="inlineStr">
        <is>
          <t>TORSBY</t>
        </is>
      </c>
      <c r="G8126" t="n">
        <v>1.4</v>
      </c>
      <c r="H8126" t="n">
        <v>0</v>
      </c>
      <c r="I8126" t="n">
        <v>0</v>
      </c>
      <c r="J8126" t="n">
        <v>0</v>
      </c>
      <c r="K8126" t="n">
        <v>0</v>
      </c>
      <c r="L8126" t="n">
        <v>0</v>
      </c>
      <c r="M8126" t="n">
        <v>0</v>
      </c>
      <c r="N8126" t="n">
        <v>0</v>
      </c>
      <c r="O8126" t="n">
        <v>0</v>
      </c>
      <c r="P8126" t="n">
        <v>0</v>
      </c>
      <c r="Q8126" t="n">
        <v>0</v>
      </c>
      <c r="R8126" s="2" t="inlineStr"/>
    </row>
    <row r="8127" ht="15" customHeight="1">
      <c r="A8127" t="inlineStr">
        <is>
          <t>A 52203-2022</t>
        </is>
      </c>
      <c r="B8127" s="1" t="n">
        <v>44873</v>
      </c>
      <c r="C8127" s="1" t="n">
        <v>45810</v>
      </c>
      <c r="D8127" t="inlineStr">
        <is>
          <t>VÄRMLANDS LÄN</t>
        </is>
      </c>
      <c r="E8127" t="inlineStr">
        <is>
          <t>ÅRJÄNG</t>
        </is>
      </c>
      <c r="G8127" t="n">
        <v>6.4</v>
      </c>
      <c r="H8127" t="n">
        <v>0</v>
      </c>
      <c r="I8127" t="n">
        <v>0</v>
      </c>
      <c r="J8127" t="n">
        <v>0</v>
      </c>
      <c r="K8127" t="n">
        <v>0</v>
      </c>
      <c r="L8127" t="n">
        <v>0</v>
      </c>
      <c r="M8127" t="n">
        <v>0</v>
      </c>
      <c r="N8127" t="n">
        <v>0</v>
      </c>
      <c r="O8127" t="n">
        <v>0</v>
      </c>
      <c r="P8127" t="n">
        <v>0</v>
      </c>
      <c r="Q8127" t="n">
        <v>0</v>
      </c>
      <c r="R8127" s="2" t="inlineStr"/>
    </row>
    <row r="8128" ht="15" customHeight="1">
      <c r="A8128" t="inlineStr">
        <is>
          <t>A 52286-2022</t>
        </is>
      </c>
      <c r="B8128" s="1" t="n">
        <v>44873</v>
      </c>
      <c r="C8128" s="1" t="n">
        <v>45810</v>
      </c>
      <c r="D8128" t="inlineStr">
        <is>
          <t>VÄRMLANDS LÄN</t>
        </is>
      </c>
      <c r="E8128" t="inlineStr">
        <is>
          <t>TORSBY</t>
        </is>
      </c>
      <c r="F8128" t="inlineStr">
        <is>
          <t>Bergvik skog väst AB</t>
        </is>
      </c>
      <c r="G8128" t="n">
        <v>51.4</v>
      </c>
      <c r="H8128" t="n">
        <v>0</v>
      </c>
      <c r="I8128" t="n">
        <v>0</v>
      </c>
      <c r="J8128" t="n">
        <v>0</v>
      </c>
      <c r="K8128" t="n">
        <v>0</v>
      </c>
      <c r="L8128" t="n">
        <v>0</v>
      </c>
      <c r="M8128" t="n">
        <v>0</v>
      </c>
      <c r="N8128" t="n">
        <v>0</v>
      </c>
      <c r="O8128" t="n">
        <v>0</v>
      </c>
      <c r="P8128" t="n">
        <v>0</v>
      </c>
      <c r="Q8128" t="n">
        <v>0</v>
      </c>
      <c r="R8128" s="2" t="inlineStr"/>
    </row>
    <row r="8129" ht="15" customHeight="1">
      <c r="A8129" t="inlineStr">
        <is>
          <t>A 53038-2022</t>
        </is>
      </c>
      <c r="B8129" s="1" t="n">
        <v>44873</v>
      </c>
      <c r="C8129" s="1" t="n">
        <v>45810</v>
      </c>
      <c r="D8129" t="inlineStr">
        <is>
          <t>VÄRMLANDS LÄN</t>
        </is>
      </c>
      <c r="E8129" t="inlineStr">
        <is>
          <t>KARLSTAD</t>
        </is>
      </c>
      <c r="G8129" t="n">
        <v>1.5</v>
      </c>
      <c r="H8129" t="n">
        <v>0</v>
      </c>
      <c r="I8129" t="n">
        <v>0</v>
      </c>
      <c r="J8129" t="n">
        <v>0</v>
      </c>
      <c r="K8129" t="n">
        <v>0</v>
      </c>
      <c r="L8129" t="n">
        <v>0</v>
      </c>
      <c r="M8129" t="n">
        <v>0</v>
      </c>
      <c r="N8129" t="n">
        <v>0</v>
      </c>
      <c r="O8129" t="n">
        <v>0</v>
      </c>
      <c r="P8129" t="n">
        <v>0</v>
      </c>
      <c r="Q8129" t="n">
        <v>0</v>
      </c>
      <c r="R8129" s="2" t="inlineStr"/>
    </row>
    <row r="8130" ht="15" customHeight="1">
      <c r="A8130" t="inlineStr">
        <is>
          <t>A 52184-2022</t>
        </is>
      </c>
      <c r="B8130" s="1" t="n">
        <v>44873</v>
      </c>
      <c r="C8130" s="1" t="n">
        <v>45810</v>
      </c>
      <c r="D8130" t="inlineStr">
        <is>
          <t>VÄRMLANDS LÄN</t>
        </is>
      </c>
      <c r="E8130" t="inlineStr">
        <is>
          <t>ÅRJÄNG</t>
        </is>
      </c>
      <c r="G8130" t="n">
        <v>6.6</v>
      </c>
      <c r="H8130" t="n">
        <v>0</v>
      </c>
      <c r="I8130" t="n">
        <v>0</v>
      </c>
      <c r="J8130" t="n">
        <v>0</v>
      </c>
      <c r="K8130" t="n">
        <v>0</v>
      </c>
      <c r="L8130" t="n">
        <v>0</v>
      </c>
      <c r="M8130" t="n">
        <v>0</v>
      </c>
      <c r="N8130" t="n">
        <v>0</v>
      </c>
      <c r="O8130" t="n">
        <v>0</v>
      </c>
      <c r="P8130" t="n">
        <v>0</v>
      </c>
      <c r="Q8130" t="n">
        <v>0</v>
      </c>
      <c r="R8130" s="2" t="inlineStr"/>
    </row>
    <row r="8131" ht="15" customHeight="1">
      <c r="A8131" t="inlineStr">
        <is>
          <t>A 52371-2022</t>
        </is>
      </c>
      <c r="B8131" s="1" t="n">
        <v>44874</v>
      </c>
      <c r="C8131" s="1" t="n">
        <v>45810</v>
      </c>
      <c r="D8131" t="inlineStr">
        <is>
          <t>VÄRMLANDS LÄN</t>
        </is>
      </c>
      <c r="E8131" t="inlineStr">
        <is>
          <t>KRISTINEHAMN</t>
        </is>
      </c>
      <c r="G8131" t="n">
        <v>4</v>
      </c>
      <c r="H8131" t="n">
        <v>0</v>
      </c>
      <c r="I8131" t="n">
        <v>0</v>
      </c>
      <c r="J8131" t="n">
        <v>0</v>
      </c>
      <c r="K8131" t="n">
        <v>0</v>
      </c>
      <c r="L8131" t="n">
        <v>0</v>
      </c>
      <c r="M8131" t="n">
        <v>0</v>
      </c>
      <c r="N8131" t="n">
        <v>0</v>
      </c>
      <c r="O8131" t="n">
        <v>0</v>
      </c>
      <c r="P8131" t="n">
        <v>0</v>
      </c>
      <c r="Q8131" t="n">
        <v>0</v>
      </c>
      <c r="R8131" s="2" t="inlineStr"/>
    </row>
    <row r="8132" ht="15" customHeight="1">
      <c r="A8132" t="inlineStr">
        <is>
          <t>A 52393-2022</t>
        </is>
      </c>
      <c r="B8132" s="1" t="n">
        <v>44874</v>
      </c>
      <c r="C8132" s="1" t="n">
        <v>45810</v>
      </c>
      <c r="D8132" t="inlineStr">
        <is>
          <t>VÄRMLANDS LÄN</t>
        </is>
      </c>
      <c r="E8132" t="inlineStr">
        <is>
          <t>TORSBY</t>
        </is>
      </c>
      <c r="G8132" t="n">
        <v>9.800000000000001</v>
      </c>
      <c r="H8132" t="n">
        <v>0</v>
      </c>
      <c r="I8132" t="n">
        <v>0</v>
      </c>
      <c r="J8132" t="n">
        <v>0</v>
      </c>
      <c r="K8132" t="n">
        <v>0</v>
      </c>
      <c r="L8132" t="n">
        <v>0</v>
      </c>
      <c r="M8132" t="n">
        <v>0</v>
      </c>
      <c r="N8132" t="n">
        <v>0</v>
      </c>
      <c r="O8132" t="n">
        <v>0</v>
      </c>
      <c r="P8132" t="n">
        <v>0</v>
      </c>
      <c r="Q8132" t="n">
        <v>0</v>
      </c>
      <c r="R8132" s="2" t="inlineStr"/>
    </row>
    <row r="8133" ht="15" customHeight="1">
      <c r="A8133" t="inlineStr">
        <is>
          <t>A 52449-2022</t>
        </is>
      </c>
      <c r="B8133" s="1" t="n">
        <v>44874</v>
      </c>
      <c r="C8133" s="1" t="n">
        <v>45810</v>
      </c>
      <c r="D8133" t="inlineStr">
        <is>
          <t>VÄRMLANDS LÄN</t>
        </is>
      </c>
      <c r="E8133" t="inlineStr">
        <is>
          <t>ARVIKA</t>
        </is>
      </c>
      <c r="F8133" t="inlineStr">
        <is>
          <t>Bergvik skog väst AB</t>
        </is>
      </c>
      <c r="G8133" t="n">
        <v>4.7</v>
      </c>
      <c r="H8133" t="n">
        <v>0</v>
      </c>
      <c r="I8133" t="n">
        <v>0</v>
      </c>
      <c r="J8133" t="n">
        <v>0</v>
      </c>
      <c r="K8133" t="n">
        <v>0</v>
      </c>
      <c r="L8133" t="n">
        <v>0</v>
      </c>
      <c r="M8133" t="n">
        <v>0</v>
      </c>
      <c r="N8133" t="n">
        <v>0</v>
      </c>
      <c r="O8133" t="n">
        <v>0</v>
      </c>
      <c r="P8133" t="n">
        <v>0</v>
      </c>
      <c r="Q8133" t="n">
        <v>0</v>
      </c>
      <c r="R8133" s="2" t="inlineStr"/>
    </row>
    <row r="8134" ht="15" customHeight="1">
      <c r="A8134" t="inlineStr">
        <is>
          <t>A 52530-2022</t>
        </is>
      </c>
      <c r="B8134" s="1" t="n">
        <v>44874</v>
      </c>
      <c r="C8134" s="1" t="n">
        <v>45810</v>
      </c>
      <c r="D8134" t="inlineStr">
        <is>
          <t>VÄRMLANDS LÄN</t>
        </is>
      </c>
      <c r="E8134" t="inlineStr">
        <is>
          <t>EDA</t>
        </is>
      </c>
      <c r="G8134" t="n">
        <v>1.6</v>
      </c>
      <c r="H8134" t="n">
        <v>0</v>
      </c>
      <c r="I8134" t="n">
        <v>0</v>
      </c>
      <c r="J8134" t="n">
        <v>0</v>
      </c>
      <c r="K8134" t="n">
        <v>0</v>
      </c>
      <c r="L8134" t="n">
        <v>0</v>
      </c>
      <c r="M8134" t="n">
        <v>0</v>
      </c>
      <c r="N8134" t="n">
        <v>0</v>
      </c>
      <c r="O8134" t="n">
        <v>0</v>
      </c>
      <c r="P8134" t="n">
        <v>0</v>
      </c>
      <c r="Q8134" t="n">
        <v>0</v>
      </c>
      <c r="R8134" s="2" t="inlineStr"/>
    </row>
    <row r="8135" ht="15" customHeight="1">
      <c r="A8135" t="inlineStr">
        <is>
          <t>A 52546-2022</t>
        </is>
      </c>
      <c r="B8135" s="1" t="n">
        <v>44874</v>
      </c>
      <c r="C8135" s="1" t="n">
        <v>45810</v>
      </c>
      <c r="D8135" t="inlineStr">
        <is>
          <t>VÄRMLANDS LÄN</t>
        </is>
      </c>
      <c r="E8135" t="inlineStr">
        <is>
          <t>TORSBY</t>
        </is>
      </c>
      <c r="G8135" t="n">
        <v>2.6</v>
      </c>
      <c r="H8135" t="n">
        <v>0</v>
      </c>
      <c r="I8135" t="n">
        <v>0</v>
      </c>
      <c r="J8135" t="n">
        <v>0</v>
      </c>
      <c r="K8135" t="n">
        <v>0</v>
      </c>
      <c r="L8135" t="n">
        <v>0</v>
      </c>
      <c r="M8135" t="n">
        <v>0</v>
      </c>
      <c r="N8135" t="n">
        <v>0</v>
      </c>
      <c r="O8135" t="n">
        <v>0</v>
      </c>
      <c r="P8135" t="n">
        <v>0</v>
      </c>
      <c r="Q8135" t="n">
        <v>0</v>
      </c>
      <c r="R8135" s="2" t="inlineStr"/>
    </row>
    <row r="8136" ht="15" customHeight="1">
      <c r="A8136" t="inlineStr">
        <is>
          <t>A 52529-2022</t>
        </is>
      </c>
      <c r="B8136" s="1" t="n">
        <v>44874</v>
      </c>
      <c r="C8136" s="1" t="n">
        <v>45810</v>
      </c>
      <c r="D8136" t="inlineStr">
        <is>
          <t>VÄRMLANDS LÄN</t>
        </is>
      </c>
      <c r="E8136" t="inlineStr">
        <is>
          <t>ARVIKA</t>
        </is>
      </c>
      <c r="F8136" t="inlineStr">
        <is>
          <t>Bergvik skog väst AB</t>
        </is>
      </c>
      <c r="G8136" t="n">
        <v>3</v>
      </c>
      <c r="H8136" t="n">
        <v>0</v>
      </c>
      <c r="I8136" t="n">
        <v>0</v>
      </c>
      <c r="J8136" t="n">
        <v>0</v>
      </c>
      <c r="K8136" t="n">
        <v>0</v>
      </c>
      <c r="L8136" t="n">
        <v>0</v>
      </c>
      <c r="M8136" t="n">
        <v>0</v>
      </c>
      <c r="N8136" t="n">
        <v>0</v>
      </c>
      <c r="O8136" t="n">
        <v>0</v>
      </c>
      <c r="P8136" t="n">
        <v>0</v>
      </c>
      <c r="Q8136" t="n">
        <v>0</v>
      </c>
      <c r="R8136" s="2" t="inlineStr"/>
    </row>
    <row r="8137" ht="15" customHeight="1">
      <c r="A8137" t="inlineStr">
        <is>
          <t>A 52582-2022</t>
        </is>
      </c>
      <c r="B8137" s="1" t="n">
        <v>44874</v>
      </c>
      <c r="C8137" s="1" t="n">
        <v>45810</v>
      </c>
      <c r="D8137" t="inlineStr">
        <is>
          <t>VÄRMLANDS LÄN</t>
        </is>
      </c>
      <c r="E8137" t="inlineStr">
        <is>
          <t>ARVIKA</t>
        </is>
      </c>
      <c r="F8137" t="inlineStr">
        <is>
          <t>Bergvik skog väst AB</t>
        </is>
      </c>
      <c r="G8137" t="n">
        <v>10.2</v>
      </c>
      <c r="H8137" t="n">
        <v>0</v>
      </c>
      <c r="I8137" t="n">
        <v>0</v>
      </c>
      <c r="J8137" t="n">
        <v>0</v>
      </c>
      <c r="K8137" t="n">
        <v>0</v>
      </c>
      <c r="L8137" t="n">
        <v>0</v>
      </c>
      <c r="M8137" t="n">
        <v>0</v>
      </c>
      <c r="N8137" t="n">
        <v>0</v>
      </c>
      <c r="O8137" t="n">
        <v>0</v>
      </c>
      <c r="P8137" t="n">
        <v>0</v>
      </c>
      <c r="Q8137" t="n">
        <v>0</v>
      </c>
      <c r="R8137" s="2" t="inlineStr"/>
    </row>
    <row r="8138" ht="15" customHeight="1">
      <c r="A8138" t="inlineStr">
        <is>
          <t>A 52368-2022</t>
        </is>
      </c>
      <c r="B8138" s="1" t="n">
        <v>44874</v>
      </c>
      <c r="C8138" s="1" t="n">
        <v>45810</v>
      </c>
      <c r="D8138" t="inlineStr">
        <is>
          <t>VÄRMLANDS LÄN</t>
        </is>
      </c>
      <c r="E8138" t="inlineStr">
        <is>
          <t>EDA</t>
        </is>
      </c>
      <c r="G8138" t="n">
        <v>2.5</v>
      </c>
      <c r="H8138" t="n">
        <v>0</v>
      </c>
      <c r="I8138" t="n">
        <v>0</v>
      </c>
      <c r="J8138" t="n">
        <v>0</v>
      </c>
      <c r="K8138" t="n">
        <v>0</v>
      </c>
      <c r="L8138" t="n">
        <v>0</v>
      </c>
      <c r="M8138" t="n">
        <v>0</v>
      </c>
      <c r="N8138" t="n">
        <v>0</v>
      </c>
      <c r="O8138" t="n">
        <v>0</v>
      </c>
      <c r="P8138" t="n">
        <v>0</v>
      </c>
      <c r="Q8138" t="n">
        <v>0</v>
      </c>
      <c r="R8138" s="2" t="inlineStr"/>
    </row>
    <row r="8139" ht="15" customHeight="1">
      <c r="A8139" t="inlineStr">
        <is>
          <t>A 52376-2022</t>
        </is>
      </c>
      <c r="B8139" s="1" t="n">
        <v>44874</v>
      </c>
      <c r="C8139" s="1" t="n">
        <v>45810</v>
      </c>
      <c r="D8139" t="inlineStr">
        <is>
          <t>VÄRMLANDS LÄN</t>
        </is>
      </c>
      <c r="E8139" t="inlineStr">
        <is>
          <t>EDA</t>
        </is>
      </c>
      <c r="G8139" t="n">
        <v>1.7</v>
      </c>
      <c r="H8139" t="n">
        <v>0</v>
      </c>
      <c r="I8139" t="n">
        <v>0</v>
      </c>
      <c r="J8139" t="n">
        <v>0</v>
      </c>
      <c r="K8139" t="n">
        <v>0</v>
      </c>
      <c r="L8139" t="n">
        <v>0</v>
      </c>
      <c r="M8139" t="n">
        <v>0</v>
      </c>
      <c r="N8139" t="n">
        <v>0</v>
      </c>
      <c r="O8139" t="n">
        <v>0</v>
      </c>
      <c r="P8139" t="n">
        <v>0</v>
      </c>
      <c r="Q8139" t="n">
        <v>0</v>
      </c>
      <c r="R8139" s="2" t="inlineStr"/>
    </row>
    <row r="8140" ht="15" customHeight="1">
      <c r="A8140" t="inlineStr">
        <is>
          <t>A 52386-2022</t>
        </is>
      </c>
      <c r="B8140" s="1" t="n">
        <v>44874</v>
      </c>
      <c r="C8140" s="1" t="n">
        <v>45810</v>
      </c>
      <c r="D8140" t="inlineStr">
        <is>
          <t>VÄRMLANDS LÄN</t>
        </is>
      </c>
      <c r="E8140" t="inlineStr">
        <is>
          <t>TORSBY</t>
        </is>
      </c>
      <c r="G8140" t="n">
        <v>6.7</v>
      </c>
      <c r="H8140" t="n">
        <v>0</v>
      </c>
      <c r="I8140" t="n">
        <v>0</v>
      </c>
      <c r="J8140" t="n">
        <v>0</v>
      </c>
      <c r="K8140" t="n">
        <v>0</v>
      </c>
      <c r="L8140" t="n">
        <v>0</v>
      </c>
      <c r="M8140" t="n">
        <v>0</v>
      </c>
      <c r="N8140" t="n">
        <v>0</v>
      </c>
      <c r="O8140" t="n">
        <v>0</v>
      </c>
      <c r="P8140" t="n">
        <v>0</v>
      </c>
      <c r="Q8140" t="n">
        <v>0</v>
      </c>
      <c r="R8140" s="2" t="inlineStr"/>
    </row>
    <row r="8141" ht="15" customHeight="1">
      <c r="A8141" t="inlineStr">
        <is>
          <t>A 52391-2022</t>
        </is>
      </c>
      <c r="B8141" s="1" t="n">
        <v>44874</v>
      </c>
      <c r="C8141" s="1" t="n">
        <v>45810</v>
      </c>
      <c r="D8141" t="inlineStr">
        <is>
          <t>VÄRMLANDS LÄN</t>
        </is>
      </c>
      <c r="E8141" t="inlineStr">
        <is>
          <t>EDA</t>
        </is>
      </c>
      <c r="G8141" t="n">
        <v>1.2</v>
      </c>
      <c r="H8141" t="n">
        <v>0</v>
      </c>
      <c r="I8141" t="n">
        <v>0</v>
      </c>
      <c r="J8141" t="n">
        <v>0</v>
      </c>
      <c r="K8141" t="n">
        <v>0</v>
      </c>
      <c r="L8141" t="n">
        <v>0</v>
      </c>
      <c r="M8141" t="n">
        <v>0</v>
      </c>
      <c r="N8141" t="n">
        <v>0</v>
      </c>
      <c r="O8141" t="n">
        <v>0</v>
      </c>
      <c r="P8141" t="n">
        <v>0</v>
      </c>
      <c r="Q8141" t="n">
        <v>0</v>
      </c>
      <c r="R8141" s="2" t="inlineStr"/>
    </row>
    <row r="8142" ht="15" customHeight="1">
      <c r="A8142" t="inlineStr">
        <is>
          <t>A 52410-2022</t>
        </is>
      </c>
      <c r="B8142" s="1" t="n">
        <v>44874</v>
      </c>
      <c r="C8142" s="1" t="n">
        <v>45810</v>
      </c>
      <c r="D8142" t="inlineStr">
        <is>
          <t>VÄRMLANDS LÄN</t>
        </is>
      </c>
      <c r="E8142" t="inlineStr">
        <is>
          <t>EDA</t>
        </is>
      </c>
      <c r="G8142" t="n">
        <v>3.8</v>
      </c>
      <c r="H8142" t="n">
        <v>0</v>
      </c>
      <c r="I8142" t="n">
        <v>0</v>
      </c>
      <c r="J8142" t="n">
        <v>0</v>
      </c>
      <c r="K8142" t="n">
        <v>0</v>
      </c>
      <c r="L8142" t="n">
        <v>0</v>
      </c>
      <c r="M8142" t="n">
        <v>0</v>
      </c>
      <c r="N8142" t="n">
        <v>0</v>
      </c>
      <c r="O8142" t="n">
        <v>0</v>
      </c>
      <c r="P8142" t="n">
        <v>0</v>
      </c>
      <c r="Q8142" t="n">
        <v>0</v>
      </c>
      <c r="R8142" s="2" t="inlineStr"/>
    </row>
    <row r="8143" ht="15" customHeight="1">
      <c r="A8143" t="inlineStr">
        <is>
          <t>A 52438-2022</t>
        </is>
      </c>
      <c r="B8143" s="1" t="n">
        <v>44874</v>
      </c>
      <c r="C8143" s="1" t="n">
        <v>45810</v>
      </c>
      <c r="D8143" t="inlineStr">
        <is>
          <t>VÄRMLANDS LÄN</t>
        </is>
      </c>
      <c r="E8143" t="inlineStr">
        <is>
          <t>KIL</t>
        </is>
      </c>
      <c r="G8143" t="n">
        <v>2.6</v>
      </c>
      <c r="H8143" t="n">
        <v>0</v>
      </c>
      <c r="I8143" t="n">
        <v>0</v>
      </c>
      <c r="J8143" t="n">
        <v>0</v>
      </c>
      <c r="K8143" t="n">
        <v>0</v>
      </c>
      <c r="L8143" t="n">
        <v>0</v>
      </c>
      <c r="M8143" t="n">
        <v>0</v>
      </c>
      <c r="N8143" t="n">
        <v>0</v>
      </c>
      <c r="O8143" t="n">
        <v>0</v>
      </c>
      <c r="P8143" t="n">
        <v>0</v>
      </c>
      <c r="Q8143" t="n">
        <v>0</v>
      </c>
      <c r="R8143" s="2" t="inlineStr"/>
    </row>
    <row r="8144" ht="15" customHeight="1">
      <c r="A8144" t="inlineStr">
        <is>
          <t>A 52528-2022</t>
        </is>
      </c>
      <c r="B8144" s="1" t="n">
        <v>44874</v>
      </c>
      <c r="C8144" s="1" t="n">
        <v>45810</v>
      </c>
      <c r="D8144" t="inlineStr">
        <is>
          <t>VÄRMLANDS LÄN</t>
        </is>
      </c>
      <c r="E8144" t="inlineStr">
        <is>
          <t>SUNNE</t>
        </is>
      </c>
      <c r="F8144" t="inlineStr">
        <is>
          <t>Bergvik skog väst AB</t>
        </is>
      </c>
      <c r="G8144" t="n">
        <v>0.7</v>
      </c>
      <c r="H8144" t="n">
        <v>0</v>
      </c>
      <c r="I8144" t="n">
        <v>0</v>
      </c>
      <c r="J8144" t="n">
        <v>0</v>
      </c>
      <c r="K8144" t="n">
        <v>0</v>
      </c>
      <c r="L8144" t="n">
        <v>0</v>
      </c>
      <c r="M8144" t="n">
        <v>0</v>
      </c>
      <c r="N8144" t="n">
        <v>0</v>
      </c>
      <c r="O8144" t="n">
        <v>0</v>
      </c>
      <c r="P8144" t="n">
        <v>0</v>
      </c>
      <c r="Q8144" t="n">
        <v>0</v>
      </c>
      <c r="R8144" s="2" t="inlineStr"/>
    </row>
    <row r="8145" ht="15" customHeight="1">
      <c r="A8145" t="inlineStr">
        <is>
          <t>A 52543-2022</t>
        </is>
      </c>
      <c r="B8145" s="1" t="n">
        <v>44874</v>
      </c>
      <c r="C8145" s="1" t="n">
        <v>45810</v>
      </c>
      <c r="D8145" t="inlineStr">
        <is>
          <t>VÄRMLANDS LÄN</t>
        </is>
      </c>
      <c r="E8145" t="inlineStr">
        <is>
          <t>TORSBY</t>
        </is>
      </c>
      <c r="G8145" t="n">
        <v>10.1</v>
      </c>
      <c r="H8145" t="n">
        <v>0</v>
      </c>
      <c r="I8145" t="n">
        <v>0</v>
      </c>
      <c r="J8145" t="n">
        <v>0</v>
      </c>
      <c r="K8145" t="n">
        <v>0</v>
      </c>
      <c r="L8145" t="n">
        <v>0</v>
      </c>
      <c r="M8145" t="n">
        <v>0</v>
      </c>
      <c r="N8145" t="n">
        <v>0</v>
      </c>
      <c r="O8145" t="n">
        <v>0</v>
      </c>
      <c r="P8145" t="n">
        <v>0</v>
      </c>
      <c r="Q8145" t="n">
        <v>0</v>
      </c>
      <c r="R8145" s="2" t="inlineStr"/>
    </row>
    <row r="8146" ht="15" customHeight="1">
      <c r="A8146" t="inlineStr">
        <is>
          <t>A 52374-2022</t>
        </is>
      </c>
      <c r="B8146" s="1" t="n">
        <v>44874</v>
      </c>
      <c r="C8146" s="1" t="n">
        <v>45810</v>
      </c>
      <c r="D8146" t="inlineStr">
        <is>
          <t>VÄRMLANDS LÄN</t>
        </is>
      </c>
      <c r="E8146" t="inlineStr">
        <is>
          <t>HAGFORS</t>
        </is>
      </c>
      <c r="G8146" t="n">
        <v>15.5</v>
      </c>
      <c r="H8146" t="n">
        <v>0</v>
      </c>
      <c r="I8146" t="n">
        <v>0</v>
      </c>
      <c r="J8146" t="n">
        <v>0</v>
      </c>
      <c r="K8146" t="n">
        <v>0</v>
      </c>
      <c r="L8146" t="n">
        <v>0</v>
      </c>
      <c r="M8146" t="n">
        <v>0</v>
      </c>
      <c r="N8146" t="n">
        <v>0</v>
      </c>
      <c r="O8146" t="n">
        <v>0</v>
      </c>
      <c r="P8146" t="n">
        <v>0</v>
      </c>
      <c r="Q8146" t="n">
        <v>0</v>
      </c>
      <c r="R8146" s="2" t="inlineStr"/>
    </row>
    <row r="8147" ht="15" customHeight="1">
      <c r="A8147" t="inlineStr">
        <is>
          <t>A 52437-2022</t>
        </is>
      </c>
      <c r="B8147" s="1" t="n">
        <v>44874</v>
      </c>
      <c r="C8147" s="1" t="n">
        <v>45810</v>
      </c>
      <c r="D8147" t="inlineStr">
        <is>
          <t>VÄRMLANDS LÄN</t>
        </is>
      </c>
      <c r="E8147" t="inlineStr">
        <is>
          <t>KIL</t>
        </is>
      </c>
      <c r="G8147" t="n">
        <v>2.2</v>
      </c>
      <c r="H8147" t="n">
        <v>0</v>
      </c>
      <c r="I8147" t="n">
        <v>0</v>
      </c>
      <c r="J8147" t="n">
        <v>0</v>
      </c>
      <c r="K8147" t="n">
        <v>0</v>
      </c>
      <c r="L8147" t="n">
        <v>0</v>
      </c>
      <c r="M8147" t="n">
        <v>0</v>
      </c>
      <c r="N8147" t="n">
        <v>0</v>
      </c>
      <c r="O8147" t="n">
        <v>0</v>
      </c>
      <c r="P8147" t="n">
        <v>0</v>
      </c>
      <c r="Q8147" t="n">
        <v>0</v>
      </c>
      <c r="R8147" s="2" t="inlineStr"/>
    </row>
    <row r="8148" ht="15" customHeight="1">
      <c r="A8148" t="inlineStr">
        <is>
          <t>A 52447-2022</t>
        </is>
      </c>
      <c r="B8148" s="1" t="n">
        <v>44874</v>
      </c>
      <c r="C8148" s="1" t="n">
        <v>45810</v>
      </c>
      <c r="D8148" t="inlineStr">
        <is>
          <t>VÄRMLANDS LÄN</t>
        </is>
      </c>
      <c r="E8148" t="inlineStr">
        <is>
          <t>TORSBY</t>
        </is>
      </c>
      <c r="G8148" t="n">
        <v>1</v>
      </c>
      <c r="H8148" t="n">
        <v>0</v>
      </c>
      <c r="I8148" t="n">
        <v>0</v>
      </c>
      <c r="J8148" t="n">
        <v>0</v>
      </c>
      <c r="K8148" t="n">
        <v>0</v>
      </c>
      <c r="L8148" t="n">
        <v>0</v>
      </c>
      <c r="M8148" t="n">
        <v>0</v>
      </c>
      <c r="N8148" t="n">
        <v>0</v>
      </c>
      <c r="O8148" t="n">
        <v>0</v>
      </c>
      <c r="P8148" t="n">
        <v>0</v>
      </c>
      <c r="Q8148" t="n">
        <v>0</v>
      </c>
      <c r="R8148" s="2" t="inlineStr"/>
    </row>
    <row r="8149" ht="15" customHeight="1">
      <c r="A8149" t="inlineStr">
        <is>
          <t>A 52483-2022</t>
        </is>
      </c>
      <c r="B8149" s="1" t="n">
        <v>44874</v>
      </c>
      <c r="C8149" s="1" t="n">
        <v>45810</v>
      </c>
      <c r="D8149" t="inlineStr">
        <is>
          <t>VÄRMLANDS LÄN</t>
        </is>
      </c>
      <c r="E8149" t="inlineStr">
        <is>
          <t>TORSBY</t>
        </is>
      </c>
      <c r="G8149" t="n">
        <v>1.7</v>
      </c>
      <c r="H8149" t="n">
        <v>0</v>
      </c>
      <c r="I8149" t="n">
        <v>0</v>
      </c>
      <c r="J8149" t="n">
        <v>0</v>
      </c>
      <c r="K8149" t="n">
        <v>0</v>
      </c>
      <c r="L8149" t="n">
        <v>0</v>
      </c>
      <c r="M8149" t="n">
        <v>0</v>
      </c>
      <c r="N8149" t="n">
        <v>0</v>
      </c>
      <c r="O8149" t="n">
        <v>0</v>
      </c>
      <c r="P8149" t="n">
        <v>0</v>
      </c>
      <c r="Q8149" t="n">
        <v>0</v>
      </c>
      <c r="R8149" s="2" t="inlineStr"/>
    </row>
    <row r="8150" ht="15" customHeight="1">
      <c r="A8150" t="inlineStr">
        <is>
          <t>A 52494-2022</t>
        </is>
      </c>
      <c r="B8150" s="1" t="n">
        <v>44874</v>
      </c>
      <c r="C8150" s="1" t="n">
        <v>45810</v>
      </c>
      <c r="D8150" t="inlineStr">
        <is>
          <t>VÄRMLANDS LÄN</t>
        </is>
      </c>
      <c r="E8150" t="inlineStr">
        <is>
          <t>SUNNE</t>
        </is>
      </c>
      <c r="F8150" t="inlineStr">
        <is>
          <t>Bergvik skog väst AB</t>
        </is>
      </c>
      <c r="G8150" t="n">
        <v>2.8</v>
      </c>
      <c r="H8150" t="n">
        <v>0</v>
      </c>
      <c r="I8150" t="n">
        <v>0</v>
      </c>
      <c r="J8150" t="n">
        <v>0</v>
      </c>
      <c r="K8150" t="n">
        <v>0</v>
      </c>
      <c r="L8150" t="n">
        <v>0</v>
      </c>
      <c r="M8150" t="n">
        <v>0</v>
      </c>
      <c r="N8150" t="n">
        <v>0</v>
      </c>
      <c r="O8150" t="n">
        <v>0</v>
      </c>
      <c r="P8150" t="n">
        <v>0</v>
      </c>
      <c r="Q8150" t="n">
        <v>0</v>
      </c>
      <c r="R8150" s="2" t="inlineStr"/>
    </row>
    <row r="8151" ht="15" customHeight="1">
      <c r="A8151" t="inlineStr">
        <is>
          <t>A 52526-2022</t>
        </is>
      </c>
      <c r="B8151" s="1" t="n">
        <v>44874</v>
      </c>
      <c r="C8151" s="1" t="n">
        <v>45810</v>
      </c>
      <c r="D8151" t="inlineStr">
        <is>
          <t>VÄRMLANDS LÄN</t>
        </is>
      </c>
      <c r="E8151" t="inlineStr">
        <is>
          <t>KIL</t>
        </is>
      </c>
      <c r="F8151" t="inlineStr">
        <is>
          <t>Bergvik skog väst AB</t>
        </is>
      </c>
      <c r="G8151" t="n">
        <v>4.1</v>
      </c>
      <c r="H8151" t="n">
        <v>0</v>
      </c>
      <c r="I8151" t="n">
        <v>0</v>
      </c>
      <c r="J8151" t="n">
        <v>0</v>
      </c>
      <c r="K8151" t="n">
        <v>0</v>
      </c>
      <c r="L8151" t="n">
        <v>0</v>
      </c>
      <c r="M8151" t="n">
        <v>0</v>
      </c>
      <c r="N8151" t="n">
        <v>0</v>
      </c>
      <c r="O8151" t="n">
        <v>0</v>
      </c>
      <c r="P8151" t="n">
        <v>0</v>
      </c>
      <c r="Q8151" t="n">
        <v>0</v>
      </c>
      <c r="R8151" s="2" t="inlineStr"/>
    </row>
    <row r="8152" ht="15" customHeight="1">
      <c r="A8152" t="inlineStr">
        <is>
          <t>A 53365-2022</t>
        </is>
      </c>
      <c r="B8152" s="1" t="n">
        <v>44874</v>
      </c>
      <c r="C8152" s="1" t="n">
        <v>45810</v>
      </c>
      <c r="D8152" t="inlineStr">
        <is>
          <t>VÄRMLANDS LÄN</t>
        </is>
      </c>
      <c r="E8152" t="inlineStr">
        <is>
          <t>ARVIKA</t>
        </is>
      </c>
      <c r="G8152" t="n">
        <v>2.8</v>
      </c>
      <c r="H8152" t="n">
        <v>0</v>
      </c>
      <c r="I8152" t="n">
        <v>0</v>
      </c>
      <c r="J8152" t="n">
        <v>0</v>
      </c>
      <c r="K8152" t="n">
        <v>0</v>
      </c>
      <c r="L8152" t="n">
        <v>0</v>
      </c>
      <c r="M8152" t="n">
        <v>0</v>
      </c>
      <c r="N8152" t="n">
        <v>0</v>
      </c>
      <c r="O8152" t="n">
        <v>0</v>
      </c>
      <c r="P8152" t="n">
        <v>0</v>
      </c>
      <c r="Q8152" t="n">
        <v>0</v>
      </c>
      <c r="R8152" s="2" t="inlineStr"/>
    </row>
    <row r="8153" ht="15" customHeight="1">
      <c r="A8153" t="inlineStr">
        <is>
          <t>A 52638-2022</t>
        </is>
      </c>
      <c r="B8153" s="1" t="n">
        <v>44874</v>
      </c>
      <c r="C8153" s="1" t="n">
        <v>45810</v>
      </c>
      <c r="D8153" t="inlineStr">
        <is>
          <t>VÄRMLANDS LÄN</t>
        </is>
      </c>
      <c r="E8153" t="inlineStr">
        <is>
          <t>EDA</t>
        </is>
      </c>
      <c r="F8153" t="inlineStr">
        <is>
          <t>Kommuner</t>
        </is>
      </c>
      <c r="G8153" t="n">
        <v>2.8</v>
      </c>
      <c r="H8153" t="n">
        <v>0</v>
      </c>
      <c r="I8153" t="n">
        <v>0</v>
      </c>
      <c r="J8153" t="n">
        <v>0</v>
      </c>
      <c r="K8153" t="n">
        <v>0</v>
      </c>
      <c r="L8153" t="n">
        <v>0</v>
      </c>
      <c r="M8153" t="n">
        <v>0</v>
      </c>
      <c r="N8153" t="n">
        <v>0</v>
      </c>
      <c r="O8153" t="n">
        <v>0</v>
      </c>
      <c r="P8153" t="n">
        <v>0</v>
      </c>
      <c r="Q8153" t="n">
        <v>0</v>
      </c>
      <c r="R8153" s="2" t="inlineStr"/>
    </row>
    <row r="8154" ht="15" customHeight="1">
      <c r="A8154" t="inlineStr">
        <is>
          <t>A 53392-2022</t>
        </is>
      </c>
      <c r="B8154" s="1" t="n">
        <v>44874</v>
      </c>
      <c r="C8154" s="1" t="n">
        <v>45810</v>
      </c>
      <c r="D8154" t="inlineStr">
        <is>
          <t>VÄRMLANDS LÄN</t>
        </is>
      </c>
      <c r="E8154" t="inlineStr">
        <is>
          <t>ARVIKA</t>
        </is>
      </c>
      <c r="G8154" t="n">
        <v>2.5</v>
      </c>
      <c r="H8154" t="n">
        <v>0</v>
      </c>
      <c r="I8154" t="n">
        <v>0</v>
      </c>
      <c r="J8154" t="n">
        <v>0</v>
      </c>
      <c r="K8154" t="n">
        <v>0</v>
      </c>
      <c r="L8154" t="n">
        <v>0</v>
      </c>
      <c r="M8154" t="n">
        <v>0</v>
      </c>
      <c r="N8154" t="n">
        <v>0</v>
      </c>
      <c r="O8154" t="n">
        <v>0</v>
      </c>
      <c r="P8154" t="n">
        <v>0</v>
      </c>
      <c r="Q8154" t="n">
        <v>0</v>
      </c>
      <c r="R8154" s="2" t="inlineStr"/>
    </row>
    <row r="8155" ht="15" customHeight="1">
      <c r="A8155" t="inlineStr">
        <is>
          <t>A 53376-2022</t>
        </is>
      </c>
      <c r="B8155" s="1" t="n">
        <v>44874</v>
      </c>
      <c r="C8155" s="1" t="n">
        <v>45810</v>
      </c>
      <c r="D8155" t="inlineStr">
        <is>
          <t>VÄRMLANDS LÄN</t>
        </is>
      </c>
      <c r="E8155" t="inlineStr">
        <is>
          <t>ARVIKA</t>
        </is>
      </c>
      <c r="G8155" t="n">
        <v>1.6</v>
      </c>
      <c r="H8155" t="n">
        <v>0</v>
      </c>
      <c r="I8155" t="n">
        <v>0</v>
      </c>
      <c r="J8155" t="n">
        <v>0</v>
      </c>
      <c r="K8155" t="n">
        <v>0</v>
      </c>
      <c r="L8155" t="n">
        <v>0</v>
      </c>
      <c r="M8155" t="n">
        <v>0</v>
      </c>
      <c r="N8155" t="n">
        <v>0</v>
      </c>
      <c r="O8155" t="n">
        <v>0</v>
      </c>
      <c r="P8155" t="n">
        <v>0</v>
      </c>
      <c r="Q8155" t="n">
        <v>0</v>
      </c>
      <c r="R8155" s="2" t="inlineStr"/>
    </row>
    <row r="8156" ht="15" customHeight="1">
      <c r="A8156" t="inlineStr">
        <is>
          <t>A 53398-2022</t>
        </is>
      </c>
      <c r="B8156" s="1" t="n">
        <v>44874</v>
      </c>
      <c r="C8156" s="1" t="n">
        <v>45810</v>
      </c>
      <c r="D8156" t="inlineStr">
        <is>
          <t>VÄRMLANDS LÄN</t>
        </is>
      </c>
      <c r="E8156" t="inlineStr">
        <is>
          <t>ARVIKA</t>
        </is>
      </c>
      <c r="G8156" t="n">
        <v>1.5</v>
      </c>
      <c r="H8156" t="n">
        <v>0</v>
      </c>
      <c r="I8156" t="n">
        <v>0</v>
      </c>
      <c r="J8156" t="n">
        <v>0</v>
      </c>
      <c r="K8156" t="n">
        <v>0</v>
      </c>
      <c r="L8156" t="n">
        <v>0</v>
      </c>
      <c r="M8156" t="n">
        <v>0</v>
      </c>
      <c r="N8156" t="n">
        <v>0</v>
      </c>
      <c r="O8156" t="n">
        <v>0</v>
      </c>
      <c r="P8156" t="n">
        <v>0</v>
      </c>
      <c r="Q8156" t="n">
        <v>0</v>
      </c>
      <c r="R8156" s="2" t="inlineStr"/>
    </row>
    <row r="8157" ht="15" customHeight="1">
      <c r="A8157" t="inlineStr">
        <is>
          <t>A 52761-2022</t>
        </is>
      </c>
      <c r="B8157" s="1" t="n">
        <v>44875</v>
      </c>
      <c r="C8157" s="1" t="n">
        <v>45810</v>
      </c>
      <c r="D8157" t="inlineStr">
        <is>
          <t>VÄRMLANDS LÄN</t>
        </is>
      </c>
      <c r="E8157" t="inlineStr">
        <is>
          <t>ÅRJÄNG</t>
        </is>
      </c>
      <c r="G8157" t="n">
        <v>2.7</v>
      </c>
      <c r="H8157" t="n">
        <v>0</v>
      </c>
      <c r="I8157" t="n">
        <v>0</v>
      </c>
      <c r="J8157" t="n">
        <v>0</v>
      </c>
      <c r="K8157" t="n">
        <v>0</v>
      </c>
      <c r="L8157" t="n">
        <v>0</v>
      </c>
      <c r="M8157" t="n">
        <v>0</v>
      </c>
      <c r="N8157" t="n">
        <v>0</v>
      </c>
      <c r="O8157" t="n">
        <v>0</v>
      </c>
      <c r="P8157" t="n">
        <v>0</v>
      </c>
      <c r="Q8157" t="n">
        <v>0</v>
      </c>
      <c r="R8157" s="2" t="inlineStr"/>
    </row>
    <row r="8158" ht="15" customHeight="1">
      <c r="A8158" t="inlineStr">
        <is>
          <t>A 52773-2022</t>
        </is>
      </c>
      <c r="B8158" s="1" t="n">
        <v>44875</v>
      </c>
      <c r="C8158" s="1" t="n">
        <v>45810</v>
      </c>
      <c r="D8158" t="inlineStr">
        <is>
          <t>VÄRMLANDS LÄN</t>
        </is>
      </c>
      <c r="E8158" t="inlineStr">
        <is>
          <t>ÅRJÄNG</t>
        </is>
      </c>
      <c r="G8158" t="n">
        <v>4.1</v>
      </c>
      <c r="H8158" t="n">
        <v>0</v>
      </c>
      <c r="I8158" t="n">
        <v>0</v>
      </c>
      <c r="J8158" t="n">
        <v>0</v>
      </c>
      <c r="K8158" t="n">
        <v>0</v>
      </c>
      <c r="L8158" t="n">
        <v>0</v>
      </c>
      <c r="M8158" t="n">
        <v>0</v>
      </c>
      <c r="N8158" t="n">
        <v>0</v>
      </c>
      <c r="O8158" t="n">
        <v>0</v>
      </c>
      <c r="P8158" t="n">
        <v>0</v>
      </c>
      <c r="Q8158" t="n">
        <v>0</v>
      </c>
      <c r="R8158" s="2" t="inlineStr"/>
    </row>
    <row r="8159" ht="15" customHeight="1">
      <c r="A8159" t="inlineStr">
        <is>
          <t>A 52807-2022</t>
        </is>
      </c>
      <c r="B8159" s="1" t="n">
        <v>44875</v>
      </c>
      <c r="C8159" s="1" t="n">
        <v>45810</v>
      </c>
      <c r="D8159" t="inlineStr">
        <is>
          <t>VÄRMLANDS LÄN</t>
        </is>
      </c>
      <c r="E8159" t="inlineStr">
        <is>
          <t>ARVIKA</t>
        </is>
      </c>
      <c r="G8159" t="n">
        <v>14.5</v>
      </c>
      <c r="H8159" t="n">
        <v>0</v>
      </c>
      <c r="I8159" t="n">
        <v>0</v>
      </c>
      <c r="J8159" t="n">
        <v>0</v>
      </c>
      <c r="K8159" t="n">
        <v>0</v>
      </c>
      <c r="L8159" t="n">
        <v>0</v>
      </c>
      <c r="M8159" t="n">
        <v>0</v>
      </c>
      <c r="N8159" t="n">
        <v>0</v>
      </c>
      <c r="O8159" t="n">
        <v>0</v>
      </c>
      <c r="P8159" t="n">
        <v>0</v>
      </c>
      <c r="Q8159" t="n">
        <v>0</v>
      </c>
      <c r="R8159" s="2" t="inlineStr"/>
    </row>
    <row r="8160" ht="15" customHeight="1">
      <c r="A8160" t="inlineStr">
        <is>
          <t>A 52830-2022</t>
        </is>
      </c>
      <c r="B8160" s="1" t="n">
        <v>44875</v>
      </c>
      <c r="C8160" s="1" t="n">
        <v>45810</v>
      </c>
      <c r="D8160" t="inlineStr">
        <is>
          <t>VÄRMLANDS LÄN</t>
        </is>
      </c>
      <c r="E8160" t="inlineStr">
        <is>
          <t>ÅRJÄNG</t>
        </is>
      </c>
      <c r="G8160" t="n">
        <v>0.9</v>
      </c>
      <c r="H8160" t="n">
        <v>0</v>
      </c>
      <c r="I8160" t="n">
        <v>0</v>
      </c>
      <c r="J8160" t="n">
        <v>0</v>
      </c>
      <c r="K8160" t="n">
        <v>0</v>
      </c>
      <c r="L8160" t="n">
        <v>0</v>
      </c>
      <c r="M8160" t="n">
        <v>0</v>
      </c>
      <c r="N8160" t="n">
        <v>0</v>
      </c>
      <c r="O8160" t="n">
        <v>0</v>
      </c>
      <c r="P8160" t="n">
        <v>0</v>
      </c>
      <c r="Q8160" t="n">
        <v>0</v>
      </c>
      <c r="R8160" s="2" t="inlineStr"/>
    </row>
    <row r="8161" ht="15" customHeight="1">
      <c r="A8161" t="inlineStr">
        <is>
          <t>A 52913-2022</t>
        </is>
      </c>
      <c r="B8161" s="1" t="n">
        <v>44875</v>
      </c>
      <c r="C8161" s="1" t="n">
        <v>45810</v>
      </c>
      <c r="D8161" t="inlineStr">
        <is>
          <t>VÄRMLANDS LÄN</t>
        </is>
      </c>
      <c r="E8161" t="inlineStr">
        <is>
          <t>TORSBY</t>
        </is>
      </c>
      <c r="G8161" t="n">
        <v>0.5</v>
      </c>
      <c r="H8161" t="n">
        <v>0</v>
      </c>
      <c r="I8161" t="n">
        <v>0</v>
      </c>
      <c r="J8161" t="n">
        <v>0</v>
      </c>
      <c r="K8161" t="n">
        <v>0</v>
      </c>
      <c r="L8161" t="n">
        <v>0</v>
      </c>
      <c r="M8161" t="n">
        <v>0</v>
      </c>
      <c r="N8161" t="n">
        <v>0</v>
      </c>
      <c r="O8161" t="n">
        <v>0</v>
      </c>
      <c r="P8161" t="n">
        <v>0</v>
      </c>
      <c r="Q8161" t="n">
        <v>0</v>
      </c>
      <c r="R8161" s="2" t="inlineStr"/>
    </row>
    <row r="8162" ht="15" customHeight="1">
      <c r="A8162" t="inlineStr">
        <is>
          <t>A 52949-2022</t>
        </is>
      </c>
      <c r="B8162" s="1" t="n">
        <v>44875</v>
      </c>
      <c r="C8162" s="1" t="n">
        <v>45810</v>
      </c>
      <c r="D8162" t="inlineStr">
        <is>
          <t>VÄRMLANDS LÄN</t>
        </is>
      </c>
      <c r="E8162" t="inlineStr">
        <is>
          <t>SUNNE</t>
        </is>
      </c>
      <c r="G8162" t="n">
        <v>3.5</v>
      </c>
      <c r="H8162" t="n">
        <v>0</v>
      </c>
      <c r="I8162" t="n">
        <v>0</v>
      </c>
      <c r="J8162" t="n">
        <v>0</v>
      </c>
      <c r="K8162" t="n">
        <v>0</v>
      </c>
      <c r="L8162" t="n">
        <v>0</v>
      </c>
      <c r="M8162" t="n">
        <v>0</v>
      </c>
      <c r="N8162" t="n">
        <v>0</v>
      </c>
      <c r="O8162" t="n">
        <v>0</v>
      </c>
      <c r="P8162" t="n">
        <v>0</v>
      </c>
      <c r="Q8162" t="n">
        <v>0</v>
      </c>
      <c r="R8162" s="2" t="inlineStr"/>
    </row>
    <row r="8163" ht="15" customHeight="1">
      <c r="A8163" t="inlineStr">
        <is>
          <t>A 52936-2022</t>
        </is>
      </c>
      <c r="B8163" s="1" t="n">
        <v>44875</v>
      </c>
      <c r="C8163" s="1" t="n">
        <v>45810</v>
      </c>
      <c r="D8163" t="inlineStr">
        <is>
          <t>VÄRMLANDS LÄN</t>
        </is>
      </c>
      <c r="E8163" t="inlineStr">
        <is>
          <t>SÄFFLE</t>
        </is>
      </c>
      <c r="G8163" t="n">
        <v>1</v>
      </c>
      <c r="H8163" t="n">
        <v>0</v>
      </c>
      <c r="I8163" t="n">
        <v>0</v>
      </c>
      <c r="J8163" t="n">
        <v>0</v>
      </c>
      <c r="K8163" t="n">
        <v>0</v>
      </c>
      <c r="L8163" t="n">
        <v>0</v>
      </c>
      <c r="M8163" t="n">
        <v>0</v>
      </c>
      <c r="N8163" t="n">
        <v>0</v>
      </c>
      <c r="O8163" t="n">
        <v>0</v>
      </c>
      <c r="P8163" t="n">
        <v>0</v>
      </c>
      <c r="Q8163" t="n">
        <v>0</v>
      </c>
      <c r="R8163" s="2" t="inlineStr"/>
    </row>
    <row r="8164" ht="15" customHeight="1">
      <c r="A8164" t="inlineStr">
        <is>
          <t>A 52826-2022</t>
        </is>
      </c>
      <c r="B8164" s="1" t="n">
        <v>44875</v>
      </c>
      <c r="C8164" s="1" t="n">
        <v>45810</v>
      </c>
      <c r="D8164" t="inlineStr">
        <is>
          <t>VÄRMLANDS LÄN</t>
        </is>
      </c>
      <c r="E8164" t="inlineStr">
        <is>
          <t>ÅRJÄNG</t>
        </is>
      </c>
      <c r="G8164" t="n">
        <v>2.2</v>
      </c>
      <c r="H8164" t="n">
        <v>0</v>
      </c>
      <c r="I8164" t="n">
        <v>0</v>
      </c>
      <c r="J8164" t="n">
        <v>0</v>
      </c>
      <c r="K8164" t="n">
        <v>0</v>
      </c>
      <c r="L8164" t="n">
        <v>0</v>
      </c>
      <c r="M8164" t="n">
        <v>0</v>
      </c>
      <c r="N8164" t="n">
        <v>0</v>
      </c>
      <c r="O8164" t="n">
        <v>0</v>
      </c>
      <c r="P8164" t="n">
        <v>0</v>
      </c>
      <c r="Q8164" t="n">
        <v>0</v>
      </c>
      <c r="R8164" s="2" t="inlineStr"/>
    </row>
    <row r="8165" ht="15" customHeight="1">
      <c r="A8165" t="inlineStr">
        <is>
          <t>A 52919-2022</t>
        </is>
      </c>
      <c r="B8165" s="1" t="n">
        <v>44875</v>
      </c>
      <c r="C8165" s="1" t="n">
        <v>45810</v>
      </c>
      <c r="D8165" t="inlineStr">
        <is>
          <t>VÄRMLANDS LÄN</t>
        </is>
      </c>
      <c r="E8165" t="inlineStr">
        <is>
          <t>TORSBY</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53117-2022</t>
        </is>
      </c>
      <c r="B8166" s="1" t="n">
        <v>44876</v>
      </c>
      <c r="C8166" s="1" t="n">
        <v>45810</v>
      </c>
      <c r="D8166" t="inlineStr">
        <is>
          <t>VÄRMLANDS LÄN</t>
        </is>
      </c>
      <c r="E8166" t="inlineStr">
        <is>
          <t>SÄFFLE</t>
        </is>
      </c>
      <c r="G8166" t="n">
        <v>1</v>
      </c>
      <c r="H8166" t="n">
        <v>0</v>
      </c>
      <c r="I8166" t="n">
        <v>0</v>
      </c>
      <c r="J8166" t="n">
        <v>0</v>
      </c>
      <c r="K8166" t="n">
        <v>0</v>
      </c>
      <c r="L8166" t="n">
        <v>0</v>
      </c>
      <c r="M8166" t="n">
        <v>0</v>
      </c>
      <c r="N8166" t="n">
        <v>0</v>
      </c>
      <c r="O8166" t="n">
        <v>0</v>
      </c>
      <c r="P8166" t="n">
        <v>0</v>
      </c>
      <c r="Q8166" t="n">
        <v>0</v>
      </c>
      <c r="R8166" s="2" t="inlineStr"/>
    </row>
    <row r="8167" ht="15" customHeight="1">
      <c r="A8167" t="inlineStr">
        <is>
          <t>A 53135-2022</t>
        </is>
      </c>
      <c r="B8167" s="1" t="n">
        <v>44876</v>
      </c>
      <c r="C8167" s="1" t="n">
        <v>45810</v>
      </c>
      <c r="D8167" t="inlineStr">
        <is>
          <t>VÄRMLANDS LÄN</t>
        </is>
      </c>
      <c r="E8167" t="inlineStr">
        <is>
          <t>HAGFORS</t>
        </is>
      </c>
      <c r="F8167" t="inlineStr">
        <is>
          <t>Bergvik skog väst AB</t>
        </is>
      </c>
      <c r="G8167" t="n">
        <v>6.2</v>
      </c>
      <c r="H8167" t="n">
        <v>0</v>
      </c>
      <c r="I8167" t="n">
        <v>0</v>
      </c>
      <c r="J8167" t="n">
        <v>0</v>
      </c>
      <c r="K8167" t="n">
        <v>0</v>
      </c>
      <c r="L8167" t="n">
        <v>0</v>
      </c>
      <c r="M8167" t="n">
        <v>0</v>
      </c>
      <c r="N8167" t="n">
        <v>0</v>
      </c>
      <c r="O8167" t="n">
        <v>0</v>
      </c>
      <c r="P8167" t="n">
        <v>0</v>
      </c>
      <c r="Q8167" t="n">
        <v>0</v>
      </c>
      <c r="R8167" s="2" t="inlineStr"/>
    </row>
    <row r="8168" ht="15" customHeight="1">
      <c r="A8168" t="inlineStr">
        <is>
          <t>A 53141-2022</t>
        </is>
      </c>
      <c r="B8168" s="1" t="n">
        <v>44876</v>
      </c>
      <c r="C8168" s="1" t="n">
        <v>45810</v>
      </c>
      <c r="D8168" t="inlineStr">
        <is>
          <t>VÄRMLANDS LÄN</t>
        </is>
      </c>
      <c r="E8168" t="inlineStr">
        <is>
          <t>KARLSTAD</t>
        </is>
      </c>
      <c r="G8168" t="n">
        <v>5.6</v>
      </c>
      <c r="H8168" t="n">
        <v>0</v>
      </c>
      <c r="I8168" t="n">
        <v>0</v>
      </c>
      <c r="J8168" t="n">
        <v>0</v>
      </c>
      <c r="K8168" t="n">
        <v>0</v>
      </c>
      <c r="L8168" t="n">
        <v>0</v>
      </c>
      <c r="M8168" t="n">
        <v>0</v>
      </c>
      <c r="N8168" t="n">
        <v>0</v>
      </c>
      <c r="O8168" t="n">
        <v>0</v>
      </c>
      <c r="P8168" t="n">
        <v>0</v>
      </c>
      <c r="Q8168" t="n">
        <v>0</v>
      </c>
      <c r="R8168" s="2" t="inlineStr"/>
    </row>
    <row r="8169" ht="15" customHeight="1">
      <c r="A8169" t="inlineStr">
        <is>
          <t>A 53074-2022</t>
        </is>
      </c>
      <c r="B8169" s="1" t="n">
        <v>44876</v>
      </c>
      <c r="C8169" s="1" t="n">
        <v>45810</v>
      </c>
      <c r="D8169" t="inlineStr">
        <is>
          <t>VÄRMLANDS LÄN</t>
        </is>
      </c>
      <c r="E8169" t="inlineStr">
        <is>
          <t>FORSHAGA</t>
        </is>
      </c>
      <c r="G8169" t="n">
        <v>5</v>
      </c>
      <c r="H8169" t="n">
        <v>0</v>
      </c>
      <c r="I8169" t="n">
        <v>0</v>
      </c>
      <c r="J8169" t="n">
        <v>0</v>
      </c>
      <c r="K8169" t="n">
        <v>0</v>
      </c>
      <c r="L8169" t="n">
        <v>0</v>
      </c>
      <c r="M8169" t="n">
        <v>0</v>
      </c>
      <c r="N8169" t="n">
        <v>0</v>
      </c>
      <c r="O8169" t="n">
        <v>0</v>
      </c>
      <c r="P8169" t="n">
        <v>0</v>
      </c>
      <c r="Q8169" t="n">
        <v>0</v>
      </c>
      <c r="R8169" s="2" t="inlineStr"/>
    </row>
    <row r="8170" ht="15" customHeight="1">
      <c r="A8170" t="inlineStr">
        <is>
          <t>A 53044-2022</t>
        </is>
      </c>
      <c r="B8170" s="1" t="n">
        <v>44876</v>
      </c>
      <c r="C8170" s="1" t="n">
        <v>45810</v>
      </c>
      <c r="D8170" t="inlineStr">
        <is>
          <t>VÄRMLANDS LÄN</t>
        </is>
      </c>
      <c r="E8170" t="inlineStr">
        <is>
          <t>TORSBY</t>
        </is>
      </c>
      <c r="G8170" t="n">
        <v>0.2</v>
      </c>
      <c r="H8170" t="n">
        <v>0</v>
      </c>
      <c r="I8170" t="n">
        <v>0</v>
      </c>
      <c r="J8170" t="n">
        <v>0</v>
      </c>
      <c r="K8170" t="n">
        <v>0</v>
      </c>
      <c r="L8170" t="n">
        <v>0</v>
      </c>
      <c r="M8170" t="n">
        <v>0</v>
      </c>
      <c r="N8170" t="n">
        <v>0</v>
      </c>
      <c r="O8170" t="n">
        <v>0</v>
      </c>
      <c r="P8170" t="n">
        <v>0</v>
      </c>
      <c r="Q8170" t="n">
        <v>0</v>
      </c>
      <c r="R8170" s="2" t="inlineStr"/>
    </row>
    <row r="8171" ht="15" customHeight="1">
      <c r="A8171" t="inlineStr">
        <is>
          <t>A 53102-2022</t>
        </is>
      </c>
      <c r="B8171" s="1" t="n">
        <v>44876</v>
      </c>
      <c r="C8171" s="1" t="n">
        <v>45810</v>
      </c>
      <c r="D8171" t="inlineStr">
        <is>
          <t>VÄRMLANDS LÄN</t>
        </is>
      </c>
      <c r="E8171" t="inlineStr">
        <is>
          <t>SÄFFLE</t>
        </is>
      </c>
      <c r="G8171" t="n">
        <v>1.5</v>
      </c>
      <c r="H8171" t="n">
        <v>0</v>
      </c>
      <c r="I8171" t="n">
        <v>0</v>
      </c>
      <c r="J8171" t="n">
        <v>0</v>
      </c>
      <c r="K8171" t="n">
        <v>0</v>
      </c>
      <c r="L8171" t="n">
        <v>0</v>
      </c>
      <c r="M8171" t="n">
        <v>0</v>
      </c>
      <c r="N8171" t="n">
        <v>0</v>
      </c>
      <c r="O8171" t="n">
        <v>0</v>
      </c>
      <c r="P8171" t="n">
        <v>0</v>
      </c>
      <c r="Q8171" t="n">
        <v>0</v>
      </c>
      <c r="R8171" s="2" t="inlineStr"/>
    </row>
    <row r="8172" ht="15" customHeight="1">
      <c r="A8172" t="inlineStr">
        <is>
          <t>A 53103-2022</t>
        </is>
      </c>
      <c r="B8172" s="1" t="n">
        <v>44876</v>
      </c>
      <c r="C8172" s="1" t="n">
        <v>45810</v>
      </c>
      <c r="D8172" t="inlineStr">
        <is>
          <t>VÄRMLANDS LÄN</t>
        </is>
      </c>
      <c r="E8172" t="inlineStr">
        <is>
          <t>SÄFFLE</t>
        </is>
      </c>
      <c r="G8172" t="n">
        <v>0.8</v>
      </c>
      <c r="H8172" t="n">
        <v>0</v>
      </c>
      <c r="I8172" t="n">
        <v>0</v>
      </c>
      <c r="J8172" t="n">
        <v>0</v>
      </c>
      <c r="K8172" t="n">
        <v>0</v>
      </c>
      <c r="L8172" t="n">
        <v>0</v>
      </c>
      <c r="M8172" t="n">
        <v>0</v>
      </c>
      <c r="N8172" t="n">
        <v>0</v>
      </c>
      <c r="O8172" t="n">
        <v>0</v>
      </c>
      <c r="P8172" t="n">
        <v>0</v>
      </c>
      <c r="Q8172" t="n">
        <v>0</v>
      </c>
      <c r="R8172" s="2" t="inlineStr"/>
    </row>
    <row r="8173" ht="15" customHeight="1">
      <c r="A8173" t="inlineStr">
        <is>
          <t>A 53116-2022</t>
        </is>
      </c>
      <c r="B8173" s="1" t="n">
        <v>44876</v>
      </c>
      <c r="C8173" s="1" t="n">
        <v>45810</v>
      </c>
      <c r="D8173" t="inlineStr">
        <is>
          <t>VÄRMLANDS LÄN</t>
        </is>
      </c>
      <c r="E8173" t="inlineStr">
        <is>
          <t>KIL</t>
        </is>
      </c>
      <c r="F8173" t="inlineStr">
        <is>
          <t>Bergvik skog väst AB</t>
        </is>
      </c>
      <c r="G8173" t="n">
        <v>2.6</v>
      </c>
      <c r="H8173" t="n">
        <v>0</v>
      </c>
      <c r="I8173" t="n">
        <v>0</v>
      </c>
      <c r="J8173" t="n">
        <v>0</v>
      </c>
      <c r="K8173" t="n">
        <v>0</v>
      </c>
      <c r="L8173" t="n">
        <v>0</v>
      </c>
      <c r="M8173" t="n">
        <v>0</v>
      </c>
      <c r="N8173" t="n">
        <v>0</v>
      </c>
      <c r="O8173" t="n">
        <v>0</v>
      </c>
      <c r="P8173" t="n">
        <v>0</v>
      </c>
      <c r="Q8173" t="n">
        <v>0</v>
      </c>
      <c r="R8173" s="2" t="inlineStr"/>
    </row>
    <row r="8174" ht="15" customHeight="1">
      <c r="A8174" t="inlineStr">
        <is>
          <t>A 53112-2022</t>
        </is>
      </c>
      <c r="B8174" s="1" t="n">
        <v>44876</v>
      </c>
      <c r="C8174" s="1" t="n">
        <v>45810</v>
      </c>
      <c r="D8174" t="inlineStr">
        <is>
          <t>VÄRMLANDS LÄN</t>
        </is>
      </c>
      <c r="E8174" t="inlineStr">
        <is>
          <t>SÄFFLE</t>
        </is>
      </c>
      <c r="G8174" t="n">
        <v>6.5</v>
      </c>
      <c r="H8174" t="n">
        <v>0</v>
      </c>
      <c r="I8174" t="n">
        <v>0</v>
      </c>
      <c r="J8174" t="n">
        <v>0</v>
      </c>
      <c r="K8174" t="n">
        <v>0</v>
      </c>
      <c r="L8174" t="n">
        <v>0</v>
      </c>
      <c r="M8174" t="n">
        <v>0</v>
      </c>
      <c r="N8174" t="n">
        <v>0</v>
      </c>
      <c r="O8174" t="n">
        <v>0</v>
      </c>
      <c r="P8174" t="n">
        <v>0</v>
      </c>
      <c r="Q8174" t="n">
        <v>0</v>
      </c>
      <c r="R8174" s="2" t="inlineStr"/>
    </row>
    <row r="8175" ht="15" customHeight="1">
      <c r="A8175" t="inlineStr">
        <is>
          <t>A 53034-2022</t>
        </is>
      </c>
      <c r="B8175" s="1" t="n">
        <v>44876</v>
      </c>
      <c r="C8175" s="1" t="n">
        <v>45810</v>
      </c>
      <c r="D8175" t="inlineStr">
        <is>
          <t>VÄRMLANDS LÄN</t>
        </is>
      </c>
      <c r="E8175" t="inlineStr">
        <is>
          <t>FILIPSTAD</t>
        </is>
      </c>
      <c r="G8175" t="n">
        <v>0.6</v>
      </c>
      <c r="H8175" t="n">
        <v>0</v>
      </c>
      <c r="I8175" t="n">
        <v>0</v>
      </c>
      <c r="J8175" t="n">
        <v>0</v>
      </c>
      <c r="K8175" t="n">
        <v>0</v>
      </c>
      <c r="L8175" t="n">
        <v>0</v>
      </c>
      <c r="M8175" t="n">
        <v>0</v>
      </c>
      <c r="N8175" t="n">
        <v>0</v>
      </c>
      <c r="O8175" t="n">
        <v>0</v>
      </c>
      <c r="P8175" t="n">
        <v>0</v>
      </c>
      <c r="Q8175" t="n">
        <v>0</v>
      </c>
      <c r="R8175" s="2" t="inlineStr"/>
    </row>
    <row r="8176" ht="15" customHeight="1">
      <c r="A8176" t="inlineStr">
        <is>
          <t>A 53048-2022</t>
        </is>
      </c>
      <c r="B8176" s="1" t="n">
        <v>44876</v>
      </c>
      <c r="C8176" s="1" t="n">
        <v>45810</v>
      </c>
      <c r="D8176" t="inlineStr">
        <is>
          <t>VÄRMLANDS LÄN</t>
        </is>
      </c>
      <c r="E8176" t="inlineStr">
        <is>
          <t>KARLSTAD</t>
        </is>
      </c>
      <c r="G8176" t="n">
        <v>2.7</v>
      </c>
      <c r="H8176" t="n">
        <v>0</v>
      </c>
      <c r="I8176" t="n">
        <v>0</v>
      </c>
      <c r="J8176" t="n">
        <v>0</v>
      </c>
      <c r="K8176" t="n">
        <v>0</v>
      </c>
      <c r="L8176" t="n">
        <v>0</v>
      </c>
      <c r="M8176" t="n">
        <v>0</v>
      </c>
      <c r="N8176" t="n">
        <v>0</v>
      </c>
      <c r="O8176" t="n">
        <v>0</v>
      </c>
      <c r="P8176" t="n">
        <v>0</v>
      </c>
      <c r="Q8176" t="n">
        <v>0</v>
      </c>
      <c r="R8176" s="2" t="inlineStr"/>
    </row>
    <row r="8177" ht="15" customHeight="1">
      <c r="A8177" t="inlineStr">
        <is>
          <t>A 53076-2022</t>
        </is>
      </c>
      <c r="B8177" s="1" t="n">
        <v>44876</v>
      </c>
      <c r="C8177" s="1" t="n">
        <v>45810</v>
      </c>
      <c r="D8177" t="inlineStr">
        <is>
          <t>VÄRMLANDS LÄN</t>
        </is>
      </c>
      <c r="E8177" t="inlineStr">
        <is>
          <t>TORSBY</t>
        </is>
      </c>
      <c r="G8177" t="n">
        <v>0.4</v>
      </c>
      <c r="H8177" t="n">
        <v>0</v>
      </c>
      <c r="I8177" t="n">
        <v>0</v>
      </c>
      <c r="J8177" t="n">
        <v>0</v>
      </c>
      <c r="K8177" t="n">
        <v>0</v>
      </c>
      <c r="L8177" t="n">
        <v>0</v>
      </c>
      <c r="M8177" t="n">
        <v>0</v>
      </c>
      <c r="N8177" t="n">
        <v>0</v>
      </c>
      <c r="O8177" t="n">
        <v>0</v>
      </c>
      <c r="P8177" t="n">
        <v>0</v>
      </c>
      <c r="Q8177" t="n">
        <v>0</v>
      </c>
      <c r="R8177" s="2" t="inlineStr"/>
    </row>
    <row r="8178" ht="15" customHeight="1">
      <c r="A8178" t="inlineStr">
        <is>
          <t>A 53181-2022</t>
        </is>
      </c>
      <c r="B8178" s="1" t="n">
        <v>44876</v>
      </c>
      <c r="C8178" s="1" t="n">
        <v>45810</v>
      </c>
      <c r="D8178" t="inlineStr">
        <is>
          <t>VÄRMLANDS LÄN</t>
        </is>
      </c>
      <c r="E8178" t="inlineStr">
        <is>
          <t>FORSHAGA</t>
        </is>
      </c>
      <c r="F8178" t="inlineStr">
        <is>
          <t>Bergvik skog väst AB</t>
        </is>
      </c>
      <c r="G8178" t="n">
        <v>8.1</v>
      </c>
      <c r="H8178" t="n">
        <v>0</v>
      </c>
      <c r="I8178" t="n">
        <v>0</v>
      </c>
      <c r="J8178" t="n">
        <v>0</v>
      </c>
      <c r="K8178" t="n">
        <v>0</v>
      </c>
      <c r="L8178" t="n">
        <v>0</v>
      </c>
      <c r="M8178" t="n">
        <v>0</v>
      </c>
      <c r="N8178" t="n">
        <v>0</v>
      </c>
      <c r="O8178" t="n">
        <v>0</v>
      </c>
      <c r="P8178" t="n">
        <v>0</v>
      </c>
      <c r="Q8178" t="n">
        <v>0</v>
      </c>
      <c r="R8178" s="2" t="inlineStr"/>
    </row>
    <row r="8179" ht="15" customHeight="1">
      <c r="A8179" t="inlineStr">
        <is>
          <t>A 53192-2022</t>
        </is>
      </c>
      <c r="B8179" s="1" t="n">
        <v>44876</v>
      </c>
      <c r="C8179" s="1" t="n">
        <v>45810</v>
      </c>
      <c r="D8179" t="inlineStr">
        <is>
          <t>VÄRMLANDS LÄN</t>
        </is>
      </c>
      <c r="E8179" t="inlineStr">
        <is>
          <t>HAGFORS</t>
        </is>
      </c>
      <c r="F8179" t="inlineStr">
        <is>
          <t>Bergvik skog väst AB</t>
        </is>
      </c>
      <c r="G8179" t="n">
        <v>5.3</v>
      </c>
      <c r="H8179" t="n">
        <v>0</v>
      </c>
      <c r="I8179" t="n">
        <v>0</v>
      </c>
      <c r="J8179" t="n">
        <v>0</v>
      </c>
      <c r="K8179" t="n">
        <v>0</v>
      </c>
      <c r="L8179" t="n">
        <v>0</v>
      </c>
      <c r="M8179" t="n">
        <v>0</v>
      </c>
      <c r="N8179" t="n">
        <v>0</v>
      </c>
      <c r="O8179" t="n">
        <v>0</v>
      </c>
      <c r="P8179" t="n">
        <v>0</v>
      </c>
      <c r="Q8179" t="n">
        <v>0</v>
      </c>
      <c r="R8179" s="2" t="inlineStr"/>
    </row>
    <row r="8180" ht="15" customHeight="1">
      <c r="A8180" t="inlineStr">
        <is>
          <t>A 53208-2022</t>
        </is>
      </c>
      <c r="B8180" s="1" t="n">
        <v>44876</v>
      </c>
      <c r="C8180" s="1" t="n">
        <v>45810</v>
      </c>
      <c r="D8180" t="inlineStr">
        <is>
          <t>VÄRMLANDS LÄN</t>
        </is>
      </c>
      <c r="E8180" t="inlineStr">
        <is>
          <t>FILIPSTAD</t>
        </is>
      </c>
      <c r="F8180" t="inlineStr">
        <is>
          <t>Bergvik skog väst AB</t>
        </is>
      </c>
      <c r="G8180" t="n">
        <v>4.5</v>
      </c>
      <c r="H8180" t="n">
        <v>0</v>
      </c>
      <c r="I8180" t="n">
        <v>0</v>
      </c>
      <c r="J8180" t="n">
        <v>0</v>
      </c>
      <c r="K8180" t="n">
        <v>0</v>
      </c>
      <c r="L8180" t="n">
        <v>0</v>
      </c>
      <c r="M8180" t="n">
        <v>0</v>
      </c>
      <c r="N8180" t="n">
        <v>0</v>
      </c>
      <c r="O8180" t="n">
        <v>0</v>
      </c>
      <c r="P8180" t="n">
        <v>0</v>
      </c>
      <c r="Q8180" t="n">
        <v>0</v>
      </c>
      <c r="R8180" s="2" t="inlineStr"/>
    </row>
    <row r="8181" ht="15" customHeight="1">
      <c r="A8181" t="inlineStr">
        <is>
          <t>A 53262-2022</t>
        </is>
      </c>
      <c r="B8181" s="1" t="n">
        <v>44876</v>
      </c>
      <c r="C8181" s="1" t="n">
        <v>45810</v>
      </c>
      <c r="D8181" t="inlineStr">
        <is>
          <t>VÄRMLANDS LÄN</t>
        </is>
      </c>
      <c r="E8181" t="inlineStr">
        <is>
          <t>ÅRJÄNG</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53778-2022</t>
        </is>
      </c>
      <c r="B8182" s="1" t="n">
        <v>44876</v>
      </c>
      <c r="C8182" s="1" t="n">
        <v>45810</v>
      </c>
      <c r="D8182" t="inlineStr">
        <is>
          <t>VÄRMLANDS LÄN</t>
        </is>
      </c>
      <c r="E8182" t="inlineStr">
        <is>
          <t>SUNNE</t>
        </is>
      </c>
      <c r="G8182" t="n">
        <v>0.8</v>
      </c>
      <c r="H8182" t="n">
        <v>0</v>
      </c>
      <c r="I8182" t="n">
        <v>0</v>
      </c>
      <c r="J8182" t="n">
        <v>0</v>
      </c>
      <c r="K8182" t="n">
        <v>0</v>
      </c>
      <c r="L8182" t="n">
        <v>0</v>
      </c>
      <c r="M8182" t="n">
        <v>0</v>
      </c>
      <c r="N8182" t="n">
        <v>0</v>
      </c>
      <c r="O8182" t="n">
        <v>0</v>
      </c>
      <c r="P8182" t="n">
        <v>0</v>
      </c>
      <c r="Q8182" t="n">
        <v>0</v>
      </c>
      <c r="R8182" s="2" t="inlineStr"/>
    </row>
    <row r="8183" ht="15" customHeight="1">
      <c r="A8183" t="inlineStr">
        <is>
          <t>A 53988-2022</t>
        </is>
      </c>
      <c r="B8183" s="1" t="n">
        <v>44876</v>
      </c>
      <c r="C8183" s="1" t="n">
        <v>45810</v>
      </c>
      <c r="D8183" t="inlineStr">
        <is>
          <t>VÄRMLANDS LÄN</t>
        </is>
      </c>
      <c r="E8183" t="inlineStr">
        <is>
          <t>TORSBY</t>
        </is>
      </c>
      <c r="G8183" t="n">
        <v>6</v>
      </c>
      <c r="H8183" t="n">
        <v>0</v>
      </c>
      <c r="I8183" t="n">
        <v>0</v>
      </c>
      <c r="J8183" t="n">
        <v>0</v>
      </c>
      <c r="K8183" t="n">
        <v>0</v>
      </c>
      <c r="L8183" t="n">
        <v>0</v>
      </c>
      <c r="M8183" t="n">
        <v>0</v>
      </c>
      <c r="N8183" t="n">
        <v>0</v>
      </c>
      <c r="O8183" t="n">
        <v>0</v>
      </c>
      <c r="P8183" t="n">
        <v>0</v>
      </c>
      <c r="Q8183" t="n">
        <v>0</v>
      </c>
      <c r="R8183" s="2" t="inlineStr"/>
    </row>
    <row r="8184" ht="15" customHeight="1">
      <c r="A8184" t="inlineStr">
        <is>
          <t>A 53291-2022</t>
        </is>
      </c>
      <c r="B8184" s="1" t="n">
        <v>44877</v>
      </c>
      <c r="C8184" s="1" t="n">
        <v>45810</v>
      </c>
      <c r="D8184" t="inlineStr">
        <is>
          <t>VÄRMLANDS LÄN</t>
        </is>
      </c>
      <c r="E8184" t="inlineStr">
        <is>
          <t>FILIPSTAD</t>
        </is>
      </c>
      <c r="G8184" t="n">
        <v>2.7</v>
      </c>
      <c r="H8184" t="n">
        <v>0</v>
      </c>
      <c r="I8184" t="n">
        <v>0</v>
      </c>
      <c r="J8184" t="n">
        <v>0</v>
      </c>
      <c r="K8184" t="n">
        <v>0</v>
      </c>
      <c r="L8184" t="n">
        <v>0</v>
      </c>
      <c r="M8184" t="n">
        <v>0</v>
      </c>
      <c r="N8184" t="n">
        <v>0</v>
      </c>
      <c r="O8184" t="n">
        <v>0</v>
      </c>
      <c r="P8184" t="n">
        <v>0</v>
      </c>
      <c r="Q8184" t="n">
        <v>0</v>
      </c>
      <c r="R8184" s="2" t="inlineStr"/>
    </row>
    <row r="8185" ht="15" customHeight="1">
      <c r="A8185" t="inlineStr">
        <is>
          <t>A 53294-2022</t>
        </is>
      </c>
      <c r="B8185" s="1" t="n">
        <v>44877</v>
      </c>
      <c r="C8185" s="1" t="n">
        <v>45810</v>
      </c>
      <c r="D8185" t="inlineStr">
        <is>
          <t>VÄRMLANDS LÄN</t>
        </is>
      </c>
      <c r="E8185" t="inlineStr">
        <is>
          <t>EDA</t>
        </is>
      </c>
      <c r="G8185" t="n">
        <v>0.2</v>
      </c>
      <c r="H8185" t="n">
        <v>0</v>
      </c>
      <c r="I8185" t="n">
        <v>0</v>
      </c>
      <c r="J8185" t="n">
        <v>0</v>
      </c>
      <c r="K8185" t="n">
        <v>0</v>
      </c>
      <c r="L8185" t="n">
        <v>0</v>
      </c>
      <c r="M8185" t="n">
        <v>0</v>
      </c>
      <c r="N8185" t="n">
        <v>0</v>
      </c>
      <c r="O8185" t="n">
        <v>0</v>
      </c>
      <c r="P8185" t="n">
        <v>0</v>
      </c>
      <c r="Q8185" t="n">
        <v>0</v>
      </c>
      <c r="R8185" s="2" t="inlineStr"/>
    </row>
    <row r="8186" ht="15" customHeight="1">
      <c r="A8186" t="inlineStr">
        <is>
          <t>A 53419-2022</t>
        </is>
      </c>
      <c r="B8186" s="1" t="n">
        <v>44879</v>
      </c>
      <c r="C8186" s="1" t="n">
        <v>45810</v>
      </c>
      <c r="D8186" t="inlineStr">
        <is>
          <t>VÄRMLANDS LÄN</t>
        </is>
      </c>
      <c r="E8186" t="inlineStr">
        <is>
          <t>HAGFORS</t>
        </is>
      </c>
      <c r="F8186" t="inlineStr">
        <is>
          <t>Bergvik skog väst AB</t>
        </is>
      </c>
      <c r="G8186" t="n">
        <v>5.7</v>
      </c>
      <c r="H8186" t="n">
        <v>0</v>
      </c>
      <c r="I8186" t="n">
        <v>0</v>
      </c>
      <c r="J8186" t="n">
        <v>0</v>
      </c>
      <c r="K8186" t="n">
        <v>0</v>
      </c>
      <c r="L8186" t="n">
        <v>0</v>
      </c>
      <c r="M8186" t="n">
        <v>0</v>
      </c>
      <c r="N8186" t="n">
        <v>0</v>
      </c>
      <c r="O8186" t="n">
        <v>0</v>
      </c>
      <c r="P8186" t="n">
        <v>0</v>
      </c>
      <c r="Q8186" t="n">
        <v>0</v>
      </c>
      <c r="R8186" s="2" t="inlineStr"/>
    </row>
    <row r="8187" ht="15" customHeight="1">
      <c r="A8187" t="inlineStr">
        <is>
          <t>A 53381-2022</t>
        </is>
      </c>
      <c r="B8187" s="1" t="n">
        <v>44879</v>
      </c>
      <c r="C8187" s="1" t="n">
        <v>45810</v>
      </c>
      <c r="D8187" t="inlineStr">
        <is>
          <t>VÄRMLANDS LÄN</t>
        </is>
      </c>
      <c r="E8187" t="inlineStr">
        <is>
          <t>TORSBY</t>
        </is>
      </c>
      <c r="G8187" t="n">
        <v>2.1</v>
      </c>
      <c r="H8187" t="n">
        <v>0</v>
      </c>
      <c r="I8187" t="n">
        <v>0</v>
      </c>
      <c r="J8187" t="n">
        <v>0</v>
      </c>
      <c r="K8187" t="n">
        <v>0</v>
      </c>
      <c r="L8187" t="n">
        <v>0</v>
      </c>
      <c r="M8187" t="n">
        <v>0</v>
      </c>
      <c r="N8187" t="n">
        <v>0</v>
      </c>
      <c r="O8187" t="n">
        <v>0</v>
      </c>
      <c r="P8187" t="n">
        <v>0</v>
      </c>
      <c r="Q8187" t="n">
        <v>0</v>
      </c>
      <c r="R8187" s="2" t="inlineStr"/>
    </row>
    <row r="8188" ht="15" customHeight="1">
      <c r="A8188" t="inlineStr">
        <is>
          <t>A 53436-2022</t>
        </is>
      </c>
      <c r="B8188" s="1" t="n">
        <v>44879</v>
      </c>
      <c r="C8188" s="1" t="n">
        <v>45810</v>
      </c>
      <c r="D8188" t="inlineStr">
        <is>
          <t>VÄRMLANDS LÄN</t>
        </is>
      </c>
      <c r="E8188" t="inlineStr">
        <is>
          <t>SUNNE</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53447-2022</t>
        </is>
      </c>
      <c r="B8189" s="1" t="n">
        <v>44879</v>
      </c>
      <c r="C8189" s="1" t="n">
        <v>45810</v>
      </c>
      <c r="D8189" t="inlineStr">
        <is>
          <t>VÄRMLANDS LÄN</t>
        </is>
      </c>
      <c r="E8189" t="inlineStr">
        <is>
          <t>ARVIKA</t>
        </is>
      </c>
      <c r="G8189" t="n">
        <v>8.9</v>
      </c>
      <c r="H8189" t="n">
        <v>0</v>
      </c>
      <c r="I8189" t="n">
        <v>0</v>
      </c>
      <c r="J8189" t="n">
        <v>0</v>
      </c>
      <c r="K8189" t="n">
        <v>0</v>
      </c>
      <c r="L8189" t="n">
        <v>0</v>
      </c>
      <c r="M8189" t="n">
        <v>0</v>
      </c>
      <c r="N8189" t="n">
        <v>0</v>
      </c>
      <c r="O8189" t="n">
        <v>0</v>
      </c>
      <c r="P8189" t="n">
        <v>0</v>
      </c>
      <c r="Q8189" t="n">
        <v>0</v>
      </c>
      <c r="R8189" s="2" t="inlineStr"/>
    </row>
    <row r="8190" ht="15" customHeight="1">
      <c r="A8190" t="inlineStr">
        <is>
          <t>A 53492-2022</t>
        </is>
      </c>
      <c r="B8190" s="1" t="n">
        <v>44879</v>
      </c>
      <c r="C8190" s="1" t="n">
        <v>45810</v>
      </c>
      <c r="D8190" t="inlineStr">
        <is>
          <t>VÄRMLANDS LÄN</t>
        </is>
      </c>
      <c r="E8190" t="inlineStr">
        <is>
          <t>TORSBY</t>
        </is>
      </c>
      <c r="G8190" t="n">
        <v>2.3</v>
      </c>
      <c r="H8190" t="n">
        <v>0</v>
      </c>
      <c r="I8190" t="n">
        <v>0</v>
      </c>
      <c r="J8190" t="n">
        <v>0</v>
      </c>
      <c r="K8190" t="n">
        <v>0</v>
      </c>
      <c r="L8190" t="n">
        <v>0</v>
      </c>
      <c r="M8190" t="n">
        <v>0</v>
      </c>
      <c r="N8190" t="n">
        <v>0</v>
      </c>
      <c r="O8190" t="n">
        <v>0</v>
      </c>
      <c r="P8190" t="n">
        <v>0</v>
      </c>
      <c r="Q8190" t="n">
        <v>0</v>
      </c>
      <c r="R8190" s="2" t="inlineStr"/>
    </row>
    <row r="8191" ht="15" customHeight="1">
      <c r="A8191" t="inlineStr">
        <is>
          <t>A 53422-2022</t>
        </is>
      </c>
      <c r="B8191" s="1" t="n">
        <v>44879</v>
      </c>
      <c r="C8191" s="1" t="n">
        <v>45810</v>
      </c>
      <c r="D8191" t="inlineStr">
        <is>
          <t>VÄRMLANDS LÄN</t>
        </is>
      </c>
      <c r="E8191" t="inlineStr">
        <is>
          <t>FILIPSTAD</t>
        </is>
      </c>
      <c r="F8191" t="inlineStr">
        <is>
          <t>Bergvik skog väst AB</t>
        </is>
      </c>
      <c r="G8191" t="n">
        <v>17.8</v>
      </c>
      <c r="H8191" t="n">
        <v>0</v>
      </c>
      <c r="I8191" t="n">
        <v>0</v>
      </c>
      <c r="J8191" t="n">
        <v>0</v>
      </c>
      <c r="K8191" t="n">
        <v>0</v>
      </c>
      <c r="L8191" t="n">
        <v>0</v>
      </c>
      <c r="M8191" t="n">
        <v>0</v>
      </c>
      <c r="N8191" t="n">
        <v>0</v>
      </c>
      <c r="O8191" t="n">
        <v>0</v>
      </c>
      <c r="P8191" t="n">
        <v>0</v>
      </c>
      <c r="Q8191" t="n">
        <v>0</v>
      </c>
      <c r="R8191" s="2" t="inlineStr"/>
    </row>
    <row r="8192" ht="15" customHeight="1">
      <c r="A8192" t="inlineStr">
        <is>
          <t>A 54426-2022</t>
        </is>
      </c>
      <c r="B8192" s="1" t="n">
        <v>44879</v>
      </c>
      <c r="C8192" s="1" t="n">
        <v>45810</v>
      </c>
      <c r="D8192" t="inlineStr">
        <is>
          <t>VÄRMLANDS LÄN</t>
        </is>
      </c>
      <c r="E8192" t="inlineStr">
        <is>
          <t>EDA</t>
        </is>
      </c>
      <c r="G8192" t="n">
        <v>1.4</v>
      </c>
      <c r="H8192" t="n">
        <v>0</v>
      </c>
      <c r="I8192" t="n">
        <v>0</v>
      </c>
      <c r="J8192" t="n">
        <v>0</v>
      </c>
      <c r="K8192" t="n">
        <v>0</v>
      </c>
      <c r="L8192" t="n">
        <v>0</v>
      </c>
      <c r="M8192" t="n">
        <v>0</v>
      </c>
      <c r="N8192" t="n">
        <v>0</v>
      </c>
      <c r="O8192" t="n">
        <v>0</v>
      </c>
      <c r="P8192" t="n">
        <v>0</v>
      </c>
      <c r="Q8192" t="n">
        <v>0</v>
      </c>
      <c r="R8192" s="2" t="inlineStr"/>
    </row>
    <row r="8193" ht="15" customHeight="1">
      <c r="A8193" t="inlineStr">
        <is>
          <t>A 53679-2022</t>
        </is>
      </c>
      <c r="B8193" s="1" t="n">
        <v>44879</v>
      </c>
      <c r="C8193" s="1" t="n">
        <v>45810</v>
      </c>
      <c r="D8193" t="inlineStr">
        <is>
          <t>VÄRMLANDS LÄN</t>
        </is>
      </c>
      <c r="E8193" t="inlineStr">
        <is>
          <t>ÅRJÄNG</t>
        </is>
      </c>
      <c r="G8193" t="n">
        <v>0.4</v>
      </c>
      <c r="H8193" t="n">
        <v>0</v>
      </c>
      <c r="I8193" t="n">
        <v>0</v>
      </c>
      <c r="J8193" t="n">
        <v>0</v>
      </c>
      <c r="K8193" t="n">
        <v>0</v>
      </c>
      <c r="L8193" t="n">
        <v>0</v>
      </c>
      <c r="M8193" t="n">
        <v>0</v>
      </c>
      <c r="N8193" t="n">
        <v>0</v>
      </c>
      <c r="O8193" t="n">
        <v>0</v>
      </c>
      <c r="P8193" t="n">
        <v>0</v>
      </c>
      <c r="Q8193" t="n">
        <v>0</v>
      </c>
      <c r="R8193" s="2" t="inlineStr"/>
    </row>
    <row r="8194" ht="15" customHeight="1">
      <c r="A8194" t="inlineStr">
        <is>
          <t>A 54367-2022</t>
        </is>
      </c>
      <c r="B8194" s="1" t="n">
        <v>44879</v>
      </c>
      <c r="C8194" s="1" t="n">
        <v>45810</v>
      </c>
      <c r="D8194" t="inlineStr">
        <is>
          <t>VÄRMLANDS LÄN</t>
        </is>
      </c>
      <c r="E8194" t="inlineStr">
        <is>
          <t>SÄFFLE</t>
        </is>
      </c>
      <c r="G8194" t="n">
        <v>2.1</v>
      </c>
      <c r="H8194" t="n">
        <v>0</v>
      </c>
      <c r="I8194" t="n">
        <v>0</v>
      </c>
      <c r="J8194" t="n">
        <v>0</v>
      </c>
      <c r="K8194" t="n">
        <v>0</v>
      </c>
      <c r="L8194" t="n">
        <v>0</v>
      </c>
      <c r="M8194" t="n">
        <v>0</v>
      </c>
      <c r="N8194" t="n">
        <v>0</v>
      </c>
      <c r="O8194" t="n">
        <v>0</v>
      </c>
      <c r="P8194" t="n">
        <v>0</v>
      </c>
      <c r="Q8194" t="n">
        <v>0</v>
      </c>
      <c r="R8194" s="2" t="inlineStr"/>
    </row>
    <row r="8195" ht="15" customHeight="1">
      <c r="A8195" t="inlineStr">
        <is>
          <t>A 53706-2022</t>
        </is>
      </c>
      <c r="B8195" s="1" t="n">
        <v>44880</v>
      </c>
      <c r="C8195" s="1" t="n">
        <v>45810</v>
      </c>
      <c r="D8195" t="inlineStr">
        <is>
          <t>VÄRMLANDS LÄN</t>
        </is>
      </c>
      <c r="E8195" t="inlineStr">
        <is>
          <t>FORSHAGA</t>
        </is>
      </c>
      <c r="F8195" t="inlineStr">
        <is>
          <t>Bergvik skog väst AB</t>
        </is>
      </c>
      <c r="G8195" t="n">
        <v>17.7</v>
      </c>
      <c r="H8195" t="n">
        <v>0</v>
      </c>
      <c r="I8195" t="n">
        <v>0</v>
      </c>
      <c r="J8195" t="n">
        <v>0</v>
      </c>
      <c r="K8195" t="n">
        <v>0</v>
      </c>
      <c r="L8195" t="n">
        <v>0</v>
      </c>
      <c r="M8195" t="n">
        <v>0</v>
      </c>
      <c r="N8195" t="n">
        <v>0</v>
      </c>
      <c r="O8195" t="n">
        <v>0</v>
      </c>
      <c r="P8195" t="n">
        <v>0</v>
      </c>
      <c r="Q8195" t="n">
        <v>0</v>
      </c>
      <c r="R8195" s="2" t="inlineStr"/>
    </row>
    <row r="8196" ht="15" customHeight="1">
      <c r="A8196" t="inlineStr">
        <is>
          <t>A 53913-2022</t>
        </is>
      </c>
      <c r="B8196" s="1" t="n">
        <v>44880</v>
      </c>
      <c r="C8196" s="1" t="n">
        <v>45810</v>
      </c>
      <c r="D8196" t="inlineStr">
        <is>
          <t>VÄRMLANDS LÄN</t>
        </is>
      </c>
      <c r="E8196" t="inlineStr">
        <is>
          <t>FORSHAGA</t>
        </is>
      </c>
      <c r="G8196" t="n">
        <v>0.6</v>
      </c>
      <c r="H8196" t="n">
        <v>0</v>
      </c>
      <c r="I8196" t="n">
        <v>0</v>
      </c>
      <c r="J8196" t="n">
        <v>0</v>
      </c>
      <c r="K8196" t="n">
        <v>0</v>
      </c>
      <c r="L8196" t="n">
        <v>0</v>
      </c>
      <c r="M8196" t="n">
        <v>0</v>
      </c>
      <c r="N8196" t="n">
        <v>0</v>
      </c>
      <c r="O8196" t="n">
        <v>0</v>
      </c>
      <c r="P8196" t="n">
        <v>0</v>
      </c>
      <c r="Q8196" t="n">
        <v>0</v>
      </c>
      <c r="R8196" s="2" t="inlineStr"/>
    </row>
    <row r="8197" ht="15" customHeight="1">
      <c r="A8197" t="inlineStr">
        <is>
          <t>A 53690-2022</t>
        </is>
      </c>
      <c r="B8197" s="1" t="n">
        <v>44880</v>
      </c>
      <c r="C8197" s="1" t="n">
        <v>45810</v>
      </c>
      <c r="D8197" t="inlineStr">
        <is>
          <t>VÄRMLANDS LÄN</t>
        </is>
      </c>
      <c r="E8197" t="inlineStr">
        <is>
          <t>FILIPSTAD</t>
        </is>
      </c>
      <c r="G8197" t="n">
        <v>2.1</v>
      </c>
      <c r="H8197" t="n">
        <v>0</v>
      </c>
      <c r="I8197" t="n">
        <v>0</v>
      </c>
      <c r="J8197" t="n">
        <v>0</v>
      </c>
      <c r="K8197" t="n">
        <v>0</v>
      </c>
      <c r="L8197" t="n">
        <v>0</v>
      </c>
      <c r="M8197" t="n">
        <v>0</v>
      </c>
      <c r="N8197" t="n">
        <v>0</v>
      </c>
      <c r="O8197" t="n">
        <v>0</v>
      </c>
      <c r="P8197" t="n">
        <v>0</v>
      </c>
      <c r="Q8197" t="n">
        <v>0</v>
      </c>
      <c r="R8197" s="2" t="inlineStr"/>
    </row>
    <row r="8198" ht="15" customHeight="1">
      <c r="A8198" t="inlineStr">
        <is>
          <t>A 53721-2022</t>
        </is>
      </c>
      <c r="B8198" s="1" t="n">
        <v>44880</v>
      </c>
      <c r="C8198" s="1" t="n">
        <v>45810</v>
      </c>
      <c r="D8198" t="inlineStr">
        <is>
          <t>VÄRMLANDS LÄN</t>
        </is>
      </c>
      <c r="E8198" t="inlineStr">
        <is>
          <t>KRISTINEHAMN</t>
        </is>
      </c>
      <c r="G8198" t="n">
        <v>0.6</v>
      </c>
      <c r="H8198" t="n">
        <v>0</v>
      </c>
      <c r="I8198" t="n">
        <v>0</v>
      </c>
      <c r="J8198" t="n">
        <v>0</v>
      </c>
      <c r="K8198" t="n">
        <v>0</v>
      </c>
      <c r="L8198" t="n">
        <v>0</v>
      </c>
      <c r="M8198" t="n">
        <v>0</v>
      </c>
      <c r="N8198" t="n">
        <v>0</v>
      </c>
      <c r="O8198" t="n">
        <v>0</v>
      </c>
      <c r="P8198" t="n">
        <v>0</v>
      </c>
      <c r="Q8198" t="n">
        <v>0</v>
      </c>
      <c r="R8198" s="2" t="inlineStr"/>
    </row>
    <row r="8199" ht="15" customHeight="1">
      <c r="A8199" t="inlineStr">
        <is>
          <t>A 53781-2022</t>
        </is>
      </c>
      <c r="B8199" s="1" t="n">
        <v>44880</v>
      </c>
      <c r="C8199" s="1" t="n">
        <v>45810</v>
      </c>
      <c r="D8199" t="inlineStr">
        <is>
          <t>VÄRMLANDS LÄN</t>
        </is>
      </c>
      <c r="E8199" t="inlineStr">
        <is>
          <t>TORSBY</t>
        </is>
      </c>
      <c r="G8199" t="n">
        <v>5.6</v>
      </c>
      <c r="H8199" t="n">
        <v>0</v>
      </c>
      <c r="I8199" t="n">
        <v>0</v>
      </c>
      <c r="J8199" t="n">
        <v>0</v>
      </c>
      <c r="K8199" t="n">
        <v>0</v>
      </c>
      <c r="L8199" t="n">
        <v>0</v>
      </c>
      <c r="M8199" t="n">
        <v>0</v>
      </c>
      <c r="N8199" t="n">
        <v>0</v>
      </c>
      <c r="O8199" t="n">
        <v>0</v>
      </c>
      <c r="P8199" t="n">
        <v>0</v>
      </c>
      <c r="Q8199" t="n">
        <v>0</v>
      </c>
      <c r="R8199" s="2" t="inlineStr"/>
    </row>
    <row r="8200" ht="15" customHeight="1">
      <c r="A8200" t="inlineStr">
        <is>
          <t>A 53832-2022</t>
        </is>
      </c>
      <c r="B8200" s="1" t="n">
        <v>44880</v>
      </c>
      <c r="C8200" s="1" t="n">
        <v>45810</v>
      </c>
      <c r="D8200" t="inlineStr">
        <is>
          <t>VÄRMLANDS LÄN</t>
        </is>
      </c>
      <c r="E8200" t="inlineStr">
        <is>
          <t>SÄFFLE</t>
        </is>
      </c>
      <c r="G8200" t="n">
        <v>4.9</v>
      </c>
      <c r="H8200" t="n">
        <v>0</v>
      </c>
      <c r="I8200" t="n">
        <v>0</v>
      </c>
      <c r="J8200" t="n">
        <v>0</v>
      </c>
      <c r="K8200" t="n">
        <v>0</v>
      </c>
      <c r="L8200" t="n">
        <v>0</v>
      </c>
      <c r="M8200" t="n">
        <v>0</v>
      </c>
      <c r="N8200" t="n">
        <v>0</v>
      </c>
      <c r="O8200" t="n">
        <v>0</v>
      </c>
      <c r="P8200" t="n">
        <v>0</v>
      </c>
      <c r="Q8200" t="n">
        <v>0</v>
      </c>
      <c r="R8200" s="2" t="inlineStr"/>
    </row>
    <row r="8201" ht="15" customHeight="1">
      <c r="A8201" t="inlineStr">
        <is>
          <t>A 53755-2022</t>
        </is>
      </c>
      <c r="B8201" s="1" t="n">
        <v>44880</v>
      </c>
      <c r="C8201" s="1" t="n">
        <v>45810</v>
      </c>
      <c r="D8201" t="inlineStr">
        <is>
          <t>VÄRMLANDS LÄN</t>
        </is>
      </c>
      <c r="E8201" t="inlineStr">
        <is>
          <t>SUNNE</t>
        </is>
      </c>
      <c r="G8201" t="n">
        <v>2.8</v>
      </c>
      <c r="H8201" t="n">
        <v>0</v>
      </c>
      <c r="I8201" t="n">
        <v>0</v>
      </c>
      <c r="J8201" t="n">
        <v>0</v>
      </c>
      <c r="K8201" t="n">
        <v>0</v>
      </c>
      <c r="L8201" t="n">
        <v>0</v>
      </c>
      <c r="M8201" t="n">
        <v>0</v>
      </c>
      <c r="N8201" t="n">
        <v>0</v>
      </c>
      <c r="O8201" t="n">
        <v>0</v>
      </c>
      <c r="P8201" t="n">
        <v>0</v>
      </c>
      <c r="Q8201" t="n">
        <v>0</v>
      </c>
      <c r="R8201" s="2" t="inlineStr"/>
    </row>
    <row r="8202" ht="15" customHeight="1">
      <c r="A8202" t="inlineStr">
        <is>
          <t>A 53788-2022</t>
        </is>
      </c>
      <c r="B8202" s="1" t="n">
        <v>44880</v>
      </c>
      <c r="C8202" s="1" t="n">
        <v>45810</v>
      </c>
      <c r="D8202" t="inlineStr">
        <is>
          <t>VÄRMLANDS LÄN</t>
        </is>
      </c>
      <c r="E8202" t="inlineStr">
        <is>
          <t>SÄFFLE</t>
        </is>
      </c>
      <c r="G8202" t="n">
        <v>1</v>
      </c>
      <c r="H8202" t="n">
        <v>0</v>
      </c>
      <c r="I8202" t="n">
        <v>0</v>
      </c>
      <c r="J8202" t="n">
        <v>0</v>
      </c>
      <c r="K8202" t="n">
        <v>0</v>
      </c>
      <c r="L8202" t="n">
        <v>0</v>
      </c>
      <c r="M8202" t="n">
        <v>0</v>
      </c>
      <c r="N8202" t="n">
        <v>0</v>
      </c>
      <c r="O8202" t="n">
        <v>0</v>
      </c>
      <c r="P8202" t="n">
        <v>0</v>
      </c>
      <c r="Q8202" t="n">
        <v>0</v>
      </c>
      <c r="R8202" s="2" t="inlineStr"/>
    </row>
    <row r="8203" ht="15" customHeight="1">
      <c r="A8203" t="inlineStr">
        <is>
          <t>A 53892-2022</t>
        </is>
      </c>
      <c r="B8203" s="1" t="n">
        <v>44880</v>
      </c>
      <c r="C8203" s="1" t="n">
        <v>45810</v>
      </c>
      <c r="D8203" t="inlineStr">
        <is>
          <t>VÄRMLANDS LÄN</t>
        </is>
      </c>
      <c r="E8203" t="inlineStr">
        <is>
          <t>ARVIKA</t>
        </is>
      </c>
      <c r="G8203" t="n">
        <v>0.8</v>
      </c>
      <c r="H8203" t="n">
        <v>0</v>
      </c>
      <c r="I8203" t="n">
        <v>0</v>
      </c>
      <c r="J8203" t="n">
        <v>0</v>
      </c>
      <c r="K8203" t="n">
        <v>0</v>
      </c>
      <c r="L8203" t="n">
        <v>0</v>
      </c>
      <c r="M8203" t="n">
        <v>0</v>
      </c>
      <c r="N8203" t="n">
        <v>0</v>
      </c>
      <c r="O8203" t="n">
        <v>0</v>
      </c>
      <c r="P8203" t="n">
        <v>0</v>
      </c>
      <c r="Q8203" t="n">
        <v>0</v>
      </c>
      <c r="R8203" s="2" t="inlineStr"/>
    </row>
    <row r="8204" ht="15" customHeight="1">
      <c r="A8204" t="inlineStr">
        <is>
          <t>A 53906-2022</t>
        </is>
      </c>
      <c r="B8204" s="1" t="n">
        <v>44880</v>
      </c>
      <c r="C8204" s="1" t="n">
        <v>45810</v>
      </c>
      <c r="D8204" t="inlineStr">
        <is>
          <t>VÄRMLANDS LÄN</t>
        </is>
      </c>
      <c r="E8204" t="inlineStr">
        <is>
          <t>TORSBY</t>
        </is>
      </c>
      <c r="F8204" t="inlineStr">
        <is>
          <t>Bergvik skog väst AB</t>
        </is>
      </c>
      <c r="G8204" t="n">
        <v>5</v>
      </c>
      <c r="H8204" t="n">
        <v>0</v>
      </c>
      <c r="I8204" t="n">
        <v>0</v>
      </c>
      <c r="J8204" t="n">
        <v>0</v>
      </c>
      <c r="K8204" t="n">
        <v>0</v>
      </c>
      <c r="L8204" t="n">
        <v>0</v>
      </c>
      <c r="M8204" t="n">
        <v>0</v>
      </c>
      <c r="N8204" t="n">
        <v>0</v>
      </c>
      <c r="O8204" t="n">
        <v>0</v>
      </c>
      <c r="P8204" t="n">
        <v>0</v>
      </c>
      <c r="Q8204" t="n">
        <v>0</v>
      </c>
      <c r="R8204" s="2" t="inlineStr"/>
    </row>
    <row r="8205" ht="15" customHeight="1">
      <c r="A8205" t="inlineStr">
        <is>
          <t>A 53877-2022</t>
        </is>
      </c>
      <c r="B8205" s="1" t="n">
        <v>44880</v>
      </c>
      <c r="C8205" s="1" t="n">
        <v>45810</v>
      </c>
      <c r="D8205" t="inlineStr">
        <is>
          <t>VÄRMLANDS LÄN</t>
        </is>
      </c>
      <c r="E8205" t="inlineStr">
        <is>
          <t>HAGFORS</t>
        </is>
      </c>
      <c r="F8205" t="inlineStr">
        <is>
          <t>Bergvik skog väst AB</t>
        </is>
      </c>
      <c r="G8205" t="n">
        <v>19.2</v>
      </c>
      <c r="H8205" t="n">
        <v>0</v>
      </c>
      <c r="I8205" t="n">
        <v>0</v>
      </c>
      <c r="J8205" t="n">
        <v>0</v>
      </c>
      <c r="K8205" t="n">
        <v>0</v>
      </c>
      <c r="L8205" t="n">
        <v>0</v>
      </c>
      <c r="M8205" t="n">
        <v>0</v>
      </c>
      <c r="N8205" t="n">
        <v>0</v>
      </c>
      <c r="O8205" t="n">
        <v>0</v>
      </c>
      <c r="P8205" t="n">
        <v>0</v>
      </c>
      <c r="Q8205" t="n">
        <v>0</v>
      </c>
      <c r="R8205" s="2" t="inlineStr"/>
    </row>
    <row r="8206" ht="15" customHeight="1">
      <c r="A8206" t="inlineStr">
        <is>
          <t>A 53910-2022</t>
        </is>
      </c>
      <c r="B8206" s="1" t="n">
        <v>44880</v>
      </c>
      <c r="C8206" s="1" t="n">
        <v>45810</v>
      </c>
      <c r="D8206" t="inlineStr">
        <is>
          <t>VÄRMLANDS LÄN</t>
        </is>
      </c>
      <c r="E8206" t="inlineStr">
        <is>
          <t>FORSHAGA</t>
        </is>
      </c>
      <c r="G8206" t="n">
        <v>1.4</v>
      </c>
      <c r="H8206" t="n">
        <v>0</v>
      </c>
      <c r="I8206" t="n">
        <v>0</v>
      </c>
      <c r="J8206" t="n">
        <v>0</v>
      </c>
      <c r="K8206" t="n">
        <v>0</v>
      </c>
      <c r="L8206" t="n">
        <v>0</v>
      </c>
      <c r="M8206" t="n">
        <v>0</v>
      </c>
      <c r="N8206" t="n">
        <v>0</v>
      </c>
      <c r="O8206" t="n">
        <v>0</v>
      </c>
      <c r="P8206" t="n">
        <v>0</v>
      </c>
      <c r="Q8206" t="n">
        <v>0</v>
      </c>
      <c r="R8206" s="2" t="inlineStr"/>
    </row>
    <row r="8207" ht="15" customHeight="1">
      <c r="A8207" t="inlineStr">
        <is>
          <t>A 53912-2022</t>
        </is>
      </c>
      <c r="B8207" s="1" t="n">
        <v>44880</v>
      </c>
      <c r="C8207" s="1" t="n">
        <v>45810</v>
      </c>
      <c r="D8207" t="inlineStr">
        <is>
          <t>VÄRMLANDS LÄN</t>
        </is>
      </c>
      <c r="E8207" t="inlineStr">
        <is>
          <t>FORSHAGA</t>
        </is>
      </c>
      <c r="G8207" t="n">
        <v>1</v>
      </c>
      <c r="H8207" t="n">
        <v>0</v>
      </c>
      <c r="I8207" t="n">
        <v>0</v>
      </c>
      <c r="J8207" t="n">
        <v>0</v>
      </c>
      <c r="K8207" t="n">
        <v>0</v>
      </c>
      <c r="L8207" t="n">
        <v>0</v>
      </c>
      <c r="M8207" t="n">
        <v>0</v>
      </c>
      <c r="N8207" t="n">
        <v>0</v>
      </c>
      <c r="O8207" t="n">
        <v>0</v>
      </c>
      <c r="P8207" t="n">
        <v>0</v>
      </c>
      <c r="Q8207" t="n">
        <v>0</v>
      </c>
      <c r="R8207" s="2" t="inlineStr"/>
    </row>
    <row r="8208" ht="15" customHeight="1">
      <c r="A8208" t="inlineStr">
        <is>
          <t>A 54452-2022</t>
        </is>
      </c>
      <c r="B8208" s="1" t="n">
        <v>44880</v>
      </c>
      <c r="C8208" s="1" t="n">
        <v>45810</v>
      </c>
      <c r="D8208" t="inlineStr">
        <is>
          <t>VÄRMLANDS LÄN</t>
        </is>
      </c>
      <c r="E8208" t="inlineStr">
        <is>
          <t>TORSBY</t>
        </is>
      </c>
      <c r="F8208" t="inlineStr">
        <is>
          <t>Kyrkan</t>
        </is>
      </c>
      <c r="G8208" t="n">
        <v>10.6</v>
      </c>
      <c r="H8208" t="n">
        <v>0</v>
      </c>
      <c r="I8208" t="n">
        <v>0</v>
      </c>
      <c r="J8208" t="n">
        <v>0</v>
      </c>
      <c r="K8208" t="n">
        <v>0</v>
      </c>
      <c r="L8208" t="n">
        <v>0</v>
      </c>
      <c r="M8208" t="n">
        <v>0</v>
      </c>
      <c r="N8208" t="n">
        <v>0</v>
      </c>
      <c r="O8208" t="n">
        <v>0</v>
      </c>
      <c r="P8208" t="n">
        <v>0</v>
      </c>
      <c r="Q8208" t="n">
        <v>0</v>
      </c>
      <c r="R8208" s="2" t="inlineStr"/>
    </row>
    <row r="8209" ht="15" customHeight="1">
      <c r="A8209" t="inlineStr">
        <is>
          <t>A 54028-2022</t>
        </is>
      </c>
      <c r="B8209" s="1" t="n">
        <v>44881</v>
      </c>
      <c r="C8209" s="1" t="n">
        <v>45810</v>
      </c>
      <c r="D8209" t="inlineStr">
        <is>
          <t>VÄRMLANDS LÄN</t>
        </is>
      </c>
      <c r="E8209" t="inlineStr">
        <is>
          <t>TORSBY</t>
        </is>
      </c>
      <c r="G8209" t="n">
        <v>3.8</v>
      </c>
      <c r="H8209" t="n">
        <v>0</v>
      </c>
      <c r="I8209" t="n">
        <v>0</v>
      </c>
      <c r="J8209" t="n">
        <v>0</v>
      </c>
      <c r="K8209" t="n">
        <v>0</v>
      </c>
      <c r="L8209" t="n">
        <v>0</v>
      </c>
      <c r="M8209" t="n">
        <v>0</v>
      </c>
      <c r="N8209" t="n">
        <v>0</v>
      </c>
      <c r="O8209" t="n">
        <v>0</v>
      </c>
      <c r="P8209" t="n">
        <v>0</v>
      </c>
      <c r="Q8209" t="n">
        <v>0</v>
      </c>
      <c r="R8209" s="2" t="inlineStr"/>
    </row>
    <row r="8210" ht="15" customHeight="1">
      <c r="A8210" t="inlineStr">
        <is>
          <t>A 54111-2022</t>
        </is>
      </c>
      <c r="B8210" s="1" t="n">
        <v>44881</v>
      </c>
      <c r="C8210" s="1" t="n">
        <v>45810</v>
      </c>
      <c r="D8210" t="inlineStr">
        <is>
          <t>VÄRMLANDS LÄN</t>
        </is>
      </c>
      <c r="E8210" t="inlineStr">
        <is>
          <t>STORFORS</t>
        </is>
      </c>
      <c r="F8210" t="inlineStr">
        <is>
          <t>Bergvik skog väst AB</t>
        </is>
      </c>
      <c r="G8210" t="n">
        <v>13.9</v>
      </c>
      <c r="H8210" t="n">
        <v>0</v>
      </c>
      <c r="I8210" t="n">
        <v>0</v>
      </c>
      <c r="J8210" t="n">
        <v>0</v>
      </c>
      <c r="K8210" t="n">
        <v>0</v>
      </c>
      <c r="L8210" t="n">
        <v>0</v>
      </c>
      <c r="M8210" t="n">
        <v>0</v>
      </c>
      <c r="N8210" t="n">
        <v>0</v>
      </c>
      <c r="O8210" t="n">
        <v>0</v>
      </c>
      <c r="P8210" t="n">
        <v>0</v>
      </c>
      <c r="Q8210" t="n">
        <v>0</v>
      </c>
      <c r="R8210" s="2" t="inlineStr"/>
    </row>
    <row r="8211" ht="15" customHeight="1">
      <c r="A8211" t="inlineStr">
        <is>
          <t>A 54137-2022</t>
        </is>
      </c>
      <c r="B8211" s="1" t="n">
        <v>44881</v>
      </c>
      <c r="C8211" s="1" t="n">
        <v>45810</v>
      </c>
      <c r="D8211" t="inlineStr">
        <is>
          <t>VÄRMLANDS LÄN</t>
        </is>
      </c>
      <c r="E8211" t="inlineStr">
        <is>
          <t>EDA</t>
        </is>
      </c>
      <c r="G8211" t="n">
        <v>0.1</v>
      </c>
      <c r="H8211" t="n">
        <v>0</v>
      </c>
      <c r="I8211" t="n">
        <v>0</v>
      </c>
      <c r="J8211" t="n">
        <v>0</v>
      </c>
      <c r="K8211" t="n">
        <v>0</v>
      </c>
      <c r="L8211" t="n">
        <v>0</v>
      </c>
      <c r="M8211" t="n">
        <v>0</v>
      </c>
      <c r="N8211" t="n">
        <v>0</v>
      </c>
      <c r="O8211" t="n">
        <v>0</v>
      </c>
      <c r="P8211" t="n">
        <v>0</v>
      </c>
      <c r="Q8211" t="n">
        <v>0</v>
      </c>
      <c r="R8211" s="2" t="inlineStr"/>
    </row>
    <row r="8212" ht="15" customHeight="1">
      <c r="A8212" t="inlineStr">
        <is>
          <t>A 54146-2022</t>
        </is>
      </c>
      <c r="B8212" s="1" t="n">
        <v>44881</v>
      </c>
      <c r="C8212" s="1" t="n">
        <v>45810</v>
      </c>
      <c r="D8212" t="inlineStr">
        <is>
          <t>VÄRMLANDS LÄN</t>
        </is>
      </c>
      <c r="E8212" t="inlineStr">
        <is>
          <t>SUNNE</t>
        </is>
      </c>
      <c r="F8212" t="inlineStr">
        <is>
          <t>Bergvik skog väst AB</t>
        </is>
      </c>
      <c r="G8212" t="n">
        <v>4.5</v>
      </c>
      <c r="H8212" t="n">
        <v>0</v>
      </c>
      <c r="I8212" t="n">
        <v>0</v>
      </c>
      <c r="J8212" t="n">
        <v>0</v>
      </c>
      <c r="K8212" t="n">
        <v>0</v>
      </c>
      <c r="L8212" t="n">
        <v>0</v>
      </c>
      <c r="M8212" t="n">
        <v>0</v>
      </c>
      <c r="N8212" t="n">
        <v>0</v>
      </c>
      <c r="O8212" t="n">
        <v>0</v>
      </c>
      <c r="P8212" t="n">
        <v>0</v>
      </c>
      <c r="Q8212" t="n">
        <v>0</v>
      </c>
      <c r="R8212" s="2" t="inlineStr"/>
    </row>
    <row r="8213" ht="15" customHeight="1">
      <c r="A8213" t="inlineStr">
        <is>
          <t>A 54168-2022</t>
        </is>
      </c>
      <c r="B8213" s="1" t="n">
        <v>44881</v>
      </c>
      <c r="C8213" s="1" t="n">
        <v>45810</v>
      </c>
      <c r="D8213" t="inlineStr">
        <is>
          <t>VÄRMLANDS LÄN</t>
        </is>
      </c>
      <c r="E8213" t="inlineStr">
        <is>
          <t>EDA</t>
        </is>
      </c>
      <c r="F8213" t="inlineStr">
        <is>
          <t>Övriga Aktiebolag</t>
        </is>
      </c>
      <c r="G8213" t="n">
        <v>2.2</v>
      </c>
      <c r="H8213" t="n">
        <v>0</v>
      </c>
      <c r="I8213" t="n">
        <v>0</v>
      </c>
      <c r="J8213" t="n">
        <v>0</v>
      </c>
      <c r="K8213" t="n">
        <v>0</v>
      </c>
      <c r="L8213" t="n">
        <v>0</v>
      </c>
      <c r="M8213" t="n">
        <v>0</v>
      </c>
      <c r="N8213" t="n">
        <v>0</v>
      </c>
      <c r="O8213" t="n">
        <v>0</v>
      </c>
      <c r="P8213" t="n">
        <v>0</v>
      </c>
      <c r="Q8213" t="n">
        <v>0</v>
      </c>
      <c r="R8213" s="2" t="inlineStr"/>
    </row>
    <row r="8214" ht="15" customHeight="1">
      <c r="A8214" t="inlineStr">
        <is>
          <t>A 54222-2022</t>
        </is>
      </c>
      <c r="B8214" s="1" t="n">
        <v>44881</v>
      </c>
      <c r="C8214" s="1" t="n">
        <v>45810</v>
      </c>
      <c r="D8214" t="inlineStr">
        <is>
          <t>VÄRMLANDS LÄN</t>
        </is>
      </c>
      <c r="E8214" t="inlineStr">
        <is>
          <t>EDA</t>
        </is>
      </c>
      <c r="G8214" t="n">
        <v>1.3</v>
      </c>
      <c r="H8214" t="n">
        <v>0</v>
      </c>
      <c r="I8214" t="n">
        <v>0</v>
      </c>
      <c r="J8214" t="n">
        <v>0</v>
      </c>
      <c r="K8214" t="n">
        <v>0</v>
      </c>
      <c r="L8214" t="n">
        <v>0</v>
      </c>
      <c r="M8214" t="n">
        <v>0</v>
      </c>
      <c r="N8214" t="n">
        <v>0</v>
      </c>
      <c r="O8214" t="n">
        <v>0</v>
      </c>
      <c r="P8214" t="n">
        <v>0</v>
      </c>
      <c r="Q8214" t="n">
        <v>0</v>
      </c>
      <c r="R8214" s="2" t="inlineStr"/>
    </row>
    <row r="8215" ht="15" customHeight="1">
      <c r="A8215" t="inlineStr">
        <is>
          <t>A 54133-2022</t>
        </is>
      </c>
      <c r="B8215" s="1" t="n">
        <v>44881</v>
      </c>
      <c r="C8215" s="1" t="n">
        <v>45810</v>
      </c>
      <c r="D8215" t="inlineStr">
        <is>
          <t>VÄRMLANDS LÄN</t>
        </is>
      </c>
      <c r="E8215" t="inlineStr">
        <is>
          <t>EDA</t>
        </is>
      </c>
      <c r="G8215" t="n">
        <v>0.2</v>
      </c>
      <c r="H8215" t="n">
        <v>0</v>
      </c>
      <c r="I8215" t="n">
        <v>0</v>
      </c>
      <c r="J8215" t="n">
        <v>0</v>
      </c>
      <c r="K8215" t="n">
        <v>0</v>
      </c>
      <c r="L8215" t="n">
        <v>0</v>
      </c>
      <c r="M8215" t="n">
        <v>0</v>
      </c>
      <c r="N8215" t="n">
        <v>0</v>
      </c>
      <c r="O8215" t="n">
        <v>0</v>
      </c>
      <c r="P8215" t="n">
        <v>0</v>
      </c>
      <c r="Q8215" t="n">
        <v>0</v>
      </c>
      <c r="R8215" s="2" t="inlineStr"/>
    </row>
    <row r="8216" ht="15" customHeight="1">
      <c r="A8216" t="inlineStr">
        <is>
          <t>A 53987-2022</t>
        </is>
      </c>
      <c r="B8216" s="1" t="n">
        <v>44881</v>
      </c>
      <c r="C8216" s="1" t="n">
        <v>45810</v>
      </c>
      <c r="D8216" t="inlineStr">
        <is>
          <t>VÄRMLANDS LÄN</t>
        </is>
      </c>
      <c r="E8216" t="inlineStr">
        <is>
          <t>EDA</t>
        </is>
      </c>
      <c r="G8216" t="n">
        <v>3.7</v>
      </c>
      <c r="H8216" t="n">
        <v>0</v>
      </c>
      <c r="I8216" t="n">
        <v>0</v>
      </c>
      <c r="J8216" t="n">
        <v>0</v>
      </c>
      <c r="K8216" t="n">
        <v>0</v>
      </c>
      <c r="L8216" t="n">
        <v>0</v>
      </c>
      <c r="M8216" t="n">
        <v>0</v>
      </c>
      <c r="N8216" t="n">
        <v>0</v>
      </c>
      <c r="O8216" t="n">
        <v>0</v>
      </c>
      <c r="P8216" t="n">
        <v>0</v>
      </c>
      <c r="Q8216" t="n">
        <v>0</v>
      </c>
      <c r="R8216" s="2" t="inlineStr"/>
    </row>
    <row r="8217" ht="15" customHeight="1">
      <c r="A8217" t="inlineStr">
        <is>
          <t>A 53993-2022</t>
        </is>
      </c>
      <c r="B8217" s="1" t="n">
        <v>44881</v>
      </c>
      <c r="C8217" s="1" t="n">
        <v>45810</v>
      </c>
      <c r="D8217" t="inlineStr">
        <is>
          <t>VÄRMLANDS LÄN</t>
        </is>
      </c>
      <c r="E8217" t="inlineStr">
        <is>
          <t>ARVIKA</t>
        </is>
      </c>
      <c r="G8217" t="n">
        <v>7.2</v>
      </c>
      <c r="H8217" t="n">
        <v>0</v>
      </c>
      <c r="I8217" t="n">
        <v>0</v>
      </c>
      <c r="J8217" t="n">
        <v>0</v>
      </c>
      <c r="K8217" t="n">
        <v>0</v>
      </c>
      <c r="L8217" t="n">
        <v>0</v>
      </c>
      <c r="M8217" t="n">
        <v>0</v>
      </c>
      <c r="N8217" t="n">
        <v>0</v>
      </c>
      <c r="O8217" t="n">
        <v>0</v>
      </c>
      <c r="P8217" t="n">
        <v>0</v>
      </c>
      <c r="Q8217" t="n">
        <v>0</v>
      </c>
      <c r="R8217" s="2" t="inlineStr"/>
    </row>
    <row r="8218" ht="15" customHeight="1">
      <c r="A8218" t="inlineStr">
        <is>
          <t>A 54036-2022</t>
        </is>
      </c>
      <c r="B8218" s="1" t="n">
        <v>44881</v>
      </c>
      <c r="C8218" s="1" t="n">
        <v>45810</v>
      </c>
      <c r="D8218" t="inlineStr">
        <is>
          <t>VÄRMLANDS LÄN</t>
        </is>
      </c>
      <c r="E8218" t="inlineStr">
        <is>
          <t>SUNNE</t>
        </is>
      </c>
      <c r="G8218" t="n">
        <v>2.3</v>
      </c>
      <c r="H8218" t="n">
        <v>0</v>
      </c>
      <c r="I8218" t="n">
        <v>0</v>
      </c>
      <c r="J8218" t="n">
        <v>0</v>
      </c>
      <c r="K8218" t="n">
        <v>0</v>
      </c>
      <c r="L8218" t="n">
        <v>0</v>
      </c>
      <c r="M8218" t="n">
        <v>0</v>
      </c>
      <c r="N8218" t="n">
        <v>0</v>
      </c>
      <c r="O8218" t="n">
        <v>0</v>
      </c>
      <c r="P8218" t="n">
        <v>0</v>
      </c>
      <c r="Q8218" t="n">
        <v>0</v>
      </c>
      <c r="R8218" s="2" t="inlineStr"/>
    </row>
    <row r="8219" ht="15" customHeight="1">
      <c r="A8219" t="inlineStr">
        <is>
          <t>A 54126-2022</t>
        </is>
      </c>
      <c r="B8219" s="1" t="n">
        <v>44881</v>
      </c>
      <c r="C8219" s="1" t="n">
        <v>45810</v>
      </c>
      <c r="D8219" t="inlineStr">
        <is>
          <t>VÄRMLANDS LÄN</t>
        </is>
      </c>
      <c r="E8219" t="inlineStr">
        <is>
          <t>SÄFFLE</t>
        </is>
      </c>
      <c r="F8219" t="inlineStr">
        <is>
          <t>Kyrkan</t>
        </is>
      </c>
      <c r="G8219" t="n">
        <v>1.4</v>
      </c>
      <c r="H8219" t="n">
        <v>0</v>
      </c>
      <c r="I8219" t="n">
        <v>0</v>
      </c>
      <c r="J8219" t="n">
        <v>0</v>
      </c>
      <c r="K8219" t="n">
        <v>0</v>
      </c>
      <c r="L8219" t="n">
        <v>0</v>
      </c>
      <c r="M8219" t="n">
        <v>0</v>
      </c>
      <c r="N8219" t="n">
        <v>0</v>
      </c>
      <c r="O8219" t="n">
        <v>0</v>
      </c>
      <c r="P8219" t="n">
        <v>0</v>
      </c>
      <c r="Q8219" t="n">
        <v>0</v>
      </c>
      <c r="R8219" s="2" t="inlineStr"/>
    </row>
    <row r="8220" ht="15" customHeight="1">
      <c r="A8220" t="inlineStr">
        <is>
          <t>A 54143-2022</t>
        </is>
      </c>
      <c r="B8220" s="1" t="n">
        <v>44881</v>
      </c>
      <c r="C8220" s="1" t="n">
        <v>45810</v>
      </c>
      <c r="D8220" t="inlineStr">
        <is>
          <t>VÄRMLANDS LÄN</t>
        </is>
      </c>
      <c r="E8220" t="inlineStr">
        <is>
          <t>TORSBY</t>
        </is>
      </c>
      <c r="G8220" t="n">
        <v>1.1</v>
      </c>
      <c r="H8220" t="n">
        <v>0</v>
      </c>
      <c r="I8220" t="n">
        <v>0</v>
      </c>
      <c r="J8220" t="n">
        <v>0</v>
      </c>
      <c r="K8220" t="n">
        <v>0</v>
      </c>
      <c r="L8220" t="n">
        <v>0</v>
      </c>
      <c r="M8220" t="n">
        <v>0</v>
      </c>
      <c r="N8220" t="n">
        <v>0</v>
      </c>
      <c r="O8220" t="n">
        <v>0</v>
      </c>
      <c r="P8220" t="n">
        <v>0</v>
      </c>
      <c r="Q8220" t="n">
        <v>0</v>
      </c>
      <c r="R8220" s="2" t="inlineStr"/>
    </row>
    <row r="8221" ht="15" customHeight="1">
      <c r="A8221" t="inlineStr">
        <is>
          <t>A 54160-2022</t>
        </is>
      </c>
      <c r="B8221" s="1" t="n">
        <v>44881</v>
      </c>
      <c r="C8221" s="1" t="n">
        <v>45810</v>
      </c>
      <c r="D8221" t="inlineStr">
        <is>
          <t>VÄRMLANDS LÄN</t>
        </is>
      </c>
      <c r="E8221" t="inlineStr">
        <is>
          <t>TORSBY</t>
        </is>
      </c>
      <c r="G8221" t="n">
        <v>1.3</v>
      </c>
      <c r="H8221" t="n">
        <v>0</v>
      </c>
      <c r="I8221" t="n">
        <v>0</v>
      </c>
      <c r="J8221" t="n">
        <v>0</v>
      </c>
      <c r="K8221" t="n">
        <v>0</v>
      </c>
      <c r="L8221" t="n">
        <v>0</v>
      </c>
      <c r="M8221" t="n">
        <v>0</v>
      </c>
      <c r="N8221" t="n">
        <v>0</v>
      </c>
      <c r="O8221" t="n">
        <v>0</v>
      </c>
      <c r="P8221" t="n">
        <v>0</v>
      </c>
      <c r="Q8221" t="n">
        <v>0</v>
      </c>
      <c r="R8221" s="2" t="inlineStr"/>
    </row>
    <row r="8222" ht="15" customHeight="1">
      <c r="A8222" t="inlineStr">
        <is>
          <t>A 54179-2022</t>
        </is>
      </c>
      <c r="B8222" s="1" t="n">
        <v>44881</v>
      </c>
      <c r="C8222" s="1" t="n">
        <v>45810</v>
      </c>
      <c r="D8222" t="inlineStr">
        <is>
          <t>VÄRMLANDS LÄN</t>
        </is>
      </c>
      <c r="E8222" t="inlineStr">
        <is>
          <t>SUNNE</t>
        </is>
      </c>
      <c r="F8222" t="inlineStr">
        <is>
          <t>Bergvik skog väst AB</t>
        </is>
      </c>
      <c r="G8222" t="n">
        <v>2.1</v>
      </c>
      <c r="H8222" t="n">
        <v>0</v>
      </c>
      <c r="I8222" t="n">
        <v>0</v>
      </c>
      <c r="J8222" t="n">
        <v>0</v>
      </c>
      <c r="K8222" t="n">
        <v>0</v>
      </c>
      <c r="L8222" t="n">
        <v>0</v>
      </c>
      <c r="M8222" t="n">
        <v>0</v>
      </c>
      <c r="N8222" t="n">
        <v>0</v>
      </c>
      <c r="O8222" t="n">
        <v>0</v>
      </c>
      <c r="P8222" t="n">
        <v>0</v>
      </c>
      <c r="Q8222" t="n">
        <v>0</v>
      </c>
      <c r="R8222" s="2" t="inlineStr"/>
    </row>
    <row r="8223" ht="15" customHeight="1">
      <c r="A8223" t="inlineStr">
        <is>
          <t>A 54170-2022</t>
        </is>
      </c>
      <c r="B8223" s="1" t="n">
        <v>44881</v>
      </c>
      <c r="C8223" s="1" t="n">
        <v>45810</v>
      </c>
      <c r="D8223" t="inlineStr">
        <is>
          <t>VÄRMLANDS LÄN</t>
        </is>
      </c>
      <c r="E8223" t="inlineStr">
        <is>
          <t>FORSHAGA</t>
        </is>
      </c>
      <c r="G8223" t="n">
        <v>2.2</v>
      </c>
      <c r="H8223" t="n">
        <v>0</v>
      </c>
      <c r="I8223" t="n">
        <v>0</v>
      </c>
      <c r="J8223" t="n">
        <v>0</v>
      </c>
      <c r="K8223" t="n">
        <v>0</v>
      </c>
      <c r="L8223" t="n">
        <v>0</v>
      </c>
      <c r="M8223" t="n">
        <v>0</v>
      </c>
      <c r="N8223" t="n">
        <v>0</v>
      </c>
      <c r="O8223" t="n">
        <v>0</v>
      </c>
      <c r="P8223" t="n">
        <v>0</v>
      </c>
      <c r="Q8223" t="n">
        <v>0</v>
      </c>
      <c r="R8223" s="2" t="inlineStr"/>
    </row>
    <row r="8224" ht="15" customHeight="1">
      <c r="A8224" t="inlineStr">
        <is>
          <t>A 54185-2022</t>
        </is>
      </c>
      <c r="B8224" s="1" t="n">
        <v>44881</v>
      </c>
      <c r="C8224" s="1" t="n">
        <v>45810</v>
      </c>
      <c r="D8224" t="inlineStr">
        <is>
          <t>VÄRMLANDS LÄN</t>
        </is>
      </c>
      <c r="E8224" t="inlineStr">
        <is>
          <t>EDA</t>
        </is>
      </c>
      <c r="F8224" t="inlineStr">
        <is>
          <t>Övriga Aktiebolag</t>
        </is>
      </c>
      <c r="G8224" t="n">
        <v>1.7</v>
      </c>
      <c r="H8224" t="n">
        <v>0</v>
      </c>
      <c r="I8224" t="n">
        <v>0</v>
      </c>
      <c r="J8224" t="n">
        <v>0</v>
      </c>
      <c r="K8224" t="n">
        <v>0</v>
      </c>
      <c r="L8224" t="n">
        <v>0</v>
      </c>
      <c r="M8224" t="n">
        <v>0</v>
      </c>
      <c r="N8224" t="n">
        <v>0</v>
      </c>
      <c r="O8224" t="n">
        <v>0</v>
      </c>
      <c r="P8224" t="n">
        <v>0</v>
      </c>
      <c r="Q8224" t="n">
        <v>0</v>
      </c>
      <c r="R8224" s="2" t="inlineStr"/>
    </row>
    <row r="8225" ht="15" customHeight="1">
      <c r="A8225" t="inlineStr">
        <is>
          <t>A 55056-2022</t>
        </is>
      </c>
      <c r="B8225" s="1" t="n">
        <v>44881</v>
      </c>
      <c r="C8225" s="1" t="n">
        <v>45810</v>
      </c>
      <c r="D8225" t="inlineStr">
        <is>
          <t>VÄRMLANDS LÄN</t>
        </is>
      </c>
      <c r="E8225" t="inlineStr">
        <is>
          <t>SÄFFLE</t>
        </is>
      </c>
      <c r="G8225" t="n">
        <v>1.1</v>
      </c>
      <c r="H8225" t="n">
        <v>0</v>
      </c>
      <c r="I8225" t="n">
        <v>0</v>
      </c>
      <c r="J8225" t="n">
        <v>0</v>
      </c>
      <c r="K8225" t="n">
        <v>0</v>
      </c>
      <c r="L8225" t="n">
        <v>0</v>
      </c>
      <c r="M8225" t="n">
        <v>0</v>
      </c>
      <c r="N8225" t="n">
        <v>0</v>
      </c>
      <c r="O8225" t="n">
        <v>0</v>
      </c>
      <c r="P8225" t="n">
        <v>0</v>
      </c>
      <c r="Q8225" t="n">
        <v>0</v>
      </c>
      <c r="R8225" s="2" t="inlineStr"/>
    </row>
    <row r="8226" ht="15" customHeight="1">
      <c r="A8226" t="inlineStr">
        <is>
          <t>A 55090-2022</t>
        </is>
      </c>
      <c r="B8226" s="1" t="n">
        <v>44881</v>
      </c>
      <c r="C8226" s="1" t="n">
        <v>45810</v>
      </c>
      <c r="D8226" t="inlineStr">
        <is>
          <t>VÄRMLANDS LÄN</t>
        </is>
      </c>
      <c r="E8226" t="inlineStr">
        <is>
          <t>SÄFFLE</t>
        </is>
      </c>
      <c r="G8226" t="n">
        <v>1.5</v>
      </c>
      <c r="H8226" t="n">
        <v>0</v>
      </c>
      <c r="I8226" t="n">
        <v>0</v>
      </c>
      <c r="J8226" t="n">
        <v>0</v>
      </c>
      <c r="K8226" t="n">
        <v>0</v>
      </c>
      <c r="L8226" t="n">
        <v>0</v>
      </c>
      <c r="M8226" t="n">
        <v>0</v>
      </c>
      <c r="N8226" t="n">
        <v>0</v>
      </c>
      <c r="O8226" t="n">
        <v>0</v>
      </c>
      <c r="P8226" t="n">
        <v>0</v>
      </c>
      <c r="Q8226" t="n">
        <v>0</v>
      </c>
      <c r="R8226" s="2" t="inlineStr"/>
    </row>
    <row r="8227" ht="15" customHeight="1">
      <c r="A8227" t="inlineStr">
        <is>
          <t>A 55083-2022</t>
        </is>
      </c>
      <c r="B8227" s="1" t="n">
        <v>44881</v>
      </c>
      <c r="C8227" s="1" t="n">
        <v>45810</v>
      </c>
      <c r="D8227" t="inlineStr">
        <is>
          <t>VÄRMLANDS LÄN</t>
        </is>
      </c>
      <c r="E8227" t="inlineStr">
        <is>
          <t>SÄFFLE</t>
        </is>
      </c>
      <c r="G8227" t="n">
        <v>1.3</v>
      </c>
      <c r="H8227" t="n">
        <v>0</v>
      </c>
      <c r="I8227" t="n">
        <v>0</v>
      </c>
      <c r="J8227" t="n">
        <v>0</v>
      </c>
      <c r="K8227" t="n">
        <v>0</v>
      </c>
      <c r="L8227" t="n">
        <v>0</v>
      </c>
      <c r="M8227" t="n">
        <v>0</v>
      </c>
      <c r="N8227" t="n">
        <v>0</v>
      </c>
      <c r="O8227" t="n">
        <v>0</v>
      </c>
      <c r="P8227" t="n">
        <v>0</v>
      </c>
      <c r="Q8227" t="n">
        <v>0</v>
      </c>
      <c r="R8227" s="2" t="inlineStr"/>
    </row>
    <row r="8228" ht="15" customHeight="1">
      <c r="A8228" t="inlineStr">
        <is>
          <t>A 55088-2022</t>
        </is>
      </c>
      <c r="B8228" s="1" t="n">
        <v>44881</v>
      </c>
      <c r="C8228" s="1" t="n">
        <v>45810</v>
      </c>
      <c r="D8228" t="inlineStr">
        <is>
          <t>VÄRMLANDS LÄN</t>
        </is>
      </c>
      <c r="E8228" t="inlineStr">
        <is>
          <t>SÄFFLE</t>
        </is>
      </c>
      <c r="G8228" t="n">
        <v>1.3</v>
      </c>
      <c r="H8228" t="n">
        <v>0</v>
      </c>
      <c r="I8228" t="n">
        <v>0</v>
      </c>
      <c r="J8228" t="n">
        <v>0</v>
      </c>
      <c r="K8228" t="n">
        <v>0</v>
      </c>
      <c r="L8228" t="n">
        <v>0</v>
      </c>
      <c r="M8228" t="n">
        <v>0</v>
      </c>
      <c r="N8228" t="n">
        <v>0</v>
      </c>
      <c r="O8228" t="n">
        <v>0</v>
      </c>
      <c r="P8228" t="n">
        <v>0</v>
      </c>
      <c r="Q8228" t="n">
        <v>0</v>
      </c>
      <c r="R8228" s="2" t="inlineStr"/>
    </row>
    <row r="8229" ht="15" customHeight="1">
      <c r="A8229" t="inlineStr">
        <is>
          <t>A 55093-2022</t>
        </is>
      </c>
      <c r="B8229" s="1" t="n">
        <v>44881</v>
      </c>
      <c r="C8229" s="1" t="n">
        <v>45810</v>
      </c>
      <c r="D8229" t="inlineStr">
        <is>
          <t>VÄRMLANDS LÄN</t>
        </is>
      </c>
      <c r="E8229" t="inlineStr">
        <is>
          <t>SÄFFLE</t>
        </is>
      </c>
      <c r="G8229" t="n">
        <v>4.5</v>
      </c>
      <c r="H8229" t="n">
        <v>0</v>
      </c>
      <c r="I8229" t="n">
        <v>0</v>
      </c>
      <c r="J8229" t="n">
        <v>0</v>
      </c>
      <c r="K8229" t="n">
        <v>0</v>
      </c>
      <c r="L8229" t="n">
        <v>0</v>
      </c>
      <c r="M8229" t="n">
        <v>0</v>
      </c>
      <c r="N8229" t="n">
        <v>0</v>
      </c>
      <c r="O8229" t="n">
        <v>0</v>
      </c>
      <c r="P8229" t="n">
        <v>0</v>
      </c>
      <c r="Q8229" t="n">
        <v>0</v>
      </c>
      <c r="R8229" s="2" t="inlineStr"/>
    </row>
    <row r="8230" ht="15" customHeight="1">
      <c r="A8230" t="inlineStr">
        <is>
          <t>A 54339-2022</t>
        </is>
      </c>
      <c r="B8230" s="1" t="n">
        <v>44882</v>
      </c>
      <c r="C8230" s="1" t="n">
        <v>45810</v>
      </c>
      <c r="D8230" t="inlineStr">
        <is>
          <t>VÄRMLANDS LÄN</t>
        </is>
      </c>
      <c r="E8230" t="inlineStr">
        <is>
          <t>SUNNE</t>
        </is>
      </c>
      <c r="G8230" t="n">
        <v>8.1</v>
      </c>
      <c r="H8230" t="n">
        <v>0</v>
      </c>
      <c r="I8230" t="n">
        <v>0</v>
      </c>
      <c r="J8230" t="n">
        <v>0</v>
      </c>
      <c r="K8230" t="n">
        <v>0</v>
      </c>
      <c r="L8230" t="n">
        <v>0</v>
      </c>
      <c r="M8230" t="n">
        <v>0</v>
      </c>
      <c r="N8230" t="n">
        <v>0</v>
      </c>
      <c r="O8230" t="n">
        <v>0</v>
      </c>
      <c r="P8230" t="n">
        <v>0</v>
      </c>
      <c r="Q8230" t="n">
        <v>0</v>
      </c>
      <c r="R8230" s="2" t="inlineStr"/>
    </row>
    <row r="8231" ht="15" customHeight="1">
      <c r="A8231" t="inlineStr">
        <is>
          <t>A 54439-2022</t>
        </is>
      </c>
      <c r="B8231" s="1" t="n">
        <v>44882</v>
      </c>
      <c r="C8231" s="1" t="n">
        <v>45810</v>
      </c>
      <c r="D8231" t="inlineStr">
        <is>
          <t>VÄRMLANDS LÄN</t>
        </is>
      </c>
      <c r="E8231" t="inlineStr">
        <is>
          <t>KARLSTAD</t>
        </is>
      </c>
      <c r="F8231" t="inlineStr">
        <is>
          <t>Kommuner</t>
        </is>
      </c>
      <c r="G8231" t="n">
        <v>0.5</v>
      </c>
      <c r="H8231" t="n">
        <v>0</v>
      </c>
      <c r="I8231" t="n">
        <v>0</v>
      </c>
      <c r="J8231" t="n">
        <v>0</v>
      </c>
      <c r="K8231" t="n">
        <v>0</v>
      </c>
      <c r="L8231" t="n">
        <v>0</v>
      </c>
      <c r="M8231" t="n">
        <v>0</v>
      </c>
      <c r="N8231" t="n">
        <v>0</v>
      </c>
      <c r="O8231" t="n">
        <v>0</v>
      </c>
      <c r="P8231" t="n">
        <v>0</v>
      </c>
      <c r="Q8231" t="n">
        <v>0</v>
      </c>
      <c r="R8231" s="2" t="inlineStr"/>
    </row>
    <row r="8232" ht="15" customHeight="1">
      <c r="A8232" t="inlineStr">
        <is>
          <t>A 54415-2022</t>
        </is>
      </c>
      <c r="B8232" s="1" t="n">
        <v>44882</v>
      </c>
      <c r="C8232" s="1" t="n">
        <v>45810</v>
      </c>
      <c r="D8232" t="inlineStr">
        <is>
          <t>VÄRMLANDS LÄN</t>
        </is>
      </c>
      <c r="E8232" t="inlineStr">
        <is>
          <t>KARLSTAD</t>
        </is>
      </c>
      <c r="G8232" t="n">
        <v>1</v>
      </c>
      <c r="H8232" t="n">
        <v>0</v>
      </c>
      <c r="I8232" t="n">
        <v>0</v>
      </c>
      <c r="J8232" t="n">
        <v>0</v>
      </c>
      <c r="K8232" t="n">
        <v>0</v>
      </c>
      <c r="L8232" t="n">
        <v>0</v>
      </c>
      <c r="M8232" t="n">
        <v>0</v>
      </c>
      <c r="N8232" t="n">
        <v>0</v>
      </c>
      <c r="O8232" t="n">
        <v>0</v>
      </c>
      <c r="P8232" t="n">
        <v>0</v>
      </c>
      <c r="Q8232" t="n">
        <v>0</v>
      </c>
      <c r="R8232" s="2" t="inlineStr"/>
    </row>
    <row r="8233" ht="15" customHeight="1">
      <c r="A8233" t="inlineStr">
        <is>
          <t>A 54444-2022</t>
        </is>
      </c>
      <c r="B8233" s="1" t="n">
        <v>44882</v>
      </c>
      <c r="C8233" s="1" t="n">
        <v>45810</v>
      </c>
      <c r="D8233" t="inlineStr">
        <is>
          <t>VÄRMLANDS LÄN</t>
        </is>
      </c>
      <c r="E8233" t="inlineStr">
        <is>
          <t>GRUMS</t>
        </is>
      </c>
      <c r="G8233" t="n">
        <v>0.5</v>
      </c>
      <c r="H8233" t="n">
        <v>0</v>
      </c>
      <c r="I8233" t="n">
        <v>0</v>
      </c>
      <c r="J8233" t="n">
        <v>0</v>
      </c>
      <c r="K8233" t="n">
        <v>0</v>
      </c>
      <c r="L8233" t="n">
        <v>0</v>
      </c>
      <c r="M8233" t="n">
        <v>0</v>
      </c>
      <c r="N8233" t="n">
        <v>0</v>
      </c>
      <c r="O8233" t="n">
        <v>0</v>
      </c>
      <c r="P8233" t="n">
        <v>0</v>
      </c>
      <c r="Q8233" t="n">
        <v>0</v>
      </c>
      <c r="R8233" s="2" t="inlineStr"/>
    </row>
    <row r="8234" ht="15" customHeight="1">
      <c r="A8234" t="inlineStr">
        <is>
          <t>A 54487-2022</t>
        </is>
      </c>
      <c r="B8234" s="1" t="n">
        <v>44882</v>
      </c>
      <c r="C8234" s="1" t="n">
        <v>45810</v>
      </c>
      <c r="D8234" t="inlineStr">
        <is>
          <t>VÄRMLANDS LÄN</t>
        </is>
      </c>
      <c r="E8234" t="inlineStr">
        <is>
          <t>SUNNE</t>
        </is>
      </c>
      <c r="G8234" t="n">
        <v>4.7</v>
      </c>
      <c r="H8234" t="n">
        <v>0</v>
      </c>
      <c r="I8234" t="n">
        <v>0</v>
      </c>
      <c r="J8234" t="n">
        <v>0</v>
      </c>
      <c r="K8234" t="n">
        <v>0</v>
      </c>
      <c r="L8234" t="n">
        <v>0</v>
      </c>
      <c r="M8234" t="n">
        <v>0</v>
      </c>
      <c r="N8234" t="n">
        <v>0</v>
      </c>
      <c r="O8234" t="n">
        <v>0</v>
      </c>
      <c r="P8234" t="n">
        <v>0</v>
      </c>
      <c r="Q8234" t="n">
        <v>0</v>
      </c>
      <c r="R8234" s="2" t="inlineStr"/>
    </row>
    <row r="8235" ht="15" customHeight="1">
      <c r="A8235" t="inlineStr">
        <is>
          <t>A 54338-2022</t>
        </is>
      </c>
      <c r="B8235" s="1" t="n">
        <v>44882</v>
      </c>
      <c r="C8235" s="1" t="n">
        <v>45810</v>
      </c>
      <c r="D8235" t="inlineStr">
        <is>
          <t>VÄRMLANDS LÄN</t>
        </is>
      </c>
      <c r="E8235" t="inlineStr">
        <is>
          <t>ARVIKA</t>
        </is>
      </c>
      <c r="G8235" t="n">
        <v>3.6</v>
      </c>
      <c r="H8235" t="n">
        <v>0</v>
      </c>
      <c r="I8235" t="n">
        <v>0</v>
      </c>
      <c r="J8235" t="n">
        <v>0</v>
      </c>
      <c r="K8235" t="n">
        <v>0</v>
      </c>
      <c r="L8235" t="n">
        <v>0</v>
      </c>
      <c r="M8235" t="n">
        <v>0</v>
      </c>
      <c r="N8235" t="n">
        <v>0</v>
      </c>
      <c r="O8235" t="n">
        <v>0</v>
      </c>
      <c r="P8235" t="n">
        <v>0</v>
      </c>
      <c r="Q8235" t="n">
        <v>0</v>
      </c>
      <c r="R8235" s="2" t="inlineStr"/>
    </row>
    <row r="8236" ht="15" customHeight="1">
      <c r="A8236" t="inlineStr">
        <is>
          <t>A 54365-2022</t>
        </is>
      </c>
      <c r="B8236" s="1" t="n">
        <v>44882</v>
      </c>
      <c r="C8236" s="1" t="n">
        <v>45810</v>
      </c>
      <c r="D8236" t="inlineStr">
        <is>
          <t>VÄRMLANDS LÄN</t>
        </is>
      </c>
      <c r="E8236" t="inlineStr">
        <is>
          <t>KARLSTAD</t>
        </is>
      </c>
      <c r="F8236" t="inlineStr">
        <is>
          <t>Kommuner</t>
        </is>
      </c>
      <c r="G8236" t="n">
        <v>0.8</v>
      </c>
      <c r="H8236" t="n">
        <v>0</v>
      </c>
      <c r="I8236" t="n">
        <v>0</v>
      </c>
      <c r="J8236" t="n">
        <v>0</v>
      </c>
      <c r="K8236" t="n">
        <v>0</v>
      </c>
      <c r="L8236" t="n">
        <v>0</v>
      </c>
      <c r="M8236" t="n">
        <v>0</v>
      </c>
      <c r="N8236" t="n">
        <v>0</v>
      </c>
      <c r="O8236" t="n">
        <v>0</v>
      </c>
      <c r="P8236" t="n">
        <v>0</v>
      </c>
      <c r="Q8236" t="n">
        <v>0</v>
      </c>
      <c r="R8236" s="2" t="inlineStr"/>
    </row>
    <row r="8237" ht="15" customHeight="1">
      <c r="A8237" t="inlineStr">
        <is>
          <t>A 54442-2022</t>
        </is>
      </c>
      <c r="B8237" s="1" t="n">
        <v>44882</v>
      </c>
      <c r="C8237" s="1" t="n">
        <v>45810</v>
      </c>
      <c r="D8237" t="inlineStr">
        <is>
          <t>VÄRMLANDS LÄN</t>
        </is>
      </c>
      <c r="E8237" t="inlineStr">
        <is>
          <t>KARLSTAD</t>
        </is>
      </c>
      <c r="F8237" t="inlineStr">
        <is>
          <t>Kommuner</t>
        </is>
      </c>
      <c r="G8237" t="n">
        <v>1.1</v>
      </c>
      <c r="H8237" t="n">
        <v>0</v>
      </c>
      <c r="I8237" t="n">
        <v>0</v>
      </c>
      <c r="J8237" t="n">
        <v>0</v>
      </c>
      <c r="K8237" t="n">
        <v>0</v>
      </c>
      <c r="L8237" t="n">
        <v>0</v>
      </c>
      <c r="M8237" t="n">
        <v>0</v>
      </c>
      <c r="N8237" t="n">
        <v>0</v>
      </c>
      <c r="O8237" t="n">
        <v>0</v>
      </c>
      <c r="P8237" t="n">
        <v>0</v>
      </c>
      <c r="Q8237" t="n">
        <v>0</v>
      </c>
      <c r="R8237" s="2" t="inlineStr"/>
    </row>
    <row r="8238" ht="15" customHeight="1">
      <c r="A8238" t="inlineStr">
        <is>
          <t>A 54430-2022</t>
        </is>
      </c>
      <c r="B8238" s="1" t="n">
        <v>44882</v>
      </c>
      <c r="C8238" s="1" t="n">
        <v>45810</v>
      </c>
      <c r="D8238" t="inlineStr">
        <is>
          <t>VÄRMLANDS LÄN</t>
        </is>
      </c>
      <c r="E8238" t="inlineStr">
        <is>
          <t>KARLSTAD</t>
        </is>
      </c>
      <c r="F8238" t="inlineStr">
        <is>
          <t>Kommuner</t>
        </is>
      </c>
      <c r="G8238" t="n">
        <v>1.5</v>
      </c>
      <c r="H8238" t="n">
        <v>0</v>
      </c>
      <c r="I8238" t="n">
        <v>0</v>
      </c>
      <c r="J8238" t="n">
        <v>0</v>
      </c>
      <c r="K8238" t="n">
        <v>0</v>
      </c>
      <c r="L8238" t="n">
        <v>0</v>
      </c>
      <c r="M8238" t="n">
        <v>0</v>
      </c>
      <c r="N8238" t="n">
        <v>0</v>
      </c>
      <c r="O8238" t="n">
        <v>0</v>
      </c>
      <c r="P8238" t="n">
        <v>0</v>
      </c>
      <c r="Q8238" t="n">
        <v>0</v>
      </c>
      <c r="R8238" s="2" t="inlineStr"/>
    </row>
    <row r="8239" ht="15" customHeight="1">
      <c r="A8239" t="inlineStr">
        <is>
          <t>A 54441-2022</t>
        </is>
      </c>
      <c r="B8239" s="1" t="n">
        <v>44882</v>
      </c>
      <c r="C8239" s="1" t="n">
        <v>45810</v>
      </c>
      <c r="D8239" t="inlineStr">
        <is>
          <t>VÄRMLANDS LÄN</t>
        </is>
      </c>
      <c r="E8239" t="inlineStr">
        <is>
          <t>KARLSTAD</t>
        </is>
      </c>
      <c r="F8239" t="inlineStr">
        <is>
          <t>Kommuner</t>
        </is>
      </c>
      <c r="G8239" t="n">
        <v>0.6</v>
      </c>
      <c r="H8239" t="n">
        <v>0</v>
      </c>
      <c r="I8239" t="n">
        <v>0</v>
      </c>
      <c r="J8239" t="n">
        <v>0</v>
      </c>
      <c r="K8239" t="n">
        <v>0</v>
      </c>
      <c r="L8239" t="n">
        <v>0</v>
      </c>
      <c r="M8239" t="n">
        <v>0</v>
      </c>
      <c r="N8239" t="n">
        <v>0</v>
      </c>
      <c r="O8239" t="n">
        <v>0</v>
      </c>
      <c r="P8239" t="n">
        <v>0</v>
      </c>
      <c r="Q8239" t="n">
        <v>0</v>
      </c>
      <c r="R8239" s="2" t="inlineStr"/>
    </row>
    <row r="8240" ht="15" customHeight="1">
      <c r="A8240" t="inlineStr">
        <is>
          <t>A 54468-2022</t>
        </is>
      </c>
      <c r="B8240" s="1" t="n">
        <v>44882</v>
      </c>
      <c r="C8240" s="1" t="n">
        <v>45810</v>
      </c>
      <c r="D8240" t="inlineStr">
        <is>
          <t>VÄRMLANDS LÄN</t>
        </is>
      </c>
      <c r="E8240" t="inlineStr">
        <is>
          <t>KARLSTAD</t>
        </is>
      </c>
      <c r="G8240" t="n">
        <v>3.6</v>
      </c>
      <c r="H8240" t="n">
        <v>0</v>
      </c>
      <c r="I8240" t="n">
        <v>0</v>
      </c>
      <c r="J8240" t="n">
        <v>0</v>
      </c>
      <c r="K8240" t="n">
        <v>0</v>
      </c>
      <c r="L8240" t="n">
        <v>0</v>
      </c>
      <c r="M8240" t="n">
        <v>0</v>
      </c>
      <c r="N8240" t="n">
        <v>0</v>
      </c>
      <c r="O8240" t="n">
        <v>0</v>
      </c>
      <c r="P8240" t="n">
        <v>0</v>
      </c>
      <c r="Q8240" t="n">
        <v>0</v>
      </c>
      <c r="R8240" s="2" t="inlineStr"/>
    </row>
    <row r="8241" ht="15" customHeight="1">
      <c r="A8241" t="inlineStr">
        <is>
          <t>A 54554-2022</t>
        </is>
      </c>
      <c r="B8241" s="1" t="n">
        <v>44882</v>
      </c>
      <c r="C8241" s="1" t="n">
        <v>45810</v>
      </c>
      <c r="D8241" t="inlineStr">
        <is>
          <t>VÄRMLANDS LÄN</t>
        </is>
      </c>
      <c r="E8241" t="inlineStr">
        <is>
          <t>SUNNE</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54658-2022</t>
        </is>
      </c>
      <c r="B8242" s="1" t="n">
        <v>44883</v>
      </c>
      <c r="C8242" s="1" t="n">
        <v>45810</v>
      </c>
      <c r="D8242" t="inlineStr">
        <is>
          <t>VÄRMLANDS LÄN</t>
        </is>
      </c>
      <c r="E8242" t="inlineStr">
        <is>
          <t>ARVIKA</t>
        </is>
      </c>
      <c r="G8242" t="n">
        <v>4.1</v>
      </c>
      <c r="H8242" t="n">
        <v>0</v>
      </c>
      <c r="I8242" t="n">
        <v>0</v>
      </c>
      <c r="J8242" t="n">
        <v>0</v>
      </c>
      <c r="K8242" t="n">
        <v>0</v>
      </c>
      <c r="L8242" t="n">
        <v>0</v>
      </c>
      <c r="M8242" t="n">
        <v>0</v>
      </c>
      <c r="N8242" t="n">
        <v>0</v>
      </c>
      <c r="O8242" t="n">
        <v>0</v>
      </c>
      <c r="P8242" t="n">
        <v>0</v>
      </c>
      <c r="Q8242" t="n">
        <v>0</v>
      </c>
      <c r="R8242" s="2" t="inlineStr"/>
    </row>
    <row r="8243" ht="15" customHeight="1">
      <c r="A8243" t="inlineStr">
        <is>
          <t>A 54757-2022</t>
        </is>
      </c>
      <c r="B8243" s="1" t="n">
        <v>44883</v>
      </c>
      <c r="C8243" s="1" t="n">
        <v>45810</v>
      </c>
      <c r="D8243" t="inlineStr">
        <is>
          <t>VÄRMLANDS LÄN</t>
        </is>
      </c>
      <c r="E8243" t="inlineStr">
        <is>
          <t>HAGFORS</t>
        </is>
      </c>
      <c r="F8243" t="inlineStr">
        <is>
          <t>Bergvik skog väst AB</t>
        </is>
      </c>
      <c r="G8243" t="n">
        <v>17.9</v>
      </c>
      <c r="H8243" t="n">
        <v>0</v>
      </c>
      <c r="I8243" t="n">
        <v>0</v>
      </c>
      <c r="J8243" t="n">
        <v>0</v>
      </c>
      <c r="K8243" t="n">
        <v>0</v>
      </c>
      <c r="L8243" t="n">
        <v>0</v>
      </c>
      <c r="M8243" t="n">
        <v>0</v>
      </c>
      <c r="N8243" t="n">
        <v>0</v>
      </c>
      <c r="O8243" t="n">
        <v>0</v>
      </c>
      <c r="P8243" t="n">
        <v>0</v>
      </c>
      <c r="Q8243" t="n">
        <v>0</v>
      </c>
      <c r="R8243" s="2" t="inlineStr"/>
    </row>
    <row r="8244" ht="15" customHeight="1">
      <c r="A8244" t="inlineStr">
        <is>
          <t>A 54678-2022</t>
        </is>
      </c>
      <c r="B8244" s="1" t="n">
        <v>44883</v>
      </c>
      <c r="C8244" s="1" t="n">
        <v>45810</v>
      </c>
      <c r="D8244" t="inlineStr">
        <is>
          <t>VÄRMLANDS LÄN</t>
        </is>
      </c>
      <c r="E8244" t="inlineStr">
        <is>
          <t>EDA</t>
        </is>
      </c>
      <c r="G8244" t="n">
        <v>1</v>
      </c>
      <c r="H8244" t="n">
        <v>0</v>
      </c>
      <c r="I8244" t="n">
        <v>0</v>
      </c>
      <c r="J8244" t="n">
        <v>0</v>
      </c>
      <c r="K8244" t="n">
        <v>0</v>
      </c>
      <c r="L8244" t="n">
        <v>0</v>
      </c>
      <c r="M8244" t="n">
        <v>0</v>
      </c>
      <c r="N8244" t="n">
        <v>0</v>
      </c>
      <c r="O8244" t="n">
        <v>0</v>
      </c>
      <c r="P8244" t="n">
        <v>0</v>
      </c>
      <c r="Q8244" t="n">
        <v>0</v>
      </c>
      <c r="R8244" s="2" t="inlineStr"/>
    </row>
    <row r="8245" ht="15" customHeight="1">
      <c r="A8245" t="inlineStr">
        <is>
          <t>A 54690-2022</t>
        </is>
      </c>
      <c r="B8245" s="1" t="n">
        <v>44883</v>
      </c>
      <c r="C8245" s="1" t="n">
        <v>45810</v>
      </c>
      <c r="D8245" t="inlineStr">
        <is>
          <t>VÄRMLANDS LÄN</t>
        </is>
      </c>
      <c r="E8245" t="inlineStr">
        <is>
          <t>KRISTINEHAMN</t>
        </is>
      </c>
      <c r="G8245" t="n">
        <v>11.1</v>
      </c>
      <c r="H8245" t="n">
        <v>0</v>
      </c>
      <c r="I8245" t="n">
        <v>0</v>
      </c>
      <c r="J8245" t="n">
        <v>0</v>
      </c>
      <c r="K8245" t="n">
        <v>0</v>
      </c>
      <c r="L8245" t="n">
        <v>0</v>
      </c>
      <c r="M8245" t="n">
        <v>0</v>
      </c>
      <c r="N8245" t="n">
        <v>0</v>
      </c>
      <c r="O8245" t="n">
        <v>0</v>
      </c>
      <c r="P8245" t="n">
        <v>0</v>
      </c>
      <c r="Q8245" t="n">
        <v>0</v>
      </c>
      <c r="R8245" s="2" t="inlineStr"/>
    </row>
    <row r="8246" ht="15" customHeight="1">
      <c r="A8246" t="inlineStr">
        <is>
          <t>A 54756-2022</t>
        </is>
      </c>
      <c r="B8246" s="1" t="n">
        <v>44883</v>
      </c>
      <c r="C8246" s="1" t="n">
        <v>45810</v>
      </c>
      <c r="D8246" t="inlineStr">
        <is>
          <t>VÄRMLANDS LÄN</t>
        </is>
      </c>
      <c r="E8246" t="inlineStr">
        <is>
          <t>ARVIKA</t>
        </is>
      </c>
      <c r="F8246" t="inlineStr">
        <is>
          <t>Bergvik skog väst AB</t>
        </is>
      </c>
      <c r="G8246" t="n">
        <v>1.9</v>
      </c>
      <c r="H8246" t="n">
        <v>0</v>
      </c>
      <c r="I8246" t="n">
        <v>0</v>
      </c>
      <c r="J8246" t="n">
        <v>0</v>
      </c>
      <c r="K8246" t="n">
        <v>0</v>
      </c>
      <c r="L8246" t="n">
        <v>0</v>
      </c>
      <c r="M8246" t="n">
        <v>0</v>
      </c>
      <c r="N8246" t="n">
        <v>0</v>
      </c>
      <c r="O8246" t="n">
        <v>0</v>
      </c>
      <c r="P8246" t="n">
        <v>0</v>
      </c>
      <c r="Q8246" t="n">
        <v>0</v>
      </c>
      <c r="R8246" s="2" t="inlineStr"/>
    </row>
    <row r="8247" ht="15" customHeight="1">
      <c r="A8247" t="inlineStr">
        <is>
          <t>A 54811-2022</t>
        </is>
      </c>
      <c r="B8247" s="1" t="n">
        <v>44883</v>
      </c>
      <c r="C8247" s="1" t="n">
        <v>45810</v>
      </c>
      <c r="D8247" t="inlineStr">
        <is>
          <t>VÄRMLANDS LÄN</t>
        </is>
      </c>
      <c r="E8247" t="inlineStr">
        <is>
          <t>TORSBY</t>
        </is>
      </c>
      <c r="G8247" t="n">
        <v>2.5</v>
      </c>
      <c r="H8247" t="n">
        <v>0</v>
      </c>
      <c r="I8247" t="n">
        <v>0</v>
      </c>
      <c r="J8247" t="n">
        <v>0</v>
      </c>
      <c r="K8247" t="n">
        <v>0</v>
      </c>
      <c r="L8247" t="n">
        <v>0</v>
      </c>
      <c r="M8247" t="n">
        <v>0</v>
      </c>
      <c r="N8247" t="n">
        <v>0</v>
      </c>
      <c r="O8247" t="n">
        <v>0</v>
      </c>
      <c r="P8247" t="n">
        <v>0</v>
      </c>
      <c r="Q8247" t="n">
        <v>0</v>
      </c>
      <c r="R8247" s="2" t="inlineStr"/>
    </row>
    <row r="8248" ht="15" customHeight="1">
      <c r="A8248" t="inlineStr">
        <is>
          <t>A 54643-2022</t>
        </is>
      </c>
      <c r="B8248" s="1" t="n">
        <v>44883</v>
      </c>
      <c r="C8248" s="1" t="n">
        <v>45810</v>
      </c>
      <c r="D8248" t="inlineStr">
        <is>
          <t>VÄRMLANDS LÄN</t>
        </is>
      </c>
      <c r="E8248" t="inlineStr">
        <is>
          <t>EDA</t>
        </is>
      </c>
      <c r="F8248" t="inlineStr">
        <is>
          <t>Bergvik skog väst AB</t>
        </is>
      </c>
      <c r="G8248" t="n">
        <v>9.4</v>
      </c>
      <c r="H8248" t="n">
        <v>0</v>
      </c>
      <c r="I8248" t="n">
        <v>0</v>
      </c>
      <c r="J8248" t="n">
        <v>0</v>
      </c>
      <c r="K8248" t="n">
        <v>0</v>
      </c>
      <c r="L8248" t="n">
        <v>0</v>
      </c>
      <c r="M8248" t="n">
        <v>0</v>
      </c>
      <c r="N8248" t="n">
        <v>0</v>
      </c>
      <c r="O8248" t="n">
        <v>0</v>
      </c>
      <c r="P8248" t="n">
        <v>0</v>
      </c>
      <c r="Q8248" t="n">
        <v>0</v>
      </c>
      <c r="R8248" s="2" t="inlineStr"/>
    </row>
    <row r="8249" ht="15" customHeight="1">
      <c r="A8249" t="inlineStr">
        <is>
          <t>A 54726-2022</t>
        </is>
      </c>
      <c r="B8249" s="1" t="n">
        <v>44883</v>
      </c>
      <c r="C8249" s="1" t="n">
        <v>45810</v>
      </c>
      <c r="D8249" t="inlineStr">
        <is>
          <t>VÄRMLANDS LÄN</t>
        </is>
      </c>
      <c r="E8249" t="inlineStr">
        <is>
          <t>HAGFORS</t>
        </is>
      </c>
      <c r="F8249" t="inlineStr">
        <is>
          <t>Bergvik skog väst AB</t>
        </is>
      </c>
      <c r="G8249" t="n">
        <v>10.2</v>
      </c>
      <c r="H8249" t="n">
        <v>0</v>
      </c>
      <c r="I8249" t="n">
        <v>0</v>
      </c>
      <c r="J8249" t="n">
        <v>0</v>
      </c>
      <c r="K8249" t="n">
        <v>0</v>
      </c>
      <c r="L8249" t="n">
        <v>0</v>
      </c>
      <c r="M8249" t="n">
        <v>0</v>
      </c>
      <c r="N8249" t="n">
        <v>0</v>
      </c>
      <c r="O8249" t="n">
        <v>0</v>
      </c>
      <c r="P8249" t="n">
        <v>0</v>
      </c>
      <c r="Q8249" t="n">
        <v>0</v>
      </c>
      <c r="R8249" s="2" t="inlineStr"/>
    </row>
    <row r="8250" ht="15" customHeight="1">
      <c r="A8250" t="inlineStr">
        <is>
          <t>A 54751-2022</t>
        </is>
      </c>
      <c r="B8250" s="1" t="n">
        <v>44883</v>
      </c>
      <c r="C8250" s="1" t="n">
        <v>45810</v>
      </c>
      <c r="D8250" t="inlineStr">
        <is>
          <t>VÄRMLANDS LÄN</t>
        </is>
      </c>
      <c r="E8250" t="inlineStr">
        <is>
          <t>HAGFORS</t>
        </is>
      </c>
      <c r="F8250" t="inlineStr">
        <is>
          <t>Bergvik skog väst AB</t>
        </is>
      </c>
      <c r="G8250" t="n">
        <v>3.4</v>
      </c>
      <c r="H8250" t="n">
        <v>0</v>
      </c>
      <c r="I8250" t="n">
        <v>0</v>
      </c>
      <c r="J8250" t="n">
        <v>0</v>
      </c>
      <c r="K8250" t="n">
        <v>0</v>
      </c>
      <c r="L8250" t="n">
        <v>0</v>
      </c>
      <c r="M8250" t="n">
        <v>0</v>
      </c>
      <c r="N8250" t="n">
        <v>0</v>
      </c>
      <c r="O8250" t="n">
        <v>0</v>
      </c>
      <c r="P8250" t="n">
        <v>0</v>
      </c>
      <c r="Q8250" t="n">
        <v>0</v>
      </c>
      <c r="R8250" s="2" t="inlineStr"/>
    </row>
    <row r="8251" ht="15" customHeight="1">
      <c r="A8251" t="inlineStr">
        <is>
          <t>A 54760-2022</t>
        </is>
      </c>
      <c r="B8251" s="1" t="n">
        <v>44883</v>
      </c>
      <c r="C8251" s="1" t="n">
        <v>45810</v>
      </c>
      <c r="D8251" t="inlineStr">
        <is>
          <t>VÄRMLANDS LÄN</t>
        </is>
      </c>
      <c r="E8251" t="inlineStr">
        <is>
          <t>ARVIKA</t>
        </is>
      </c>
      <c r="F8251" t="inlineStr">
        <is>
          <t>Bergvik skog väst AB</t>
        </is>
      </c>
      <c r="G8251" t="n">
        <v>2.9</v>
      </c>
      <c r="H8251" t="n">
        <v>0</v>
      </c>
      <c r="I8251" t="n">
        <v>0</v>
      </c>
      <c r="J8251" t="n">
        <v>0</v>
      </c>
      <c r="K8251" t="n">
        <v>0</v>
      </c>
      <c r="L8251" t="n">
        <v>0</v>
      </c>
      <c r="M8251" t="n">
        <v>0</v>
      </c>
      <c r="N8251" t="n">
        <v>0</v>
      </c>
      <c r="O8251" t="n">
        <v>0</v>
      </c>
      <c r="P8251" t="n">
        <v>0</v>
      </c>
      <c r="Q8251" t="n">
        <v>0</v>
      </c>
      <c r="R8251" s="2" t="inlineStr"/>
    </row>
    <row r="8252" ht="15" customHeight="1">
      <c r="A8252" t="inlineStr">
        <is>
          <t>A 54780-2022</t>
        </is>
      </c>
      <c r="B8252" s="1" t="n">
        <v>44883</v>
      </c>
      <c r="C8252" s="1" t="n">
        <v>45810</v>
      </c>
      <c r="D8252" t="inlineStr">
        <is>
          <t>VÄRMLANDS LÄN</t>
        </is>
      </c>
      <c r="E8252" t="inlineStr">
        <is>
          <t>HAGFORS</t>
        </is>
      </c>
      <c r="F8252" t="inlineStr">
        <is>
          <t>Bergvik skog väst AB</t>
        </is>
      </c>
      <c r="G8252" t="n">
        <v>15.4</v>
      </c>
      <c r="H8252" t="n">
        <v>0</v>
      </c>
      <c r="I8252" t="n">
        <v>0</v>
      </c>
      <c r="J8252" t="n">
        <v>0</v>
      </c>
      <c r="K8252" t="n">
        <v>0</v>
      </c>
      <c r="L8252" t="n">
        <v>0</v>
      </c>
      <c r="M8252" t="n">
        <v>0</v>
      </c>
      <c r="N8252" t="n">
        <v>0</v>
      </c>
      <c r="O8252" t="n">
        <v>0</v>
      </c>
      <c r="P8252" t="n">
        <v>0</v>
      </c>
      <c r="Q8252" t="n">
        <v>0</v>
      </c>
      <c r="R8252" s="2" t="inlineStr"/>
    </row>
    <row r="8253" ht="15" customHeight="1">
      <c r="A8253" t="inlineStr">
        <is>
          <t>A 54617-2022</t>
        </is>
      </c>
      <c r="B8253" s="1" t="n">
        <v>44883</v>
      </c>
      <c r="C8253" s="1" t="n">
        <v>45810</v>
      </c>
      <c r="D8253" t="inlineStr">
        <is>
          <t>VÄRMLANDS LÄN</t>
        </is>
      </c>
      <c r="E8253" t="inlineStr">
        <is>
          <t>EDA</t>
        </is>
      </c>
      <c r="G8253" t="n">
        <v>2.7</v>
      </c>
      <c r="H8253" t="n">
        <v>0</v>
      </c>
      <c r="I8253" t="n">
        <v>0</v>
      </c>
      <c r="J8253" t="n">
        <v>0</v>
      </c>
      <c r="K8253" t="n">
        <v>0</v>
      </c>
      <c r="L8253" t="n">
        <v>0</v>
      </c>
      <c r="M8253" t="n">
        <v>0</v>
      </c>
      <c r="N8253" t="n">
        <v>0</v>
      </c>
      <c r="O8253" t="n">
        <v>0</v>
      </c>
      <c r="P8253" t="n">
        <v>0</v>
      </c>
      <c r="Q8253" t="n">
        <v>0</v>
      </c>
      <c r="R8253" s="2" t="inlineStr"/>
    </row>
    <row r="8254" ht="15" customHeight="1">
      <c r="A8254" t="inlineStr">
        <is>
          <t>A 54721-2022</t>
        </is>
      </c>
      <c r="B8254" s="1" t="n">
        <v>44883</v>
      </c>
      <c r="C8254" s="1" t="n">
        <v>45810</v>
      </c>
      <c r="D8254" t="inlineStr">
        <is>
          <t>VÄRMLANDS LÄN</t>
        </is>
      </c>
      <c r="E8254" t="inlineStr">
        <is>
          <t>EDA</t>
        </is>
      </c>
      <c r="G8254" t="n">
        <v>3.4</v>
      </c>
      <c r="H8254" t="n">
        <v>0</v>
      </c>
      <c r="I8254" t="n">
        <v>0</v>
      </c>
      <c r="J8254" t="n">
        <v>0</v>
      </c>
      <c r="K8254" t="n">
        <v>0</v>
      </c>
      <c r="L8254" t="n">
        <v>0</v>
      </c>
      <c r="M8254" t="n">
        <v>0</v>
      </c>
      <c r="N8254" t="n">
        <v>0</v>
      </c>
      <c r="O8254" t="n">
        <v>0</v>
      </c>
      <c r="P8254" t="n">
        <v>0</v>
      </c>
      <c r="Q8254" t="n">
        <v>0</v>
      </c>
      <c r="R8254" s="2" t="inlineStr"/>
    </row>
    <row r="8255" ht="15" customHeight="1">
      <c r="A8255" t="inlineStr">
        <is>
          <t>A 54771-2022</t>
        </is>
      </c>
      <c r="B8255" s="1" t="n">
        <v>44883</v>
      </c>
      <c r="C8255" s="1" t="n">
        <v>45810</v>
      </c>
      <c r="D8255" t="inlineStr">
        <is>
          <t>VÄRMLANDS LÄN</t>
        </is>
      </c>
      <c r="E8255" t="inlineStr">
        <is>
          <t>KRISTINEHAMN</t>
        </is>
      </c>
      <c r="G8255" t="n">
        <v>2.2</v>
      </c>
      <c r="H8255" t="n">
        <v>0</v>
      </c>
      <c r="I8255" t="n">
        <v>0</v>
      </c>
      <c r="J8255" t="n">
        <v>0</v>
      </c>
      <c r="K8255" t="n">
        <v>0</v>
      </c>
      <c r="L8255" t="n">
        <v>0</v>
      </c>
      <c r="M8255" t="n">
        <v>0</v>
      </c>
      <c r="N8255" t="n">
        <v>0</v>
      </c>
      <c r="O8255" t="n">
        <v>0</v>
      </c>
      <c r="P8255" t="n">
        <v>0</v>
      </c>
      <c r="Q8255" t="n">
        <v>0</v>
      </c>
      <c r="R8255" s="2" t="inlineStr"/>
    </row>
    <row r="8256" ht="15" customHeight="1">
      <c r="A8256" t="inlineStr">
        <is>
          <t>A 55607-2022</t>
        </is>
      </c>
      <c r="B8256" s="1" t="n">
        <v>44883</v>
      </c>
      <c r="C8256" s="1" t="n">
        <v>45810</v>
      </c>
      <c r="D8256" t="inlineStr">
        <is>
          <t>VÄRMLANDS LÄN</t>
        </is>
      </c>
      <c r="E8256" t="inlineStr">
        <is>
          <t>ÅRJÄNG</t>
        </is>
      </c>
      <c r="G8256" t="n">
        <v>0.9</v>
      </c>
      <c r="H8256" t="n">
        <v>0</v>
      </c>
      <c r="I8256" t="n">
        <v>0</v>
      </c>
      <c r="J8256" t="n">
        <v>0</v>
      </c>
      <c r="K8256" t="n">
        <v>0</v>
      </c>
      <c r="L8256" t="n">
        <v>0</v>
      </c>
      <c r="M8256" t="n">
        <v>0</v>
      </c>
      <c r="N8256" t="n">
        <v>0</v>
      </c>
      <c r="O8256" t="n">
        <v>0</v>
      </c>
      <c r="P8256" t="n">
        <v>0</v>
      </c>
      <c r="Q8256" t="n">
        <v>0</v>
      </c>
      <c r="R8256" s="2" t="inlineStr"/>
    </row>
    <row r="8257" ht="15" customHeight="1">
      <c r="A8257" t="inlineStr">
        <is>
          <t>A 55609-2022</t>
        </is>
      </c>
      <c r="B8257" s="1" t="n">
        <v>44883</v>
      </c>
      <c r="C8257" s="1" t="n">
        <v>45810</v>
      </c>
      <c r="D8257" t="inlineStr">
        <is>
          <t>VÄRMLANDS LÄN</t>
        </is>
      </c>
      <c r="E8257" t="inlineStr">
        <is>
          <t>ARVIKA</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54865-2022</t>
        </is>
      </c>
      <c r="B8258" s="1" t="n">
        <v>44884</v>
      </c>
      <c r="C8258" s="1" t="n">
        <v>45810</v>
      </c>
      <c r="D8258" t="inlineStr">
        <is>
          <t>VÄRMLANDS LÄN</t>
        </is>
      </c>
      <c r="E8258" t="inlineStr">
        <is>
          <t>TORSBY</t>
        </is>
      </c>
      <c r="G8258" t="n">
        <v>2.3</v>
      </c>
      <c r="H8258" t="n">
        <v>0</v>
      </c>
      <c r="I8258" t="n">
        <v>0</v>
      </c>
      <c r="J8258" t="n">
        <v>0</v>
      </c>
      <c r="K8258" t="n">
        <v>0</v>
      </c>
      <c r="L8258" t="n">
        <v>0</v>
      </c>
      <c r="M8258" t="n">
        <v>0</v>
      </c>
      <c r="N8258" t="n">
        <v>0</v>
      </c>
      <c r="O8258" t="n">
        <v>0</v>
      </c>
      <c r="P8258" t="n">
        <v>0</v>
      </c>
      <c r="Q8258" t="n">
        <v>0</v>
      </c>
      <c r="R8258" s="2" t="inlineStr"/>
    </row>
    <row r="8259" ht="15" customHeight="1">
      <c r="A8259" t="inlineStr">
        <is>
          <t>A 55721-2022</t>
        </is>
      </c>
      <c r="B8259" s="1" t="n">
        <v>44885</v>
      </c>
      <c r="C8259" s="1" t="n">
        <v>45810</v>
      </c>
      <c r="D8259" t="inlineStr">
        <is>
          <t>VÄRMLANDS LÄN</t>
        </is>
      </c>
      <c r="E8259" t="inlineStr">
        <is>
          <t>SÄFFLE</t>
        </is>
      </c>
      <c r="G8259" t="n">
        <v>8</v>
      </c>
      <c r="H8259" t="n">
        <v>0</v>
      </c>
      <c r="I8259" t="n">
        <v>0</v>
      </c>
      <c r="J8259" t="n">
        <v>0</v>
      </c>
      <c r="K8259" t="n">
        <v>0</v>
      </c>
      <c r="L8259" t="n">
        <v>0</v>
      </c>
      <c r="M8259" t="n">
        <v>0</v>
      </c>
      <c r="N8259" t="n">
        <v>0</v>
      </c>
      <c r="O8259" t="n">
        <v>0</v>
      </c>
      <c r="P8259" t="n">
        <v>0</v>
      </c>
      <c r="Q8259" t="n">
        <v>0</v>
      </c>
      <c r="R8259" s="2" t="inlineStr"/>
    </row>
    <row r="8260" ht="15" customHeight="1">
      <c r="A8260" t="inlineStr">
        <is>
          <t>A 54978-2022</t>
        </is>
      </c>
      <c r="B8260" s="1" t="n">
        <v>44886</v>
      </c>
      <c r="C8260" s="1" t="n">
        <v>45810</v>
      </c>
      <c r="D8260" t="inlineStr">
        <is>
          <t>VÄRMLANDS LÄN</t>
        </is>
      </c>
      <c r="E8260" t="inlineStr">
        <is>
          <t>SÄFFLE</t>
        </is>
      </c>
      <c r="G8260" t="n">
        <v>1.1</v>
      </c>
      <c r="H8260" t="n">
        <v>0</v>
      </c>
      <c r="I8260" t="n">
        <v>0</v>
      </c>
      <c r="J8260" t="n">
        <v>0</v>
      </c>
      <c r="K8260" t="n">
        <v>0</v>
      </c>
      <c r="L8260" t="n">
        <v>0</v>
      </c>
      <c r="M8260" t="n">
        <v>0</v>
      </c>
      <c r="N8260" t="n">
        <v>0</v>
      </c>
      <c r="O8260" t="n">
        <v>0</v>
      </c>
      <c r="P8260" t="n">
        <v>0</v>
      </c>
      <c r="Q8260" t="n">
        <v>0</v>
      </c>
      <c r="R8260" s="2" t="inlineStr"/>
    </row>
    <row r="8261" ht="15" customHeight="1">
      <c r="A8261" t="inlineStr">
        <is>
          <t>A 54991-2022</t>
        </is>
      </c>
      <c r="B8261" s="1" t="n">
        <v>44886</v>
      </c>
      <c r="C8261" s="1" t="n">
        <v>45810</v>
      </c>
      <c r="D8261" t="inlineStr">
        <is>
          <t>VÄRMLANDS LÄN</t>
        </is>
      </c>
      <c r="E8261" t="inlineStr">
        <is>
          <t>EDA</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54999-2022</t>
        </is>
      </c>
      <c r="B8262" s="1" t="n">
        <v>44886</v>
      </c>
      <c r="C8262" s="1" t="n">
        <v>45810</v>
      </c>
      <c r="D8262" t="inlineStr">
        <is>
          <t>VÄRMLANDS LÄN</t>
        </is>
      </c>
      <c r="E8262" t="inlineStr">
        <is>
          <t>HAGFORS</t>
        </is>
      </c>
      <c r="G8262" t="n">
        <v>4.9</v>
      </c>
      <c r="H8262" t="n">
        <v>0</v>
      </c>
      <c r="I8262" t="n">
        <v>0</v>
      </c>
      <c r="J8262" t="n">
        <v>0</v>
      </c>
      <c r="K8262" t="n">
        <v>0</v>
      </c>
      <c r="L8262" t="n">
        <v>0</v>
      </c>
      <c r="M8262" t="n">
        <v>0</v>
      </c>
      <c r="N8262" t="n">
        <v>0</v>
      </c>
      <c r="O8262" t="n">
        <v>0</v>
      </c>
      <c r="P8262" t="n">
        <v>0</v>
      </c>
      <c r="Q8262" t="n">
        <v>0</v>
      </c>
      <c r="R8262" s="2" t="inlineStr"/>
    </row>
    <row r="8263" ht="15" customHeight="1">
      <c r="A8263" t="inlineStr">
        <is>
          <t>A 55053-2022</t>
        </is>
      </c>
      <c r="B8263" s="1" t="n">
        <v>44886</v>
      </c>
      <c r="C8263" s="1" t="n">
        <v>45810</v>
      </c>
      <c r="D8263" t="inlineStr">
        <is>
          <t>VÄRMLANDS LÄN</t>
        </is>
      </c>
      <c r="E8263" t="inlineStr">
        <is>
          <t>ARVIKA</t>
        </is>
      </c>
      <c r="G8263" t="n">
        <v>2.8</v>
      </c>
      <c r="H8263" t="n">
        <v>0</v>
      </c>
      <c r="I8263" t="n">
        <v>0</v>
      </c>
      <c r="J8263" t="n">
        <v>0</v>
      </c>
      <c r="K8263" t="n">
        <v>0</v>
      </c>
      <c r="L8263" t="n">
        <v>0</v>
      </c>
      <c r="M8263" t="n">
        <v>0</v>
      </c>
      <c r="N8263" t="n">
        <v>0</v>
      </c>
      <c r="O8263" t="n">
        <v>0</v>
      </c>
      <c r="P8263" t="n">
        <v>0</v>
      </c>
      <c r="Q8263" t="n">
        <v>0</v>
      </c>
      <c r="R8263" s="2" t="inlineStr"/>
    </row>
    <row r="8264" ht="15" customHeight="1">
      <c r="A8264" t="inlineStr">
        <is>
          <t>A 54885-2022</t>
        </is>
      </c>
      <c r="B8264" s="1" t="n">
        <v>44886</v>
      </c>
      <c r="C8264" s="1" t="n">
        <v>45810</v>
      </c>
      <c r="D8264" t="inlineStr">
        <is>
          <t>VÄRMLANDS LÄN</t>
        </is>
      </c>
      <c r="E8264" t="inlineStr">
        <is>
          <t>TORSBY</t>
        </is>
      </c>
      <c r="G8264" t="n">
        <v>2.1</v>
      </c>
      <c r="H8264" t="n">
        <v>0</v>
      </c>
      <c r="I8264" t="n">
        <v>0</v>
      </c>
      <c r="J8264" t="n">
        <v>0</v>
      </c>
      <c r="K8264" t="n">
        <v>0</v>
      </c>
      <c r="L8264" t="n">
        <v>0</v>
      </c>
      <c r="M8264" t="n">
        <v>0</v>
      </c>
      <c r="N8264" t="n">
        <v>0</v>
      </c>
      <c r="O8264" t="n">
        <v>0</v>
      </c>
      <c r="P8264" t="n">
        <v>0</v>
      </c>
      <c r="Q8264" t="n">
        <v>0</v>
      </c>
      <c r="R8264" s="2" t="inlineStr"/>
    </row>
    <row r="8265" ht="15" customHeight="1">
      <c r="A8265" t="inlineStr">
        <is>
          <t>A 54917-2022</t>
        </is>
      </c>
      <c r="B8265" s="1" t="n">
        <v>44886</v>
      </c>
      <c r="C8265" s="1" t="n">
        <v>45810</v>
      </c>
      <c r="D8265" t="inlineStr">
        <is>
          <t>VÄRMLANDS LÄN</t>
        </is>
      </c>
      <c r="E8265" t="inlineStr">
        <is>
          <t>ARVIKA</t>
        </is>
      </c>
      <c r="F8265" t="inlineStr">
        <is>
          <t>Bergvik skog väst AB</t>
        </is>
      </c>
      <c r="G8265" t="n">
        <v>15.4</v>
      </c>
      <c r="H8265" t="n">
        <v>0</v>
      </c>
      <c r="I8265" t="n">
        <v>0</v>
      </c>
      <c r="J8265" t="n">
        <v>0</v>
      </c>
      <c r="K8265" t="n">
        <v>0</v>
      </c>
      <c r="L8265" t="n">
        <v>0</v>
      </c>
      <c r="M8265" t="n">
        <v>0</v>
      </c>
      <c r="N8265" t="n">
        <v>0</v>
      </c>
      <c r="O8265" t="n">
        <v>0</v>
      </c>
      <c r="P8265" t="n">
        <v>0</v>
      </c>
      <c r="Q8265" t="n">
        <v>0</v>
      </c>
      <c r="R8265" s="2" t="inlineStr"/>
    </row>
    <row r="8266" ht="15" customHeight="1">
      <c r="A8266" t="inlineStr">
        <is>
          <t>A 54977-2022</t>
        </is>
      </c>
      <c r="B8266" s="1" t="n">
        <v>44886</v>
      </c>
      <c r="C8266" s="1" t="n">
        <v>45810</v>
      </c>
      <c r="D8266" t="inlineStr">
        <is>
          <t>VÄRMLANDS LÄN</t>
        </is>
      </c>
      <c r="E8266" t="inlineStr">
        <is>
          <t>SUNNE</t>
        </is>
      </c>
      <c r="G8266" t="n">
        <v>0.9</v>
      </c>
      <c r="H8266" t="n">
        <v>0</v>
      </c>
      <c r="I8266" t="n">
        <v>0</v>
      </c>
      <c r="J8266" t="n">
        <v>0</v>
      </c>
      <c r="K8266" t="n">
        <v>0</v>
      </c>
      <c r="L8266" t="n">
        <v>0</v>
      </c>
      <c r="M8266" t="n">
        <v>0</v>
      </c>
      <c r="N8266" t="n">
        <v>0</v>
      </c>
      <c r="O8266" t="n">
        <v>0</v>
      </c>
      <c r="P8266" t="n">
        <v>0</v>
      </c>
      <c r="Q8266" t="n">
        <v>0</v>
      </c>
      <c r="R8266" s="2" t="inlineStr"/>
    </row>
    <row r="8267" ht="15" customHeight="1">
      <c r="A8267" t="inlineStr">
        <is>
          <t>A 55068-2022</t>
        </is>
      </c>
      <c r="B8267" s="1" t="n">
        <v>44886</v>
      </c>
      <c r="C8267" s="1" t="n">
        <v>45810</v>
      </c>
      <c r="D8267" t="inlineStr">
        <is>
          <t>VÄRMLANDS LÄN</t>
        </is>
      </c>
      <c r="E8267" t="inlineStr">
        <is>
          <t>TORSBY</t>
        </is>
      </c>
      <c r="G8267" t="n">
        <v>8.199999999999999</v>
      </c>
      <c r="H8267" t="n">
        <v>0</v>
      </c>
      <c r="I8267" t="n">
        <v>0</v>
      </c>
      <c r="J8267" t="n">
        <v>0</v>
      </c>
      <c r="K8267" t="n">
        <v>0</v>
      </c>
      <c r="L8267" t="n">
        <v>0</v>
      </c>
      <c r="M8267" t="n">
        <v>0</v>
      </c>
      <c r="N8267" t="n">
        <v>0</v>
      </c>
      <c r="O8267" t="n">
        <v>0</v>
      </c>
      <c r="P8267" t="n">
        <v>0</v>
      </c>
      <c r="Q8267" t="n">
        <v>0</v>
      </c>
      <c r="R8267" s="2" t="inlineStr"/>
    </row>
    <row r="8268" ht="15" customHeight="1">
      <c r="A8268" t="inlineStr">
        <is>
          <t>A 55092-2022</t>
        </is>
      </c>
      <c r="B8268" s="1" t="n">
        <v>44886</v>
      </c>
      <c r="C8268" s="1" t="n">
        <v>45810</v>
      </c>
      <c r="D8268" t="inlineStr">
        <is>
          <t>VÄRMLANDS LÄN</t>
        </is>
      </c>
      <c r="E8268" t="inlineStr">
        <is>
          <t>TORSBY</t>
        </is>
      </c>
      <c r="G8268" t="n">
        <v>2</v>
      </c>
      <c r="H8268" t="n">
        <v>0</v>
      </c>
      <c r="I8268" t="n">
        <v>0</v>
      </c>
      <c r="J8268" t="n">
        <v>0</v>
      </c>
      <c r="K8268" t="n">
        <v>0</v>
      </c>
      <c r="L8268" t="n">
        <v>0</v>
      </c>
      <c r="M8268" t="n">
        <v>0</v>
      </c>
      <c r="N8268" t="n">
        <v>0</v>
      </c>
      <c r="O8268" t="n">
        <v>0</v>
      </c>
      <c r="P8268" t="n">
        <v>0</v>
      </c>
      <c r="Q8268" t="n">
        <v>0</v>
      </c>
      <c r="R8268" s="2" t="inlineStr"/>
    </row>
    <row r="8269" ht="15" customHeight="1">
      <c r="A8269" t="inlineStr">
        <is>
          <t>A 54950-2022</t>
        </is>
      </c>
      <c r="B8269" s="1" t="n">
        <v>44886</v>
      </c>
      <c r="C8269" s="1" t="n">
        <v>45810</v>
      </c>
      <c r="D8269" t="inlineStr">
        <is>
          <t>VÄRMLANDS LÄN</t>
        </is>
      </c>
      <c r="E8269" t="inlineStr">
        <is>
          <t>ÅRJÄNG</t>
        </is>
      </c>
      <c r="G8269" t="n">
        <v>13</v>
      </c>
      <c r="H8269" t="n">
        <v>0</v>
      </c>
      <c r="I8269" t="n">
        <v>0</v>
      </c>
      <c r="J8269" t="n">
        <v>0</v>
      </c>
      <c r="K8269" t="n">
        <v>0</v>
      </c>
      <c r="L8269" t="n">
        <v>0</v>
      </c>
      <c r="M8269" t="n">
        <v>0</v>
      </c>
      <c r="N8269" t="n">
        <v>0</v>
      </c>
      <c r="O8269" t="n">
        <v>0</v>
      </c>
      <c r="P8269" t="n">
        <v>0</v>
      </c>
      <c r="Q8269" t="n">
        <v>0</v>
      </c>
      <c r="R8269" s="2" t="inlineStr"/>
    </row>
    <row r="8270" ht="15" customHeight="1">
      <c r="A8270" t="inlineStr">
        <is>
          <t>A 55104-2022</t>
        </is>
      </c>
      <c r="B8270" s="1" t="n">
        <v>44886</v>
      </c>
      <c r="C8270" s="1" t="n">
        <v>45810</v>
      </c>
      <c r="D8270" t="inlineStr">
        <is>
          <t>VÄRMLANDS LÄN</t>
        </is>
      </c>
      <c r="E8270" t="inlineStr">
        <is>
          <t>TORSBY</t>
        </is>
      </c>
      <c r="G8270" t="n">
        <v>3.2</v>
      </c>
      <c r="H8270" t="n">
        <v>0</v>
      </c>
      <c r="I8270" t="n">
        <v>0</v>
      </c>
      <c r="J8270" t="n">
        <v>0</v>
      </c>
      <c r="K8270" t="n">
        <v>0</v>
      </c>
      <c r="L8270" t="n">
        <v>0</v>
      </c>
      <c r="M8270" t="n">
        <v>0</v>
      </c>
      <c r="N8270" t="n">
        <v>0</v>
      </c>
      <c r="O8270" t="n">
        <v>0</v>
      </c>
      <c r="P8270" t="n">
        <v>0</v>
      </c>
      <c r="Q8270" t="n">
        <v>0</v>
      </c>
      <c r="R8270" s="2" t="inlineStr"/>
    </row>
    <row r="8271" ht="15" customHeight="1">
      <c r="A8271" t="inlineStr">
        <is>
          <t>A 55079-2022</t>
        </is>
      </c>
      <c r="B8271" s="1" t="n">
        <v>44886</v>
      </c>
      <c r="C8271" s="1" t="n">
        <v>45810</v>
      </c>
      <c r="D8271" t="inlineStr">
        <is>
          <t>VÄRMLANDS LÄN</t>
        </is>
      </c>
      <c r="E8271" t="inlineStr">
        <is>
          <t>SUNNE</t>
        </is>
      </c>
      <c r="G8271" t="n">
        <v>1.4</v>
      </c>
      <c r="H8271" t="n">
        <v>0</v>
      </c>
      <c r="I8271" t="n">
        <v>0</v>
      </c>
      <c r="J8271" t="n">
        <v>0</v>
      </c>
      <c r="K8271" t="n">
        <v>0</v>
      </c>
      <c r="L8271" t="n">
        <v>0</v>
      </c>
      <c r="M8271" t="n">
        <v>0</v>
      </c>
      <c r="N8271" t="n">
        <v>0</v>
      </c>
      <c r="O8271" t="n">
        <v>0</v>
      </c>
      <c r="P8271" t="n">
        <v>0</v>
      </c>
      <c r="Q8271" t="n">
        <v>0</v>
      </c>
      <c r="R8271" s="2" t="inlineStr"/>
    </row>
    <row r="8272" ht="15" customHeight="1">
      <c r="A8272" t="inlineStr">
        <is>
          <t>A 55085-2022</t>
        </is>
      </c>
      <c r="B8272" s="1" t="n">
        <v>44886</v>
      </c>
      <c r="C8272" s="1" t="n">
        <v>45810</v>
      </c>
      <c r="D8272" t="inlineStr">
        <is>
          <t>VÄRMLANDS LÄN</t>
        </is>
      </c>
      <c r="E8272" t="inlineStr">
        <is>
          <t>ARVIKA</t>
        </is>
      </c>
      <c r="F8272" t="inlineStr">
        <is>
          <t>Bergvik skog väst AB</t>
        </is>
      </c>
      <c r="G8272" t="n">
        <v>2.6</v>
      </c>
      <c r="H8272" t="n">
        <v>0</v>
      </c>
      <c r="I8272" t="n">
        <v>0</v>
      </c>
      <c r="J8272" t="n">
        <v>0</v>
      </c>
      <c r="K8272" t="n">
        <v>0</v>
      </c>
      <c r="L8272" t="n">
        <v>0</v>
      </c>
      <c r="M8272" t="n">
        <v>0</v>
      </c>
      <c r="N8272" t="n">
        <v>0</v>
      </c>
      <c r="O8272" t="n">
        <v>0</v>
      </c>
      <c r="P8272" t="n">
        <v>0</v>
      </c>
      <c r="Q8272" t="n">
        <v>0</v>
      </c>
      <c r="R8272" s="2" t="inlineStr"/>
    </row>
    <row r="8273" ht="15" customHeight="1">
      <c r="A8273" t="inlineStr">
        <is>
          <t>A 55094-2022</t>
        </is>
      </c>
      <c r="B8273" s="1" t="n">
        <v>44886</v>
      </c>
      <c r="C8273" s="1" t="n">
        <v>45810</v>
      </c>
      <c r="D8273" t="inlineStr">
        <is>
          <t>VÄRMLANDS LÄN</t>
        </is>
      </c>
      <c r="E8273" t="inlineStr">
        <is>
          <t>SÄFFLE</t>
        </is>
      </c>
      <c r="G8273" t="n">
        <v>2</v>
      </c>
      <c r="H8273" t="n">
        <v>0</v>
      </c>
      <c r="I8273" t="n">
        <v>0</v>
      </c>
      <c r="J8273" t="n">
        <v>0</v>
      </c>
      <c r="K8273" t="n">
        <v>0</v>
      </c>
      <c r="L8273" t="n">
        <v>0</v>
      </c>
      <c r="M8273" t="n">
        <v>0</v>
      </c>
      <c r="N8273" t="n">
        <v>0</v>
      </c>
      <c r="O8273" t="n">
        <v>0</v>
      </c>
      <c r="P8273" t="n">
        <v>0</v>
      </c>
      <c r="Q8273" t="n">
        <v>0</v>
      </c>
      <c r="R8273" s="2" t="inlineStr"/>
    </row>
    <row r="8274" ht="15" customHeight="1">
      <c r="A8274" t="inlineStr">
        <is>
          <t>A 55147-2022</t>
        </is>
      </c>
      <c r="B8274" s="1" t="n">
        <v>44886</v>
      </c>
      <c r="C8274" s="1" t="n">
        <v>45810</v>
      </c>
      <c r="D8274" t="inlineStr">
        <is>
          <t>VÄRMLANDS LÄN</t>
        </is>
      </c>
      <c r="E8274" t="inlineStr">
        <is>
          <t>SUNNE</t>
        </is>
      </c>
      <c r="G8274" t="n">
        <v>1.2</v>
      </c>
      <c r="H8274" t="n">
        <v>0</v>
      </c>
      <c r="I8274" t="n">
        <v>0</v>
      </c>
      <c r="J8274" t="n">
        <v>0</v>
      </c>
      <c r="K8274" t="n">
        <v>0</v>
      </c>
      <c r="L8274" t="n">
        <v>0</v>
      </c>
      <c r="M8274" t="n">
        <v>0</v>
      </c>
      <c r="N8274" t="n">
        <v>0</v>
      </c>
      <c r="O8274" t="n">
        <v>0</v>
      </c>
      <c r="P8274" t="n">
        <v>0</v>
      </c>
      <c r="Q8274" t="n">
        <v>0</v>
      </c>
      <c r="R8274" s="2" t="inlineStr"/>
    </row>
    <row r="8275" ht="15" customHeight="1">
      <c r="A8275" t="inlineStr">
        <is>
          <t>A 55372-2022</t>
        </is>
      </c>
      <c r="B8275" s="1" t="n">
        <v>44887</v>
      </c>
      <c r="C8275" s="1" t="n">
        <v>45810</v>
      </c>
      <c r="D8275" t="inlineStr">
        <is>
          <t>VÄRMLANDS LÄN</t>
        </is>
      </c>
      <c r="E8275" t="inlineStr">
        <is>
          <t>ARVIKA</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55268-2022</t>
        </is>
      </c>
      <c r="B8276" s="1" t="n">
        <v>44887</v>
      </c>
      <c r="C8276" s="1" t="n">
        <v>45810</v>
      </c>
      <c r="D8276" t="inlineStr">
        <is>
          <t>VÄRMLANDS LÄN</t>
        </is>
      </c>
      <c r="E8276" t="inlineStr">
        <is>
          <t>FILIPSTAD</t>
        </is>
      </c>
      <c r="F8276" t="inlineStr">
        <is>
          <t>Bergvik skog väst AB</t>
        </is>
      </c>
      <c r="G8276" t="n">
        <v>4.4</v>
      </c>
      <c r="H8276" t="n">
        <v>0</v>
      </c>
      <c r="I8276" t="n">
        <v>0</v>
      </c>
      <c r="J8276" t="n">
        <v>0</v>
      </c>
      <c r="K8276" t="n">
        <v>0</v>
      </c>
      <c r="L8276" t="n">
        <v>0</v>
      </c>
      <c r="M8276" t="n">
        <v>0</v>
      </c>
      <c r="N8276" t="n">
        <v>0</v>
      </c>
      <c r="O8276" t="n">
        <v>0</v>
      </c>
      <c r="P8276" t="n">
        <v>0</v>
      </c>
      <c r="Q8276" t="n">
        <v>0</v>
      </c>
      <c r="R8276" s="2" t="inlineStr"/>
    </row>
    <row r="8277" ht="15" customHeight="1">
      <c r="A8277" t="inlineStr">
        <is>
          <t>A 55339-2022</t>
        </is>
      </c>
      <c r="B8277" s="1" t="n">
        <v>44887</v>
      </c>
      <c r="C8277" s="1" t="n">
        <v>45810</v>
      </c>
      <c r="D8277" t="inlineStr">
        <is>
          <t>VÄRMLANDS LÄN</t>
        </is>
      </c>
      <c r="E8277" t="inlineStr">
        <is>
          <t>EDA</t>
        </is>
      </c>
      <c r="G8277" t="n">
        <v>2.4</v>
      </c>
      <c r="H8277" t="n">
        <v>0</v>
      </c>
      <c r="I8277" t="n">
        <v>0</v>
      </c>
      <c r="J8277" t="n">
        <v>0</v>
      </c>
      <c r="K8277" t="n">
        <v>0</v>
      </c>
      <c r="L8277" t="n">
        <v>0</v>
      </c>
      <c r="M8277" t="n">
        <v>0</v>
      </c>
      <c r="N8277" t="n">
        <v>0</v>
      </c>
      <c r="O8277" t="n">
        <v>0</v>
      </c>
      <c r="P8277" t="n">
        <v>0</v>
      </c>
      <c r="Q8277" t="n">
        <v>0</v>
      </c>
      <c r="R8277" s="2" t="inlineStr"/>
    </row>
    <row r="8278" ht="15" customHeight="1">
      <c r="A8278" t="inlineStr">
        <is>
          <t>A 55397-2022</t>
        </is>
      </c>
      <c r="B8278" s="1" t="n">
        <v>44887</v>
      </c>
      <c r="C8278" s="1" t="n">
        <v>45810</v>
      </c>
      <c r="D8278" t="inlineStr">
        <is>
          <t>VÄRMLANDS LÄN</t>
        </is>
      </c>
      <c r="E8278" t="inlineStr">
        <is>
          <t>FILIPSTAD</t>
        </is>
      </c>
      <c r="F8278" t="inlineStr">
        <is>
          <t>Bergvik skog väst AB</t>
        </is>
      </c>
      <c r="G8278" t="n">
        <v>1.6</v>
      </c>
      <c r="H8278" t="n">
        <v>0</v>
      </c>
      <c r="I8278" t="n">
        <v>0</v>
      </c>
      <c r="J8278" t="n">
        <v>0</v>
      </c>
      <c r="K8278" t="n">
        <v>0</v>
      </c>
      <c r="L8278" t="n">
        <v>0</v>
      </c>
      <c r="M8278" t="n">
        <v>0</v>
      </c>
      <c r="N8278" t="n">
        <v>0</v>
      </c>
      <c r="O8278" t="n">
        <v>0</v>
      </c>
      <c r="P8278" t="n">
        <v>0</v>
      </c>
      <c r="Q8278" t="n">
        <v>0</v>
      </c>
      <c r="R8278" s="2" t="inlineStr"/>
    </row>
    <row r="8279" ht="15" customHeight="1">
      <c r="A8279" t="inlineStr">
        <is>
          <t>A 56552-2022</t>
        </is>
      </c>
      <c r="B8279" s="1" t="n">
        <v>44887</v>
      </c>
      <c r="C8279" s="1" t="n">
        <v>45810</v>
      </c>
      <c r="D8279" t="inlineStr">
        <is>
          <t>VÄRMLANDS LÄN</t>
        </is>
      </c>
      <c r="E8279" t="inlineStr">
        <is>
          <t>GRUMS</t>
        </is>
      </c>
      <c r="F8279" t="inlineStr">
        <is>
          <t>Bergvik skog väst AB</t>
        </is>
      </c>
      <c r="G8279" t="n">
        <v>1.5</v>
      </c>
      <c r="H8279" t="n">
        <v>0</v>
      </c>
      <c r="I8279" t="n">
        <v>0</v>
      </c>
      <c r="J8279" t="n">
        <v>0</v>
      </c>
      <c r="K8279" t="n">
        <v>0</v>
      </c>
      <c r="L8279" t="n">
        <v>0</v>
      </c>
      <c r="M8279" t="n">
        <v>0</v>
      </c>
      <c r="N8279" t="n">
        <v>0</v>
      </c>
      <c r="O8279" t="n">
        <v>0</v>
      </c>
      <c r="P8279" t="n">
        <v>0</v>
      </c>
      <c r="Q8279" t="n">
        <v>0</v>
      </c>
      <c r="R8279" s="2" t="inlineStr"/>
    </row>
    <row r="8280" ht="15" customHeight="1">
      <c r="A8280" t="inlineStr">
        <is>
          <t>A 55428-2022</t>
        </is>
      </c>
      <c r="B8280" s="1" t="n">
        <v>44887</v>
      </c>
      <c r="C8280" s="1" t="n">
        <v>45810</v>
      </c>
      <c r="D8280" t="inlineStr">
        <is>
          <t>VÄRMLANDS LÄN</t>
        </is>
      </c>
      <c r="E8280" t="inlineStr">
        <is>
          <t>TORSBY</t>
        </is>
      </c>
      <c r="G8280" t="n">
        <v>1.1</v>
      </c>
      <c r="H8280" t="n">
        <v>0</v>
      </c>
      <c r="I8280" t="n">
        <v>0</v>
      </c>
      <c r="J8280" t="n">
        <v>0</v>
      </c>
      <c r="K8280" t="n">
        <v>0</v>
      </c>
      <c r="L8280" t="n">
        <v>0</v>
      </c>
      <c r="M8280" t="n">
        <v>0</v>
      </c>
      <c r="N8280" t="n">
        <v>0</v>
      </c>
      <c r="O8280" t="n">
        <v>0</v>
      </c>
      <c r="P8280" t="n">
        <v>0</v>
      </c>
      <c r="Q8280" t="n">
        <v>0</v>
      </c>
      <c r="R8280" s="2" t="inlineStr"/>
    </row>
    <row r="8281" ht="15" customHeight="1">
      <c r="A8281" t="inlineStr">
        <is>
          <t>A 55475-2022</t>
        </is>
      </c>
      <c r="B8281" s="1" t="n">
        <v>44887</v>
      </c>
      <c r="C8281" s="1" t="n">
        <v>45810</v>
      </c>
      <c r="D8281" t="inlineStr">
        <is>
          <t>VÄRMLANDS LÄN</t>
        </is>
      </c>
      <c r="E8281" t="inlineStr">
        <is>
          <t>TORSBY</t>
        </is>
      </c>
      <c r="G8281" t="n">
        <v>2.7</v>
      </c>
      <c r="H8281" t="n">
        <v>0</v>
      </c>
      <c r="I8281" t="n">
        <v>0</v>
      </c>
      <c r="J8281" t="n">
        <v>0</v>
      </c>
      <c r="K8281" t="n">
        <v>0</v>
      </c>
      <c r="L8281" t="n">
        <v>0</v>
      </c>
      <c r="M8281" t="n">
        <v>0</v>
      </c>
      <c r="N8281" t="n">
        <v>0</v>
      </c>
      <c r="O8281" t="n">
        <v>0</v>
      </c>
      <c r="P8281" t="n">
        <v>0</v>
      </c>
      <c r="Q8281" t="n">
        <v>0</v>
      </c>
      <c r="R8281" s="2" t="inlineStr"/>
    </row>
    <row r="8282" ht="15" customHeight="1">
      <c r="A8282" t="inlineStr">
        <is>
          <t>A 55447-2022</t>
        </is>
      </c>
      <c r="B8282" s="1" t="n">
        <v>44887</v>
      </c>
      <c r="C8282" s="1" t="n">
        <v>45810</v>
      </c>
      <c r="D8282" t="inlineStr">
        <is>
          <t>VÄRMLANDS LÄN</t>
        </is>
      </c>
      <c r="E8282" t="inlineStr">
        <is>
          <t>HAGFORS</t>
        </is>
      </c>
      <c r="F8282" t="inlineStr">
        <is>
          <t>Bergvik skog väst AB</t>
        </is>
      </c>
      <c r="G8282" t="n">
        <v>3.2</v>
      </c>
      <c r="H8282" t="n">
        <v>0</v>
      </c>
      <c r="I8282" t="n">
        <v>0</v>
      </c>
      <c r="J8282" t="n">
        <v>0</v>
      </c>
      <c r="K8282" t="n">
        <v>0</v>
      </c>
      <c r="L8282" t="n">
        <v>0</v>
      </c>
      <c r="M8282" t="n">
        <v>0</v>
      </c>
      <c r="N8282" t="n">
        <v>0</v>
      </c>
      <c r="O8282" t="n">
        <v>0</v>
      </c>
      <c r="P8282" t="n">
        <v>0</v>
      </c>
      <c r="Q8282" t="n">
        <v>0</v>
      </c>
      <c r="R8282" s="2" t="inlineStr"/>
    </row>
    <row r="8283" ht="15" customHeight="1">
      <c r="A8283" t="inlineStr">
        <is>
          <t>A 55465-2022</t>
        </is>
      </c>
      <c r="B8283" s="1" t="n">
        <v>44887</v>
      </c>
      <c r="C8283" s="1" t="n">
        <v>45810</v>
      </c>
      <c r="D8283" t="inlineStr">
        <is>
          <t>VÄRMLANDS LÄN</t>
        </is>
      </c>
      <c r="E8283" t="inlineStr">
        <is>
          <t>EDA</t>
        </is>
      </c>
      <c r="G8283" t="n">
        <v>5.7</v>
      </c>
      <c r="H8283" t="n">
        <v>0</v>
      </c>
      <c r="I8283" t="n">
        <v>0</v>
      </c>
      <c r="J8283" t="n">
        <v>0</v>
      </c>
      <c r="K8283" t="n">
        <v>0</v>
      </c>
      <c r="L8283" t="n">
        <v>0</v>
      </c>
      <c r="M8283" t="n">
        <v>0</v>
      </c>
      <c r="N8283" t="n">
        <v>0</v>
      </c>
      <c r="O8283" t="n">
        <v>0</v>
      </c>
      <c r="P8283" t="n">
        <v>0</v>
      </c>
      <c r="Q8283" t="n">
        <v>0</v>
      </c>
      <c r="R8283" s="2" t="inlineStr"/>
    </row>
    <row r="8284" ht="15" customHeight="1">
      <c r="A8284" t="inlineStr">
        <is>
          <t>A 55436-2022</t>
        </is>
      </c>
      <c r="B8284" s="1" t="n">
        <v>44887</v>
      </c>
      <c r="C8284" s="1" t="n">
        <v>45810</v>
      </c>
      <c r="D8284" t="inlineStr">
        <is>
          <t>VÄRMLANDS LÄN</t>
        </is>
      </c>
      <c r="E8284" t="inlineStr">
        <is>
          <t>TORSBY</t>
        </is>
      </c>
      <c r="G8284" t="n">
        <v>0.5</v>
      </c>
      <c r="H8284" t="n">
        <v>0</v>
      </c>
      <c r="I8284" t="n">
        <v>0</v>
      </c>
      <c r="J8284" t="n">
        <v>0</v>
      </c>
      <c r="K8284" t="n">
        <v>0</v>
      </c>
      <c r="L8284" t="n">
        <v>0</v>
      </c>
      <c r="M8284" t="n">
        <v>0</v>
      </c>
      <c r="N8284" t="n">
        <v>0</v>
      </c>
      <c r="O8284" t="n">
        <v>0</v>
      </c>
      <c r="P8284" t="n">
        <v>0</v>
      </c>
      <c r="Q8284" t="n">
        <v>0</v>
      </c>
      <c r="R8284" s="2" t="inlineStr"/>
    </row>
    <row r="8285" ht="15" customHeight="1">
      <c r="A8285" t="inlineStr">
        <is>
          <t>A 55250-2022</t>
        </is>
      </c>
      <c r="B8285" s="1" t="n">
        <v>44887</v>
      </c>
      <c r="C8285" s="1" t="n">
        <v>45810</v>
      </c>
      <c r="D8285" t="inlineStr">
        <is>
          <t>VÄRMLANDS LÄN</t>
        </is>
      </c>
      <c r="E8285" t="inlineStr">
        <is>
          <t>KARLSTAD</t>
        </is>
      </c>
      <c r="G8285" t="n">
        <v>1.1</v>
      </c>
      <c r="H8285" t="n">
        <v>0</v>
      </c>
      <c r="I8285" t="n">
        <v>0</v>
      </c>
      <c r="J8285" t="n">
        <v>0</v>
      </c>
      <c r="K8285" t="n">
        <v>0</v>
      </c>
      <c r="L8285" t="n">
        <v>0</v>
      </c>
      <c r="M8285" t="n">
        <v>0</v>
      </c>
      <c r="N8285" t="n">
        <v>0</v>
      </c>
      <c r="O8285" t="n">
        <v>0</v>
      </c>
      <c r="P8285" t="n">
        <v>0</v>
      </c>
      <c r="Q8285" t="n">
        <v>0</v>
      </c>
      <c r="R8285" s="2" t="inlineStr"/>
    </row>
    <row r="8286" ht="15" customHeight="1">
      <c r="A8286" t="inlineStr">
        <is>
          <t>A 55575-2022</t>
        </is>
      </c>
      <c r="B8286" s="1" t="n">
        <v>44888</v>
      </c>
      <c r="C8286" s="1" t="n">
        <v>45810</v>
      </c>
      <c r="D8286" t="inlineStr">
        <is>
          <t>VÄRMLANDS LÄN</t>
        </is>
      </c>
      <c r="E8286" t="inlineStr">
        <is>
          <t>TORSBY</t>
        </is>
      </c>
      <c r="F8286" t="inlineStr">
        <is>
          <t>Bergvik skog väst AB</t>
        </is>
      </c>
      <c r="G8286" t="n">
        <v>54</v>
      </c>
      <c r="H8286" t="n">
        <v>0</v>
      </c>
      <c r="I8286" t="n">
        <v>0</v>
      </c>
      <c r="J8286" t="n">
        <v>0</v>
      </c>
      <c r="K8286" t="n">
        <v>0</v>
      </c>
      <c r="L8286" t="n">
        <v>0</v>
      </c>
      <c r="M8286" t="n">
        <v>0</v>
      </c>
      <c r="N8286" t="n">
        <v>0</v>
      </c>
      <c r="O8286" t="n">
        <v>0</v>
      </c>
      <c r="P8286" t="n">
        <v>0</v>
      </c>
      <c r="Q8286" t="n">
        <v>0</v>
      </c>
      <c r="R8286" s="2" t="inlineStr"/>
    </row>
    <row r="8287" ht="15" customHeight="1">
      <c r="A8287" t="inlineStr">
        <is>
          <t>A 55654-2022</t>
        </is>
      </c>
      <c r="B8287" s="1" t="n">
        <v>44888</v>
      </c>
      <c r="C8287" s="1" t="n">
        <v>45810</v>
      </c>
      <c r="D8287" t="inlineStr">
        <is>
          <t>VÄRMLANDS LÄN</t>
        </is>
      </c>
      <c r="E8287" t="inlineStr">
        <is>
          <t>ÅRJÄNG</t>
        </is>
      </c>
      <c r="G8287" t="n">
        <v>0.6</v>
      </c>
      <c r="H8287" t="n">
        <v>0</v>
      </c>
      <c r="I8287" t="n">
        <v>0</v>
      </c>
      <c r="J8287" t="n">
        <v>0</v>
      </c>
      <c r="K8287" t="n">
        <v>0</v>
      </c>
      <c r="L8287" t="n">
        <v>0</v>
      </c>
      <c r="M8287" t="n">
        <v>0</v>
      </c>
      <c r="N8287" t="n">
        <v>0</v>
      </c>
      <c r="O8287" t="n">
        <v>0</v>
      </c>
      <c r="P8287" t="n">
        <v>0</v>
      </c>
      <c r="Q8287" t="n">
        <v>0</v>
      </c>
      <c r="R8287" s="2" t="inlineStr"/>
    </row>
    <row r="8288" ht="15" customHeight="1">
      <c r="A8288" t="inlineStr">
        <is>
          <t>A 55787-2022</t>
        </is>
      </c>
      <c r="B8288" s="1" t="n">
        <v>44888</v>
      </c>
      <c r="C8288" s="1" t="n">
        <v>45810</v>
      </c>
      <c r="D8288" t="inlineStr">
        <is>
          <t>VÄRMLANDS LÄN</t>
        </is>
      </c>
      <c r="E8288" t="inlineStr">
        <is>
          <t>ARVIKA</t>
        </is>
      </c>
      <c r="G8288" t="n">
        <v>3.5</v>
      </c>
      <c r="H8288" t="n">
        <v>0</v>
      </c>
      <c r="I8288" t="n">
        <v>0</v>
      </c>
      <c r="J8288" t="n">
        <v>0</v>
      </c>
      <c r="K8288" t="n">
        <v>0</v>
      </c>
      <c r="L8288" t="n">
        <v>0</v>
      </c>
      <c r="M8288" t="n">
        <v>0</v>
      </c>
      <c r="N8288" t="n">
        <v>0</v>
      </c>
      <c r="O8288" t="n">
        <v>0</v>
      </c>
      <c r="P8288" t="n">
        <v>0</v>
      </c>
      <c r="Q8288" t="n">
        <v>0</v>
      </c>
      <c r="R8288" s="2" t="inlineStr"/>
    </row>
    <row r="8289" ht="15" customHeight="1">
      <c r="A8289" t="inlineStr">
        <is>
          <t>A 55722-2022</t>
        </is>
      </c>
      <c r="B8289" s="1" t="n">
        <v>44888</v>
      </c>
      <c r="C8289" s="1" t="n">
        <v>45810</v>
      </c>
      <c r="D8289" t="inlineStr">
        <is>
          <t>VÄRMLANDS LÄN</t>
        </is>
      </c>
      <c r="E8289" t="inlineStr">
        <is>
          <t>FORSHAGA</t>
        </is>
      </c>
      <c r="F8289" t="inlineStr">
        <is>
          <t>Bergvik skog väst AB</t>
        </is>
      </c>
      <c r="G8289" t="n">
        <v>7.4</v>
      </c>
      <c r="H8289" t="n">
        <v>0</v>
      </c>
      <c r="I8289" t="n">
        <v>0</v>
      </c>
      <c r="J8289" t="n">
        <v>0</v>
      </c>
      <c r="K8289" t="n">
        <v>0</v>
      </c>
      <c r="L8289" t="n">
        <v>0</v>
      </c>
      <c r="M8289" t="n">
        <v>0</v>
      </c>
      <c r="N8289" t="n">
        <v>0</v>
      </c>
      <c r="O8289" t="n">
        <v>0</v>
      </c>
      <c r="P8289" t="n">
        <v>0</v>
      </c>
      <c r="Q8289" t="n">
        <v>0</v>
      </c>
      <c r="R8289" s="2" t="inlineStr"/>
    </row>
    <row r="8290" ht="15" customHeight="1">
      <c r="A8290" t="inlineStr">
        <is>
          <t>A 55782-2022</t>
        </is>
      </c>
      <c r="B8290" s="1" t="n">
        <v>44888</v>
      </c>
      <c r="C8290" s="1" t="n">
        <v>45810</v>
      </c>
      <c r="D8290" t="inlineStr">
        <is>
          <t>VÄRMLANDS LÄN</t>
        </is>
      </c>
      <c r="E8290" t="inlineStr">
        <is>
          <t>FILIPSTAD</t>
        </is>
      </c>
      <c r="F8290" t="inlineStr">
        <is>
          <t>Bergvik skog väst AB</t>
        </is>
      </c>
      <c r="G8290" t="n">
        <v>14.7</v>
      </c>
      <c r="H8290" t="n">
        <v>0</v>
      </c>
      <c r="I8290" t="n">
        <v>0</v>
      </c>
      <c r="J8290" t="n">
        <v>0</v>
      </c>
      <c r="K8290" t="n">
        <v>0</v>
      </c>
      <c r="L8290" t="n">
        <v>0</v>
      </c>
      <c r="M8290" t="n">
        <v>0</v>
      </c>
      <c r="N8290" t="n">
        <v>0</v>
      </c>
      <c r="O8290" t="n">
        <v>0</v>
      </c>
      <c r="P8290" t="n">
        <v>0</v>
      </c>
      <c r="Q8290" t="n">
        <v>0</v>
      </c>
      <c r="R8290" s="2" t="inlineStr"/>
    </row>
    <row r="8291" ht="15" customHeight="1">
      <c r="A8291" t="inlineStr">
        <is>
          <t>A 55792-2022</t>
        </is>
      </c>
      <c r="B8291" s="1" t="n">
        <v>44888</v>
      </c>
      <c r="C8291" s="1" t="n">
        <v>45810</v>
      </c>
      <c r="D8291" t="inlineStr">
        <is>
          <t>VÄRMLANDS LÄN</t>
        </is>
      </c>
      <c r="E8291" t="inlineStr">
        <is>
          <t>ARVIKA</t>
        </is>
      </c>
      <c r="G8291" t="n">
        <v>4.8</v>
      </c>
      <c r="H8291" t="n">
        <v>0</v>
      </c>
      <c r="I8291" t="n">
        <v>0</v>
      </c>
      <c r="J8291" t="n">
        <v>0</v>
      </c>
      <c r="K8291" t="n">
        <v>0</v>
      </c>
      <c r="L8291" t="n">
        <v>0</v>
      </c>
      <c r="M8291" t="n">
        <v>0</v>
      </c>
      <c r="N8291" t="n">
        <v>0</v>
      </c>
      <c r="O8291" t="n">
        <v>0</v>
      </c>
      <c r="P8291" t="n">
        <v>0</v>
      </c>
      <c r="Q8291" t="n">
        <v>0</v>
      </c>
      <c r="R8291" s="2" t="inlineStr"/>
    </row>
    <row r="8292" ht="15" customHeight="1">
      <c r="A8292" t="inlineStr">
        <is>
          <t>A 55621-2022</t>
        </is>
      </c>
      <c r="B8292" s="1" t="n">
        <v>44888</v>
      </c>
      <c r="C8292" s="1" t="n">
        <v>45810</v>
      </c>
      <c r="D8292" t="inlineStr">
        <is>
          <t>VÄRMLANDS LÄN</t>
        </is>
      </c>
      <c r="E8292" t="inlineStr">
        <is>
          <t>KARLSTAD</t>
        </is>
      </c>
      <c r="F8292" t="inlineStr">
        <is>
          <t>Bergvik skog väst AB</t>
        </is>
      </c>
      <c r="G8292" t="n">
        <v>8.300000000000001</v>
      </c>
      <c r="H8292" t="n">
        <v>0</v>
      </c>
      <c r="I8292" t="n">
        <v>0</v>
      </c>
      <c r="J8292" t="n">
        <v>0</v>
      </c>
      <c r="K8292" t="n">
        <v>0</v>
      </c>
      <c r="L8292" t="n">
        <v>0</v>
      </c>
      <c r="M8292" t="n">
        <v>0</v>
      </c>
      <c r="N8292" t="n">
        <v>0</v>
      </c>
      <c r="O8292" t="n">
        <v>0</v>
      </c>
      <c r="P8292" t="n">
        <v>0</v>
      </c>
      <c r="Q8292" t="n">
        <v>0</v>
      </c>
      <c r="R8292" s="2" t="inlineStr"/>
    </row>
    <row r="8293" ht="15" customHeight="1">
      <c r="A8293" t="inlineStr">
        <is>
          <t>A 55764-2022</t>
        </is>
      </c>
      <c r="B8293" s="1" t="n">
        <v>44888</v>
      </c>
      <c r="C8293" s="1" t="n">
        <v>45810</v>
      </c>
      <c r="D8293" t="inlineStr">
        <is>
          <t>VÄRMLANDS LÄN</t>
        </is>
      </c>
      <c r="E8293" t="inlineStr">
        <is>
          <t>KARLSTAD</t>
        </is>
      </c>
      <c r="G8293" t="n">
        <v>3.1</v>
      </c>
      <c r="H8293" t="n">
        <v>0</v>
      </c>
      <c r="I8293" t="n">
        <v>0</v>
      </c>
      <c r="J8293" t="n">
        <v>0</v>
      </c>
      <c r="K8293" t="n">
        <v>0</v>
      </c>
      <c r="L8293" t="n">
        <v>0</v>
      </c>
      <c r="M8293" t="n">
        <v>0</v>
      </c>
      <c r="N8293" t="n">
        <v>0</v>
      </c>
      <c r="O8293" t="n">
        <v>0</v>
      </c>
      <c r="P8293" t="n">
        <v>0</v>
      </c>
      <c r="Q8293" t="n">
        <v>0</v>
      </c>
      <c r="R8293" s="2" t="inlineStr"/>
      <c r="U8293">
        <f>HYPERLINK("https://klasma.github.io/Logging_1780/knärot/A 55764-2022 karta knärot.png", "A 55764-2022")</f>
        <v/>
      </c>
      <c r="V8293">
        <f>HYPERLINK("https://klasma.github.io/Logging_1780/klagomål/A 55764-2022 FSC-klagomål.docx", "A 55764-2022")</f>
        <v/>
      </c>
      <c r="W8293">
        <f>HYPERLINK("https://klasma.github.io/Logging_1780/klagomålsmail/A 55764-2022 FSC-klagomål mail.docx", "A 55764-2022")</f>
        <v/>
      </c>
      <c r="X8293">
        <f>HYPERLINK("https://klasma.github.io/Logging_1780/tillsyn/A 55764-2022 tillsynsbegäran.docx", "A 55764-2022")</f>
        <v/>
      </c>
      <c r="Y8293">
        <f>HYPERLINK("https://klasma.github.io/Logging_1780/tillsynsmail/A 55764-2022 tillsynsbegäran mail.docx", "A 55764-2022")</f>
        <v/>
      </c>
    </row>
    <row r="8294" ht="15" customHeight="1">
      <c r="A8294" t="inlineStr">
        <is>
          <t>A 55797-2022</t>
        </is>
      </c>
      <c r="B8294" s="1" t="n">
        <v>44888</v>
      </c>
      <c r="C8294" s="1" t="n">
        <v>45810</v>
      </c>
      <c r="D8294" t="inlineStr">
        <is>
          <t>VÄRMLANDS LÄN</t>
        </is>
      </c>
      <c r="E8294" t="inlineStr">
        <is>
          <t>EDA</t>
        </is>
      </c>
      <c r="G8294" t="n">
        <v>3.4</v>
      </c>
      <c r="H8294" t="n">
        <v>0</v>
      </c>
      <c r="I8294" t="n">
        <v>0</v>
      </c>
      <c r="J8294" t="n">
        <v>0</v>
      </c>
      <c r="K8294" t="n">
        <v>0</v>
      </c>
      <c r="L8294" t="n">
        <v>0</v>
      </c>
      <c r="M8294" t="n">
        <v>0</v>
      </c>
      <c r="N8294" t="n">
        <v>0</v>
      </c>
      <c r="O8294" t="n">
        <v>0</v>
      </c>
      <c r="P8294" t="n">
        <v>0</v>
      </c>
      <c r="Q8294" t="n">
        <v>0</v>
      </c>
      <c r="R8294" s="2" t="inlineStr"/>
    </row>
    <row r="8295" ht="15" customHeight="1">
      <c r="A8295" t="inlineStr">
        <is>
          <t>A 55835-2022</t>
        </is>
      </c>
      <c r="B8295" s="1" t="n">
        <v>44888</v>
      </c>
      <c r="C8295" s="1" t="n">
        <v>45810</v>
      </c>
      <c r="D8295" t="inlineStr">
        <is>
          <t>VÄRMLANDS LÄN</t>
        </is>
      </c>
      <c r="E8295" t="inlineStr">
        <is>
          <t>FILIPSTAD</t>
        </is>
      </c>
      <c r="F8295" t="inlineStr">
        <is>
          <t>Bergvik skog väst AB</t>
        </is>
      </c>
      <c r="G8295" t="n">
        <v>15.6</v>
      </c>
      <c r="H8295" t="n">
        <v>0</v>
      </c>
      <c r="I8295" t="n">
        <v>0</v>
      </c>
      <c r="J8295" t="n">
        <v>0</v>
      </c>
      <c r="K8295" t="n">
        <v>0</v>
      </c>
      <c r="L8295" t="n">
        <v>0</v>
      </c>
      <c r="M8295" t="n">
        <v>0</v>
      </c>
      <c r="N8295" t="n">
        <v>0</v>
      </c>
      <c r="O8295" t="n">
        <v>0</v>
      </c>
      <c r="P8295" t="n">
        <v>0</v>
      </c>
      <c r="Q8295" t="n">
        <v>0</v>
      </c>
      <c r="R8295" s="2" t="inlineStr"/>
    </row>
    <row r="8296" ht="15" customHeight="1">
      <c r="A8296" t="inlineStr">
        <is>
          <t>A 55819-2022</t>
        </is>
      </c>
      <c r="B8296" s="1" t="n">
        <v>44888</v>
      </c>
      <c r="C8296" s="1" t="n">
        <v>45810</v>
      </c>
      <c r="D8296" t="inlineStr">
        <is>
          <t>VÄRMLANDS LÄN</t>
        </is>
      </c>
      <c r="E8296" t="inlineStr">
        <is>
          <t>KARLSTAD</t>
        </is>
      </c>
      <c r="G8296" t="n">
        <v>0.9</v>
      </c>
      <c r="H8296" t="n">
        <v>0</v>
      </c>
      <c r="I8296" t="n">
        <v>0</v>
      </c>
      <c r="J8296" t="n">
        <v>0</v>
      </c>
      <c r="K8296" t="n">
        <v>0</v>
      </c>
      <c r="L8296" t="n">
        <v>0</v>
      </c>
      <c r="M8296" t="n">
        <v>0</v>
      </c>
      <c r="N8296" t="n">
        <v>0</v>
      </c>
      <c r="O8296" t="n">
        <v>0</v>
      </c>
      <c r="P8296" t="n">
        <v>0</v>
      </c>
      <c r="Q8296" t="n">
        <v>0</v>
      </c>
      <c r="R8296" s="2" t="inlineStr"/>
    </row>
    <row r="8297" ht="15" customHeight="1">
      <c r="A8297" t="inlineStr">
        <is>
          <t>A 56697-2022</t>
        </is>
      </c>
      <c r="B8297" s="1" t="n">
        <v>44888</v>
      </c>
      <c r="C8297" s="1" t="n">
        <v>45810</v>
      </c>
      <c r="D8297" t="inlineStr">
        <is>
          <t>VÄRMLANDS LÄN</t>
        </is>
      </c>
      <c r="E8297" t="inlineStr">
        <is>
          <t>KRISTINEHAMN</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55978-2022</t>
        </is>
      </c>
      <c r="B8298" s="1" t="n">
        <v>44889</v>
      </c>
      <c r="C8298" s="1" t="n">
        <v>45810</v>
      </c>
      <c r="D8298" t="inlineStr">
        <is>
          <t>VÄRMLANDS LÄN</t>
        </is>
      </c>
      <c r="E8298" t="inlineStr">
        <is>
          <t>FILIPSTAD</t>
        </is>
      </c>
      <c r="F8298" t="inlineStr">
        <is>
          <t>Bergvik skog väst AB</t>
        </is>
      </c>
      <c r="G8298" t="n">
        <v>2</v>
      </c>
      <c r="H8298" t="n">
        <v>0</v>
      </c>
      <c r="I8298" t="n">
        <v>0</v>
      </c>
      <c r="J8298" t="n">
        <v>0</v>
      </c>
      <c r="K8298" t="n">
        <v>0</v>
      </c>
      <c r="L8298" t="n">
        <v>0</v>
      </c>
      <c r="M8298" t="n">
        <v>0</v>
      </c>
      <c r="N8298" t="n">
        <v>0</v>
      </c>
      <c r="O8298" t="n">
        <v>0</v>
      </c>
      <c r="P8298" t="n">
        <v>0</v>
      </c>
      <c r="Q8298" t="n">
        <v>0</v>
      </c>
      <c r="R8298" s="2" t="inlineStr"/>
    </row>
    <row r="8299" ht="15" customHeight="1">
      <c r="A8299" t="inlineStr">
        <is>
          <t>A 56086-2022</t>
        </is>
      </c>
      <c r="B8299" s="1" t="n">
        <v>44889</v>
      </c>
      <c r="C8299" s="1" t="n">
        <v>45810</v>
      </c>
      <c r="D8299" t="inlineStr">
        <is>
          <t>VÄRMLANDS LÄN</t>
        </is>
      </c>
      <c r="E8299" t="inlineStr">
        <is>
          <t>ARVIKA</t>
        </is>
      </c>
      <c r="F8299" t="inlineStr">
        <is>
          <t>Bergvik skog väst AB</t>
        </is>
      </c>
      <c r="G8299" t="n">
        <v>2.6</v>
      </c>
      <c r="H8299" t="n">
        <v>0</v>
      </c>
      <c r="I8299" t="n">
        <v>0</v>
      </c>
      <c r="J8299" t="n">
        <v>0</v>
      </c>
      <c r="K8299" t="n">
        <v>0</v>
      </c>
      <c r="L8299" t="n">
        <v>0</v>
      </c>
      <c r="M8299" t="n">
        <v>0</v>
      </c>
      <c r="N8299" t="n">
        <v>0</v>
      </c>
      <c r="O8299" t="n">
        <v>0</v>
      </c>
      <c r="P8299" t="n">
        <v>0</v>
      </c>
      <c r="Q8299" t="n">
        <v>0</v>
      </c>
      <c r="R8299" s="2" t="inlineStr"/>
    </row>
    <row r="8300" ht="15" customHeight="1">
      <c r="A8300" t="inlineStr">
        <is>
          <t>A 55981-2022</t>
        </is>
      </c>
      <c r="B8300" s="1" t="n">
        <v>44889</v>
      </c>
      <c r="C8300" s="1" t="n">
        <v>45810</v>
      </c>
      <c r="D8300" t="inlineStr">
        <is>
          <t>VÄRMLANDS LÄN</t>
        </is>
      </c>
      <c r="E8300" t="inlineStr">
        <is>
          <t>TORSBY</t>
        </is>
      </c>
      <c r="G8300" t="n">
        <v>6.6</v>
      </c>
      <c r="H8300" t="n">
        <v>0</v>
      </c>
      <c r="I8300" t="n">
        <v>0</v>
      </c>
      <c r="J8300" t="n">
        <v>0</v>
      </c>
      <c r="K8300" t="n">
        <v>0</v>
      </c>
      <c r="L8300" t="n">
        <v>0</v>
      </c>
      <c r="M8300" t="n">
        <v>0</v>
      </c>
      <c r="N8300" t="n">
        <v>0</v>
      </c>
      <c r="O8300" t="n">
        <v>0</v>
      </c>
      <c r="P8300" t="n">
        <v>0</v>
      </c>
      <c r="Q8300" t="n">
        <v>0</v>
      </c>
      <c r="R8300" s="2" t="inlineStr"/>
    </row>
    <row r="8301" ht="15" customHeight="1">
      <c r="A8301" t="inlineStr">
        <is>
          <t>A 56124-2022</t>
        </is>
      </c>
      <c r="B8301" s="1" t="n">
        <v>44889</v>
      </c>
      <c r="C8301" s="1" t="n">
        <v>45810</v>
      </c>
      <c r="D8301" t="inlineStr">
        <is>
          <t>VÄRMLANDS LÄN</t>
        </is>
      </c>
      <c r="E8301" t="inlineStr">
        <is>
          <t>EDA</t>
        </is>
      </c>
      <c r="G8301" t="n">
        <v>0.6</v>
      </c>
      <c r="H8301" t="n">
        <v>0</v>
      </c>
      <c r="I8301" t="n">
        <v>0</v>
      </c>
      <c r="J8301" t="n">
        <v>0</v>
      </c>
      <c r="K8301" t="n">
        <v>0</v>
      </c>
      <c r="L8301" t="n">
        <v>0</v>
      </c>
      <c r="M8301" t="n">
        <v>0</v>
      </c>
      <c r="N8301" t="n">
        <v>0</v>
      </c>
      <c r="O8301" t="n">
        <v>0</v>
      </c>
      <c r="P8301" t="n">
        <v>0</v>
      </c>
      <c r="Q8301" t="n">
        <v>0</v>
      </c>
      <c r="R8301" s="2" t="inlineStr"/>
    </row>
    <row r="8302" ht="15" customHeight="1">
      <c r="A8302" t="inlineStr">
        <is>
          <t>A 56120-2022</t>
        </is>
      </c>
      <c r="B8302" s="1" t="n">
        <v>44889</v>
      </c>
      <c r="C8302" s="1" t="n">
        <v>45810</v>
      </c>
      <c r="D8302" t="inlineStr">
        <is>
          <t>VÄRMLANDS LÄN</t>
        </is>
      </c>
      <c r="E8302" t="inlineStr">
        <is>
          <t>EDA</t>
        </is>
      </c>
      <c r="G8302" t="n">
        <v>10.2</v>
      </c>
      <c r="H8302" t="n">
        <v>0</v>
      </c>
      <c r="I8302" t="n">
        <v>0</v>
      </c>
      <c r="J8302" t="n">
        <v>0</v>
      </c>
      <c r="K8302" t="n">
        <v>0</v>
      </c>
      <c r="L8302" t="n">
        <v>0</v>
      </c>
      <c r="M8302" t="n">
        <v>0</v>
      </c>
      <c r="N8302" t="n">
        <v>0</v>
      </c>
      <c r="O8302" t="n">
        <v>0</v>
      </c>
      <c r="P8302" t="n">
        <v>0</v>
      </c>
      <c r="Q8302" t="n">
        <v>0</v>
      </c>
      <c r="R8302" s="2" t="inlineStr"/>
    </row>
    <row r="8303" ht="15" customHeight="1">
      <c r="A8303" t="inlineStr">
        <is>
          <t>A 55914-2022</t>
        </is>
      </c>
      <c r="B8303" s="1" t="n">
        <v>44889</v>
      </c>
      <c r="C8303" s="1" t="n">
        <v>45810</v>
      </c>
      <c r="D8303" t="inlineStr">
        <is>
          <t>VÄRMLANDS LÄN</t>
        </is>
      </c>
      <c r="E8303" t="inlineStr">
        <is>
          <t>HAGFORS</t>
        </is>
      </c>
      <c r="F8303" t="inlineStr">
        <is>
          <t>Bergvik skog väst AB</t>
        </is>
      </c>
      <c r="G8303" t="n">
        <v>10.1</v>
      </c>
      <c r="H8303" t="n">
        <v>0</v>
      </c>
      <c r="I8303" t="n">
        <v>0</v>
      </c>
      <c r="J8303" t="n">
        <v>0</v>
      </c>
      <c r="K8303" t="n">
        <v>0</v>
      </c>
      <c r="L8303" t="n">
        <v>0</v>
      </c>
      <c r="M8303" t="n">
        <v>0</v>
      </c>
      <c r="N8303" t="n">
        <v>0</v>
      </c>
      <c r="O8303" t="n">
        <v>0</v>
      </c>
      <c r="P8303" t="n">
        <v>0</v>
      </c>
      <c r="Q8303" t="n">
        <v>0</v>
      </c>
      <c r="R8303" s="2" t="inlineStr"/>
    </row>
    <row r="8304" ht="15" customHeight="1">
      <c r="A8304" t="inlineStr">
        <is>
          <t>A 55939-2022</t>
        </is>
      </c>
      <c r="B8304" s="1" t="n">
        <v>44889</v>
      </c>
      <c r="C8304" s="1" t="n">
        <v>45810</v>
      </c>
      <c r="D8304" t="inlineStr">
        <is>
          <t>VÄRMLANDS LÄN</t>
        </is>
      </c>
      <c r="E8304" t="inlineStr">
        <is>
          <t>TORSBY</t>
        </is>
      </c>
      <c r="G8304" t="n">
        <v>3.7</v>
      </c>
      <c r="H8304" t="n">
        <v>0</v>
      </c>
      <c r="I8304" t="n">
        <v>0</v>
      </c>
      <c r="J8304" t="n">
        <v>0</v>
      </c>
      <c r="K8304" t="n">
        <v>0</v>
      </c>
      <c r="L8304" t="n">
        <v>0</v>
      </c>
      <c r="M8304" t="n">
        <v>0</v>
      </c>
      <c r="N8304" t="n">
        <v>0</v>
      </c>
      <c r="O8304" t="n">
        <v>0</v>
      </c>
      <c r="P8304" t="n">
        <v>0</v>
      </c>
      <c r="Q8304" t="n">
        <v>0</v>
      </c>
      <c r="R8304" s="2" t="inlineStr"/>
    </row>
    <row r="8305" ht="15" customHeight="1">
      <c r="A8305" t="inlineStr">
        <is>
          <t>A 55946-2022</t>
        </is>
      </c>
      <c r="B8305" s="1" t="n">
        <v>44889</v>
      </c>
      <c r="C8305" s="1" t="n">
        <v>45810</v>
      </c>
      <c r="D8305" t="inlineStr">
        <is>
          <t>VÄRMLANDS LÄN</t>
        </is>
      </c>
      <c r="E8305" t="inlineStr">
        <is>
          <t>FILIPSTAD</t>
        </is>
      </c>
      <c r="F8305" t="inlineStr">
        <is>
          <t>Bergvik skog väst AB</t>
        </is>
      </c>
      <c r="G8305" t="n">
        <v>10.2</v>
      </c>
      <c r="H8305" t="n">
        <v>0</v>
      </c>
      <c r="I8305" t="n">
        <v>0</v>
      </c>
      <c r="J8305" t="n">
        <v>0</v>
      </c>
      <c r="K8305" t="n">
        <v>0</v>
      </c>
      <c r="L8305" t="n">
        <v>0</v>
      </c>
      <c r="M8305" t="n">
        <v>0</v>
      </c>
      <c r="N8305" t="n">
        <v>0</v>
      </c>
      <c r="O8305" t="n">
        <v>0</v>
      </c>
      <c r="P8305" t="n">
        <v>0</v>
      </c>
      <c r="Q8305" t="n">
        <v>0</v>
      </c>
      <c r="R8305" s="2" t="inlineStr"/>
    </row>
    <row r="8306" ht="15" customHeight="1">
      <c r="A8306" t="inlineStr">
        <is>
          <t>A 55956-2022</t>
        </is>
      </c>
      <c r="B8306" s="1" t="n">
        <v>44889</v>
      </c>
      <c r="C8306" s="1" t="n">
        <v>45810</v>
      </c>
      <c r="D8306" t="inlineStr">
        <is>
          <t>VÄRMLANDS LÄN</t>
        </is>
      </c>
      <c r="E8306" t="inlineStr">
        <is>
          <t>EDA</t>
        </is>
      </c>
      <c r="G8306" t="n">
        <v>0.7</v>
      </c>
      <c r="H8306" t="n">
        <v>0</v>
      </c>
      <c r="I8306" t="n">
        <v>0</v>
      </c>
      <c r="J8306" t="n">
        <v>0</v>
      </c>
      <c r="K8306" t="n">
        <v>0</v>
      </c>
      <c r="L8306" t="n">
        <v>0</v>
      </c>
      <c r="M8306" t="n">
        <v>0</v>
      </c>
      <c r="N8306" t="n">
        <v>0</v>
      </c>
      <c r="O8306" t="n">
        <v>0</v>
      </c>
      <c r="P8306" t="n">
        <v>0</v>
      </c>
      <c r="Q8306" t="n">
        <v>0</v>
      </c>
      <c r="R8306" s="2" t="inlineStr"/>
    </row>
    <row r="8307" ht="15" customHeight="1">
      <c r="A8307" t="inlineStr">
        <is>
          <t>A 55960-2022</t>
        </is>
      </c>
      <c r="B8307" s="1" t="n">
        <v>44889</v>
      </c>
      <c r="C8307" s="1" t="n">
        <v>45810</v>
      </c>
      <c r="D8307" t="inlineStr">
        <is>
          <t>VÄRMLANDS LÄN</t>
        </is>
      </c>
      <c r="E8307" t="inlineStr">
        <is>
          <t>FILIPSTAD</t>
        </is>
      </c>
      <c r="F8307" t="inlineStr">
        <is>
          <t>Bergvik skog väst AB</t>
        </is>
      </c>
      <c r="G8307" t="n">
        <v>27</v>
      </c>
      <c r="H8307" t="n">
        <v>0</v>
      </c>
      <c r="I8307" t="n">
        <v>0</v>
      </c>
      <c r="J8307" t="n">
        <v>0</v>
      </c>
      <c r="K8307" t="n">
        <v>0</v>
      </c>
      <c r="L8307" t="n">
        <v>0</v>
      </c>
      <c r="M8307" t="n">
        <v>0</v>
      </c>
      <c r="N8307" t="n">
        <v>0</v>
      </c>
      <c r="O8307" t="n">
        <v>0</v>
      </c>
      <c r="P8307" t="n">
        <v>0</v>
      </c>
      <c r="Q8307" t="n">
        <v>0</v>
      </c>
      <c r="R8307" s="2" t="inlineStr"/>
    </row>
    <row r="8308" ht="15" customHeight="1">
      <c r="A8308" t="inlineStr">
        <is>
          <t>A 55947-2022</t>
        </is>
      </c>
      <c r="B8308" s="1" t="n">
        <v>44889</v>
      </c>
      <c r="C8308" s="1" t="n">
        <v>45810</v>
      </c>
      <c r="D8308" t="inlineStr">
        <is>
          <t>VÄRMLANDS LÄN</t>
        </is>
      </c>
      <c r="E8308" t="inlineStr">
        <is>
          <t>TORSBY</t>
        </is>
      </c>
      <c r="G8308" t="n">
        <v>7.1</v>
      </c>
      <c r="H8308" t="n">
        <v>0</v>
      </c>
      <c r="I8308" t="n">
        <v>0</v>
      </c>
      <c r="J8308" t="n">
        <v>0</v>
      </c>
      <c r="K8308" t="n">
        <v>0</v>
      </c>
      <c r="L8308" t="n">
        <v>0</v>
      </c>
      <c r="M8308" t="n">
        <v>0</v>
      </c>
      <c r="N8308" t="n">
        <v>0</v>
      </c>
      <c r="O8308" t="n">
        <v>0</v>
      </c>
      <c r="P8308" t="n">
        <v>0</v>
      </c>
      <c r="Q8308" t="n">
        <v>0</v>
      </c>
      <c r="R8308" s="2" t="inlineStr"/>
    </row>
    <row r="8309" ht="15" customHeight="1">
      <c r="A8309" t="inlineStr">
        <is>
          <t>A 56222-2022</t>
        </is>
      </c>
      <c r="B8309" s="1" t="n">
        <v>44890</v>
      </c>
      <c r="C8309" s="1" t="n">
        <v>45810</v>
      </c>
      <c r="D8309" t="inlineStr">
        <is>
          <t>VÄRMLANDS LÄN</t>
        </is>
      </c>
      <c r="E8309" t="inlineStr">
        <is>
          <t>FILIPSTAD</t>
        </is>
      </c>
      <c r="F8309" t="inlineStr">
        <is>
          <t>Bergvik skog väst AB</t>
        </is>
      </c>
      <c r="G8309" t="n">
        <v>5.6</v>
      </c>
      <c r="H8309" t="n">
        <v>0</v>
      </c>
      <c r="I8309" t="n">
        <v>0</v>
      </c>
      <c r="J8309" t="n">
        <v>0</v>
      </c>
      <c r="K8309" t="n">
        <v>0</v>
      </c>
      <c r="L8309" t="n">
        <v>0</v>
      </c>
      <c r="M8309" t="n">
        <v>0</v>
      </c>
      <c r="N8309" t="n">
        <v>0</v>
      </c>
      <c r="O8309" t="n">
        <v>0</v>
      </c>
      <c r="P8309" t="n">
        <v>0</v>
      </c>
      <c r="Q8309" t="n">
        <v>0</v>
      </c>
      <c r="R8309" s="2" t="inlineStr"/>
    </row>
    <row r="8310" ht="15" customHeight="1">
      <c r="A8310" t="inlineStr">
        <is>
          <t>A 56248-2022</t>
        </is>
      </c>
      <c r="B8310" s="1" t="n">
        <v>44890</v>
      </c>
      <c r="C8310" s="1" t="n">
        <v>45810</v>
      </c>
      <c r="D8310" t="inlineStr">
        <is>
          <t>VÄRMLANDS LÄN</t>
        </is>
      </c>
      <c r="E8310" t="inlineStr">
        <is>
          <t>HAGFORS</t>
        </is>
      </c>
      <c r="F8310" t="inlineStr">
        <is>
          <t>Bergvik skog väst AB</t>
        </is>
      </c>
      <c r="G8310" t="n">
        <v>8.5</v>
      </c>
      <c r="H8310" t="n">
        <v>0</v>
      </c>
      <c r="I8310" t="n">
        <v>0</v>
      </c>
      <c r="J8310" t="n">
        <v>0</v>
      </c>
      <c r="K8310" t="n">
        <v>0</v>
      </c>
      <c r="L8310" t="n">
        <v>0</v>
      </c>
      <c r="M8310" t="n">
        <v>0</v>
      </c>
      <c r="N8310" t="n">
        <v>0</v>
      </c>
      <c r="O8310" t="n">
        <v>0</v>
      </c>
      <c r="P8310" t="n">
        <v>0</v>
      </c>
      <c r="Q8310" t="n">
        <v>0</v>
      </c>
      <c r="R8310" s="2" t="inlineStr"/>
    </row>
    <row r="8311" ht="15" customHeight="1">
      <c r="A8311" t="inlineStr">
        <is>
          <t>A 56281-2022</t>
        </is>
      </c>
      <c r="B8311" s="1" t="n">
        <v>44890</v>
      </c>
      <c r="C8311" s="1" t="n">
        <v>45810</v>
      </c>
      <c r="D8311" t="inlineStr">
        <is>
          <t>VÄRMLANDS LÄN</t>
        </is>
      </c>
      <c r="E8311" t="inlineStr">
        <is>
          <t>TORSBY</t>
        </is>
      </c>
      <c r="G8311" t="n">
        <v>0.5</v>
      </c>
      <c r="H8311" t="n">
        <v>0</v>
      </c>
      <c r="I8311" t="n">
        <v>0</v>
      </c>
      <c r="J8311" t="n">
        <v>0</v>
      </c>
      <c r="K8311" t="n">
        <v>0</v>
      </c>
      <c r="L8311" t="n">
        <v>0</v>
      </c>
      <c r="M8311" t="n">
        <v>0</v>
      </c>
      <c r="N8311" t="n">
        <v>0</v>
      </c>
      <c r="O8311" t="n">
        <v>0</v>
      </c>
      <c r="P8311" t="n">
        <v>0</v>
      </c>
      <c r="Q8311" t="n">
        <v>0</v>
      </c>
      <c r="R8311" s="2" t="inlineStr"/>
    </row>
    <row r="8312" ht="15" customHeight="1">
      <c r="A8312" t="inlineStr">
        <is>
          <t>A 56334-2022</t>
        </is>
      </c>
      <c r="B8312" s="1" t="n">
        <v>44890</v>
      </c>
      <c r="C8312" s="1" t="n">
        <v>45810</v>
      </c>
      <c r="D8312" t="inlineStr">
        <is>
          <t>VÄRMLANDS LÄN</t>
        </is>
      </c>
      <c r="E8312" t="inlineStr">
        <is>
          <t>FILIPSTAD</t>
        </is>
      </c>
      <c r="F8312" t="inlineStr">
        <is>
          <t>Bergvik skog väst AB</t>
        </is>
      </c>
      <c r="G8312" t="n">
        <v>2.2</v>
      </c>
      <c r="H8312" t="n">
        <v>0</v>
      </c>
      <c r="I8312" t="n">
        <v>0</v>
      </c>
      <c r="J8312" t="n">
        <v>0</v>
      </c>
      <c r="K8312" t="n">
        <v>0</v>
      </c>
      <c r="L8312" t="n">
        <v>0</v>
      </c>
      <c r="M8312" t="n">
        <v>0</v>
      </c>
      <c r="N8312" t="n">
        <v>0</v>
      </c>
      <c r="O8312" t="n">
        <v>0</v>
      </c>
      <c r="P8312" t="n">
        <v>0</v>
      </c>
      <c r="Q8312" t="n">
        <v>0</v>
      </c>
      <c r="R8312" s="2" t="inlineStr"/>
    </row>
    <row r="8313" ht="15" customHeight="1">
      <c r="A8313" t="inlineStr">
        <is>
          <t>A 56302-2022</t>
        </is>
      </c>
      <c r="B8313" s="1" t="n">
        <v>44890</v>
      </c>
      <c r="C8313" s="1" t="n">
        <v>45810</v>
      </c>
      <c r="D8313" t="inlineStr">
        <is>
          <t>VÄRMLANDS LÄN</t>
        </is>
      </c>
      <c r="E8313" t="inlineStr">
        <is>
          <t>FORSHAGA</t>
        </is>
      </c>
      <c r="F8313" t="inlineStr">
        <is>
          <t>Bergvik skog väst AB</t>
        </is>
      </c>
      <c r="G8313" t="n">
        <v>3.1</v>
      </c>
      <c r="H8313" t="n">
        <v>0</v>
      </c>
      <c r="I8313" t="n">
        <v>0</v>
      </c>
      <c r="J8313" t="n">
        <v>0</v>
      </c>
      <c r="K8313" t="n">
        <v>0</v>
      </c>
      <c r="L8313" t="n">
        <v>0</v>
      </c>
      <c r="M8313" t="n">
        <v>0</v>
      </c>
      <c r="N8313" t="n">
        <v>0</v>
      </c>
      <c r="O8313" t="n">
        <v>0</v>
      </c>
      <c r="P8313" t="n">
        <v>0</v>
      </c>
      <c r="Q8313" t="n">
        <v>0</v>
      </c>
      <c r="R8313" s="2" t="inlineStr"/>
    </row>
    <row r="8314" ht="15" customHeight="1">
      <c r="A8314" t="inlineStr">
        <is>
          <t>A 56389-2022</t>
        </is>
      </c>
      <c r="B8314" s="1" t="n">
        <v>44890</v>
      </c>
      <c r="C8314" s="1" t="n">
        <v>45810</v>
      </c>
      <c r="D8314" t="inlineStr">
        <is>
          <t>VÄRMLANDS LÄN</t>
        </is>
      </c>
      <c r="E8314" t="inlineStr">
        <is>
          <t>KIL</t>
        </is>
      </c>
      <c r="G8314" t="n">
        <v>1.3</v>
      </c>
      <c r="H8314" t="n">
        <v>0</v>
      </c>
      <c r="I8314" t="n">
        <v>0</v>
      </c>
      <c r="J8314" t="n">
        <v>0</v>
      </c>
      <c r="K8314" t="n">
        <v>0</v>
      </c>
      <c r="L8314" t="n">
        <v>0</v>
      </c>
      <c r="M8314" t="n">
        <v>0</v>
      </c>
      <c r="N8314" t="n">
        <v>0</v>
      </c>
      <c r="O8314" t="n">
        <v>0</v>
      </c>
      <c r="P8314" t="n">
        <v>0</v>
      </c>
      <c r="Q8314" t="n">
        <v>0</v>
      </c>
      <c r="R8314" s="2" t="inlineStr"/>
    </row>
    <row r="8315" ht="15" customHeight="1">
      <c r="A8315" t="inlineStr">
        <is>
          <t>A 56386-2022</t>
        </is>
      </c>
      <c r="B8315" s="1" t="n">
        <v>44890</v>
      </c>
      <c r="C8315" s="1" t="n">
        <v>45810</v>
      </c>
      <c r="D8315" t="inlineStr">
        <is>
          <t>VÄRMLANDS LÄN</t>
        </is>
      </c>
      <c r="E8315" t="inlineStr">
        <is>
          <t>GRUMS</t>
        </is>
      </c>
      <c r="G8315" t="n">
        <v>4.2</v>
      </c>
      <c r="H8315" t="n">
        <v>0</v>
      </c>
      <c r="I8315" t="n">
        <v>0</v>
      </c>
      <c r="J8315" t="n">
        <v>0</v>
      </c>
      <c r="K8315" t="n">
        <v>0</v>
      </c>
      <c r="L8315" t="n">
        <v>0</v>
      </c>
      <c r="M8315" t="n">
        <v>0</v>
      </c>
      <c r="N8315" t="n">
        <v>0</v>
      </c>
      <c r="O8315" t="n">
        <v>0</v>
      </c>
      <c r="P8315" t="n">
        <v>0</v>
      </c>
      <c r="Q8315" t="n">
        <v>0</v>
      </c>
      <c r="R8315" s="2" t="inlineStr"/>
    </row>
    <row r="8316" ht="15" customHeight="1">
      <c r="A8316" t="inlineStr">
        <is>
          <t>A 57627-2022</t>
        </is>
      </c>
      <c r="B8316" s="1" t="n">
        <v>44890</v>
      </c>
      <c r="C8316" s="1" t="n">
        <v>45810</v>
      </c>
      <c r="D8316" t="inlineStr">
        <is>
          <t>VÄRMLANDS LÄN</t>
        </is>
      </c>
      <c r="E8316" t="inlineStr">
        <is>
          <t>ARVIKA</t>
        </is>
      </c>
      <c r="G8316" t="n">
        <v>3.6</v>
      </c>
      <c r="H8316" t="n">
        <v>0</v>
      </c>
      <c r="I8316" t="n">
        <v>0</v>
      </c>
      <c r="J8316" t="n">
        <v>0</v>
      </c>
      <c r="K8316" t="n">
        <v>0</v>
      </c>
      <c r="L8316" t="n">
        <v>0</v>
      </c>
      <c r="M8316" t="n">
        <v>0</v>
      </c>
      <c r="N8316" t="n">
        <v>0</v>
      </c>
      <c r="O8316" t="n">
        <v>0</v>
      </c>
      <c r="P8316" t="n">
        <v>0</v>
      </c>
      <c r="Q8316" t="n">
        <v>0</v>
      </c>
      <c r="R8316" s="2" t="inlineStr"/>
    </row>
    <row r="8317" ht="15" customHeight="1">
      <c r="A8317" t="inlineStr">
        <is>
          <t>A 57677-2022</t>
        </is>
      </c>
      <c r="B8317" s="1" t="n">
        <v>44890</v>
      </c>
      <c r="C8317" s="1" t="n">
        <v>45810</v>
      </c>
      <c r="D8317" t="inlineStr">
        <is>
          <t>VÄRMLANDS LÄN</t>
        </is>
      </c>
      <c r="E8317" t="inlineStr">
        <is>
          <t>ARVIKA</t>
        </is>
      </c>
      <c r="G8317" t="n">
        <v>2.3</v>
      </c>
      <c r="H8317" t="n">
        <v>0</v>
      </c>
      <c r="I8317" t="n">
        <v>0</v>
      </c>
      <c r="J8317" t="n">
        <v>0</v>
      </c>
      <c r="K8317" t="n">
        <v>0</v>
      </c>
      <c r="L8317" t="n">
        <v>0</v>
      </c>
      <c r="M8317" t="n">
        <v>0</v>
      </c>
      <c r="N8317" t="n">
        <v>0</v>
      </c>
      <c r="O8317" t="n">
        <v>0</v>
      </c>
      <c r="P8317" t="n">
        <v>0</v>
      </c>
      <c r="Q8317" t="n">
        <v>0</v>
      </c>
      <c r="R8317" s="2" t="inlineStr"/>
    </row>
    <row r="8318" ht="15" customHeight="1">
      <c r="A8318" t="inlineStr">
        <is>
          <t>A 56361-2022</t>
        </is>
      </c>
      <c r="B8318" s="1" t="n">
        <v>44890</v>
      </c>
      <c r="C8318" s="1" t="n">
        <v>45810</v>
      </c>
      <c r="D8318" t="inlineStr">
        <is>
          <t>VÄRMLANDS LÄN</t>
        </is>
      </c>
      <c r="E8318" t="inlineStr">
        <is>
          <t>TORSBY</t>
        </is>
      </c>
      <c r="F8318" t="inlineStr">
        <is>
          <t>Bergvik skog väst AB</t>
        </is>
      </c>
      <c r="G8318" t="n">
        <v>8.199999999999999</v>
      </c>
      <c r="H8318" t="n">
        <v>0</v>
      </c>
      <c r="I8318" t="n">
        <v>0</v>
      </c>
      <c r="J8318" t="n">
        <v>0</v>
      </c>
      <c r="K8318" t="n">
        <v>0</v>
      </c>
      <c r="L8318" t="n">
        <v>0</v>
      </c>
      <c r="M8318" t="n">
        <v>0</v>
      </c>
      <c r="N8318" t="n">
        <v>0</v>
      </c>
      <c r="O8318" t="n">
        <v>0</v>
      </c>
      <c r="P8318" t="n">
        <v>0</v>
      </c>
      <c r="Q8318" t="n">
        <v>0</v>
      </c>
      <c r="R8318" s="2" t="inlineStr"/>
    </row>
    <row r="8319" ht="15" customHeight="1">
      <c r="A8319" t="inlineStr">
        <is>
          <t>A 57631-2022</t>
        </is>
      </c>
      <c r="B8319" s="1" t="n">
        <v>44890</v>
      </c>
      <c r="C8319" s="1" t="n">
        <v>45810</v>
      </c>
      <c r="D8319" t="inlineStr">
        <is>
          <t>VÄRMLANDS LÄN</t>
        </is>
      </c>
      <c r="E8319" t="inlineStr">
        <is>
          <t>ARVIKA</t>
        </is>
      </c>
      <c r="G8319" t="n">
        <v>3</v>
      </c>
      <c r="H8319" t="n">
        <v>0</v>
      </c>
      <c r="I8319" t="n">
        <v>0</v>
      </c>
      <c r="J8319" t="n">
        <v>0</v>
      </c>
      <c r="K8319" t="n">
        <v>0</v>
      </c>
      <c r="L8319" t="n">
        <v>0</v>
      </c>
      <c r="M8319" t="n">
        <v>0</v>
      </c>
      <c r="N8319" t="n">
        <v>0</v>
      </c>
      <c r="O8319" t="n">
        <v>0</v>
      </c>
      <c r="P8319" t="n">
        <v>0</v>
      </c>
      <c r="Q8319" t="n">
        <v>0</v>
      </c>
      <c r="R8319" s="2" t="inlineStr"/>
    </row>
    <row r="8320" ht="15" customHeight="1">
      <c r="A8320" t="inlineStr">
        <is>
          <t>A 57632-2022</t>
        </is>
      </c>
      <c r="B8320" s="1" t="n">
        <v>44890</v>
      </c>
      <c r="C8320" s="1" t="n">
        <v>45810</v>
      </c>
      <c r="D8320" t="inlineStr">
        <is>
          <t>VÄRMLANDS LÄN</t>
        </is>
      </c>
      <c r="E8320" t="inlineStr">
        <is>
          <t>HAGFORS</t>
        </is>
      </c>
      <c r="G8320" t="n">
        <v>2.5</v>
      </c>
      <c r="H8320" t="n">
        <v>0</v>
      </c>
      <c r="I8320" t="n">
        <v>0</v>
      </c>
      <c r="J8320" t="n">
        <v>0</v>
      </c>
      <c r="K8320" t="n">
        <v>0</v>
      </c>
      <c r="L8320" t="n">
        <v>0</v>
      </c>
      <c r="M8320" t="n">
        <v>0</v>
      </c>
      <c r="N8320" t="n">
        <v>0</v>
      </c>
      <c r="O8320" t="n">
        <v>0</v>
      </c>
      <c r="P8320" t="n">
        <v>0</v>
      </c>
      <c r="Q8320" t="n">
        <v>0</v>
      </c>
      <c r="R8320" s="2" t="inlineStr"/>
    </row>
    <row r="8321" ht="15" customHeight="1">
      <c r="A8321" t="inlineStr">
        <is>
          <t>A 56432-2022</t>
        </is>
      </c>
      <c r="B8321" s="1" t="n">
        <v>44891</v>
      </c>
      <c r="C8321" s="1" t="n">
        <v>45810</v>
      </c>
      <c r="D8321" t="inlineStr">
        <is>
          <t>VÄRMLANDS LÄN</t>
        </is>
      </c>
      <c r="E8321" t="inlineStr">
        <is>
          <t>TORSBY</t>
        </is>
      </c>
      <c r="F8321" t="inlineStr">
        <is>
          <t>Bergvik skog väst AB</t>
        </is>
      </c>
      <c r="G8321" t="n">
        <v>37.4</v>
      </c>
      <c r="H8321" t="n">
        <v>0</v>
      </c>
      <c r="I8321" t="n">
        <v>0</v>
      </c>
      <c r="J8321" t="n">
        <v>0</v>
      </c>
      <c r="K8321" t="n">
        <v>0</v>
      </c>
      <c r="L8321" t="n">
        <v>0</v>
      </c>
      <c r="M8321" t="n">
        <v>0</v>
      </c>
      <c r="N8321" t="n">
        <v>0</v>
      </c>
      <c r="O8321" t="n">
        <v>0</v>
      </c>
      <c r="P8321" t="n">
        <v>0</v>
      </c>
      <c r="Q8321" t="n">
        <v>0</v>
      </c>
      <c r="R8321" s="2" t="inlineStr"/>
    </row>
    <row r="8322" ht="15" customHeight="1">
      <c r="A8322" t="inlineStr">
        <is>
          <t>A 56434-2022</t>
        </is>
      </c>
      <c r="B8322" s="1" t="n">
        <v>44891</v>
      </c>
      <c r="C8322" s="1" t="n">
        <v>45810</v>
      </c>
      <c r="D8322" t="inlineStr">
        <is>
          <t>VÄRMLANDS LÄN</t>
        </is>
      </c>
      <c r="E8322" t="inlineStr">
        <is>
          <t>TORSBY</t>
        </is>
      </c>
      <c r="G8322" t="n">
        <v>5.2</v>
      </c>
      <c r="H8322" t="n">
        <v>0</v>
      </c>
      <c r="I8322" t="n">
        <v>0</v>
      </c>
      <c r="J8322" t="n">
        <v>0</v>
      </c>
      <c r="K8322" t="n">
        <v>0</v>
      </c>
      <c r="L8322" t="n">
        <v>0</v>
      </c>
      <c r="M8322" t="n">
        <v>0</v>
      </c>
      <c r="N8322" t="n">
        <v>0</v>
      </c>
      <c r="O8322" t="n">
        <v>0</v>
      </c>
      <c r="P8322" t="n">
        <v>0</v>
      </c>
      <c r="Q8322" t="n">
        <v>0</v>
      </c>
      <c r="R8322" s="2" t="inlineStr"/>
    </row>
    <row r="8323" ht="15" customHeight="1">
      <c r="A8323" t="inlineStr">
        <is>
          <t>A 56433-2022</t>
        </is>
      </c>
      <c r="B8323" s="1" t="n">
        <v>44891</v>
      </c>
      <c r="C8323" s="1" t="n">
        <v>45810</v>
      </c>
      <c r="D8323" t="inlineStr">
        <is>
          <t>VÄRMLANDS LÄN</t>
        </is>
      </c>
      <c r="E8323" t="inlineStr">
        <is>
          <t>SUNNE</t>
        </is>
      </c>
      <c r="G8323" t="n">
        <v>1.6</v>
      </c>
      <c r="H8323" t="n">
        <v>0</v>
      </c>
      <c r="I8323" t="n">
        <v>0</v>
      </c>
      <c r="J8323" t="n">
        <v>0</v>
      </c>
      <c r="K8323" t="n">
        <v>0</v>
      </c>
      <c r="L8323" t="n">
        <v>0</v>
      </c>
      <c r="M8323" t="n">
        <v>0</v>
      </c>
      <c r="N8323" t="n">
        <v>0</v>
      </c>
      <c r="O8323" t="n">
        <v>0</v>
      </c>
      <c r="P8323" t="n">
        <v>0</v>
      </c>
      <c r="Q8323" t="n">
        <v>0</v>
      </c>
      <c r="R8323" s="2" t="inlineStr"/>
    </row>
    <row r="8324" ht="15" customHeight="1">
      <c r="A8324" t="inlineStr">
        <is>
          <t>A 56520-2022</t>
        </is>
      </c>
      <c r="B8324" s="1" t="n">
        <v>44893</v>
      </c>
      <c r="C8324" s="1" t="n">
        <v>45810</v>
      </c>
      <c r="D8324" t="inlineStr">
        <is>
          <t>VÄRMLANDS LÄN</t>
        </is>
      </c>
      <c r="E8324" t="inlineStr">
        <is>
          <t>STORFORS</t>
        </is>
      </c>
      <c r="F8324" t="inlineStr">
        <is>
          <t>Naturvårdsverket</t>
        </is>
      </c>
      <c r="G8324" t="n">
        <v>2.6</v>
      </c>
      <c r="H8324" t="n">
        <v>0</v>
      </c>
      <c r="I8324" t="n">
        <v>0</v>
      </c>
      <c r="J8324" t="n">
        <v>0</v>
      </c>
      <c r="K8324" t="n">
        <v>0</v>
      </c>
      <c r="L8324" t="n">
        <v>0</v>
      </c>
      <c r="M8324" t="n">
        <v>0</v>
      </c>
      <c r="N8324" t="n">
        <v>0</v>
      </c>
      <c r="O8324" t="n">
        <v>0</v>
      </c>
      <c r="P8324" t="n">
        <v>0</v>
      </c>
      <c r="Q8324" t="n">
        <v>0</v>
      </c>
      <c r="R8324" s="2" t="inlineStr"/>
    </row>
    <row r="8325" ht="15" customHeight="1">
      <c r="A8325" t="inlineStr">
        <is>
          <t>A 56643-2022</t>
        </is>
      </c>
      <c r="B8325" s="1" t="n">
        <v>44893</v>
      </c>
      <c r="C8325" s="1" t="n">
        <v>45810</v>
      </c>
      <c r="D8325" t="inlineStr">
        <is>
          <t>VÄRMLANDS LÄN</t>
        </is>
      </c>
      <c r="E8325" t="inlineStr">
        <is>
          <t>KARLSTAD</t>
        </is>
      </c>
      <c r="G8325" t="n">
        <v>3.8</v>
      </c>
      <c r="H8325" t="n">
        <v>0</v>
      </c>
      <c r="I8325" t="n">
        <v>0</v>
      </c>
      <c r="J8325" t="n">
        <v>0</v>
      </c>
      <c r="K8325" t="n">
        <v>0</v>
      </c>
      <c r="L8325" t="n">
        <v>0</v>
      </c>
      <c r="M8325" t="n">
        <v>0</v>
      </c>
      <c r="N8325" t="n">
        <v>0</v>
      </c>
      <c r="O8325" t="n">
        <v>0</v>
      </c>
      <c r="P8325" t="n">
        <v>0</v>
      </c>
      <c r="Q8325" t="n">
        <v>0</v>
      </c>
      <c r="R8325" s="2" t="inlineStr"/>
    </row>
    <row r="8326" ht="15" customHeight="1">
      <c r="A8326" t="inlineStr">
        <is>
          <t>A 56652-2022</t>
        </is>
      </c>
      <c r="B8326" s="1" t="n">
        <v>44893</v>
      </c>
      <c r="C8326" s="1" t="n">
        <v>45810</v>
      </c>
      <c r="D8326" t="inlineStr">
        <is>
          <t>VÄRMLANDS LÄN</t>
        </is>
      </c>
      <c r="E8326" t="inlineStr">
        <is>
          <t>SUNNE</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56473-2022</t>
        </is>
      </c>
      <c r="B8327" s="1" t="n">
        <v>44893</v>
      </c>
      <c r="C8327" s="1" t="n">
        <v>45810</v>
      </c>
      <c r="D8327" t="inlineStr">
        <is>
          <t>VÄRMLANDS LÄN</t>
        </is>
      </c>
      <c r="E8327" t="inlineStr">
        <is>
          <t>TORSBY</t>
        </is>
      </c>
      <c r="G8327" t="n">
        <v>5.4</v>
      </c>
      <c r="H8327" t="n">
        <v>0</v>
      </c>
      <c r="I8327" t="n">
        <v>0</v>
      </c>
      <c r="J8327" t="n">
        <v>0</v>
      </c>
      <c r="K8327" t="n">
        <v>0</v>
      </c>
      <c r="L8327" t="n">
        <v>0</v>
      </c>
      <c r="M8327" t="n">
        <v>0</v>
      </c>
      <c r="N8327" t="n">
        <v>0</v>
      </c>
      <c r="O8327" t="n">
        <v>0</v>
      </c>
      <c r="P8327" t="n">
        <v>0</v>
      </c>
      <c r="Q8327" t="n">
        <v>0</v>
      </c>
      <c r="R8327" s="2" t="inlineStr"/>
    </row>
    <row r="8328" ht="15" customHeight="1">
      <c r="A8328" t="inlineStr">
        <is>
          <t>A 56566-2022</t>
        </is>
      </c>
      <c r="B8328" s="1" t="n">
        <v>44893</v>
      </c>
      <c r="C8328" s="1" t="n">
        <v>45810</v>
      </c>
      <c r="D8328" t="inlineStr">
        <is>
          <t>VÄRMLANDS LÄN</t>
        </is>
      </c>
      <c r="E8328" t="inlineStr">
        <is>
          <t>ÅRJÄNG</t>
        </is>
      </c>
      <c r="G8328" t="n">
        <v>2.2</v>
      </c>
      <c r="H8328" t="n">
        <v>0</v>
      </c>
      <c r="I8328" t="n">
        <v>0</v>
      </c>
      <c r="J8328" t="n">
        <v>0</v>
      </c>
      <c r="K8328" t="n">
        <v>0</v>
      </c>
      <c r="L8328" t="n">
        <v>0</v>
      </c>
      <c r="M8328" t="n">
        <v>0</v>
      </c>
      <c r="N8328" t="n">
        <v>0</v>
      </c>
      <c r="O8328" t="n">
        <v>0</v>
      </c>
      <c r="P8328" t="n">
        <v>0</v>
      </c>
      <c r="Q8328" t="n">
        <v>0</v>
      </c>
      <c r="R8328" s="2" t="inlineStr"/>
    </row>
    <row r="8329" ht="15" customHeight="1">
      <c r="A8329" t="inlineStr">
        <is>
          <t>A 56649-2022</t>
        </is>
      </c>
      <c r="B8329" s="1" t="n">
        <v>44893</v>
      </c>
      <c r="C8329" s="1" t="n">
        <v>45810</v>
      </c>
      <c r="D8329" t="inlineStr">
        <is>
          <t>VÄRMLANDS LÄN</t>
        </is>
      </c>
      <c r="E8329" t="inlineStr">
        <is>
          <t>SUNNE</t>
        </is>
      </c>
      <c r="G8329" t="n">
        <v>1</v>
      </c>
      <c r="H8329" t="n">
        <v>0</v>
      </c>
      <c r="I8329" t="n">
        <v>0</v>
      </c>
      <c r="J8329" t="n">
        <v>0</v>
      </c>
      <c r="K8329" t="n">
        <v>0</v>
      </c>
      <c r="L8329" t="n">
        <v>0</v>
      </c>
      <c r="M8329" t="n">
        <v>0</v>
      </c>
      <c r="N8329" t="n">
        <v>0</v>
      </c>
      <c r="O8329" t="n">
        <v>0</v>
      </c>
      <c r="P8329" t="n">
        <v>0</v>
      </c>
      <c r="Q8329" t="n">
        <v>0</v>
      </c>
      <c r="R8329" s="2" t="inlineStr"/>
    </row>
    <row r="8330" ht="15" customHeight="1">
      <c r="A8330" t="inlineStr">
        <is>
          <t>A 56594-2022</t>
        </is>
      </c>
      <c r="B8330" s="1" t="n">
        <v>44893</v>
      </c>
      <c r="C8330" s="1" t="n">
        <v>45810</v>
      </c>
      <c r="D8330" t="inlineStr">
        <is>
          <t>VÄRMLANDS LÄN</t>
        </is>
      </c>
      <c r="E8330" t="inlineStr">
        <is>
          <t>FILIPSTAD</t>
        </is>
      </c>
      <c r="F8330" t="inlineStr">
        <is>
          <t>Bergvik skog väst AB</t>
        </is>
      </c>
      <c r="G8330" t="n">
        <v>14.1</v>
      </c>
      <c r="H8330" t="n">
        <v>0</v>
      </c>
      <c r="I8330" t="n">
        <v>0</v>
      </c>
      <c r="J8330" t="n">
        <v>0</v>
      </c>
      <c r="K8330" t="n">
        <v>0</v>
      </c>
      <c r="L8330" t="n">
        <v>0</v>
      </c>
      <c r="M8330" t="n">
        <v>0</v>
      </c>
      <c r="N8330" t="n">
        <v>0</v>
      </c>
      <c r="O8330" t="n">
        <v>0</v>
      </c>
      <c r="P8330" t="n">
        <v>0</v>
      </c>
      <c r="Q8330" t="n">
        <v>0</v>
      </c>
      <c r="R8330" s="2" t="inlineStr"/>
    </row>
    <row r="8331" ht="15" customHeight="1">
      <c r="A8331" t="inlineStr">
        <is>
          <t>A 56693-2022</t>
        </is>
      </c>
      <c r="B8331" s="1" t="n">
        <v>44893</v>
      </c>
      <c r="C8331" s="1" t="n">
        <v>45810</v>
      </c>
      <c r="D8331" t="inlineStr">
        <is>
          <t>VÄRMLANDS LÄN</t>
        </is>
      </c>
      <c r="E8331" t="inlineStr">
        <is>
          <t>FILIPSTAD</t>
        </is>
      </c>
      <c r="F8331" t="inlineStr">
        <is>
          <t>Bergvik skog väst AB</t>
        </is>
      </c>
      <c r="G8331" t="n">
        <v>40.1</v>
      </c>
      <c r="H8331" t="n">
        <v>0</v>
      </c>
      <c r="I8331" t="n">
        <v>0</v>
      </c>
      <c r="J8331" t="n">
        <v>0</v>
      </c>
      <c r="K8331" t="n">
        <v>0</v>
      </c>
      <c r="L8331" t="n">
        <v>0</v>
      </c>
      <c r="M8331" t="n">
        <v>0</v>
      </c>
      <c r="N8331" t="n">
        <v>0</v>
      </c>
      <c r="O8331" t="n">
        <v>0</v>
      </c>
      <c r="P8331" t="n">
        <v>0</v>
      </c>
      <c r="Q8331" t="n">
        <v>0</v>
      </c>
      <c r="R8331" s="2" t="inlineStr"/>
    </row>
    <row r="8332" ht="15" customHeight="1">
      <c r="A8332" t="inlineStr">
        <is>
          <t>A 56515-2022</t>
        </is>
      </c>
      <c r="B8332" s="1" t="n">
        <v>44893</v>
      </c>
      <c r="C8332" s="1" t="n">
        <v>45810</v>
      </c>
      <c r="D8332" t="inlineStr">
        <is>
          <t>VÄRMLANDS LÄN</t>
        </is>
      </c>
      <c r="E8332" t="inlineStr">
        <is>
          <t>EDA</t>
        </is>
      </c>
      <c r="F8332" t="inlineStr">
        <is>
          <t>Övriga Aktiebolag</t>
        </is>
      </c>
      <c r="G8332" t="n">
        <v>0.9</v>
      </c>
      <c r="H8332" t="n">
        <v>0</v>
      </c>
      <c r="I8332" t="n">
        <v>0</v>
      </c>
      <c r="J8332" t="n">
        <v>0</v>
      </c>
      <c r="K8332" t="n">
        <v>0</v>
      </c>
      <c r="L8332" t="n">
        <v>0</v>
      </c>
      <c r="M8332" t="n">
        <v>0</v>
      </c>
      <c r="N8332" t="n">
        <v>0</v>
      </c>
      <c r="O8332" t="n">
        <v>0</v>
      </c>
      <c r="P8332" t="n">
        <v>0</v>
      </c>
      <c r="Q8332" t="n">
        <v>0</v>
      </c>
      <c r="R8332" s="2" t="inlineStr"/>
    </row>
    <row r="8333" ht="15" customHeight="1">
      <c r="A8333" t="inlineStr">
        <is>
          <t>A 56710-2022</t>
        </is>
      </c>
      <c r="B8333" s="1" t="n">
        <v>44893</v>
      </c>
      <c r="C8333" s="1" t="n">
        <v>45810</v>
      </c>
      <c r="D8333" t="inlineStr">
        <is>
          <t>VÄRMLANDS LÄN</t>
        </is>
      </c>
      <c r="E8333" t="inlineStr">
        <is>
          <t>ARVIKA</t>
        </is>
      </c>
      <c r="G8333" t="n">
        <v>3.2</v>
      </c>
      <c r="H8333" t="n">
        <v>0</v>
      </c>
      <c r="I8333" t="n">
        <v>0</v>
      </c>
      <c r="J8333" t="n">
        <v>0</v>
      </c>
      <c r="K8333" t="n">
        <v>0</v>
      </c>
      <c r="L8333" t="n">
        <v>0</v>
      </c>
      <c r="M8333" t="n">
        <v>0</v>
      </c>
      <c r="N8333" t="n">
        <v>0</v>
      </c>
      <c r="O8333" t="n">
        <v>0</v>
      </c>
      <c r="P8333" t="n">
        <v>0</v>
      </c>
      <c r="Q8333" t="n">
        <v>0</v>
      </c>
      <c r="R8333" s="2" t="inlineStr"/>
    </row>
    <row r="8334" ht="15" customHeight="1">
      <c r="A8334" t="inlineStr">
        <is>
          <t>A 56714-2022</t>
        </is>
      </c>
      <c r="B8334" s="1" t="n">
        <v>44893</v>
      </c>
      <c r="C8334" s="1" t="n">
        <v>45810</v>
      </c>
      <c r="D8334" t="inlineStr">
        <is>
          <t>VÄRMLANDS LÄN</t>
        </is>
      </c>
      <c r="E8334" t="inlineStr">
        <is>
          <t>ARVIKA</t>
        </is>
      </c>
      <c r="G8334" t="n">
        <v>4.1</v>
      </c>
      <c r="H8334" t="n">
        <v>0</v>
      </c>
      <c r="I8334" t="n">
        <v>0</v>
      </c>
      <c r="J8334" t="n">
        <v>0</v>
      </c>
      <c r="K8334" t="n">
        <v>0</v>
      </c>
      <c r="L8334" t="n">
        <v>0</v>
      </c>
      <c r="M8334" t="n">
        <v>0</v>
      </c>
      <c r="N8334" t="n">
        <v>0</v>
      </c>
      <c r="O8334" t="n">
        <v>0</v>
      </c>
      <c r="P8334" t="n">
        <v>0</v>
      </c>
      <c r="Q8334" t="n">
        <v>0</v>
      </c>
      <c r="R8334" s="2" t="inlineStr"/>
    </row>
    <row r="8335" ht="15" customHeight="1">
      <c r="A8335" t="inlineStr">
        <is>
          <t>A 56713-2022</t>
        </is>
      </c>
      <c r="B8335" s="1" t="n">
        <v>44893</v>
      </c>
      <c r="C8335" s="1" t="n">
        <v>45810</v>
      </c>
      <c r="D8335" t="inlineStr">
        <is>
          <t>VÄRMLANDS LÄN</t>
        </is>
      </c>
      <c r="E8335" t="inlineStr">
        <is>
          <t>ARVIKA</t>
        </is>
      </c>
      <c r="G8335" t="n">
        <v>4.9</v>
      </c>
      <c r="H8335" t="n">
        <v>0</v>
      </c>
      <c r="I8335" t="n">
        <v>0</v>
      </c>
      <c r="J8335" t="n">
        <v>0</v>
      </c>
      <c r="K8335" t="n">
        <v>0</v>
      </c>
      <c r="L8335" t="n">
        <v>0</v>
      </c>
      <c r="M8335" t="n">
        <v>0</v>
      </c>
      <c r="N8335" t="n">
        <v>0</v>
      </c>
      <c r="O8335" t="n">
        <v>0</v>
      </c>
      <c r="P8335" t="n">
        <v>0</v>
      </c>
      <c r="Q8335" t="n">
        <v>0</v>
      </c>
      <c r="R8335" s="2" t="inlineStr"/>
    </row>
    <row r="8336" ht="15" customHeight="1">
      <c r="A8336" t="inlineStr">
        <is>
          <t>A 56598-2022</t>
        </is>
      </c>
      <c r="B8336" s="1" t="n">
        <v>44893</v>
      </c>
      <c r="C8336" s="1" t="n">
        <v>45810</v>
      </c>
      <c r="D8336" t="inlineStr">
        <is>
          <t>VÄRMLANDS LÄN</t>
        </is>
      </c>
      <c r="E8336" t="inlineStr">
        <is>
          <t>EDA</t>
        </is>
      </c>
      <c r="G8336" t="n">
        <v>2.9</v>
      </c>
      <c r="H8336" t="n">
        <v>0</v>
      </c>
      <c r="I8336" t="n">
        <v>0</v>
      </c>
      <c r="J8336" t="n">
        <v>0</v>
      </c>
      <c r="K8336" t="n">
        <v>0</v>
      </c>
      <c r="L8336" t="n">
        <v>0</v>
      </c>
      <c r="M8336" t="n">
        <v>0</v>
      </c>
      <c r="N8336" t="n">
        <v>0</v>
      </c>
      <c r="O8336" t="n">
        <v>0</v>
      </c>
      <c r="P8336" t="n">
        <v>0</v>
      </c>
      <c r="Q8336" t="n">
        <v>0</v>
      </c>
      <c r="R8336" s="2" t="inlineStr"/>
    </row>
    <row r="8337" ht="15" customHeight="1">
      <c r="A8337" t="inlineStr">
        <is>
          <t>A 56648-2022</t>
        </is>
      </c>
      <c r="B8337" s="1" t="n">
        <v>44893</v>
      </c>
      <c r="C8337" s="1" t="n">
        <v>45810</v>
      </c>
      <c r="D8337" t="inlineStr">
        <is>
          <t>VÄRMLANDS LÄN</t>
        </is>
      </c>
      <c r="E8337" t="inlineStr">
        <is>
          <t>HAGFORS</t>
        </is>
      </c>
      <c r="F8337" t="inlineStr">
        <is>
          <t>Bergvik skog väst AB</t>
        </is>
      </c>
      <c r="G8337" t="n">
        <v>20.2</v>
      </c>
      <c r="H8337" t="n">
        <v>0</v>
      </c>
      <c r="I8337" t="n">
        <v>0</v>
      </c>
      <c r="J8337" t="n">
        <v>0</v>
      </c>
      <c r="K8337" t="n">
        <v>0</v>
      </c>
      <c r="L8337" t="n">
        <v>0</v>
      </c>
      <c r="M8337" t="n">
        <v>0</v>
      </c>
      <c r="N8337" t="n">
        <v>0</v>
      </c>
      <c r="O8337" t="n">
        <v>0</v>
      </c>
      <c r="P8337" t="n">
        <v>0</v>
      </c>
      <c r="Q8337" t="n">
        <v>0</v>
      </c>
      <c r="R8337" s="2" t="inlineStr"/>
    </row>
    <row r="8338" ht="15" customHeight="1">
      <c r="A8338" t="inlineStr">
        <is>
          <t>A 56690-2022</t>
        </is>
      </c>
      <c r="B8338" s="1" t="n">
        <v>44893</v>
      </c>
      <c r="C8338" s="1" t="n">
        <v>45810</v>
      </c>
      <c r="D8338" t="inlineStr">
        <is>
          <t>VÄRMLANDS LÄN</t>
        </is>
      </c>
      <c r="E8338" t="inlineStr">
        <is>
          <t>ÅRJÄNG</t>
        </is>
      </c>
      <c r="F8338" t="inlineStr">
        <is>
          <t>Övriga Aktiebolag</t>
        </is>
      </c>
      <c r="G8338" t="n">
        <v>9.699999999999999</v>
      </c>
      <c r="H8338" t="n">
        <v>0</v>
      </c>
      <c r="I8338" t="n">
        <v>0</v>
      </c>
      <c r="J8338" t="n">
        <v>0</v>
      </c>
      <c r="K8338" t="n">
        <v>0</v>
      </c>
      <c r="L8338" t="n">
        <v>0</v>
      </c>
      <c r="M8338" t="n">
        <v>0</v>
      </c>
      <c r="N8338" t="n">
        <v>0</v>
      </c>
      <c r="O8338" t="n">
        <v>0</v>
      </c>
      <c r="P8338" t="n">
        <v>0</v>
      </c>
      <c r="Q8338" t="n">
        <v>0</v>
      </c>
      <c r="R8338" s="2" t="inlineStr"/>
    </row>
    <row r="8339" ht="15" customHeight="1">
      <c r="A8339" t="inlineStr">
        <is>
          <t>A 58014-2022</t>
        </is>
      </c>
      <c r="B8339" s="1" t="n">
        <v>44893</v>
      </c>
      <c r="C8339" s="1" t="n">
        <v>45810</v>
      </c>
      <c r="D8339" t="inlineStr">
        <is>
          <t>VÄRMLANDS LÄN</t>
        </is>
      </c>
      <c r="E8339" t="inlineStr">
        <is>
          <t>ÅRJÄNG</t>
        </is>
      </c>
      <c r="G8339" t="n">
        <v>1.9</v>
      </c>
      <c r="H8339" t="n">
        <v>0</v>
      </c>
      <c r="I8339" t="n">
        <v>0</v>
      </c>
      <c r="J8339" t="n">
        <v>0</v>
      </c>
      <c r="K8339" t="n">
        <v>0</v>
      </c>
      <c r="L8339" t="n">
        <v>0</v>
      </c>
      <c r="M8339" t="n">
        <v>0</v>
      </c>
      <c r="N8339" t="n">
        <v>0</v>
      </c>
      <c r="O8339" t="n">
        <v>0</v>
      </c>
      <c r="P8339" t="n">
        <v>0</v>
      </c>
      <c r="Q8339" t="n">
        <v>0</v>
      </c>
      <c r="R8339" s="2" t="inlineStr"/>
    </row>
    <row r="8340" ht="15" customHeight="1">
      <c r="A8340" t="inlineStr">
        <is>
          <t>A 58017-2022</t>
        </is>
      </c>
      <c r="B8340" s="1" t="n">
        <v>44893</v>
      </c>
      <c r="C8340" s="1" t="n">
        <v>45810</v>
      </c>
      <c r="D8340" t="inlineStr">
        <is>
          <t>VÄRMLANDS LÄN</t>
        </is>
      </c>
      <c r="E8340" t="inlineStr">
        <is>
          <t>GRUMS</t>
        </is>
      </c>
      <c r="F8340" t="inlineStr">
        <is>
          <t>Bergvik skog väst AB</t>
        </is>
      </c>
      <c r="G8340" t="n">
        <v>3.6</v>
      </c>
      <c r="H8340" t="n">
        <v>0</v>
      </c>
      <c r="I8340" t="n">
        <v>0</v>
      </c>
      <c r="J8340" t="n">
        <v>0</v>
      </c>
      <c r="K8340" t="n">
        <v>0</v>
      </c>
      <c r="L8340" t="n">
        <v>0</v>
      </c>
      <c r="M8340" t="n">
        <v>0</v>
      </c>
      <c r="N8340" t="n">
        <v>0</v>
      </c>
      <c r="O8340" t="n">
        <v>0</v>
      </c>
      <c r="P8340" t="n">
        <v>0</v>
      </c>
      <c r="Q8340" t="n">
        <v>0</v>
      </c>
      <c r="R8340" s="2" t="inlineStr"/>
    </row>
    <row r="8341" ht="15" customHeight="1">
      <c r="A8341" t="inlineStr">
        <is>
          <t>A 56763-2022</t>
        </is>
      </c>
      <c r="B8341" s="1" t="n">
        <v>44894</v>
      </c>
      <c r="C8341" s="1" t="n">
        <v>45810</v>
      </c>
      <c r="D8341" t="inlineStr">
        <is>
          <t>VÄRMLANDS LÄN</t>
        </is>
      </c>
      <c r="E8341" t="inlineStr">
        <is>
          <t>EDA</t>
        </is>
      </c>
      <c r="G8341" t="n">
        <v>2.9</v>
      </c>
      <c r="H8341" t="n">
        <v>0</v>
      </c>
      <c r="I8341" t="n">
        <v>0</v>
      </c>
      <c r="J8341" t="n">
        <v>0</v>
      </c>
      <c r="K8341" t="n">
        <v>0</v>
      </c>
      <c r="L8341" t="n">
        <v>0</v>
      </c>
      <c r="M8341" t="n">
        <v>0</v>
      </c>
      <c r="N8341" t="n">
        <v>0</v>
      </c>
      <c r="O8341" t="n">
        <v>0</v>
      </c>
      <c r="P8341" t="n">
        <v>0</v>
      </c>
      <c r="Q8341" t="n">
        <v>0</v>
      </c>
      <c r="R8341" s="2" t="inlineStr"/>
    </row>
    <row r="8342" ht="15" customHeight="1">
      <c r="A8342" t="inlineStr">
        <is>
          <t>A 56783-2022</t>
        </is>
      </c>
      <c r="B8342" s="1" t="n">
        <v>44894</v>
      </c>
      <c r="C8342" s="1" t="n">
        <v>45810</v>
      </c>
      <c r="D8342" t="inlineStr">
        <is>
          <t>VÄRMLANDS LÄN</t>
        </is>
      </c>
      <c r="E8342" t="inlineStr">
        <is>
          <t>SÄFFLE</t>
        </is>
      </c>
      <c r="G8342" t="n">
        <v>2.8</v>
      </c>
      <c r="H8342" t="n">
        <v>0</v>
      </c>
      <c r="I8342" t="n">
        <v>0</v>
      </c>
      <c r="J8342" t="n">
        <v>0</v>
      </c>
      <c r="K8342" t="n">
        <v>0</v>
      </c>
      <c r="L8342" t="n">
        <v>0</v>
      </c>
      <c r="M8342" t="n">
        <v>0</v>
      </c>
      <c r="N8342" t="n">
        <v>0</v>
      </c>
      <c r="O8342" t="n">
        <v>0</v>
      </c>
      <c r="P8342" t="n">
        <v>0</v>
      </c>
      <c r="Q8342" t="n">
        <v>0</v>
      </c>
      <c r="R8342" s="2" t="inlineStr"/>
    </row>
    <row r="8343" ht="15" customHeight="1">
      <c r="A8343" t="inlineStr">
        <is>
          <t>A 56799-2022</t>
        </is>
      </c>
      <c r="B8343" s="1" t="n">
        <v>44894</v>
      </c>
      <c r="C8343" s="1" t="n">
        <v>45810</v>
      </c>
      <c r="D8343" t="inlineStr">
        <is>
          <t>VÄRMLANDS LÄN</t>
        </is>
      </c>
      <c r="E8343" t="inlineStr">
        <is>
          <t>HAMMARÖ</t>
        </is>
      </c>
      <c r="G8343" t="n">
        <v>0.4</v>
      </c>
      <c r="H8343" t="n">
        <v>0</v>
      </c>
      <c r="I8343" t="n">
        <v>0</v>
      </c>
      <c r="J8343" t="n">
        <v>0</v>
      </c>
      <c r="K8343" t="n">
        <v>0</v>
      </c>
      <c r="L8343" t="n">
        <v>0</v>
      </c>
      <c r="M8343" t="n">
        <v>0</v>
      </c>
      <c r="N8343" t="n">
        <v>0</v>
      </c>
      <c r="O8343" t="n">
        <v>0</v>
      </c>
      <c r="P8343" t="n">
        <v>0</v>
      </c>
      <c r="Q8343" t="n">
        <v>0</v>
      </c>
      <c r="R8343" s="2" t="inlineStr"/>
    </row>
    <row r="8344" ht="15" customHeight="1">
      <c r="A8344" t="inlineStr">
        <is>
          <t>A 56819-2022</t>
        </is>
      </c>
      <c r="B8344" s="1" t="n">
        <v>44894</v>
      </c>
      <c r="C8344" s="1" t="n">
        <v>45810</v>
      </c>
      <c r="D8344" t="inlineStr">
        <is>
          <t>VÄRMLANDS LÄN</t>
        </is>
      </c>
      <c r="E8344" t="inlineStr">
        <is>
          <t>SÄFFLE</t>
        </is>
      </c>
      <c r="F8344" t="inlineStr">
        <is>
          <t>Bergvik skog väst AB</t>
        </is>
      </c>
      <c r="G8344" t="n">
        <v>5.9</v>
      </c>
      <c r="H8344" t="n">
        <v>0</v>
      </c>
      <c r="I8344" t="n">
        <v>0</v>
      </c>
      <c r="J8344" t="n">
        <v>0</v>
      </c>
      <c r="K8344" t="n">
        <v>0</v>
      </c>
      <c r="L8344" t="n">
        <v>0</v>
      </c>
      <c r="M8344" t="n">
        <v>0</v>
      </c>
      <c r="N8344" t="n">
        <v>0</v>
      </c>
      <c r="O8344" t="n">
        <v>0</v>
      </c>
      <c r="P8344" t="n">
        <v>0</v>
      </c>
      <c r="Q8344" t="n">
        <v>0</v>
      </c>
      <c r="R8344" s="2" t="inlineStr"/>
    </row>
    <row r="8345" ht="15" customHeight="1">
      <c r="A8345" t="inlineStr">
        <is>
          <t>A 56875-2022</t>
        </is>
      </c>
      <c r="B8345" s="1" t="n">
        <v>44894</v>
      </c>
      <c r="C8345" s="1" t="n">
        <v>45810</v>
      </c>
      <c r="D8345" t="inlineStr">
        <is>
          <t>VÄRMLANDS LÄN</t>
        </is>
      </c>
      <c r="E8345" t="inlineStr">
        <is>
          <t>KRISTINEHAMN</t>
        </is>
      </c>
      <c r="G8345" t="n">
        <v>3.8</v>
      </c>
      <c r="H8345" t="n">
        <v>0</v>
      </c>
      <c r="I8345" t="n">
        <v>0</v>
      </c>
      <c r="J8345" t="n">
        <v>0</v>
      </c>
      <c r="K8345" t="n">
        <v>0</v>
      </c>
      <c r="L8345" t="n">
        <v>0</v>
      </c>
      <c r="M8345" t="n">
        <v>0</v>
      </c>
      <c r="N8345" t="n">
        <v>0</v>
      </c>
      <c r="O8345" t="n">
        <v>0</v>
      </c>
      <c r="P8345" t="n">
        <v>0</v>
      </c>
      <c r="Q8345" t="n">
        <v>0</v>
      </c>
      <c r="R8345" s="2" t="inlineStr"/>
    </row>
    <row r="8346" ht="15" customHeight="1">
      <c r="A8346" t="inlineStr">
        <is>
          <t>A 56748-2022</t>
        </is>
      </c>
      <c r="B8346" s="1" t="n">
        <v>44894</v>
      </c>
      <c r="C8346" s="1" t="n">
        <v>45810</v>
      </c>
      <c r="D8346" t="inlineStr">
        <is>
          <t>VÄRMLANDS LÄN</t>
        </is>
      </c>
      <c r="E8346" t="inlineStr">
        <is>
          <t>FORSHAGA</t>
        </is>
      </c>
      <c r="F8346" t="inlineStr">
        <is>
          <t>Bergvik skog väst AB</t>
        </is>
      </c>
      <c r="G8346" t="n">
        <v>8.199999999999999</v>
      </c>
      <c r="H8346" t="n">
        <v>0</v>
      </c>
      <c r="I8346" t="n">
        <v>0</v>
      </c>
      <c r="J8346" t="n">
        <v>0</v>
      </c>
      <c r="K8346" t="n">
        <v>0</v>
      </c>
      <c r="L8346" t="n">
        <v>0</v>
      </c>
      <c r="M8346" t="n">
        <v>0</v>
      </c>
      <c r="N8346" t="n">
        <v>0</v>
      </c>
      <c r="O8346" t="n">
        <v>0</v>
      </c>
      <c r="P8346" t="n">
        <v>0</v>
      </c>
      <c r="Q8346" t="n">
        <v>0</v>
      </c>
      <c r="R8346" s="2" t="inlineStr"/>
    </row>
    <row r="8347" ht="15" customHeight="1">
      <c r="A8347" t="inlineStr">
        <is>
          <t>A 56759-2022</t>
        </is>
      </c>
      <c r="B8347" s="1" t="n">
        <v>44894</v>
      </c>
      <c r="C8347" s="1" t="n">
        <v>45810</v>
      </c>
      <c r="D8347" t="inlineStr">
        <is>
          <t>VÄRMLANDS LÄN</t>
        </is>
      </c>
      <c r="E8347" t="inlineStr">
        <is>
          <t>SÄFFLE</t>
        </is>
      </c>
      <c r="F8347" t="inlineStr">
        <is>
          <t>Bergvik skog väst AB</t>
        </is>
      </c>
      <c r="G8347" t="n">
        <v>7.7</v>
      </c>
      <c r="H8347" t="n">
        <v>0</v>
      </c>
      <c r="I8347" t="n">
        <v>0</v>
      </c>
      <c r="J8347" t="n">
        <v>0</v>
      </c>
      <c r="K8347" t="n">
        <v>0</v>
      </c>
      <c r="L8347" t="n">
        <v>0</v>
      </c>
      <c r="M8347" t="n">
        <v>0</v>
      </c>
      <c r="N8347" t="n">
        <v>0</v>
      </c>
      <c r="O8347" t="n">
        <v>0</v>
      </c>
      <c r="P8347" t="n">
        <v>0</v>
      </c>
      <c r="Q8347" t="n">
        <v>0</v>
      </c>
      <c r="R8347" s="2" t="inlineStr"/>
    </row>
    <row r="8348" ht="15" customHeight="1">
      <c r="A8348" t="inlineStr">
        <is>
          <t>A 56810-2022</t>
        </is>
      </c>
      <c r="B8348" s="1" t="n">
        <v>44894</v>
      </c>
      <c r="C8348" s="1" t="n">
        <v>45810</v>
      </c>
      <c r="D8348" t="inlineStr">
        <is>
          <t>VÄRMLANDS LÄN</t>
        </is>
      </c>
      <c r="E8348" t="inlineStr">
        <is>
          <t>ÅRJÄNG</t>
        </is>
      </c>
      <c r="G8348" t="n">
        <v>1.6</v>
      </c>
      <c r="H8348" t="n">
        <v>0</v>
      </c>
      <c r="I8348" t="n">
        <v>0</v>
      </c>
      <c r="J8348" t="n">
        <v>0</v>
      </c>
      <c r="K8348" t="n">
        <v>0</v>
      </c>
      <c r="L8348" t="n">
        <v>0</v>
      </c>
      <c r="M8348" t="n">
        <v>0</v>
      </c>
      <c r="N8348" t="n">
        <v>0</v>
      </c>
      <c r="O8348" t="n">
        <v>0</v>
      </c>
      <c r="P8348" t="n">
        <v>0</v>
      </c>
      <c r="Q8348" t="n">
        <v>0</v>
      </c>
      <c r="R8348" s="2" t="inlineStr"/>
    </row>
    <row r="8349" ht="15" customHeight="1">
      <c r="A8349" t="inlineStr">
        <is>
          <t>A 56879-2022</t>
        </is>
      </c>
      <c r="B8349" s="1" t="n">
        <v>44894</v>
      </c>
      <c r="C8349" s="1" t="n">
        <v>45810</v>
      </c>
      <c r="D8349" t="inlineStr">
        <is>
          <t>VÄRMLANDS LÄN</t>
        </is>
      </c>
      <c r="E8349" t="inlineStr">
        <is>
          <t>KRISTINEHAMN</t>
        </is>
      </c>
      <c r="G8349" t="n">
        <v>2.4</v>
      </c>
      <c r="H8349" t="n">
        <v>0</v>
      </c>
      <c r="I8349" t="n">
        <v>0</v>
      </c>
      <c r="J8349" t="n">
        <v>0</v>
      </c>
      <c r="K8349" t="n">
        <v>0</v>
      </c>
      <c r="L8349" t="n">
        <v>0</v>
      </c>
      <c r="M8349" t="n">
        <v>0</v>
      </c>
      <c r="N8349" t="n">
        <v>0</v>
      </c>
      <c r="O8349" t="n">
        <v>0</v>
      </c>
      <c r="P8349" t="n">
        <v>0</v>
      </c>
      <c r="Q8349" t="n">
        <v>0</v>
      </c>
      <c r="R8349" s="2" t="inlineStr"/>
    </row>
    <row r="8350" ht="15" customHeight="1">
      <c r="A8350" t="inlineStr">
        <is>
          <t>A 56959-2022</t>
        </is>
      </c>
      <c r="B8350" s="1" t="n">
        <v>44894</v>
      </c>
      <c r="C8350" s="1" t="n">
        <v>45810</v>
      </c>
      <c r="D8350" t="inlineStr">
        <is>
          <t>VÄRMLANDS LÄN</t>
        </is>
      </c>
      <c r="E8350" t="inlineStr">
        <is>
          <t>HAGFORS</t>
        </is>
      </c>
      <c r="F8350" t="inlineStr">
        <is>
          <t>Bergvik skog väst AB</t>
        </is>
      </c>
      <c r="G8350" t="n">
        <v>25.9</v>
      </c>
      <c r="H8350" t="n">
        <v>0</v>
      </c>
      <c r="I8350" t="n">
        <v>0</v>
      </c>
      <c r="J8350" t="n">
        <v>0</v>
      </c>
      <c r="K8350" t="n">
        <v>0</v>
      </c>
      <c r="L8350" t="n">
        <v>0</v>
      </c>
      <c r="M8350" t="n">
        <v>0</v>
      </c>
      <c r="N8350" t="n">
        <v>0</v>
      </c>
      <c r="O8350" t="n">
        <v>0</v>
      </c>
      <c r="P8350" t="n">
        <v>0</v>
      </c>
      <c r="Q8350" t="n">
        <v>0</v>
      </c>
      <c r="R8350" s="2" t="inlineStr"/>
    </row>
    <row r="8351" ht="15" customHeight="1">
      <c r="A8351" t="inlineStr">
        <is>
          <t>A 56988-2022</t>
        </is>
      </c>
      <c r="B8351" s="1" t="n">
        <v>44894</v>
      </c>
      <c r="C8351" s="1" t="n">
        <v>45810</v>
      </c>
      <c r="D8351" t="inlineStr">
        <is>
          <t>VÄRMLANDS LÄN</t>
        </is>
      </c>
      <c r="E8351" t="inlineStr">
        <is>
          <t>ARVIKA</t>
        </is>
      </c>
      <c r="G8351" t="n">
        <v>2.3</v>
      </c>
      <c r="H8351" t="n">
        <v>0</v>
      </c>
      <c r="I8351" t="n">
        <v>0</v>
      </c>
      <c r="J8351" t="n">
        <v>0</v>
      </c>
      <c r="K8351" t="n">
        <v>0</v>
      </c>
      <c r="L8351" t="n">
        <v>0</v>
      </c>
      <c r="M8351" t="n">
        <v>0</v>
      </c>
      <c r="N8351" t="n">
        <v>0</v>
      </c>
      <c r="O8351" t="n">
        <v>0</v>
      </c>
      <c r="P8351" t="n">
        <v>0</v>
      </c>
      <c r="Q8351" t="n">
        <v>0</v>
      </c>
      <c r="R8351" s="2" t="inlineStr"/>
    </row>
    <row r="8352" ht="15" customHeight="1">
      <c r="A8352" t="inlineStr">
        <is>
          <t>A 58538-2022</t>
        </is>
      </c>
      <c r="B8352" s="1" t="n">
        <v>44894</v>
      </c>
      <c r="C8352" s="1" t="n">
        <v>45810</v>
      </c>
      <c r="D8352" t="inlineStr">
        <is>
          <t>VÄRMLANDS LÄN</t>
        </is>
      </c>
      <c r="E8352" t="inlineStr">
        <is>
          <t>KARLSTAD</t>
        </is>
      </c>
      <c r="G8352" t="n">
        <v>7.2</v>
      </c>
      <c r="H8352" t="n">
        <v>0</v>
      </c>
      <c r="I8352" t="n">
        <v>0</v>
      </c>
      <c r="J8352" t="n">
        <v>0</v>
      </c>
      <c r="K8352" t="n">
        <v>0</v>
      </c>
      <c r="L8352" t="n">
        <v>0</v>
      </c>
      <c r="M8352" t="n">
        <v>0</v>
      </c>
      <c r="N8352" t="n">
        <v>0</v>
      </c>
      <c r="O8352" t="n">
        <v>0</v>
      </c>
      <c r="P8352" t="n">
        <v>0</v>
      </c>
      <c r="Q8352" t="n">
        <v>0</v>
      </c>
      <c r="R8352" s="2" t="inlineStr"/>
    </row>
    <row r="8353" ht="15" customHeight="1">
      <c r="A8353" t="inlineStr">
        <is>
          <t>A 57078-2022</t>
        </is>
      </c>
      <c r="B8353" s="1" t="n">
        <v>44895</v>
      </c>
      <c r="C8353" s="1" t="n">
        <v>45810</v>
      </c>
      <c r="D8353" t="inlineStr">
        <is>
          <t>VÄRMLANDS LÄN</t>
        </is>
      </c>
      <c r="E8353" t="inlineStr">
        <is>
          <t>SÄFFLE</t>
        </is>
      </c>
      <c r="F8353" t="inlineStr">
        <is>
          <t>Bergvik skog väst AB</t>
        </is>
      </c>
      <c r="G8353" t="n">
        <v>10.8</v>
      </c>
      <c r="H8353" t="n">
        <v>0</v>
      </c>
      <c r="I8353" t="n">
        <v>0</v>
      </c>
      <c r="J8353" t="n">
        <v>0</v>
      </c>
      <c r="K8353" t="n">
        <v>0</v>
      </c>
      <c r="L8353" t="n">
        <v>0</v>
      </c>
      <c r="M8353" t="n">
        <v>0</v>
      </c>
      <c r="N8353" t="n">
        <v>0</v>
      </c>
      <c r="O8353" t="n">
        <v>0</v>
      </c>
      <c r="P8353" t="n">
        <v>0</v>
      </c>
      <c r="Q8353" t="n">
        <v>0</v>
      </c>
      <c r="R8353" s="2" t="inlineStr"/>
    </row>
    <row r="8354" ht="15" customHeight="1">
      <c r="A8354" t="inlineStr">
        <is>
          <t>A 57072-2022</t>
        </is>
      </c>
      <c r="B8354" s="1" t="n">
        <v>44895</v>
      </c>
      <c r="C8354" s="1" t="n">
        <v>45810</v>
      </c>
      <c r="D8354" t="inlineStr">
        <is>
          <t>VÄRMLANDS LÄN</t>
        </is>
      </c>
      <c r="E8354" t="inlineStr">
        <is>
          <t>TORSBY</t>
        </is>
      </c>
      <c r="F8354" t="inlineStr">
        <is>
          <t>Övriga statliga verk och myndigheter</t>
        </is>
      </c>
      <c r="G8354" t="n">
        <v>7.8</v>
      </c>
      <c r="H8354" t="n">
        <v>0</v>
      </c>
      <c r="I8354" t="n">
        <v>0</v>
      </c>
      <c r="J8354" t="n">
        <v>0</v>
      </c>
      <c r="K8354" t="n">
        <v>0</v>
      </c>
      <c r="L8354" t="n">
        <v>0</v>
      </c>
      <c r="M8354" t="n">
        <v>0</v>
      </c>
      <c r="N8354" t="n">
        <v>0</v>
      </c>
      <c r="O8354" t="n">
        <v>0</v>
      </c>
      <c r="P8354" t="n">
        <v>0</v>
      </c>
      <c r="Q8354" t="n">
        <v>0</v>
      </c>
      <c r="R8354" s="2" t="inlineStr"/>
    </row>
    <row r="8355" ht="15" customHeight="1">
      <c r="A8355" t="inlineStr">
        <is>
          <t>A 57080-2022</t>
        </is>
      </c>
      <c r="B8355" s="1" t="n">
        <v>44895</v>
      </c>
      <c r="C8355" s="1" t="n">
        <v>45810</v>
      </c>
      <c r="D8355" t="inlineStr">
        <is>
          <t>VÄRMLANDS LÄN</t>
        </is>
      </c>
      <c r="E8355" t="inlineStr">
        <is>
          <t>FORSHAGA</t>
        </is>
      </c>
      <c r="F8355" t="inlineStr">
        <is>
          <t>Bergvik skog väst AB</t>
        </is>
      </c>
      <c r="G8355" t="n">
        <v>14.6</v>
      </c>
      <c r="H8355" t="n">
        <v>0</v>
      </c>
      <c r="I8355" t="n">
        <v>0</v>
      </c>
      <c r="J8355" t="n">
        <v>0</v>
      </c>
      <c r="K8355" t="n">
        <v>0</v>
      </c>
      <c r="L8355" t="n">
        <v>0</v>
      </c>
      <c r="M8355" t="n">
        <v>0</v>
      </c>
      <c r="N8355" t="n">
        <v>0</v>
      </c>
      <c r="O8355" t="n">
        <v>0</v>
      </c>
      <c r="P8355" t="n">
        <v>0</v>
      </c>
      <c r="Q8355" t="n">
        <v>0</v>
      </c>
      <c r="R8355" s="2" t="inlineStr"/>
    </row>
    <row r="8356" ht="15" customHeight="1">
      <c r="A8356" t="inlineStr">
        <is>
          <t>A 57100-2022</t>
        </is>
      </c>
      <c r="B8356" s="1" t="n">
        <v>44895</v>
      </c>
      <c r="C8356" s="1" t="n">
        <v>45810</v>
      </c>
      <c r="D8356" t="inlineStr">
        <is>
          <t>VÄRMLANDS LÄN</t>
        </is>
      </c>
      <c r="E8356" t="inlineStr">
        <is>
          <t>KARLSTAD</t>
        </is>
      </c>
      <c r="G8356" t="n">
        <v>0.3</v>
      </c>
      <c r="H8356" t="n">
        <v>0</v>
      </c>
      <c r="I8356" t="n">
        <v>0</v>
      </c>
      <c r="J8356" t="n">
        <v>0</v>
      </c>
      <c r="K8356" t="n">
        <v>0</v>
      </c>
      <c r="L8356" t="n">
        <v>0</v>
      </c>
      <c r="M8356" t="n">
        <v>0</v>
      </c>
      <c r="N8356" t="n">
        <v>0</v>
      </c>
      <c r="O8356" t="n">
        <v>0</v>
      </c>
      <c r="P8356" t="n">
        <v>0</v>
      </c>
      <c r="Q8356" t="n">
        <v>0</v>
      </c>
      <c r="R8356" s="2" t="inlineStr"/>
    </row>
    <row r="8357" ht="15" customHeight="1">
      <c r="A8357" t="inlineStr">
        <is>
          <t>A 57176-2022</t>
        </is>
      </c>
      <c r="B8357" s="1" t="n">
        <v>44895</v>
      </c>
      <c r="C8357" s="1" t="n">
        <v>45810</v>
      </c>
      <c r="D8357" t="inlineStr">
        <is>
          <t>VÄRMLANDS LÄN</t>
        </is>
      </c>
      <c r="E8357" t="inlineStr">
        <is>
          <t>TORSBY</t>
        </is>
      </c>
      <c r="G8357" t="n">
        <v>4.5</v>
      </c>
      <c r="H8357" t="n">
        <v>0</v>
      </c>
      <c r="I8357" t="n">
        <v>0</v>
      </c>
      <c r="J8357" t="n">
        <v>0</v>
      </c>
      <c r="K8357" t="n">
        <v>0</v>
      </c>
      <c r="L8357" t="n">
        <v>0</v>
      </c>
      <c r="M8357" t="n">
        <v>0</v>
      </c>
      <c r="N8357" t="n">
        <v>0</v>
      </c>
      <c r="O8357" t="n">
        <v>0</v>
      </c>
      <c r="P8357" t="n">
        <v>0</v>
      </c>
      <c r="Q8357" t="n">
        <v>0</v>
      </c>
      <c r="R8357" s="2" t="inlineStr"/>
    </row>
    <row r="8358" ht="15" customHeight="1">
      <c r="A8358" t="inlineStr">
        <is>
          <t>A 57062-2022</t>
        </is>
      </c>
      <c r="B8358" s="1" t="n">
        <v>44895</v>
      </c>
      <c r="C8358" s="1" t="n">
        <v>45810</v>
      </c>
      <c r="D8358" t="inlineStr">
        <is>
          <t>VÄRMLANDS LÄN</t>
        </is>
      </c>
      <c r="E8358" t="inlineStr">
        <is>
          <t>ÅRJÄNG</t>
        </is>
      </c>
      <c r="G8358" t="n">
        <v>2.2</v>
      </c>
      <c r="H8358" t="n">
        <v>0</v>
      </c>
      <c r="I8358" t="n">
        <v>0</v>
      </c>
      <c r="J8358" t="n">
        <v>0</v>
      </c>
      <c r="K8358" t="n">
        <v>0</v>
      </c>
      <c r="L8358" t="n">
        <v>0</v>
      </c>
      <c r="M8358" t="n">
        <v>0</v>
      </c>
      <c r="N8358" t="n">
        <v>0</v>
      </c>
      <c r="O8358" t="n">
        <v>0</v>
      </c>
      <c r="P8358" t="n">
        <v>0</v>
      </c>
      <c r="Q8358" t="n">
        <v>0</v>
      </c>
      <c r="R8358" s="2" t="inlineStr"/>
    </row>
    <row r="8359" ht="15" customHeight="1">
      <c r="A8359" t="inlineStr">
        <is>
          <t>A 57071-2022</t>
        </is>
      </c>
      <c r="B8359" s="1" t="n">
        <v>44895</v>
      </c>
      <c r="C8359" s="1" t="n">
        <v>45810</v>
      </c>
      <c r="D8359" t="inlineStr">
        <is>
          <t>VÄRMLANDS LÄN</t>
        </is>
      </c>
      <c r="E8359" t="inlineStr">
        <is>
          <t>TORSBY</t>
        </is>
      </c>
      <c r="G8359" t="n">
        <v>1.1</v>
      </c>
      <c r="H8359" t="n">
        <v>0</v>
      </c>
      <c r="I8359" t="n">
        <v>0</v>
      </c>
      <c r="J8359" t="n">
        <v>0</v>
      </c>
      <c r="K8359" t="n">
        <v>0</v>
      </c>
      <c r="L8359" t="n">
        <v>0</v>
      </c>
      <c r="M8359" t="n">
        <v>0</v>
      </c>
      <c r="N8359" t="n">
        <v>0</v>
      </c>
      <c r="O8359" t="n">
        <v>0</v>
      </c>
      <c r="P8359" t="n">
        <v>0</v>
      </c>
      <c r="Q8359" t="n">
        <v>0</v>
      </c>
      <c r="R8359" s="2" t="inlineStr"/>
    </row>
    <row r="8360" ht="15" customHeight="1">
      <c r="A8360" t="inlineStr">
        <is>
          <t>A 57172-2022</t>
        </is>
      </c>
      <c r="B8360" s="1" t="n">
        <v>44895</v>
      </c>
      <c r="C8360" s="1" t="n">
        <v>45810</v>
      </c>
      <c r="D8360" t="inlineStr">
        <is>
          <t>VÄRMLANDS LÄN</t>
        </is>
      </c>
      <c r="E8360" t="inlineStr">
        <is>
          <t>TORSBY</t>
        </is>
      </c>
      <c r="G8360" t="n">
        <v>3.8</v>
      </c>
      <c r="H8360" t="n">
        <v>0</v>
      </c>
      <c r="I8360" t="n">
        <v>0</v>
      </c>
      <c r="J8360" t="n">
        <v>0</v>
      </c>
      <c r="K8360" t="n">
        <v>0</v>
      </c>
      <c r="L8360" t="n">
        <v>0</v>
      </c>
      <c r="M8360" t="n">
        <v>0</v>
      </c>
      <c r="N8360" t="n">
        <v>0</v>
      </c>
      <c r="O8360" t="n">
        <v>0</v>
      </c>
      <c r="P8360" t="n">
        <v>0</v>
      </c>
      <c r="Q8360" t="n">
        <v>0</v>
      </c>
      <c r="R8360" s="2" t="inlineStr"/>
    </row>
    <row r="8361" ht="15" customHeight="1">
      <c r="A8361" t="inlineStr">
        <is>
          <t>A 57209-2022</t>
        </is>
      </c>
      <c r="B8361" s="1" t="n">
        <v>44895</v>
      </c>
      <c r="C8361" s="1" t="n">
        <v>45810</v>
      </c>
      <c r="D8361" t="inlineStr">
        <is>
          <t>VÄRMLANDS LÄN</t>
        </is>
      </c>
      <c r="E8361" t="inlineStr">
        <is>
          <t>STORFORS</t>
        </is>
      </c>
      <c r="F8361" t="inlineStr">
        <is>
          <t>Kyrkan</t>
        </is>
      </c>
      <c r="G8361" t="n">
        <v>6.3</v>
      </c>
      <c r="H8361" t="n">
        <v>0</v>
      </c>
      <c r="I8361" t="n">
        <v>0</v>
      </c>
      <c r="J8361" t="n">
        <v>0</v>
      </c>
      <c r="K8361" t="n">
        <v>0</v>
      </c>
      <c r="L8361" t="n">
        <v>0</v>
      </c>
      <c r="M8361" t="n">
        <v>0</v>
      </c>
      <c r="N8361" t="n">
        <v>0</v>
      </c>
      <c r="O8361" t="n">
        <v>0</v>
      </c>
      <c r="P8361" t="n">
        <v>0</v>
      </c>
      <c r="Q8361" t="n">
        <v>0</v>
      </c>
      <c r="R8361" s="2" t="inlineStr"/>
    </row>
    <row r="8362" ht="15" customHeight="1">
      <c r="A8362" t="inlineStr">
        <is>
          <t>A 57342-2022</t>
        </is>
      </c>
      <c r="B8362" s="1" t="n">
        <v>44896</v>
      </c>
      <c r="C8362" s="1" t="n">
        <v>45810</v>
      </c>
      <c r="D8362" t="inlineStr">
        <is>
          <t>VÄRMLANDS LÄN</t>
        </is>
      </c>
      <c r="E8362" t="inlineStr">
        <is>
          <t>ARVIKA</t>
        </is>
      </c>
      <c r="G8362" t="n">
        <v>1.3</v>
      </c>
      <c r="H8362" t="n">
        <v>0</v>
      </c>
      <c r="I8362" t="n">
        <v>0</v>
      </c>
      <c r="J8362" t="n">
        <v>0</v>
      </c>
      <c r="K8362" t="n">
        <v>0</v>
      </c>
      <c r="L8362" t="n">
        <v>0</v>
      </c>
      <c r="M8362" t="n">
        <v>0</v>
      </c>
      <c r="N8362" t="n">
        <v>0</v>
      </c>
      <c r="O8362" t="n">
        <v>0</v>
      </c>
      <c r="P8362" t="n">
        <v>0</v>
      </c>
      <c r="Q8362" t="n">
        <v>0</v>
      </c>
      <c r="R8362" s="2" t="inlineStr"/>
    </row>
    <row r="8363" ht="15" customHeight="1">
      <c r="A8363" t="inlineStr">
        <is>
          <t>A 57355-2022</t>
        </is>
      </c>
      <c r="B8363" s="1" t="n">
        <v>44896</v>
      </c>
      <c r="C8363" s="1" t="n">
        <v>45810</v>
      </c>
      <c r="D8363" t="inlineStr">
        <is>
          <t>VÄRMLANDS LÄN</t>
        </is>
      </c>
      <c r="E8363" t="inlineStr">
        <is>
          <t>EDA</t>
        </is>
      </c>
      <c r="G8363" t="n">
        <v>0.6</v>
      </c>
      <c r="H8363" t="n">
        <v>0</v>
      </c>
      <c r="I8363" t="n">
        <v>0</v>
      </c>
      <c r="J8363" t="n">
        <v>0</v>
      </c>
      <c r="K8363" t="n">
        <v>0</v>
      </c>
      <c r="L8363" t="n">
        <v>0</v>
      </c>
      <c r="M8363" t="n">
        <v>0</v>
      </c>
      <c r="N8363" t="n">
        <v>0</v>
      </c>
      <c r="O8363" t="n">
        <v>0</v>
      </c>
      <c r="P8363" t="n">
        <v>0</v>
      </c>
      <c r="Q8363" t="n">
        <v>0</v>
      </c>
      <c r="R8363" s="2" t="inlineStr"/>
    </row>
    <row r="8364" ht="15" customHeight="1">
      <c r="A8364" t="inlineStr">
        <is>
          <t>A 57392-2022</t>
        </is>
      </c>
      <c r="B8364" s="1" t="n">
        <v>44896</v>
      </c>
      <c r="C8364" s="1" t="n">
        <v>45810</v>
      </c>
      <c r="D8364" t="inlineStr">
        <is>
          <t>VÄRMLANDS LÄN</t>
        </is>
      </c>
      <c r="E8364" t="inlineStr">
        <is>
          <t>KARLSTAD</t>
        </is>
      </c>
      <c r="F8364" t="inlineStr">
        <is>
          <t>Bergvik skog väst AB</t>
        </is>
      </c>
      <c r="G8364" t="n">
        <v>23.9</v>
      </c>
      <c r="H8364" t="n">
        <v>0</v>
      </c>
      <c r="I8364" t="n">
        <v>0</v>
      </c>
      <c r="J8364" t="n">
        <v>0</v>
      </c>
      <c r="K8364" t="n">
        <v>0</v>
      </c>
      <c r="L8364" t="n">
        <v>0</v>
      </c>
      <c r="M8364" t="n">
        <v>0</v>
      </c>
      <c r="N8364" t="n">
        <v>0</v>
      </c>
      <c r="O8364" t="n">
        <v>0</v>
      </c>
      <c r="P8364" t="n">
        <v>0</v>
      </c>
      <c r="Q8364" t="n">
        <v>0</v>
      </c>
      <c r="R8364" s="2" t="inlineStr"/>
    </row>
    <row r="8365" ht="15" customHeight="1">
      <c r="A8365" t="inlineStr">
        <is>
          <t>A 57346-2022</t>
        </is>
      </c>
      <c r="B8365" s="1" t="n">
        <v>44896</v>
      </c>
      <c r="C8365" s="1" t="n">
        <v>45810</v>
      </c>
      <c r="D8365" t="inlineStr">
        <is>
          <t>VÄRMLANDS LÄN</t>
        </is>
      </c>
      <c r="E8365" t="inlineStr">
        <is>
          <t>ARVIKA</t>
        </is>
      </c>
      <c r="G8365" t="n">
        <v>1</v>
      </c>
      <c r="H8365" t="n">
        <v>0</v>
      </c>
      <c r="I8365" t="n">
        <v>0</v>
      </c>
      <c r="J8365" t="n">
        <v>0</v>
      </c>
      <c r="K8365" t="n">
        <v>0</v>
      </c>
      <c r="L8365" t="n">
        <v>0</v>
      </c>
      <c r="M8365" t="n">
        <v>0</v>
      </c>
      <c r="N8365" t="n">
        <v>0</v>
      </c>
      <c r="O8365" t="n">
        <v>0</v>
      </c>
      <c r="P8365" t="n">
        <v>0</v>
      </c>
      <c r="Q8365" t="n">
        <v>0</v>
      </c>
      <c r="R8365" s="2" t="inlineStr"/>
    </row>
    <row r="8366" ht="15" customHeight="1">
      <c r="A8366" t="inlineStr">
        <is>
          <t>A 57354-2022</t>
        </is>
      </c>
      <c r="B8366" s="1" t="n">
        <v>44896</v>
      </c>
      <c r="C8366" s="1" t="n">
        <v>45810</v>
      </c>
      <c r="D8366" t="inlineStr">
        <is>
          <t>VÄRMLANDS LÄN</t>
        </is>
      </c>
      <c r="E8366" t="inlineStr">
        <is>
          <t>EDA</t>
        </is>
      </c>
      <c r="G8366" t="n">
        <v>3.2</v>
      </c>
      <c r="H8366" t="n">
        <v>0</v>
      </c>
      <c r="I8366" t="n">
        <v>0</v>
      </c>
      <c r="J8366" t="n">
        <v>0</v>
      </c>
      <c r="K8366" t="n">
        <v>0</v>
      </c>
      <c r="L8366" t="n">
        <v>0</v>
      </c>
      <c r="M8366" t="n">
        <v>0</v>
      </c>
      <c r="N8366" t="n">
        <v>0</v>
      </c>
      <c r="O8366" t="n">
        <v>0</v>
      </c>
      <c r="P8366" t="n">
        <v>0</v>
      </c>
      <c r="Q8366" t="n">
        <v>0</v>
      </c>
      <c r="R8366" s="2" t="inlineStr"/>
    </row>
    <row r="8367" ht="15" customHeight="1">
      <c r="A8367" t="inlineStr">
        <is>
          <t>A 57359-2022</t>
        </is>
      </c>
      <c r="B8367" s="1" t="n">
        <v>44896</v>
      </c>
      <c r="C8367" s="1" t="n">
        <v>45810</v>
      </c>
      <c r="D8367" t="inlineStr">
        <is>
          <t>VÄRMLANDS LÄN</t>
        </is>
      </c>
      <c r="E8367" t="inlineStr">
        <is>
          <t>HAGFORS</t>
        </is>
      </c>
      <c r="G8367" t="n">
        <v>0.7</v>
      </c>
      <c r="H8367" t="n">
        <v>0</v>
      </c>
      <c r="I8367" t="n">
        <v>0</v>
      </c>
      <c r="J8367" t="n">
        <v>0</v>
      </c>
      <c r="K8367" t="n">
        <v>0</v>
      </c>
      <c r="L8367" t="n">
        <v>0</v>
      </c>
      <c r="M8367" t="n">
        <v>0</v>
      </c>
      <c r="N8367" t="n">
        <v>0</v>
      </c>
      <c r="O8367" t="n">
        <v>0</v>
      </c>
      <c r="P8367" t="n">
        <v>0</v>
      </c>
      <c r="Q8367" t="n">
        <v>0</v>
      </c>
      <c r="R8367" s="2" t="inlineStr"/>
    </row>
    <row r="8368" ht="15" customHeight="1">
      <c r="A8368" t="inlineStr">
        <is>
          <t>A 57384-2022</t>
        </is>
      </c>
      <c r="B8368" s="1" t="n">
        <v>44896</v>
      </c>
      <c r="C8368" s="1" t="n">
        <v>45810</v>
      </c>
      <c r="D8368" t="inlineStr">
        <is>
          <t>VÄRMLANDS LÄN</t>
        </is>
      </c>
      <c r="E8368" t="inlineStr">
        <is>
          <t>ARVIKA</t>
        </is>
      </c>
      <c r="G8368" t="n">
        <v>2.9</v>
      </c>
      <c r="H8368" t="n">
        <v>0</v>
      </c>
      <c r="I8368" t="n">
        <v>0</v>
      </c>
      <c r="J8368" t="n">
        <v>0</v>
      </c>
      <c r="K8368" t="n">
        <v>0</v>
      </c>
      <c r="L8368" t="n">
        <v>0</v>
      </c>
      <c r="M8368" t="n">
        <v>0</v>
      </c>
      <c r="N8368" t="n">
        <v>0</v>
      </c>
      <c r="O8368" t="n">
        <v>0</v>
      </c>
      <c r="P8368" t="n">
        <v>0</v>
      </c>
      <c r="Q8368" t="n">
        <v>0</v>
      </c>
      <c r="R8368" s="2" t="inlineStr"/>
    </row>
    <row r="8369" ht="15" customHeight="1">
      <c r="A8369" t="inlineStr">
        <is>
          <t>A 57408-2022</t>
        </is>
      </c>
      <c r="B8369" s="1" t="n">
        <v>44896</v>
      </c>
      <c r="C8369" s="1" t="n">
        <v>45810</v>
      </c>
      <c r="D8369" t="inlineStr">
        <is>
          <t>VÄRMLANDS LÄN</t>
        </is>
      </c>
      <c r="E8369" t="inlineStr">
        <is>
          <t>TORSBY</t>
        </is>
      </c>
      <c r="F8369" t="inlineStr">
        <is>
          <t>Bergvik skog väst AB</t>
        </is>
      </c>
      <c r="G8369" t="n">
        <v>9.1</v>
      </c>
      <c r="H8369" t="n">
        <v>0</v>
      </c>
      <c r="I8369" t="n">
        <v>0</v>
      </c>
      <c r="J8369" t="n">
        <v>0</v>
      </c>
      <c r="K8369" t="n">
        <v>0</v>
      </c>
      <c r="L8369" t="n">
        <v>0</v>
      </c>
      <c r="M8369" t="n">
        <v>0</v>
      </c>
      <c r="N8369" t="n">
        <v>0</v>
      </c>
      <c r="O8369" t="n">
        <v>0</v>
      </c>
      <c r="P8369" t="n">
        <v>0</v>
      </c>
      <c r="Q8369" t="n">
        <v>0</v>
      </c>
      <c r="R8369" s="2" t="inlineStr"/>
    </row>
    <row r="8370" ht="15" customHeight="1">
      <c r="A8370" t="inlineStr">
        <is>
          <t>A 57449-2022</t>
        </is>
      </c>
      <c r="B8370" s="1" t="n">
        <v>44896</v>
      </c>
      <c r="C8370" s="1" t="n">
        <v>45810</v>
      </c>
      <c r="D8370" t="inlineStr">
        <is>
          <t>VÄRMLANDS LÄN</t>
        </is>
      </c>
      <c r="E8370" t="inlineStr">
        <is>
          <t>KARLSTAD</t>
        </is>
      </c>
      <c r="G8370" t="n">
        <v>2.4</v>
      </c>
      <c r="H8370" t="n">
        <v>0</v>
      </c>
      <c r="I8370" t="n">
        <v>0</v>
      </c>
      <c r="J8370" t="n">
        <v>0</v>
      </c>
      <c r="K8370" t="n">
        <v>0</v>
      </c>
      <c r="L8370" t="n">
        <v>0</v>
      </c>
      <c r="M8370" t="n">
        <v>0</v>
      </c>
      <c r="N8370" t="n">
        <v>0</v>
      </c>
      <c r="O8370" t="n">
        <v>0</v>
      </c>
      <c r="P8370" t="n">
        <v>0</v>
      </c>
      <c r="Q8370" t="n">
        <v>0</v>
      </c>
      <c r="R8370" s="2" t="inlineStr"/>
    </row>
    <row r="8371" ht="15" customHeight="1">
      <c r="A8371" t="inlineStr">
        <is>
          <t>A 57456-2022</t>
        </is>
      </c>
      <c r="B8371" s="1" t="n">
        <v>44896</v>
      </c>
      <c r="C8371" s="1" t="n">
        <v>45810</v>
      </c>
      <c r="D8371" t="inlineStr">
        <is>
          <t>VÄRMLANDS LÄN</t>
        </is>
      </c>
      <c r="E8371" t="inlineStr">
        <is>
          <t>FILIPSTAD</t>
        </is>
      </c>
      <c r="F8371" t="inlineStr">
        <is>
          <t>Bergvik skog väst AB</t>
        </is>
      </c>
      <c r="G8371" t="n">
        <v>4</v>
      </c>
      <c r="H8371" t="n">
        <v>0</v>
      </c>
      <c r="I8371" t="n">
        <v>0</v>
      </c>
      <c r="J8371" t="n">
        <v>0</v>
      </c>
      <c r="K8371" t="n">
        <v>0</v>
      </c>
      <c r="L8371" t="n">
        <v>0</v>
      </c>
      <c r="M8371" t="n">
        <v>0</v>
      </c>
      <c r="N8371" t="n">
        <v>0</v>
      </c>
      <c r="O8371" t="n">
        <v>0</v>
      </c>
      <c r="P8371" t="n">
        <v>0</v>
      </c>
      <c r="Q8371" t="n">
        <v>0</v>
      </c>
      <c r="R8371" s="2" t="inlineStr"/>
    </row>
    <row r="8372" ht="15" customHeight="1">
      <c r="A8372" t="inlineStr">
        <is>
          <t>A 57488-2022</t>
        </is>
      </c>
      <c r="B8372" s="1" t="n">
        <v>44896</v>
      </c>
      <c r="C8372" s="1" t="n">
        <v>45810</v>
      </c>
      <c r="D8372" t="inlineStr">
        <is>
          <t>VÄRMLANDS LÄN</t>
        </is>
      </c>
      <c r="E8372" t="inlineStr">
        <is>
          <t>SÄFFLE</t>
        </is>
      </c>
      <c r="G8372" t="n">
        <v>2.3</v>
      </c>
      <c r="H8372" t="n">
        <v>0</v>
      </c>
      <c r="I8372" t="n">
        <v>0</v>
      </c>
      <c r="J8372" t="n">
        <v>0</v>
      </c>
      <c r="K8372" t="n">
        <v>0</v>
      </c>
      <c r="L8372" t="n">
        <v>0</v>
      </c>
      <c r="M8372" t="n">
        <v>0</v>
      </c>
      <c r="N8372" t="n">
        <v>0</v>
      </c>
      <c r="O8372" t="n">
        <v>0</v>
      </c>
      <c r="P8372" t="n">
        <v>0</v>
      </c>
      <c r="Q8372" t="n">
        <v>0</v>
      </c>
      <c r="R8372" s="2" t="inlineStr"/>
    </row>
    <row r="8373" ht="15" customHeight="1">
      <c r="A8373" t="inlineStr">
        <is>
          <t>A 57418-2022</t>
        </is>
      </c>
      <c r="B8373" s="1" t="n">
        <v>44896</v>
      </c>
      <c r="C8373" s="1" t="n">
        <v>45810</v>
      </c>
      <c r="D8373" t="inlineStr">
        <is>
          <t>VÄRMLANDS LÄN</t>
        </is>
      </c>
      <c r="E8373" t="inlineStr">
        <is>
          <t>TORSBY</t>
        </is>
      </c>
      <c r="F8373" t="inlineStr">
        <is>
          <t>Bergvik skog väst AB</t>
        </is>
      </c>
      <c r="G8373" t="n">
        <v>21.8</v>
      </c>
      <c r="H8373" t="n">
        <v>0</v>
      </c>
      <c r="I8373" t="n">
        <v>0</v>
      </c>
      <c r="J8373" t="n">
        <v>0</v>
      </c>
      <c r="K8373" t="n">
        <v>0</v>
      </c>
      <c r="L8373" t="n">
        <v>0</v>
      </c>
      <c r="M8373" t="n">
        <v>0</v>
      </c>
      <c r="N8373" t="n">
        <v>0</v>
      </c>
      <c r="O8373" t="n">
        <v>0</v>
      </c>
      <c r="P8373" t="n">
        <v>0</v>
      </c>
      <c r="Q8373" t="n">
        <v>0</v>
      </c>
      <c r="R8373" s="2" t="inlineStr"/>
    </row>
    <row r="8374" ht="15" customHeight="1">
      <c r="A8374" t="inlineStr">
        <is>
          <t>A 57424-2022</t>
        </is>
      </c>
      <c r="B8374" s="1" t="n">
        <v>44896</v>
      </c>
      <c r="C8374" s="1" t="n">
        <v>45810</v>
      </c>
      <c r="D8374" t="inlineStr">
        <is>
          <t>VÄRMLANDS LÄN</t>
        </is>
      </c>
      <c r="E8374" t="inlineStr">
        <is>
          <t>KIL</t>
        </is>
      </c>
      <c r="F8374" t="inlineStr">
        <is>
          <t>Bergvik skog väst AB</t>
        </is>
      </c>
      <c r="G8374" t="n">
        <v>14.3</v>
      </c>
      <c r="H8374" t="n">
        <v>0</v>
      </c>
      <c r="I8374" t="n">
        <v>0</v>
      </c>
      <c r="J8374" t="n">
        <v>0</v>
      </c>
      <c r="K8374" t="n">
        <v>0</v>
      </c>
      <c r="L8374" t="n">
        <v>0</v>
      </c>
      <c r="M8374" t="n">
        <v>0</v>
      </c>
      <c r="N8374" t="n">
        <v>0</v>
      </c>
      <c r="O8374" t="n">
        <v>0</v>
      </c>
      <c r="P8374" t="n">
        <v>0</v>
      </c>
      <c r="Q8374" t="n">
        <v>0</v>
      </c>
      <c r="R8374" s="2" t="inlineStr"/>
    </row>
    <row r="8375" ht="15" customHeight="1">
      <c r="A8375" t="inlineStr">
        <is>
          <t>A 57311-2022</t>
        </is>
      </c>
      <c r="B8375" s="1" t="n">
        <v>44896</v>
      </c>
      <c r="C8375" s="1" t="n">
        <v>45810</v>
      </c>
      <c r="D8375" t="inlineStr">
        <is>
          <t>VÄRMLANDS LÄN</t>
        </is>
      </c>
      <c r="E8375" t="inlineStr">
        <is>
          <t>EDA</t>
        </is>
      </c>
      <c r="G8375" t="n">
        <v>0.9</v>
      </c>
      <c r="H8375" t="n">
        <v>0</v>
      </c>
      <c r="I8375" t="n">
        <v>0</v>
      </c>
      <c r="J8375" t="n">
        <v>0</v>
      </c>
      <c r="K8375" t="n">
        <v>0</v>
      </c>
      <c r="L8375" t="n">
        <v>0</v>
      </c>
      <c r="M8375" t="n">
        <v>0</v>
      </c>
      <c r="N8375" t="n">
        <v>0</v>
      </c>
      <c r="O8375" t="n">
        <v>0</v>
      </c>
      <c r="P8375" t="n">
        <v>0</v>
      </c>
      <c r="Q8375" t="n">
        <v>0</v>
      </c>
      <c r="R8375" s="2" t="inlineStr"/>
    </row>
    <row r="8376" ht="15" customHeight="1">
      <c r="A8376" t="inlineStr">
        <is>
          <t>A 57307-2022</t>
        </is>
      </c>
      <c r="B8376" s="1" t="n">
        <v>44896</v>
      </c>
      <c r="C8376" s="1" t="n">
        <v>45810</v>
      </c>
      <c r="D8376" t="inlineStr">
        <is>
          <t>VÄRMLANDS LÄN</t>
        </is>
      </c>
      <c r="E8376" t="inlineStr">
        <is>
          <t>FORSHAGA</t>
        </is>
      </c>
      <c r="G8376" t="n">
        <v>1.1</v>
      </c>
      <c r="H8376" t="n">
        <v>0</v>
      </c>
      <c r="I8376" t="n">
        <v>0</v>
      </c>
      <c r="J8376" t="n">
        <v>0</v>
      </c>
      <c r="K8376" t="n">
        <v>0</v>
      </c>
      <c r="L8376" t="n">
        <v>0</v>
      </c>
      <c r="M8376" t="n">
        <v>0</v>
      </c>
      <c r="N8376" t="n">
        <v>0</v>
      </c>
      <c r="O8376" t="n">
        <v>0</v>
      </c>
      <c r="P8376" t="n">
        <v>0</v>
      </c>
      <c r="Q8376" t="n">
        <v>0</v>
      </c>
      <c r="R8376" s="2" t="inlineStr"/>
    </row>
    <row r="8377" ht="15" customHeight="1">
      <c r="A8377" t="inlineStr">
        <is>
          <t>A 57358-2022</t>
        </is>
      </c>
      <c r="B8377" s="1" t="n">
        <v>44896</v>
      </c>
      <c r="C8377" s="1" t="n">
        <v>45810</v>
      </c>
      <c r="D8377" t="inlineStr">
        <is>
          <t>VÄRMLANDS LÄN</t>
        </is>
      </c>
      <c r="E8377" t="inlineStr">
        <is>
          <t>HAGFORS</t>
        </is>
      </c>
      <c r="F8377" t="inlineStr">
        <is>
          <t>Bergvik skog väst AB</t>
        </is>
      </c>
      <c r="G8377" t="n">
        <v>3</v>
      </c>
      <c r="H8377" t="n">
        <v>0</v>
      </c>
      <c r="I8377" t="n">
        <v>0</v>
      </c>
      <c r="J8377" t="n">
        <v>0</v>
      </c>
      <c r="K8377" t="n">
        <v>0</v>
      </c>
      <c r="L8377" t="n">
        <v>0</v>
      </c>
      <c r="M8377" t="n">
        <v>0</v>
      </c>
      <c r="N8377" t="n">
        <v>0</v>
      </c>
      <c r="O8377" t="n">
        <v>0</v>
      </c>
      <c r="P8377" t="n">
        <v>0</v>
      </c>
      <c r="Q8377" t="n">
        <v>0</v>
      </c>
      <c r="R8377" s="2" t="inlineStr"/>
    </row>
    <row r="8378" ht="15" customHeight="1">
      <c r="A8378" t="inlineStr">
        <is>
          <t>A 57445-2022</t>
        </is>
      </c>
      <c r="B8378" s="1" t="n">
        <v>44896</v>
      </c>
      <c r="C8378" s="1" t="n">
        <v>45810</v>
      </c>
      <c r="D8378" t="inlineStr">
        <is>
          <t>VÄRMLANDS LÄN</t>
        </is>
      </c>
      <c r="E8378" t="inlineStr">
        <is>
          <t>KARLSTAD</t>
        </is>
      </c>
      <c r="G8378" t="n">
        <v>3.2</v>
      </c>
      <c r="H8378" t="n">
        <v>0</v>
      </c>
      <c r="I8378" t="n">
        <v>0</v>
      </c>
      <c r="J8378" t="n">
        <v>0</v>
      </c>
      <c r="K8378" t="n">
        <v>0</v>
      </c>
      <c r="L8378" t="n">
        <v>0</v>
      </c>
      <c r="M8378" t="n">
        <v>0</v>
      </c>
      <c r="N8378" t="n">
        <v>0</v>
      </c>
      <c r="O8378" t="n">
        <v>0</v>
      </c>
      <c r="P8378" t="n">
        <v>0</v>
      </c>
      <c r="Q8378" t="n">
        <v>0</v>
      </c>
      <c r="R8378" s="2" t="inlineStr"/>
    </row>
    <row r="8379" ht="15" customHeight="1">
      <c r="A8379" t="inlineStr">
        <is>
          <t>A 57441-2022</t>
        </is>
      </c>
      <c r="B8379" s="1" t="n">
        <v>44896</v>
      </c>
      <c r="C8379" s="1" t="n">
        <v>45810</v>
      </c>
      <c r="D8379" t="inlineStr">
        <is>
          <t>VÄRMLANDS LÄN</t>
        </is>
      </c>
      <c r="E8379" t="inlineStr">
        <is>
          <t>KARLSTAD</t>
        </is>
      </c>
      <c r="G8379" t="n">
        <v>1.6</v>
      </c>
      <c r="H8379" t="n">
        <v>0</v>
      </c>
      <c r="I8379" t="n">
        <v>0</v>
      </c>
      <c r="J8379" t="n">
        <v>0</v>
      </c>
      <c r="K8379" t="n">
        <v>0</v>
      </c>
      <c r="L8379" t="n">
        <v>0</v>
      </c>
      <c r="M8379" t="n">
        <v>0</v>
      </c>
      <c r="N8379" t="n">
        <v>0</v>
      </c>
      <c r="O8379" t="n">
        <v>0</v>
      </c>
      <c r="P8379" t="n">
        <v>0</v>
      </c>
      <c r="Q8379" t="n">
        <v>0</v>
      </c>
      <c r="R8379" s="2" t="inlineStr"/>
    </row>
    <row r="8380" ht="15" customHeight="1">
      <c r="A8380" t="inlineStr">
        <is>
          <t>A 57348-2022</t>
        </is>
      </c>
      <c r="B8380" s="1" t="n">
        <v>44896</v>
      </c>
      <c r="C8380" s="1" t="n">
        <v>45810</v>
      </c>
      <c r="D8380" t="inlineStr">
        <is>
          <t>VÄRMLANDS LÄN</t>
        </is>
      </c>
      <c r="E8380" t="inlineStr">
        <is>
          <t>EDA</t>
        </is>
      </c>
      <c r="G8380" t="n">
        <v>3.8</v>
      </c>
      <c r="H8380" t="n">
        <v>0</v>
      </c>
      <c r="I8380" t="n">
        <v>0</v>
      </c>
      <c r="J8380" t="n">
        <v>0</v>
      </c>
      <c r="K8380" t="n">
        <v>0</v>
      </c>
      <c r="L8380" t="n">
        <v>0</v>
      </c>
      <c r="M8380" t="n">
        <v>0</v>
      </c>
      <c r="N8380" t="n">
        <v>0</v>
      </c>
      <c r="O8380" t="n">
        <v>0</v>
      </c>
      <c r="P8380" t="n">
        <v>0</v>
      </c>
      <c r="Q8380" t="n">
        <v>0</v>
      </c>
      <c r="R8380" s="2" t="inlineStr"/>
    </row>
    <row r="8381" ht="15" customHeight="1">
      <c r="A8381" t="inlineStr">
        <is>
          <t>A 57379-2022</t>
        </is>
      </c>
      <c r="B8381" s="1" t="n">
        <v>44896</v>
      </c>
      <c r="C8381" s="1" t="n">
        <v>45810</v>
      </c>
      <c r="D8381" t="inlineStr">
        <is>
          <t>VÄRMLANDS LÄN</t>
        </is>
      </c>
      <c r="E8381" t="inlineStr">
        <is>
          <t>HAGFORS</t>
        </is>
      </c>
      <c r="G8381" t="n">
        <v>1.9</v>
      </c>
      <c r="H8381" t="n">
        <v>0</v>
      </c>
      <c r="I8381" t="n">
        <v>0</v>
      </c>
      <c r="J8381" t="n">
        <v>0</v>
      </c>
      <c r="K8381" t="n">
        <v>0</v>
      </c>
      <c r="L8381" t="n">
        <v>0</v>
      </c>
      <c r="M8381" t="n">
        <v>0</v>
      </c>
      <c r="N8381" t="n">
        <v>0</v>
      </c>
      <c r="O8381" t="n">
        <v>0</v>
      </c>
      <c r="P8381" t="n">
        <v>0</v>
      </c>
      <c r="Q8381" t="n">
        <v>0</v>
      </c>
      <c r="R8381" s="2" t="inlineStr"/>
    </row>
    <row r="8382" ht="15" customHeight="1">
      <c r="A8382" t="inlineStr">
        <is>
          <t>A 57393-2022</t>
        </is>
      </c>
      <c r="B8382" s="1" t="n">
        <v>44896</v>
      </c>
      <c r="C8382" s="1" t="n">
        <v>45810</v>
      </c>
      <c r="D8382" t="inlineStr">
        <is>
          <t>VÄRMLANDS LÄN</t>
        </is>
      </c>
      <c r="E8382" t="inlineStr">
        <is>
          <t>TORSBY</t>
        </is>
      </c>
      <c r="G8382" t="n">
        <v>5</v>
      </c>
      <c r="H8382" t="n">
        <v>0</v>
      </c>
      <c r="I8382" t="n">
        <v>0</v>
      </c>
      <c r="J8382" t="n">
        <v>0</v>
      </c>
      <c r="K8382" t="n">
        <v>0</v>
      </c>
      <c r="L8382" t="n">
        <v>0</v>
      </c>
      <c r="M8382" t="n">
        <v>0</v>
      </c>
      <c r="N8382" t="n">
        <v>0</v>
      </c>
      <c r="O8382" t="n">
        <v>0</v>
      </c>
      <c r="P8382" t="n">
        <v>0</v>
      </c>
      <c r="Q8382" t="n">
        <v>0</v>
      </c>
      <c r="R8382" s="2" t="inlineStr"/>
    </row>
    <row r="8383" ht="15" customHeight="1">
      <c r="A8383" t="inlineStr">
        <is>
          <t>A 57452-2022</t>
        </is>
      </c>
      <c r="B8383" s="1" t="n">
        <v>44896</v>
      </c>
      <c r="C8383" s="1" t="n">
        <v>45810</v>
      </c>
      <c r="D8383" t="inlineStr">
        <is>
          <t>VÄRMLANDS LÄN</t>
        </is>
      </c>
      <c r="E8383" t="inlineStr">
        <is>
          <t>TORSBY</t>
        </is>
      </c>
      <c r="F8383" t="inlineStr">
        <is>
          <t>Bergvik skog väst AB</t>
        </is>
      </c>
      <c r="G8383" t="n">
        <v>4.8</v>
      </c>
      <c r="H8383" t="n">
        <v>0</v>
      </c>
      <c r="I8383" t="n">
        <v>0</v>
      </c>
      <c r="J8383" t="n">
        <v>0</v>
      </c>
      <c r="K8383" t="n">
        <v>0</v>
      </c>
      <c r="L8383" t="n">
        <v>0</v>
      </c>
      <c r="M8383" t="n">
        <v>0</v>
      </c>
      <c r="N8383" t="n">
        <v>0</v>
      </c>
      <c r="O8383" t="n">
        <v>0</v>
      </c>
      <c r="P8383" t="n">
        <v>0</v>
      </c>
      <c r="Q8383" t="n">
        <v>0</v>
      </c>
      <c r="R8383" s="2" t="inlineStr"/>
    </row>
    <row r="8384" ht="15" customHeight="1">
      <c r="A8384" t="inlineStr">
        <is>
          <t>A 57504-2022</t>
        </is>
      </c>
      <c r="B8384" s="1" t="n">
        <v>44896</v>
      </c>
      <c r="C8384" s="1" t="n">
        <v>45810</v>
      </c>
      <c r="D8384" t="inlineStr">
        <is>
          <t>VÄRMLANDS LÄN</t>
        </is>
      </c>
      <c r="E8384" t="inlineStr">
        <is>
          <t>KARLSTAD</t>
        </is>
      </c>
      <c r="G8384" t="n">
        <v>2.1</v>
      </c>
      <c r="H8384" t="n">
        <v>0</v>
      </c>
      <c r="I8384" t="n">
        <v>0</v>
      </c>
      <c r="J8384" t="n">
        <v>0</v>
      </c>
      <c r="K8384" t="n">
        <v>0</v>
      </c>
      <c r="L8384" t="n">
        <v>0</v>
      </c>
      <c r="M8384" t="n">
        <v>0</v>
      </c>
      <c r="N8384" t="n">
        <v>0</v>
      </c>
      <c r="O8384" t="n">
        <v>0</v>
      </c>
      <c r="P8384" t="n">
        <v>0</v>
      </c>
      <c r="Q8384" t="n">
        <v>0</v>
      </c>
      <c r="R8384" s="2" t="inlineStr"/>
    </row>
    <row r="8385" ht="15" customHeight="1">
      <c r="A8385" t="inlineStr">
        <is>
          <t>A 57483-2022</t>
        </is>
      </c>
      <c r="B8385" s="1" t="n">
        <v>44896</v>
      </c>
      <c r="C8385" s="1" t="n">
        <v>45810</v>
      </c>
      <c r="D8385" t="inlineStr">
        <is>
          <t>VÄRMLANDS LÄN</t>
        </is>
      </c>
      <c r="E8385" t="inlineStr">
        <is>
          <t>KIL</t>
        </is>
      </c>
      <c r="F8385" t="inlineStr">
        <is>
          <t>Bergvik skog väst AB</t>
        </is>
      </c>
      <c r="G8385" t="n">
        <v>1.6</v>
      </c>
      <c r="H8385" t="n">
        <v>0</v>
      </c>
      <c r="I8385" t="n">
        <v>0</v>
      </c>
      <c r="J8385" t="n">
        <v>0</v>
      </c>
      <c r="K8385" t="n">
        <v>0</v>
      </c>
      <c r="L8385" t="n">
        <v>0</v>
      </c>
      <c r="M8385" t="n">
        <v>0</v>
      </c>
      <c r="N8385" t="n">
        <v>0</v>
      </c>
      <c r="O8385" t="n">
        <v>0</v>
      </c>
      <c r="P8385" t="n">
        <v>0</v>
      </c>
      <c r="Q8385" t="n">
        <v>0</v>
      </c>
      <c r="R8385" s="2" t="inlineStr"/>
    </row>
    <row r="8386" ht="15" customHeight="1">
      <c r="A8386" t="inlineStr">
        <is>
          <t>A 57492-2022</t>
        </is>
      </c>
      <c r="B8386" s="1" t="n">
        <v>44896</v>
      </c>
      <c r="C8386" s="1" t="n">
        <v>45810</v>
      </c>
      <c r="D8386" t="inlineStr">
        <is>
          <t>VÄRMLANDS LÄN</t>
        </is>
      </c>
      <c r="E8386" t="inlineStr">
        <is>
          <t>STORFORS</t>
        </is>
      </c>
      <c r="F8386" t="inlineStr">
        <is>
          <t>Naturvårdsverket</t>
        </is>
      </c>
      <c r="G8386" t="n">
        <v>19.6</v>
      </c>
      <c r="H8386" t="n">
        <v>0</v>
      </c>
      <c r="I8386" t="n">
        <v>0</v>
      </c>
      <c r="J8386" t="n">
        <v>0</v>
      </c>
      <c r="K8386" t="n">
        <v>0</v>
      </c>
      <c r="L8386" t="n">
        <v>0</v>
      </c>
      <c r="M8386" t="n">
        <v>0</v>
      </c>
      <c r="N8386" t="n">
        <v>0</v>
      </c>
      <c r="O8386" t="n">
        <v>0</v>
      </c>
      <c r="P8386" t="n">
        <v>0</v>
      </c>
      <c r="Q8386" t="n">
        <v>0</v>
      </c>
      <c r="R8386" s="2" t="inlineStr"/>
    </row>
    <row r="8387" ht="15" customHeight="1">
      <c r="A8387" t="inlineStr">
        <is>
          <t>A 58914-2022</t>
        </is>
      </c>
      <c r="B8387" s="1" t="n">
        <v>44896</v>
      </c>
      <c r="C8387" s="1" t="n">
        <v>45810</v>
      </c>
      <c r="D8387" t="inlineStr">
        <is>
          <t>VÄRMLANDS LÄN</t>
        </is>
      </c>
      <c r="E8387" t="inlineStr">
        <is>
          <t>SÄFFLE</t>
        </is>
      </c>
      <c r="G8387" t="n">
        <v>0.7</v>
      </c>
      <c r="H8387" t="n">
        <v>0</v>
      </c>
      <c r="I8387" t="n">
        <v>0</v>
      </c>
      <c r="J8387" t="n">
        <v>0</v>
      </c>
      <c r="K8387" t="n">
        <v>0</v>
      </c>
      <c r="L8387" t="n">
        <v>0</v>
      </c>
      <c r="M8387" t="n">
        <v>0</v>
      </c>
      <c r="N8387" t="n">
        <v>0</v>
      </c>
      <c r="O8387" t="n">
        <v>0</v>
      </c>
      <c r="P8387" t="n">
        <v>0</v>
      </c>
      <c r="Q8387" t="n">
        <v>0</v>
      </c>
      <c r="R8387" s="2" t="inlineStr"/>
    </row>
    <row r="8388" ht="15" customHeight="1">
      <c r="A8388" t="inlineStr">
        <is>
          <t>A 57667-2022</t>
        </is>
      </c>
      <c r="B8388" s="1" t="n">
        <v>44897</v>
      </c>
      <c r="C8388" s="1" t="n">
        <v>45810</v>
      </c>
      <c r="D8388" t="inlineStr">
        <is>
          <t>VÄRMLANDS LÄN</t>
        </is>
      </c>
      <c r="E8388" t="inlineStr">
        <is>
          <t>SUNNE</t>
        </is>
      </c>
      <c r="G8388" t="n">
        <v>3.4</v>
      </c>
      <c r="H8388" t="n">
        <v>0</v>
      </c>
      <c r="I8388" t="n">
        <v>0</v>
      </c>
      <c r="J8388" t="n">
        <v>0</v>
      </c>
      <c r="K8388" t="n">
        <v>0</v>
      </c>
      <c r="L8388" t="n">
        <v>0</v>
      </c>
      <c r="M8388" t="n">
        <v>0</v>
      </c>
      <c r="N8388" t="n">
        <v>0</v>
      </c>
      <c r="O8388" t="n">
        <v>0</v>
      </c>
      <c r="P8388" t="n">
        <v>0</v>
      </c>
      <c r="Q8388" t="n">
        <v>0</v>
      </c>
      <c r="R8388" s="2" t="inlineStr"/>
    </row>
    <row r="8389" ht="15" customHeight="1">
      <c r="A8389" t="inlineStr">
        <is>
          <t>A 57708-2022</t>
        </is>
      </c>
      <c r="B8389" s="1" t="n">
        <v>44897</v>
      </c>
      <c r="C8389" s="1" t="n">
        <v>45810</v>
      </c>
      <c r="D8389" t="inlineStr">
        <is>
          <t>VÄRMLANDS LÄN</t>
        </is>
      </c>
      <c r="E8389" t="inlineStr">
        <is>
          <t>TORSBY</t>
        </is>
      </c>
      <c r="G8389" t="n">
        <v>2.9</v>
      </c>
      <c r="H8389" t="n">
        <v>0</v>
      </c>
      <c r="I8389" t="n">
        <v>0</v>
      </c>
      <c r="J8389" t="n">
        <v>0</v>
      </c>
      <c r="K8389" t="n">
        <v>0</v>
      </c>
      <c r="L8389" t="n">
        <v>0</v>
      </c>
      <c r="M8389" t="n">
        <v>0</v>
      </c>
      <c r="N8389" t="n">
        <v>0</v>
      </c>
      <c r="O8389" t="n">
        <v>0</v>
      </c>
      <c r="P8389" t="n">
        <v>0</v>
      </c>
      <c r="Q8389" t="n">
        <v>0</v>
      </c>
      <c r="R8389" s="2" t="inlineStr"/>
    </row>
    <row r="8390" ht="15" customHeight="1">
      <c r="A8390" t="inlineStr">
        <is>
          <t>A 57726-2022</t>
        </is>
      </c>
      <c r="B8390" s="1" t="n">
        <v>44897</v>
      </c>
      <c r="C8390" s="1" t="n">
        <v>45810</v>
      </c>
      <c r="D8390" t="inlineStr">
        <is>
          <t>VÄRMLANDS LÄN</t>
        </is>
      </c>
      <c r="E8390" t="inlineStr">
        <is>
          <t>TORSBY</t>
        </is>
      </c>
      <c r="G8390" t="n">
        <v>3.1</v>
      </c>
      <c r="H8390" t="n">
        <v>0</v>
      </c>
      <c r="I8390" t="n">
        <v>0</v>
      </c>
      <c r="J8390" t="n">
        <v>0</v>
      </c>
      <c r="K8390" t="n">
        <v>0</v>
      </c>
      <c r="L8390" t="n">
        <v>0</v>
      </c>
      <c r="M8390" t="n">
        <v>0</v>
      </c>
      <c r="N8390" t="n">
        <v>0</v>
      </c>
      <c r="O8390" t="n">
        <v>0</v>
      </c>
      <c r="P8390" t="n">
        <v>0</v>
      </c>
      <c r="Q8390" t="n">
        <v>0</v>
      </c>
      <c r="R8390" s="2" t="inlineStr"/>
    </row>
    <row r="8391" ht="15" customHeight="1">
      <c r="A8391" t="inlineStr">
        <is>
          <t>A 57792-2022</t>
        </is>
      </c>
      <c r="B8391" s="1" t="n">
        <v>44897</v>
      </c>
      <c r="C8391" s="1" t="n">
        <v>45810</v>
      </c>
      <c r="D8391" t="inlineStr">
        <is>
          <t>VÄRMLANDS LÄN</t>
        </is>
      </c>
      <c r="E8391" t="inlineStr">
        <is>
          <t>STORFORS</t>
        </is>
      </c>
      <c r="G8391" t="n">
        <v>3.1</v>
      </c>
      <c r="H8391" t="n">
        <v>0</v>
      </c>
      <c r="I8391" t="n">
        <v>0</v>
      </c>
      <c r="J8391" t="n">
        <v>0</v>
      </c>
      <c r="K8391" t="n">
        <v>0</v>
      </c>
      <c r="L8391" t="n">
        <v>0</v>
      </c>
      <c r="M8391" t="n">
        <v>0</v>
      </c>
      <c r="N8391" t="n">
        <v>0</v>
      </c>
      <c r="O8391" t="n">
        <v>0</v>
      </c>
      <c r="P8391" t="n">
        <v>0</v>
      </c>
      <c r="Q8391" t="n">
        <v>0</v>
      </c>
      <c r="R8391" s="2" t="inlineStr"/>
    </row>
    <row r="8392" ht="15" customHeight="1">
      <c r="A8392" t="inlineStr">
        <is>
          <t>A 57755-2022</t>
        </is>
      </c>
      <c r="B8392" s="1" t="n">
        <v>44897</v>
      </c>
      <c r="C8392" s="1" t="n">
        <v>45810</v>
      </c>
      <c r="D8392" t="inlineStr">
        <is>
          <t>VÄRMLANDS LÄN</t>
        </is>
      </c>
      <c r="E8392" t="inlineStr">
        <is>
          <t>SUNNE</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57721-2022</t>
        </is>
      </c>
      <c r="B8393" s="1" t="n">
        <v>44897</v>
      </c>
      <c r="C8393" s="1" t="n">
        <v>45810</v>
      </c>
      <c r="D8393" t="inlineStr">
        <is>
          <t>VÄRMLANDS LÄN</t>
        </is>
      </c>
      <c r="E8393" t="inlineStr">
        <is>
          <t>TORSBY</t>
        </is>
      </c>
      <c r="G8393" t="n">
        <v>3.3</v>
      </c>
      <c r="H8393" t="n">
        <v>0</v>
      </c>
      <c r="I8393" t="n">
        <v>0</v>
      </c>
      <c r="J8393" t="n">
        <v>0</v>
      </c>
      <c r="K8393" t="n">
        <v>0</v>
      </c>
      <c r="L8393" t="n">
        <v>0</v>
      </c>
      <c r="M8393" t="n">
        <v>0</v>
      </c>
      <c r="N8393" t="n">
        <v>0</v>
      </c>
      <c r="O8393" t="n">
        <v>0</v>
      </c>
      <c r="P8393" t="n">
        <v>0</v>
      </c>
      <c r="Q8393" t="n">
        <v>0</v>
      </c>
      <c r="R8393" s="2" t="inlineStr"/>
    </row>
    <row r="8394" ht="15" customHeight="1">
      <c r="A8394" t="inlineStr">
        <is>
          <t>A 57867-2022</t>
        </is>
      </c>
      <c r="B8394" s="1" t="n">
        <v>44899</v>
      </c>
      <c r="C8394" s="1" t="n">
        <v>45810</v>
      </c>
      <c r="D8394" t="inlineStr">
        <is>
          <t>VÄRMLANDS LÄN</t>
        </is>
      </c>
      <c r="E8394" t="inlineStr">
        <is>
          <t>TORSBY</t>
        </is>
      </c>
      <c r="F8394" t="inlineStr">
        <is>
          <t>Bergvik skog väst AB</t>
        </is>
      </c>
      <c r="G8394" t="n">
        <v>21.8</v>
      </c>
      <c r="H8394" t="n">
        <v>0</v>
      </c>
      <c r="I8394" t="n">
        <v>0</v>
      </c>
      <c r="J8394" t="n">
        <v>0</v>
      </c>
      <c r="K8394" t="n">
        <v>0</v>
      </c>
      <c r="L8394" t="n">
        <v>0</v>
      </c>
      <c r="M8394" t="n">
        <v>0</v>
      </c>
      <c r="N8394" t="n">
        <v>0</v>
      </c>
      <c r="O8394" t="n">
        <v>0</v>
      </c>
      <c r="P8394" t="n">
        <v>0</v>
      </c>
      <c r="Q8394" t="n">
        <v>0</v>
      </c>
      <c r="R8394" s="2" t="inlineStr"/>
    </row>
    <row r="8395" ht="15" customHeight="1">
      <c r="A8395" t="inlineStr">
        <is>
          <t>A 57865-2022</t>
        </is>
      </c>
      <c r="B8395" s="1" t="n">
        <v>44899</v>
      </c>
      <c r="C8395" s="1" t="n">
        <v>45810</v>
      </c>
      <c r="D8395" t="inlineStr">
        <is>
          <t>VÄRMLANDS LÄN</t>
        </is>
      </c>
      <c r="E8395" t="inlineStr">
        <is>
          <t>EDA</t>
        </is>
      </c>
      <c r="G8395" t="n">
        <v>2.5</v>
      </c>
      <c r="H8395" t="n">
        <v>0</v>
      </c>
      <c r="I8395" t="n">
        <v>0</v>
      </c>
      <c r="J8395" t="n">
        <v>0</v>
      </c>
      <c r="K8395" t="n">
        <v>0</v>
      </c>
      <c r="L8395" t="n">
        <v>0</v>
      </c>
      <c r="M8395" t="n">
        <v>0</v>
      </c>
      <c r="N8395" t="n">
        <v>0</v>
      </c>
      <c r="O8395" t="n">
        <v>0</v>
      </c>
      <c r="P8395" t="n">
        <v>0</v>
      </c>
      <c r="Q8395" t="n">
        <v>0</v>
      </c>
      <c r="R8395" s="2" t="inlineStr"/>
    </row>
    <row r="8396" ht="15" customHeight="1">
      <c r="A8396" t="inlineStr">
        <is>
          <t>A 57866-2022</t>
        </is>
      </c>
      <c r="B8396" s="1" t="n">
        <v>44899</v>
      </c>
      <c r="C8396" s="1" t="n">
        <v>45810</v>
      </c>
      <c r="D8396" t="inlineStr">
        <is>
          <t>VÄRMLANDS LÄN</t>
        </is>
      </c>
      <c r="E8396" t="inlineStr">
        <is>
          <t>EDA</t>
        </is>
      </c>
      <c r="G8396" t="n">
        <v>2</v>
      </c>
      <c r="H8396" t="n">
        <v>0</v>
      </c>
      <c r="I8396" t="n">
        <v>0</v>
      </c>
      <c r="J8396" t="n">
        <v>0</v>
      </c>
      <c r="K8396" t="n">
        <v>0</v>
      </c>
      <c r="L8396" t="n">
        <v>0</v>
      </c>
      <c r="M8396" t="n">
        <v>0</v>
      </c>
      <c r="N8396" t="n">
        <v>0</v>
      </c>
      <c r="O8396" t="n">
        <v>0</v>
      </c>
      <c r="P8396" t="n">
        <v>0</v>
      </c>
      <c r="Q8396" t="n">
        <v>0</v>
      </c>
      <c r="R8396" s="2" t="inlineStr"/>
    </row>
    <row r="8397" ht="15" customHeight="1">
      <c r="A8397" t="inlineStr">
        <is>
          <t>A 57885-2022</t>
        </is>
      </c>
      <c r="B8397" s="1" t="n">
        <v>44900</v>
      </c>
      <c r="C8397" s="1" t="n">
        <v>45810</v>
      </c>
      <c r="D8397" t="inlineStr">
        <is>
          <t>VÄRMLANDS LÄN</t>
        </is>
      </c>
      <c r="E8397" t="inlineStr">
        <is>
          <t>SUNNE</t>
        </is>
      </c>
      <c r="F8397" t="inlineStr">
        <is>
          <t>Bergvik skog väst AB</t>
        </is>
      </c>
      <c r="G8397" t="n">
        <v>11.1</v>
      </c>
      <c r="H8397" t="n">
        <v>0</v>
      </c>
      <c r="I8397" t="n">
        <v>0</v>
      </c>
      <c r="J8397" t="n">
        <v>0</v>
      </c>
      <c r="K8397" t="n">
        <v>0</v>
      </c>
      <c r="L8397" t="n">
        <v>0</v>
      </c>
      <c r="M8397" t="n">
        <v>0</v>
      </c>
      <c r="N8397" t="n">
        <v>0</v>
      </c>
      <c r="O8397" t="n">
        <v>0</v>
      </c>
      <c r="P8397" t="n">
        <v>0</v>
      </c>
      <c r="Q8397" t="n">
        <v>0</v>
      </c>
      <c r="R8397" s="2" t="inlineStr"/>
    </row>
    <row r="8398" ht="15" customHeight="1">
      <c r="A8398" t="inlineStr">
        <is>
          <t>A 57937-2022</t>
        </is>
      </c>
      <c r="B8398" s="1" t="n">
        <v>44900</v>
      </c>
      <c r="C8398" s="1" t="n">
        <v>45810</v>
      </c>
      <c r="D8398" t="inlineStr">
        <is>
          <t>VÄRMLANDS LÄN</t>
        </is>
      </c>
      <c r="E8398" t="inlineStr">
        <is>
          <t>TORSBY</t>
        </is>
      </c>
      <c r="F8398" t="inlineStr">
        <is>
          <t>Bergvik skog väst AB</t>
        </is>
      </c>
      <c r="G8398" t="n">
        <v>14.2</v>
      </c>
      <c r="H8398" t="n">
        <v>0</v>
      </c>
      <c r="I8398" t="n">
        <v>0</v>
      </c>
      <c r="J8398" t="n">
        <v>0</v>
      </c>
      <c r="K8398" t="n">
        <v>0</v>
      </c>
      <c r="L8398" t="n">
        <v>0</v>
      </c>
      <c r="M8398" t="n">
        <v>0</v>
      </c>
      <c r="N8398" t="n">
        <v>0</v>
      </c>
      <c r="O8398" t="n">
        <v>0</v>
      </c>
      <c r="P8398" t="n">
        <v>0</v>
      </c>
      <c r="Q8398" t="n">
        <v>0</v>
      </c>
      <c r="R8398" s="2" t="inlineStr"/>
    </row>
    <row r="8399" ht="15" customHeight="1">
      <c r="A8399" t="inlineStr">
        <is>
          <t>A 57939-2022</t>
        </is>
      </c>
      <c r="B8399" s="1" t="n">
        <v>44900</v>
      </c>
      <c r="C8399" s="1" t="n">
        <v>45810</v>
      </c>
      <c r="D8399" t="inlineStr">
        <is>
          <t>VÄRMLANDS LÄN</t>
        </is>
      </c>
      <c r="E8399" t="inlineStr">
        <is>
          <t>SUNNE</t>
        </is>
      </c>
      <c r="G8399" t="n">
        <v>2.7</v>
      </c>
      <c r="H8399" t="n">
        <v>0</v>
      </c>
      <c r="I8399" t="n">
        <v>0</v>
      </c>
      <c r="J8399" t="n">
        <v>0</v>
      </c>
      <c r="K8399" t="n">
        <v>0</v>
      </c>
      <c r="L8399" t="n">
        <v>0</v>
      </c>
      <c r="M8399" t="n">
        <v>0</v>
      </c>
      <c r="N8399" t="n">
        <v>0</v>
      </c>
      <c r="O8399" t="n">
        <v>0</v>
      </c>
      <c r="P8399" t="n">
        <v>0</v>
      </c>
      <c r="Q8399" t="n">
        <v>0</v>
      </c>
      <c r="R8399" s="2" t="inlineStr"/>
    </row>
    <row r="8400" ht="15" customHeight="1">
      <c r="A8400" t="inlineStr">
        <is>
          <t>A 58008-2022</t>
        </is>
      </c>
      <c r="B8400" s="1" t="n">
        <v>44900</v>
      </c>
      <c r="C8400" s="1" t="n">
        <v>45810</v>
      </c>
      <c r="D8400" t="inlineStr">
        <is>
          <t>VÄRMLANDS LÄN</t>
        </is>
      </c>
      <c r="E8400" t="inlineStr">
        <is>
          <t>STORFORS</t>
        </is>
      </c>
      <c r="G8400" t="n">
        <v>2.9</v>
      </c>
      <c r="H8400" t="n">
        <v>0</v>
      </c>
      <c r="I8400" t="n">
        <v>0</v>
      </c>
      <c r="J8400" t="n">
        <v>0</v>
      </c>
      <c r="K8400" t="n">
        <v>0</v>
      </c>
      <c r="L8400" t="n">
        <v>0</v>
      </c>
      <c r="M8400" t="n">
        <v>0</v>
      </c>
      <c r="N8400" t="n">
        <v>0</v>
      </c>
      <c r="O8400" t="n">
        <v>0</v>
      </c>
      <c r="P8400" t="n">
        <v>0</v>
      </c>
      <c r="Q8400" t="n">
        <v>0</v>
      </c>
      <c r="R8400" s="2" t="inlineStr"/>
    </row>
    <row r="8401" ht="15" customHeight="1">
      <c r="A8401" t="inlineStr">
        <is>
          <t>A 58089-2022</t>
        </is>
      </c>
      <c r="B8401" s="1" t="n">
        <v>44900</v>
      </c>
      <c r="C8401" s="1" t="n">
        <v>45810</v>
      </c>
      <c r="D8401" t="inlineStr">
        <is>
          <t>VÄRMLANDS LÄN</t>
        </is>
      </c>
      <c r="E8401" t="inlineStr">
        <is>
          <t>STORFORS</t>
        </is>
      </c>
      <c r="F8401" t="inlineStr">
        <is>
          <t>Naturvårdsverket</t>
        </is>
      </c>
      <c r="G8401" t="n">
        <v>7.3</v>
      </c>
      <c r="H8401" t="n">
        <v>0</v>
      </c>
      <c r="I8401" t="n">
        <v>0</v>
      </c>
      <c r="J8401" t="n">
        <v>0</v>
      </c>
      <c r="K8401" t="n">
        <v>0</v>
      </c>
      <c r="L8401" t="n">
        <v>0</v>
      </c>
      <c r="M8401" t="n">
        <v>0</v>
      </c>
      <c r="N8401" t="n">
        <v>0</v>
      </c>
      <c r="O8401" t="n">
        <v>0</v>
      </c>
      <c r="P8401" t="n">
        <v>0</v>
      </c>
      <c r="Q8401" t="n">
        <v>0</v>
      </c>
      <c r="R8401" s="2" t="inlineStr"/>
    </row>
    <row r="8402" ht="15" customHeight="1">
      <c r="A8402" t="inlineStr">
        <is>
          <t>A 58125-2022</t>
        </is>
      </c>
      <c r="B8402" s="1" t="n">
        <v>44900</v>
      </c>
      <c r="C8402" s="1" t="n">
        <v>45810</v>
      </c>
      <c r="D8402" t="inlineStr">
        <is>
          <t>VÄRMLANDS LÄN</t>
        </is>
      </c>
      <c r="E8402" t="inlineStr">
        <is>
          <t>STORFORS</t>
        </is>
      </c>
      <c r="G8402" t="n">
        <v>3.4</v>
      </c>
      <c r="H8402" t="n">
        <v>0</v>
      </c>
      <c r="I8402" t="n">
        <v>0</v>
      </c>
      <c r="J8402" t="n">
        <v>0</v>
      </c>
      <c r="K8402" t="n">
        <v>0</v>
      </c>
      <c r="L8402" t="n">
        <v>0</v>
      </c>
      <c r="M8402" t="n">
        <v>0</v>
      </c>
      <c r="N8402" t="n">
        <v>0</v>
      </c>
      <c r="O8402" t="n">
        <v>0</v>
      </c>
      <c r="P8402" t="n">
        <v>0</v>
      </c>
      <c r="Q8402" t="n">
        <v>0</v>
      </c>
      <c r="R8402" s="2" t="inlineStr"/>
    </row>
    <row r="8403" ht="15" customHeight="1">
      <c r="A8403" t="inlineStr">
        <is>
          <t>A 58131-2022</t>
        </is>
      </c>
      <c r="B8403" s="1" t="n">
        <v>44900</v>
      </c>
      <c r="C8403" s="1" t="n">
        <v>45810</v>
      </c>
      <c r="D8403" t="inlineStr">
        <is>
          <t>VÄRMLANDS LÄN</t>
        </is>
      </c>
      <c r="E8403" t="inlineStr">
        <is>
          <t>SUNNE</t>
        </is>
      </c>
      <c r="G8403" t="n">
        <v>0.7</v>
      </c>
      <c r="H8403" t="n">
        <v>0</v>
      </c>
      <c r="I8403" t="n">
        <v>0</v>
      </c>
      <c r="J8403" t="n">
        <v>0</v>
      </c>
      <c r="K8403" t="n">
        <v>0</v>
      </c>
      <c r="L8403" t="n">
        <v>0</v>
      </c>
      <c r="M8403" t="n">
        <v>0</v>
      </c>
      <c r="N8403" t="n">
        <v>0</v>
      </c>
      <c r="O8403" t="n">
        <v>0</v>
      </c>
      <c r="P8403" t="n">
        <v>0</v>
      </c>
      <c r="Q8403" t="n">
        <v>0</v>
      </c>
      <c r="R8403" s="2" t="inlineStr"/>
    </row>
    <row r="8404" ht="15" customHeight="1">
      <c r="A8404" t="inlineStr">
        <is>
          <t>A 57981-2022</t>
        </is>
      </c>
      <c r="B8404" s="1" t="n">
        <v>44900</v>
      </c>
      <c r="C8404" s="1" t="n">
        <v>45810</v>
      </c>
      <c r="D8404" t="inlineStr">
        <is>
          <t>VÄRMLANDS LÄN</t>
        </is>
      </c>
      <c r="E8404" t="inlineStr">
        <is>
          <t>STORFORS</t>
        </is>
      </c>
      <c r="F8404" t="inlineStr">
        <is>
          <t>Naturvårdsverket</t>
        </is>
      </c>
      <c r="G8404" t="n">
        <v>1.2</v>
      </c>
      <c r="H8404" t="n">
        <v>0</v>
      </c>
      <c r="I8404" t="n">
        <v>0</v>
      </c>
      <c r="J8404" t="n">
        <v>0</v>
      </c>
      <c r="K8404" t="n">
        <v>0</v>
      </c>
      <c r="L8404" t="n">
        <v>0</v>
      </c>
      <c r="M8404" t="n">
        <v>0</v>
      </c>
      <c r="N8404" t="n">
        <v>0</v>
      </c>
      <c r="O8404" t="n">
        <v>0</v>
      </c>
      <c r="P8404" t="n">
        <v>0</v>
      </c>
      <c r="Q8404" t="n">
        <v>0</v>
      </c>
      <c r="R8404" s="2" t="inlineStr"/>
    </row>
    <row r="8405" ht="15" customHeight="1">
      <c r="A8405" t="inlineStr">
        <is>
          <t>A 58153-2022</t>
        </is>
      </c>
      <c r="B8405" s="1" t="n">
        <v>44900</v>
      </c>
      <c r="C8405" s="1" t="n">
        <v>45810</v>
      </c>
      <c r="D8405" t="inlineStr">
        <is>
          <t>VÄRMLANDS LÄN</t>
        </is>
      </c>
      <c r="E8405" t="inlineStr">
        <is>
          <t>ARVIKA</t>
        </is>
      </c>
      <c r="G8405" t="n">
        <v>1.6</v>
      </c>
      <c r="H8405" t="n">
        <v>0</v>
      </c>
      <c r="I8405" t="n">
        <v>0</v>
      </c>
      <c r="J8405" t="n">
        <v>0</v>
      </c>
      <c r="K8405" t="n">
        <v>0</v>
      </c>
      <c r="L8405" t="n">
        <v>0</v>
      </c>
      <c r="M8405" t="n">
        <v>0</v>
      </c>
      <c r="N8405" t="n">
        <v>0</v>
      </c>
      <c r="O8405" t="n">
        <v>0</v>
      </c>
      <c r="P8405" t="n">
        <v>0</v>
      </c>
      <c r="Q8405" t="n">
        <v>0</v>
      </c>
      <c r="R8405" s="2" t="inlineStr"/>
    </row>
    <row r="8406" ht="15" customHeight="1">
      <c r="A8406" t="inlineStr">
        <is>
          <t>A 59712-2022</t>
        </is>
      </c>
      <c r="B8406" s="1" t="n">
        <v>44900</v>
      </c>
      <c r="C8406" s="1" t="n">
        <v>45810</v>
      </c>
      <c r="D8406" t="inlineStr">
        <is>
          <t>VÄRMLANDS LÄN</t>
        </is>
      </c>
      <c r="E8406" t="inlineStr">
        <is>
          <t>SÄFFLE</t>
        </is>
      </c>
      <c r="G8406" t="n">
        <v>4.7</v>
      </c>
      <c r="H8406" t="n">
        <v>0</v>
      </c>
      <c r="I8406" t="n">
        <v>0</v>
      </c>
      <c r="J8406" t="n">
        <v>0</v>
      </c>
      <c r="K8406" t="n">
        <v>0</v>
      </c>
      <c r="L8406" t="n">
        <v>0</v>
      </c>
      <c r="M8406" t="n">
        <v>0</v>
      </c>
      <c r="N8406" t="n">
        <v>0</v>
      </c>
      <c r="O8406" t="n">
        <v>0</v>
      </c>
      <c r="P8406" t="n">
        <v>0</v>
      </c>
      <c r="Q8406" t="n">
        <v>0</v>
      </c>
      <c r="R8406" s="2" t="inlineStr"/>
    </row>
    <row r="8407" ht="15" customHeight="1">
      <c r="A8407" t="inlineStr">
        <is>
          <t>A 58026-2022</t>
        </is>
      </c>
      <c r="B8407" s="1" t="n">
        <v>44900</v>
      </c>
      <c r="C8407" s="1" t="n">
        <v>45810</v>
      </c>
      <c r="D8407" t="inlineStr">
        <is>
          <t>VÄRMLANDS LÄN</t>
        </is>
      </c>
      <c r="E8407" t="inlineStr">
        <is>
          <t>STORFORS</t>
        </is>
      </c>
      <c r="F8407" t="inlineStr">
        <is>
          <t>Naturvårdsverket</t>
        </is>
      </c>
      <c r="G8407" t="n">
        <v>3.4</v>
      </c>
      <c r="H8407" t="n">
        <v>0</v>
      </c>
      <c r="I8407" t="n">
        <v>0</v>
      </c>
      <c r="J8407" t="n">
        <v>0</v>
      </c>
      <c r="K8407" t="n">
        <v>0</v>
      </c>
      <c r="L8407" t="n">
        <v>0</v>
      </c>
      <c r="M8407" t="n">
        <v>0</v>
      </c>
      <c r="N8407" t="n">
        <v>0</v>
      </c>
      <c r="O8407" t="n">
        <v>0</v>
      </c>
      <c r="P8407" t="n">
        <v>0</v>
      </c>
      <c r="Q8407" t="n">
        <v>0</v>
      </c>
      <c r="R8407" s="2" t="inlineStr"/>
    </row>
    <row r="8408" ht="15" customHeight="1">
      <c r="A8408" t="inlineStr">
        <is>
          <t>A 58039-2022</t>
        </is>
      </c>
      <c r="B8408" s="1" t="n">
        <v>44900</v>
      </c>
      <c r="C8408" s="1" t="n">
        <v>45810</v>
      </c>
      <c r="D8408" t="inlineStr">
        <is>
          <t>VÄRMLANDS LÄN</t>
        </is>
      </c>
      <c r="E8408" t="inlineStr">
        <is>
          <t>ÅRJÄNG</t>
        </is>
      </c>
      <c r="G8408" t="n">
        <v>1.1</v>
      </c>
      <c r="H8408" t="n">
        <v>0</v>
      </c>
      <c r="I8408" t="n">
        <v>0</v>
      </c>
      <c r="J8408" t="n">
        <v>0</v>
      </c>
      <c r="K8408" t="n">
        <v>0</v>
      </c>
      <c r="L8408" t="n">
        <v>0</v>
      </c>
      <c r="M8408" t="n">
        <v>0</v>
      </c>
      <c r="N8408" t="n">
        <v>0</v>
      </c>
      <c r="O8408" t="n">
        <v>0</v>
      </c>
      <c r="P8408" t="n">
        <v>0</v>
      </c>
      <c r="Q8408" t="n">
        <v>0</v>
      </c>
      <c r="R8408" s="2" t="inlineStr"/>
    </row>
    <row r="8409" ht="15" customHeight="1">
      <c r="A8409" t="inlineStr">
        <is>
          <t>A 58143-2022</t>
        </is>
      </c>
      <c r="B8409" s="1" t="n">
        <v>44900</v>
      </c>
      <c r="C8409" s="1" t="n">
        <v>45810</v>
      </c>
      <c r="D8409" t="inlineStr">
        <is>
          <t>VÄRMLANDS LÄN</t>
        </is>
      </c>
      <c r="E8409" t="inlineStr">
        <is>
          <t>ARVIKA</t>
        </is>
      </c>
      <c r="G8409" t="n">
        <v>0.2</v>
      </c>
      <c r="H8409" t="n">
        <v>0</v>
      </c>
      <c r="I8409" t="n">
        <v>0</v>
      </c>
      <c r="J8409" t="n">
        <v>0</v>
      </c>
      <c r="K8409" t="n">
        <v>0</v>
      </c>
      <c r="L8409" t="n">
        <v>0</v>
      </c>
      <c r="M8409" t="n">
        <v>0</v>
      </c>
      <c r="N8409" t="n">
        <v>0</v>
      </c>
      <c r="O8409" t="n">
        <v>0</v>
      </c>
      <c r="P8409" t="n">
        <v>0</v>
      </c>
      <c r="Q8409" t="n">
        <v>0</v>
      </c>
      <c r="R8409" s="2" t="inlineStr"/>
    </row>
    <row r="8410" ht="15" customHeight="1">
      <c r="A8410" t="inlineStr">
        <is>
          <t>A 58151-2022</t>
        </is>
      </c>
      <c r="B8410" s="1" t="n">
        <v>44900</v>
      </c>
      <c r="C8410" s="1" t="n">
        <v>45810</v>
      </c>
      <c r="D8410" t="inlineStr">
        <is>
          <t>VÄRMLANDS LÄN</t>
        </is>
      </c>
      <c r="E8410" t="inlineStr">
        <is>
          <t>EDA</t>
        </is>
      </c>
      <c r="G8410" t="n">
        <v>1.3</v>
      </c>
      <c r="H8410" t="n">
        <v>0</v>
      </c>
      <c r="I8410" t="n">
        <v>0</v>
      </c>
      <c r="J8410" t="n">
        <v>0</v>
      </c>
      <c r="K8410" t="n">
        <v>0</v>
      </c>
      <c r="L8410" t="n">
        <v>0</v>
      </c>
      <c r="M8410" t="n">
        <v>0</v>
      </c>
      <c r="N8410" t="n">
        <v>0</v>
      </c>
      <c r="O8410" t="n">
        <v>0</v>
      </c>
      <c r="P8410" t="n">
        <v>0</v>
      </c>
      <c r="Q8410" t="n">
        <v>0</v>
      </c>
      <c r="R8410" s="2" t="inlineStr"/>
    </row>
    <row r="8411" ht="15" customHeight="1">
      <c r="A8411" t="inlineStr">
        <is>
          <t>A 58092-2022</t>
        </is>
      </c>
      <c r="B8411" s="1" t="n">
        <v>44900</v>
      </c>
      <c r="C8411" s="1" t="n">
        <v>45810</v>
      </c>
      <c r="D8411" t="inlineStr">
        <is>
          <t>VÄRMLANDS LÄN</t>
        </is>
      </c>
      <c r="E8411" t="inlineStr">
        <is>
          <t>SUNNE</t>
        </is>
      </c>
      <c r="G8411" t="n">
        <v>1.4</v>
      </c>
      <c r="H8411" t="n">
        <v>0</v>
      </c>
      <c r="I8411" t="n">
        <v>0</v>
      </c>
      <c r="J8411" t="n">
        <v>0</v>
      </c>
      <c r="K8411" t="n">
        <v>0</v>
      </c>
      <c r="L8411" t="n">
        <v>0</v>
      </c>
      <c r="M8411" t="n">
        <v>0</v>
      </c>
      <c r="N8411" t="n">
        <v>0</v>
      </c>
      <c r="O8411" t="n">
        <v>0</v>
      </c>
      <c r="P8411" t="n">
        <v>0</v>
      </c>
      <c r="Q8411" t="n">
        <v>0</v>
      </c>
      <c r="R8411" s="2" t="inlineStr"/>
    </row>
    <row r="8412" ht="15" customHeight="1">
      <c r="A8412" t="inlineStr">
        <is>
          <t>A 58097-2022</t>
        </is>
      </c>
      <c r="B8412" s="1" t="n">
        <v>44900</v>
      </c>
      <c r="C8412" s="1" t="n">
        <v>45810</v>
      </c>
      <c r="D8412" t="inlineStr">
        <is>
          <t>VÄRMLANDS LÄN</t>
        </is>
      </c>
      <c r="E8412" t="inlineStr">
        <is>
          <t>SUNNE</t>
        </is>
      </c>
      <c r="G8412" t="n">
        <v>1.9</v>
      </c>
      <c r="H8412" t="n">
        <v>0</v>
      </c>
      <c r="I8412" t="n">
        <v>0</v>
      </c>
      <c r="J8412" t="n">
        <v>0</v>
      </c>
      <c r="K8412" t="n">
        <v>0</v>
      </c>
      <c r="L8412" t="n">
        <v>0</v>
      </c>
      <c r="M8412" t="n">
        <v>0</v>
      </c>
      <c r="N8412" t="n">
        <v>0</v>
      </c>
      <c r="O8412" t="n">
        <v>0</v>
      </c>
      <c r="P8412" t="n">
        <v>0</v>
      </c>
      <c r="Q8412" t="n">
        <v>0</v>
      </c>
      <c r="R8412" s="2" t="inlineStr"/>
    </row>
    <row r="8413" ht="15" customHeight="1">
      <c r="A8413" t="inlineStr">
        <is>
          <t>A 58129-2022</t>
        </is>
      </c>
      <c r="B8413" s="1" t="n">
        <v>44900</v>
      </c>
      <c r="C8413" s="1" t="n">
        <v>45810</v>
      </c>
      <c r="D8413" t="inlineStr">
        <is>
          <t>VÄRMLANDS LÄN</t>
        </is>
      </c>
      <c r="E8413" t="inlineStr">
        <is>
          <t>SUNNE</t>
        </is>
      </c>
      <c r="G8413" t="n">
        <v>1.8</v>
      </c>
      <c r="H8413" t="n">
        <v>0</v>
      </c>
      <c r="I8413" t="n">
        <v>0</v>
      </c>
      <c r="J8413" t="n">
        <v>0</v>
      </c>
      <c r="K8413" t="n">
        <v>0</v>
      </c>
      <c r="L8413" t="n">
        <v>0</v>
      </c>
      <c r="M8413" t="n">
        <v>0</v>
      </c>
      <c r="N8413" t="n">
        <v>0</v>
      </c>
      <c r="O8413" t="n">
        <v>0</v>
      </c>
      <c r="P8413" t="n">
        <v>0</v>
      </c>
      <c r="Q8413" t="n">
        <v>0</v>
      </c>
      <c r="R8413" s="2" t="inlineStr"/>
    </row>
    <row r="8414" ht="15" customHeight="1">
      <c r="A8414" t="inlineStr">
        <is>
          <t>A 58133-2022</t>
        </is>
      </c>
      <c r="B8414" s="1" t="n">
        <v>44900</v>
      </c>
      <c r="C8414" s="1" t="n">
        <v>45810</v>
      </c>
      <c r="D8414" t="inlineStr">
        <is>
          <t>VÄRMLANDS LÄN</t>
        </is>
      </c>
      <c r="E8414" t="inlineStr">
        <is>
          <t>ARVIKA</t>
        </is>
      </c>
      <c r="G8414" t="n">
        <v>1.4</v>
      </c>
      <c r="H8414" t="n">
        <v>0</v>
      </c>
      <c r="I8414" t="n">
        <v>0</v>
      </c>
      <c r="J8414" t="n">
        <v>0</v>
      </c>
      <c r="K8414" t="n">
        <v>0</v>
      </c>
      <c r="L8414" t="n">
        <v>0</v>
      </c>
      <c r="M8414" t="n">
        <v>0</v>
      </c>
      <c r="N8414" t="n">
        <v>0</v>
      </c>
      <c r="O8414" t="n">
        <v>0</v>
      </c>
      <c r="P8414" t="n">
        <v>0</v>
      </c>
      <c r="Q8414" t="n">
        <v>0</v>
      </c>
      <c r="R8414" s="2" t="inlineStr"/>
    </row>
    <row r="8415" ht="15" customHeight="1">
      <c r="A8415" t="inlineStr">
        <is>
          <t>A 59544-2022</t>
        </is>
      </c>
      <c r="B8415" s="1" t="n">
        <v>44900</v>
      </c>
      <c r="C8415" s="1" t="n">
        <v>45810</v>
      </c>
      <c r="D8415" t="inlineStr">
        <is>
          <t>VÄRMLANDS LÄN</t>
        </is>
      </c>
      <c r="E8415" t="inlineStr">
        <is>
          <t>SÄFFLE</t>
        </is>
      </c>
      <c r="G8415" t="n">
        <v>7.1</v>
      </c>
      <c r="H8415" t="n">
        <v>0</v>
      </c>
      <c r="I8415" t="n">
        <v>0</v>
      </c>
      <c r="J8415" t="n">
        <v>0</v>
      </c>
      <c r="K8415" t="n">
        <v>0</v>
      </c>
      <c r="L8415" t="n">
        <v>0</v>
      </c>
      <c r="M8415" t="n">
        <v>0</v>
      </c>
      <c r="N8415" t="n">
        <v>0</v>
      </c>
      <c r="O8415" t="n">
        <v>0</v>
      </c>
      <c r="P8415" t="n">
        <v>0</v>
      </c>
      <c r="Q8415" t="n">
        <v>0</v>
      </c>
      <c r="R8415" s="2" t="inlineStr"/>
    </row>
    <row r="8416" ht="15" customHeight="1">
      <c r="A8416" t="inlineStr">
        <is>
          <t>A 59708-2022</t>
        </is>
      </c>
      <c r="B8416" s="1" t="n">
        <v>44900</v>
      </c>
      <c r="C8416" s="1" t="n">
        <v>45810</v>
      </c>
      <c r="D8416" t="inlineStr">
        <is>
          <t>VÄRMLANDS LÄN</t>
        </is>
      </c>
      <c r="E8416" t="inlineStr">
        <is>
          <t>SÄFFLE</t>
        </is>
      </c>
      <c r="G8416" t="n">
        <v>11.2</v>
      </c>
      <c r="H8416" t="n">
        <v>0</v>
      </c>
      <c r="I8416" t="n">
        <v>0</v>
      </c>
      <c r="J8416" t="n">
        <v>0</v>
      </c>
      <c r="K8416" t="n">
        <v>0</v>
      </c>
      <c r="L8416" t="n">
        <v>0</v>
      </c>
      <c r="M8416" t="n">
        <v>0</v>
      </c>
      <c r="N8416" t="n">
        <v>0</v>
      </c>
      <c r="O8416" t="n">
        <v>0</v>
      </c>
      <c r="P8416" t="n">
        <v>0</v>
      </c>
      <c r="Q8416" t="n">
        <v>0</v>
      </c>
      <c r="R8416" s="2" t="inlineStr"/>
    </row>
    <row r="8417" ht="15" customHeight="1">
      <c r="A8417" t="inlineStr">
        <is>
          <t>A 59660-2022</t>
        </is>
      </c>
      <c r="B8417" s="1" t="n">
        <v>44900</v>
      </c>
      <c r="C8417" s="1" t="n">
        <v>45810</v>
      </c>
      <c r="D8417" t="inlineStr">
        <is>
          <t>VÄRMLANDS LÄN</t>
        </is>
      </c>
      <c r="E8417" t="inlineStr">
        <is>
          <t>SÄFFLE</t>
        </is>
      </c>
      <c r="G8417" t="n">
        <v>0.9</v>
      </c>
      <c r="H8417" t="n">
        <v>0</v>
      </c>
      <c r="I8417" t="n">
        <v>0</v>
      </c>
      <c r="J8417" t="n">
        <v>0</v>
      </c>
      <c r="K8417" t="n">
        <v>0</v>
      </c>
      <c r="L8417" t="n">
        <v>0</v>
      </c>
      <c r="M8417" t="n">
        <v>0</v>
      </c>
      <c r="N8417" t="n">
        <v>0</v>
      </c>
      <c r="O8417" t="n">
        <v>0</v>
      </c>
      <c r="P8417" t="n">
        <v>0</v>
      </c>
      <c r="Q8417" t="n">
        <v>0</v>
      </c>
      <c r="R8417" s="2" t="inlineStr"/>
    </row>
    <row r="8418" ht="15" customHeight="1">
      <c r="A8418" t="inlineStr">
        <is>
          <t>A 58210-2022</t>
        </is>
      </c>
      <c r="B8418" s="1" t="n">
        <v>44901</v>
      </c>
      <c r="C8418" s="1" t="n">
        <v>45810</v>
      </c>
      <c r="D8418" t="inlineStr">
        <is>
          <t>VÄRMLANDS LÄN</t>
        </is>
      </c>
      <c r="E8418" t="inlineStr">
        <is>
          <t>HAGFORS</t>
        </is>
      </c>
      <c r="G8418" t="n">
        <v>4.3</v>
      </c>
      <c r="H8418" t="n">
        <v>0</v>
      </c>
      <c r="I8418" t="n">
        <v>0</v>
      </c>
      <c r="J8418" t="n">
        <v>0</v>
      </c>
      <c r="K8418" t="n">
        <v>0</v>
      </c>
      <c r="L8418" t="n">
        <v>0</v>
      </c>
      <c r="M8418" t="n">
        <v>0</v>
      </c>
      <c r="N8418" t="n">
        <v>0</v>
      </c>
      <c r="O8418" t="n">
        <v>0</v>
      </c>
      <c r="P8418" t="n">
        <v>0</v>
      </c>
      <c r="Q8418" t="n">
        <v>0</v>
      </c>
      <c r="R8418" s="2" t="inlineStr"/>
    </row>
    <row r="8419" ht="15" customHeight="1">
      <c r="A8419" t="inlineStr">
        <is>
          <t>A 58225-2022</t>
        </is>
      </c>
      <c r="B8419" s="1" t="n">
        <v>44901</v>
      </c>
      <c r="C8419" s="1" t="n">
        <v>45810</v>
      </c>
      <c r="D8419" t="inlineStr">
        <is>
          <t>VÄRMLANDS LÄN</t>
        </is>
      </c>
      <c r="E8419" t="inlineStr">
        <is>
          <t>TORSBY</t>
        </is>
      </c>
      <c r="G8419" t="n">
        <v>11.7</v>
      </c>
      <c r="H8419" t="n">
        <v>0</v>
      </c>
      <c r="I8419" t="n">
        <v>0</v>
      </c>
      <c r="J8419" t="n">
        <v>0</v>
      </c>
      <c r="K8419" t="n">
        <v>0</v>
      </c>
      <c r="L8419" t="n">
        <v>0</v>
      </c>
      <c r="M8419" t="n">
        <v>0</v>
      </c>
      <c r="N8419" t="n">
        <v>0</v>
      </c>
      <c r="O8419" t="n">
        <v>0</v>
      </c>
      <c r="P8419" t="n">
        <v>0</v>
      </c>
      <c r="Q8419" t="n">
        <v>0</v>
      </c>
      <c r="R8419" s="2" t="inlineStr"/>
    </row>
    <row r="8420" ht="15" customHeight="1">
      <c r="A8420" t="inlineStr">
        <is>
          <t>A 58343-2022</t>
        </is>
      </c>
      <c r="B8420" s="1" t="n">
        <v>44901</v>
      </c>
      <c r="C8420" s="1" t="n">
        <v>45810</v>
      </c>
      <c r="D8420" t="inlineStr">
        <is>
          <t>VÄRMLANDS LÄN</t>
        </is>
      </c>
      <c r="E8420" t="inlineStr">
        <is>
          <t>EDA</t>
        </is>
      </c>
      <c r="G8420" t="n">
        <v>1.6</v>
      </c>
      <c r="H8420" t="n">
        <v>0</v>
      </c>
      <c r="I8420" t="n">
        <v>0</v>
      </c>
      <c r="J8420" t="n">
        <v>0</v>
      </c>
      <c r="K8420" t="n">
        <v>0</v>
      </c>
      <c r="L8420" t="n">
        <v>0</v>
      </c>
      <c r="M8420" t="n">
        <v>0</v>
      </c>
      <c r="N8420" t="n">
        <v>0</v>
      </c>
      <c r="O8420" t="n">
        <v>0</v>
      </c>
      <c r="P8420" t="n">
        <v>0</v>
      </c>
      <c r="Q8420" t="n">
        <v>0</v>
      </c>
      <c r="R8420" s="2" t="inlineStr"/>
    </row>
    <row r="8421" ht="15" customHeight="1">
      <c r="A8421" t="inlineStr">
        <is>
          <t>A 58208-2022</t>
        </is>
      </c>
      <c r="B8421" s="1" t="n">
        <v>44901</v>
      </c>
      <c r="C8421" s="1" t="n">
        <v>45810</v>
      </c>
      <c r="D8421" t="inlineStr">
        <is>
          <t>VÄRMLANDS LÄN</t>
        </is>
      </c>
      <c r="E8421" t="inlineStr">
        <is>
          <t>HAGFORS</t>
        </is>
      </c>
      <c r="F8421" t="inlineStr">
        <is>
          <t>Bergvik skog väst AB</t>
        </is>
      </c>
      <c r="G8421" t="n">
        <v>6.6</v>
      </c>
      <c r="H8421" t="n">
        <v>0</v>
      </c>
      <c r="I8421" t="n">
        <v>0</v>
      </c>
      <c r="J8421" t="n">
        <v>0</v>
      </c>
      <c r="K8421" t="n">
        <v>0</v>
      </c>
      <c r="L8421" t="n">
        <v>0</v>
      </c>
      <c r="M8421" t="n">
        <v>0</v>
      </c>
      <c r="N8421" t="n">
        <v>0</v>
      </c>
      <c r="O8421" t="n">
        <v>0</v>
      </c>
      <c r="P8421" t="n">
        <v>0</v>
      </c>
      <c r="Q8421" t="n">
        <v>0</v>
      </c>
      <c r="R8421" s="2" t="inlineStr"/>
    </row>
    <row r="8422" ht="15" customHeight="1">
      <c r="A8422" t="inlineStr">
        <is>
          <t>A 58234-2022</t>
        </is>
      </c>
      <c r="B8422" s="1" t="n">
        <v>44901</v>
      </c>
      <c r="C8422" s="1" t="n">
        <v>45810</v>
      </c>
      <c r="D8422" t="inlineStr">
        <is>
          <t>VÄRMLANDS LÄN</t>
        </is>
      </c>
      <c r="E8422" t="inlineStr">
        <is>
          <t>EDA</t>
        </is>
      </c>
      <c r="G8422" t="n">
        <v>0.8</v>
      </c>
      <c r="H8422" t="n">
        <v>0</v>
      </c>
      <c r="I8422" t="n">
        <v>0</v>
      </c>
      <c r="J8422" t="n">
        <v>0</v>
      </c>
      <c r="K8422" t="n">
        <v>0</v>
      </c>
      <c r="L8422" t="n">
        <v>0</v>
      </c>
      <c r="M8422" t="n">
        <v>0</v>
      </c>
      <c r="N8422" t="n">
        <v>0</v>
      </c>
      <c r="O8422" t="n">
        <v>0</v>
      </c>
      <c r="P8422" t="n">
        <v>0</v>
      </c>
      <c r="Q8422" t="n">
        <v>0</v>
      </c>
      <c r="R8422" s="2" t="inlineStr"/>
    </row>
    <row r="8423" ht="15" customHeight="1">
      <c r="A8423" t="inlineStr">
        <is>
          <t>A 58261-2022</t>
        </is>
      </c>
      <c r="B8423" s="1" t="n">
        <v>44901</v>
      </c>
      <c r="C8423" s="1" t="n">
        <v>45810</v>
      </c>
      <c r="D8423" t="inlineStr">
        <is>
          <t>VÄRMLANDS LÄN</t>
        </is>
      </c>
      <c r="E8423" t="inlineStr">
        <is>
          <t>EDA</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58399-2022</t>
        </is>
      </c>
      <c r="B8424" s="1" t="n">
        <v>44901</v>
      </c>
      <c r="C8424" s="1" t="n">
        <v>45810</v>
      </c>
      <c r="D8424" t="inlineStr">
        <is>
          <t>VÄRMLANDS LÄN</t>
        </is>
      </c>
      <c r="E8424" t="inlineStr">
        <is>
          <t>ARVIKA</t>
        </is>
      </c>
      <c r="G8424" t="n">
        <v>1.3</v>
      </c>
      <c r="H8424" t="n">
        <v>0</v>
      </c>
      <c r="I8424" t="n">
        <v>0</v>
      </c>
      <c r="J8424" t="n">
        <v>0</v>
      </c>
      <c r="K8424" t="n">
        <v>0</v>
      </c>
      <c r="L8424" t="n">
        <v>0</v>
      </c>
      <c r="M8424" t="n">
        <v>0</v>
      </c>
      <c r="N8424" t="n">
        <v>0</v>
      </c>
      <c r="O8424" t="n">
        <v>0</v>
      </c>
      <c r="P8424" t="n">
        <v>0</v>
      </c>
      <c r="Q8424" t="n">
        <v>0</v>
      </c>
      <c r="R8424" s="2" t="inlineStr"/>
    </row>
    <row r="8425" ht="15" customHeight="1">
      <c r="A8425" t="inlineStr">
        <is>
          <t>A 58414-2022</t>
        </is>
      </c>
      <c r="B8425" s="1" t="n">
        <v>44901</v>
      </c>
      <c r="C8425" s="1" t="n">
        <v>45810</v>
      </c>
      <c r="D8425" t="inlineStr">
        <is>
          <t>VÄRMLANDS LÄN</t>
        </is>
      </c>
      <c r="E8425" t="inlineStr">
        <is>
          <t>EDA</t>
        </is>
      </c>
      <c r="G8425" t="n">
        <v>1.6</v>
      </c>
      <c r="H8425" t="n">
        <v>0</v>
      </c>
      <c r="I8425" t="n">
        <v>0</v>
      </c>
      <c r="J8425" t="n">
        <v>0</v>
      </c>
      <c r="K8425" t="n">
        <v>0</v>
      </c>
      <c r="L8425" t="n">
        <v>0</v>
      </c>
      <c r="M8425" t="n">
        <v>0</v>
      </c>
      <c r="N8425" t="n">
        <v>0</v>
      </c>
      <c r="O8425" t="n">
        <v>0</v>
      </c>
      <c r="P8425" t="n">
        <v>0</v>
      </c>
      <c r="Q8425" t="n">
        <v>0</v>
      </c>
      <c r="R8425" s="2" t="inlineStr"/>
    </row>
    <row r="8426" ht="15" customHeight="1">
      <c r="A8426" t="inlineStr">
        <is>
          <t>A 58276-2022</t>
        </is>
      </c>
      <c r="B8426" s="1" t="n">
        <v>44901</v>
      </c>
      <c r="C8426" s="1" t="n">
        <v>45810</v>
      </c>
      <c r="D8426" t="inlineStr">
        <is>
          <t>VÄRMLANDS LÄN</t>
        </is>
      </c>
      <c r="E8426" t="inlineStr">
        <is>
          <t>TORSBY</t>
        </is>
      </c>
      <c r="G8426" t="n">
        <v>2.8</v>
      </c>
      <c r="H8426" t="n">
        <v>0</v>
      </c>
      <c r="I8426" t="n">
        <v>0</v>
      </c>
      <c r="J8426" t="n">
        <v>0</v>
      </c>
      <c r="K8426" t="n">
        <v>0</v>
      </c>
      <c r="L8426" t="n">
        <v>0</v>
      </c>
      <c r="M8426" t="n">
        <v>0</v>
      </c>
      <c r="N8426" t="n">
        <v>0</v>
      </c>
      <c r="O8426" t="n">
        <v>0</v>
      </c>
      <c r="P8426" t="n">
        <v>0</v>
      </c>
      <c r="Q8426" t="n">
        <v>0</v>
      </c>
      <c r="R8426" s="2" t="inlineStr"/>
    </row>
    <row r="8427" ht="15" customHeight="1">
      <c r="A8427" t="inlineStr">
        <is>
          <t>A 58369-2022</t>
        </is>
      </c>
      <c r="B8427" s="1" t="n">
        <v>44901</v>
      </c>
      <c r="C8427" s="1" t="n">
        <v>45810</v>
      </c>
      <c r="D8427" t="inlineStr">
        <is>
          <t>VÄRMLANDS LÄN</t>
        </is>
      </c>
      <c r="E8427" t="inlineStr">
        <is>
          <t>KARLSTAD</t>
        </is>
      </c>
      <c r="G8427" t="n">
        <v>1.1</v>
      </c>
      <c r="H8427" t="n">
        <v>0</v>
      </c>
      <c r="I8427" t="n">
        <v>0</v>
      </c>
      <c r="J8427" t="n">
        <v>0</v>
      </c>
      <c r="K8427" t="n">
        <v>0</v>
      </c>
      <c r="L8427" t="n">
        <v>0</v>
      </c>
      <c r="M8427" t="n">
        <v>0</v>
      </c>
      <c r="N8427" t="n">
        <v>0</v>
      </c>
      <c r="O8427" t="n">
        <v>0</v>
      </c>
      <c r="P8427" t="n">
        <v>0</v>
      </c>
      <c r="Q8427" t="n">
        <v>0</v>
      </c>
      <c r="R8427" s="2" t="inlineStr"/>
    </row>
    <row r="8428" ht="15" customHeight="1">
      <c r="A8428" t="inlineStr">
        <is>
          <t>A 58408-2022</t>
        </is>
      </c>
      <c r="B8428" s="1" t="n">
        <v>44901</v>
      </c>
      <c r="C8428" s="1" t="n">
        <v>45810</v>
      </c>
      <c r="D8428" t="inlineStr">
        <is>
          <t>VÄRMLANDS LÄN</t>
        </is>
      </c>
      <c r="E8428" t="inlineStr">
        <is>
          <t>ARVIKA</t>
        </is>
      </c>
      <c r="G8428" t="n">
        <v>16.4</v>
      </c>
      <c r="H8428" t="n">
        <v>0</v>
      </c>
      <c r="I8428" t="n">
        <v>0</v>
      </c>
      <c r="J8428" t="n">
        <v>0</v>
      </c>
      <c r="K8428" t="n">
        <v>0</v>
      </c>
      <c r="L8428" t="n">
        <v>0</v>
      </c>
      <c r="M8428" t="n">
        <v>0</v>
      </c>
      <c r="N8428" t="n">
        <v>0</v>
      </c>
      <c r="O8428" t="n">
        <v>0</v>
      </c>
      <c r="P8428" t="n">
        <v>0</v>
      </c>
      <c r="Q8428" t="n">
        <v>0</v>
      </c>
      <c r="R8428" s="2" t="inlineStr"/>
    </row>
    <row r="8429" ht="15" customHeight="1">
      <c r="A8429" t="inlineStr">
        <is>
          <t>A 58417-2022</t>
        </is>
      </c>
      <c r="B8429" s="1" t="n">
        <v>44901</v>
      </c>
      <c r="C8429" s="1" t="n">
        <v>45810</v>
      </c>
      <c r="D8429" t="inlineStr">
        <is>
          <t>VÄRMLANDS LÄN</t>
        </is>
      </c>
      <c r="E8429" t="inlineStr">
        <is>
          <t>HAGFORS</t>
        </is>
      </c>
      <c r="F8429" t="inlineStr">
        <is>
          <t>Bergvik skog väst AB</t>
        </is>
      </c>
      <c r="G8429" t="n">
        <v>1.7</v>
      </c>
      <c r="H8429" t="n">
        <v>0</v>
      </c>
      <c r="I8429" t="n">
        <v>0</v>
      </c>
      <c r="J8429" t="n">
        <v>0</v>
      </c>
      <c r="K8429" t="n">
        <v>0</v>
      </c>
      <c r="L8429" t="n">
        <v>0</v>
      </c>
      <c r="M8429" t="n">
        <v>0</v>
      </c>
      <c r="N8429" t="n">
        <v>0</v>
      </c>
      <c r="O8429" t="n">
        <v>0</v>
      </c>
      <c r="P8429" t="n">
        <v>0</v>
      </c>
      <c r="Q8429" t="n">
        <v>0</v>
      </c>
      <c r="R8429" s="2" t="inlineStr"/>
    </row>
    <row r="8430" ht="15" customHeight="1">
      <c r="A8430" t="inlineStr">
        <is>
          <t>A 58235-2022</t>
        </is>
      </c>
      <c r="B8430" s="1" t="n">
        <v>44901</v>
      </c>
      <c r="C8430" s="1" t="n">
        <v>45810</v>
      </c>
      <c r="D8430" t="inlineStr">
        <is>
          <t>VÄRMLANDS LÄN</t>
        </is>
      </c>
      <c r="E8430" t="inlineStr">
        <is>
          <t>ARVIKA</t>
        </is>
      </c>
      <c r="G8430" t="n">
        <v>1.2</v>
      </c>
      <c r="H8430" t="n">
        <v>0</v>
      </c>
      <c r="I8430" t="n">
        <v>0</v>
      </c>
      <c r="J8430" t="n">
        <v>0</v>
      </c>
      <c r="K8430" t="n">
        <v>0</v>
      </c>
      <c r="L8430" t="n">
        <v>0</v>
      </c>
      <c r="M8430" t="n">
        <v>0</v>
      </c>
      <c r="N8430" t="n">
        <v>0</v>
      </c>
      <c r="O8430" t="n">
        <v>0</v>
      </c>
      <c r="P8430" t="n">
        <v>0</v>
      </c>
      <c r="Q8430" t="n">
        <v>0</v>
      </c>
      <c r="R8430" s="2" t="inlineStr"/>
    </row>
    <row r="8431" ht="15" customHeight="1">
      <c r="A8431" t="inlineStr">
        <is>
          <t>A 58392-2022</t>
        </is>
      </c>
      <c r="B8431" s="1" t="n">
        <v>44901</v>
      </c>
      <c r="C8431" s="1" t="n">
        <v>45810</v>
      </c>
      <c r="D8431" t="inlineStr">
        <is>
          <t>VÄRMLANDS LÄN</t>
        </is>
      </c>
      <c r="E8431" t="inlineStr">
        <is>
          <t>EDA</t>
        </is>
      </c>
      <c r="G8431" t="n">
        <v>3.4</v>
      </c>
      <c r="H8431" t="n">
        <v>0</v>
      </c>
      <c r="I8431" t="n">
        <v>0</v>
      </c>
      <c r="J8431" t="n">
        <v>0</v>
      </c>
      <c r="K8431" t="n">
        <v>0</v>
      </c>
      <c r="L8431" t="n">
        <v>0</v>
      </c>
      <c r="M8431" t="n">
        <v>0</v>
      </c>
      <c r="N8431" t="n">
        <v>0</v>
      </c>
      <c r="O8431" t="n">
        <v>0</v>
      </c>
      <c r="P8431" t="n">
        <v>0</v>
      </c>
      <c r="Q8431" t="n">
        <v>0</v>
      </c>
      <c r="R8431" s="2" t="inlineStr"/>
    </row>
    <row r="8432" ht="15" customHeight="1">
      <c r="A8432" t="inlineStr">
        <is>
          <t>A 58380-2022</t>
        </is>
      </c>
      <c r="B8432" s="1" t="n">
        <v>44901</v>
      </c>
      <c r="C8432" s="1" t="n">
        <v>45810</v>
      </c>
      <c r="D8432" t="inlineStr">
        <is>
          <t>VÄRMLANDS LÄN</t>
        </is>
      </c>
      <c r="E8432" t="inlineStr">
        <is>
          <t>FORSHAGA</t>
        </is>
      </c>
      <c r="F8432" t="inlineStr">
        <is>
          <t>Bergvik skog väst AB</t>
        </is>
      </c>
      <c r="G8432" t="n">
        <v>4.9</v>
      </c>
      <c r="H8432" t="n">
        <v>0</v>
      </c>
      <c r="I8432" t="n">
        <v>0</v>
      </c>
      <c r="J8432" t="n">
        <v>0</v>
      </c>
      <c r="K8432" t="n">
        <v>0</v>
      </c>
      <c r="L8432" t="n">
        <v>0</v>
      </c>
      <c r="M8432" t="n">
        <v>0</v>
      </c>
      <c r="N8432" t="n">
        <v>0</v>
      </c>
      <c r="O8432" t="n">
        <v>0</v>
      </c>
      <c r="P8432" t="n">
        <v>0</v>
      </c>
      <c r="Q8432" t="n">
        <v>0</v>
      </c>
      <c r="R8432" s="2" t="inlineStr"/>
    </row>
    <row r="8433" ht="15" customHeight="1">
      <c r="A8433" t="inlineStr">
        <is>
          <t>A 59976-2022</t>
        </is>
      </c>
      <c r="B8433" s="1" t="n">
        <v>44901</v>
      </c>
      <c r="C8433" s="1" t="n">
        <v>45810</v>
      </c>
      <c r="D8433" t="inlineStr">
        <is>
          <t>VÄRMLANDS LÄN</t>
        </is>
      </c>
      <c r="E8433" t="inlineStr">
        <is>
          <t>ÅRJÄNG</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58514-2022</t>
        </is>
      </c>
      <c r="B8434" s="1" t="n">
        <v>44902</v>
      </c>
      <c r="C8434" s="1" t="n">
        <v>45810</v>
      </c>
      <c r="D8434" t="inlineStr">
        <is>
          <t>VÄRMLANDS LÄN</t>
        </is>
      </c>
      <c r="E8434" t="inlineStr">
        <is>
          <t>GRUMS</t>
        </is>
      </c>
      <c r="G8434" t="n">
        <v>3.1</v>
      </c>
      <c r="H8434" t="n">
        <v>0</v>
      </c>
      <c r="I8434" t="n">
        <v>0</v>
      </c>
      <c r="J8434" t="n">
        <v>0</v>
      </c>
      <c r="K8434" t="n">
        <v>0</v>
      </c>
      <c r="L8434" t="n">
        <v>0</v>
      </c>
      <c r="M8434" t="n">
        <v>0</v>
      </c>
      <c r="N8434" t="n">
        <v>0</v>
      </c>
      <c r="O8434" t="n">
        <v>0</v>
      </c>
      <c r="P8434" t="n">
        <v>0</v>
      </c>
      <c r="Q8434" t="n">
        <v>0</v>
      </c>
      <c r="R8434" s="2" t="inlineStr"/>
    </row>
    <row r="8435" ht="15" customHeight="1">
      <c r="A8435" t="inlineStr">
        <is>
          <t>A 58459-2022</t>
        </is>
      </c>
      <c r="B8435" s="1" t="n">
        <v>44902</v>
      </c>
      <c r="C8435" s="1" t="n">
        <v>45810</v>
      </c>
      <c r="D8435" t="inlineStr">
        <is>
          <t>VÄRMLANDS LÄN</t>
        </is>
      </c>
      <c r="E8435" t="inlineStr">
        <is>
          <t>KARLSTAD</t>
        </is>
      </c>
      <c r="G8435" t="n">
        <v>5.2</v>
      </c>
      <c r="H8435" t="n">
        <v>0</v>
      </c>
      <c r="I8435" t="n">
        <v>0</v>
      </c>
      <c r="J8435" t="n">
        <v>0</v>
      </c>
      <c r="K8435" t="n">
        <v>0</v>
      </c>
      <c r="L8435" t="n">
        <v>0</v>
      </c>
      <c r="M8435" t="n">
        <v>0</v>
      </c>
      <c r="N8435" t="n">
        <v>0</v>
      </c>
      <c r="O8435" t="n">
        <v>0</v>
      </c>
      <c r="P8435" t="n">
        <v>0</v>
      </c>
      <c r="Q8435" t="n">
        <v>0</v>
      </c>
      <c r="R8435" s="2" t="inlineStr"/>
    </row>
    <row r="8436" ht="15" customHeight="1">
      <c r="A8436" t="inlineStr">
        <is>
          <t>A 58456-2022</t>
        </is>
      </c>
      <c r="B8436" s="1" t="n">
        <v>44902</v>
      </c>
      <c r="C8436" s="1" t="n">
        <v>45810</v>
      </c>
      <c r="D8436" t="inlineStr">
        <is>
          <t>VÄRMLANDS LÄN</t>
        </is>
      </c>
      <c r="E8436" t="inlineStr">
        <is>
          <t>KARLSTAD</t>
        </is>
      </c>
      <c r="G8436" t="n">
        <v>1.3</v>
      </c>
      <c r="H8436" t="n">
        <v>0</v>
      </c>
      <c r="I8436" t="n">
        <v>0</v>
      </c>
      <c r="J8436" t="n">
        <v>0</v>
      </c>
      <c r="K8436" t="n">
        <v>0</v>
      </c>
      <c r="L8436" t="n">
        <v>0</v>
      </c>
      <c r="M8436" t="n">
        <v>0</v>
      </c>
      <c r="N8436" t="n">
        <v>0</v>
      </c>
      <c r="O8436" t="n">
        <v>0</v>
      </c>
      <c r="P8436" t="n">
        <v>0</v>
      </c>
      <c r="Q8436" t="n">
        <v>0</v>
      </c>
      <c r="R8436" s="2" t="inlineStr"/>
    </row>
    <row r="8437" ht="15" customHeight="1">
      <c r="A8437" t="inlineStr">
        <is>
          <t>A 60043-2022</t>
        </is>
      </c>
      <c r="B8437" s="1" t="n">
        <v>44902</v>
      </c>
      <c r="C8437" s="1" t="n">
        <v>45810</v>
      </c>
      <c r="D8437" t="inlineStr">
        <is>
          <t>VÄRMLANDS LÄN</t>
        </is>
      </c>
      <c r="E8437" t="inlineStr">
        <is>
          <t>FORSHAGA</t>
        </is>
      </c>
      <c r="G8437" t="n">
        <v>0.9</v>
      </c>
      <c r="H8437" t="n">
        <v>0</v>
      </c>
      <c r="I8437" t="n">
        <v>0</v>
      </c>
      <c r="J8437" t="n">
        <v>0</v>
      </c>
      <c r="K8437" t="n">
        <v>0</v>
      </c>
      <c r="L8437" t="n">
        <v>0</v>
      </c>
      <c r="M8437" t="n">
        <v>0</v>
      </c>
      <c r="N8437" t="n">
        <v>0</v>
      </c>
      <c r="O8437" t="n">
        <v>0</v>
      </c>
      <c r="P8437" t="n">
        <v>0</v>
      </c>
      <c r="Q8437" t="n">
        <v>0</v>
      </c>
      <c r="R8437" s="2" t="inlineStr"/>
    </row>
    <row r="8438" ht="15" customHeight="1">
      <c r="A8438" t="inlineStr">
        <is>
          <t>A 60045-2022</t>
        </is>
      </c>
      <c r="B8438" s="1" t="n">
        <v>44902</v>
      </c>
      <c r="C8438" s="1" t="n">
        <v>45810</v>
      </c>
      <c r="D8438" t="inlineStr">
        <is>
          <t>VÄRMLANDS LÄN</t>
        </is>
      </c>
      <c r="E8438" t="inlineStr">
        <is>
          <t>FORSHAGA</t>
        </is>
      </c>
      <c r="G8438" t="n">
        <v>6</v>
      </c>
      <c r="H8438" t="n">
        <v>0</v>
      </c>
      <c r="I8438" t="n">
        <v>0</v>
      </c>
      <c r="J8438" t="n">
        <v>0</v>
      </c>
      <c r="K8438" t="n">
        <v>0</v>
      </c>
      <c r="L8438" t="n">
        <v>0</v>
      </c>
      <c r="M8438" t="n">
        <v>0</v>
      </c>
      <c r="N8438" t="n">
        <v>0</v>
      </c>
      <c r="O8438" t="n">
        <v>0</v>
      </c>
      <c r="P8438" t="n">
        <v>0</v>
      </c>
      <c r="Q8438" t="n">
        <v>0</v>
      </c>
      <c r="R8438" s="2" t="inlineStr"/>
    </row>
    <row r="8439" ht="15" customHeight="1">
      <c r="A8439" t="inlineStr">
        <is>
          <t>A 60044-2022</t>
        </is>
      </c>
      <c r="B8439" s="1" t="n">
        <v>44902</v>
      </c>
      <c r="C8439" s="1" t="n">
        <v>45810</v>
      </c>
      <c r="D8439" t="inlineStr">
        <is>
          <t>VÄRMLANDS LÄN</t>
        </is>
      </c>
      <c r="E8439" t="inlineStr">
        <is>
          <t>FORSHAGA</t>
        </is>
      </c>
      <c r="G8439" t="n">
        <v>2.5</v>
      </c>
      <c r="H8439" t="n">
        <v>0</v>
      </c>
      <c r="I8439" t="n">
        <v>0</v>
      </c>
      <c r="J8439" t="n">
        <v>0</v>
      </c>
      <c r="K8439" t="n">
        <v>0</v>
      </c>
      <c r="L8439" t="n">
        <v>0</v>
      </c>
      <c r="M8439" t="n">
        <v>0</v>
      </c>
      <c r="N8439" t="n">
        <v>0</v>
      </c>
      <c r="O8439" t="n">
        <v>0</v>
      </c>
      <c r="P8439" t="n">
        <v>0</v>
      </c>
      <c r="Q8439" t="n">
        <v>0</v>
      </c>
      <c r="R8439" s="2" t="inlineStr"/>
    </row>
    <row r="8440" ht="15" customHeight="1">
      <c r="A8440" t="inlineStr">
        <is>
          <t>A 58635-2022</t>
        </is>
      </c>
      <c r="B8440" s="1" t="n">
        <v>44902</v>
      </c>
      <c r="C8440" s="1" t="n">
        <v>45810</v>
      </c>
      <c r="D8440" t="inlineStr">
        <is>
          <t>VÄRMLANDS LÄN</t>
        </is>
      </c>
      <c r="E8440" t="inlineStr">
        <is>
          <t>ARVIKA</t>
        </is>
      </c>
      <c r="F8440" t="inlineStr">
        <is>
          <t>Bergvik skog väst AB</t>
        </is>
      </c>
      <c r="G8440" t="n">
        <v>4.7</v>
      </c>
      <c r="H8440" t="n">
        <v>0</v>
      </c>
      <c r="I8440" t="n">
        <v>0</v>
      </c>
      <c r="J8440" t="n">
        <v>0</v>
      </c>
      <c r="K8440" t="n">
        <v>0</v>
      </c>
      <c r="L8440" t="n">
        <v>0</v>
      </c>
      <c r="M8440" t="n">
        <v>0</v>
      </c>
      <c r="N8440" t="n">
        <v>0</v>
      </c>
      <c r="O8440" t="n">
        <v>0</v>
      </c>
      <c r="P8440" t="n">
        <v>0</v>
      </c>
      <c r="Q8440" t="n">
        <v>0</v>
      </c>
      <c r="R8440" s="2" t="inlineStr"/>
    </row>
    <row r="8441" ht="15" customHeight="1">
      <c r="A8441" t="inlineStr">
        <is>
          <t>A 58693-2022</t>
        </is>
      </c>
      <c r="B8441" s="1" t="n">
        <v>44902</v>
      </c>
      <c r="C8441" s="1" t="n">
        <v>45810</v>
      </c>
      <c r="D8441" t="inlineStr">
        <is>
          <t>VÄRMLANDS LÄN</t>
        </is>
      </c>
      <c r="E8441" t="inlineStr">
        <is>
          <t>KRISTINEHAMN</t>
        </is>
      </c>
      <c r="F8441" t="inlineStr">
        <is>
          <t>Kyrkan</t>
        </is>
      </c>
      <c r="G8441" t="n">
        <v>3.9</v>
      </c>
      <c r="H8441" t="n">
        <v>0</v>
      </c>
      <c r="I8441" t="n">
        <v>0</v>
      </c>
      <c r="J8441" t="n">
        <v>0</v>
      </c>
      <c r="K8441" t="n">
        <v>0</v>
      </c>
      <c r="L8441" t="n">
        <v>0</v>
      </c>
      <c r="M8441" t="n">
        <v>0</v>
      </c>
      <c r="N8441" t="n">
        <v>0</v>
      </c>
      <c r="O8441" t="n">
        <v>0</v>
      </c>
      <c r="P8441" t="n">
        <v>0</v>
      </c>
      <c r="Q8441" t="n">
        <v>0</v>
      </c>
      <c r="R8441" s="2" t="inlineStr"/>
    </row>
    <row r="8442" ht="15" customHeight="1">
      <c r="A8442" t="inlineStr">
        <is>
          <t>A 58623-2022</t>
        </is>
      </c>
      <c r="B8442" s="1" t="n">
        <v>44902</v>
      </c>
      <c r="C8442" s="1" t="n">
        <v>45810</v>
      </c>
      <c r="D8442" t="inlineStr">
        <is>
          <t>VÄRMLANDS LÄN</t>
        </is>
      </c>
      <c r="E8442" t="inlineStr">
        <is>
          <t>SUNNE</t>
        </is>
      </c>
      <c r="G8442" t="n">
        <v>0.5</v>
      </c>
      <c r="H8442" t="n">
        <v>0</v>
      </c>
      <c r="I8442" t="n">
        <v>0</v>
      </c>
      <c r="J8442" t="n">
        <v>0</v>
      </c>
      <c r="K8442" t="n">
        <v>0</v>
      </c>
      <c r="L8442" t="n">
        <v>0</v>
      </c>
      <c r="M8442" t="n">
        <v>0</v>
      </c>
      <c r="N8442" t="n">
        <v>0</v>
      </c>
      <c r="O8442" t="n">
        <v>0</v>
      </c>
      <c r="P8442" t="n">
        <v>0</v>
      </c>
      <c r="Q8442" t="n">
        <v>0</v>
      </c>
      <c r="R8442" s="2" t="inlineStr"/>
    </row>
    <row r="8443" ht="15" customHeight="1">
      <c r="A8443" t="inlineStr">
        <is>
          <t>A 58809-2022</t>
        </is>
      </c>
      <c r="B8443" s="1" t="n">
        <v>44903</v>
      </c>
      <c r="C8443" s="1" t="n">
        <v>45810</v>
      </c>
      <c r="D8443" t="inlineStr">
        <is>
          <t>VÄRMLANDS LÄN</t>
        </is>
      </c>
      <c r="E8443" t="inlineStr">
        <is>
          <t>SUNNE</t>
        </is>
      </c>
      <c r="G8443" t="n">
        <v>4.5</v>
      </c>
      <c r="H8443" t="n">
        <v>0</v>
      </c>
      <c r="I8443" t="n">
        <v>0</v>
      </c>
      <c r="J8443" t="n">
        <v>0</v>
      </c>
      <c r="K8443" t="n">
        <v>0</v>
      </c>
      <c r="L8443" t="n">
        <v>0</v>
      </c>
      <c r="M8443" t="n">
        <v>0</v>
      </c>
      <c r="N8443" t="n">
        <v>0</v>
      </c>
      <c r="O8443" t="n">
        <v>0</v>
      </c>
      <c r="P8443" t="n">
        <v>0</v>
      </c>
      <c r="Q8443" t="n">
        <v>0</v>
      </c>
      <c r="R8443" s="2" t="inlineStr"/>
    </row>
    <row r="8444" ht="15" customHeight="1">
      <c r="A8444" t="inlineStr">
        <is>
          <t>A 58956-2022</t>
        </is>
      </c>
      <c r="B8444" s="1" t="n">
        <v>44903</v>
      </c>
      <c r="C8444" s="1" t="n">
        <v>45810</v>
      </c>
      <c r="D8444" t="inlineStr">
        <is>
          <t>VÄRMLANDS LÄN</t>
        </is>
      </c>
      <c r="E8444" t="inlineStr">
        <is>
          <t>TORSBY</t>
        </is>
      </c>
      <c r="G8444" t="n">
        <v>3.5</v>
      </c>
      <c r="H8444" t="n">
        <v>0</v>
      </c>
      <c r="I8444" t="n">
        <v>0</v>
      </c>
      <c r="J8444" t="n">
        <v>0</v>
      </c>
      <c r="K8444" t="n">
        <v>0</v>
      </c>
      <c r="L8444" t="n">
        <v>0</v>
      </c>
      <c r="M8444" t="n">
        <v>0</v>
      </c>
      <c r="N8444" t="n">
        <v>0</v>
      </c>
      <c r="O8444" t="n">
        <v>0</v>
      </c>
      <c r="P8444" t="n">
        <v>0</v>
      </c>
      <c r="Q8444" t="n">
        <v>0</v>
      </c>
      <c r="R8444" s="2" t="inlineStr"/>
    </row>
    <row r="8445" ht="15" customHeight="1">
      <c r="A8445" t="inlineStr">
        <is>
          <t>A 58808-2022</t>
        </is>
      </c>
      <c r="B8445" s="1" t="n">
        <v>44903</v>
      </c>
      <c r="C8445" s="1" t="n">
        <v>45810</v>
      </c>
      <c r="D8445" t="inlineStr">
        <is>
          <t>VÄRMLANDS LÄN</t>
        </is>
      </c>
      <c r="E8445" t="inlineStr">
        <is>
          <t>HAGFORS</t>
        </is>
      </c>
      <c r="F8445" t="inlineStr">
        <is>
          <t>Bergvik skog väst AB</t>
        </is>
      </c>
      <c r="G8445" t="n">
        <v>2.9</v>
      </c>
      <c r="H8445" t="n">
        <v>0</v>
      </c>
      <c r="I8445" t="n">
        <v>0</v>
      </c>
      <c r="J8445" t="n">
        <v>0</v>
      </c>
      <c r="K8445" t="n">
        <v>0</v>
      </c>
      <c r="L8445" t="n">
        <v>0</v>
      </c>
      <c r="M8445" t="n">
        <v>0</v>
      </c>
      <c r="N8445" t="n">
        <v>0</v>
      </c>
      <c r="O8445" t="n">
        <v>0</v>
      </c>
      <c r="P8445" t="n">
        <v>0</v>
      </c>
      <c r="Q8445" t="n">
        <v>0</v>
      </c>
      <c r="R8445" s="2" t="inlineStr"/>
    </row>
    <row r="8446" ht="15" customHeight="1">
      <c r="A8446" t="inlineStr">
        <is>
          <t>A 58812-2022</t>
        </is>
      </c>
      <c r="B8446" s="1" t="n">
        <v>44903</v>
      </c>
      <c r="C8446" s="1" t="n">
        <v>45810</v>
      </c>
      <c r="D8446" t="inlineStr">
        <is>
          <t>VÄRMLANDS LÄN</t>
        </is>
      </c>
      <c r="E8446" t="inlineStr">
        <is>
          <t>SUNNE</t>
        </is>
      </c>
      <c r="G8446" t="n">
        <v>2</v>
      </c>
      <c r="H8446" t="n">
        <v>0</v>
      </c>
      <c r="I8446" t="n">
        <v>0</v>
      </c>
      <c r="J8446" t="n">
        <v>0</v>
      </c>
      <c r="K8446" t="n">
        <v>0</v>
      </c>
      <c r="L8446" t="n">
        <v>0</v>
      </c>
      <c r="M8446" t="n">
        <v>0</v>
      </c>
      <c r="N8446" t="n">
        <v>0</v>
      </c>
      <c r="O8446" t="n">
        <v>0</v>
      </c>
      <c r="P8446" t="n">
        <v>0</v>
      </c>
      <c r="Q8446" t="n">
        <v>0</v>
      </c>
      <c r="R8446" s="2" t="inlineStr"/>
    </row>
    <row r="8447" ht="15" customHeight="1">
      <c r="A8447" t="inlineStr">
        <is>
          <t>A 58855-2022</t>
        </is>
      </c>
      <c r="B8447" s="1" t="n">
        <v>44903</v>
      </c>
      <c r="C8447" s="1" t="n">
        <v>45810</v>
      </c>
      <c r="D8447" t="inlineStr">
        <is>
          <t>VÄRMLANDS LÄN</t>
        </is>
      </c>
      <c r="E8447" t="inlineStr">
        <is>
          <t>FILIPSTAD</t>
        </is>
      </c>
      <c r="F8447" t="inlineStr">
        <is>
          <t>Bergvik skog väst AB</t>
        </is>
      </c>
      <c r="G8447" t="n">
        <v>1.7</v>
      </c>
      <c r="H8447" t="n">
        <v>0</v>
      </c>
      <c r="I8447" t="n">
        <v>0</v>
      </c>
      <c r="J8447" t="n">
        <v>0</v>
      </c>
      <c r="K8447" t="n">
        <v>0</v>
      </c>
      <c r="L8447" t="n">
        <v>0</v>
      </c>
      <c r="M8447" t="n">
        <v>0</v>
      </c>
      <c r="N8447" t="n">
        <v>0</v>
      </c>
      <c r="O8447" t="n">
        <v>0</v>
      </c>
      <c r="P8447" t="n">
        <v>0</v>
      </c>
      <c r="Q8447" t="n">
        <v>0</v>
      </c>
      <c r="R8447" s="2" t="inlineStr"/>
    </row>
    <row r="8448" ht="15" customHeight="1">
      <c r="A8448" t="inlineStr">
        <is>
          <t>A 58869-2022</t>
        </is>
      </c>
      <c r="B8448" s="1" t="n">
        <v>44903</v>
      </c>
      <c r="C8448" s="1" t="n">
        <v>45810</v>
      </c>
      <c r="D8448" t="inlineStr">
        <is>
          <t>VÄRMLANDS LÄN</t>
        </is>
      </c>
      <c r="E8448" t="inlineStr">
        <is>
          <t>TORSBY</t>
        </is>
      </c>
      <c r="G8448" t="n">
        <v>0.4</v>
      </c>
      <c r="H8448" t="n">
        <v>0</v>
      </c>
      <c r="I8448" t="n">
        <v>0</v>
      </c>
      <c r="J8448" t="n">
        <v>0</v>
      </c>
      <c r="K8448" t="n">
        <v>0</v>
      </c>
      <c r="L8448" t="n">
        <v>0</v>
      </c>
      <c r="M8448" t="n">
        <v>0</v>
      </c>
      <c r="N8448" t="n">
        <v>0</v>
      </c>
      <c r="O8448" t="n">
        <v>0</v>
      </c>
      <c r="P8448" t="n">
        <v>0</v>
      </c>
      <c r="Q8448" t="n">
        <v>0</v>
      </c>
      <c r="R8448" s="2" t="inlineStr"/>
    </row>
    <row r="8449" ht="15" customHeight="1">
      <c r="A8449" t="inlineStr">
        <is>
          <t>A 58951-2022</t>
        </is>
      </c>
      <c r="B8449" s="1" t="n">
        <v>44903</v>
      </c>
      <c r="C8449" s="1" t="n">
        <v>45810</v>
      </c>
      <c r="D8449" t="inlineStr">
        <is>
          <t>VÄRMLANDS LÄN</t>
        </is>
      </c>
      <c r="E8449" t="inlineStr">
        <is>
          <t>TORSBY</t>
        </is>
      </c>
      <c r="G8449" t="n">
        <v>2.7</v>
      </c>
      <c r="H8449" t="n">
        <v>0</v>
      </c>
      <c r="I8449" t="n">
        <v>0</v>
      </c>
      <c r="J8449" t="n">
        <v>0</v>
      </c>
      <c r="K8449" t="n">
        <v>0</v>
      </c>
      <c r="L8449" t="n">
        <v>0</v>
      </c>
      <c r="M8449" t="n">
        <v>0</v>
      </c>
      <c r="N8449" t="n">
        <v>0</v>
      </c>
      <c r="O8449" t="n">
        <v>0</v>
      </c>
      <c r="P8449" t="n">
        <v>0</v>
      </c>
      <c r="Q8449" t="n">
        <v>0</v>
      </c>
      <c r="R8449" s="2" t="inlineStr"/>
    </row>
    <row r="8450" ht="15" customHeight="1">
      <c r="A8450" t="inlineStr">
        <is>
          <t>A 58799-2022</t>
        </is>
      </c>
      <c r="B8450" s="1" t="n">
        <v>44903</v>
      </c>
      <c r="C8450" s="1" t="n">
        <v>45810</v>
      </c>
      <c r="D8450" t="inlineStr">
        <is>
          <t>VÄRMLANDS LÄN</t>
        </is>
      </c>
      <c r="E8450" t="inlineStr">
        <is>
          <t>HAGFORS</t>
        </is>
      </c>
      <c r="G8450" t="n">
        <v>2.3</v>
      </c>
      <c r="H8450" t="n">
        <v>0</v>
      </c>
      <c r="I8450" t="n">
        <v>0</v>
      </c>
      <c r="J8450" t="n">
        <v>0</v>
      </c>
      <c r="K8450" t="n">
        <v>0</v>
      </c>
      <c r="L8450" t="n">
        <v>0</v>
      </c>
      <c r="M8450" t="n">
        <v>0</v>
      </c>
      <c r="N8450" t="n">
        <v>0</v>
      </c>
      <c r="O8450" t="n">
        <v>0</v>
      </c>
      <c r="P8450" t="n">
        <v>0</v>
      </c>
      <c r="Q8450" t="n">
        <v>0</v>
      </c>
      <c r="R8450" s="2" t="inlineStr"/>
    </row>
    <row r="8451" ht="15" customHeight="1">
      <c r="A8451" t="inlineStr">
        <is>
          <t>A 59014-2022</t>
        </is>
      </c>
      <c r="B8451" s="1" t="n">
        <v>44903</v>
      </c>
      <c r="C8451" s="1" t="n">
        <v>45810</v>
      </c>
      <c r="D8451" t="inlineStr">
        <is>
          <t>VÄRMLANDS LÄN</t>
        </is>
      </c>
      <c r="E8451" t="inlineStr">
        <is>
          <t>ARVIKA</t>
        </is>
      </c>
      <c r="G8451" t="n">
        <v>0.4</v>
      </c>
      <c r="H8451" t="n">
        <v>0</v>
      </c>
      <c r="I8451" t="n">
        <v>0</v>
      </c>
      <c r="J8451" t="n">
        <v>0</v>
      </c>
      <c r="K8451" t="n">
        <v>0</v>
      </c>
      <c r="L8451" t="n">
        <v>0</v>
      </c>
      <c r="M8451" t="n">
        <v>0</v>
      </c>
      <c r="N8451" t="n">
        <v>0</v>
      </c>
      <c r="O8451" t="n">
        <v>0</v>
      </c>
      <c r="P8451" t="n">
        <v>0</v>
      </c>
      <c r="Q8451" t="n">
        <v>0</v>
      </c>
      <c r="R8451" s="2" t="inlineStr"/>
    </row>
    <row r="8452" ht="15" customHeight="1">
      <c r="A8452" t="inlineStr">
        <is>
          <t>A 60217-2022</t>
        </is>
      </c>
      <c r="B8452" s="1" t="n">
        <v>44903</v>
      </c>
      <c r="C8452" s="1" t="n">
        <v>45810</v>
      </c>
      <c r="D8452" t="inlineStr">
        <is>
          <t>VÄRMLANDS LÄN</t>
        </is>
      </c>
      <c r="E8452" t="inlineStr">
        <is>
          <t>SUNNE</t>
        </is>
      </c>
      <c r="G8452" t="n">
        <v>2.5</v>
      </c>
      <c r="H8452" t="n">
        <v>0</v>
      </c>
      <c r="I8452" t="n">
        <v>0</v>
      </c>
      <c r="J8452" t="n">
        <v>0</v>
      </c>
      <c r="K8452" t="n">
        <v>0</v>
      </c>
      <c r="L8452" t="n">
        <v>0</v>
      </c>
      <c r="M8452" t="n">
        <v>0</v>
      </c>
      <c r="N8452" t="n">
        <v>0</v>
      </c>
      <c r="O8452" t="n">
        <v>0</v>
      </c>
      <c r="P8452" t="n">
        <v>0</v>
      </c>
      <c r="Q8452" t="n">
        <v>0</v>
      </c>
      <c r="R8452" s="2" t="inlineStr"/>
    </row>
    <row r="8453" ht="15" customHeight="1">
      <c r="A8453" t="inlineStr">
        <is>
          <t>A 59048-2022</t>
        </is>
      </c>
      <c r="B8453" s="1" t="n">
        <v>44903</v>
      </c>
      <c r="C8453" s="1" t="n">
        <v>45810</v>
      </c>
      <c r="D8453" t="inlineStr">
        <is>
          <t>VÄRMLANDS LÄN</t>
        </is>
      </c>
      <c r="E8453" t="inlineStr">
        <is>
          <t>HAGFORS</t>
        </is>
      </c>
      <c r="G8453" t="n">
        <v>0.8</v>
      </c>
      <c r="H8453" t="n">
        <v>0</v>
      </c>
      <c r="I8453" t="n">
        <v>0</v>
      </c>
      <c r="J8453" t="n">
        <v>0</v>
      </c>
      <c r="K8453" t="n">
        <v>0</v>
      </c>
      <c r="L8453" t="n">
        <v>0</v>
      </c>
      <c r="M8453" t="n">
        <v>0</v>
      </c>
      <c r="N8453" t="n">
        <v>0</v>
      </c>
      <c r="O8453" t="n">
        <v>0</v>
      </c>
      <c r="P8453" t="n">
        <v>0</v>
      </c>
      <c r="Q8453" t="n">
        <v>0</v>
      </c>
      <c r="R8453" s="2" t="inlineStr"/>
    </row>
    <row r="8454" ht="15" customHeight="1">
      <c r="A8454" t="inlineStr">
        <is>
          <t>A 59279-2022</t>
        </is>
      </c>
      <c r="B8454" s="1" t="n">
        <v>44904</v>
      </c>
      <c r="C8454" s="1" t="n">
        <v>45810</v>
      </c>
      <c r="D8454" t="inlineStr">
        <is>
          <t>VÄRMLANDS LÄN</t>
        </is>
      </c>
      <c r="E8454" t="inlineStr">
        <is>
          <t>EDA</t>
        </is>
      </c>
      <c r="G8454" t="n">
        <v>0.9</v>
      </c>
      <c r="H8454" t="n">
        <v>0</v>
      </c>
      <c r="I8454" t="n">
        <v>0</v>
      </c>
      <c r="J8454" t="n">
        <v>0</v>
      </c>
      <c r="K8454" t="n">
        <v>0</v>
      </c>
      <c r="L8454" t="n">
        <v>0</v>
      </c>
      <c r="M8454" t="n">
        <v>0</v>
      </c>
      <c r="N8454" t="n">
        <v>0</v>
      </c>
      <c r="O8454" t="n">
        <v>0</v>
      </c>
      <c r="P8454" t="n">
        <v>0</v>
      </c>
      <c r="Q8454" t="n">
        <v>0</v>
      </c>
      <c r="R8454" s="2" t="inlineStr"/>
    </row>
    <row r="8455" ht="15" customHeight="1">
      <c r="A8455" t="inlineStr">
        <is>
          <t>A 59305-2022</t>
        </is>
      </c>
      <c r="B8455" s="1" t="n">
        <v>44904</v>
      </c>
      <c r="C8455" s="1" t="n">
        <v>45810</v>
      </c>
      <c r="D8455" t="inlineStr">
        <is>
          <t>VÄRMLANDS LÄN</t>
        </is>
      </c>
      <c r="E8455" t="inlineStr">
        <is>
          <t>KARLSTAD</t>
        </is>
      </c>
      <c r="G8455" t="n">
        <v>1.9</v>
      </c>
      <c r="H8455" t="n">
        <v>0</v>
      </c>
      <c r="I8455" t="n">
        <v>0</v>
      </c>
      <c r="J8455" t="n">
        <v>0</v>
      </c>
      <c r="K8455" t="n">
        <v>0</v>
      </c>
      <c r="L8455" t="n">
        <v>0</v>
      </c>
      <c r="M8455" t="n">
        <v>0</v>
      </c>
      <c r="N8455" t="n">
        <v>0</v>
      </c>
      <c r="O8455" t="n">
        <v>0</v>
      </c>
      <c r="P8455" t="n">
        <v>0</v>
      </c>
      <c r="Q8455" t="n">
        <v>0</v>
      </c>
      <c r="R8455" s="2" t="inlineStr"/>
    </row>
    <row r="8456" ht="15" customHeight="1">
      <c r="A8456" t="inlineStr">
        <is>
          <t>A 59319-2022</t>
        </is>
      </c>
      <c r="B8456" s="1" t="n">
        <v>44904</v>
      </c>
      <c r="C8456" s="1" t="n">
        <v>45810</v>
      </c>
      <c r="D8456" t="inlineStr">
        <is>
          <t>VÄRMLANDS LÄN</t>
        </is>
      </c>
      <c r="E8456" t="inlineStr">
        <is>
          <t>KARLSTAD</t>
        </is>
      </c>
      <c r="G8456" t="n">
        <v>1</v>
      </c>
      <c r="H8456" t="n">
        <v>0</v>
      </c>
      <c r="I8456" t="n">
        <v>0</v>
      </c>
      <c r="J8456" t="n">
        <v>0</v>
      </c>
      <c r="K8456" t="n">
        <v>0</v>
      </c>
      <c r="L8456" t="n">
        <v>0</v>
      </c>
      <c r="M8456" t="n">
        <v>0</v>
      </c>
      <c r="N8456" t="n">
        <v>0</v>
      </c>
      <c r="O8456" t="n">
        <v>0</v>
      </c>
      <c r="P8456" t="n">
        <v>0</v>
      </c>
      <c r="Q8456" t="n">
        <v>0</v>
      </c>
      <c r="R8456" s="2" t="inlineStr"/>
    </row>
    <row r="8457" ht="15" customHeight="1">
      <c r="A8457" t="inlineStr">
        <is>
          <t>A 59091-2022</t>
        </is>
      </c>
      <c r="B8457" s="1" t="n">
        <v>44904</v>
      </c>
      <c r="C8457" s="1" t="n">
        <v>45810</v>
      </c>
      <c r="D8457" t="inlineStr">
        <is>
          <t>VÄRMLANDS LÄN</t>
        </is>
      </c>
      <c r="E8457" t="inlineStr">
        <is>
          <t>HAGFORS</t>
        </is>
      </c>
      <c r="F8457" t="inlineStr">
        <is>
          <t>Bergvik skog väst AB</t>
        </is>
      </c>
      <c r="G8457" t="n">
        <v>0.8</v>
      </c>
      <c r="H8457" t="n">
        <v>0</v>
      </c>
      <c r="I8457" t="n">
        <v>0</v>
      </c>
      <c r="J8457" t="n">
        <v>0</v>
      </c>
      <c r="K8457" t="n">
        <v>0</v>
      </c>
      <c r="L8457" t="n">
        <v>0</v>
      </c>
      <c r="M8457" t="n">
        <v>0</v>
      </c>
      <c r="N8457" t="n">
        <v>0</v>
      </c>
      <c r="O8457" t="n">
        <v>0</v>
      </c>
      <c r="P8457" t="n">
        <v>0</v>
      </c>
      <c r="Q8457" t="n">
        <v>0</v>
      </c>
      <c r="R8457" s="2" t="inlineStr"/>
    </row>
    <row r="8458" ht="15" customHeight="1">
      <c r="A8458" t="inlineStr">
        <is>
          <t>A 59097-2022</t>
        </is>
      </c>
      <c r="B8458" s="1" t="n">
        <v>44904</v>
      </c>
      <c r="C8458" s="1" t="n">
        <v>45810</v>
      </c>
      <c r="D8458" t="inlineStr">
        <is>
          <t>VÄRMLANDS LÄN</t>
        </is>
      </c>
      <c r="E8458" t="inlineStr">
        <is>
          <t>TORSBY</t>
        </is>
      </c>
      <c r="G8458" t="n">
        <v>6.6</v>
      </c>
      <c r="H8458" t="n">
        <v>0</v>
      </c>
      <c r="I8458" t="n">
        <v>0</v>
      </c>
      <c r="J8458" t="n">
        <v>0</v>
      </c>
      <c r="K8458" t="n">
        <v>0</v>
      </c>
      <c r="L8458" t="n">
        <v>0</v>
      </c>
      <c r="M8458" t="n">
        <v>0</v>
      </c>
      <c r="N8458" t="n">
        <v>0</v>
      </c>
      <c r="O8458" t="n">
        <v>0</v>
      </c>
      <c r="P8458" t="n">
        <v>0</v>
      </c>
      <c r="Q8458" t="n">
        <v>0</v>
      </c>
      <c r="R8458" s="2" t="inlineStr"/>
    </row>
    <row r="8459" ht="15" customHeight="1">
      <c r="A8459" t="inlineStr">
        <is>
          <t>A 59092-2022</t>
        </is>
      </c>
      <c r="B8459" s="1" t="n">
        <v>44904</v>
      </c>
      <c r="C8459" s="1" t="n">
        <v>45810</v>
      </c>
      <c r="D8459" t="inlineStr">
        <is>
          <t>VÄRMLANDS LÄN</t>
        </is>
      </c>
      <c r="E8459" t="inlineStr">
        <is>
          <t>HAGFORS</t>
        </is>
      </c>
      <c r="F8459" t="inlineStr">
        <is>
          <t>Bergvik skog väst AB</t>
        </is>
      </c>
      <c r="G8459" t="n">
        <v>1.6</v>
      </c>
      <c r="H8459" t="n">
        <v>0</v>
      </c>
      <c r="I8459" t="n">
        <v>0</v>
      </c>
      <c r="J8459" t="n">
        <v>0</v>
      </c>
      <c r="K8459" t="n">
        <v>0</v>
      </c>
      <c r="L8459" t="n">
        <v>0</v>
      </c>
      <c r="M8459" t="n">
        <v>0</v>
      </c>
      <c r="N8459" t="n">
        <v>0</v>
      </c>
      <c r="O8459" t="n">
        <v>0</v>
      </c>
      <c r="P8459" t="n">
        <v>0</v>
      </c>
      <c r="Q8459" t="n">
        <v>0</v>
      </c>
      <c r="R8459" s="2" t="inlineStr"/>
    </row>
    <row r="8460" ht="15" customHeight="1">
      <c r="A8460" t="inlineStr">
        <is>
          <t>A 59105-2022</t>
        </is>
      </c>
      <c r="B8460" s="1" t="n">
        <v>44904</v>
      </c>
      <c r="C8460" s="1" t="n">
        <v>45810</v>
      </c>
      <c r="D8460" t="inlineStr">
        <is>
          <t>VÄRMLANDS LÄN</t>
        </is>
      </c>
      <c r="E8460" t="inlineStr">
        <is>
          <t>ARVIKA</t>
        </is>
      </c>
      <c r="F8460" t="inlineStr">
        <is>
          <t>Kommuner</t>
        </is>
      </c>
      <c r="G8460" t="n">
        <v>0.2</v>
      </c>
      <c r="H8460" t="n">
        <v>0</v>
      </c>
      <c r="I8460" t="n">
        <v>0</v>
      </c>
      <c r="J8460" t="n">
        <v>0</v>
      </c>
      <c r="K8460" t="n">
        <v>0</v>
      </c>
      <c r="L8460" t="n">
        <v>0</v>
      </c>
      <c r="M8460" t="n">
        <v>0</v>
      </c>
      <c r="N8460" t="n">
        <v>0</v>
      </c>
      <c r="O8460" t="n">
        <v>0</v>
      </c>
      <c r="P8460" t="n">
        <v>0</v>
      </c>
      <c r="Q8460" t="n">
        <v>0</v>
      </c>
      <c r="R8460" s="2" t="inlineStr"/>
    </row>
    <row r="8461" ht="15" customHeight="1">
      <c r="A8461" t="inlineStr">
        <is>
          <t>A 59299-2022</t>
        </is>
      </c>
      <c r="B8461" s="1" t="n">
        <v>44904</v>
      </c>
      <c r="C8461" s="1" t="n">
        <v>45810</v>
      </c>
      <c r="D8461" t="inlineStr">
        <is>
          <t>VÄRMLANDS LÄN</t>
        </is>
      </c>
      <c r="E8461" t="inlineStr">
        <is>
          <t>KARLSTAD</t>
        </is>
      </c>
      <c r="G8461" t="n">
        <v>2.9</v>
      </c>
      <c r="H8461" t="n">
        <v>0</v>
      </c>
      <c r="I8461" t="n">
        <v>0</v>
      </c>
      <c r="J8461" t="n">
        <v>0</v>
      </c>
      <c r="K8461" t="n">
        <v>0</v>
      </c>
      <c r="L8461" t="n">
        <v>0</v>
      </c>
      <c r="M8461" t="n">
        <v>0</v>
      </c>
      <c r="N8461" t="n">
        <v>0</v>
      </c>
      <c r="O8461" t="n">
        <v>0</v>
      </c>
      <c r="P8461" t="n">
        <v>0</v>
      </c>
      <c r="Q8461" t="n">
        <v>0</v>
      </c>
      <c r="R8461" s="2" t="inlineStr"/>
    </row>
    <row r="8462" ht="15" customHeight="1">
      <c r="A8462" t="inlineStr">
        <is>
          <t>A 59196-2022</t>
        </is>
      </c>
      <c r="B8462" s="1" t="n">
        <v>44904</v>
      </c>
      <c r="C8462" s="1" t="n">
        <v>45810</v>
      </c>
      <c r="D8462" t="inlineStr">
        <is>
          <t>VÄRMLANDS LÄN</t>
        </is>
      </c>
      <c r="E8462" t="inlineStr">
        <is>
          <t>FILIPSTAD</t>
        </is>
      </c>
      <c r="F8462" t="inlineStr">
        <is>
          <t>Bergvik skog väst AB</t>
        </is>
      </c>
      <c r="G8462" t="n">
        <v>3.4</v>
      </c>
      <c r="H8462" t="n">
        <v>0</v>
      </c>
      <c r="I8462" t="n">
        <v>0</v>
      </c>
      <c r="J8462" t="n">
        <v>0</v>
      </c>
      <c r="K8462" t="n">
        <v>0</v>
      </c>
      <c r="L8462" t="n">
        <v>0</v>
      </c>
      <c r="M8462" t="n">
        <v>0</v>
      </c>
      <c r="N8462" t="n">
        <v>0</v>
      </c>
      <c r="O8462" t="n">
        <v>0</v>
      </c>
      <c r="P8462" t="n">
        <v>0</v>
      </c>
      <c r="Q8462" t="n">
        <v>0</v>
      </c>
      <c r="R8462" s="2" t="inlineStr"/>
    </row>
    <row r="8463" ht="15" customHeight="1">
      <c r="A8463" t="inlineStr">
        <is>
          <t>A 59274-2022</t>
        </is>
      </c>
      <c r="B8463" s="1" t="n">
        <v>44904</v>
      </c>
      <c r="C8463" s="1" t="n">
        <v>45810</v>
      </c>
      <c r="D8463" t="inlineStr">
        <is>
          <t>VÄRMLANDS LÄN</t>
        </is>
      </c>
      <c r="E8463" t="inlineStr">
        <is>
          <t>HAGFORS</t>
        </is>
      </c>
      <c r="F8463" t="inlineStr">
        <is>
          <t>Bergvik skog väst AB</t>
        </is>
      </c>
      <c r="G8463" t="n">
        <v>22.3</v>
      </c>
      <c r="H8463" t="n">
        <v>0</v>
      </c>
      <c r="I8463" t="n">
        <v>0</v>
      </c>
      <c r="J8463" t="n">
        <v>0</v>
      </c>
      <c r="K8463" t="n">
        <v>0</v>
      </c>
      <c r="L8463" t="n">
        <v>0</v>
      </c>
      <c r="M8463" t="n">
        <v>0</v>
      </c>
      <c r="N8463" t="n">
        <v>0</v>
      </c>
      <c r="O8463" t="n">
        <v>0</v>
      </c>
      <c r="P8463" t="n">
        <v>0</v>
      </c>
      <c r="Q8463" t="n">
        <v>0</v>
      </c>
      <c r="R8463" s="2" t="inlineStr"/>
    </row>
    <row r="8464" ht="15" customHeight="1">
      <c r="A8464" t="inlineStr">
        <is>
          <t>A 59295-2022</t>
        </is>
      </c>
      <c r="B8464" s="1" t="n">
        <v>44904</v>
      </c>
      <c r="C8464" s="1" t="n">
        <v>45810</v>
      </c>
      <c r="D8464" t="inlineStr">
        <is>
          <t>VÄRMLANDS LÄN</t>
        </is>
      </c>
      <c r="E8464" t="inlineStr">
        <is>
          <t>KARLSTAD</t>
        </is>
      </c>
      <c r="G8464" t="n">
        <v>2.3</v>
      </c>
      <c r="H8464" t="n">
        <v>0</v>
      </c>
      <c r="I8464" t="n">
        <v>0</v>
      </c>
      <c r="J8464" t="n">
        <v>0</v>
      </c>
      <c r="K8464" t="n">
        <v>0</v>
      </c>
      <c r="L8464" t="n">
        <v>0</v>
      </c>
      <c r="M8464" t="n">
        <v>0</v>
      </c>
      <c r="N8464" t="n">
        <v>0</v>
      </c>
      <c r="O8464" t="n">
        <v>0</v>
      </c>
      <c r="P8464" t="n">
        <v>0</v>
      </c>
      <c r="Q8464" t="n">
        <v>0</v>
      </c>
      <c r="R8464" s="2" t="inlineStr"/>
    </row>
    <row r="8465" ht="15" customHeight="1">
      <c r="A8465" t="inlineStr">
        <is>
          <t>A 59301-2022</t>
        </is>
      </c>
      <c r="B8465" s="1" t="n">
        <v>44904</v>
      </c>
      <c r="C8465" s="1" t="n">
        <v>45810</v>
      </c>
      <c r="D8465" t="inlineStr">
        <is>
          <t>VÄRMLANDS LÄN</t>
        </is>
      </c>
      <c r="E8465" t="inlineStr">
        <is>
          <t>KARLSTAD</t>
        </is>
      </c>
      <c r="G8465" t="n">
        <v>2.7</v>
      </c>
      <c r="H8465" t="n">
        <v>0</v>
      </c>
      <c r="I8465" t="n">
        <v>0</v>
      </c>
      <c r="J8465" t="n">
        <v>0</v>
      </c>
      <c r="K8465" t="n">
        <v>0</v>
      </c>
      <c r="L8465" t="n">
        <v>0</v>
      </c>
      <c r="M8465" t="n">
        <v>0</v>
      </c>
      <c r="N8465" t="n">
        <v>0</v>
      </c>
      <c r="O8465" t="n">
        <v>0</v>
      </c>
      <c r="P8465" t="n">
        <v>0</v>
      </c>
      <c r="Q8465" t="n">
        <v>0</v>
      </c>
      <c r="R8465" s="2" t="inlineStr"/>
    </row>
    <row r="8466" ht="15" customHeight="1">
      <c r="A8466" t="inlineStr">
        <is>
          <t>A 59340-2022</t>
        </is>
      </c>
      <c r="B8466" s="1" t="n">
        <v>44904</v>
      </c>
      <c r="C8466" s="1" t="n">
        <v>45810</v>
      </c>
      <c r="D8466" t="inlineStr">
        <is>
          <t>VÄRMLANDS LÄN</t>
        </is>
      </c>
      <c r="E8466" t="inlineStr">
        <is>
          <t>HAGFORS</t>
        </is>
      </c>
      <c r="F8466" t="inlineStr">
        <is>
          <t>Bergvik skog väst AB</t>
        </is>
      </c>
      <c r="G8466" t="n">
        <v>10.8</v>
      </c>
      <c r="H8466" t="n">
        <v>0</v>
      </c>
      <c r="I8466" t="n">
        <v>0</v>
      </c>
      <c r="J8466" t="n">
        <v>0</v>
      </c>
      <c r="K8466" t="n">
        <v>0</v>
      </c>
      <c r="L8466" t="n">
        <v>0</v>
      </c>
      <c r="M8466" t="n">
        <v>0</v>
      </c>
      <c r="N8466" t="n">
        <v>0</v>
      </c>
      <c r="O8466" t="n">
        <v>0</v>
      </c>
      <c r="P8466" t="n">
        <v>0</v>
      </c>
      <c r="Q8466" t="n">
        <v>0</v>
      </c>
      <c r="R8466" s="2" t="inlineStr"/>
    </row>
    <row r="8467" ht="15" customHeight="1">
      <c r="A8467" t="inlineStr">
        <is>
          <t>A 59096-2022</t>
        </is>
      </c>
      <c r="B8467" s="1" t="n">
        <v>44904</v>
      </c>
      <c r="C8467" s="1" t="n">
        <v>45810</v>
      </c>
      <c r="D8467" t="inlineStr">
        <is>
          <t>VÄRMLANDS LÄN</t>
        </is>
      </c>
      <c r="E8467" t="inlineStr">
        <is>
          <t>TORSBY</t>
        </is>
      </c>
      <c r="G8467" t="n">
        <v>5.2</v>
      </c>
      <c r="H8467" t="n">
        <v>0</v>
      </c>
      <c r="I8467" t="n">
        <v>0</v>
      </c>
      <c r="J8467" t="n">
        <v>0</v>
      </c>
      <c r="K8467" t="n">
        <v>0</v>
      </c>
      <c r="L8467" t="n">
        <v>0</v>
      </c>
      <c r="M8467" t="n">
        <v>0</v>
      </c>
      <c r="N8467" t="n">
        <v>0</v>
      </c>
      <c r="O8467" t="n">
        <v>0</v>
      </c>
      <c r="P8467" t="n">
        <v>0</v>
      </c>
      <c r="Q8467" t="n">
        <v>0</v>
      </c>
      <c r="R8467" s="2" t="inlineStr"/>
    </row>
    <row r="8468" ht="15" customHeight="1">
      <c r="A8468" t="inlineStr">
        <is>
          <t>A 59103-2022</t>
        </is>
      </c>
      <c r="B8468" s="1" t="n">
        <v>44904</v>
      </c>
      <c r="C8468" s="1" t="n">
        <v>45810</v>
      </c>
      <c r="D8468" t="inlineStr">
        <is>
          <t>VÄRMLANDS LÄN</t>
        </is>
      </c>
      <c r="E8468" t="inlineStr">
        <is>
          <t>ARVIKA</t>
        </is>
      </c>
      <c r="F8468" t="inlineStr">
        <is>
          <t>Kommuner</t>
        </is>
      </c>
      <c r="G8468" t="n">
        <v>0.7</v>
      </c>
      <c r="H8468" t="n">
        <v>0</v>
      </c>
      <c r="I8468" t="n">
        <v>0</v>
      </c>
      <c r="J8468" t="n">
        <v>0</v>
      </c>
      <c r="K8468" t="n">
        <v>0</v>
      </c>
      <c r="L8468" t="n">
        <v>0</v>
      </c>
      <c r="M8468" t="n">
        <v>0</v>
      </c>
      <c r="N8468" t="n">
        <v>0</v>
      </c>
      <c r="O8468" t="n">
        <v>0</v>
      </c>
      <c r="P8468" t="n">
        <v>0</v>
      </c>
      <c r="Q8468" t="n">
        <v>0</v>
      </c>
      <c r="R8468" s="2" t="inlineStr"/>
    </row>
    <row r="8469" ht="15" customHeight="1">
      <c r="A8469" t="inlineStr">
        <is>
          <t>A 59270-2022</t>
        </is>
      </c>
      <c r="B8469" s="1" t="n">
        <v>44904</v>
      </c>
      <c r="C8469" s="1" t="n">
        <v>45810</v>
      </c>
      <c r="D8469" t="inlineStr">
        <is>
          <t>VÄRMLANDS LÄN</t>
        </is>
      </c>
      <c r="E8469" t="inlineStr">
        <is>
          <t>EDA</t>
        </is>
      </c>
      <c r="G8469" t="n">
        <v>7.2</v>
      </c>
      <c r="H8469" t="n">
        <v>0</v>
      </c>
      <c r="I8469" t="n">
        <v>0</v>
      </c>
      <c r="J8469" t="n">
        <v>0</v>
      </c>
      <c r="K8469" t="n">
        <v>0</v>
      </c>
      <c r="L8469" t="n">
        <v>0</v>
      </c>
      <c r="M8469" t="n">
        <v>0</v>
      </c>
      <c r="N8469" t="n">
        <v>0</v>
      </c>
      <c r="O8469" t="n">
        <v>0</v>
      </c>
      <c r="P8469" t="n">
        <v>0</v>
      </c>
      <c r="Q8469" t="n">
        <v>0</v>
      </c>
      <c r="R8469" s="2" t="inlineStr"/>
    </row>
    <row r="8470" ht="15" customHeight="1">
      <c r="A8470" t="inlineStr">
        <is>
          <t>A 59342-2022</t>
        </is>
      </c>
      <c r="B8470" s="1" t="n">
        <v>44904</v>
      </c>
      <c r="C8470" s="1" t="n">
        <v>45810</v>
      </c>
      <c r="D8470" t="inlineStr">
        <is>
          <t>VÄRMLANDS LÄN</t>
        </is>
      </c>
      <c r="E8470" t="inlineStr">
        <is>
          <t>FILIPSTAD</t>
        </is>
      </c>
      <c r="G8470" t="n">
        <v>5.5</v>
      </c>
      <c r="H8470" t="n">
        <v>0</v>
      </c>
      <c r="I8470" t="n">
        <v>0</v>
      </c>
      <c r="J8470" t="n">
        <v>0</v>
      </c>
      <c r="K8470" t="n">
        <v>0</v>
      </c>
      <c r="L8470" t="n">
        <v>0</v>
      </c>
      <c r="M8470" t="n">
        <v>0</v>
      </c>
      <c r="N8470" t="n">
        <v>0</v>
      </c>
      <c r="O8470" t="n">
        <v>0</v>
      </c>
      <c r="P8470" t="n">
        <v>0</v>
      </c>
      <c r="Q8470" t="n">
        <v>0</v>
      </c>
      <c r="R8470" s="2" t="inlineStr"/>
    </row>
    <row r="8471" ht="15" customHeight="1">
      <c r="A8471" t="inlineStr">
        <is>
          <t>A 59347-2022</t>
        </is>
      </c>
      <c r="B8471" s="1" t="n">
        <v>44904</v>
      </c>
      <c r="C8471" s="1" t="n">
        <v>45810</v>
      </c>
      <c r="D8471" t="inlineStr">
        <is>
          <t>VÄRMLANDS LÄN</t>
        </is>
      </c>
      <c r="E8471" t="inlineStr">
        <is>
          <t>FILIPSTAD</t>
        </is>
      </c>
      <c r="F8471" t="inlineStr">
        <is>
          <t>Bergvik skog väst AB</t>
        </is>
      </c>
      <c r="G8471" t="n">
        <v>11.1</v>
      </c>
      <c r="H8471" t="n">
        <v>0</v>
      </c>
      <c r="I8471" t="n">
        <v>0</v>
      </c>
      <c r="J8471" t="n">
        <v>0</v>
      </c>
      <c r="K8471" t="n">
        <v>0</v>
      </c>
      <c r="L8471" t="n">
        <v>0</v>
      </c>
      <c r="M8471" t="n">
        <v>0</v>
      </c>
      <c r="N8471" t="n">
        <v>0</v>
      </c>
      <c r="O8471" t="n">
        <v>0</v>
      </c>
      <c r="P8471" t="n">
        <v>0</v>
      </c>
      <c r="Q8471" t="n">
        <v>0</v>
      </c>
      <c r="R8471" s="2" t="inlineStr"/>
    </row>
    <row r="8472" ht="15" customHeight="1">
      <c r="A8472" t="inlineStr">
        <is>
          <t>A 59341-2022</t>
        </is>
      </c>
      <c r="B8472" s="1" t="n">
        <v>44904</v>
      </c>
      <c r="C8472" s="1" t="n">
        <v>45810</v>
      </c>
      <c r="D8472" t="inlineStr">
        <is>
          <t>VÄRMLANDS LÄN</t>
        </is>
      </c>
      <c r="E8472" t="inlineStr">
        <is>
          <t>ARVIKA</t>
        </is>
      </c>
      <c r="G8472" t="n">
        <v>1.3</v>
      </c>
      <c r="H8472" t="n">
        <v>0</v>
      </c>
      <c r="I8472" t="n">
        <v>0</v>
      </c>
      <c r="J8472" t="n">
        <v>0</v>
      </c>
      <c r="K8472" t="n">
        <v>0</v>
      </c>
      <c r="L8472" t="n">
        <v>0</v>
      </c>
      <c r="M8472" t="n">
        <v>0</v>
      </c>
      <c r="N8472" t="n">
        <v>0</v>
      </c>
      <c r="O8472" t="n">
        <v>0</v>
      </c>
      <c r="P8472" t="n">
        <v>0</v>
      </c>
      <c r="Q8472" t="n">
        <v>0</v>
      </c>
      <c r="R8472" s="2" t="inlineStr"/>
    </row>
    <row r="8473" ht="15" customHeight="1">
      <c r="A8473" t="inlineStr">
        <is>
          <t>A 59352-2022</t>
        </is>
      </c>
      <c r="B8473" s="1" t="n">
        <v>44904</v>
      </c>
      <c r="C8473" s="1" t="n">
        <v>45810</v>
      </c>
      <c r="D8473" t="inlineStr">
        <is>
          <t>VÄRMLANDS LÄN</t>
        </is>
      </c>
      <c r="E8473" t="inlineStr">
        <is>
          <t>ÅRJÄNG</t>
        </is>
      </c>
      <c r="G8473" t="n">
        <v>9.6</v>
      </c>
      <c r="H8473" t="n">
        <v>0</v>
      </c>
      <c r="I8473" t="n">
        <v>0</v>
      </c>
      <c r="J8473" t="n">
        <v>0</v>
      </c>
      <c r="K8473" t="n">
        <v>0</v>
      </c>
      <c r="L8473" t="n">
        <v>0</v>
      </c>
      <c r="M8473" t="n">
        <v>0</v>
      </c>
      <c r="N8473" t="n">
        <v>0</v>
      </c>
      <c r="O8473" t="n">
        <v>0</v>
      </c>
      <c r="P8473" t="n">
        <v>0</v>
      </c>
      <c r="Q8473" t="n">
        <v>0</v>
      </c>
      <c r="R8473" s="2" t="inlineStr"/>
    </row>
    <row r="8474" ht="15" customHeight="1">
      <c r="A8474" t="inlineStr">
        <is>
          <t>A 60433-2022</t>
        </is>
      </c>
      <c r="B8474" s="1" t="n">
        <v>44904</v>
      </c>
      <c r="C8474" s="1" t="n">
        <v>45810</v>
      </c>
      <c r="D8474" t="inlineStr">
        <is>
          <t>VÄRMLANDS LÄN</t>
        </is>
      </c>
      <c r="E8474" t="inlineStr">
        <is>
          <t>ÅRJÄNG</t>
        </is>
      </c>
      <c r="G8474" t="n">
        <v>1.2</v>
      </c>
      <c r="H8474" t="n">
        <v>0</v>
      </c>
      <c r="I8474" t="n">
        <v>0</v>
      </c>
      <c r="J8474" t="n">
        <v>0</v>
      </c>
      <c r="K8474" t="n">
        <v>0</v>
      </c>
      <c r="L8474" t="n">
        <v>0</v>
      </c>
      <c r="M8474" t="n">
        <v>0</v>
      </c>
      <c r="N8474" t="n">
        <v>0</v>
      </c>
      <c r="O8474" t="n">
        <v>0</v>
      </c>
      <c r="P8474" t="n">
        <v>0</v>
      </c>
      <c r="Q8474" t="n">
        <v>0</v>
      </c>
      <c r="R8474" s="2" t="inlineStr"/>
    </row>
    <row r="8475" ht="15" customHeight="1">
      <c r="A8475" t="inlineStr">
        <is>
          <t>A 59343-2022</t>
        </is>
      </c>
      <c r="B8475" s="1" t="n">
        <v>44904</v>
      </c>
      <c r="C8475" s="1" t="n">
        <v>45810</v>
      </c>
      <c r="D8475" t="inlineStr">
        <is>
          <t>VÄRMLANDS LÄN</t>
        </is>
      </c>
      <c r="E8475" t="inlineStr">
        <is>
          <t>FILIPSTAD</t>
        </is>
      </c>
      <c r="G8475" t="n">
        <v>5.5</v>
      </c>
      <c r="H8475" t="n">
        <v>0</v>
      </c>
      <c r="I8475" t="n">
        <v>0</v>
      </c>
      <c r="J8475" t="n">
        <v>0</v>
      </c>
      <c r="K8475" t="n">
        <v>0</v>
      </c>
      <c r="L8475" t="n">
        <v>0</v>
      </c>
      <c r="M8475" t="n">
        <v>0</v>
      </c>
      <c r="N8475" t="n">
        <v>0</v>
      </c>
      <c r="O8475" t="n">
        <v>0</v>
      </c>
      <c r="P8475" t="n">
        <v>0</v>
      </c>
      <c r="Q8475" t="n">
        <v>0</v>
      </c>
      <c r="R8475" s="2" t="inlineStr"/>
    </row>
    <row r="8476" ht="15" customHeight="1">
      <c r="A8476" t="inlineStr">
        <is>
          <t>A 60377-2022</t>
        </is>
      </c>
      <c r="B8476" s="1" t="n">
        <v>44904</v>
      </c>
      <c r="C8476" s="1" t="n">
        <v>45810</v>
      </c>
      <c r="D8476" t="inlineStr">
        <is>
          <t>VÄRMLANDS LÄN</t>
        </is>
      </c>
      <c r="E8476" t="inlineStr">
        <is>
          <t>ÅRJÄNG</t>
        </is>
      </c>
      <c r="G8476" t="n">
        <v>1</v>
      </c>
      <c r="H8476" t="n">
        <v>0</v>
      </c>
      <c r="I8476" t="n">
        <v>0</v>
      </c>
      <c r="J8476" t="n">
        <v>0</v>
      </c>
      <c r="K8476" t="n">
        <v>0</v>
      </c>
      <c r="L8476" t="n">
        <v>0</v>
      </c>
      <c r="M8476" t="n">
        <v>0</v>
      </c>
      <c r="N8476" t="n">
        <v>0</v>
      </c>
      <c r="O8476" t="n">
        <v>0</v>
      </c>
      <c r="P8476" t="n">
        <v>0</v>
      </c>
      <c r="Q8476" t="n">
        <v>0</v>
      </c>
      <c r="R8476" s="2" t="inlineStr"/>
    </row>
    <row r="8477" ht="15" customHeight="1">
      <c r="A8477" t="inlineStr">
        <is>
          <t>A 60595-2022</t>
        </is>
      </c>
      <c r="B8477" s="1" t="n">
        <v>44906</v>
      </c>
      <c r="C8477" s="1" t="n">
        <v>45810</v>
      </c>
      <c r="D8477" t="inlineStr">
        <is>
          <t>VÄRMLANDS LÄN</t>
        </is>
      </c>
      <c r="E8477" t="inlineStr">
        <is>
          <t>ARVIKA</t>
        </is>
      </c>
      <c r="G8477" t="n">
        <v>1</v>
      </c>
      <c r="H8477" t="n">
        <v>0</v>
      </c>
      <c r="I8477" t="n">
        <v>0</v>
      </c>
      <c r="J8477" t="n">
        <v>0</v>
      </c>
      <c r="K8477" t="n">
        <v>0</v>
      </c>
      <c r="L8477" t="n">
        <v>0</v>
      </c>
      <c r="M8477" t="n">
        <v>0</v>
      </c>
      <c r="N8477" t="n">
        <v>0</v>
      </c>
      <c r="O8477" t="n">
        <v>0</v>
      </c>
      <c r="P8477" t="n">
        <v>0</v>
      </c>
      <c r="Q8477" t="n">
        <v>0</v>
      </c>
      <c r="R8477" s="2" t="inlineStr"/>
    </row>
    <row r="8478" ht="15" customHeight="1">
      <c r="A8478" t="inlineStr">
        <is>
          <t>A 60626-2022</t>
        </is>
      </c>
      <c r="B8478" s="1" t="n">
        <v>44906</v>
      </c>
      <c r="C8478" s="1" t="n">
        <v>45810</v>
      </c>
      <c r="D8478" t="inlineStr">
        <is>
          <t>VÄRMLANDS LÄN</t>
        </is>
      </c>
      <c r="E8478" t="inlineStr">
        <is>
          <t>ARVIKA</t>
        </is>
      </c>
      <c r="G8478" t="n">
        <v>2.2</v>
      </c>
      <c r="H8478" t="n">
        <v>0</v>
      </c>
      <c r="I8478" t="n">
        <v>0</v>
      </c>
      <c r="J8478" t="n">
        <v>0</v>
      </c>
      <c r="K8478" t="n">
        <v>0</v>
      </c>
      <c r="L8478" t="n">
        <v>0</v>
      </c>
      <c r="M8478" t="n">
        <v>0</v>
      </c>
      <c r="N8478" t="n">
        <v>0</v>
      </c>
      <c r="O8478" t="n">
        <v>0</v>
      </c>
      <c r="P8478" t="n">
        <v>0</v>
      </c>
      <c r="Q8478" t="n">
        <v>0</v>
      </c>
      <c r="R8478" s="2" t="inlineStr"/>
    </row>
    <row r="8479" ht="15" customHeight="1">
      <c r="A8479" t="inlineStr">
        <is>
          <t>A 60607-2022</t>
        </is>
      </c>
      <c r="B8479" s="1" t="n">
        <v>44906</v>
      </c>
      <c r="C8479" s="1" t="n">
        <v>45810</v>
      </c>
      <c r="D8479" t="inlineStr">
        <is>
          <t>VÄRMLANDS LÄN</t>
        </is>
      </c>
      <c r="E8479" t="inlineStr">
        <is>
          <t>ARVIKA</t>
        </is>
      </c>
      <c r="G8479" t="n">
        <v>5.6</v>
      </c>
      <c r="H8479" t="n">
        <v>0</v>
      </c>
      <c r="I8479" t="n">
        <v>0</v>
      </c>
      <c r="J8479" t="n">
        <v>0</v>
      </c>
      <c r="K8479" t="n">
        <v>0</v>
      </c>
      <c r="L8479" t="n">
        <v>0</v>
      </c>
      <c r="M8479" t="n">
        <v>0</v>
      </c>
      <c r="N8479" t="n">
        <v>0</v>
      </c>
      <c r="O8479" t="n">
        <v>0</v>
      </c>
      <c r="P8479" t="n">
        <v>0</v>
      </c>
      <c r="Q8479" t="n">
        <v>0</v>
      </c>
      <c r="R8479" s="2" t="inlineStr"/>
    </row>
    <row r="8480" ht="15" customHeight="1">
      <c r="A8480" t="inlineStr">
        <is>
          <t>A 60627-2022</t>
        </is>
      </c>
      <c r="B8480" s="1" t="n">
        <v>44906</v>
      </c>
      <c r="C8480" s="1" t="n">
        <v>45810</v>
      </c>
      <c r="D8480" t="inlineStr">
        <is>
          <t>VÄRMLANDS LÄN</t>
        </is>
      </c>
      <c r="E8480" t="inlineStr">
        <is>
          <t>ARVIKA</t>
        </is>
      </c>
      <c r="G8480" t="n">
        <v>6.5</v>
      </c>
      <c r="H8480" t="n">
        <v>0</v>
      </c>
      <c r="I8480" t="n">
        <v>0</v>
      </c>
      <c r="J8480" t="n">
        <v>0</v>
      </c>
      <c r="K8480" t="n">
        <v>0</v>
      </c>
      <c r="L8480" t="n">
        <v>0</v>
      </c>
      <c r="M8480" t="n">
        <v>0</v>
      </c>
      <c r="N8480" t="n">
        <v>0</v>
      </c>
      <c r="O8480" t="n">
        <v>0</v>
      </c>
      <c r="P8480" t="n">
        <v>0</v>
      </c>
      <c r="Q8480" t="n">
        <v>0</v>
      </c>
      <c r="R8480" s="2" t="inlineStr"/>
    </row>
    <row r="8481" ht="15" customHeight="1">
      <c r="A8481" t="inlineStr">
        <is>
          <t>A 60593-2022</t>
        </is>
      </c>
      <c r="B8481" s="1" t="n">
        <v>44906</v>
      </c>
      <c r="C8481" s="1" t="n">
        <v>45810</v>
      </c>
      <c r="D8481" t="inlineStr">
        <is>
          <t>VÄRMLANDS LÄN</t>
        </is>
      </c>
      <c r="E8481" t="inlineStr">
        <is>
          <t>ARVIKA</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60622-2022</t>
        </is>
      </c>
      <c r="B8482" s="1" t="n">
        <v>44906</v>
      </c>
      <c r="C8482" s="1" t="n">
        <v>45810</v>
      </c>
      <c r="D8482" t="inlineStr">
        <is>
          <t>VÄRMLANDS LÄN</t>
        </is>
      </c>
      <c r="E8482" t="inlineStr">
        <is>
          <t>ARVIKA</t>
        </is>
      </c>
      <c r="G8482" t="n">
        <v>1.8</v>
      </c>
      <c r="H8482" t="n">
        <v>0</v>
      </c>
      <c r="I8482" t="n">
        <v>0</v>
      </c>
      <c r="J8482" t="n">
        <v>0</v>
      </c>
      <c r="K8482" t="n">
        <v>0</v>
      </c>
      <c r="L8482" t="n">
        <v>0</v>
      </c>
      <c r="M8482" t="n">
        <v>0</v>
      </c>
      <c r="N8482" t="n">
        <v>0</v>
      </c>
      <c r="O8482" t="n">
        <v>0</v>
      </c>
      <c r="P8482" t="n">
        <v>0</v>
      </c>
      <c r="Q8482" t="n">
        <v>0</v>
      </c>
      <c r="R8482" s="2" t="inlineStr"/>
    </row>
    <row r="8483" ht="15" customHeight="1">
      <c r="A8483" t="inlineStr">
        <is>
          <t>A 59445-2022</t>
        </is>
      </c>
      <c r="B8483" s="1" t="n">
        <v>44907</v>
      </c>
      <c r="C8483" s="1" t="n">
        <v>45810</v>
      </c>
      <c r="D8483" t="inlineStr">
        <is>
          <t>VÄRMLANDS LÄN</t>
        </is>
      </c>
      <c r="E8483" t="inlineStr">
        <is>
          <t>STORFORS</t>
        </is>
      </c>
      <c r="G8483" t="n">
        <v>1.8</v>
      </c>
      <c r="H8483" t="n">
        <v>0</v>
      </c>
      <c r="I8483" t="n">
        <v>0</v>
      </c>
      <c r="J8483" t="n">
        <v>0</v>
      </c>
      <c r="K8483" t="n">
        <v>0</v>
      </c>
      <c r="L8483" t="n">
        <v>0</v>
      </c>
      <c r="M8483" t="n">
        <v>0</v>
      </c>
      <c r="N8483" t="n">
        <v>0</v>
      </c>
      <c r="O8483" t="n">
        <v>0</v>
      </c>
      <c r="P8483" t="n">
        <v>0</v>
      </c>
      <c r="Q8483" t="n">
        <v>0</v>
      </c>
      <c r="R8483" s="2" t="inlineStr"/>
    </row>
    <row r="8484" ht="15" customHeight="1">
      <c r="A8484" t="inlineStr">
        <is>
          <t>A 59449-2022</t>
        </is>
      </c>
      <c r="B8484" s="1" t="n">
        <v>44907</v>
      </c>
      <c r="C8484" s="1" t="n">
        <v>45810</v>
      </c>
      <c r="D8484" t="inlineStr">
        <is>
          <t>VÄRMLANDS LÄN</t>
        </is>
      </c>
      <c r="E8484" t="inlineStr">
        <is>
          <t>STORFORS</t>
        </is>
      </c>
      <c r="G8484" t="n">
        <v>2.1</v>
      </c>
      <c r="H8484" t="n">
        <v>0</v>
      </c>
      <c r="I8484" t="n">
        <v>0</v>
      </c>
      <c r="J8484" t="n">
        <v>0</v>
      </c>
      <c r="K8484" t="n">
        <v>0</v>
      </c>
      <c r="L8484" t="n">
        <v>0</v>
      </c>
      <c r="M8484" t="n">
        <v>0</v>
      </c>
      <c r="N8484" t="n">
        <v>0</v>
      </c>
      <c r="O8484" t="n">
        <v>0</v>
      </c>
      <c r="P8484" t="n">
        <v>0</v>
      </c>
      <c r="Q8484" t="n">
        <v>0</v>
      </c>
      <c r="R8484" s="2" t="inlineStr"/>
    </row>
    <row r="8485" ht="15" customHeight="1">
      <c r="A8485" t="inlineStr">
        <is>
          <t>A 59503-2022</t>
        </is>
      </c>
      <c r="B8485" s="1" t="n">
        <v>44907</v>
      </c>
      <c r="C8485" s="1" t="n">
        <v>45810</v>
      </c>
      <c r="D8485" t="inlineStr">
        <is>
          <t>VÄRMLANDS LÄN</t>
        </is>
      </c>
      <c r="E8485" t="inlineStr">
        <is>
          <t>KIL</t>
        </is>
      </c>
      <c r="G8485" t="n">
        <v>0.7</v>
      </c>
      <c r="H8485" t="n">
        <v>0</v>
      </c>
      <c r="I8485" t="n">
        <v>0</v>
      </c>
      <c r="J8485" t="n">
        <v>0</v>
      </c>
      <c r="K8485" t="n">
        <v>0</v>
      </c>
      <c r="L8485" t="n">
        <v>0</v>
      </c>
      <c r="M8485" t="n">
        <v>0</v>
      </c>
      <c r="N8485" t="n">
        <v>0</v>
      </c>
      <c r="O8485" t="n">
        <v>0</v>
      </c>
      <c r="P8485" t="n">
        <v>0</v>
      </c>
      <c r="Q8485" t="n">
        <v>0</v>
      </c>
      <c r="R8485" s="2" t="inlineStr"/>
    </row>
    <row r="8486" ht="15" customHeight="1">
      <c r="A8486" t="inlineStr">
        <is>
          <t>A 59417-2022</t>
        </is>
      </c>
      <c r="B8486" s="1" t="n">
        <v>44907</v>
      </c>
      <c r="C8486" s="1" t="n">
        <v>45810</v>
      </c>
      <c r="D8486" t="inlineStr">
        <is>
          <t>VÄRMLANDS LÄN</t>
        </is>
      </c>
      <c r="E8486" t="inlineStr">
        <is>
          <t>HAGFORS</t>
        </is>
      </c>
      <c r="F8486" t="inlineStr">
        <is>
          <t>Bergvik skog väst AB</t>
        </is>
      </c>
      <c r="G8486" t="n">
        <v>13.1</v>
      </c>
      <c r="H8486" t="n">
        <v>0</v>
      </c>
      <c r="I8486" t="n">
        <v>0</v>
      </c>
      <c r="J8486" t="n">
        <v>0</v>
      </c>
      <c r="K8486" t="n">
        <v>0</v>
      </c>
      <c r="L8486" t="n">
        <v>0</v>
      </c>
      <c r="M8486" t="n">
        <v>0</v>
      </c>
      <c r="N8486" t="n">
        <v>0</v>
      </c>
      <c r="O8486" t="n">
        <v>0</v>
      </c>
      <c r="P8486" t="n">
        <v>0</v>
      </c>
      <c r="Q8486" t="n">
        <v>0</v>
      </c>
      <c r="R8486" s="2" t="inlineStr"/>
    </row>
    <row r="8487" ht="15" customHeight="1">
      <c r="A8487" t="inlineStr">
        <is>
          <t>A 59423-2022</t>
        </is>
      </c>
      <c r="B8487" s="1" t="n">
        <v>44907</v>
      </c>
      <c r="C8487" s="1" t="n">
        <v>45810</v>
      </c>
      <c r="D8487" t="inlineStr">
        <is>
          <t>VÄRMLANDS LÄN</t>
        </is>
      </c>
      <c r="E8487" t="inlineStr">
        <is>
          <t>FORSHAGA</t>
        </is>
      </c>
      <c r="G8487" t="n">
        <v>1.3</v>
      </c>
      <c r="H8487" t="n">
        <v>0</v>
      </c>
      <c r="I8487" t="n">
        <v>0</v>
      </c>
      <c r="J8487" t="n">
        <v>0</v>
      </c>
      <c r="K8487" t="n">
        <v>0</v>
      </c>
      <c r="L8487" t="n">
        <v>0</v>
      </c>
      <c r="M8487" t="n">
        <v>0</v>
      </c>
      <c r="N8487" t="n">
        <v>0</v>
      </c>
      <c r="O8487" t="n">
        <v>0</v>
      </c>
      <c r="P8487" t="n">
        <v>0</v>
      </c>
      <c r="Q8487" t="n">
        <v>0</v>
      </c>
      <c r="R8487" s="2" t="inlineStr"/>
    </row>
    <row r="8488" ht="15" customHeight="1">
      <c r="A8488" t="inlineStr">
        <is>
          <t>A 59537-2022</t>
        </is>
      </c>
      <c r="B8488" s="1" t="n">
        <v>44907</v>
      </c>
      <c r="C8488" s="1" t="n">
        <v>45810</v>
      </c>
      <c r="D8488" t="inlineStr">
        <is>
          <t>VÄRMLANDS LÄN</t>
        </is>
      </c>
      <c r="E8488" t="inlineStr">
        <is>
          <t>FORSHAGA</t>
        </is>
      </c>
      <c r="G8488" t="n">
        <v>1.6</v>
      </c>
      <c r="H8488" t="n">
        <v>0</v>
      </c>
      <c r="I8488" t="n">
        <v>0</v>
      </c>
      <c r="J8488" t="n">
        <v>0</v>
      </c>
      <c r="K8488" t="n">
        <v>0</v>
      </c>
      <c r="L8488" t="n">
        <v>0</v>
      </c>
      <c r="M8488" t="n">
        <v>0</v>
      </c>
      <c r="N8488" t="n">
        <v>0</v>
      </c>
      <c r="O8488" t="n">
        <v>0</v>
      </c>
      <c r="P8488" t="n">
        <v>0</v>
      </c>
      <c r="Q8488" t="n">
        <v>0</v>
      </c>
      <c r="R8488" s="2" t="inlineStr"/>
    </row>
    <row r="8489" ht="15" customHeight="1">
      <c r="A8489" t="inlineStr">
        <is>
          <t>A 59621-2022</t>
        </is>
      </c>
      <c r="B8489" s="1" t="n">
        <v>44907</v>
      </c>
      <c r="C8489" s="1" t="n">
        <v>45810</v>
      </c>
      <c r="D8489" t="inlineStr">
        <is>
          <t>VÄRMLANDS LÄN</t>
        </is>
      </c>
      <c r="E8489" t="inlineStr">
        <is>
          <t>ÅRJÄNG</t>
        </is>
      </c>
      <c r="G8489" t="n">
        <v>8.800000000000001</v>
      </c>
      <c r="H8489" t="n">
        <v>0</v>
      </c>
      <c r="I8489" t="n">
        <v>0</v>
      </c>
      <c r="J8489" t="n">
        <v>0</v>
      </c>
      <c r="K8489" t="n">
        <v>0</v>
      </c>
      <c r="L8489" t="n">
        <v>0</v>
      </c>
      <c r="M8489" t="n">
        <v>0</v>
      </c>
      <c r="N8489" t="n">
        <v>0</v>
      </c>
      <c r="O8489" t="n">
        <v>0</v>
      </c>
      <c r="P8489" t="n">
        <v>0</v>
      </c>
      <c r="Q8489" t="n">
        <v>0</v>
      </c>
      <c r="R8489" s="2" t="inlineStr"/>
    </row>
    <row r="8490" ht="15" customHeight="1">
      <c r="A8490" t="inlineStr">
        <is>
          <t>A 59612-2022</t>
        </is>
      </c>
      <c r="B8490" s="1" t="n">
        <v>44907</v>
      </c>
      <c r="C8490" s="1" t="n">
        <v>45810</v>
      </c>
      <c r="D8490" t="inlineStr">
        <is>
          <t>VÄRMLANDS LÄN</t>
        </is>
      </c>
      <c r="E8490" t="inlineStr">
        <is>
          <t>ÅRJÄNG</t>
        </is>
      </c>
      <c r="G8490" t="n">
        <v>5.3</v>
      </c>
      <c r="H8490" t="n">
        <v>0</v>
      </c>
      <c r="I8490" t="n">
        <v>0</v>
      </c>
      <c r="J8490" t="n">
        <v>0</v>
      </c>
      <c r="K8490" t="n">
        <v>0</v>
      </c>
      <c r="L8490" t="n">
        <v>0</v>
      </c>
      <c r="M8490" t="n">
        <v>0</v>
      </c>
      <c r="N8490" t="n">
        <v>0</v>
      </c>
      <c r="O8490" t="n">
        <v>0</v>
      </c>
      <c r="P8490" t="n">
        <v>0</v>
      </c>
      <c r="Q8490" t="n">
        <v>0</v>
      </c>
      <c r="R8490" s="2" t="inlineStr"/>
    </row>
    <row r="8491" ht="15" customHeight="1">
      <c r="A8491" t="inlineStr">
        <is>
          <t>A 59624-2022</t>
        </is>
      </c>
      <c r="B8491" s="1" t="n">
        <v>44907</v>
      </c>
      <c r="C8491" s="1" t="n">
        <v>45810</v>
      </c>
      <c r="D8491" t="inlineStr">
        <is>
          <t>VÄRMLANDS LÄN</t>
        </is>
      </c>
      <c r="E8491" t="inlineStr">
        <is>
          <t>ÅRJÄNG</t>
        </is>
      </c>
      <c r="G8491" t="n">
        <v>1</v>
      </c>
      <c r="H8491" t="n">
        <v>0</v>
      </c>
      <c r="I8491" t="n">
        <v>0</v>
      </c>
      <c r="J8491" t="n">
        <v>0</v>
      </c>
      <c r="K8491" t="n">
        <v>0</v>
      </c>
      <c r="L8491" t="n">
        <v>0</v>
      </c>
      <c r="M8491" t="n">
        <v>0</v>
      </c>
      <c r="N8491" t="n">
        <v>0</v>
      </c>
      <c r="O8491" t="n">
        <v>0</v>
      </c>
      <c r="P8491" t="n">
        <v>0</v>
      </c>
      <c r="Q8491" t="n">
        <v>0</v>
      </c>
      <c r="R8491" s="2" t="inlineStr"/>
    </row>
    <row r="8492" ht="15" customHeight="1">
      <c r="A8492" t="inlineStr">
        <is>
          <t>A 59617-2022</t>
        </is>
      </c>
      <c r="B8492" s="1" t="n">
        <v>44907</v>
      </c>
      <c r="C8492" s="1" t="n">
        <v>45810</v>
      </c>
      <c r="D8492" t="inlineStr">
        <is>
          <t>VÄRMLANDS LÄN</t>
        </is>
      </c>
      <c r="E8492" t="inlineStr">
        <is>
          <t>ÅRJÄNG</t>
        </is>
      </c>
      <c r="G8492" t="n">
        <v>0.7</v>
      </c>
      <c r="H8492" t="n">
        <v>0</v>
      </c>
      <c r="I8492" t="n">
        <v>0</v>
      </c>
      <c r="J8492" t="n">
        <v>0</v>
      </c>
      <c r="K8492" t="n">
        <v>0</v>
      </c>
      <c r="L8492" t="n">
        <v>0</v>
      </c>
      <c r="M8492" t="n">
        <v>0</v>
      </c>
      <c r="N8492" t="n">
        <v>0</v>
      </c>
      <c r="O8492" t="n">
        <v>0</v>
      </c>
      <c r="P8492" t="n">
        <v>0</v>
      </c>
      <c r="Q8492" t="n">
        <v>0</v>
      </c>
      <c r="R8492" s="2" t="inlineStr"/>
    </row>
    <row r="8493" ht="15" customHeight="1">
      <c r="A8493" t="inlineStr">
        <is>
          <t>A 59542-2022</t>
        </is>
      </c>
      <c r="B8493" s="1" t="n">
        <v>44907</v>
      </c>
      <c r="C8493" s="1" t="n">
        <v>45810</v>
      </c>
      <c r="D8493" t="inlineStr">
        <is>
          <t>VÄRMLANDS LÄN</t>
        </is>
      </c>
      <c r="E8493" t="inlineStr">
        <is>
          <t>GRUMS</t>
        </is>
      </c>
      <c r="G8493" t="n">
        <v>0.8</v>
      </c>
      <c r="H8493" t="n">
        <v>0</v>
      </c>
      <c r="I8493" t="n">
        <v>0</v>
      </c>
      <c r="J8493" t="n">
        <v>0</v>
      </c>
      <c r="K8493" t="n">
        <v>0</v>
      </c>
      <c r="L8493" t="n">
        <v>0</v>
      </c>
      <c r="M8493" t="n">
        <v>0</v>
      </c>
      <c r="N8493" t="n">
        <v>0</v>
      </c>
      <c r="O8493" t="n">
        <v>0</v>
      </c>
      <c r="P8493" t="n">
        <v>0</v>
      </c>
      <c r="Q8493" t="n">
        <v>0</v>
      </c>
      <c r="R8493" s="2" t="inlineStr"/>
    </row>
    <row r="8494" ht="15" customHeight="1">
      <c r="A8494" t="inlineStr">
        <is>
          <t>A 59622-2022</t>
        </is>
      </c>
      <c r="B8494" s="1" t="n">
        <v>44907</v>
      </c>
      <c r="C8494" s="1" t="n">
        <v>45810</v>
      </c>
      <c r="D8494" t="inlineStr">
        <is>
          <t>VÄRMLANDS LÄN</t>
        </is>
      </c>
      <c r="E8494" t="inlineStr">
        <is>
          <t>ÅRJÄNG</t>
        </is>
      </c>
      <c r="G8494" t="n">
        <v>1.5</v>
      </c>
      <c r="H8494" t="n">
        <v>0</v>
      </c>
      <c r="I8494" t="n">
        <v>0</v>
      </c>
      <c r="J8494" t="n">
        <v>0</v>
      </c>
      <c r="K8494" t="n">
        <v>0</v>
      </c>
      <c r="L8494" t="n">
        <v>0</v>
      </c>
      <c r="M8494" t="n">
        <v>0</v>
      </c>
      <c r="N8494" t="n">
        <v>0</v>
      </c>
      <c r="O8494" t="n">
        <v>0</v>
      </c>
      <c r="P8494" t="n">
        <v>0</v>
      </c>
      <c r="Q8494" t="n">
        <v>0</v>
      </c>
      <c r="R8494" s="2" t="inlineStr"/>
    </row>
    <row r="8495" ht="15" customHeight="1">
      <c r="A8495" t="inlineStr">
        <is>
          <t>A 59674-2022</t>
        </is>
      </c>
      <c r="B8495" s="1" t="n">
        <v>44908</v>
      </c>
      <c r="C8495" s="1" t="n">
        <v>45810</v>
      </c>
      <c r="D8495" t="inlineStr">
        <is>
          <t>VÄRMLANDS LÄN</t>
        </is>
      </c>
      <c r="E8495" t="inlineStr">
        <is>
          <t>KARLSTAD</t>
        </is>
      </c>
      <c r="G8495" t="n">
        <v>1.1</v>
      </c>
      <c r="H8495" t="n">
        <v>0</v>
      </c>
      <c r="I8495" t="n">
        <v>0</v>
      </c>
      <c r="J8495" t="n">
        <v>0</v>
      </c>
      <c r="K8495" t="n">
        <v>0</v>
      </c>
      <c r="L8495" t="n">
        <v>0</v>
      </c>
      <c r="M8495" t="n">
        <v>0</v>
      </c>
      <c r="N8495" t="n">
        <v>0</v>
      </c>
      <c r="O8495" t="n">
        <v>0</v>
      </c>
      <c r="P8495" t="n">
        <v>0</v>
      </c>
      <c r="Q8495" t="n">
        <v>0</v>
      </c>
      <c r="R8495" s="2" t="inlineStr"/>
    </row>
    <row r="8496" ht="15" customHeight="1">
      <c r="A8496" t="inlineStr">
        <is>
          <t>A 59659-2022</t>
        </is>
      </c>
      <c r="B8496" s="1" t="n">
        <v>44908</v>
      </c>
      <c r="C8496" s="1" t="n">
        <v>45810</v>
      </c>
      <c r="D8496" t="inlineStr">
        <is>
          <t>VÄRMLANDS LÄN</t>
        </is>
      </c>
      <c r="E8496" t="inlineStr">
        <is>
          <t>EDA</t>
        </is>
      </c>
      <c r="G8496" t="n">
        <v>2.6</v>
      </c>
      <c r="H8496" t="n">
        <v>0</v>
      </c>
      <c r="I8496" t="n">
        <v>0</v>
      </c>
      <c r="J8496" t="n">
        <v>0</v>
      </c>
      <c r="K8496" t="n">
        <v>0</v>
      </c>
      <c r="L8496" t="n">
        <v>0</v>
      </c>
      <c r="M8496" t="n">
        <v>0</v>
      </c>
      <c r="N8496" t="n">
        <v>0</v>
      </c>
      <c r="O8496" t="n">
        <v>0</v>
      </c>
      <c r="P8496" t="n">
        <v>0</v>
      </c>
      <c r="Q8496" t="n">
        <v>0</v>
      </c>
      <c r="R8496" s="2" t="inlineStr"/>
    </row>
    <row r="8497" ht="15" customHeight="1">
      <c r="A8497" t="inlineStr">
        <is>
          <t>A 59694-2022</t>
        </is>
      </c>
      <c r="B8497" s="1" t="n">
        <v>44908</v>
      </c>
      <c r="C8497" s="1" t="n">
        <v>45810</v>
      </c>
      <c r="D8497" t="inlineStr">
        <is>
          <t>VÄRMLANDS LÄN</t>
        </is>
      </c>
      <c r="E8497" t="inlineStr">
        <is>
          <t>SUNNE</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59785-2022</t>
        </is>
      </c>
      <c r="B8498" s="1" t="n">
        <v>44908</v>
      </c>
      <c r="C8498" s="1" t="n">
        <v>45810</v>
      </c>
      <c r="D8498" t="inlineStr">
        <is>
          <t>VÄRMLANDS LÄN</t>
        </is>
      </c>
      <c r="E8498" t="inlineStr">
        <is>
          <t>ÅRJÄNG</t>
        </is>
      </c>
      <c r="G8498" t="n">
        <v>12.1</v>
      </c>
      <c r="H8498" t="n">
        <v>0</v>
      </c>
      <c r="I8498" t="n">
        <v>0</v>
      </c>
      <c r="J8498" t="n">
        <v>0</v>
      </c>
      <c r="K8498" t="n">
        <v>0</v>
      </c>
      <c r="L8498" t="n">
        <v>0</v>
      </c>
      <c r="M8498" t="n">
        <v>0</v>
      </c>
      <c r="N8498" t="n">
        <v>0</v>
      </c>
      <c r="O8498" t="n">
        <v>0</v>
      </c>
      <c r="P8498" t="n">
        <v>0</v>
      </c>
      <c r="Q8498" t="n">
        <v>0</v>
      </c>
      <c r="R8498" s="2" t="inlineStr"/>
    </row>
    <row r="8499" ht="15" customHeight="1">
      <c r="A8499" t="inlineStr">
        <is>
          <t>A 59795-2022</t>
        </is>
      </c>
      <c r="B8499" s="1" t="n">
        <v>44908</v>
      </c>
      <c r="C8499" s="1" t="n">
        <v>45810</v>
      </c>
      <c r="D8499" t="inlineStr">
        <is>
          <t>VÄRMLANDS LÄN</t>
        </is>
      </c>
      <c r="E8499" t="inlineStr">
        <is>
          <t>GRUMS</t>
        </is>
      </c>
      <c r="G8499" t="n">
        <v>1.1</v>
      </c>
      <c r="H8499" t="n">
        <v>0</v>
      </c>
      <c r="I8499" t="n">
        <v>0</v>
      </c>
      <c r="J8499" t="n">
        <v>0</v>
      </c>
      <c r="K8499" t="n">
        <v>0</v>
      </c>
      <c r="L8499" t="n">
        <v>0</v>
      </c>
      <c r="M8499" t="n">
        <v>0</v>
      </c>
      <c r="N8499" t="n">
        <v>0</v>
      </c>
      <c r="O8499" t="n">
        <v>0</v>
      </c>
      <c r="P8499" t="n">
        <v>0</v>
      </c>
      <c r="Q8499" t="n">
        <v>0</v>
      </c>
      <c r="R8499" s="2" t="inlineStr"/>
    </row>
    <row r="8500" ht="15" customHeight="1">
      <c r="A8500" t="inlineStr">
        <is>
          <t>A 59685-2022</t>
        </is>
      </c>
      <c r="B8500" s="1" t="n">
        <v>44908</v>
      </c>
      <c r="C8500" s="1" t="n">
        <v>45810</v>
      </c>
      <c r="D8500" t="inlineStr">
        <is>
          <t>VÄRMLANDS LÄN</t>
        </is>
      </c>
      <c r="E8500" t="inlineStr">
        <is>
          <t>SUNNE</t>
        </is>
      </c>
      <c r="G8500" t="n">
        <v>1.7</v>
      </c>
      <c r="H8500" t="n">
        <v>0</v>
      </c>
      <c r="I8500" t="n">
        <v>0</v>
      </c>
      <c r="J8500" t="n">
        <v>0</v>
      </c>
      <c r="K8500" t="n">
        <v>0</v>
      </c>
      <c r="L8500" t="n">
        <v>0</v>
      </c>
      <c r="M8500" t="n">
        <v>0</v>
      </c>
      <c r="N8500" t="n">
        <v>0</v>
      </c>
      <c r="O8500" t="n">
        <v>0</v>
      </c>
      <c r="P8500" t="n">
        <v>0</v>
      </c>
      <c r="Q8500" t="n">
        <v>0</v>
      </c>
      <c r="R8500" s="2" t="inlineStr"/>
    </row>
    <row r="8501" ht="15" customHeight="1">
      <c r="A8501" t="inlineStr">
        <is>
          <t>A 59810-2022</t>
        </is>
      </c>
      <c r="B8501" s="1" t="n">
        <v>44908</v>
      </c>
      <c r="C8501" s="1" t="n">
        <v>45810</v>
      </c>
      <c r="D8501" t="inlineStr">
        <is>
          <t>VÄRMLANDS LÄN</t>
        </is>
      </c>
      <c r="E8501" t="inlineStr">
        <is>
          <t>FORSHAGA</t>
        </is>
      </c>
      <c r="F8501" t="inlineStr">
        <is>
          <t>Bergvik skog väst AB</t>
        </is>
      </c>
      <c r="G8501" t="n">
        <v>17.4</v>
      </c>
      <c r="H8501" t="n">
        <v>0</v>
      </c>
      <c r="I8501" t="n">
        <v>0</v>
      </c>
      <c r="J8501" t="n">
        <v>0</v>
      </c>
      <c r="K8501" t="n">
        <v>0</v>
      </c>
      <c r="L8501" t="n">
        <v>0</v>
      </c>
      <c r="M8501" t="n">
        <v>0</v>
      </c>
      <c r="N8501" t="n">
        <v>0</v>
      </c>
      <c r="O8501" t="n">
        <v>0</v>
      </c>
      <c r="P8501" t="n">
        <v>0</v>
      </c>
      <c r="Q8501" t="n">
        <v>0</v>
      </c>
      <c r="R8501" s="2" t="inlineStr"/>
    </row>
    <row r="8502" ht="15" customHeight="1">
      <c r="A8502" t="inlineStr">
        <is>
          <t>A 59837-2022</t>
        </is>
      </c>
      <c r="B8502" s="1" t="n">
        <v>44908</v>
      </c>
      <c r="C8502" s="1" t="n">
        <v>45810</v>
      </c>
      <c r="D8502" t="inlineStr">
        <is>
          <t>VÄRMLANDS LÄN</t>
        </is>
      </c>
      <c r="E8502" t="inlineStr">
        <is>
          <t>ARVIKA</t>
        </is>
      </c>
      <c r="G8502" t="n">
        <v>1.8</v>
      </c>
      <c r="H8502" t="n">
        <v>0</v>
      </c>
      <c r="I8502" t="n">
        <v>0</v>
      </c>
      <c r="J8502" t="n">
        <v>0</v>
      </c>
      <c r="K8502" t="n">
        <v>0</v>
      </c>
      <c r="L8502" t="n">
        <v>0</v>
      </c>
      <c r="M8502" t="n">
        <v>0</v>
      </c>
      <c r="N8502" t="n">
        <v>0</v>
      </c>
      <c r="O8502" t="n">
        <v>0</v>
      </c>
      <c r="P8502" t="n">
        <v>0</v>
      </c>
      <c r="Q8502" t="n">
        <v>0</v>
      </c>
      <c r="R8502" s="2" t="inlineStr"/>
    </row>
    <row r="8503" ht="15" customHeight="1">
      <c r="A8503" t="inlineStr">
        <is>
          <t>A 59878-2022</t>
        </is>
      </c>
      <c r="B8503" s="1" t="n">
        <v>44908</v>
      </c>
      <c r="C8503" s="1" t="n">
        <v>45810</v>
      </c>
      <c r="D8503" t="inlineStr">
        <is>
          <t>VÄRMLANDS LÄN</t>
        </is>
      </c>
      <c r="E8503" t="inlineStr">
        <is>
          <t>HAGFORS</t>
        </is>
      </c>
      <c r="F8503" t="inlineStr">
        <is>
          <t>Bergvik skog väst AB</t>
        </is>
      </c>
      <c r="G8503" t="n">
        <v>3.5</v>
      </c>
      <c r="H8503" t="n">
        <v>0</v>
      </c>
      <c r="I8503" t="n">
        <v>0</v>
      </c>
      <c r="J8503" t="n">
        <v>0</v>
      </c>
      <c r="K8503" t="n">
        <v>0</v>
      </c>
      <c r="L8503" t="n">
        <v>0</v>
      </c>
      <c r="M8503" t="n">
        <v>0</v>
      </c>
      <c r="N8503" t="n">
        <v>0</v>
      </c>
      <c r="O8503" t="n">
        <v>0</v>
      </c>
      <c r="P8503" t="n">
        <v>0</v>
      </c>
      <c r="Q8503" t="n">
        <v>0</v>
      </c>
      <c r="R8503" s="2" t="inlineStr"/>
    </row>
    <row r="8504" ht="15" customHeight="1">
      <c r="A8504" t="inlineStr">
        <is>
          <t>A 59841-2022</t>
        </is>
      </c>
      <c r="B8504" s="1" t="n">
        <v>44908</v>
      </c>
      <c r="C8504" s="1" t="n">
        <v>45810</v>
      </c>
      <c r="D8504" t="inlineStr">
        <is>
          <t>VÄRMLANDS LÄN</t>
        </is>
      </c>
      <c r="E8504" t="inlineStr">
        <is>
          <t>ÅRJÄNG</t>
        </is>
      </c>
      <c r="G8504" t="n">
        <v>7.8</v>
      </c>
      <c r="H8504" t="n">
        <v>0</v>
      </c>
      <c r="I8504" t="n">
        <v>0</v>
      </c>
      <c r="J8504" t="n">
        <v>0</v>
      </c>
      <c r="K8504" t="n">
        <v>0</v>
      </c>
      <c r="L8504" t="n">
        <v>0</v>
      </c>
      <c r="M8504" t="n">
        <v>0</v>
      </c>
      <c r="N8504" t="n">
        <v>0</v>
      </c>
      <c r="O8504" t="n">
        <v>0</v>
      </c>
      <c r="P8504" t="n">
        <v>0</v>
      </c>
      <c r="Q8504" t="n">
        <v>0</v>
      </c>
      <c r="R8504" s="2" t="inlineStr"/>
    </row>
    <row r="8505" ht="15" customHeight="1">
      <c r="A8505" t="inlineStr">
        <is>
          <t>A 59857-2022</t>
        </is>
      </c>
      <c r="B8505" s="1" t="n">
        <v>44908</v>
      </c>
      <c r="C8505" s="1" t="n">
        <v>45810</v>
      </c>
      <c r="D8505" t="inlineStr">
        <is>
          <t>VÄRMLANDS LÄN</t>
        </is>
      </c>
      <c r="E8505" t="inlineStr">
        <is>
          <t>KARLSTAD</t>
        </is>
      </c>
      <c r="G8505" t="n">
        <v>11.5</v>
      </c>
      <c r="H8505" t="n">
        <v>0</v>
      </c>
      <c r="I8505" t="n">
        <v>0</v>
      </c>
      <c r="J8505" t="n">
        <v>0</v>
      </c>
      <c r="K8505" t="n">
        <v>0</v>
      </c>
      <c r="L8505" t="n">
        <v>0</v>
      </c>
      <c r="M8505" t="n">
        <v>0</v>
      </c>
      <c r="N8505" t="n">
        <v>0</v>
      </c>
      <c r="O8505" t="n">
        <v>0</v>
      </c>
      <c r="P8505" t="n">
        <v>0</v>
      </c>
      <c r="Q8505" t="n">
        <v>0</v>
      </c>
      <c r="R8505" s="2" t="inlineStr"/>
    </row>
    <row r="8506" ht="15" customHeight="1">
      <c r="A8506" t="inlineStr">
        <is>
          <t>A 59778-2022</t>
        </is>
      </c>
      <c r="B8506" s="1" t="n">
        <v>44908</v>
      </c>
      <c r="C8506" s="1" t="n">
        <v>45810</v>
      </c>
      <c r="D8506" t="inlineStr">
        <is>
          <t>VÄRMLANDS LÄN</t>
        </is>
      </c>
      <c r="E8506" t="inlineStr">
        <is>
          <t>TORSBY</t>
        </is>
      </c>
      <c r="G8506" t="n">
        <v>1.4</v>
      </c>
      <c r="H8506" t="n">
        <v>0</v>
      </c>
      <c r="I8506" t="n">
        <v>0</v>
      </c>
      <c r="J8506" t="n">
        <v>0</v>
      </c>
      <c r="K8506" t="n">
        <v>0</v>
      </c>
      <c r="L8506" t="n">
        <v>0</v>
      </c>
      <c r="M8506" t="n">
        <v>0</v>
      </c>
      <c r="N8506" t="n">
        <v>0</v>
      </c>
      <c r="O8506" t="n">
        <v>0</v>
      </c>
      <c r="P8506" t="n">
        <v>0</v>
      </c>
      <c r="Q8506" t="n">
        <v>0</v>
      </c>
      <c r="R8506" s="2" t="inlineStr"/>
    </row>
    <row r="8507" ht="15" customHeight="1">
      <c r="A8507" t="inlineStr">
        <is>
          <t>A 60050-2022</t>
        </is>
      </c>
      <c r="B8507" s="1" t="n">
        <v>44909</v>
      </c>
      <c r="C8507" s="1" t="n">
        <v>45810</v>
      </c>
      <c r="D8507" t="inlineStr">
        <is>
          <t>VÄRMLANDS LÄN</t>
        </is>
      </c>
      <c r="E8507" t="inlineStr">
        <is>
          <t>HAGFORS</t>
        </is>
      </c>
      <c r="F8507" t="inlineStr">
        <is>
          <t>Bergvik skog väst AB</t>
        </is>
      </c>
      <c r="G8507" t="n">
        <v>8.800000000000001</v>
      </c>
      <c r="H8507" t="n">
        <v>0</v>
      </c>
      <c r="I8507" t="n">
        <v>0</v>
      </c>
      <c r="J8507" t="n">
        <v>0</v>
      </c>
      <c r="K8507" t="n">
        <v>0</v>
      </c>
      <c r="L8507" t="n">
        <v>0</v>
      </c>
      <c r="M8507" t="n">
        <v>0</v>
      </c>
      <c r="N8507" t="n">
        <v>0</v>
      </c>
      <c r="O8507" t="n">
        <v>0</v>
      </c>
      <c r="P8507" t="n">
        <v>0</v>
      </c>
      <c r="Q8507" t="n">
        <v>0</v>
      </c>
      <c r="R8507" s="2" t="inlineStr"/>
    </row>
    <row r="8508" ht="15" customHeight="1">
      <c r="A8508" t="inlineStr">
        <is>
          <t>A 60145-2022</t>
        </is>
      </c>
      <c r="B8508" s="1" t="n">
        <v>44909</v>
      </c>
      <c r="C8508" s="1" t="n">
        <v>45810</v>
      </c>
      <c r="D8508" t="inlineStr">
        <is>
          <t>VÄRMLANDS LÄN</t>
        </is>
      </c>
      <c r="E8508" t="inlineStr">
        <is>
          <t>SUNNE</t>
        </is>
      </c>
      <c r="G8508" t="n">
        <v>1.5</v>
      </c>
      <c r="H8508" t="n">
        <v>0</v>
      </c>
      <c r="I8508" t="n">
        <v>0</v>
      </c>
      <c r="J8508" t="n">
        <v>0</v>
      </c>
      <c r="K8508" t="n">
        <v>0</v>
      </c>
      <c r="L8508" t="n">
        <v>0</v>
      </c>
      <c r="M8508" t="n">
        <v>0</v>
      </c>
      <c r="N8508" t="n">
        <v>0</v>
      </c>
      <c r="O8508" t="n">
        <v>0</v>
      </c>
      <c r="P8508" t="n">
        <v>0</v>
      </c>
      <c r="Q8508" t="n">
        <v>0</v>
      </c>
      <c r="R8508" s="2" t="inlineStr"/>
    </row>
    <row r="8509" ht="15" customHeight="1">
      <c r="A8509" t="inlineStr">
        <is>
          <t>A 60075-2022</t>
        </is>
      </c>
      <c r="B8509" s="1" t="n">
        <v>44909</v>
      </c>
      <c r="C8509" s="1" t="n">
        <v>45810</v>
      </c>
      <c r="D8509" t="inlineStr">
        <is>
          <t>VÄRMLANDS LÄN</t>
        </is>
      </c>
      <c r="E8509" t="inlineStr">
        <is>
          <t>SUNNE</t>
        </is>
      </c>
      <c r="F8509" t="inlineStr">
        <is>
          <t>Bergvik skog väst AB</t>
        </is>
      </c>
      <c r="G8509" t="n">
        <v>7.2</v>
      </c>
      <c r="H8509" t="n">
        <v>0</v>
      </c>
      <c r="I8509" t="n">
        <v>0</v>
      </c>
      <c r="J8509" t="n">
        <v>0</v>
      </c>
      <c r="K8509" t="n">
        <v>0</v>
      </c>
      <c r="L8509" t="n">
        <v>0</v>
      </c>
      <c r="M8509" t="n">
        <v>0</v>
      </c>
      <c r="N8509" t="n">
        <v>0</v>
      </c>
      <c r="O8509" t="n">
        <v>0</v>
      </c>
      <c r="P8509" t="n">
        <v>0</v>
      </c>
      <c r="Q8509" t="n">
        <v>0</v>
      </c>
      <c r="R8509" s="2" t="inlineStr"/>
    </row>
    <row r="8510" ht="15" customHeight="1">
      <c r="A8510" t="inlineStr">
        <is>
          <t>A 60108-2022</t>
        </is>
      </c>
      <c r="B8510" s="1" t="n">
        <v>44909</v>
      </c>
      <c r="C8510" s="1" t="n">
        <v>45810</v>
      </c>
      <c r="D8510" t="inlineStr">
        <is>
          <t>VÄRMLANDS LÄN</t>
        </is>
      </c>
      <c r="E8510" t="inlineStr">
        <is>
          <t>FILIPSTAD</t>
        </is>
      </c>
      <c r="G8510" t="n">
        <v>11.4</v>
      </c>
      <c r="H8510" t="n">
        <v>0</v>
      </c>
      <c r="I8510" t="n">
        <v>0</v>
      </c>
      <c r="J8510" t="n">
        <v>0</v>
      </c>
      <c r="K8510" t="n">
        <v>0</v>
      </c>
      <c r="L8510" t="n">
        <v>0</v>
      </c>
      <c r="M8510" t="n">
        <v>0</v>
      </c>
      <c r="N8510" t="n">
        <v>0</v>
      </c>
      <c r="O8510" t="n">
        <v>0</v>
      </c>
      <c r="P8510" t="n">
        <v>0</v>
      </c>
      <c r="Q8510" t="n">
        <v>0</v>
      </c>
      <c r="R8510" s="2" t="inlineStr"/>
    </row>
    <row r="8511" ht="15" customHeight="1">
      <c r="A8511" t="inlineStr">
        <is>
          <t>A 60059-2022</t>
        </is>
      </c>
      <c r="B8511" s="1" t="n">
        <v>44909</v>
      </c>
      <c r="C8511" s="1" t="n">
        <v>45810</v>
      </c>
      <c r="D8511" t="inlineStr">
        <is>
          <t>VÄRMLANDS LÄN</t>
        </is>
      </c>
      <c r="E8511" t="inlineStr">
        <is>
          <t>ARVIKA</t>
        </is>
      </c>
      <c r="G8511" t="n">
        <v>2.2</v>
      </c>
      <c r="H8511" t="n">
        <v>0</v>
      </c>
      <c r="I8511" t="n">
        <v>0</v>
      </c>
      <c r="J8511" t="n">
        <v>0</v>
      </c>
      <c r="K8511" t="n">
        <v>0</v>
      </c>
      <c r="L8511" t="n">
        <v>0</v>
      </c>
      <c r="M8511" t="n">
        <v>0</v>
      </c>
      <c r="N8511" t="n">
        <v>0</v>
      </c>
      <c r="O8511" t="n">
        <v>0</v>
      </c>
      <c r="P8511" t="n">
        <v>0</v>
      </c>
      <c r="Q8511" t="n">
        <v>0</v>
      </c>
      <c r="R8511" s="2" t="inlineStr"/>
    </row>
    <row r="8512" ht="15" customHeight="1">
      <c r="A8512" t="inlineStr">
        <is>
          <t>A 60073-2022</t>
        </is>
      </c>
      <c r="B8512" s="1" t="n">
        <v>44909</v>
      </c>
      <c r="C8512" s="1" t="n">
        <v>45810</v>
      </c>
      <c r="D8512" t="inlineStr">
        <is>
          <t>VÄRMLANDS LÄN</t>
        </is>
      </c>
      <c r="E8512" t="inlineStr">
        <is>
          <t>SÄFFLE</t>
        </is>
      </c>
      <c r="G8512" t="n">
        <v>1.8</v>
      </c>
      <c r="H8512" t="n">
        <v>0</v>
      </c>
      <c r="I8512" t="n">
        <v>0</v>
      </c>
      <c r="J8512" t="n">
        <v>0</v>
      </c>
      <c r="K8512" t="n">
        <v>0</v>
      </c>
      <c r="L8512" t="n">
        <v>0</v>
      </c>
      <c r="M8512" t="n">
        <v>0</v>
      </c>
      <c r="N8512" t="n">
        <v>0</v>
      </c>
      <c r="O8512" t="n">
        <v>0</v>
      </c>
      <c r="P8512" t="n">
        <v>0</v>
      </c>
      <c r="Q8512" t="n">
        <v>0</v>
      </c>
      <c r="R8512" s="2" t="inlineStr"/>
    </row>
    <row r="8513" ht="15" customHeight="1">
      <c r="A8513" t="inlineStr">
        <is>
          <t>A 59920-2022</t>
        </is>
      </c>
      <c r="B8513" s="1" t="n">
        <v>44909</v>
      </c>
      <c r="C8513" s="1" t="n">
        <v>45810</v>
      </c>
      <c r="D8513" t="inlineStr">
        <is>
          <t>VÄRMLANDS LÄN</t>
        </is>
      </c>
      <c r="E8513" t="inlineStr">
        <is>
          <t>ARVIKA</t>
        </is>
      </c>
      <c r="F8513" t="inlineStr">
        <is>
          <t>Kyrkan</t>
        </is>
      </c>
      <c r="G8513" t="n">
        <v>6.1</v>
      </c>
      <c r="H8513" t="n">
        <v>0</v>
      </c>
      <c r="I8513" t="n">
        <v>0</v>
      </c>
      <c r="J8513" t="n">
        <v>0</v>
      </c>
      <c r="K8513" t="n">
        <v>0</v>
      </c>
      <c r="L8513" t="n">
        <v>0</v>
      </c>
      <c r="M8513" t="n">
        <v>0</v>
      </c>
      <c r="N8513" t="n">
        <v>0</v>
      </c>
      <c r="O8513" t="n">
        <v>0</v>
      </c>
      <c r="P8513" t="n">
        <v>0</v>
      </c>
      <c r="Q8513" t="n">
        <v>0</v>
      </c>
      <c r="R8513" s="2" t="inlineStr"/>
    </row>
    <row r="8514" ht="15" customHeight="1">
      <c r="A8514" t="inlineStr">
        <is>
          <t>A 59922-2022</t>
        </is>
      </c>
      <c r="B8514" s="1" t="n">
        <v>44909</v>
      </c>
      <c r="C8514" s="1" t="n">
        <v>45810</v>
      </c>
      <c r="D8514" t="inlineStr">
        <is>
          <t>VÄRMLANDS LÄN</t>
        </is>
      </c>
      <c r="E8514" t="inlineStr">
        <is>
          <t>EDA</t>
        </is>
      </c>
      <c r="G8514" t="n">
        <v>2.2</v>
      </c>
      <c r="H8514" t="n">
        <v>0</v>
      </c>
      <c r="I8514" t="n">
        <v>0</v>
      </c>
      <c r="J8514" t="n">
        <v>0</v>
      </c>
      <c r="K8514" t="n">
        <v>0</v>
      </c>
      <c r="L8514" t="n">
        <v>0</v>
      </c>
      <c r="M8514" t="n">
        <v>0</v>
      </c>
      <c r="N8514" t="n">
        <v>0</v>
      </c>
      <c r="O8514" t="n">
        <v>0</v>
      </c>
      <c r="P8514" t="n">
        <v>0</v>
      </c>
      <c r="Q8514" t="n">
        <v>0</v>
      </c>
      <c r="R8514" s="2" t="inlineStr"/>
    </row>
    <row r="8515" ht="15" customHeight="1">
      <c r="A8515" t="inlineStr">
        <is>
          <t>A 59919-2022</t>
        </is>
      </c>
      <c r="B8515" s="1" t="n">
        <v>44909</v>
      </c>
      <c r="C8515" s="1" t="n">
        <v>45810</v>
      </c>
      <c r="D8515" t="inlineStr">
        <is>
          <t>VÄRMLANDS LÄN</t>
        </is>
      </c>
      <c r="E8515" t="inlineStr">
        <is>
          <t>ARVIKA</t>
        </is>
      </c>
      <c r="F8515" t="inlineStr">
        <is>
          <t>Kyrkan</t>
        </is>
      </c>
      <c r="G8515" t="n">
        <v>4.7</v>
      </c>
      <c r="H8515" t="n">
        <v>0</v>
      </c>
      <c r="I8515" t="n">
        <v>0</v>
      </c>
      <c r="J8515" t="n">
        <v>0</v>
      </c>
      <c r="K8515" t="n">
        <v>0</v>
      </c>
      <c r="L8515" t="n">
        <v>0</v>
      </c>
      <c r="M8515" t="n">
        <v>0</v>
      </c>
      <c r="N8515" t="n">
        <v>0</v>
      </c>
      <c r="O8515" t="n">
        <v>0</v>
      </c>
      <c r="P8515" t="n">
        <v>0</v>
      </c>
      <c r="Q8515" t="n">
        <v>0</v>
      </c>
      <c r="R8515" s="2" t="inlineStr"/>
    </row>
    <row r="8516" ht="15" customHeight="1">
      <c r="A8516" t="inlineStr">
        <is>
          <t>A 60182-2022</t>
        </is>
      </c>
      <c r="B8516" s="1" t="n">
        <v>44910</v>
      </c>
      <c r="C8516" s="1" t="n">
        <v>45810</v>
      </c>
      <c r="D8516" t="inlineStr">
        <is>
          <t>VÄRMLANDS LÄN</t>
        </is>
      </c>
      <c r="E8516" t="inlineStr">
        <is>
          <t>SUNNE</t>
        </is>
      </c>
      <c r="G8516" t="n">
        <v>0.4</v>
      </c>
      <c r="H8516" t="n">
        <v>0</v>
      </c>
      <c r="I8516" t="n">
        <v>0</v>
      </c>
      <c r="J8516" t="n">
        <v>0</v>
      </c>
      <c r="K8516" t="n">
        <v>0</v>
      </c>
      <c r="L8516" t="n">
        <v>0</v>
      </c>
      <c r="M8516" t="n">
        <v>0</v>
      </c>
      <c r="N8516" t="n">
        <v>0</v>
      </c>
      <c r="O8516" t="n">
        <v>0</v>
      </c>
      <c r="P8516" t="n">
        <v>0</v>
      </c>
      <c r="Q8516" t="n">
        <v>0</v>
      </c>
      <c r="R8516" s="2" t="inlineStr"/>
    </row>
    <row r="8517" ht="15" customHeight="1">
      <c r="A8517" t="inlineStr">
        <is>
          <t>A 60206-2022</t>
        </is>
      </c>
      <c r="B8517" s="1" t="n">
        <v>44910</v>
      </c>
      <c r="C8517" s="1" t="n">
        <v>45810</v>
      </c>
      <c r="D8517" t="inlineStr">
        <is>
          <t>VÄRMLANDS LÄN</t>
        </is>
      </c>
      <c r="E8517" t="inlineStr">
        <is>
          <t>EDA</t>
        </is>
      </c>
      <c r="G8517" t="n">
        <v>1.1</v>
      </c>
      <c r="H8517" t="n">
        <v>0</v>
      </c>
      <c r="I8517" t="n">
        <v>0</v>
      </c>
      <c r="J8517" t="n">
        <v>0</v>
      </c>
      <c r="K8517" t="n">
        <v>0</v>
      </c>
      <c r="L8517" t="n">
        <v>0</v>
      </c>
      <c r="M8517" t="n">
        <v>0</v>
      </c>
      <c r="N8517" t="n">
        <v>0</v>
      </c>
      <c r="O8517" t="n">
        <v>0</v>
      </c>
      <c r="P8517" t="n">
        <v>0</v>
      </c>
      <c r="Q8517" t="n">
        <v>0</v>
      </c>
      <c r="R8517" s="2" t="inlineStr"/>
    </row>
    <row r="8518" ht="15" customHeight="1">
      <c r="A8518" t="inlineStr">
        <is>
          <t>A 60240-2022</t>
        </is>
      </c>
      <c r="B8518" s="1" t="n">
        <v>44910</v>
      </c>
      <c r="C8518" s="1" t="n">
        <v>45810</v>
      </c>
      <c r="D8518" t="inlineStr">
        <is>
          <t>VÄRMLANDS LÄN</t>
        </is>
      </c>
      <c r="E8518" t="inlineStr">
        <is>
          <t>TORSBY</t>
        </is>
      </c>
      <c r="F8518" t="inlineStr">
        <is>
          <t>Bergvik skog väst AB</t>
        </is>
      </c>
      <c r="G8518" t="n">
        <v>2.6</v>
      </c>
      <c r="H8518" t="n">
        <v>0</v>
      </c>
      <c r="I8518" t="n">
        <v>0</v>
      </c>
      <c r="J8518" t="n">
        <v>0</v>
      </c>
      <c r="K8518" t="n">
        <v>0</v>
      </c>
      <c r="L8518" t="n">
        <v>0</v>
      </c>
      <c r="M8518" t="n">
        <v>0</v>
      </c>
      <c r="N8518" t="n">
        <v>0</v>
      </c>
      <c r="O8518" t="n">
        <v>0</v>
      </c>
      <c r="P8518" t="n">
        <v>0</v>
      </c>
      <c r="Q8518" t="n">
        <v>0</v>
      </c>
      <c r="R8518" s="2" t="inlineStr"/>
    </row>
    <row r="8519" ht="15" customHeight="1">
      <c r="A8519" t="inlineStr">
        <is>
          <t>A 60281-2022</t>
        </is>
      </c>
      <c r="B8519" s="1" t="n">
        <v>44910</v>
      </c>
      <c r="C8519" s="1" t="n">
        <v>45810</v>
      </c>
      <c r="D8519" t="inlineStr">
        <is>
          <t>VÄRMLANDS LÄN</t>
        </is>
      </c>
      <c r="E8519" t="inlineStr">
        <is>
          <t>ARVIKA</t>
        </is>
      </c>
      <c r="F8519" t="inlineStr">
        <is>
          <t>Bergvik skog väst AB</t>
        </is>
      </c>
      <c r="G8519" t="n">
        <v>3.7</v>
      </c>
      <c r="H8519" t="n">
        <v>0</v>
      </c>
      <c r="I8519" t="n">
        <v>0</v>
      </c>
      <c r="J8519" t="n">
        <v>0</v>
      </c>
      <c r="K8519" t="n">
        <v>0</v>
      </c>
      <c r="L8519" t="n">
        <v>0</v>
      </c>
      <c r="M8519" t="n">
        <v>0</v>
      </c>
      <c r="N8519" t="n">
        <v>0</v>
      </c>
      <c r="O8519" t="n">
        <v>0</v>
      </c>
      <c r="P8519" t="n">
        <v>0</v>
      </c>
      <c r="Q8519" t="n">
        <v>0</v>
      </c>
      <c r="R8519" s="2" t="inlineStr"/>
    </row>
    <row r="8520" ht="15" customHeight="1">
      <c r="A8520" t="inlineStr">
        <is>
          <t>A 60198-2022</t>
        </is>
      </c>
      <c r="B8520" s="1" t="n">
        <v>44910</v>
      </c>
      <c r="C8520" s="1" t="n">
        <v>45810</v>
      </c>
      <c r="D8520" t="inlineStr">
        <is>
          <t>VÄRMLANDS LÄN</t>
        </is>
      </c>
      <c r="E8520" t="inlineStr">
        <is>
          <t>SÄFFLE</t>
        </is>
      </c>
      <c r="F8520" t="inlineStr">
        <is>
          <t>Bergvik skog väst AB</t>
        </is>
      </c>
      <c r="G8520" t="n">
        <v>1.5</v>
      </c>
      <c r="H8520" t="n">
        <v>0</v>
      </c>
      <c r="I8520" t="n">
        <v>0</v>
      </c>
      <c r="J8520" t="n">
        <v>0</v>
      </c>
      <c r="K8520" t="n">
        <v>0</v>
      </c>
      <c r="L8520" t="n">
        <v>0</v>
      </c>
      <c r="M8520" t="n">
        <v>0</v>
      </c>
      <c r="N8520" t="n">
        <v>0</v>
      </c>
      <c r="O8520" t="n">
        <v>0</v>
      </c>
      <c r="P8520" t="n">
        <v>0</v>
      </c>
      <c r="Q8520" t="n">
        <v>0</v>
      </c>
      <c r="R8520" s="2" t="inlineStr"/>
    </row>
    <row r="8521" ht="15" customHeight="1">
      <c r="A8521" t="inlineStr">
        <is>
          <t>A 60192-2022</t>
        </is>
      </c>
      <c r="B8521" s="1" t="n">
        <v>44910</v>
      </c>
      <c r="C8521" s="1" t="n">
        <v>45810</v>
      </c>
      <c r="D8521" t="inlineStr">
        <is>
          <t>VÄRMLANDS LÄN</t>
        </is>
      </c>
      <c r="E8521" t="inlineStr">
        <is>
          <t>ÅRJÄNG</t>
        </is>
      </c>
      <c r="G8521" t="n">
        <v>3.6</v>
      </c>
      <c r="H8521" t="n">
        <v>0</v>
      </c>
      <c r="I8521" t="n">
        <v>0</v>
      </c>
      <c r="J8521" t="n">
        <v>0</v>
      </c>
      <c r="K8521" t="n">
        <v>0</v>
      </c>
      <c r="L8521" t="n">
        <v>0</v>
      </c>
      <c r="M8521" t="n">
        <v>0</v>
      </c>
      <c r="N8521" t="n">
        <v>0</v>
      </c>
      <c r="O8521" t="n">
        <v>0</v>
      </c>
      <c r="P8521" t="n">
        <v>0</v>
      </c>
      <c r="Q8521" t="n">
        <v>0</v>
      </c>
      <c r="R8521" s="2" t="inlineStr"/>
    </row>
    <row r="8522" ht="15" customHeight="1">
      <c r="A8522" t="inlineStr">
        <is>
          <t>A 60279-2022</t>
        </is>
      </c>
      <c r="B8522" s="1" t="n">
        <v>44910</v>
      </c>
      <c r="C8522" s="1" t="n">
        <v>45810</v>
      </c>
      <c r="D8522" t="inlineStr">
        <is>
          <t>VÄRMLANDS LÄN</t>
        </is>
      </c>
      <c r="E8522" t="inlineStr">
        <is>
          <t>ARVIKA</t>
        </is>
      </c>
      <c r="F8522" t="inlineStr">
        <is>
          <t>Bergvik skog väst AB</t>
        </is>
      </c>
      <c r="G8522" t="n">
        <v>0.9</v>
      </c>
      <c r="H8522" t="n">
        <v>0</v>
      </c>
      <c r="I8522" t="n">
        <v>0</v>
      </c>
      <c r="J8522" t="n">
        <v>0</v>
      </c>
      <c r="K8522" t="n">
        <v>0</v>
      </c>
      <c r="L8522" t="n">
        <v>0</v>
      </c>
      <c r="M8522" t="n">
        <v>0</v>
      </c>
      <c r="N8522" t="n">
        <v>0</v>
      </c>
      <c r="O8522" t="n">
        <v>0</v>
      </c>
      <c r="P8522" t="n">
        <v>0</v>
      </c>
      <c r="Q8522" t="n">
        <v>0</v>
      </c>
      <c r="R8522" s="2" t="inlineStr"/>
    </row>
    <row r="8523" ht="15" customHeight="1">
      <c r="A8523" t="inlineStr">
        <is>
          <t>A 60243-2022</t>
        </is>
      </c>
      <c r="B8523" s="1" t="n">
        <v>44910</v>
      </c>
      <c r="C8523" s="1" t="n">
        <v>45810</v>
      </c>
      <c r="D8523" t="inlineStr">
        <is>
          <t>VÄRMLANDS LÄN</t>
        </is>
      </c>
      <c r="E8523" t="inlineStr">
        <is>
          <t>SÄFFLE</t>
        </is>
      </c>
      <c r="F8523" t="inlineStr">
        <is>
          <t>Bergvik skog väst AB</t>
        </is>
      </c>
      <c r="G8523" t="n">
        <v>5.2</v>
      </c>
      <c r="H8523" t="n">
        <v>0</v>
      </c>
      <c r="I8523" t="n">
        <v>0</v>
      </c>
      <c r="J8523" t="n">
        <v>0</v>
      </c>
      <c r="K8523" t="n">
        <v>0</v>
      </c>
      <c r="L8523" t="n">
        <v>0</v>
      </c>
      <c r="M8523" t="n">
        <v>0</v>
      </c>
      <c r="N8523" t="n">
        <v>0</v>
      </c>
      <c r="O8523" t="n">
        <v>0</v>
      </c>
      <c r="P8523" t="n">
        <v>0</v>
      </c>
      <c r="Q8523" t="n">
        <v>0</v>
      </c>
      <c r="R8523" s="2" t="inlineStr"/>
    </row>
    <row r="8524" ht="15" customHeight="1">
      <c r="A8524" t="inlineStr">
        <is>
          <t>A 60296-2022</t>
        </is>
      </c>
      <c r="B8524" s="1" t="n">
        <v>44910</v>
      </c>
      <c r="C8524" s="1" t="n">
        <v>45810</v>
      </c>
      <c r="D8524" t="inlineStr">
        <is>
          <t>VÄRMLANDS LÄN</t>
        </is>
      </c>
      <c r="E8524" t="inlineStr">
        <is>
          <t>FORSHAGA</t>
        </is>
      </c>
      <c r="F8524" t="inlineStr">
        <is>
          <t>Bergvik skog väst AB</t>
        </is>
      </c>
      <c r="G8524" t="n">
        <v>4.2</v>
      </c>
      <c r="H8524" t="n">
        <v>0</v>
      </c>
      <c r="I8524" t="n">
        <v>0</v>
      </c>
      <c r="J8524" t="n">
        <v>0</v>
      </c>
      <c r="K8524" t="n">
        <v>0</v>
      </c>
      <c r="L8524" t="n">
        <v>0</v>
      </c>
      <c r="M8524" t="n">
        <v>0</v>
      </c>
      <c r="N8524" t="n">
        <v>0</v>
      </c>
      <c r="O8524" t="n">
        <v>0</v>
      </c>
      <c r="P8524" t="n">
        <v>0</v>
      </c>
      <c r="Q8524" t="n">
        <v>0</v>
      </c>
      <c r="R8524" s="2" t="inlineStr"/>
    </row>
    <row r="8525" ht="15" customHeight="1">
      <c r="A8525" t="inlineStr">
        <is>
          <t>A 60315-2022</t>
        </is>
      </c>
      <c r="B8525" s="1" t="n">
        <v>44910</v>
      </c>
      <c r="C8525" s="1" t="n">
        <v>45810</v>
      </c>
      <c r="D8525" t="inlineStr">
        <is>
          <t>VÄRMLANDS LÄN</t>
        </is>
      </c>
      <c r="E8525" t="inlineStr">
        <is>
          <t>ARVIKA</t>
        </is>
      </c>
      <c r="F8525" t="inlineStr">
        <is>
          <t>Bergvik skog väst AB</t>
        </is>
      </c>
      <c r="G8525" t="n">
        <v>1.4</v>
      </c>
      <c r="H8525" t="n">
        <v>0</v>
      </c>
      <c r="I8525" t="n">
        <v>0</v>
      </c>
      <c r="J8525" t="n">
        <v>0</v>
      </c>
      <c r="K8525" t="n">
        <v>0</v>
      </c>
      <c r="L8525" t="n">
        <v>0</v>
      </c>
      <c r="M8525" t="n">
        <v>0</v>
      </c>
      <c r="N8525" t="n">
        <v>0</v>
      </c>
      <c r="O8525" t="n">
        <v>0</v>
      </c>
      <c r="P8525" t="n">
        <v>0</v>
      </c>
      <c r="Q8525" t="n">
        <v>0</v>
      </c>
      <c r="R8525" s="2" t="inlineStr"/>
    </row>
    <row r="8526" ht="15" customHeight="1">
      <c r="A8526" t="inlineStr">
        <is>
          <t>A 60277-2022</t>
        </is>
      </c>
      <c r="B8526" s="1" t="n">
        <v>44910</v>
      </c>
      <c r="C8526" s="1" t="n">
        <v>45810</v>
      </c>
      <c r="D8526" t="inlineStr">
        <is>
          <t>VÄRMLANDS LÄN</t>
        </is>
      </c>
      <c r="E8526" t="inlineStr">
        <is>
          <t>HAGFORS</t>
        </is>
      </c>
      <c r="F8526" t="inlineStr">
        <is>
          <t>Bergvik skog väst AB</t>
        </is>
      </c>
      <c r="G8526" t="n">
        <v>6.1</v>
      </c>
      <c r="H8526" t="n">
        <v>0</v>
      </c>
      <c r="I8526" t="n">
        <v>0</v>
      </c>
      <c r="J8526" t="n">
        <v>0</v>
      </c>
      <c r="K8526" t="n">
        <v>0</v>
      </c>
      <c r="L8526" t="n">
        <v>0</v>
      </c>
      <c r="M8526" t="n">
        <v>0</v>
      </c>
      <c r="N8526" t="n">
        <v>0</v>
      </c>
      <c r="O8526" t="n">
        <v>0</v>
      </c>
      <c r="P8526" t="n">
        <v>0</v>
      </c>
      <c r="Q8526" t="n">
        <v>0</v>
      </c>
      <c r="R8526" s="2" t="inlineStr"/>
    </row>
    <row r="8527" ht="15" customHeight="1">
      <c r="A8527" t="inlineStr">
        <is>
          <t>A 60341-2022</t>
        </is>
      </c>
      <c r="B8527" s="1" t="n">
        <v>44910</v>
      </c>
      <c r="C8527" s="1" t="n">
        <v>45810</v>
      </c>
      <c r="D8527" t="inlineStr">
        <is>
          <t>VÄRMLANDS LÄN</t>
        </is>
      </c>
      <c r="E8527" t="inlineStr">
        <is>
          <t>FORSHAGA</t>
        </is>
      </c>
      <c r="F8527" t="inlineStr">
        <is>
          <t>Bergvik skog väst AB</t>
        </is>
      </c>
      <c r="G8527" t="n">
        <v>11</v>
      </c>
      <c r="H8527" t="n">
        <v>0</v>
      </c>
      <c r="I8527" t="n">
        <v>0</v>
      </c>
      <c r="J8527" t="n">
        <v>0</v>
      </c>
      <c r="K8527" t="n">
        <v>0</v>
      </c>
      <c r="L8527" t="n">
        <v>0</v>
      </c>
      <c r="M8527" t="n">
        <v>0</v>
      </c>
      <c r="N8527" t="n">
        <v>0</v>
      </c>
      <c r="O8527" t="n">
        <v>0</v>
      </c>
      <c r="P8527" t="n">
        <v>0</v>
      </c>
      <c r="Q8527" t="n">
        <v>0</v>
      </c>
      <c r="R8527" s="2" t="inlineStr"/>
    </row>
    <row r="8528" ht="15" customHeight="1">
      <c r="A8528" t="inlineStr">
        <is>
          <t>A 61432-2022</t>
        </is>
      </c>
      <c r="B8528" s="1" t="n">
        <v>44910</v>
      </c>
      <c r="C8528" s="1" t="n">
        <v>45810</v>
      </c>
      <c r="D8528" t="inlineStr">
        <is>
          <t>VÄRMLANDS LÄN</t>
        </is>
      </c>
      <c r="E8528" t="inlineStr">
        <is>
          <t>TORSBY</t>
        </is>
      </c>
      <c r="G8528" t="n">
        <v>0.8</v>
      </c>
      <c r="H8528" t="n">
        <v>0</v>
      </c>
      <c r="I8528" t="n">
        <v>0</v>
      </c>
      <c r="J8528" t="n">
        <v>0</v>
      </c>
      <c r="K8528" t="n">
        <v>0</v>
      </c>
      <c r="L8528" t="n">
        <v>0</v>
      </c>
      <c r="M8528" t="n">
        <v>0</v>
      </c>
      <c r="N8528" t="n">
        <v>0</v>
      </c>
      <c r="O8528" t="n">
        <v>0</v>
      </c>
      <c r="P8528" t="n">
        <v>0</v>
      </c>
      <c r="Q8528" t="n">
        <v>0</v>
      </c>
      <c r="R8528" s="2" t="inlineStr"/>
    </row>
    <row r="8529" ht="15" customHeight="1">
      <c r="A8529" t="inlineStr">
        <is>
          <t>A 61428-2022</t>
        </is>
      </c>
      <c r="B8529" s="1" t="n">
        <v>44910</v>
      </c>
      <c r="C8529" s="1" t="n">
        <v>45810</v>
      </c>
      <c r="D8529" t="inlineStr">
        <is>
          <t>VÄRMLANDS LÄN</t>
        </is>
      </c>
      <c r="E8529" t="inlineStr">
        <is>
          <t>TORSBY</t>
        </is>
      </c>
      <c r="G8529" t="n">
        <v>0.5</v>
      </c>
      <c r="H8529" t="n">
        <v>0</v>
      </c>
      <c r="I8529" t="n">
        <v>0</v>
      </c>
      <c r="J8529" t="n">
        <v>0</v>
      </c>
      <c r="K8529" t="n">
        <v>0</v>
      </c>
      <c r="L8529" t="n">
        <v>0</v>
      </c>
      <c r="M8529" t="n">
        <v>0</v>
      </c>
      <c r="N8529" t="n">
        <v>0</v>
      </c>
      <c r="O8529" t="n">
        <v>0</v>
      </c>
      <c r="P8529" t="n">
        <v>0</v>
      </c>
      <c r="Q8529" t="n">
        <v>0</v>
      </c>
      <c r="R8529" s="2" t="inlineStr"/>
    </row>
    <row r="8530" ht="15" customHeight="1">
      <c r="A8530" t="inlineStr">
        <is>
          <t>A 60423-2022</t>
        </is>
      </c>
      <c r="B8530" s="1" t="n">
        <v>44911</v>
      </c>
      <c r="C8530" s="1" t="n">
        <v>45810</v>
      </c>
      <c r="D8530" t="inlineStr">
        <is>
          <t>VÄRMLANDS LÄN</t>
        </is>
      </c>
      <c r="E8530" t="inlineStr">
        <is>
          <t>SÄFFLE</t>
        </is>
      </c>
      <c r="G8530" t="n">
        <v>0.6</v>
      </c>
      <c r="H8530" t="n">
        <v>0</v>
      </c>
      <c r="I8530" t="n">
        <v>0</v>
      </c>
      <c r="J8530" t="n">
        <v>0</v>
      </c>
      <c r="K8530" t="n">
        <v>0</v>
      </c>
      <c r="L8530" t="n">
        <v>0</v>
      </c>
      <c r="M8530" t="n">
        <v>0</v>
      </c>
      <c r="N8530" t="n">
        <v>0</v>
      </c>
      <c r="O8530" t="n">
        <v>0</v>
      </c>
      <c r="P8530" t="n">
        <v>0</v>
      </c>
      <c r="Q8530" t="n">
        <v>0</v>
      </c>
      <c r="R8530" s="2" t="inlineStr"/>
    </row>
    <row r="8531" ht="15" customHeight="1">
      <c r="A8531" t="inlineStr">
        <is>
          <t>A 60564-2022</t>
        </is>
      </c>
      <c r="B8531" s="1" t="n">
        <v>44911</v>
      </c>
      <c r="C8531" s="1" t="n">
        <v>45810</v>
      </c>
      <c r="D8531" t="inlineStr">
        <is>
          <t>VÄRMLANDS LÄN</t>
        </is>
      </c>
      <c r="E8531" t="inlineStr">
        <is>
          <t>MUNKFORS</t>
        </is>
      </c>
      <c r="F8531" t="inlineStr">
        <is>
          <t>Bergvik skog väst AB</t>
        </is>
      </c>
      <c r="G8531" t="n">
        <v>3.1</v>
      </c>
      <c r="H8531" t="n">
        <v>0</v>
      </c>
      <c r="I8531" t="n">
        <v>0</v>
      </c>
      <c r="J8531" t="n">
        <v>0</v>
      </c>
      <c r="K8531" t="n">
        <v>0</v>
      </c>
      <c r="L8531" t="n">
        <v>0</v>
      </c>
      <c r="M8531" t="n">
        <v>0</v>
      </c>
      <c r="N8531" t="n">
        <v>0</v>
      </c>
      <c r="O8531" t="n">
        <v>0</v>
      </c>
      <c r="P8531" t="n">
        <v>0</v>
      </c>
      <c r="Q8531" t="n">
        <v>0</v>
      </c>
      <c r="R8531" s="2" t="inlineStr"/>
    </row>
    <row r="8532" ht="15" customHeight="1">
      <c r="A8532" t="inlineStr">
        <is>
          <t>A 60440-2022</t>
        </is>
      </c>
      <c r="B8532" s="1" t="n">
        <v>44911</v>
      </c>
      <c r="C8532" s="1" t="n">
        <v>45810</v>
      </c>
      <c r="D8532" t="inlineStr">
        <is>
          <t>VÄRMLANDS LÄN</t>
        </is>
      </c>
      <c r="E8532" t="inlineStr">
        <is>
          <t>EDA</t>
        </is>
      </c>
      <c r="G8532" t="n">
        <v>2.6</v>
      </c>
      <c r="H8532" t="n">
        <v>0</v>
      </c>
      <c r="I8532" t="n">
        <v>0</v>
      </c>
      <c r="J8532" t="n">
        <v>0</v>
      </c>
      <c r="K8532" t="n">
        <v>0</v>
      </c>
      <c r="L8532" t="n">
        <v>0</v>
      </c>
      <c r="M8532" t="n">
        <v>0</v>
      </c>
      <c r="N8532" t="n">
        <v>0</v>
      </c>
      <c r="O8532" t="n">
        <v>0</v>
      </c>
      <c r="P8532" t="n">
        <v>0</v>
      </c>
      <c r="Q8532" t="n">
        <v>0</v>
      </c>
      <c r="R8532" s="2" t="inlineStr"/>
    </row>
    <row r="8533" ht="15" customHeight="1">
      <c r="A8533" t="inlineStr">
        <is>
          <t>A 60477-2022</t>
        </is>
      </c>
      <c r="B8533" s="1" t="n">
        <v>44911</v>
      </c>
      <c r="C8533" s="1" t="n">
        <v>45810</v>
      </c>
      <c r="D8533" t="inlineStr">
        <is>
          <t>VÄRMLANDS LÄN</t>
        </is>
      </c>
      <c r="E8533" t="inlineStr">
        <is>
          <t>EDA</t>
        </is>
      </c>
      <c r="G8533" t="n">
        <v>3.1</v>
      </c>
      <c r="H8533" t="n">
        <v>0</v>
      </c>
      <c r="I8533" t="n">
        <v>0</v>
      </c>
      <c r="J8533" t="n">
        <v>0</v>
      </c>
      <c r="K8533" t="n">
        <v>0</v>
      </c>
      <c r="L8533" t="n">
        <v>0</v>
      </c>
      <c r="M8533" t="n">
        <v>0</v>
      </c>
      <c r="N8533" t="n">
        <v>0</v>
      </c>
      <c r="O8533" t="n">
        <v>0</v>
      </c>
      <c r="P8533" t="n">
        <v>0</v>
      </c>
      <c r="Q8533" t="n">
        <v>0</v>
      </c>
      <c r="R8533" s="2" t="inlineStr"/>
    </row>
    <row r="8534" ht="15" customHeight="1">
      <c r="A8534" t="inlineStr">
        <is>
          <t>A 60573-2022</t>
        </is>
      </c>
      <c r="B8534" s="1" t="n">
        <v>44911</v>
      </c>
      <c r="C8534" s="1" t="n">
        <v>45810</v>
      </c>
      <c r="D8534" t="inlineStr">
        <is>
          <t>VÄRMLANDS LÄN</t>
        </is>
      </c>
      <c r="E8534" t="inlineStr">
        <is>
          <t>SÄFFLE</t>
        </is>
      </c>
      <c r="F8534" t="inlineStr">
        <is>
          <t>Bergvik skog väst AB</t>
        </is>
      </c>
      <c r="G8534" t="n">
        <v>2.5</v>
      </c>
      <c r="H8534" t="n">
        <v>0</v>
      </c>
      <c r="I8534" t="n">
        <v>0</v>
      </c>
      <c r="J8534" t="n">
        <v>0</v>
      </c>
      <c r="K8534" t="n">
        <v>0</v>
      </c>
      <c r="L8534" t="n">
        <v>0</v>
      </c>
      <c r="M8534" t="n">
        <v>0</v>
      </c>
      <c r="N8534" t="n">
        <v>0</v>
      </c>
      <c r="O8534" t="n">
        <v>0</v>
      </c>
      <c r="P8534" t="n">
        <v>0</v>
      </c>
      <c r="Q8534" t="n">
        <v>0</v>
      </c>
      <c r="R8534" s="2" t="inlineStr"/>
    </row>
    <row r="8535" ht="15" customHeight="1">
      <c r="A8535" t="inlineStr">
        <is>
          <t>A 60620-2022</t>
        </is>
      </c>
      <c r="B8535" s="1" t="n">
        <v>44911</v>
      </c>
      <c r="C8535" s="1" t="n">
        <v>45810</v>
      </c>
      <c r="D8535" t="inlineStr">
        <is>
          <t>VÄRMLANDS LÄN</t>
        </is>
      </c>
      <c r="E8535" t="inlineStr">
        <is>
          <t>MUNKFORS</t>
        </is>
      </c>
      <c r="F8535" t="inlineStr">
        <is>
          <t>Bergvik skog väst AB</t>
        </is>
      </c>
      <c r="G8535" t="n">
        <v>2.1</v>
      </c>
      <c r="H8535" t="n">
        <v>0</v>
      </c>
      <c r="I8535" t="n">
        <v>0</v>
      </c>
      <c r="J8535" t="n">
        <v>0</v>
      </c>
      <c r="K8535" t="n">
        <v>0</v>
      </c>
      <c r="L8535" t="n">
        <v>0</v>
      </c>
      <c r="M8535" t="n">
        <v>0</v>
      </c>
      <c r="N8535" t="n">
        <v>0</v>
      </c>
      <c r="O8535" t="n">
        <v>0</v>
      </c>
      <c r="P8535" t="n">
        <v>0</v>
      </c>
      <c r="Q8535" t="n">
        <v>0</v>
      </c>
      <c r="R8535" s="2" t="inlineStr"/>
    </row>
    <row r="8536" ht="15" customHeight="1">
      <c r="A8536" t="inlineStr">
        <is>
          <t>A 60467-2022</t>
        </is>
      </c>
      <c r="B8536" s="1" t="n">
        <v>44911</v>
      </c>
      <c r="C8536" s="1" t="n">
        <v>45810</v>
      </c>
      <c r="D8536" t="inlineStr">
        <is>
          <t>VÄRMLANDS LÄN</t>
        </is>
      </c>
      <c r="E8536" t="inlineStr">
        <is>
          <t>EDA</t>
        </is>
      </c>
      <c r="G8536" t="n">
        <v>9.9</v>
      </c>
      <c r="H8536" t="n">
        <v>0</v>
      </c>
      <c r="I8536" t="n">
        <v>0</v>
      </c>
      <c r="J8536" t="n">
        <v>0</v>
      </c>
      <c r="K8536" t="n">
        <v>0</v>
      </c>
      <c r="L8536" t="n">
        <v>0</v>
      </c>
      <c r="M8536" t="n">
        <v>0</v>
      </c>
      <c r="N8536" t="n">
        <v>0</v>
      </c>
      <c r="O8536" t="n">
        <v>0</v>
      </c>
      <c r="P8536" t="n">
        <v>0</v>
      </c>
      <c r="Q8536" t="n">
        <v>0</v>
      </c>
      <c r="R8536" s="2" t="inlineStr"/>
    </row>
    <row r="8537" ht="15" customHeight="1">
      <c r="A8537" t="inlineStr">
        <is>
          <t>A 60576-2022</t>
        </is>
      </c>
      <c r="B8537" s="1" t="n">
        <v>44911</v>
      </c>
      <c r="C8537" s="1" t="n">
        <v>45810</v>
      </c>
      <c r="D8537" t="inlineStr">
        <is>
          <t>VÄRMLANDS LÄN</t>
        </is>
      </c>
      <c r="E8537" t="inlineStr">
        <is>
          <t>ARVIKA</t>
        </is>
      </c>
      <c r="F8537" t="inlineStr">
        <is>
          <t>Bergvik skog väst AB</t>
        </is>
      </c>
      <c r="G8537" t="n">
        <v>5.6</v>
      </c>
      <c r="H8537" t="n">
        <v>0</v>
      </c>
      <c r="I8537" t="n">
        <v>0</v>
      </c>
      <c r="J8537" t="n">
        <v>0</v>
      </c>
      <c r="K8537" t="n">
        <v>0</v>
      </c>
      <c r="L8537" t="n">
        <v>0</v>
      </c>
      <c r="M8537" t="n">
        <v>0</v>
      </c>
      <c r="N8537" t="n">
        <v>0</v>
      </c>
      <c r="O8537" t="n">
        <v>0</v>
      </c>
      <c r="P8537" t="n">
        <v>0</v>
      </c>
      <c r="Q8537" t="n">
        <v>0</v>
      </c>
      <c r="R8537" s="2" t="inlineStr"/>
    </row>
    <row r="8538" ht="15" customHeight="1">
      <c r="A8538" t="inlineStr">
        <is>
          <t>A 61628-2022</t>
        </is>
      </c>
      <c r="B8538" s="1" t="n">
        <v>44911</v>
      </c>
      <c r="C8538" s="1" t="n">
        <v>45810</v>
      </c>
      <c r="D8538" t="inlineStr">
        <is>
          <t>VÄRMLANDS LÄN</t>
        </is>
      </c>
      <c r="E8538" t="inlineStr">
        <is>
          <t>FILIPSTAD</t>
        </is>
      </c>
      <c r="G8538" t="n">
        <v>1.7</v>
      </c>
      <c r="H8538" t="n">
        <v>0</v>
      </c>
      <c r="I8538" t="n">
        <v>0</v>
      </c>
      <c r="J8538" t="n">
        <v>0</v>
      </c>
      <c r="K8538" t="n">
        <v>0</v>
      </c>
      <c r="L8538" t="n">
        <v>0</v>
      </c>
      <c r="M8538" t="n">
        <v>0</v>
      </c>
      <c r="N8538" t="n">
        <v>0</v>
      </c>
      <c r="O8538" t="n">
        <v>0</v>
      </c>
      <c r="P8538" t="n">
        <v>0</v>
      </c>
      <c r="Q8538" t="n">
        <v>0</v>
      </c>
      <c r="R8538" s="2" t="inlineStr"/>
    </row>
    <row r="8539" ht="15" customHeight="1">
      <c r="A8539" t="inlineStr">
        <is>
          <t>A 61741-2022</t>
        </is>
      </c>
      <c r="B8539" s="1" t="n">
        <v>44911</v>
      </c>
      <c r="C8539" s="1" t="n">
        <v>45810</v>
      </c>
      <c r="D8539" t="inlineStr">
        <is>
          <t>VÄRMLANDS LÄN</t>
        </is>
      </c>
      <c r="E8539" t="inlineStr">
        <is>
          <t>FILIPSTAD</t>
        </is>
      </c>
      <c r="G8539" t="n">
        <v>1.9</v>
      </c>
      <c r="H8539" t="n">
        <v>0</v>
      </c>
      <c r="I8539" t="n">
        <v>0</v>
      </c>
      <c r="J8539" t="n">
        <v>0</v>
      </c>
      <c r="K8539" t="n">
        <v>0</v>
      </c>
      <c r="L8539" t="n">
        <v>0</v>
      </c>
      <c r="M8539" t="n">
        <v>0</v>
      </c>
      <c r="N8539" t="n">
        <v>0</v>
      </c>
      <c r="O8539" t="n">
        <v>0</v>
      </c>
      <c r="P8539" t="n">
        <v>0</v>
      </c>
      <c r="Q8539" t="n">
        <v>0</v>
      </c>
      <c r="R8539" s="2" t="inlineStr"/>
    </row>
    <row r="8540" ht="15" customHeight="1">
      <c r="A8540" t="inlineStr">
        <is>
          <t>A 61764-2022</t>
        </is>
      </c>
      <c r="B8540" s="1" t="n">
        <v>44911</v>
      </c>
      <c r="C8540" s="1" t="n">
        <v>45810</v>
      </c>
      <c r="D8540" t="inlineStr">
        <is>
          <t>VÄRMLANDS LÄN</t>
        </is>
      </c>
      <c r="E8540" t="inlineStr">
        <is>
          <t>ÅRJÄNG</t>
        </is>
      </c>
      <c r="F8540" t="inlineStr">
        <is>
          <t>Övriga Aktiebolag</t>
        </is>
      </c>
      <c r="G8540" t="n">
        <v>1.9</v>
      </c>
      <c r="H8540" t="n">
        <v>0</v>
      </c>
      <c r="I8540" t="n">
        <v>0</v>
      </c>
      <c r="J8540" t="n">
        <v>0</v>
      </c>
      <c r="K8540" t="n">
        <v>0</v>
      </c>
      <c r="L8540" t="n">
        <v>0</v>
      </c>
      <c r="M8540" t="n">
        <v>0</v>
      </c>
      <c r="N8540" t="n">
        <v>0</v>
      </c>
      <c r="O8540" t="n">
        <v>0</v>
      </c>
      <c r="P8540" t="n">
        <v>0</v>
      </c>
      <c r="Q8540" t="n">
        <v>0</v>
      </c>
      <c r="R8540" s="2" t="inlineStr"/>
    </row>
    <row r="8541" ht="15" customHeight="1">
      <c r="A8541" t="inlineStr">
        <is>
          <t>A 60737-2022</t>
        </is>
      </c>
      <c r="B8541" s="1" t="n">
        <v>44913</v>
      </c>
      <c r="C8541" s="1" t="n">
        <v>45810</v>
      </c>
      <c r="D8541" t="inlineStr">
        <is>
          <t>VÄRMLANDS LÄN</t>
        </is>
      </c>
      <c r="E8541" t="inlineStr">
        <is>
          <t>TORSBY</t>
        </is>
      </c>
      <c r="G8541" t="n">
        <v>1.9</v>
      </c>
      <c r="H8541" t="n">
        <v>0</v>
      </c>
      <c r="I8541" t="n">
        <v>0</v>
      </c>
      <c r="J8541" t="n">
        <v>0</v>
      </c>
      <c r="K8541" t="n">
        <v>0</v>
      </c>
      <c r="L8541" t="n">
        <v>0</v>
      </c>
      <c r="M8541" t="n">
        <v>0</v>
      </c>
      <c r="N8541" t="n">
        <v>0</v>
      </c>
      <c r="O8541" t="n">
        <v>0</v>
      </c>
      <c r="P8541" t="n">
        <v>0</v>
      </c>
      <c r="Q8541" t="n">
        <v>0</v>
      </c>
      <c r="R8541" s="2" t="inlineStr"/>
    </row>
    <row r="8542" ht="15" customHeight="1">
      <c r="A8542" t="inlineStr">
        <is>
          <t>A 60724-2022</t>
        </is>
      </c>
      <c r="B8542" s="1" t="n">
        <v>44913</v>
      </c>
      <c r="C8542" s="1" t="n">
        <v>45810</v>
      </c>
      <c r="D8542" t="inlineStr">
        <is>
          <t>VÄRMLANDS LÄN</t>
        </is>
      </c>
      <c r="E8542" t="inlineStr">
        <is>
          <t>KARLSTAD</t>
        </is>
      </c>
      <c r="G8542" t="n">
        <v>2.8</v>
      </c>
      <c r="H8542" t="n">
        <v>0</v>
      </c>
      <c r="I8542" t="n">
        <v>0</v>
      </c>
      <c r="J8542" t="n">
        <v>0</v>
      </c>
      <c r="K8542" t="n">
        <v>0</v>
      </c>
      <c r="L8542" t="n">
        <v>0</v>
      </c>
      <c r="M8542" t="n">
        <v>0</v>
      </c>
      <c r="N8542" t="n">
        <v>0</v>
      </c>
      <c r="O8542" t="n">
        <v>0</v>
      </c>
      <c r="P8542" t="n">
        <v>0</v>
      </c>
      <c r="Q8542" t="n">
        <v>0</v>
      </c>
      <c r="R8542" s="2" t="inlineStr"/>
    </row>
    <row r="8543" ht="15" customHeight="1">
      <c r="A8543" t="inlineStr">
        <is>
          <t>A 60761-2022</t>
        </is>
      </c>
      <c r="B8543" s="1" t="n">
        <v>44914</v>
      </c>
      <c r="C8543" s="1" t="n">
        <v>45810</v>
      </c>
      <c r="D8543" t="inlineStr">
        <is>
          <t>VÄRMLANDS LÄN</t>
        </is>
      </c>
      <c r="E8543" t="inlineStr">
        <is>
          <t>SUNNE</t>
        </is>
      </c>
      <c r="G8543" t="n">
        <v>12.1</v>
      </c>
      <c r="H8543" t="n">
        <v>0</v>
      </c>
      <c r="I8543" t="n">
        <v>0</v>
      </c>
      <c r="J8543" t="n">
        <v>0</v>
      </c>
      <c r="K8543" t="n">
        <v>0</v>
      </c>
      <c r="L8543" t="n">
        <v>0</v>
      </c>
      <c r="M8543" t="n">
        <v>0</v>
      </c>
      <c r="N8543" t="n">
        <v>0</v>
      </c>
      <c r="O8543" t="n">
        <v>0</v>
      </c>
      <c r="P8543" t="n">
        <v>0</v>
      </c>
      <c r="Q8543" t="n">
        <v>0</v>
      </c>
      <c r="R8543" s="2" t="inlineStr"/>
    </row>
    <row r="8544" ht="15" customHeight="1">
      <c r="A8544" t="inlineStr">
        <is>
          <t>A 61009-2022</t>
        </is>
      </c>
      <c r="B8544" s="1" t="n">
        <v>44914</v>
      </c>
      <c r="C8544" s="1" t="n">
        <v>45810</v>
      </c>
      <c r="D8544" t="inlineStr">
        <is>
          <t>VÄRMLANDS LÄN</t>
        </is>
      </c>
      <c r="E8544" t="inlineStr">
        <is>
          <t>ÅRJÄNG</t>
        </is>
      </c>
      <c r="G8544" t="n">
        <v>1.3</v>
      </c>
      <c r="H8544" t="n">
        <v>0</v>
      </c>
      <c r="I8544" t="n">
        <v>0</v>
      </c>
      <c r="J8544" t="n">
        <v>0</v>
      </c>
      <c r="K8544" t="n">
        <v>0</v>
      </c>
      <c r="L8544" t="n">
        <v>0</v>
      </c>
      <c r="M8544" t="n">
        <v>0</v>
      </c>
      <c r="N8544" t="n">
        <v>0</v>
      </c>
      <c r="O8544" t="n">
        <v>0</v>
      </c>
      <c r="P8544" t="n">
        <v>0</v>
      </c>
      <c r="Q8544" t="n">
        <v>0</v>
      </c>
      <c r="R8544" s="2" t="inlineStr"/>
    </row>
    <row r="8545" ht="15" customHeight="1">
      <c r="A8545" t="inlineStr">
        <is>
          <t>A 61032-2022</t>
        </is>
      </c>
      <c r="B8545" s="1" t="n">
        <v>44914</v>
      </c>
      <c r="C8545" s="1" t="n">
        <v>45810</v>
      </c>
      <c r="D8545" t="inlineStr">
        <is>
          <t>VÄRMLANDS LÄN</t>
        </is>
      </c>
      <c r="E8545" t="inlineStr">
        <is>
          <t>KARLSTAD</t>
        </is>
      </c>
      <c r="G8545" t="n">
        <v>1.6</v>
      </c>
      <c r="H8545" t="n">
        <v>0</v>
      </c>
      <c r="I8545" t="n">
        <v>0</v>
      </c>
      <c r="J8545" t="n">
        <v>0</v>
      </c>
      <c r="K8545" t="n">
        <v>0</v>
      </c>
      <c r="L8545" t="n">
        <v>0</v>
      </c>
      <c r="M8545" t="n">
        <v>0</v>
      </c>
      <c r="N8545" t="n">
        <v>0</v>
      </c>
      <c r="O8545" t="n">
        <v>0</v>
      </c>
      <c r="P8545" t="n">
        <v>0</v>
      </c>
      <c r="Q8545" t="n">
        <v>0</v>
      </c>
      <c r="R8545" s="2" t="inlineStr"/>
    </row>
    <row r="8546" ht="15" customHeight="1">
      <c r="A8546" t="inlineStr">
        <is>
          <t>A 60823-2022</t>
        </is>
      </c>
      <c r="B8546" s="1" t="n">
        <v>44914</v>
      </c>
      <c r="C8546" s="1" t="n">
        <v>45810</v>
      </c>
      <c r="D8546" t="inlineStr">
        <is>
          <t>VÄRMLANDS LÄN</t>
        </is>
      </c>
      <c r="E8546" t="inlineStr">
        <is>
          <t>TORSBY</t>
        </is>
      </c>
      <c r="G8546" t="n">
        <v>6.2</v>
      </c>
      <c r="H8546" t="n">
        <v>0</v>
      </c>
      <c r="I8546" t="n">
        <v>0</v>
      </c>
      <c r="J8546" t="n">
        <v>0</v>
      </c>
      <c r="K8546" t="n">
        <v>0</v>
      </c>
      <c r="L8546" t="n">
        <v>0</v>
      </c>
      <c r="M8546" t="n">
        <v>0</v>
      </c>
      <c r="N8546" t="n">
        <v>0</v>
      </c>
      <c r="O8546" t="n">
        <v>0</v>
      </c>
      <c r="P8546" t="n">
        <v>0</v>
      </c>
      <c r="Q8546" t="n">
        <v>0</v>
      </c>
      <c r="R8546" s="2" t="inlineStr"/>
    </row>
    <row r="8547" ht="15" customHeight="1">
      <c r="A8547" t="inlineStr">
        <is>
          <t>A 60973-2022</t>
        </is>
      </c>
      <c r="B8547" s="1" t="n">
        <v>44914</v>
      </c>
      <c r="C8547" s="1" t="n">
        <v>45810</v>
      </c>
      <c r="D8547" t="inlineStr">
        <is>
          <t>VÄRMLANDS LÄN</t>
        </is>
      </c>
      <c r="E8547" t="inlineStr">
        <is>
          <t>ARVIKA</t>
        </is>
      </c>
      <c r="G8547" t="n">
        <v>0.7</v>
      </c>
      <c r="H8547" t="n">
        <v>0</v>
      </c>
      <c r="I8547" t="n">
        <v>0</v>
      </c>
      <c r="J8547" t="n">
        <v>0</v>
      </c>
      <c r="K8547" t="n">
        <v>0</v>
      </c>
      <c r="L8547" t="n">
        <v>0</v>
      </c>
      <c r="M8547" t="n">
        <v>0</v>
      </c>
      <c r="N8547" t="n">
        <v>0</v>
      </c>
      <c r="O8547" t="n">
        <v>0</v>
      </c>
      <c r="P8547" t="n">
        <v>0</v>
      </c>
      <c r="Q8547" t="n">
        <v>0</v>
      </c>
      <c r="R8547" s="2" t="inlineStr"/>
    </row>
    <row r="8548" ht="15" customHeight="1">
      <c r="A8548" t="inlineStr">
        <is>
          <t>A 60883-2022</t>
        </is>
      </c>
      <c r="B8548" s="1" t="n">
        <v>44914</v>
      </c>
      <c r="C8548" s="1" t="n">
        <v>45810</v>
      </c>
      <c r="D8548" t="inlineStr">
        <is>
          <t>VÄRMLANDS LÄN</t>
        </is>
      </c>
      <c r="E8548" t="inlineStr">
        <is>
          <t>ARVIKA</t>
        </is>
      </c>
      <c r="G8548" t="n">
        <v>1.1</v>
      </c>
      <c r="H8548" t="n">
        <v>0</v>
      </c>
      <c r="I8548" t="n">
        <v>0</v>
      </c>
      <c r="J8548" t="n">
        <v>0</v>
      </c>
      <c r="K8548" t="n">
        <v>0</v>
      </c>
      <c r="L8548" t="n">
        <v>0</v>
      </c>
      <c r="M8548" t="n">
        <v>0</v>
      </c>
      <c r="N8548" t="n">
        <v>0</v>
      </c>
      <c r="O8548" t="n">
        <v>0</v>
      </c>
      <c r="P8548" t="n">
        <v>0</v>
      </c>
      <c r="Q8548" t="n">
        <v>0</v>
      </c>
      <c r="R8548" s="2" t="inlineStr"/>
    </row>
    <row r="8549" ht="15" customHeight="1">
      <c r="A8549" t="inlineStr">
        <is>
          <t>A 60975-2022</t>
        </is>
      </c>
      <c r="B8549" s="1" t="n">
        <v>44914</v>
      </c>
      <c r="C8549" s="1" t="n">
        <v>45810</v>
      </c>
      <c r="D8549" t="inlineStr">
        <is>
          <t>VÄRMLANDS LÄN</t>
        </is>
      </c>
      <c r="E8549" t="inlineStr">
        <is>
          <t>ÅRJÄNG</t>
        </is>
      </c>
      <c r="G8549" t="n">
        <v>1.3</v>
      </c>
      <c r="H8549" t="n">
        <v>0</v>
      </c>
      <c r="I8549" t="n">
        <v>0</v>
      </c>
      <c r="J8549" t="n">
        <v>0</v>
      </c>
      <c r="K8549" t="n">
        <v>0</v>
      </c>
      <c r="L8549" t="n">
        <v>0</v>
      </c>
      <c r="M8549" t="n">
        <v>0</v>
      </c>
      <c r="N8549" t="n">
        <v>0</v>
      </c>
      <c r="O8549" t="n">
        <v>0</v>
      </c>
      <c r="P8549" t="n">
        <v>0</v>
      </c>
      <c r="Q8549" t="n">
        <v>0</v>
      </c>
      <c r="R8549" s="2" t="inlineStr"/>
    </row>
    <row r="8550" ht="15" customHeight="1">
      <c r="A8550" t="inlineStr">
        <is>
          <t>A 61001-2022</t>
        </is>
      </c>
      <c r="B8550" s="1" t="n">
        <v>44914</v>
      </c>
      <c r="C8550" s="1" t="n">
        <v>45810</v>
      </c>
      <c r="D8550" t="inlineStr">
        <is>
          <t>VÄRMLANDS LÄN</t>
        </is>
      </c>
      <c r="E8550" t="inlineStr">
        <is>
          <t>ÅRJÄNG</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61231-2022</t>
        </is>
      </c>
      <c r="B8551" s="1" t="n">
        <v>44915</v>
      </c>
      <c r="C8551" s="1" t="n">
        <v>45810</v>
      </c>
      <c r="D8551" t="inlineStr">
        <is>
          <t>VÄRMLANDS LÄN</t>
        </is>
      </c>
      <c r="E8551" t="inlineStr">
        <is>
          <t>FORSHAGA</t>
        </is>
      </c>
      <c r="G8551" t="n">
        <v>2.6</v>
      </c>
      <c r="H8551" t="n">
        <v>0</v>
      </c>
      <c r="I8551" t="n">
        <v>0</v>
      </c>
      <c r="J8551" t="n">
        <v>0</v>
      </c>
      <c r="K8551" t="n">
        <v>0</v>
      </c>
      <c r="L8551" t="n">
        <v>0</v>
      </c>
      <c r="M8551" t="n">
        <v>0</v>
      </c>
      <c r="N8551" t="n">
        <v>0</v>
      </c>
      <c r="O8551" t="n">
        <v>0</v>
      </c>
      <c r="P8551" t="n">
        <v>0</v>
      </c>
      <c r="Q8551" t="n">
        <v>0</v>
      </c>
      <c r="R8551" s="2" t="inlineStr"/>
    </row>
    <row r="8552" ht="15" customHeight="1">
      <c r="A8552" t="inlineStr">
        <is>
          <t>A 61265-2022</t>
        </is>
      </c>
      <c r="B8552" s="1" t="n">
        <v>44915</v>
      </c>
      <c r="C8552" s="1" t="n">
        <v>45810</v>
      </c>
      <c r="D8552" t="inlineStr">
        <is>
          <t>VÄRMLANDS LÄN</t>
        </is>
      </c>
      <c r="E8552" t="inlineStr">
        <is>
          <t>HAGFORS</t>
        </is>
      </c>
      <c r="G8552" t="n">
        <v>5.2</v>
      </c>
      <c r="H8552" t="n">
        <v>0</v>
      </c>
      <c r="I8552" t="n">
        <v>0</v>
      </c>
      <c r="J8552" t="n">
        <v>0</v>
      </c>
      <c r="K8552" t="n">
        <v>0</v>
      </c>
      <c r="L8552" t="n">
        <v>0</v>
      </c>
      <c r="M8552" t="n">
        <v>0</v>
      </c>
      <c r="N8552" t="n">
        <v>0</v>
      </c>
      <c r="O8552" t="n">
        <v>0</v>
      </c>
      <c r="P8552" t="n">
        <v>0</v>
      </c>
      <c r="Q8552" t="n">
        <v>0</v>
      </c>
      <c r="R8552" s="2" t="inlineStr"/>
    </row>
    <row r="8553" ht="15" customHeight="1">
      <c r="A8553" t="inlineStr">
        <is>
          <t>A 61279-2022</t>
        </is>
      </c>
      <c r="B8553" s="1" t="n">
        <v>44915</v>
      </c>
      <c r="C8553" s="1" t="n">
        <v>45810</v>
      </c>
      <c r="D8553" t="inlineStr">
        <is>
          <t>VÄRMLANDS LÄN</t>
        </is>
      </c>
      <c r="E8553" t="inlineStr">
        <is>
          <t>EDA</t>
        </is>
      </c>
      <c r="G8553" t="n">
        <v>2.8</v>
      </c>
      <c r="H8553" t="n">
        <v>0</v>
      </c>
      <c r="I8553" t="n">
        <v>0</v>
      </c>
      <c r="J8553" t="n">
        <v>0</v>
      </c>
      <c r="K8553" t="n">
        <v>0</v>
      </c>
      <c r="L8553" t="n">
        <v>0</v>
      </c>
      <c r="M8553" t="n">
        <v>0</v>
      </c>
      <c r="N8553" t="n">
        <v>0</v>
      </c>
      <c r="O8553" t="n">
        <v>0</v>
      </c>
      <c r="P8553" t="n">
        <v>0</v>
      </c>
      <c r="Q8553" t="n">
        <v>0</v>
      </c>
      <c r="R8553" s="2" t="inlineStr"/>
    </row>
    <row r="8554" ht="15" customHeight="1">
      <c r="A8554" t="inlineStr">
        <is>
          <t>A 61295-2022</t>
        </is>
      </c>
      <c r="B8554" s="1" t="n">
        <v>44915</v>
      </c>
      <c r="C8554" s="1" t="n">
        <v>45810</v>
      </c>
      <c r="D8554" t="inlineStr">
        <is>
          <t>VÄRMLANDS LÄN</t>
        </is>
      </c>
      <c r="E8554" t="inlineStr">
        <is>
          <t>ÅRJÄNG</t>
        </is>
      </c>
      <c r="G8554" t="n">
        <v>0.4</v>
      </c>
      <c r="H8554" t="n">
        <v>0</v>
      </c>
      <c r="I8554" t="n">
        <v>0</v>
      </c>
      <c r="J8554" t="n">
        <v>0</v>
      </c>
      <c r="K8554" t="n">
        <v>0</v>
      </c>
      <c r="L8554" t="n">
        <v>0</v>
      </c>
      <c r="M8554" t="n">
        <v>0</v>
      </c>
      <c r="N8554" t="n">
        <v>0</v>
      </c>
      <c r="O8554" t="n">
        <v>0</v>
      </c>
      <c r="P8554" t="n">
        <v>0</v>
      </c>
      <c r="Q8554" t="n">
        <v>0</v>
      </c>
      <c r="R8554" s="2" t="inlineStr"/>
    </row>
    <row r="8555" ht="15" customHeight="1">
      <c r="A8555" t="inlineStr">
        <is>
          <t>A 61128-2022</t>
        </is>
      </c>
      <c r="B8555" s="1" t="n">
        <v>44915</v>
      </c>
      <c r="C8555" s="1" t="n">
        <v>45810</v>
      </c>
      <c r="D8555" t="inlineStr">
        <is>
          <t>VÄRMLANDS LÄN</t>
        </is>
      </c>
      <c r="E8555" t="inlineStr">
        <is>
          <t>TORSBY</t>
        </is>
      </c>
      <c r="G8555" t="n">
        <v>2.4</v>
      </c>
      <c r="H8555" t="n">
        <v>0</v>
      </c>
      <c r="I8555" t="n">
        <v>0</v>
      </c>
      <c r="J8555" t="n">
        <v>0</v>
      </c>
      <c r="K8555" t="n">
        <v>0</v>
      </c>
      <c r="L8555" t="n">
        <v>0</v>
      </c>
      <c r="M8555" t="n">
        <v>0</v>
      </c>
      <c r="N8555" t="n">
        <v>0</v>
      </c>
      <c r="O8555" t="n">
        <v>0</v>
      </c>
      <c r="P8555" t="n">
        <v>0</v>
      </c>
      <c r="Q8555" t="n">
        <v>0</v>
      </c>
      <c r="R8555" s="2" t="inlineStr"/>
    </row>
    <row r="8556" ht="15" customHeight="1">
      <c r="A8556" t="inlineStr">
        <is>
          <t>A 61151-2022</t>
        </is>
      </c>
      <c r="B8556" s="1" t="n">
        <v>44915</v>
      </c>
      <c r="C8556" s="1" t="n">
        <v>45810</v>
      </c>
      <c r="D8556" t="inlineStr">
        <is>
          <t>VÄRMLANDS LÄN</t>
        </is>
      </c>
      <c r="E8556" t="inlineStr">
        <is>
          <t>TORSBY</t>
        </is>
      </c>
      <c r="G8556" t="n">
        <v>6</v>
      </c>
      <c r="H8556" t="n">
        <v>0</v>
      </c>
      <c r="I8556" t="n">
        <v>0</v>
      </c>
      <c r="J8556" t="n">
        <v>0</v>
      </c>
      <c r="K8556" t="n">
        <v>0</v>
      </c>
      <c r="L8556" t="n">
        <v>0</v>
      </c>
      <c r="M8556" t="n">
        <v>0</v>
      </c>
      <c r="N8556" t="n">
        <v>0</v>
      </c>
      <c r="O8556" t="n">
        <v>0</v>
      </c>
      <c r="P8556" t="n">
        <v>0</v>
      </c>
      <c r="Q8556" t="n">
        <v>0</v>
      </c>
      <c r="R8556" s="2" t="inlineStr"/>
    </row>
    <row r="8557" ht="15" customHeight="1">
      <c r="A8557" t="inlineStr">
        <is>
          <t>A 61282-2022</t>
        </is>
      </c>
      <c r="B8557" s="1" t="n">
        <v>44915</v>
      </c>
      <c r="C8557" s="1" t="n">
        <v>45810</v>
      </c>
      <c r="D8557" t="inlineStr">
        <is>
          <t>VÄRMLANDS LÄN</t>
        </is>
      </c>
      <c r="E8557" t="inlineStr">
        <is>
          <t>EDA</t>
        </is>
      </c>
      <c r="G8557" t="n">
        <v>3.3</v>
      </c>
      <c r="H8557" t="n">
        <v>0</v>
      </c>
      <c r="I8557" t="n">
        <v>0</v>
      </c>
      <c r="J8557" t="n">
        <v>0</v>
      </c>
      <c r="K8557" t="n">
        <v>0</v>
      </c>
      <c r="L8557" t="n">
        <v>0</v>
      </c>
      <c r="M8557" t="n">
        <v>0</v>
      </c>
      <c r="N8557" t="n">
        <v>0</v>
      </c>
      <c r="O8557" t="n">
        <v>0</v>
      </c>
      <c r="P8557" t="n">
        <v>0</v>
      </c>
      <c r="Q8557" t="n">
        <v>0</v>
      </c>
      <c r="R8557" s="2" t="inlineStr"/>
    </row>
    <row r="8558" ht="15" customHeight="1">
      <c r="A8558" t="inlineStr">
        <is>
          <t>A 61286-2022</t>
        </is>
      </c>
      <c r="B8558" s="1" t="n">
        <v>44915</v>
      </c>
      <c r="C8558" s="1" t="n">
        <v>45810</v>
      </c>
      <c r="D8558" t="inlineStr">
        <is>
          <t>VÄRMLANDS LÄN</t>
        </is>
      </c>
      <c r="E8558" t="inlineStr">
        <is>
          <t>TORSBY</t>
        </is>
      </c>
      <c r="G8558" t="n">
        <v>3.2</v>
      </c>
      <c r="H8558" t="n">
        <v>0</v>
      </c>
      <c r="I8558" t="n">
        <v>0</v>
      </c>
      <c r="J8558" t="n">
        <v>0</v>
      </c>
      <c r="K8558" t="n">
        <v>0</v>
      </c>
      <c r="L8558" t="n">
        <v>0</v>
      </c>
      <c r="M8558" t="n">
        <v>0</v>
      </c>
      <c r="N8558" t="n">
        <v>0</v>
      </c>
      <c r="O8558" t="n">
        <v>0</v>
      </c>
      <c r="P8558" t="n">
        <v>0</v>
      </c>
      <c r="Q8558" t="n">
        <v>0</v>
      </c>
      <c r="R8558" s="2" t="inlineStr"/>
    </row>
    <row r="8559" ht="15" customHeight="1">
      <c r="A8559" t="inlineStr">
        <is>
          <t>A 61321-2022</t>
        </is>
      </c>
      <c r="B8559" s="1" t="n">
        <v>44915</v>
      </c>
      <c r="C8559" s="1" t="n">
        <v>45810</v>
      </c>
      <c r="D8559" t="inlineStr">
        <is>
          <t>VÄRMLANDS LÄN</t>
        </is>
      </c>
      <c r="E8559" t="inlineStr">
        <is>
          <t>TORSBY</t>
        </is>
      </c>
      <c r="G8559" t="n">
        <v>13.3</v>
      </c>
      <c r="H8559" t="n">
        <v>0</v>
      </c>
      <c r="I8559" t="n">
        <v>0</v>
      </c>
      <c r="J8559" t="n">
        <v>0</v>
      </c>
      <c r="K8559" t="n">
        <v>0</v>
      </c>
      <c r="L8559" t="n">
        <v>0</v>
      </c>
      <c r="M8559" t="n">
        <v>0</v>
      </c>
      <c r="N8559" t="n">
        <v>0</v>
      </c>
      <c r="O8559" t="n">
        <v>0</v>
      </c>
      <c r="P8559" t="n">
        <v>0</v>
      </c>
      <c r="Q8559" t="n">
        <v>0</v>
      </c>
      <c r="R8559" s="2" t="inlineStr"/>
    </row>
    <row r="8560" ht="15" customHeight="1">
      <c r="A8560" t="inlineStr">
        <is>
          <t>A 61138-2022</t>
        </is>
      </c>
      <c r="B8560" s="1" t="n">
        <v>44915</v>
      </c>
      <c r="C8560" s="1" t="n">
        <v>45810</v>
      </c>
      <c r="D8560" t="inlineStr">
        <is>
          <t>VÄRMLANDS LÄN</t>
        </is>
      </c>
      <c r="E8560" t="inlineStr">
        <is>
          <t>TORSBY</t>
        </is>
      </c>
      <c r="G8560" t="n">
        <v>3.6</v>
      </c>
      <c r="H8560" t="n">
        <v>0</v>
      </c>
      <c r="I8560" t="n">
        <v>0</v>
      </c>
      <c r="J8560" t="n">
        <v>0</v>
      </c>
      <c r="K8560" t="n">
        <v>0</v>
      </c>
      <c r="L8560" t="n">
        <v>0</v>
      </c>
      <c r="M8560" t="n">
        <v>0</v>
      </c>
      <c r="N8560" t="n">
        <v>0</v>
      </c>
      <c r="O8560" t="n">
        <v>0</v>
      </c>
      <c r="P8560" t="n">
        <v>0</v>
      </c>
      <c r="Q8560" t="n">
        <v>0</v>
      </c>
      <c r="R8560" s="2" t="inlineStr"/>
    </row>
    <row r="8561" ht="15" customHeight="1">
      <c r="A8561" t="inlineStr">
        <is>
          <t>A 61143-2022</t>
        </is>
      </c>
      <c r="B8561" s="1" t="n">
        <v>44915</v>
      </c>
      <c r="C8561" s="1" t="n">
        <v>45810</v>
      </c>
      <c r="D8561" t="inlineStr">
        <is>
          <t>VÄRMLANDS LÄN</t>
        </is>
      </c>
      <c r="E8561" t="inlineStr">
        <is>
          <t>TORSBY</t>
        </is>
      </c>
      <c r="G8561" t="n">
        <v>6</v>
      </c>
      <c r="H8561" t="n">
        <v>0</v>
      </c>
      <c r="I8561" t="n">
        <v>0</v>
      </c>
      <c r="J8561" t="n">
        <v>0</v>
      </c>
      <c r="K8561" t="n">
        <v>0</v>
      </c>
      <c r="L8561" t="n">
        <v>0</v>
      </c>
      <c r="M8561" t="n">
        <v>0</v>
      </c>
      <c r="N8561" t="n">
        <v>0</v>
      </c>
      <c r="O8561" t="n">
        <v>0</v>
      </c>
      <c r="P8561" t="n">
        <v>0</v>
      </c>
      <c r="Q8561" t="n">
        <v>0</v>
      </c>
      <c r="R8561" s="2" t="inlineStr"/>
    </row>
    <row r="8562" ht="15" customHeight="1">
      <c r="A8562" t="inlineStr">
        <is>
          <t>A 61243-2022</t>
        </is>
      </c>
      <c r="B8562" s="1" t="n">
        <v>44915</v>
      </c>
      <c r="C8562" s="1" t="n">
        <v>45810</v>
      </c>
      <c r="D8562" t="inlineStr">
        <is>
          <t>VÄRMLANDS LÄN</t>
        </is>
      </c>
      <c r="E8562" t="inlineStr">
        <is>
          <t>KIL</t>
        </is>
      </c>
      <c r="G8562" t="n">
        <v>2.2</v>
      </c>
      <c r="H8562" t="n">
        <v>0</v>
      </c>
      <c r="I8562" t="n">
        <v>0</v>
      </c>
      <c r="J8562" t="n">
        <v>0</v>
      </c>
      <c r="K8562" t="n">
        <v>0</v>
      </c>
      <c r="L8562" t="n">
        <v>0</v>
      </c>
      <c r="M8562" t="n">
        <v>0</v>
      </c>
      <c r="N8562" t="n">
        <v>0</v>
      </c>
      <c r="O8562" t="n">
        <v>0</v>
      </c>
      <c r="P8562" t="n">
        <v>0</v>
      </c>
      <c r="Q8562" t="n">
        <v>0</v>
      </c>
      <c r="R8562" s="2" t="inlineStr"/>
    </row>
    <row r="8563" ht="15" customHeight="1">
      <c r="A8563" t="inlineStr">
        <is>
          <t>A 61290-2022</t>
        </is>
      </c>
      <c r="B8563" s="1" t="n">
        <v>44915</v>
      </c>
      <c r="C8563" s="1" t="n">
        <v>45810</v>
      </c>
      <c r="D8563" t="inlineStr">
        <is>
          <t>VÄRMLANDS LÄN</t>
        </is>
      </c>
      <c r="E8563" t="inlineStr">
        <is>
          <t>TORSBY</t>
        </is>
      </c>
      <c r="G8563" t="n">
        <v>0.7</v>
      </c>
      <c r="H8563" t="n">
        <v>0</v>
      </c>
      <c r="I8563" t="n">
        <v>0</v>
      </c>
      <c r="J8563" t="n">
        <v>0</v>
      </c>
      <c r="K8563" t="n">
        <v>0</v>
      </c>
      <c r="L8563" t="n">
        <v>0</v>
      </c>
      <c r="M8563" t="n">
        <v>0</v>
      </c>
      <c r="N8563" t="n">
        <v>0</v>
      </c>
      <c r="O8563" t="n">
        <v>0</v>
      </c>
      <c r="P8563" t="n">
        <v>0</v>
      </c>
      <c r="Q8563" t="n">
        <v>0</v>
      </c>
      <c r="R8563" s="2" t="inlineStr"/>
    </row>
    <row r="8564" ht="15" customHeight="1">
      <c r="A8564" t="inlineStr">
        <is>
          <t>A 61367-2022</t>
        </is>
      </c>
      <c r="B8564" s="1" t="n">
        <v>44915</v>
      </c>
      <c r="C8564" s="1" t="n">
        <v>45810</v>
      </c>
      <c r="D8564" t="inlineStr">
        <is>
          <t>VÄRMLANDS LÄN</t>
        </is>
      </c>
      <c r="E8564" t="inlineStr">
        <is>
          <t>TORSBY</t>
        </is>
      </c>
      <c r="G8564" t="n">
        <v>2.6</v>
      </c>
      <c r="H8564" t="n">
        <v>0</v>
      </c>
      <c r="I8564" t="n">
        <v>0</v>
      </c>
      <c r="J8564" t="n">
        <v>0</v>
      </c>
      <c r="K8564" t="n">
        <v>0</v>
      </c>
      <c r="L8564" t="n">
        <v>0</v>
      </c>
      <c r="M8564" t="n">
        <v>0</v>
      </c>
      <c r="N8564" t="n">
        <v>0</v>
      </c>
      <c r="O8564" t="n">
        <v>0</v>
      </c>
      <c r="P8564" t="n">
        <v>0</v>
      </c>
      <c r="Q8564" t="n">
        <v>0</v>
      </c>
      <c r="R8564" s="2" t="inlineStr"/>
    </row>
    <row r="8565" ht="15" customHeight="1">
      <c r="A8565" t="inlineStr">
        <is>
          <t>A 61346-2022</t>
        </is>
      </c>
      <c r="B8565" s="1" t="n">
        <v>44915</v>
      </c>
      <c r="C8565" s="1" t="n">
        <v>45810</v>
      </c>
      <c r="D8565" t="inlineStr">
        <is>
          <t>VÄRMLANDS LÄN</t>
        </is>
      </c>
      <c r="E8565" t="inlineStr">
        <is>
          <t>EDA</t>
        </is>
      </c>
      <c r="G8565" t="n">
        <v>2.3</v>
      </c>
      <c r="H8565" t="n">
        <v>0</v>
      </c>
      <c r="I8565" t="n">
        <v>0</v>
      </c>
      <c r="J8565" t="n">
        <v>0</v>
      </c>
      <c r="K8565" t="n">
        <v>0</v>
      </c>
      <c r="L8565" t="n">
        <v>0</v>
      </c>
      <c r="M8565" t="n">
        <v>0</v>
      </c>
      <c r="N8565" t="n">
        <v>0</v>
      </c>
      <c r="O8565" t="n">
        <v>0</v>
      </c>
      <c r="P8565" t="n">
        <v>0</v>
      </c>
      <c r="Q8565" t="n">
        <v>0</v>
      </c>
      <c r="R8565" s="2" t="inlineStr"/>
    </row>
    <row r="8566" ht="15" customHeight="1">
      <c r="A8566" t="inlineStr">
        <is>
          <t>A 61135-2022</t>
        </is>
      </c>
      <c r="B8566" s="1" t="n">
        <v>44915</v>
      </c>
      <c r="C8566" s="1" t="n">
        <v>45810</v>
      </c>
      <c r="D8566" t="inlineStr">
        <is>
          <t>VÄRMLANDS LÄN</t>
        </is>
      </c>
      <c r="E8566" t="inlineStr">
        <is>
          <t>TORSBY</t>
        </is>
      </c>
      <c r="G8566" t="n">
        <v>2</v>
      </c>
      <c r="H8566" t="n">
        <v>0</v>
      </c>
      <c r="I8566" t="n">
        <v>0</v>
      </c>
      <c r="J8566" t="n">
        <v>0</v>
      </c>
      <c r="K8566" t="n">
        <v>0</v>
      </c>
      <c r="L8566" t="n">
        <v>0</v>
      </c>
      <c r="M8566" t="n">
        <v>0</v>
      </c>
      <c r="N8566" t="n">
        <v>0</v>
      </c>
      <c r="O8566" t="n">
        <v>0</v>
      </c>
      <c r="P8566" t="n">
        <v>0</v>
      </c>
      <c r="Q8566" t="n">
        <v>0</v>
      </c>
      <c r="R8566" s="2" t="inlineStr"/>
    </row>
    <row r="8567" ht="15" customHeight="1">
      <c r="A8567" t="inlineStr">
        <is>
          <t>A 61229-2022</t>
        </is>
      </c>
      <c r="B8567" s="1" t="n">
        <v>44915</v>
      </c>
      <c r="C8567" s="1" t="n">
        <v>45810</v>
      </c>
      <c r="D8567" t="inlineStr">
        <is>
          <t>VÄRMLANDS LÄN</t>
        </is>
      </c>
      <c r="E8567" t="inlineStr">
        <is>
          <t>KIL</t>
        </is>
      </c>
      <c r="G8567" t="n">
        <v>1.3</v>
      </c>
      <c r="H8567" t="n">
        <v>0</v>
      </c>
      <c r="I8567" t="n">
        <v>0</v>
      </c>
      <c r="J8567" t="n">
        <v>0</v>
      </c>
      <c r="K8567" t="n">
        <v>0</v>
      </c>
      <c r="L8567" t="n">
        <v>0</v>
      </c>
      <c r="M8567" t="n">
        <v>0</v>
      </c>
      <c r="N8567" t="n">
        <v>0</v>
      </c>
      <c r="O8567" t="n">
        <v>0</v>
      </c>
      <c r="P8567" t="n">
        <v>0</v>
      </c>
      <c r="Q8567" t="n">
        <v>0</v>
      </c>
      <c r="R8567" s="2" t="inlineStr"/>
    </row>
    <row r="8568" ht="15" customHeight="1">
      <c r="A8568" t="inlineStr">
        <is>
          <t>A 61287-2022</t>
        </is>
      </c>
      <c r="B8568" s="1" t="n">
        <v>44915</v>
      </c>
      <c r="C8568" s="1" t="n">
        <v>45810</v>
      </c>
      <c r="D8568" t="inlineStr">
        <is>
          <t>VÄRMLANDS LÄN</t>
        </is>
      </c>
      <c r="E8568" t="inlineStr">
        <is>
          <t>KARLSTAD</t>
        </is>
      </c>
      <c r="G8568" t="n">
        <v>1.8</v>
      </c>
      <c r="H8568" t="n">
        <v>0</v>
      </c>
      <c r="I8568" t="n">
        <v>0</v>
      </c>
      <c r="J8568" t="n">
        <v>0</v>
      </c>
      <c r="K8568" t="n">
        <v>0</v>
      </c>
      <c r="L8568" t="n">
        <v>0</v>
      </c>
      <c r="M8568" t="n">
        <v>0</v>
      </c>
      <c r="N8568" t="n">
        <v>0</v>
      </c>
      <c r="O8568" t="n">
        <v>0</v>
      </c>
      <c r="P8568" t="n">
        <v>0</v>
      </c>
      <c r="Q8568" t="n">
        <v>0</v>
      </c>
      <c r="R8568" s="2" t="inlineStr"/>
    </row>
    <row r="8569" ht="15" customHeight="1">
      <c r="A8569" t="inlineStr">
        <is>
          <t>A 61350-2022</t>
        </is>
      </c>
      <c r="B8569" s="1" t="n">
        <v>44915</v>
      </c>
      <c r="C8569" s="1" t="n">
        <v>45810</v>
      </c>
      <c r="D8569" t="inlineStr">
        <is>
          <t>VÄRMLANDS LÄN</t>
        </is>
      </c>
      <c r="E8569" t="inlineStr">
        <is>
          <t>KARLSTAD</t>
        </is>
      </c>
      <c r="G8569" t="n">
        <v>1.7</v>
      </c>
      <c r="H8569" t="n">
        <v>0</v>
      </c>
      <c r="I8569" t="n">
        <v>0</v>
      </c>
      <c r="J8569" t="n">
        <v>0</v>
      </c>
      <c r="K8569" t="n">
        <v>0</v>
      </c>
      <c r="L8569" t="n">
        <v>0</v>
      </c>
      <c r="M8569" t="n">
        <v>0</v>
      </c>
      <c r="N8569" t="n">
        <v>0</v>
      </c>
      <c r="O8569" t="n">
        <v>0</v>
      </c>
      <c r="P8569" t="n">
        <v>0</v>
      </c>
      <c r="Q8569" t="n">
        <v>0</v>
      </c>
      <c r="R8569" s="2" t="inlineStr"/>
    </row>
    <row r="8570" ht="15" customHeight="1">
      <c r="A8570" t="inlineStr">
        <is>
          <t>A 61444-2022</t>
        </is>
      </c>
      <c r="B8570" s="1" t="n">
        <v>44916</v>
      </c>
      <c r="C8570" s="1" t="n">
        <v>45810</v>
      </c>
      <c r="D8570" t="inlineStr">
        <is>
          <t>VÄRMLANDS LÄN</t>
        </is>
      </c>
      <c r="E8570" t="inlineStr">
        <is>
          <t>ARVIKA</t>
        </is>
      </c>
      <c r="G8570" t="n">
        <v>1.5</v>
      </c>
      <c r="H8570" t="n">
        <v>0</v>
      </c>
      <c r="I8570" t="n">
        <v>0</v>
      </c>
      <c r="J8570" t="n">
        <v>0</v>
      </c>
      <c r="K8570" t="n">
        <v>0</v>
      </c>
      <c r="L8570" t="n">
        <v>0</v>
      </c>
      <c r="M8570" t="n">
        <v>0</v>
      </c>
      <c r="N8570" t="n">
        <v>0</v>
      </c>
      <c r="O8570" t="n">
        <v>0</v>
      </c>
      <c r="P8570" t="n">
        <v>0</v>
      </c>
      <c r="Q8570" t="n">
        <v>0</v>
      </c>
      <c r="R8570" s="2" t="inlineStr"/>
    </row>
    <row r="8571" ht="15" customHeight="1">
      <c r="A8571" t="inlineStr">
        <is>
          <t>A 61474-2022</t>
        </is>
      </c>
      <c r="B8571" s="1" t="n">
        <v>44916</v>
      </c>
      <c r="C8571" s="1" t="n">
        <v>45810</v>
      </c>
      <c r="D8571" t="inlineStr">
        <is>
          <t>VÄRMLANDS LÄN</t>
        </is>
      </c>
      <c r="E8571" t="inlineStr">
        <is>
          <t>ÅRJÄNG</t>
        </is>
      </c>
      <c r="G8571" t="n">
        <v>3.8</v>
      </c>
      <c r="H8571" t="n">
        <v>0</v>
      </c>
      <c r="I8571" t="n">
        <v>0</v>
      </c>
      <c r="J8571" t="n">
        <v>0</v>
      </c>
      <c r="K8571" t="n">
        <v>0</v>
      </c>
      <c r="L8571" t="n">
        <v>0</v>
      </c>
      <c r="M8571" t="n">
        <v>0</v>
      </c>
      <c r="N8571" t="n">
        <v>0</v>
      </c>
      <c r="O8571" t="n">
        <v>0</v>
      </c>
      <c r="P8571" t="n">
        <v>0</v>
      </c>
      <c r="Q8571" t="n">
        <v>0</v>
      </c>
      <c r="R8571" s="2" t="inlineStr"/>
    </row>
    <row r="8572" ht="15" customHeight="1">
      <c r="A8572" t="inlineStr">
        <is>
          <t>A 61510-2022</t>
        </is>
      </c>
      <c r="B8572" s="1" t="n">
        <v>44916</v>
      </c>
      <c r="C8572" s="1" t="n">
        <v>45810</v>
      </c>
      <c r="D8572" t="inlineStr">
        <is>
          <t>VÄRMLANDS LÄN</t>
        </is>
      </c>
      <c r="E8572" t="inlineStr">
        <is>
          <t>TORSBY</t>
        </is>
      </c>
      <c r="G8572" t="n">
        <v>1.9</v>
      </c>
      <c r="H8572" t="n">
        <v>0</v>
      </c>
      <c r="I8572" t="n">
        <v>0</v>
      </c>
      <c r="J8572" t="n">
        <v>0</v>
      </c>
      <c r="K8572" t="n">
        <v>0</v>
      </c>
      <c r="L8572" t="n">
        <v>0</v>
      </c>
      <c r="M8572" t="n">
        <v>0</v>
      </c>
      <c r="N8572" t="n">
        <v>0</v>
      </c>
      <c r="O8572" t="n">
        <v>0</v>
      </c>
      <c r="P8572" t="n">
        <v>0</v>
      </c>
      <c r="Q8572" t="n">
        <v>0</v>
      </c>
      <c r="R8572" s="2" t="inlineStr"/>
    </row>
    <row r="8573" ht="15" customHeight="1">
      <c r="A8573" t="inlineStr">
        <is>
          <t>A 61412-2022</t>
        </is>
      </c>
      <c r="B8573" s="1" t="n">
        <v>44916</v>
      </c>
      <c r="C8573" s="1" t="n">
        <v>45810</v>
      </c>
      <c r="D8573" t="inlineStr">
        <is>
          <t>VÄRMLANDS LÄN</t>
        </is>
      </c>
      <c r="E8573" t="inlineStr">
        <is>
          <t>EDA</t>
        </is>
      </c>
      <c r="G8573" t="n">
        <v>1.2</v>
      </c>
      <c r="H8573" t="n">
        <v>0</v>
      </c>
      <c r="I8573" t="n">
        <v>0</v>
      </c>
      <c r="J8573" t="n">
        <v>0</v>
      </c>
      <c r="K8573" t="n">
        <v>0</v>
      </c>
      <c r="L8573" t="n">
        <v>0</v>
      </c>
      <c r="M8573" t="n">
        <v>0</v>
      </c>
      <c r="N8573" t="n">
        <v>0</v>
      </c>
      <c r="O8573" t="n">
        <v>0</v>
      </c>
      <c r="P8573" t="n">
        <v>0</v>
      </c>
      <c r="Q8573" t="n">
        <v>0</v>
      </c>
      <c r="R8573" s="2" t="inlineStr"/>
    </row>
    <row r="8574" ht="15" customHeight="1">
      <c r="A8574" t="inlineStr">
        <is>
          <t>A 61564-2022</t>
        </is>
      </c>
      <c r="B8574" s="1" t="n">
        <v>44916</v>
      </c>
      <c r="C8574" s="1" t="n">
        <v>45810</v>
      </c>
      <c r="D8574" t="inlineStr">
        <is>
          <t>VÄRMLANDS LÄN</t>
        </is>
      </c>
      <c r="E8574" t="inlineStr">
        <is>
          <t>SÄFFLE</t>
        </is>
      </c>
      <c r="G8574" t="n">
        <v>1.9</v>
      </c>
      <c r="H8574" t="n">
        <v>0</v>
      </c>
      <c r="I8574" t="n">
        <v>0</v>
      </c>
      <c r="J8574" t="n">
        <v>0</v>
      </c>
      <c r="K8574" t="n">
        <v>0</v>
      </c>
      <c r="L8574" t="n">
        <v>0</v>
      </c>
      <c r="M8574" t="n">
        <v>0</v>
      </c>
      <c r="N8574" t="n">
        <v>0</v>
      </c>
      <c r="O8574" t="n">
        <v>0</v>
      </c>
      <c r="P8574" t="n">
        <v>0</v>
      </c>
      <c r="Q8574" t="n">
        <v>0</v>
      </c>
      <c r="R8574" s="2" t="inlineStr"/>
    </row>
    <row r="8575" ht="15" customHeight="1">
      <c r="A8575" t="inlineStr">
        <is>
          <t>A 61555-2022</t>
        </is>
      </c>
      <c r="B8575" s="1" t="n">
        <v>44916</v>
      </c>
      <c r="C8575" s="1" t="n">
        <v>45810</v>
      </c>
      <c r="D8575" t="inlineStr">
        <is>
          <t>VÄRMLANDS LÄN</t>
        </is>
      </c>
      <c r="E8575" t="inlineStr">
        <is>
          <t>ARVIKA</t>
        </is>
      </c>
      <c r="G8575" t="n">
        <v>1.6</v>
      </c>
      <c r="H8575" t="n">
        <v>0</v>
      </c>
      <c r="I8575" t="n">
        <v>0</v>
      </c>
      <c r="J8575" t="n">
        <v>0</v>
      </c>
      <c r="K8575" t="n">
        <v>0</v>
      </c>
      <c r="L8575" t="n">
        <v>0</v>
      </c>
      <c r="M8575" t="n">
        <v>0</v>
      </c>
      <c r="N8575" t="n">
        <v>0</v>
      </c>
      <c r="O8575" t="n">
        <v>0</v>
      </c>
      <c r="P8575" t="n">
        <v>0</v>
      </c>
      <c r="Q8575" t="n">
        <v>0</v>
      </c>
      <c r="R8575" s="2" t="inlineStr"/>
    </row>
    <row r="8576" ht="15" customHeight="1">
      <c r="A8576" t="inlineStr">
        <is>
          <t>A 61597-2022</t>
        </is>
      </c>
      <c r="B8576" s="1" t="n">
        <v>44916</v>
      </c>
      <c r="C8576" s="1" t="n">
        <v>45810</v>
      </c>
      <c r="D8576" t="inlineStr">
        <is>
          <t>VÄRMLANDS LÄN</t>
        </is>
      </c>
      <c r="E8576" t="inlineStr">
        <is>
          <t>SÄFFLE</t>
        </is>
      </c>
      <c r="G8576" t="n">
        <v>1.7</v>
      </c>
      <c r="H8576" t="n">
        <v>0</v>
      </c>
      <c r="I8576" t="n">
        <v>0</v>
      </c>
      <c r="J8576" t="n">
        <v>0</v>
      </c>
      <c r="K8576" t="n">
        <v>0</v>
      </c>
      <c r="L8576" t="n">
        <v>0</v>
      </c>
      <c r="M8576" t="n">
        <v>0</v>
      </c>
      <c r="N8576" t="n">
        <v>0</v>
      </c>
      <c r="O8576" t="n">
        <v>0</v>
      </c>
      <c r="P8576" t="n">
        <v>0</v>
      </c>
      <c r="Q8576" t="n">
        <v>0</v>
      </c>
      <c r="R8576" s="2" t="inlineStr"/>
    </row>
    <row r="8577" ht="15" customHeight="1">
      <c r="A8577" t="inlineStr">
        <is>
          <t>A 61457-2022</t>
        </is>
      </c>
      <c r="B8577" s="1" t="n">
        <v>44916</v>
      </c>
      <c r="C8577" s="1" t="n">
        <v>45810</v>
      </c>
      <c r="D8577" t="inlineStr">
        <is>
          <t>VÄRMLANDS LÄN</t>
        </is>
      </c>
      <c r="E8577" t="inlineStr">
        <is>
          <t>FORSHAGA</t>
        </is>
      </c>
      <c r="G8577" t="n">
        <v>4.3</v>
      </c>
      <c r="H8577" t="n">
        <v>0</v>
      </c>
      <c r="I8577" t="n">
        <v>0</v>
      </c>
      <c r="J8577" t="n">
        <v>0</v>
      </c>
      <c r="K8577" t="n">
        <v>0</v>
      </c>
      <c r="L8577" t="n">
        <v>0</v>
      </c>
      <c r="M8577" t="n">
        <v>0</v>
      </c>
      <c r="N8577" t="n">
        <v>0</v>
      </c>
      <c r="O8577" t="n">
        <v>0</v>
      </c>
      <c r="P8577" t="n">
        <v>0</v>
      </c>
      <c r="Q8577" t="n">
        <v>0</v>
      </c>
      <c r="R8577" s="2" t="inlineStr"/>
    </row>
    <row r="8578" ht="15" customHeight="1">
      <c r="A8578" t="inlineStr">
        <is>
          <t>A 61463-2022</t>
        </is>
      </c>
      <c r="B8578" s="1" t="n">
        <v>44916</v>
      </c>
      <c r="C8578" s="1" t="n">
        <v>45810</v>
      </c>
      <c r="D8578" t="inlineStr">
        <is>
          <t>VÄRMLANDS LÄN</t>
        </is>
      </c>
      <c r="E8578" t="inlineStr">
        <is>
          <t>FORSHAGA</t>
        </is>
      </c>
      <c r="G8578" t="n">
        <v>1.6</v>
      </c>
      <c r="H8578" t="n">
        <v>0</v>
      </c>
      <c r="I8578" t="n">
        <v>0</v>
      </c>
      <c r="J8578" t="n">
        <v>0</v>
      </c>
      <c r="K8578" t="n">
        <v>0</v>
      </c>
      <c r="L8578" t="n">
        <v>0</v>
      </c>
      <c r="M8578" t="n">
        <v>0</v>
      </c>
      <c r="N8578" t="n">
        <v>0</v>
      </c>
      <c r="O8578" t="n">
        <v>0</v>
      </c>
      <c r="P8578" t="n">
        <v>0</v>
      </c>
      <c r="Q8578" t="n">
        <v>0</v>
      </c>
      <c r="R8578" s="2" t="inlineStr"/>
    </row>
    <row r="8579" ht="15" customHeight="1">
      <c r="A8579" t="inlineStr">
        <is>
          <t>A 61527-2022</t>
        </is>
      </c>
      <c r="B8579" s="1" t="n">
        <v>44916</v>
      </c>
      <c r="C8579" s="1" t="n">
        <v>45810</v>
      </c>
      <c r="D8579" t="inlineStr">
        <is>
          <t>VÄRMLANDS LÄN</t>
        </is>
      </c>
      <c r="E8579" t="inlineStr">
        <is>
          <t>EDA</t>
        </is>
      </c>
      <c r="G8579" t="n">
        <v>4.3</v>
      </c>
      <c r="H8579" t="n">
        <v>0</v>
      </c>
      <c r="I8579" t="n">
        <v>0</v>
      </c>
      <c r="J8579" t="n">
        <v>0</v>
      </c>
      <c r="K8579" t="n">
        <v>0</v>
      </c>
      <c r="L8579" t="n">
        <v>0</v>
      </c>
      <c r="M8579" t="n">
        <v>0</v>
      </c>
      <c r="N8579" t="n">
        <v>0</v>
      </c>
      <c r="O8579" t="n">
        <v>0</v>
      </c>
      <c r="P8579" t="n">
        <v>0</v>
      </c>
      <c r="Q8579" t="n">
        <v>0</v>
      </c>
      <c r="R8579" s="2" t="inlineStr"/>
    </row>
    <row r="8580" ht="15" customHeight="1">
      <c r="A8580" t="inlineStr">
        <is>
          <t>A 61831-2022</t>
        </is>
      </c>
      <c r="B8580" s="1" t="n">
        <v>44917</v>
      </c>
      <c r="C8580" s="1" t="n">
        <v>45810</v>
      </c>
      <c r="D8580" t="inlineStr">
        <is>
          <t>VÄRMLANDS LÄN</t>
        </is>
      </c>
      <c r="E8580" t="inlineStr">
        <is>
          <t>HAGFORS</t>
        </is>
      </c>
      <c r="F8580" t="inlineStr">
        <is>
          <t>Bergvik skog väst AB</t>
        </is>
      </c>
      <c r="G8580" t="n">
        <v>13.2</v>
      </c>
      <c r="H8580" t="n">
        <v>0</v>
      </c>
      <c r="I8580" t="n">
        <v>0</v>
      </c>
      <c r="J8580" t="n">
        <v>0</v>
      </c>
      <c r="K8580" t="n">
        <v>0</v>
      </c>
      <c r="L8580" t="n">
        <v>0</v>
      </c>
      <c r="M8580" t="n">
        <v>0</v>
      </c>
      <c r="N8580" t="n">
        <v>0</v>
      </c>
      <c r="O8580" t="n">
        <v>0</v>
      </c>
      <c r="P8580" t="n">
        <v>0</v>
      </c>
      <c r="Q8580" t="n">
        <v>0</v>
      </c>
      <c r="R8580" s="2" t="inlineStr"/>
    </row>
    <row r="8581" ht="15" customHeight="1">
      <c r="A8581" t="inlineStr">
        <is>
          <t>A 61838-2022</t>
        </is>
      </c>
      <c r="B8581" s="1" t="n">
        <v>44917</v>
      </c>
      <c r="C8581" s="1" t="n">
        <v>45810</v>
      </c>
      <c r="D8581" t="inlineStr">
        <is>
          <t>VÄRMLANDS LÄN</t>
        </is>
      </c>
      <c r="E8581" t="inlineStr">
        <is>
          <t>FORSHAGA</t>
        </is>
      </c>
      <c r="G8581" t="n">
        <v>2.2</v>
      </c>
      <c r="H8581" t="n">
        <v>0</v>
      </c>
      <c r="I8581" t="n">
        <v>0</v>
      </c>
      <c r="J8581" t="n">
        <v>0</v>
      </c>
      <c r="K8581" t="n">
        <v>0</v>
      </c>
      <c r="L8581" t="n">
        <v>0</v>
      </c>
      <c r="M8581" t="n">
        <v>0</v>
      </c>
      <c r="N8581" t="n">
        <v>0</v>
      </c>
      <c r="O8581" t="n">
        <v>0</v>
      </c>
      <c r="P8581" t="n">
        <v>0</v>
      </c>
      <c r="Q8581" t="n">
        <v>0</v>
      </c>
      <c r="R8581" s="2" t="inlineStr"/>
    </row>
    <row r="8582" ht="15" customHeight="1">
      <c r="A8582" t="inlineStr">
        <is>
          <t>A 61696-2022</t>
        </is>
      </c>
      <c r="B8582" s="1" t="n">
        <v>44917</v>
      </c>
      <c r="C8582" s="1" t="n">
        <v>45810</v>
      </c>
      <c r="D8582" t="inlineStr">
        <is>
          <t>VÄRMLANDS LÄN</t>
        </is>
      </c>
      <c r="E8582" t="inlineStr">
        <is>
          <t>SÄFFLE</t>
        </is>
      </c>
      <c r="G8582" t="n">
        <v>2.1</v>
      </c>
      <c r="H8582" t="n">
        <v>0</v>
      </c>
      <c r="I8582" t="n">
        <v>0</v>
      </c>
      <c r="J8582" t="n">
        <v>0</v>
      </c>
      <c r="K8582" t="n">
        <v>0</v>
      </c>
      <c r="L8582" t="n">
        <v>0</v>
      </c>
      <c r="M8582" t="n">
        <v>0</v>
      </c>
      <c r="N8582" t="n">
        <v>0</v>
      </c>
      <c r="O8582" t="n">
        <v>0</v>
      </c>
      <c r="P8582" t="n">
        <v>0</v>
      </c>
      <c r="Q8582" t="n">
        <v>0</v>
      </c>
      <c r="R8582" s="2" t="inlineStr"/>
    </row>
    <row r="8583" ht="15" customHeight="1">
      <c r="A8583" t="inlineStr">
        <is>
          <t>A 61703-2022</t>
        </is>
      </c>
      <c r="B8583" s="1" t="n">
        <v>44917</v>
      </c>
      <c r="C8583" s="1" t="n">
        <v>45810</v>
      </c>
      <c r="D8583" t="inlineStr">
        <is>
          <t>VÄRMLANDS LÄN</t>
        </is>
      </c>
      <c r="E8583" t="inlineStr">
        <is>
          <t>EDA</t>
        </is>
      </c>
      <c r="F8583" t="inlineStr">
        <is>
          <t>Bergvik skog väst AB</t>
        </is>
      </c>
      <c r="G8583" t="n">
        <v>9.699999999999999</v>
      </c>
      <c r="H8583" t="n">
        <v>0</v>
      </c>
      <c r="I8583" t="n">
        <v>0</v>
      </c>
      <c r="J8583" t="n">
        <v>0</v>
      </c>
      <c r="K8583" t="n">
        <v>0</v>
      </c>
      <c r="L8583" t="n">
        <v>0</v>
      </c>
      <c r="M8583" t="n">
        <v>0</v>
      </c>
      <c r="N8583" t="n">
        <v>0</v>
      </c>
      <c r="O8583" t="n">
        <v>0</v>
      </c>
      <c r="P8583" t="n">
        <v>0</v>
      </c>
      <c r="Q8583" t="n">
        <v>0</v>
      </c>
      <c r="R8583" s="2" t="inlineStr"/>
    </row>
    <row r="8584" ht="15" customHeight="1">
      <c r="A8584" t="inlineStr">
        <is>
          <t>A 61845-2022</t>
        </is>
      </c>
      <c r="B8584" s="1" t="n">
        <v>44917</v>
      </c>
      <c r="C8584" s="1" t="n">
        <v>45810</v>
      </c>
      <c r="D8584" t="inlineStr">
        <is>
          <t>VÄRMLANDS LÄN</t>
        </is>
      </c>
      <c r="E8584" t="inlineStr">
        <is>
          <t>STORFORS</t>
        </is>
      </c>
      <c r="F8584" t="inlineStr">
        <is>
          <t>Kyrkan</t>
        </is>
      </c>
      <c r="G8584" t="n">
        <v>1.1</v>
      </c>
      <c r="H8584" t="n">
        <v>0</v>
      </c>
      <c r="I8584" t="n">
        <v>0</v>
      </c>
      <c r="J8584" t="n">
        <v>0</v>
      </c>
      <c r="K8584" t="n">
        <v>0</v>
      </c>
      <c r="L8584" t="n">
        <v>0</v>
      </c>
      <c r="M8584" t="n">
        <v>0</v>
      </c>
      <c r="N8584" t="n">
        <v>0</v>
      </c>
      <c r="O8584" t="n">
        <v>0</v>
      </c>
      <c r="P8584" t="n">
        <v>0</v>
      </c>
      <c r="Q8584" t="n">
        <v>0</v>
      </c>
      <c r="R8584" s="2" t="inlineStr"/>
    </row>
    <row r="8585" ht="15" customHeight="1">
      <c r="A8585" t="inlineStr">
        <is>
          <t>A 62498-2022</t>
        </is>
      </c>
      <c r="B8585" s="1" t="n">
        <v>44917</v>
      </c>
      <c r="C8585" s="1" t="n">
        <v>45810</v>
      </c>
      <c r="D8585" t="inlineStr">
        <is>
          <t>VÄRMLANDS LÄN</t>
        </is>
      </c>
      <c r="E8585" t="inlineStr">
        <is>
          <t>KRISTINEHAMN</t>
        </is>
      </c>
      <c r="G8585" t="n">
        <v>3.3</v>
      </c>
      <c r="H8585" t="n">
        <v>0</v>
      </c>
      <c r="I8585" t="n">
        <v>0</v>
      </c>
      <c r="J8585" t="n">
        <v>0</v>
      </c>
      <c r="K8585" t="n">
        <v>0</v>
      </c>
      <c r="L8585" t="n">
        <v>0</v>
      </c>
      <c r="M8585" t="n">
        <v>0</v>
      </c>
      <c r="N8585" t="n">
        <v>0</v>
      </c>
      <c r="O8585" t="n">
        <v>0</v>
      </c>
      <c r="P8585" t="n">
        <v>0</v>
      </c>
      <c r="Q8585" t="n">
        <v>0</v>
      </c>
      <c r="R8585" s="2" t="inlineStr"/>
    </row>
    <row r="8586" ht="15" customHeight="1">
      <c r="A8586" t="inlineStr">
        <is>
          <t>A 62598-2022</t>
        </is>
      </c>
      <c r="B8586" s="1" t="n">
        <v>44917</v>
      </c>
      <c r="C8586" s="1" t="n">
        <v>45810</v>
      </c>
      <c r="D8586" t="inlineStr">
        <is>
          <t>VÄRMLANDS LÄN</t>
        </is>
      </c>
      <c r="E8586" t="inlineStr">
        <is>
          <t>ARVIKA</t>
        </is>
      </c>
      <c r="G8586" t="n">
        <v>2.6</v>
      </c>
      <c r="H8586" t="n">
        <v>0</v>
      </c>
      <c r="I8586" t="n">
        <v>0</v>
      </c>
      <c r="J8586" t="n">
        <v>0</v>
      </c>
      <c r="K8586" t="n">
        <v>0</v>
      </c>
      <c r="L8586" t="n">
        <v>0</v>
      </c>
      <c r="M8586" t="n">
        <v>0</v>
      </c>
      <c r="N8586" t="n">
        <v>0</v>
      </c>
      <c r="O8586" t="n">
        <v>0</v>
      </c>
      <c r="P8586" t="n">
        <v>0</v>
      </c>
      <c r="Q8586" t="n">
        <v>0</v>
      </c>
      <c r="R8586" s="2" t="inlineStr"/>
    </row>
    <row r="8587" ht="15" customHeight="1">
      <c r="A8587" t="inlineStr">
        <is>
          <t>A 62607-2022</t>
        </is>
      </c>
      <c r="B8587" s="1" t="n">
        <v>44917</v>
      </c>
      <c r="C8587" s="1" t="n">
        <v>45810</v>
      </c>
      <c r="D8587" t="inlineStr">
        <is>
          <t>VÄRMLANDS LÄN</t>
        </is>
      </c>
      <c r="E8587" t="inlineStr">
        <is>
          <t>ARVIKA</t>
        </is>
      </c>
      <c r="G8587" t="n">
        <v>1.8</v>
      </c>
      <c r="H8587" t="n">
        <v>0</v>
      </c>
      <c r="I8587" t="n">
        <v>0</v>
      </c>
      <c r="J8587" t="n">
        <v>0</v>
      </c>
      <c r="K8587" t="n">
        <v>0</v>
      </c>
      <c r="L8587" t="n">
        <v>0</v>
      </c>
      <c r="M8587" t="n">
        <v>0</v>
      </c>
      <c r="N8587" t="n">
        <v>0</v>
      </c>
      <c r="O8587" t="n">
        <v>0</v>
      </c>
      <c r="P8587" t="n">
        <v>0</v>
      </c>
      <c r="Q8587" t="n">
        <v>0</v>
      </c>
      <c r="R8587" s="2" t="inlineStr"/>
    </row>
    <row r="8588" ht="15" customHeight="1">
      <c r="A8588" t="inlineStr">
        <is>
          <t>A 62614-2022</t>
        </is>
      </c>
      <c r="B8588" s="1" t="n">
        <v>44917</v>
      </c>
      <c r="C8588" s="1" t="n">
        <v>45810</v>
      </c>
      <c r="D8588" t="inlineStr">
        <is>
          <t>VÄRMLANDS LÄN</t>
        </is>
      </c>
      <c r="E8588" t="inlineStr">
        <is>
          <t>ARVIKA</t>
        </is>
      </c>
      <c r="G8588" t="n">
        <v>1.7</v>
      </c>
      <c r="H8588" t="n">
        <v>0</v>
      </c>
      <c r="I8588" t="n">
        <v>0</v>
      </c>
      <c r="J8588" t="n">
        <v>0</v>
      </c>
      <c r="K8588" t="n">
        <v>0</v>
      </c>
      <c r="L8588" t="n">
        <v>0</v>
      </c>
      <c r="M8588" t="n">
        <v>0</v>
      </c>
      <c r="N8588" t="n">
        <v>0</v>
      </c>
      <c r="O8588" t="n">
        <v>0</v>
      </c>
      <c r="P8588" t="n">
        <v>0</v>
      </c>
      <c r="Q8588" t="n">
        <v>0</v>
      </c>
      <c r="R8588" s="2" t="inlineStr"/>
    </row>
    <row r="8589" ht="15" customHeight="1">
      <c r="A8589" t="inlineStr">
        <is>
          <t>A 62624-2022</t>
        </is>
      </c>
      <c r="B8589" s="1" t="n">
        <v>44917</v>
      </c>
      <c r="C8589" s="1" t="n">
        <v>45810</v>
      </c>
      <c r="D8589" t="inlineStr">
        <is>
          <t>VÄRMLANDS LÄN</t>
        </is>
      </c>
      <c r="E8589" t="inlineStr">
        <is>
          <t>ARVIKA</t>
        </is>
      </c>
      <c r="G8589" t="n">
        <v>0.6</v>
      </c>
      <c r="H8589" t="n">
        <v>0</v>
      </c>
      <c r="I8589" t="n">
        <v>0</v>
      </c>
      <c r="J8589" t="n">
        <v>0</v>
      </c>
      <c r="K8589" t="n">
        <v>0</v>
      </c>
      <c r="L8589" t="n">
        <v>0</v>
      </c>
      <c r="M8589" t="n">
        <v>0</v>
      </c>
      <c r="N8589" t="n">
        <v>0</v>
      </c>
      <c r="O8589" t="n">
        <v>0</v>
      </c>
      <c r="P8589" t="n">
        <v>0</v>
      </c>
      <c r="Q8589" t="n">
        <v>0</v>
      </c>
      <c r="R8589" s="2" t="inlineStr"/>
    </row>
    <row r="8590" ht="15" customHeight="1">
      <c r="A8590" t="inlineStr">
        <is>
          <t>A 61908-2022</t>
        </is>
      </c>
      <c r="B8590" s="1" t="n">
        <v>44917</v>
      </c>
      <c r="C8590" s="1" t="n">
        <v>45810</v>
      </c>
      <c r="D8590" t="inlineStr">
        <is>
          <t>VÄRMLANDS LÄN</t>
        </is>
      </c>
      <c r="E8590" t="inlineStr">
        <is>
          <t>ARVIKA</t>
        </is>
      </c>
      <c r="G8590" t="n">
        <v>0.6</v>
      </c>
      <c r="H8590" t="n">
        <v>0</v>
      </c>
      <c r="I8590" t="n">
        <v>0</v>
      </c>
      <c r="J8590" t="n">
        <v>0</v>
      </c>
      <c r="K8590" t="n">
        <v>0</v>
      </c>
      <c r="L8590" t="n">
        <v>0</v>
      </c>
      <c r="M8590" t="n">
        <v>0</v>
      </c>
      <c r="N8590" t="n">
        <v>0</v>
      </c>
      <c r="O8590" t="n">
        <v>0</v>
      </c>
      <c r="P8590" t="n">
        <v>0</v>
      </c>
      <c r="Q8590" t="n">
        <v>0</v>
      </c>
      <c r="R8590" s="2" t="inlineStr"/>
    </row>
    <row r="8591" ht="15" customHeight="1">
      <c r="A8591" t="inlineStr">
        <is>
          <t>A 62495-2022</t>
        </is>
      </c>
      <c r="B8591" s="1" t="n">
        <v>44917</v>
      </c>
      <c r="C8591" s="1" t="n">
        <v>45810</v>
      </c>
      <c r="D8591" t="inlineStr">
        <is>
          <t>VÄRMLANDS LÄN</t>
        </is>
      </c>
      <c r="E8591" t="inlineStr">
        <is>
          <t>KRISTINEHAMN</t>
        </is>
      </c>
      <c r="G8591" t="n">
        <v>3.2</v>
      </c>
      <c r="H8591" t="n">
        <v>0</v>
      </c>
      <c r="I8591" t="n">
        <v>0</v>
      </c>
      <c r="J8591" t="n">
        <v>0</v>
      </c>
      <c r="K8591" t="n">
        <v>0</v>
      </c>
      <c r="L8591" t="n">
        <v>0</v>
      </c>
      <c r="M8591" t="n">
        <v>0</v>
      </c>
      <c r="N8591" t="n">
        <v>0</v>
      </c>
      <c r="O8591" t="n">
        <v>0</v>
      </c>
      <c r="P8591" t="n">
        <v>0</v>
      </c>
      <c r="Q8591" t="n">
        <v>0</v>
      </c>
      <c r="R8591" s="2" t="inlineStr"/>
    </row>
    <row r="8592" ht="15" customHeight="1">
      <c r="A8592" t="inlineStr">
        <is>
          <t>A 62596-2022</t>
        </is>
      </c>
      <c r="B8592" s="1" t="n">
        <v>44917</v>
      </c>
      <c r="C8592" s="1" t="n">
        <v>45810</v>
      </c>
      <c r="D8592" t="inlineStr">
        <is>
          <t>VÄRMLANDS LÄN</t>
        </is>
      </c>
      <c r="E8592" t="inlineStr">
        <is>
          <t>ARVIKA</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62603-2022</t>
        </is>
      </c>
      <c r="B8593" s="1" t="n">
        <v>44917</v>
      </c>
      <c r="C8593" s="1" t="n">
        <v>45810</v>
      </c>
      <c r="D8593" t="inlineStr">
        <is>
          <t>VÄRMLANDS LÄN</t>
        </is>
      </c>
      <c r="E8593" t="inlineStr">
        <is>
          <t>ARVIKA</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62612-2022</t>
        </is>
      </c>
      <c r="B8594" s="1" t="n">
        <v>44917</v>
      </c>
      <c r="C8594" s="1" t="n">
        <v>45810</v>
      </c>
      <c r="D8594" t="inlineStr">
        <is>
          <t>VÄRMLANDS LÄN</t>
        </is>
      </c>
      <c r="E8594" t="inlineStr">
        <is>
          <t>ARVIKA</t>
        </is>
      </c>
      <c r="G8594" t="n">
        <v>1.1</v>
      </c>
      <c r="H8594" t="n">
        <v>0</v>
      </c>
      <c r="I8594" t="n">
        <v>0</v>
      </c>
      <c r="J8594" t="n">
        <v>0</v>
      </c>
      <c r="K8594" t="n">
        <v>0</v>
      </c>
      <c r="L8594" t="n">
        <v>0</v>
      </c>
      <c r="M8594" t="n">
        <v>0</v>
      </c>
      <c r="N8594" t="n">
        <v>0</v>
      </c>
      <c r="O8594" t="n">
        <v>0</v>
      </c>
      <c r="P8594" t="n">
        <v>0</v>
      </c>
      <c r="Q8594" t="n">
        <v>0</v>
      </c>
      <c r="R8594" s="2" t="inlineStr"/>
    </row>
    <row r="8595" ht="15" customHeight="1">
      <c r="A8595" t="inlineStr">
        <is>
          <t>A 62621-2022</t>
        </is>
      </c>
      <c r="B8595" s="1" t="n">
        <v>44917</v>
      </c>
      <c r="C8595" s="1" t="n">
        <v>45810</v>
      </c>
      <c r="D8595" t="inlineStr">
        <is>
          <t>VÄRMLANDS LÄN</t>
        </is>
      </c>
      <c r="E8595" t="inlineStr">
        <is>
          <t>ARVIKA</t>
        </is>
      </c>
      <c r="G8595" t="n">
        <v>2.5</v>
      </c>
      <c r="H8595" t="n">
        <v>0</v>
      </c>
      <c r="I8595" t="n">
        <v>0</v>
      </c>
      <c r="J8595" t="n">
        <v>0</v>
      </c>
      <c r="K8595" t="n">
        <v>0</v>
      </c>
      <c r="L8595" t="n">
        <v>0</v>
      </c>
      <c r="M8595" t="n">
        <v>0</v>
      </c>
      <c r="N8595" t="n">
        <v>0</v>
      </c>
      <c r="O8595" t="n">
        <v>0</v>
      </c>
      <c r="P8595" t="n">
        <v>0</v>
      </c>
      <c r="Q8595" t="n">
        <v>0</v>
      </c>
      <c r="R8595" s="2" t="inlineStr"/>
    </row>
    <row r="8596" ht="15" customHeight="1">
      <c r="A8596" t="inlineStr">
        <is>
          <t>A 62480-2022</t>
        </is>
      </c>
      <c r="B8596" s="1" t="n">
        <v>44917</v>
      </c>
      <c r="C8596" s="1" t="n">
        <v>45810</v>
      </c>
      <c r="D8596" t="inlineStr">
        <is>
          <t>VÄRMLANDS LÄN</t>
        </is>
      </c>
      <c r="E8596" t="inlineStr">
        <is>
          <t>KRISTINEHAMN</t>
        </is>
      </c>
      <c r="G8596" t="n">
        <v>32.1</v>
      </c>
      <c r="H8596" t="n">
        <v>0</v>
      </c>
      <c r="I8596" t="n">
        <v>0</v>
      </c>
      <c r="J8596" t="n">
        <v>0</v>
      </c>
      <c r="K8596" t="n">
        <v>0</v>
      </c>
      <c r="L8596" t="n">
        <v>0</v>
      </c>
      <c r="M8596" t="n">
        <v>0</v>
      </c>
      <c r="N8596" t="n">
        <v>0</v>
      </c>
      <c r="O8596" t="n">
        <v>0</v>
      </c>
      <c r="P8596" t="n">
        <v>0</v>
      </c>
      <c r="Q8596" t="n">
        <v>0</v>
      </c>
      <c r="R8596" s="2" t="inlineStr"/>
    </row>
    <row r="8597" ht="15" customHeight="1">
      <c r="A8597" t="inlineStr">
        <is>
          <t>A 62517-2022</t>
        </is>
      </c>
      <c r="B8597" s="1" t="n">
        <v>44917</v>
      </c>
      <c r="C8597" s="1" t="n">
        <v>45810</v>
      </c>
      <c r="D8597" t="inlineStr">
        <is>
          <t>VÄRMLANDS LÄN</t>
        </is>
      </c>
      <c r="E8597" t="inlineStr">
        <is>
          <t>KRISTINEHAMN</t>
        </is>
      </c>
      <c r="G8597" t="n">
        <v>2.5</v>
      </c>
      <c r="H8597" t="n">
        <v>0</v>
      </c>
      <c r="I8597" t="n">
        <v>0</v>
      </c>
      <c r="J8597" t="n">
        <v>0</v>
      </c>
      <c r="K8597" t="n">
        <v>0</v>
      </c>
      <c r="L8597" t="n">
        <v>0</v>
      </c>
      <c r="M8597" t="n">
        <v>0</v>
      </c>
      <c r="N8597" t="n">
        <v>0</v>
      </c>
      <c r="O8597" t="n">
        <v>0</v>
      </c>
      <c r="P8597" t="n">
        <v>0</v>
      </c>
      <c r="Q8597" t="n">
        <v>0</v>
      </c>
      <c r="R8597" s="2" t="inlineStr"/>
    </row>
    <row r="8598" ht="15" customHeight="1">
      <c r="A8598" t="inlineStr">
        <is>
          <t>A 62594-2022</t>
        </is>
      </c>
      <c r="B8598" s="1" t="n">
        <v>44917</v>
      </c>
      <c r="C8598" s="1" t="n">
        <v>45810</v>
      </c>
      <c r="D8598" t="inlineStr">
        <is>
          <t>VÄRMLANDS LÄN</t>
        </is>
      </c>
      <c r="E8598" t="inlineStr">
        <is>
          <t>ARVIKA</t>
        </is>
      </c>
      <c r="G8598" t="n">
        <v>2.6</v>
      </c>
      <c r="H8598" t="n">
        <v>0</v>
      </c>
      <c r="I8598" t="n">
        <v>0</v>
      </c>
      <c r="J8598" t="n">
        <v>0</v>
      </c>
      <c r="K8598" t="n">
        <v>0</v>
      </c>
      <c r="L8598" t="n">
        <v>0</v>
      </c>
      <c r="M8598" t="n">
        <v>0</v>
      </c>
      <c r="N8598" t="n">
        <v>0</v>
      </c>
      <c r="O8598" t="n">
        <v>0</v>
      </c>
      <c r="P8598" t="n">
        <v>0</v>
      </c>
      <c r="Q8598" t="n">
        <v>0</v>
      </c>
      <c r="R8598" s="2" t="inlineStr"/>
    </row>
    <row r="8599" ht="15" customHeight="1">
      <c r="A8599" t="inlineStr">
        <is>
          <t>A 62601-2022</t>
        </is>
      </c>
      <c r="B8599" s="1" t="n">
        <v>44917</v>
      </c>
      <c r="C8599" s="1" t="n">
        <v>45810</v>
      </c>
      <c r="D8599" t="inlineStr">
        <is>
          <t>VÄRMLANDS LÄN</t>
        </is>
      </c>
      <c r="E8599" t="inlineStr">
        <is>
          <t>ARVIKA</t>
        </is>
      </c>
      <c r="G8599" t="n">
        <v>0.5</v>
      </c>
      <c r="H8599" t="n">
        <v>0</v>
      </c>
      <c r="I8599" t="n">
        <v>0</v>
      </c>
      <c r="J8599" t="n">
        <v>0</v>
      </c>
      <c r="K8599" t="n">
        <v>0</v>
      </c>
      <c r="L8599" t="n">
        <v>0</v>
      </c>
      <c r="M8599" t="n">
        <v>0</v>
      </c>
      <c r="N8599" t="n">
        <v>0</v>
      </c>
      <c r="O8599" t="n">
        <v>0</v>
      </c>
      <c r="P8599" t="n">
        <v>0</v>
      </c>
      <c r="Q8599" t="n">
        <v>0</v>
      </c>
      <c r="R8599" s="2" t="inlineStr"/>
    </row>
    <row r="8600" ht="15" customHeight="1">
      <c r="A8600" t="inlineStr">
        <is>
          <t>A 62610-2022</t>
        </is>
      </c>
      <c r="B8600" s="1" t="n">
        <v>44917</v>
      </c>
      <c r="C8600" s="1" t="n">
        <v>45810</v>
      </c>
      <c r="D8600" t="inlineStr">
        <is>
          <t>VÄRMLANDS LÄN</t>
        </is>
      </c>
      <c r="E8600" t="inlineStr">
        <is>
          <t>ARVIKA</t>
        </is>
      </c>
      <c r="G8600" t="n">
        <v>1</v>
      </c>
      <c r="H8600" t="n">
        <v>0</v>
      </c>
      <c r="I8600" t="n">
        <v>0</v>
      </c>
      <c r="J8600" t="n">
        <v>0</v>
      </c>
      <c r="K8600" t="n">
        <v>0</v>
      </c>
      <c r="L8600" t="n">
        <v>0</v>
      </c>
      <c r="M8600" t="n">
        <v>0</v>
      </c>
      <c r="N8600" t="n">
        <v>0</v>
      </c>
      <c r="O8600" t="n">
        <v>0</v>
      </c>
      <c r="P8600" t="n">
        <v>0</v>
      </c>
      <c r="Q8600" t="n">
        <v>0</v>
      </c>
      <c r="R8600" s="2" t="inlineStr"/>
    </row>
    <row r="8601" ht="15" customHeight="1">
      <c r="A8601" t="inlineStr">
        <is>
          <t>A 62619-2022</t>
        </is>
      </c>
      <c r="B8601" s="1" t="n">
        <v>44917</v>
      </c>
      <c r="C8601" s="1" t="n">
        <v>45810</v>
      </c>
      <c r="D8601" t="inlineStr">
        <is>
          <t>VÄRMLANDS LÄN</t>
        </is>
      </c>
      <c r="E8601" t="inlineStr">
        <is>
          <t>ARVIKA</t>
        </is>
      </c>
      <c r="G8601" t="n">
        <v>1.5</v>
      </c>
      <c r="H8601" t="n">
        <v>0</v>
      </c>
      <c r="I8601" t="n">
        <v>0</v>
      </c>
      <c r="J8601" t="n">
        <v>0</v>
      </c>
      <c r="K8601" t="n">
        <v>0</v>
      </c>
      <c r="L8601" t="n">
        <v>0</v>
      </c>
      <c r="M8601" t="n">
        <v>0</v>
      </c>
      <c r="N8601" t="n">
        <v>0</v>
      </c>
      <c r="O8601" t="n">
        <v>0</v>
      </c>
      <c r="P8601" t="n">
        <v>0</v>
      </c>
      <c r="Q8601" t="n">
        <v>0</v>
      </c>
      <c r="R8601" s="2" t="inlineStr"/>
    </row>
    <row r="8602" ht="15" customHeight="1">
      <c r="A8602" t="inlineStr">
        <is>
          <t>A 61910-2022</t>
        </is>
      </c>
      <c r="B8602" s="1" t="n">
        <v>44917</v>
      </c>
      <c r="C8602" s="1" t="n">
        <v>45810</v>
      </c>
      <c r="D8602" t="inlineStr">
        <is>
          <t>VÄRMLANDS LÄN</t>
        </is>
      </c>
      <c r="E8602" t="inlineStr">
        <is>
          <t>ARVIKA</t>
        </is>
      </c>
      <c r="G8602" t="n">
        <v>3.3</v>
      </c>
      <c r="H8602" t="n">
        <v>0</v>
      </c>
      <c r="I8602" t="n">
        <v>0</v>
      </c>
      <c r="J8602" t="n">
        <v>0</v>
      </c>
      <c r="K8602" t="n">
        <v>0</v>
      </c>
      <c r="L8602" t="n">
        <v>0</v>
      </c>
      <c r="M8602" t="n">
        <v>0</v>
      </c>
      <c r="N8602" t="n">
        <v>0</v>
      </c>
      <c r="O8602" t="n">
        <v>0</v>
      </c>
      <c r="P8602" t="n">
        <v>0</v>
      </c>
      <c r="Q8602" t="n">
        <v>0</v>
      </c>
      <c r="R8602" s="2" t="inlineStr"/>
    </row>
    <row r="8603" ht="15" customHeight="1">
      <c r="A8603" t="inlineStr">
        <is>
          <t>A 62514-2022</t>
        </is>
      </c>
      <c r="B8603" s="1" t="n">
        <v>44917</v>
      </c>
      <c r="C8603" s="1" t="n">
        <v>45810</v>
      </c>
      <c r="D8603" t="inlineStr">
        <is>
          <t>VÄRMLANDS LÄN</t>
        </is>
      </c>
      <c r="E8603" t="inlineStr">
        <is>
          <t>KRISTINEHAMN</t>
        </is>
      </c>
      <c r="G8603" t="n">
        <v>1.6</v>
      </c>
      <c r="H8603" t="n">
        <v>0</v>
      </c>
      <c r="I8603" t="n">
        <v>0</v>
      </c>
      <c r="J8603" t="n">
        <v>0</v>
      </c>
      <c r="K8603" t="n">
        <v>0</v>
      </c>
      <c r="L8603" t="n">
        <v>0</v>
      </c>
      <c r="M8603" t="n">
        <v>0</v>
      </c>
      <c r="N8603" t="n">
        <v>0</v>
      </c>
      <c r="O8603" t="n">
        <v>0</v>
      </c>
      <c r="P8603" t="n">
        <v>0</v>
      </c>
      <c r="Q8603" t="n">
        <v>0</v>
      </c>
      <c r="R8603" s="2" t="inlineStr"/>
    </row>
    <row r="8604" ht="15" customHeight="1">
      <c r="A8604" t="inlineStr">
        <is>
          <t>A 62600-2022</t>
        </is>
      </c>
      <c r="B8604" s="1" t="n">
        <v>44917</v>
      </c>
      <c r="C8604" s="1" t="n">
        <v>45810</v>
      </c>
      <c r="D8604" t="inlineStr">
        <is>
          <t>VÄRMLANDS LÄN</t>
        </is>
      </c>
      <c r="E8604" t="inlineStr">
        <is>
          <t>ARVIKA</t>
        </is>
      </c>
      <c r="G8604" t="n">
        <v>2.1</v>
      </c>
      <c r="H8604" t="n">
        <v>0</v>
      </c>
      <c r="I8604" t="n">
        <v>0</v>
      </c>
      <c r="J8604" t="n">
        <v>0</v>
      </c>
      <c r="K8604" t="n">
        <v>0</v>
      </c>
      <c r="L8604" t="n">
        <v>0</v>
      </c>
      <c r="M8604" t="n">
        <v>0</v>
      </c>
      <c r="N8604" t="n">
        <v>0</v>
      </c>
      <c r="O8604" t="n">
        <v>0</v>
      </c>
      <c r="P8604" t="n">
        <v>0</v>
      </c>
      <c r="Q8604" t="n">
        <v>0</v>
      </c>
      <c r="R8604" s="2" t="inlineStr"/>
    </row>
    <row r="8605" ht="15" customHeight="1">
      <c r="A8605" t="inlineStr">
        <is>
          <t>A 62609-2022</t>
        </is>
      </c>
      <c r="B8605" s="1" t="n">
        <v>44917</v>
      </c>
      <c r="C8605" s="1" t="n">
        <v>45810</v>
      </c>
      <c r="D8605" t="inlineStr">
        <is>
          <t>VÄRMLANDS LÄN</t>
        </is>
      </c>
      <c r="E8605" t="inlineStr">
        <is>
          <t>ARVIKA</t>
        </is>
      </c>
      <c r="G8605" t="n">
        <v>0.8</v>
      </c>
      <c r="H8605" t="n">
        <v>0</v>
      </c>
      <c r="I8605" t="n">
        <v>0</v>
      </c>
      <c r="J8605" t="n">
        <v>0</v>
      </c>
      <c r="K8605" t="n">
        <v>0</v>
      </c>
      <c r="L8605" t="n">
        <v>0</v>
      </c>
      <c r="M8605" t="n">
        <v>0</v>
      </c>
      <c r="N8605" t="n">
        <v>0</v>
      </c>
      <c r="O8605" t="n">
        <v>0</v>
      </c>
      <c r="P8605" t="n">
        <v>0</v>
      </c>
      <c r="Q8605" t="n">
        <v>0</v>
      </c>
      <c r="R8605" s="2" t="inlineStr"/>
    </row>
    <row r="8606" ht="15" customHeight="1">
      <c r="A8606" t="inlineStr">
        <is>
          <t>A 62618-2022</t>
        </is>
      </c>
      <c r="B8606" s="1" t="n">
        <v>44917</v>
      </c>
      <c r="C8606" s="1" t="n">
        <v>45810</v>
      </c>
      <c r="D8606" t="inlineStr">
        <is>
          <t>VÄRMLANDS LÄN</t>
        </is>
      </c>
      <c r="E8606" t="inlineStr">
        <is>
          <t>ARVIKA</t>
        </is>
      </c>
      <c r="G8606" t="n">
        <v>0.8</v>
      </c>
      <c r="H8606" t="n">
        <v>0</v>
      </c>
      <c r="I8606" t="n">
        <v>0</v>
      </c>
      <c r="J8606" t="n">
        <v>0</v>
      </c>
      <c r="K8606" t="n">
        <v>0</v>
      </c>
      <c r="L8606" t="n">
        <v>0</v>
      </c>
      <c r="M8606" t="n">
        <v>0</v>
      </c>
      <c r="N8606" t="n">
        <v>0</v>
      </c>
      <c r="O8606" t="n">
        <v>0</v>
      </c>
      <c r="P8606" t="n">
        <v>0</v>
      </c>
      <c r="Q8606" t="n">
        <v>0</v>
      </c>
      <c r="R8606" s="2" t="inlineStr"/>
    </row>
    <row r="8607" ht="15" customHeight="1">
      <c r="A8607" t="inlineStr">
        <is>
          <t>A 62627-2022</t>
        </is>
      </c>
      <c r="B8607" s="1" t="n">
        <v>44917</v>
      </c>
      <c r="C8607" s="1" t="n">
        <v>45810</v>
      </c>
      <c r="D8607" t="inlineStr">
        <is>
          <t>VÄRMLANDS LÄN</t>
        </is>
      </c>
      <c r="E8607" t="inlineStr">
        <is>
          <t>ARVIKA</t>
        </is>
      </c>
      <c r="G8607" t="n">
        <v>4.1</v>
      </c>
      <c r="H8607" t="n">
        <v>0</v>
      </c>
      <c r="I8607" t="n">
        <v>0</v>
      </c>
      <c r="J8607" t="n">
        <v>0</v>
      </c>
      <c r="K8607" t="n">
        <v>0</v>
      </c>
      <c r="L8607" t="n">
        <v>0</v>
      </c>
      <c r="M8607" t="n">
        <v>0</v>
      </c>
      <c r="N8607" t="n">
        <v>0</v>
      </c>
      <c r="O8607" t="n">
        <v>0</v>
      </c>
      <c r="P8607" t="n">
        <v>0</v>
      </c>
      <c r="Q8607" t="n">
        <v>0</v>
      </c>
      <c r="R8607" s="2" t="inlineStr"/>
    </row>
    <row r="8608" ht="15" customHeight="1">
      <c r="A8608" t="inlineStr">
        <is>
          <t>A 61952-2022</t>
        </is>
      </c>
      <c r="B8608" s="1" t="n">
        <v>44918</v>
      </c>
      <c r="C8608" s="1" t="n">
        <v>45810</v>
      </c>
      <c r="D8608" t="inlineStr">
        <is>
          <t>VÄRMLANDS LÄN</t>
        </is>
      </c>
      <c r="E8608" t="inlineStr">
        <is>
          <t>EDA</t>
        </is>
      </c>
      <c r="G8608" t="n">
        <v>1.9</v>
      </c>
      <c r="H8608" t="n">
        <v>0</v>
      </c>
      <c r="I8608" t="n">
        <v>0</v>
      </c>
      <c r="J8608" t="n">
        <v>0</v>
      </c>
      <c r="K8608" t="n">
        <v>0</v>
      </c>
      <c r="L8608" t="n">
        <v>0</v>
      </c>
      <c r="M8608" t="n">
        <v>0</v>
      </c>
      <c r="N8608" t="n">
        <v>0</v>
      </c>
      <c r="O8608" t="n">
        <v>0</v>
      </c>
      <c r="P8608" t="n">
        <v>0</v>
      </c>
      <c r="Q8608" t="n">
        <v>0</v>
      </c>
      <c r="R8608" s="2" t="inlineStr"/>
    </row>
    <row r="8609" ht="15" customHeight="1">
      <c r="A8609" t="inlineStr">
        <is>
          <t>A 61976-2022</t>
        </is>
      </c>
      <c r="B8609" s="1" t="n">
        <v>44918</v>
      </c>
      <c r="C8609" s="1" t="n">
        <v>45810</v>
      </c>
      <c r="D8609" t="inlineStr">
        <is>
          <t>VÄRMLANDS LÄN</t>
        </is>
      </c>
      <c r="E8609" t="inlineStr">
        <is>
          <t>EDA</t>
        </is>
      </c>
      <c r="G8609" t="n">
        <v>6.1</v>
      </c>
      <c r="H8609" t="n">
        <v>0</v>
      </c>
      <c r="I8609" t="n">
        <v>0</v>
      </c>
      <c r="J8609" t="n">
        <v>0</v>
      </c>
      <c r="K8609" t="n">
        <v>0</v>
      </c>
      <c r="L8609" t="n">
        <v>0</v>
      </c>
      <c r="M8609" t="n">
        <v>0</v>
      </c>
      <c r="N8609" t="n">
        <v>0</v>
      </c>
      <c r="O8609" t="n">
        <v>0</v>
      </c>
      <c r="P8609" t="n">
        <v>0</v>
      </c>
      <c r="Q8609" t="n">
        <v>0</v>
      </c>
      <c r="R8609" s="2" t="inlineStr"/>
    </row>
    <row r="8610" ht="15" customHeight="1">
      <c r="A8610" t="inlineStr">
        <is>
          <t>A 62039-2022</t>
        </is>
      </c>
      <c r="B8610" s="1" t="n">
        <v>44918</v>
      </c>
      <c r="C8610" s="1" t="n">
        <v>45810</v>
      </c>
      <c r="D8610" t="inlineStr">
        <is>
          <t>VÄRMLANDS LÄN</t>
        </is>
      </c>
      <c r="E8610" t="inlineStr">
        <is>
          <t>SUNNE</t>
        </is>
      </c>
      <c r="G8610" t="n">
        <v>3.6</v>
      </c>
      <c r="H8610" t="n">
        <v>0</v>
      </c>
      <c r="I8610" t="n">
        <v>0</v>
      </c>
      <c r="J8610" t="n">
        <v>0</v>
      </c>
      <c r="K8610" t="n">
        <v>0</v>
      </c>
      <c r="L8610" t="n">
        <v>0</v>
      </c>
      <c r="M8610" t="n">
        <v>0</v>
      </c>
      <c r="N8610" t="n">
        <v>0</v>
      </c>
      <c r="O8610" t="n">
        <v>0</v>
      </c>
      <c r="P8610" t="n">
        <v>0</v>
      </c>
      <c r="Q8610" t="n">
        <v>0</v>
      </c>
      <c r="R8610" s="2" t="inlineStr"/>
    </row>
    <row r="8611" ht="15" customHeight="1">
      <c r="A8611" t="inlineStr">
        <is>
          <t>A 61942-2022</t>
        </is>
      </c>
      <c r="B8611" s="1" t="n">
        <v>44918</v>
      </c>
      <c r="C8611" s="1" t="n">
        <v>45810</v>
      </c>
      <c r="D8611" t="inlineStr">
        <is>
          <t>VÄRMLANDS LÄN</t>
        </is>
      </c>
      <c r="E8611" t="inlineStr">
        <is>
          <t>KRISTINEHAMN</t>
        </is>
      </c>
      <c r="F8611" t="inlineStr">
        <is>
          <t>Kommuner</t>
        </is>
      </c>
      <c r="G8611" t="n">
        <v>0.2</v>
      </c>
      <c r="H8611" t="n">
        <v>0</v>
      </c>
      <c r="I8611" t="n">
        <v>0</v>
      </c>
      <c r="J8611" t="n">
        <v>0</v>
      </c>
      <c r="K8611" t="n">
        <v>0</v>
      </c>
      <c r="L8611" t="n">
        <v>0</v>
      </c>
      <c r="M8611" t="n">
        <v>0</v>
      </c>
      <c r="N8611" t="n">
        <v>0</v>
      </c>
      <c r="O8611" t="n">
        <v>0</v>
      </c>
      <c r="P8611" t="n">
        <v>0</v>
      </c>
      <c r="Q8611" t="n">
        <v>0</v>
      </c>
      <c r="R8611" s="2" t="inlineStr"/>
    </row>
    <row r="8612" ht="15" customHeight="1">
      <c r="A8612" t="inlineStr">
        <is>
          <t>A 62074-2022</t>
        </is>
      </c>
      <c r="B8612" s="1" t="n">
        <v>44918</v>
      </c>
      <c r="C8612" s="1" t="n">
        <v>45810</v>
      </c>
      <c r="D8612" t="inlineStr">
        <is>
          <t>VÄRMLANDS LÄN</t>
        </is>
      </c>
      <c r="E8612" t="inlineStr">
        <is>
          <t>ARVIKA</t>
        </is>
      </c>
      <c r="G8612" t="n">
        <v>3.5</v>
      </c>
      <c r="H8612" t="n">
        <v>0</v>
      </c>
      <c r="I8612" t="n">
        <v>0</v>
      </c>
      <c r="J8612" t="n">
        <v>0</v>
      </c>
      <c r="K8612" t="n">
        <v>0</v>
      </c>
      <c r="L8612" t="n">
        <v>0</v>
      </c>
      <c r="M8612" t="n">
        <v>0</v>
      </c>
      <c r="N8612" t="n">
        <v>0</v>
      </c>
      <c r="O8612" t="n">
        <v>0</v>
      </c>
      <c r="P8612" t="n">
        <v>0</v>
      </c>
      <c r="Q8612" t="n">
        <v>0</v>
      </c>
      <c r="R8612" s="2" t="inlineStr"/>
    </row>
    <row r="8613" ht="15" customHeight="1">
      <c r="A8613" t="inlineStr">
        <is>
          <t>A 62006-2022</t>
        </is>
      </c>
      <c r="B8613" s="1" t="n">
        <v>44918</v>
      </c>
      <c r="C8613" s="1" t="n">
        <v>45810</v>
      </c>
      <c r="D8613" t="inlineStr">
        <is>
          <t>VÄRMLANDS LÄN</t>
        </is>
      </c>
      <c r="E8613" t="inlineStr">
        <is>
          <t>TORSBY</t>
        </is>
      </c>
      <c r="G8613" t="n">
        <v>0.5</v>
      </c>
      <c r="H8613" t="n">
        <v>0</v>
      </c>
      <c r="I8613" t="n">
        <v>0</v>
      </c>
      <c r="J8613" t="n">
        <v>0</v>
      </c>
      <c r="K8613" t="n">
        <v>0</v>
      </c>
      <c r="L8613" t="n">
        <v>0</v>
      </c>
      <c r="M8613" t="n">
        <v>0</v>
      </c>
      <c r="N8613" t="n">
        <v>0</v>
      </c>
      <c r="O8613" t="n">
        <v>0</v>
      </c>
      <c r="P8613" t="n">
        <v>0</v>
      </c>
      <c r="Q8613" t="n">
        <v>0</v>
      </c>
      <c r="R8613" s="2" t="inlineStr"/>
    </row>
    <row r="8614" ht="15" customHeight="1">
      <c r="A8614" t="inlineStr">
        <is>
          <t>A 92-2023</t>
        </is>
      </c>
      <c r="B8614" s="1" t="n">
        <v>44918</v>
      </c>
      <c r="C8614" s="1" t="n">
        <v>45810</v>
      </c>
      <c r="D8614" t="inlineStr">
        <is>
          <t>VÄRMLANDS LÄN</t>
        </is>
      </c>
      <c r="E8614" t="inlineStr">
        <is>
          <t>SUNNE</t>
        </is>
      </c>
      <c r="G8614" t="n">
        <v>0.8</v>
      </c>
      <c r="H8614" t="n">
        <v>0</v>
      </c>
      <c r="I8614" t="n">
        <v>0</v>
      </c>
      <c r="J8614" t="n">
        <v>0</v>
      </c>
      <c r="K8614" t="n">
        <v>0</v>
      </c>
      <c r="L8614" t="n">
        <v>0</v>
      </c>
      <c r="M8614" t="n">
        <v>0</v>
      </c>
      <c r="N8614" t="n">
        <v>0</v>
      </c>
      <c r="O8614" t="n">
        <v>0</v>
      </c>
      <c r="P8614" t="n">
        <v>0</v>
      </c>
      <c r="Q8614" t="n">
        <v>0</v>
      </c>
      <c r="R8614" s="2" t="inlineStr"/>
    </row>
    <row r="8615" ht="15" customHeight="1">
      <c r="A8615" t="inlineStr">
        <is>
          <t>A 80-2023</t>
        </is>
      </c>
      <c r="B8615" s="1" t="n">
        <v>44918</v>
      </c>
      <c r="C8615" s="1" t="n">
        <v>45810</v>
      </c>
      <c r="D8615" t="inlineStr">
        <is>
          <t>VÄRMLANDS LÄN</t>
        </is>
      </c>
      <c r="E8615" t="inlineStr">
        <is>
          <t>TORSBY</t>
        </is>
      </c>
      <c r="G8615" t="n">
        <v>0.9</v>
      </c>
      <c r="H8615" t="n">
        <v>0</v>
      </c>
      <c r="I8615" t="n">
        <v>0</v>
      </c>
      <c r="J8615" t="n">
        <v>0</v>
      </c>
      <c r="K8615" t="n">
        <v>0</v>
      </c>
      <c r="L8615" t="n">
        <v>0</v>
      </c>
      <c r="M8615" t="n">
        <v>0</v>
      </c>
      <c r="N8615" t="n">
        <v>0</v>
      </c>
      <c r="O8615" t="n">
        <v>0</v>
      </c>
      <c r="P8615" t="n">
        <v>0</v>
      </c>
      <c r="Q8615" t="n">
        <v>0</v>
      </c>
      <c r="R8615" s="2" t="inlineStr"/>
    </row>
    <row r="8616" ht="15" customHeight="1">
      <c r="A8616" t="inlineStr">
        <is>
          <t>A 62109-2022</t>
        </is>
      </c>
      <c r="B8616" s="1" t="n">
        <v>44920</v>
      </c>
      <c r="C8616" s="1" t="n">
        <v>45810</v>
      </c>
      <c r="D8616" t="inlineStr">
        <is>
          <t>VÄRMLANDS LÄN</t>
        </is>
      </c>
      <c r="E8616" t="inlineStr">
        <is>
          <t>ARVIKA</t>
        </is>
      </c>
      <c r="G8616" t="n">
        <v>2.1</v>
      </c>
      <c r="H8616" t="n">
        <v>0</v>
      </c>
      <c r="I8616" t="n">
        <v>0</v>
      </c>
      <c r="J8616" t="n">
        <v>0</v>
      </c>
      <c r="K8616" t="n">
        <v>0</v>
      </c>
      <c r="L8616" t="n">
        <v>0</v>
      </c>
      <c r="M8616" t="n">
        <v>0</v>
      </c>
      <c r="N8616" t="n">
        <v>0</v>
      </c>
      <c r="O8616" t="n">
        <v>0</v>
      </c>
      <c r="P8616" t="n">
        <v>0</v>
      </c>
      <c r="Q8616" t="n">
        <v>0</v>
      </c>
      <c r="R8616" s="2" t="inlineStr"/>
    </row>
    <row r="8617" ht="15" customHeight="1">
      <c r="A8617" t="inlineStr">
        <is>
          <t>A 135-2023</t>
        </is>
      </c>
      <c r="B8617" s="1" t="n">
        <v>44921</v>
      </c>
      <c r="C8617" s="1" t="n">
        <v>45810</v>
      </c>
      <c r="D8617" t="inlineStr">
        <is>
          <t>VÄRMLANDS LÄN</t>
        </is>
      </c>
      <c r="E8617" t="inlineStr">
        <is>
          <t>SÄFFLE</t>
        </is>
      </c>
      <c r="G8617" t="n">
        <v>4.3</v>
      </c>
      <c r="H8617" t="n">
        <v>0</v>
      </c>
      <c r="I8617" t="n">
        <v>0</v>
      </c>
      <c r="J8617" t="n">
        <v>0</v>
      </c>
      <c r="K8617" t="n">
        <v>0</v>
      </c>
      <c r="L8617" t="n">
        <v>0</v>
      </c>
      <c r="M8617" t="n">
        <v>0</v>
      </c>
      <c r="N8617" t="n">
        <v>0</v>
      </c>
      <c r="O8617" t="n">
        <v>0</v>
      </c>
      <c r="P8617" t="n">
        <v>0</v>
      </c>
      <c r="Q8617" t="n">
        <v>0</v>
      </c>
      <c r="R8617" s="2" t="inlineStr"/>
    </row>
    <row r="8618" ht="15" customHeight="1">
      <c r="A8618" t="inlineStr">
        <is>
          <t>A 62139-2022</t>
        </is>
      </c>
      <c r="B8618" s="1" t="n">
        <v>44922</v>
      </c>
      <c r="C8618" s="1" t="n">
        <v>45810</v>
      </c>
      <c r="D8618" t="inlineStr">
        <is>
          <t>VÄRMLANDS LÄN</t>
        </is>
      </c>
      <c r="E8618" t="inlineStr">
        <is>
          <t>ARVIKA</t>
        </is>
      </c>
      <c r="G8618" t="n">
        <v>4.6</v>
      </c>
      <c r="H8618" t="n">
        <v>0</v>
      </c>
      <c r="I8618" t="n">
        <v>0</v>
      </c>
      <c r="J8618" t="n">
        <v>0</v>
      </c>
      <c r="K8618" t="n">
        <v>0</v>
      </c>
      <c r="L8618" t="n">
        <v>0</v>
      </c>
      <c r="M8618" t="n">
        <v>0</v>
      </c>
      <c r="N8618" t="n">
        <v>0</v>
      </c>
      <c r="O8618" t="n">
        <v>0</v>
      </c>
      <c r="P8618" t="n">
        <v>0</v>
      </c>
      <c r="Q8618" t="n">
        <v>0</v>
      </c>
      <c r="R8618" s="2" t="inlineStr"/>
    </row>
    <row r="8619" ht="15" customHeight="1">
      <c r="A8619" t="inlineStr">
        <is>
          <t>A 62240-2022</t>
        </is>
      </c>
      <c r="B8619" s="1" t="n">
        <v>44922</v>
      </c>
      <c r="C8619" s="1" t="n">
        <v>45810</v>
      </c>
      <c r="D8619" t="inlineStr">
        <is>
          <t>VÄRMLANDS LÄN</t>
        </is>
      </c>
      <c r="E8619" t="inlineStr">
        <is>
          <t>ÅRJÄNG</t>
        </is>
      </c>
      <c r="G8619" t="n">
        <v>0.5</v>
      </c>
      <c r="H8619" t="n">
        <v>0</v>
      </c>
      <c r="I8619" t="n">
        <v>0</v>
      </c>
      <c r="J8619" t="n">
        <v>0</v>
      </c>
      <c r="K8619" t="n">
        <v>0</v>
      </c>
      <c r="L8619" t="n">
        <v>0</v>
      </c>
      <c r="M8619" t="n">
        <v>0</v>
      </c>
      <c r="N8619" t="n">
        <v>0</v>
      </c>
      <c r="O8619" t="n">
        <v>0</v>
      </c>
      <c r="P8619" t="n">
        <v>0</v>
      </c>
      <c r="Q8619" t="n">
        <v>0</v>
      </c>
      <c r="R8619" s="2" t="inlineStr"/>
    </row>
    <row r="8620" ht="15" customHeight="1">
      <c r="A8620" t="inlineStr">
        <is>
          <t>A 62175-2022</t>
        </is>
      </c>
      <c r="B8620" s="1" t="n">
        <v>44922</v>
      </c>
      <c r="C8620" s="1" t="n">
        <v>45810</v>
      </c>
      <c r="D8620" t="inlineStr">
        <is>
          <t>VÄRMLANDS LÄN</t>
        </is>
      </c>
      <c r="E8620" t="inlineStr">
        <is>
          <t>SUNNE</t>
        </is>
      </c>
      <c r="G8620" t="n">
        <v>1.4</v>
      </c>
      <c r="H8620" t="n">
        <v>0</v>
      </c>
      <c r="I8620" t="n">
        <v>0</v>
      </c>
      <c r="J8620" t="n">
        <v>0</v>
      </c>
      <c r="K8620" t="n">
        <v>0</v>
      </c>
      <c r="L8620" t="n">
        <v>0</v>
      </c>
      <c r="M8620" t="n">
        <v>0</v>
      </c>
      <c r="N8620" t="n">
        <v>0</v>
      </c>
      <c r="O8620" t="n">
        <v>0</v>
      </c>
      <c r="P8620" t="n">
        <v>0</v>
      </c>
      <c r="Q8620" t="n">
        <v>0</v>
      </c>
      <c r="R8620" s="2" t="inlineStr"/>
    </row>
    <row r="8621" ht="15" customHeight="1">
      <c r="A8621" t="inlineStr">
        <is>
          <t>A 62183-2022</t>
        </is>
      </c>
      <c r="B8621" s="1" t="n">
        <v>44922</v>
      </c>
      <c r="C8621" s="1" t="n">
        <v>45810</v>
      </c>
      <c r="D8621" t="inlineStr">
        <is>
          <t>VÄRMLANDS LÄN</t>
        </is>
      </c>
      <c r="E8621" t="inlineStr">
        <is>
          <t>SUNNE</t>
        </is>
      </c>
      <c r="G8621" t="n">
        <v>0.8</v>
      </c>
      <c r="H8621" t="n">
        <v>0</v>
      </c>
      <c r="I8621" t="n">
        <v>0</v>
      </c>
      <c r="J8621" t="n">
        <v>0</v>
      </c>
      <c r="K8621" t="n">
        <v>0</v>
      </c>
      <c r="L8621" t="n">
        <v>0</v>
      </c>
      <c r="M8621" t="n">
        <v>0</v>
      </c>
      <c r="N8621" t="n">
        <v>0</v>
      </c>
      <c r="O8621" t="n">
        <v>0</v>
      </c>
      <c r="P8621" t="n">
        <v>0</v>
      </c>
      <c r="Q8621" t="n">
        <v>0</v>
      </c>
      <c r="R8621" s="2" t="inlineStr"/>
    </row>
    <row r="8622" ht="15" customHeight="1">
      <c r="A8622" t="inlineStr">
        <is>
          <t>A 375-2023</t>
        </is>
      </c>
      <c r="B8622" s="1" t="n">
        <v>44922</v>
      </c>
      <c r="C8622" s="1" t="n">
        <v>45810</v>
      </c>
      <c r="D8622" t="inlineStr">
        <is>
          <t>VÄRMLANDS LÄN</t>
        </is>
      </c>
      <c r="E8622" t="inlineStr">
        <is>
          <t>ARVIKA</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245-2023</t>
        </is>
      </c>
      <c r="B8623" s="1" t="n">
        <v>44922</v>
      </c>
      <c r="C8623" s="1" t="n">
        <v>45810</v>
      </c>
      <c r="D8623" t="inlineStr">
        <is>
          <t>VÄRMLANDS LÄN</t>
        </is>
      </c>
      <c r="E8623" t="inlineStr">
        <is>
          <t>ARVIKA</t>
        </is>
      </c>
      <c r="G8623" t="n">
        <v>6.4</v>
      </c>
      <c r="H8623" t="n">
        <v>0</v>
      </c>
      <c r="I8623" t="n">
        <v>0</v>
      </c>
      <c r="J8623" t="n">
        <v>0</v>
      </c>
      <c r="K8623" t="n">
        <v>0</v>
      </c>
      <c r="L8623" t="n">
        <v>0</v>
      </c>
      <c r="M8623" t="n">
        <v>0</v>
      </c>
      <c r="N8623" t="n">
        <v>0</v>
      </c>
      <c r="O8623" t="n">
        <v>0</v>
      </c>
      <c r="P8623" t="n">
        <v>0</v>
      </c>
      <c r="Q8623" t="n">
        <v>0</v>
      </c>
      <c r="R8623" s="2" t="inlineStr"/>
    </row>
    <row r="8624" ht="15" customHeight="1">
      <c r="A8624" t="inlineStr">
        <is>
          <t>A 382-2023</t>
        </is>
      </c>
      <c r="B8624" s="1" t="n">
        <v>44922</v>
      </c>
      <c r="C8624" s="1" t="n">
        <v>45810</v>
      </c>
      <c r="D8624" t="inlineStr">
        <is>
          <t>VÄRMLANDS LÄN</t>
        </is>
      </c>
      <c r="E8624" t="inlineStr">
        <is>
          <t>ARVIKA</t>
        </is>
      </c>
      <c r="G8624" t="n">
        <v>0.9</v>
      </c>
      <c r="H8624" t="n">
        <v>0</v>
      </c>
      <c r="I8624" t="n">
        <v>0</v>
      </c>
      <c r="J8624" t="n">
        <v>0</v>
      </c>
      <c r="K8624" t="n">
        <v>0</v>
      </c>
      <c r="L8624" t="n">
        <v>0</v>
      </c>
      <c r="M8624" t="n">
        <v>0</v>
      </c>
      <c r="N8624" t="n">
        <v>0</v>
      </c>
      <c r="O8624" t="n">
        <v>0</v>
      </c>
      <c r="P8624" t="n">
        <v>0</v>
      </c>
      <c r="Q8624" t="n">
        <v>0</v>
      </c>
      <c r="R8624" s="2" t="inlineStr"/>
    </row>
    <row r="8625" ht="15" customHeight="1">
      <c r="A8625" t="inlineStr">
        <is>
          <t>A 374-2023</t>
        </is>
      </c>
      <c r="B8625" s="1" t="n">
        <v>44922</v>
      </c>
      <c r="C8625" s="1" t="n">
        <v>45810</v>
      </c>
      <c r="D8625" t="inlineStr">
        <is>
          <t>VÄRMLANDS LÄN</t>
        </is>
      </c>
      <c r="E8625" t="inlineStr">
        <is>
          <t>ARVIKA</t>
        </is>
      </c>
      <c r="G8625" t="n">
        <v>1.5</v>
      </c>
      <c r="H8625" t="n">
        <v>0</v>
      </c>
      <c r="I8625" t="n">
        <v>0</v>
      </c>
      <c r="J8625" t="n">
        <v>0</v>
      </c>
      <c r="K8625" t="n">
        <v>0</v>
      </c>
      <c r="L8625" t="n">
        <v>0</v>
      </c>
      <c r="M8625" t="n">
        <v>0</v>
      </c>
      <c r="N8625" t="n">
        <v>0</v>
      </c>
      <c r="O8625" t="n">
        <v>0</v>
      </c>
      <c r="P8625" t="n">
        <v>0</v>
      </c>
      <c r="Q8625" t="n">
        <v>0</v>
      </c>
      <c r="R8625" s="2" t="inlineStr"/>
    </row>
    <row r="8626" ht="15" customHeight="1">
      <c r="A8626" t="inlineStr">
        <is>
          <t>A 379-2023</t>
        </is>
      </c>
      <c r="B8626" s="1" t="n">
        <v>44922</v>
      </c>
      <c r="C8626" s="1" t="n">
        <v>45810</v>
      </c>
      <c r="D8626" t="inlineStr">
        <is>
          <t>VÄRMLANDS LÄN</t>
        </is>
      </c>
      <c r="E8626" t="inlineStr">
        <is>
          <t>ARVIKA</t>
        </is>
      </c>
      <c r="G8626" t="n">
        <v>1.7</v>
      </c>
      <c r="H8626" t="n">
        <v>0</v>
      </c>
      <c r="I8626" t="n">
        <v>0</v>
      </c>
      <c r="J8626" t="n">
        <v>0</v>
      </c>
      <c r="K8626" t="n">
        <v>0</v>
      </c>
      <c r="L8626" t="n">
        <v>0</v>
      </c>
      <c r="M8626" t="n">
        <v>0</v>
      </c>
      <c r="N8626" t="n">
        <v>0</v>
      </c>
      <c r="O8626" t="n">
        <v>0</v>
      </c>
      <c r="P8626" t="n">
        <v>0</v>
      </c>
      <c r="Q8626" t="n">
        <v>0</v>
      </c>
      <c r="R8626" s="2" t="inlineStr"/>
    </row>
    <row r="8627" ht="15" customHeight="1">
      <c r="A8627" t="inlineStr">
        <is>
          <t>A 62301-2022</t>
        </is>
      </c>
      <c r="B8627" s="1" t="n">
        <v>44923</v>
      </c>
      <c r="C8627" s="1" t="n">
        <v>45810</v>
      </c>
      <c r="D8627" t="inlineStr">
        <is>
          <t>VÄRMLANDS LÄN</t>
        </is>
      </c>
      <c r="E8627" t="inlineStr">
        <is>
          <t>SUNNE</t>
        </is>
      </c>
      <c r="G8627" t="n">
        <v>3.3</v>
      </c>
      <c r="H8627" t="n">
        <v>0</v>
      </c>
      <c r="I8627" t="n">
        <v>0</v>
      </c>
      <c r="J8627" t="n">
        <v>0</v>
      </c>
      <c r="K8627" t="n">
        <v>0</v>
      </c>
      <c r="L8627" t="n">
        <v>0</v>
      </c>
      <c r="M8627" t="n">
        <v>0</v>
      </c>
      <c r="N8627" t="n">
        <v>0</v>
      </c>
      <c r="O8627" t="n">
        <v>0</v>
      </c>
      <c r="P8627" t="n">
        <v>0</v>
      </c>
      <c r="Q8627" t="n">
        <v>0</v>
      </c>
      <c r="R8627" s="2" t="inlineStr"/>
    </row>
    <row r="8628" ht="15" customHeight="1">
      <c r="A8628" t="inlineStr">
        <is>
          <t>A 62310-2022</t>
        </is>
      </c>
      <c r="B8628" s="1" t="n">
        <v>44923</v>
      </c>
      <c r="C8628" s="1" t="n">
        <v>45810</v>
      </c>
      <c r="D8628" t="inlineStr">
        <is>
          <t>VÄRMLANDS LÄN</t>
        </is>
      </c>
      <c r="E8628" t="inlineStr">
        <is>
          <t>ÅRJÄNG</t>
        </is>
      </c>
      <c r="G8628" t="n">
        <v>2.6</v>
      </c>
      <c r="H8628" t="n">
        <v>0</v>
      </c>
      <c r="I8628" t="n">
        <v>0</v>
      </c>
      <c r="J8628" t="n">
        <v>0</v>
      </c>
      <c r="K8628" t="n">
        <v>0</v>
      </c>
      <c r="L8628" t="n">
        <v>0</v>
      </c>
      <c r="M8628" t="n">
        <v>0</v>
      </c>
      <c r="N8628" t="n">
        <v>0</v>
      </c>
      <c r="O8628" t="n">
        <v>0</v>
      </c>
      <c r="P8628" t="n">
        <v>0</v>
      </c>
      <c r="Q8628" t="n">
        <v>0</v>
      </c>
      <c r="R8628" s="2" t="inlineStr"/>
    </row>
    <row r="8629" ht="15" customHeight="1">
      <c r="A8629" t="inlineStr">
        <is>
          <t>A 359-2023</t>
        </is>
      </c>
      <c r="B8629" s="1" t="n">
        <v>44923</v>
      </c>
      <c r="C8629" s="1" t="n">
        <v>45810</v>
      </c>
      <c r="D8629" t="inlineStr">
        <is>
          <t>VÄRMLANDS LÄN</t>
        </is>
      </c>
      <c r="E8629" t="inlineStr">
        <is>
          <t>KRISTINEHAMN</t>
        </is>
      </c>
      <c r="G8629" t="n">
        <v>1.5</v>
      </c>
      <c r="H8629" t="n">
        <v>0</v>
      </c>
      <c r="I8629" t="n">
        <v>0</v>
      </c>
      <c r="J8629" t="n">
        <v>0</v>
      </c>
      <c r="K8629" t="n">
        <v>0</v>
      </c>
      <c r="L8629" t="n">
        <v>0</v>
      </c>
      <c r="M8629" t="n">
        <v>0</v>
      </c>
      <c r="N8629" t="n">
        <v>0</v>
      </c>
      <c r="O8629" t="n">
        <v>0</v>
      </c>
      <c r="P8629" t="n">
        <v>0</v>
      </c>
      <c r="Q8629" t="n">
        <v>0</v>
      </c>
      <c r="R8629" s="2" t="inlineStr"/>
    </row>
    <row r="8630" ht="15" customHeight="1">
      <c r="A8630" t="inlineStr">
        <is>
          <t>A 355-2023</t>
        </is>
      </c>
      <c r="B8630" s="1" t="n">
        <v>44923</v>
      </c>
      <c r="C8630" s="1" t="n">
        <v>45810</v>
      </c>
      <c r="D8630" t="inlineStr">
        <is>
          <t>VÄRMLANDS LÄN</t>
        </is>
      </c>
      <c r="E8630" t="inlineStr">
        <is>
          <t>KARLSTAD</t>
        </is>
      </c>
      <c r="G8630" t="n">
        <v>7.3</v>
      </c>
      <c r="H8630" t="n">
        <v>0</v>
      </c>
      <c r="I8630" t="n">
        <v>0</v>
      </c>
      <c r="J8630" t="n">
        <v>0</v>
      </c>
      <c r="K8630" t="n">
        <v>0</v>
      </c>
      <c r="L8630" t="n">
        <v>0</v>
      </c>
      <c r="M8630" t="n">
        <v>0</v>
      </c>
      <c r="N8630" t="n">
        <v>0</v>
      </c>
      <c r="O8630" t="n">
        <v>0</v>
      </c>
      <c r="P8630" t="n">
        <v>0</v>
      </c>
      <c r="Q8630" t="n">
        <v>0</v>
      </c>
      <c r="R8630" s="2" t="inlineStr"/>
    </row>
    <row r="8631" ht="15" customHeight="1">
      <c r="A8631" t="inlineStr">
        <is>
          <t>A 345-2023</t>
        </is>
      </c>
      <c r="B8631" s="1" t="n">
        <v>44923</v>
      </c>
      <c r="C8631" s="1" t="n">
        <v>45810</v>
      </c>
      <c r="D8631" t="inlineStr">
        <is>
          <t>VÄRMLANDS LÄN</t>
        </is>
      </c>
      <c r="E8631" t="inlineStr">
        <is>
          <t>TORSBY</t>
        </is>
      </c>
      <c r="G8631" t="n">
        <v>9.4</v>
      </c>
      <c r="H8631" t="n">
        <v>0</v>
      </c>
      <c r="I8631" t="n">
        <v>0</v>
      </c>
      <c r="J8631" t="n">
        <v>0</v>
      </c>
      <c r="K8631" t="n">
        <v>0</v>
      </c>
      <c r="L8631" t="n">
        <v>0</v>
      </c>
      <c r="M8631" t="n">
        <v>0</v>
      </c>
      <c r="N8631" t="n">
        <v>0</v>
      </c>
      <c r="O8631" t="n">
        <v>0</v>
      </c>
      <c r="P8631" t="n">
        <v>0</v>
      </c>
      <c r="Q8631" t="n">
        <v>0</v>
      </c>
      <c r="R8631" s="2" t="inlineStr"/>
    </row>
    <row r="8632" ht="15" customHeight="1">
      <c r="A8632" t="inlineStr">
        <is>
          <t>A 363-2023</t>
        </is>
      </c>
      <c r="B8632" s="1" t="n">
        <v>44923</v>
      </c>
      <c r="C8632" s="1" t="n">
        <v>45810</v>
      </c>
      <c r="D8632" t="inlineStr">
        <is>
          <t>VÄRMLANDS LÄN</t>
        </is>
      </c>
      <c r="E8632" t="inlineStr">
        <is>
          <t>TORSBY</t>
        </is>
      </c>
      <c r="G8632" t="n">
        <v>6.9</v>
      </c>
      <c r="H8632" t="n">
        <v>0</v>
      </c>
      <c r="I8632" t="n">
        <v>0</v>
      </c>
      <c r="J8632" t="n">
        <v>0</v>
      </c>
      <c r="K8632" t="n">
        <v>0</v>
      </c>
      <c r="L8632" t="n">
        <v>0</v>
      </c>
      <c r="M8632" t="n">
        <v>0</v>
      </c>
      <c r="N8632" t="n">
        <v>0</v>
      </c>
      <c r="O8632" t="n">
        <v>0</v>
      </c>
      <c r="P8632" t="n">
        <v>0</v>
      </c>
      <c r="Q8632" t="n">
        <v>0</v>
      </c>
      <c r="R8632" s="2" t="inlineStr"/>
    </row>
    <row r="8633" ht="15" customHeight="1">
      <c r="A8633" t="inlineStr">
        <is>
          <t>A 62417-2022</t>
        </is>
      </c>
      <c r="B8633" s="1" t="n">
        <v>44924</v>
      </c>
      <c r="C8633" s="1" t="n">
        <v>45810</v>
      </c>
      <c r="D8633" t="inlineStr">
        <is>
          <t>VÄRMLANDS LÄN</t>
        </is>
      </c>
      <c r="E8633" t="inlineStr">
        <is>
          <t>ARVIKA</t>
        </is>
      </c>
      <c r="F8633" t="inlineStr">
        <is>
          <t>Bergvik skog väst AB</t>
        </is>
      </c>
      <c r="G8633" t="n">
        <v>0.9</v>
      </c>
      <c r="H8633" t="n">
        <v>0</v>
      </c>
      <c r="I8633" t="n">
        <v>0</v>
      </c>
      <c r="J8633" t="n">
        <v>0</v>
      </c>
      <c r="K8633" t="n">
        <v>0</v>
      </c>
      <c r="L8633" t="n">
        <v>0</v>
      </c>
      <c r="M8633" t="n">
        <v>0</v>
      </c>
      <c r="N8633" t="n">
        <v>0</v>
      </c>
      <c r="O8633" t="n">
        <v>0</v>
      </c>
      <c r="P8633" t="n">
        <v>0</v>
      </c>
      <c r="Q8633" t="n">
        <v>0</v>
      </c>
      <c r="R8633" s="2" t="inlineStr"/>
    </row>
    <row r="8634" ht="15" customHeight="1">
      <c r="A8634" t="inlineStr">
        <is>
          <t>A 62431-2022</t>
        </is>
      </c>
      <c r="B8634" s="1" t="n">
        <v>44924</v>
      </c>
      <c r="C8634" s="1" t="n">
        <v>45810</v>
      </c>
      <c r="D8634" t="inlineStr">
        <is>
          <t>VÄRMLANDS LÄN</t>
        </is>
      </c>
      <c r="E8634" t="inlineStr">
        <is>
          <t>ARVIKA</t>
        </is>
      </c>
      <c r="G8634" t="n">
        <v>0.6</v>
      </c>
      <c r="H8634" t="n">
        <v>0</v>
      </c>
      <c r="I8634" t="n">
        <v>0</v>
      </c>
      <c r="J8634" t="n">
        <v>0</v>
      </c>
      <c r="K8634" t="n">
        <v>0</v>
      </c>
      <c r="L8634" t="n">
        <v>0</v>
      </c>
      <c r="M8634" t="n">
        <v>0</v>
      </c>
      <c r="N8634" t="n">
        <v>0</v>
      </c>
      <c r="O8634" t="n">
        <v>0</v>
      </c>
      <c r="P8634" t="n">
        <v>0</v>
      </c>
      <c r="Q8634" t="n">
        <v>0</v>
      </c>
      <c r="R8634" s="2" t="inlineStr"/>
    </row>
    <row r="8635" ht="15" customHeight="1">
      <c r="A8635" t="inlineStr">
        <is>
          <t>A 62453-2022</t>
        </is>
      </c>
      <c r="B8635" s="1" t="n">
        <v>44924</v>
      </c>
      <c r="C8635" s="1" t="n">
        <v>45810</v>
      </c>
      <c r="D8635" t="inlineStr">
        <is>
          <t>VÄRMLANDS LÄN</t>
        </is>
      </c>
      <c r="E8635" t="inlineStr">
        <is>
          <t>KRISTINEHAMN</t>
        </is>
      </c>
      <c r="G8635" t="n">
        <v>4.3</v>
      </c>
      <c r="H8635" t="n">
        <v>0</v>
      </c>
      <c r="I8635" t="n">
        <v>0</v>
      </c>
      <c r="J8635" t="n">
        <v>0</v>
      </c>
      <c r="K8635" t="n">
        <v>0</v>
      </c>
      <c r="L8635" t="n">
        <v>0</v>
      </c>
      <c r="M8635" t="n">
        <v>0</v>
      </c>
      <c r="N8635" t="n">
        <v>0</v>
      </c>
      <c r="O8635" t="n">
        <v>0</v>
      </c>
      <c r="P8635" t="n">
        <v>0</v>
      </c>
      <c r="Q8635" t="n">
        <v>0</v>
      </c>
      <c r="R8635" s="2" t="inlineStr"/>
    </row>
    <row r="8636" ht="15" customHeight="1">
      <c r="A8636" t="inlineStr">
        <is>
          <t>A 62476-2022</t>
        </is>
      </c>
      <c r="B8636" s="1" t="n">
        <v>44924</v>
      </c>
      <c r="C8636" s="1" t="n">
        <v>45810</v>
      </c>
      <c r="D8636" t="inlineStr">
        <is>
          <t>VÄRMLANDS LÄN</t>
        </is>
      </c>
      <c r="E8636" t="inlineStr">
        <is>
          <t>ÅRJÄNG</t>
        </is>
      </c>
      <c r="G8636" t="n">
        <v>3</v>
      </c>
      <c r="H8636" t="n">
        <v>0</v>
      </c>
      <c r="I8636" t="n">
        <v>0</v>
      </c>
      <c r="J8636" t="n">
        <v>0</v>
      </c>
      <c r="K8636" t="n">
        <v>0</v>
      </c>
      <c r="L8636" t="n">
        <v>0</v>
      </c>
      <c r="M8636" t="n">
        <v>0</v>
      </c>
      <c r="N8636" t="n">
        <v>0</v>
      </c>
      <c r="O8636" t="n">
        <v>0</v>
      </c>
      <c r="P8636" t="n">
        <v>0</v>
      </c>
      <c r="Q8636" t="n">
        <v>0</v>
      </c>
      <c r="R8636" s="2" t="inlineStr"/>
    </row>
    <row r="8637" ht="15" customHeight="1">
      <c r="A8637" t="inlineStr">
        <is>
          <t>A 62485-2022</t>
        </is>
      </c>
      <c r="B8637" s="1" t="n">
        <v>44924</v>
      </c>
      <c r="C8637" s="1" t="n">
        <v>45810</v>
      </c>
      <c r="D8637" t="inlineStr">
        <is>
          <t>VÄRMLANDS LÄN</t>
        </is>
      </c>
      <c r="E8637" t="inlineStr">
        <is>
          <t>ARVIKA</t>
        </is>
      </c>
      <c r="F8637" t="inlineStr">
        <is>
          <t>Bergvik skog väst AB</t>
        </is>
      </c>
      <c r="G8637" t="n">
        <v>0.5</v>
      </c>
      <c r="H8637" t="n">
        <v>0</v>
      </c>
      <c r="I8637" t="n">
        <v>0</v>
      </c>
      <c r="J8637" t="n">
        <v>0</v>
      </c>
      <c r="K8637" t="n">
        <v>0</v>
      </c>
      <c r="L8637" t="n">
        <v>0</v>
      </c>
      <c r="M8637" t="n">
        <v>0</v>
      </c>
      <c r="N8637" t="n">
        <v>0</v>
      </c>
      <c r="O8637" t="n">
        <v>0</v>
      </c>
      <c r="P8637" t="n">
        <v>0</v>
      </c>
      <c r="Q8637" t="n">
        <v>0</v>
      </c>
      <c r="R8637" s="2" t="inlineStr"/>
    </row>
    <row r="8638" ht="15" customHeight="1">
      <c r="A8638" t="inlineStr">
        <is>
          <t>A 62546-2022</t>
        </is>
      </c>
      <c r="B8638" s="1" t="n">
        <v>44924</v>
      </c>
      <c r="C8638" s="1" t="n">
        <v>45810</v>
      </c>
      <c r="D8638" t="inlineStr">
        <is>
          <t>VÄRMLANDS LÄN</t>
        </is>
      </c>
      <c r="E8638" t="inlineStr">
        <is>
          <t>HAGFORS</t>
        </is>
      </c>
      <c r="F8638" t="inlineStr">
        <is>
          <t>Bergvik skog väst AB</t>
        </is>
      </c>
      <c r="G8638" t="n">
        <v>4.9</v>
      </c>
      <c r="H8638" t="n">
        <v>0</v>
      </c>
      <c r="I8638" t="n">
        <v>0</v>
      </c>
      <c r="J8638" t="n">
        <v>0</v>
      </c>
      <c r="K8638" t="n">
        <v>0</v>
      </c>
      <c r="L8638" t="n">
        <v>0</v>
      </c>
      <c r="M8638" t="n">
        <v>0</v>
      </c>
      <c r="N8638" t="n">
        <v>0</v>
      </c>
      <c r="O8638" t="n">
        <v>0</v>
      </c>
      <c r="P8638" t="n">
        <v>0</v>
      </c>
      <c r="Q8638" t="n">
        <v>0</v>
      </c>
      <c r="R8638" s="2" t="inlineStr"/>
    </row>
    <row r="8639" ht="15" customHeight="1">
      <c r="A8639" t="inlineStr">
        <is>
          <t>A 62557-2022</t>
        </is>
      </c>
      <c r="B8639" s="1" t="n">
        <v>44924</v>
      </c>
      <c r="C8639" s="1" t="n">
        <v>45810</v>
      </c>
      <c r="D8639" t="inlineStr">
        <is>
          <t>VÄRMLANDS LÄN</t>
        </is>
      </c>
      <c r="E8639" t="inlineStr">
        <is>
          <t>GRUMS</t>
        </is>
      </c>
      <c r="G8639" t="n">
        <v>0.8</v>
      </c>
      <c r="H8639" t="n">
        <v>0</v>
      </c>
      <c r="I8639" t="n">
        <v>0</v>
      </c>
      <c r="J8639" t="n">
        <v>0</v>
      </c>
      <c r="K8639" t="n">
        <v>0</v>
      </c>
      <c r="L8639" t="n">
        <v>0</v>
      </c>
      <c r="M8639" t="n">
        <v>0</v>
      </c>
      <c r="N8639" t="n">
        <v>0</v>
      </c>
      <c r="O8639" t="n">
        <v>0</v>
      </c>
      <c r="P8639" t="n">
        <v>0</v>
      </c>
      <c r="Q8639" t="n">
        <v>0</v>
      </c>
      <c r="R8639" s="2" t="inlineStr"/>
    </row>
    <row r="8640" ht="15" customHeight="1">
      <c r="A8640" t="inlineStr">
        <is>
          <t>A 62484-2022</t>
        </is>
      </c>
      <c r="B8640" s="1" t="n">
        <v>44924</v>
      </c>
      <c r="C8640" s="1" t="n">
        <v>45810</v>
      </c>
      <c r="D8640" t="inlineStr">
        <is>
          <t>VÄRMLANDS LÄN</t>
        </is>
      </c>
      <c r="E8640" t="inlineStr">
        <is>
          <t>SUNNE</t>
        </is>
      </c>
      <c r="F8640" t="inlineStr">
        <is>
          <t>Bergvik skog väst AB</t>
        </is>
      </c>
      <c r="G8640" t="n">
        <v>8.4</v>
      </c>
      <c r="H8640" t="n">
        <v>0</v>
      </c>
      <c r="I8640" t="n">
        <v>0</v>
      </c>
      <c r="J8640" t="n">
        <v>0</v>
      </c>
      <c r="K8640" t="n">
        <v>0</v>
      </c>
      <c r="L8640" t="n">
        <v>0</v>
      </c>
      <c r="M8640" t="n">
        <v>0</v>
      </c>
      <c r="N8640" t="n">
        <v>0</v>
      </c>
      <c r="O8640" t="n">
        <v>0</v>
      </c>
      <c r="P8640" t="n">
        <v>0</v>
      </c>
      <c r="Q8640" t="n">
        <v>0</v>
      </c>
      <c r="R8640" s="2" t="inlineStr"/>
    </row>
    <row r="8641" ht="15" customHeight="1">
      <c r="A8641" t="inlineStr">
        <is>
          <t>A 62428-2022</t>
        </is>
      </c>
      <c r="B8641" s="1" t="n">
        <v>44924</v>
      </c>
      <c r="C8641" s="1" t="n">
        <v>45810</v>
      </c>
      <c r="D8641" t="inlineStr">
        <is>
          <t>VÄRMLANDS LÄN</t>
        </is>
      </c>
      <c r="E8641" t="inlineStr">
        <is>
          <t>ARVIKA</t>
        </is>
      </c>
      <c r="G8641" t="n">
        <v>10</v>
      </c>
      <c r="H8641" t="n">
        <v>0</v>
      </c>
      <c r="I8641" t="n">
        <v>0</v>
      </c>
      <c r="J8641" t="n">
        <v>0</v>
      </c>
      <c r="K8641" t="n">
        <v>0</v>
      </c>
      <c r="L8641" t="n">
        <v>0</v>
      </c>
      <c r="M8641" t="n">
        <v>0</v>
      </c>
      <c r="N8641" t="n">
        <v>0</v>
      </c>
      <c r="O8641" t="n">
        <v>0</v>
      </c>
      <c r="P8641" t="n">
        <v>0</v>
      </c>
      <c r="Q8641" t="n">
        <v>0</v>
      </c>
      <c r="R8641" s="2" t="inlineStr"/>
    </row>
    <row r="8642" ht="15" customHeight="1">
      <c r="A8642" t="inlineStr">
        <is>
          <t>A 62466-2022</t>
        </is>
      </c>
      <c r="B8642" s="1" t="n">
        <v>44924</v>
      </c>
      <c r="C8642" s="1" t="n">
        <v>45810</v>
      </c>
      <c r="D8642" t="inlineStr">
        <is>
          <t>VÄRMLANDS LÄN</t>
        </is>
      </c>
      <c r="E8642" t="inlineStr">
        <is>
          <t>ARVIKA</t>
        </is>
      </c>
      <c r="G8642" t="n">
        <v>1.4</v>
      </c>
      <c r="H8642" t="n">
        <v>0</v>
      </c>
      <c r="I8642" t="n">
        <v>0</v>
      </c>
      <c r="J8642" t="n">
        <v>0</v>
      </c>
      <c r="K8642" t="n">
        <v>0</v>
      </c>
      <c r="L8642" t="n">
        <v>0</v>
      </c>
      <c r="M8642" t="n">
        <v>0</v>
      </c>
      <c r="N8642" t="n">
        <v>0</v>
      </c>
      <c r="O8642" t="n">
        <v>0</v>
      </c>
      <c r="P8642" t="n">
        <v>0</v>
      </c>
      <c r="Q8642" t="n">
        <v>0</v>
      </c>
      <c r="R8642" s="2" t="inlineStr"/>
    </row>
    <row r="8643" ht="15" customHeight="1">
      <c r="A8643" t="inlineStr">
        <is>
          <t>A 62555-2022</t>
        </is>
      </c>
      <c r="B8643" s="1" t="n">
        <v>44924</v>
      </c>
      <c r="C8643" s="1" t="n">
        <v>45810</v>
      </c>
      <c r="D8643" t="inlineStr">
        <is>
          <t>VÄRMLANDS LÄN</t>
        </is>
      </c>
      <c r="E8643" t="inlineStr">
        <is>
          <t>HAGFORS</t>
        </is>
      </c>
      <c r="F8643" t="inlineStr">
        <is>
          <t>Bergvik skog väst AB</t>
        </is>
      </c>
      <c r="G8643" t="n">
        <v>1.3</v>
      </c>
      <c r="H8643" t="n">
        <v>0</v>
      </c>
      <c r="I8643" t="n">
        <v>0</v>
      </c>
      <c r="J8643" t="n">
        <v>0</v>
      </c>
      <c r="K8643" t="n">
        <v>0</v>
      </c>
      <c r="L8643" t="n">
        <v>0</v>
      </c>
      <c r="M8643" t="n">
        <v>0</v>
      </c>
      <c r="N8643" t="n">
        <v>0</v>
      </c>
      <c r="O8643" t="n">
        <v>0</v>
      </c>
      <c r="P8643" t="n">
        <v>0</v>
      </c>
      <c r="Q8643" t="n">
        <v>0</v>
      </c>
      <c r="R8643" s="2" t="inlineStr"/>
    </row>
    <row r="8644" ht="15" customHeight="1">
      <c r="A8644" t="inlineStr">
        <is>
          <t>A 62497-2022</t>
        </is>
      </c>
      <c r="B8644" s="1" t="n">
        <v>44924</v>
      </c>
      <c r="C8644" s="1" t="n">
        <v>45810</v>
      </c>
      <c r="D8644" t="inlineStr">
        <is>
          <t>VÄRMLANDS LÄN</t>
        </is>
      </c>
      <c r="E8644" t="inlineStr">
        <is>
          <t>HAGFORS</t>
        </is>
      </c>
      <c r="F8644" t="inlineStr">
        <is>
          <t>Bergvik skog väst AB</t>
        </is>
      </c>
      <c r="G8644" t="n">
        <v>1.6</v>
      </c>
      <c r="H8644" t="n">
        <v>0</v>
      </c>
      <c r="I8644" t="n">
        <v>0</v>
      </c>
      <c r="J8644" t="n">
        <v>0</v>
      </c>
      <c r="K8644" t="n">
        <v>0</v>
      </c>
      <c r="L8644" t="n">
        <v>0</v>
      </c>
      <c r="M8644" t="n">
        <v>0</v>
      </c>
      <c r="N8644" t="n">
        <v>0</v>
      </c>
      <c r="O8644" t="n">
        <v>0</v>
      </c>
      <c r="P8644" t="n">
        <v>0</v>
      </c>
      <c r="Q8644" t="n">
        <v>0</v>
      </c>
      <c r="R8644" s="2" t="inlineStr"/>
    </row>
    <row r="8645" ht="15" customHeight="1">
      <c r="A8645" t="inlineStr">
        <is>
          <t>A 62550-2022</t>
        </is>
      </c>
      <c r="B8645" s="1" t="n">
        <v>44924</v>
      </c>
      <c r="C8645" s="1" t="n">
        <v>45810</v>
      </c>
      <c r="D8645" t="inlineStr">
        <is>
          <t>VÄRMLANDS LÄN</t>
        </is>
      </c>
      <c r="E8645" t="inlineStr">
        <is>
          <t>SÄFFLE</t>
        </is>
      </c>
      <c r="G8645" t="n">
        <v>0.7</v>
      </c>
      <c r="H8645" t="n">
        <v>0</v>
      </c>
      <c r="I8645" t="n">
        <v>0</v>
      </c>
      <c r="J8645" t="n">
        <v>0</v>
      </c>
      <c r="K8645" t="n">
        <v>0</v>
      </c>
      <c r="L8645" t="n">
        <v>0</v>
      </c>
      <c r="M8645" t="n">
        <v>0</v>
      </c>
      <c r="N8645" t="n">
        <v>0</v>
      </c>
      <c r="O8645" t="n">
        <v>0</v>
      </c>
      <c r="P8645" t="n">
        <v>0</v>
      </c>
      <c r="Q8645" t="n">
        <v>0</v>
      </c>
      <c r="R8645" s="2" t="inlineStr"/>
    </row>
    <row r="8646" ht="15" customHeight="1">
      <c r="A8646" t="inlineStr">
        <is>
          <t>A 62554-2022</t>
        </is>
      </c>
      <c r="B8646" s="1" t="n">
        <v>44924</v>
      </c>
      <c r="C8646" s="1" t="n">
        <v>45810</v>
      </c>
      <c r="D8646" t="inlineStr">
        <is>
          <t>VÄRMLANDS LÄN</t>
        </is>
      </c>
      <c r="E8646" t="inlineStr">
        <is>
          <t>GRUMS</t>
        </is>
      </c>
      <c r="G8646" t="n">
        <v>0.6</v>
      </c>
      <c r="H8646" t="n">
        <v>0</v>
      </c>
      <c r="I8646" t="n">
        <v>0</v>
      </c>
      <c r="J8646" t="n">
        <v>0</v>
      </c>
      <c r="K8646" t="n">
        <v>0</v>
      </c>
      <c r="L8646" t="n">
        <v>0</v>
      </c>
      <c r="M8646" t="n">
        <v>0</v>
      </c>
      <c r="N8646" t="n">
        <v>0</v>
      </c>
      <c r="O8646" t="n">
        <v>0</v>
      </c>
      <c r="P8646" t="n">
        <v>0</v>
      </c>
      <c r="Q8646" t="n">
        <v>0</v>
      </c>
      <c r="R8646" s="2" t="inlineStr"/>
    </row>
    <row r="8647" ht="15" customHeight="1">
      <c r="A8647" t="inlineStr">
        <is>
          <t>A 62574-2022</t>
        </is>
      </c>
      <c r="B8647" s="1" t="n">
        <v>44924</v>
      </c>
      <c r="C8647" s="1" t="n">
        <v>45810</v>
      </c>
      <c r="D8647" t="inlineStr">
        <is>
          <t>VÄRMLANDS LÄN</t>
        </is>
      </c>
      <c r="E8647" t="inlineStr">
        <is>
          <t>TORSBY</t>
        </is>
      </c>
      <c r="G8647" t="n">
        <v>3.2</v>
      </c>
      <c r="H8647" t="n">
        <v>0</v>
      </c>
      <c r="I8647" t="n">
        <v>0</v>
      </c>
      <c r="J8647" t="n">
        <v>0</v>
      </c>
      <c r="K8647" t="n">
        <v>0</v>
      </c>
      <c r="L8647" t="n">
        <v>0</v>
      </c>
      <c r="M8647" t="n">
        <v>0</v>
      </c>
      <c r="N8647" t="n">
        <v>0</v>
      </c>
      <c r="O8647" t="n">
        <v>0</v>
      </c>
      <c r="P8647" t="n">
        <v>0</v>
      </c>
      <c r="Q8647" t="n">
        <v>0</v>
      </c>
      <c r="R8647" s="2" t="inlineStr"/>
    </row>
    <row r="8648" ht="15" customHeight="1">
      <c r="A8648" t="inlineStr">
        <is>
          <t>A 62611-2022</t>
        </is>
      </c>
      <c r="B8648" s="1" t="n">
        <v>44925</v>
      </c>
      <c r="C8648" s="1" t="n">
        <v>45810</v>
      </c>
      <c r="D8648" t="inlineStr">
        <is>
          <t>VÄRMLANDS LÄN</t>
        </is>
      </c>
      <c r="E8648" t="inlineStr">
        <is>
          <t>EDA</t>
        </is>
      </c>
      <c r="G8648" t="n">
        <v>1.6</v>
      </c>
      <c r="H8648" t="n">
        <v>0</v>
      </c>
      <c r="I8648" t="n">
        <v>0</v>
      </c>
      <c r="J8648" t="n">
        <v>0</v>
      </c>
      <c r="K8648" t="n">
        <v>0</v>
      </c>
      <c r="L8648" t="n">
        <v>0</v>
      </c>
      <c r="M8648" t="n">
        <v>0</v>
      </c>
      <c r="N8648" t="n">
        <v>0</v>
      </c>
      <c r="O8648" t="n">
        <v>0</v>
      </c>
      <c r="P8648" t="n">
        <v>0</v>
      </c>
      <c r="Q8648" t="n">
        <v>0</v>
      </c>
      <c r="R8648" s="2" t="inlineStr"/>
    </row>
    <row r="8649" ht="15" customHeight="1">
      <c r="A8649" t="inlineStr">
        <is>
          <t>A 62660-2022</t>
        </is>
      </c>
      <c r="B8649" s="1" t="n">
        <v>44925</v>
      </c>
      <c r="C8649" s="1" t="n">
        <v>45810</v>
      </c>
      <c r="D8649" t="inlineStr">
        <is>
          <t>VÄRMLANDS LÄN</t>
        </is>
      </c>
      <c r="E8649" t="inlineStr">
        <is>
          <t>EDA</t>
        </is>
      </c>
      <c r="G8649" t="n">
        <v>0.7</v>
      </c>
      <c r="H8649" t="n">
        <v>0</v>
      </c>
      <c r="I8649" t="n">
        <v>0</v>
      </c>
      <c r="J8649" t="n">
        <v>0</v>
      </c>
      <c r="K8649" t="n">
        <v>0</v>
      </c>
      <c r="L8649" t="n">
        <v>0</v>
      </c>
      <c r="M8649" t="n">
        <v>0</v>
      </c>
      <c r="N8649" t="n">
        <v>0</v>
      </c>
      <c r="O8649" t="n">
        <v>0</v>
      </c>
      <c r="P8649" t="n">
        <v>0</v>
      </c>
      <c r="Q8649" t="n">
        <v>0</v>
      </c>
      <c r="R8649" s="2" t="inlineStr"/>
    </row>
    <row r="8650" ht="15" customHeight="1">
      <c r="A8650" t="inlineStr">
        <is>
          <t>A 62661-2022</t>
        </is>
      </c>
      <c r="B8650" s="1" t="n">
        <v>44925</v>
      </c>
      <c r="C8650" s="1" t="n">
        <v>45810</v>
      </c>
      <c r="D8650" t="inlineStr">
        <is>
          <t>VÄRMLANDS LÄN</t>
        </is>
      </c>
      <c r="E8650" t="inlineStr">
        <is>
          <t>EDA</t>
        </is>
      </c>
      <c r="G8650" t="n">
        <v>3</v>
      </c>
      <c r="H8650" t="n">
        <v>0</v>
      </c>
      <c r="I8650" t="n">
        <v>0</v>
      </c>
      <c r="J8650" t="n">
        <v>0</v>
      </c>
      <c r="K8650" t="n">
        <v>0</v>
      </c>
      <c r="L8650" t="n">
        <v>0</v>
      </c>
      <c r="M8650" t="n">
        <v>0</v>
      </c>
      <c r="N8650" t="n">
        <v>0</v>
      </c>
      <c r="O8650" t="n">
        <v>0</v>
      </c>
      <c r="P8650" t="n">
        <v>0</v>
      </c>
      <c r="Q8650" t="n">
        <v>0</v>
      </c>
      <c r="R8650" s="2" t="inlineStr"/>
    </row>
    <row r="8651" ht="15" customHeight="1">
      <c r="A8651" t="inlineStr">
        <is>
          <t>A 2-2023</t>
        </is>
      </c>
      <c r="B8651" s="1" t="n">
        <v>44927</v>
      </c>
      <c r="C8651" s="1" t="n">
        <v>45810</v>
      </c>
      <c r="D8651" t="inlineStr">
        <is>
          <t>VÄRMLANDS LÄN</t>
        </is>
      </c>
      <c r="E8651" t="inlineStr">
        <is>
          <t>KIL</t>
        </is>
      </c>
      <c r="G8651" t="n">
        <v>1.3</v>
      </c>
      <c r="H8651" t="n">
        <v>0</v>
      </c>
      <c r="I8651" t="n">
        <v>0</v>
      </c>
      <c r="J8651" t="n">
        <v>0</v>
      </c>
      <c r="K8651" t="n">
        <v>0</v>
      </c>
      <c r="L8651" t="n">
        <v>0</v>
      </c>
      <c r="M8651" t="n">
        <v>0</v>
      </c>
      <c r="N8651" t="n">
        <v>0</v>
      </c>
      <c r="O8651" t="n">
        <v>0</v>
      </c>
      <c r="P8651" t="n">
        <v>0</v>
      </c>
      <c r="Q8651" t="n">
        <v>0</v>
      </c>
      <c r="R8651" s="2" t="inlineStr"/>
    </row>
    <row r="8652" ht="15" customHeight="1">
      <c r="A8652" t="inlineStr">
        <is>
          <t>A 3-2023</t>
        </is>
      </c>
      <c r="B8652" s="1" t="n">
        <v>44927</v>
      </c>
      <c r="C8652" s="1" t="n">
        <v>45810</v>
      </c>
      <c r="D8652" t="inlineStr">
        <is>
          <t>VÄRMLANDS LÄN</t>
        </is>
      </c>
      <c r="E8652" t="inlineStr">
        <is>
          <t>KIL</t>
        </is>
      </c>
      <c r="G8652" t="n">
        <v>0.5</v>
      </c>
      <c r="H8652" t="n">
        <v>0</v>
      </c>
      <c r="I8652" t="n">
        <v>0</v>
      </c>
      <c r="J8652" t="n">
        <v>0</v>
      </c>
      <c r="K8652" t="n">
        <v>0</v>
      </c>
      <c r="L8652" t="n">
        <v>0</v>
      </c>
      <c r="M8652" t="n">
        <v>0</v>
      </c>
      <c r="N8652" t="n">
        <v>0</v>
      </c>
      <c r="O8652" t="n">
        <v>0</v>
      </c>
      <c r="P8652" t="n">
        <v>0</v>
      </c>
      <c r="Q8652" t="n">
        <v>0</v>
      </c>
      <c r="R8652" s="2" t="inlineStr"/>
    </row>
    <row r="8653" ht="15" customHeight="1">
      <c r="A8653" t="inlineStr">
        <is>
          <t>A 126-2023</t>
        </is>
      </c>
      <c r="B8653" s="1" t="n">
        <v>44928</v>
      </c>
      <c r="C8653" s="1" t="n">
        <v>45810</v>
      </c>
      <c r="D8653" t="inlineStr">
        <is>
          <t>VÄRMLANDS LÄN</t>
        </is>
      </c>
      <c r="E8653" t="inlineStr">
        <is>
          <t>KARLSTAD</t>
        </is>
      </c>
      <c r="G8653" t="n">
        <v>2.9</v>
      </c>
      <c r="H8653" t="n">
        <v>0</v>
      </c>
      <c r="I8653" t="n">
        <v>0</v>
      </c>
      <c r="J8653" t="n">
        <v>0</v>
      </c>
      <c r="K8653" t="n">
        <v>0</v>
      </c>
      <c r="L8653" t="n">
        <v>0</v>
      </c>
      <c r="M8653" t="n">
        <v>0</v>
      </c>
      <c r="N8653" t="n">
        <v>0</v>
      </c>
      <c r="O8653" t="n">
        <v>0</v>
      </c>
      <c r="P8653" t="n">
        <v>0</v>
      </c>
      <c r="Q8653" t="n">
        <v>0</v>
      </c>
      <c r="R8653" s="2" t="inlineStr"/>
    </row>
    <row r="8654" ht="15" customHeight="1">
      <c r="A8654" t="inlineStr">
        <is>
          <t>A 209-2023</t>
        </is>
      </c>
      <c r="B8654" s="1" t="n">
        <v>44928</v>
      </c>
      <c r="C8654" s="1" t="n">
        <v>45810</v>
      </c>
      <c r="D8654" t="inlineStr">
        <is>
          <t>VÄRMLANDS LÄN</t>
        </is>
      </c>
      <c r="E8654" t="inlineStr">
        <is>
          <t>ARVIKA</t>
        </is>
      </c>
      <c r="G8654" t="n">
        <v>1.5</v>
      </c>
      <c r="H8654" t="n">
        <v>0</v>
      </c>
      <c r="I8654" t="n">
        <v>0</v>
      </c>
      <c r="J8654" t="n">
        <v>0</v>
      </c>
      <c r="K8654" t="n">
        <v>0</v>
      </c>
      <c r="L8654" t="n">
        <v>0</v>
      </c>
      <c r="M8654" t="n">
        <v>0</v>
      </c>
      <c r="N8654" t="n">
        <v>0</v>
      </c>
      <c r="O8654" t="n">
        <v>0</v>
      </c>
      <c r="P8654" t="n">
        <v>0</v>
      </c>
      <c r="Q8654" t="n">
        <v>0</v>
      </c>
      <c r="R8654" s="2" t="inlineStr"/>
    </row>
    <row r="8655" ht="15" customHeight="1">
      <c r="A8655" t="inlineStr">
        <is>
          <t>A 53-2023</t>
        </is>
      </c>
      <c r="B8655" s="1" t="n">
        <v>44928</v>
      </c>
      <c r="C8655" s="1" t="n">
        <v>45810</v>
      </c>
      <c r="D8655" t="inlineStr">
        <is>
          <t>VÄRMLANDS LÄN</t>
        </is>
      </c>
      <c r="E8655" t="inlineStr">
        <is>
          <t>SUNNE</t>
        </is>
      </c>
      <c r="G8655" t="n">
        <v>1.5</v>
      </c>
      <c r="H8655" t="n">
        <v>0</v>
      </c>
      <c r="I8655" t="n">
        <v>0</v>
      </c>
      <c r="J8655" t="n">
        <v>0</v>
      </c>
      <c r="K8655" t="n">
        <v>0</v>
      </c>
      <c r="L8655" t="n">
        <v>0</v>
      </c>
      <c r="M8655" t="n">
        <v>0</v>
      </c>
      <c r="N8655" t="n">
        <v>0</v>
      </c>
      <c r="O8655" t="n">
        <v>0</v>
      </c>
      <c r="P8655" t="n">
        <v>0</v>
      </c>
      <c r="Q8655" t="n">
        <v>0</v>
      </c>
      <c r="R8655" s="2" t="inlineStr"/>
    </row>
    <row r="8656" ht="15" customHeight="1">
      <c r="A8656" t="inlineStr">
        <is>
          <t>A 261-2023</t>
        </is>
      </c>
      <c r="B8656" s="1" t="n">
        <v>44928</v>
      </c>
      <c r="C8656" s="1" t="n">
        <v>45810</v>
      </c>
      <c r="D8656" t="inlineStr">
        <is>
          <t>VÄRMLANDS LÄN</t>
        </is>
      </c>
      <c r="E8656" t="inlineStr">
        <is>
          <t>SUNNE</t>
        </is>
      </c>
      <c r="G8656" t="n">
        <v>1</v>
      </c>
      <c r="H8656" t="n">
        <v>0</v>
      </c>
      <c r="I8656" t="n">
        <v>0</v>
      </c>
      <c r="J8656" t="n">
        <v>0</v>
      </c>
      <c r="K8656" t="n">
        <v>0</v>
      </c>
      <c r="L8656" t="n">
        <v>0</v>
      </c>
      <c r="M8656" t="n">
        <v>0</v>
      </c>
      <c r="N8656" t="n">
        <v>0</v>
      </c>
      <c r="O8656" t="n">
        <v>0</v>
      </c>
      <c r="P8656" t="n">
        <v>0</v>
      </c>
      <c r="Q8656" t="n">
        <v>0</v>
      </c>
      <c r="R8656" s="2" t="inlineStr"/>
    </row>
    <row r="8657" ht="15" customHeight="1">
      <c r="A8657" t="inlineStr">
        <is>
          <t>A 127-2023</t>
        </is>
      </c>
      <c r="B8657" s="1" t="n">
        <v>44928</v>
      </c>
      <c r="C8657" s="1" t="n">
        <v>45810</v>
      </c>
      <c r="D8657" t="inlineStr">
        <is>
          <t>VÄRMLANDS LÄN</t>
        </is>
      </c>
      <c r="E8657" t="inlineStr">
        <is>
          <t>MUNKFORS</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262-2023</t>
        </is>
      </c>
      <c r="B8658" s="1" t="n">
        <v>44928</v>
      </c>
      <c r="C8658" s="1" t="n">
        <v>45810</v>
      </c>
      <c r="D8658" t="inlineStr">
        <is>
          <t>VÄRMLANDS LÄN</t>
        </is>
      </c>
      <c r="E8658" t="inlineStr">
        <is>
          <t>SUNNE</t>
        </is>
      </c>
      <c r="G8658" t="n">
        <v>4.2</v>
      </c>
      <c r="H8658" t="n">
        <v>0</v>
      </c>
      <c r="I8658" t="n">
        <v>0</v>
      </c>
      <c r="J8658" t="n">
        <v>0</v>
      </c>
      <c r="K8658" t="n">
        <v>0</v>
      </c>
      <c r="L8658" t="n">
        <v>0</v>
      </c>
      <c r="M8658" t="n">
        <v>0</v>
      </c>
      <c r="N8658" t="n">
        <v>0</v>
      </c>
      <c r="O8658" t="n">
        <v>0</v>
      </c>
      <c r="P8658" t="n">
        <v>0</v>
      </c>
      <c r="Q8658" t="n">
        <v>0</v>
      </c>
      <c r="R8658" s="2" t="inlineStr"/>
    </row>
    <row r="8659" ht="15" customHeight="1">
      <c r="A8659" t="inlineStr">
        <is>
          <t>A 74-2023</t>
        </is>
      </c>
      <c r="B8659" s="1" t="n">
        <v>44928</v>
      </c>
      <c r="C8659" s="1" t="n">
        <v>45810</v>
      </c>
      <c r="D8659" t="inlineStr">
        <is>
          <t>VÄRMLANDS LÄN</t>
        </is>
      </c>
      <c r="E8659" t="inlineStr">
        <is>
          <t>ÅRJÄNG</t>
        </is>
      </c>
      <c r="G8659" t="n">
        <v>4.9</v>
      </c>
      <c r="H8659" t="n">
        <v>0</v>
      </c>
      <c r="I8659" t="n">
        <v>0</v>
      </c>
      <c r="J8659" t="n">
        <v>0</v>
      </c>
      <c r="K8659" t="n">
        <v>0</v>
      </c>
      <c r="L8659" t="n">
        <v>0</v>
      </c>
      <c r="M8659" t="n">
        <v>0</v>
      </c>
      <c r="N8659" t="n">
        <v>0</v>
      </c>
      <c r="O8659" t="n">
        <v>0</v>
      </c>
      <c r="P8659" t="n">
        <v>0</v>
      </c>
      <c r="Q8659" t="n">
        <v>0</v>
      </c>
      <c r="R8659" s="2" t="inlineStr"/>
    </row>
    <row r="8660" ht="15" customHeight="1">
      <c r="A8660" t="inlineStr">
        <is>
          <t>A 83-2023</t>
        </is>
      </c>
      <c r="B8660" s="1" t="n">
        <v>44928</v>
      </c>
      <c r="C8660" s="1" t="n">
        <v>45810</v>
      </c>
      <c r="D8660" t="inlineStr">
        <is>
          <t>VÄRMLANDS LÄN</t>
        </is>
      </c>
      <c r="E8660" t="inlineStr">
        <is>
          <t>ÅRJÄNG</t>
        </is>
      </c>
      <c r="G8660" t="n">
        <v>1.4</v>
      </c>
      <c r="H8660" t="n">
        <v>0</v>
      </c>
      <c r="I8660" t="n">
        <v>0</v>
      </c>
      <c r="J8660" t="n">
        <v>0</v>
      </c>
      <c r="K8660" t="n">
        <v>0</v>
      </c>
      <c r="L8660" t="n">
        <v>0</v>
      </c>
      <c r="M8660" t="n">
        <v>0</v>
      </c>
      <c r="N8660" t="n">
        <v>0</v>
      </c>
      <c r="O8660" t="n">
        <v>0</v>
      </c>
      <c r="P8660" t="n">
        <v>0</v>
      </c>
      <c r="Q8660" t="n">
        <v>0</v>
      </c>
      <c r="R8660" s="2" t="inlineStr"/>
    </row>
    <row r="8661" ht="15" customHeight="1">
      <c r="A8661" t="inlineStr">
        <is>
          <t>A 125-2023</t>
        </is>
      </c>
      <c r="B8661" s="1" t="n">
        <v>44928</v>
      </c>
      <c r="C8661" s="1" t="n">
        <v>45810</v>
      </c>
      <c r="D8661" t="inlineStr">
        <is>
          <t>VÄRMLANDS LÄN</t>
        </is>
      </c>
      <c r="E8661" t="inlineStr">
        <is>
          <t>EDA</t>
        </is>
      </c>
      <c r="G8661" t="n">
        <v>0.7</v>
      </c>
      <c r="H8661" t="n">
        <v>0</v>
      </c>
      <c r="I8661" t="n">
        <v>0</v>
      </c>
      <c r="J8661" t="n">
        <v>0</v>
      </c>
      <c r="K8661" t="n">
        <v>0</v>
      </c>
      <c r="L8661" t="n">
        <v>0</v>
      </c>
      <c r="M8661" t="n">
        <v>0</v>
      </c>
      <c r="N8661" t="n">
        <v>0</v>
      </c>
      <c r="O8661" t="n">
        <v>0</v>
      </c>
      <c r="P8661" t="n">
        <v>0</v>
      </c>
      <c r="Q8661" t="n">
        <v>0</v>
      </c>
      <c r="R8661" s="2" t="inlineStr"/>
    </row>
    <row r="8662" ht="15" customHeight="1">
      <c r="A8662" t="inlineStr">
        <is>
          <t>A 157-2023</t>
        </is>
      </c>
      <c r="B8662" s="1" t="n">
        <v>44928</v>
      </c>
      <c r="C8662" s="1" t="n">
        <v>45810</v>
      </c>
      <c r="D8662" t="inlineStr">
        <is>
          <t>VÄRMLANDS LÄN</t>
        </is>
      </c>
      <c r="E8662" t="inlineStr">
        <is>
          <t>HAGFORS</t>
        </is>
      </c>
      <c r="F8662" t="inlineStr">
        <is>
          <t>Bergvik skog väst AB</t>
        </is>
      </c>
      <c r="G8662" t="n">
        <v>63.2</v>
      </c>
      <c r="H8662" t="n">
        <v>0</v>
      </c>
      <c r="I8662" t="n">
        <v>0</v>
      </c>
      <c r="J8662" t="n">
        <v>0</v>
      </c>
      <c r="K8662" t="n">
        <v>0</v>
      </c>
      <c r="L8662" t="n">
        <v>0</v>
      </c>
      <c r="M8662" t="n">
        <v>0</v>
      </c>
      <c r="N8662" t="n">
        <v>0</v>
      </c>
      <c r="O8662" t="n">
        <v>0</v>
      </c>
      <c r="P8662" t="n">
        <v>0</v>
      </c>
      <c r="Q8662" t="n">
        <v>0</v>
      </c>
      <c r="R8662" s="2" t="inlineStr"/>
    </row>
    <row r="8663" ht="15" customHeight="1">
      <c r="A8663" t="inlineStr">
        <is>
          <t>A 222-2023</t>
        </is>
      </c>
      <c r="B8663" s="1" t="n">
        <v>44928</v>
      </c>
      <c r="C8663" s="1" t="n">
        <v>45810</v>
      </c>
      <c r="D8663" t="inlineStr">
        <is>
          <t>VÄRMLANDS LÄN</t>
        </is>
      </c>
      <c r="E8663" t="inlineStr">
        <is>
          <t>ARVIKA</t>
        </is>
      </c>
      <c r="G8663" t="n">
        <v>2.3</v>
      </c>
      <c r="H8663" t="n">
        <v>0</v>
      </c>
      <c r="I8663" t="n">
        <v>0</v>
      </c>
      <c r="J8663" t="n">
        <v>0</v>
      </c>
      <c r="K8663" t="n">
        <v>0</v>
      </c>
      <c r="L8663" t="n">
        <v>0</v>
      </c>
      <c r="M8663" t="n">
        <v>0</v>
      </c>
      <c r="N8663" t="n">
        <v>0</v>
      </c>
      <c r="O8663" t="n">
        <v>0</v>
      </c>
      <c r="P8663" t="n">
        <v>0</v>
      </c>
      <c r="Q8663" t="n">
        <v>0</v>
      </c>
      <c r="R8663" s="2" t="inlineStr"/>
    </row>
    <row r="8664" ht="15" customHeight="1">
      <c r="A8664" t="inlineStr">
        <is>
          <t>A 260-2023</t>
        </is>
      </c>
      <c r="B8664" s="1" t="n">
        <v>44928</v>
      </c>
      <c r="C8664" s="1" t="n">
        <v>45810</v>
      </c>
      <c r="D8664" t="inlineStr">
        <is>
          <t>VÄRMLANDS LÄN</t>
        </is>
      </c>
      <c r="E8664" t="inlineStr">
        <is>
          <t>SUNNE</t>
        </is>
      </c>
      <c r="G8664" t="n">
        <v>16.1</v>
      </c>
      <c r="H8664" t="n">
        <v>0</v>
      </c>
      <c r="I8664" t="n">
        <v>0</v>
      </c>
      <c r="J8664" t="n">
        <v>0</v>
      </c>
      <c r="K8664" t="n">
        <v>0</v>
      </c>
      <c r="L8664" t="n">
        <v>0</v>
      </c>
      <c r="M8664" t="n">
        <v>0</v>
      </c>
      <c r="N8664" t="n">
        <v>0</v>
      </c>
      <c r="O8664" t="n">
        <v>0</v>
      </c>
      <c r="P8664" t="n">
        <v>0</v>
      </c>
      <c r="Q8664" t="n">
        <v>0</v>
      </c>
      <c r="R8664" s="2" t="inlineStr"/>
    </row>
    <row r="8665" ht="15" customHeight="1">
      <c r="A8665" t="inlineStr">
        <is>
          <t>A 269-2023</t>
        </is>
      </c>
      <c r="B8665" s="1" t="n">
        <v>44928</v>
      </c>
      <c r="C8665" s="1" t="n">
        <v>45810</v>
      </c>
      <c r="D8665" t="inlineStr">
        <is>
          <t>VÄRMLANDS LÄN</t>
        </is>
      </c>
      <c r="E8665" t="inlineStr">
        <is>
          <t>ÅRJÄNG</t>
        </is>
      </c>
      <c r="G8665" t="n">
        <v>1</v>
      </c>
      <c r="H8665" t="n">
        <v>0</v>
      </c>
      <c r="I8665" t="n">
        <v>0</v>
      </c>
      <c r="J8665" t="n">
        <v>0</v>
      </c>
      <c r="K8665" t="n">
        <v>0</v>
      </c>
      <c r="L8665" t="n">
        <v>0</v>
      </c>
      <c r="M8665" t="n">
        <v>0</v>
      </c>
      <c r="N8665" t="n">
        <v>0</v>
      </c>
      <c r="O8665" t="n">
        <v>0</v>
      </c>
      <c r="P8665" t="n">
        <v>0</v>
      </c>
      <c r="Q8665" t="n">
        <v>0</v>
      </c>
      <c r="R8665" s="2" t="inlineStr"/>
    </row>
    <row r="8666" ht="15" customHeight="1">
      <c r="A8666" t="inlineStr">
        <is>
          <t>A 268-2023</t>
        </is>
      </c>
      <c r="B8666" s="1" t="n">
        <v>44928</v>
      </c>
      <c r="C8666" s="1" t="n">
        <v>45810</v>
      </c>
      <c r="D8666" t="inlineStr">
        <is>
          <t>VÄRMLANDS LÄN</t>
        </is>
      </c>
      <c r="E8666" t="inlineStr">
        <is>
          <t>ÅRJÄNG</t>
        </is>
      </c>
      <c r="G8666" t="n">
        <v>1</v>
      </c>
      <c r="H8666" t="n">
        <v>0</v>
      </c>
      <c r="I8666" t="n">
        <v>0</v>
      </c>
      <c r="J8666" t="n">
        <v>0</v>
      </c>
      <c r="K8666" t="n">
        <v>0</v>
      </c>
      <c r="L8666" t="n">
        <v>0</v>
      </c>
      <c r="M8666" t="n">
        <v>0</v>
      </c>
      <c r="N8666" t="n">
        <v>0</v>
      </c>
      <c r="O8666" t="n">
        <v>0</v>
      </c>
      <c r="P8666" t="n">
        <v>0</v>
      </c>
      <c r="Q8666" t="n">
        <v>0</v>
      </c>
      <c r="R8666" s="2" t="inlineStr"/>
    </row>
    <row r="8667" ht="15" customHeight="1">
      <c r="A8667" t="inlineStr">
        <is>
          <t>A 341-2023</t>
        </is>
      </c>
      <c r="B8667" s="1" t="n">
        <v>44929</v>
      </c>
      <c r="C8667" s="1" t="n">
        <v>45810</v>
      </c>
      <c r="D8667" t="inlineStr">
        <is>
          <t>VÄRMLANDS LÄN</t>
        </is>
      </c>
      <c r="E8667" t="inlineStr">
        <is>
          <t>HAGFORS</t>
        </is>
      </c>
      <c r="F8667" t="inlineStr">
        <is>
          <t>Bergvik skog väst AB</t>
        </is>
      </c>
      <c r="G8667" t="n">
        <v>3.9</v>
      </c>
      <c r="H8667" t="n">
        <v>0</v>
      </c>
      <c r="I8667" t="n">
        <v>0</v>
      </c>
      <c r="J8667" t="n">
        <v>0</v>
      </c>
      <c r="K8667" t="n">
        <v>0</v>
      </c>
      <c r="L8667" t="n">
        <v>0</v>
      </c>
      <c r="M8667" t="n">
        <v>0</v>
      </c>
      <c r="N8667" t="n">
        <v>0</v>
      </c>
      <c r="O8667" t="n">
        <v>0</v>
      </c>
      <c r="P8667" t="n">
        <v>0</v>
      </c>
      <c r="Q8667" t="n">
        <v>0</v>
      </c>
      <c r="R8667" s="2" t="inlineStr"/>
    </row>
    <row r="8668" ht="15" customHeight="1">
      <c r="A8668" t="inlineStr">
        <is>
          <t>A 336-2023</t>
        </is>
      </c>
      <c r="B8668" s="1" t="n">
        <v>44929</v>
      </c>
      <c r="C8668" s="1" t="n">
        <v>45810</v>
      </c>
      <c r="D8668" t="inlineStr">
        <is>
          <t>VÄRMLANDS LÄN</t>
        </is>
      </c>
      <c r="E8668" t="inlineStr">
        <is>
          <t>SÄFFLE</t>
        </is>
      </c>
      <c r="G8668" t="n">
        <v>0.7</v>
      </c>
      <c r="H8668" t="n">
        <v>0</v>
      </c>
      <c r="I8668" t="n">
        <v>0</v>
      </c>
      <c r="J8668" t="n">
        <v>0</v>
      </c>
      <c r="K8668" t="n">
        <v>0</v>
      </c>
      <c r="L8668" t="n">
        <v>0</v>
      </c>
      <c r="M8668" t="n">
        <v>0</v>
      </c>
      <c r="N8668" t="n">
        <v>0</v>
      </c>
      <c r="O8668" t="n">
        <v>0</v>
      </c>
      <c r="P8668" t="n">
        <v>0</v>
      </c>
      <c r="Q8668" t="n">
        <v>0</v>
      </c>
      <c r="R8668" s="2" t="inlineStr"/>
    </row>
    <row r="8669" ht="15" customHeight="1">
      <c r="A8669" t="inlineStr">
        <is>
          <t>A 1082-2023</t>
        </is>
      </c>
      <c r="B8669" s="1" t="n">
        <v>44929</v>
      </c>
      <c r="C8669" s="1" t="n">
        <v>45810</v>
      </c>
      <c r="D8669" t="inlineStr">
        <is>
          <t>VÄRMLANDS LÄN</t>
        </is>
      </c>
      <c r="E8669" t="inlineStr">
        <is>
          <t>HAGFORS</t>
        </is>
      </c>
      <c r="F8669" t="inlineStr">
        <is>
          <t>Kyrkan</t>
        </is>
      </c>
      <c r="G8669" t="n">
        <v>11.5</v>
      </c>
      <c r="H8669" t="n">
        <v>0</v>
      </c>
      <c r="I8669" t="n">
        <v>0</v>
      </c>
      <c r="J8669" t="n">
        <v>0</v>
      </c>
      <c r="K8669" t="n">
        <v>0</v>
      </c>
      <c r="L8669" t="n">
        <v>0</v>
      </c>
      <c r="M8669" t="n">
        <v>0</v>
      </c>
      <c r="N8669" t="n">
        <v>0</v>
      </c>
      <c r="O8669" t="n">
        <v>0</v>
      </c>
      <c r="P8669" t="n">
        <v>0</v>
      </c>
      <c r="Q8669" t="n">
        <v>0</v>
      </c>
      <c r="R8669" s="2" t="inlineStr"/>
    </row>
    <row r="8670" ht="15" customHeight="1">
      <c r="A8670" t="inlineStr">
        <is>
          <t>A 513-2023</t>
        </is>
      </c>
      <c r="B8670" s="1" t="n">
        <v>44930</v>
      </c>
      <c r="C8670" s="1" t="n">
        <v>45810</v>
      </c>
      <c r="D8670" t="inlineStr">
        <is>
          <t>VÄRMLANDS LÄN</t>
        </is>
      </c>
      <c r="E8670" t="inlineStr">
        <is>
          <t>SUNNE</t>
        </is>
      </c>
      <c r="G8670" t="n">
        <v>0.3</v>
      </c>
      <c r="H8670" t="n">
        <v>0</v>
      </c>
      <c r="I8670" t="n">
        <v>0</v>
      </c>
      <c r="J8670" t="n">
        <v>0</v>
      </c>
      <c r="K8670" t="n">
        <v>0</v>
      </c>
      <c r="L8670" t="n">
        <v>0</v>
      </c>
      <c r="M8670" t="n">
        <v>0</v>
      </c>
      <c r="N8670" t="n">
        <v>0</v>
      </c>
      <c r="O8670" t="n">
        <v>0</v>
      </c>
      <c r="P8670" t="n">
        <v>0</v>
      </c>
      <c r="Q8670" t="n">
        <v>0</v>
      </c>
      <c r="R8670" s="2" t="inlineStr"/>
    </row>
    <row r="8671" ht="15" customHeight="1">
      <c r="A8671" t="inlineStr">
        <is>
          <t>A 585-2023</t>
        </is>
      </c>
      <c r="B8671" s="1" t="n">
        <v>44930</v>
      </c>
      <c r="C8671" s="1" t="n">
        <v>45810</v>
      </c>
      <c r="D8671" t="inlineStr">
        <is>
          <t>VÄRMLANDS LÄN</t>
        </is>
      </c>
      <c r="E8671" t="inlineStr">
        <is>
          <t>EDA</t>
        </is>
      </c>
      <c r="G8671" t="n">
        <v>2.8</v>
      </c>
      <c r="H8671" t="n">
        <v>0</v>
      </c>
      <c r="I8671" t="n">
        <v>0</v>
      </c>
      <c r="J8671" t="n">
        <v>0</v>
      </c>
      <c r="K8671" t="n">
        <v>0</v>
      </c>
      <c r="L8671" t="n">
        <v>0</v>
      </c>
      <c r="M8671" t="n">
        <v>0</v>
      </c>
      <c r="N8671" t="n">
        <v>0</v>
      </c>
      <c r="O8671" t="n">
        <v>0</v>
      </c>
      <c r="P8671" t="n">
        <v>0</v>
      </c>
      <c r="Q8671" t="n">
        <v>0</v>
      </c>
      <c r="R8671" s="2" t="inlineStr"/>
    </row>
    <row r="8672" ht="15" customHeight="1">
      <c r="A8672" t="inlineStr">
        <is>
          <t>A 570-2023</t>
        </is>
      </c>
      <c r="B8672" s="1" t="n">
        <v>44930</v>
      </c>
      <c r="C8672" s="1" t="n">
        <v>45810</v>
      </c>
      <c r="D8672" t="inlineStr">
        <is>
          <t>VÄRMLANDS LÄN</t>
        </is>
      </c>
      <c r="E8672" t="inlineStr">
        <is>
          <t>HAGFORS</t>
        </is>
      </c>
      <c r="F8672" t="inlineStr">
        <is>
          <t>Bergvik skog väst AB</t>
        </is>
      </c>
      <c r="G8672" t="n">
        <v>16.3</v>
      </c>
      <c r="H8672" t="n">
        <v>0</v>
      </c>
      <c r="I8672" t="n">
        <v>0</v>
      </c>
      <c r="J8672" t="n">
        <v>0</v>
      </c>
      <c r="K8672" t="n">
        <v>0</v>
      </c>
      <c r="L8672" t="n">
        <v>0</v>
      </c>
      <c r="M8672" t="n">
        <v>0</v>
      </c>
      <c r="N8672" t="n">
        <v>0</v>
      </c>
      <c r="O8672" t="n">
        <v>0</v>
      </c>
      <c r="P8672" t="n">
        <v>0</v>
      </c>
      <c r="Q8672" t="n">
        <v>0</v>
      </c>
      <c r="R8672" s="2" t="inlineStr"/>
    </row>
    <row r="8673" ht="15" customHeight="1">
      <c r="A8673" t="inlineStr">
        <is>
          <t>A 487-2023</t>
        </is>
      </c>
      <c r="B8673" s="1" t="n">
        <v>44930</v>
      </c>
      <c r="C8673" s="1" t="n">
        <v>45810</v>
      </c>
      <c r="D8673" t="inlineStr">
        <is>
          <t>VÄRMLANDS LÄN</t>
        </is>
      </c>
      <c r="E8673" t="inlineStr">
        <is>
          <t>STORFORS</t>
        </is>
      </c>
      <c r="G8673" t="n">
        <v>7.3</v>
      </c>
      <c r="H8673" t="n">
        <v>0</v>
      </c>
      <c r="I8673" t="n">
        <v>0</v>
      </c>
      <c r="J8673" t="n">
        <v>0</v>
      </c>
      <c r="K8673" t="n">
        <v>0</v>
      </c>
      <c r="L8673" t="n">
        <v>0</v>
      </c>
      <c r="M8673" t="n">
        <v>0</v>
      </c>
      <c r="N8673" t="n">
        <v>0</v>
      </c>
      <c r="O8673" t="n">
        <v>0</v>
      </c>
      <c r="P8673" t="n">
        <v>0</v>
      </c>
      <c r="Q8673" t="n">
        <v>0</v>
      </c>
      <c r="R8673" s="2" t="inlineStr"/>
    </row>
    <row r="8674" ht="15" customHeight="1">
      <c r="A8674" t="inlineStr">
        <is>
          <t>A 522-2023</t>
        </is>
      </c>
      <c r="B8674" s="1" t="n">
        <v>44930</v>
      </c>
      <c r="C8674" s="1" t="n">
        <v>45810</v>
      </c>
      <c r="D8674" t="inlineStr">
        <is>
          <t>VÄRMLANDS LÄN</t>
        </is>
      </c>
      <c r="E8674" t="inlineStr">
        <is>
          <t>TORSBY</t>
        </is>
      </c>
      <c r="G8674" t="n">
        <v>2.8</v>
      </c>
      <c r="H8674" t="n">
        <v>0</v>
      </c>
      <c r="I8674" t="n">
        <v>0</v>
      </c>
      <c r="J8674" t="n">
        <v>0</v>
      </c>
      <c r="K8674" t="n">
        <v>0</v>
      </c>
      <c r="L8674" t="n">
        <v>0</v>
      </c>
      <c r="M8674" t="n">
        <v>0</v>
      </c>
      <c r="N8674" t="n">
        <v>0</v>
      </c>
      <c r="O8674" t="n">
        <v>0</v>
      </c>
      <c r="P8674" t="n">
        <v>0</v>
      </c>
      <c r="Q8674" t="n">
        <v>0</v>
      </c>
      <c r="R8674" s="2" t="inlineStr"/>
    </row>
    <row r="8675" ht="15" customHeight="1">
      <c r="A8675" t="inlineStr">
        <is>
          <t>A 666-2023</t>
        </is>
      </c>
      <c r="B8675" s="1" t="n">
        <v>44930</v>
      </c>
      <c r="C8675" s="1" t="n">
        <v>45810</v>
      </c>
      <c r="D8675" t="inlineStr">
        <is>
          <t>VÄRMLANDS LÄN</t>
        </is>
      </c>
      <c r="E8675" t="inlineStr">
        <is>
          <t>KIL</t>
        </is>
      </c>
      <c r="G8675" t="n">
        <v>8.199999999999999</v>
      </c>
      <c r="H8675" t="n">
        <v>0</v>
      </c>
      <c r="I8675" t="n">
        <v>0</v>
      </c>
      <c r="J8675" t="n">
        <v>0</v>
      </c>
      <c r="K8675" t="n">
        <v>0</v>
      </c>
      <c r="L8675" t="n">
        <v>0</v>
      </c>
      <c r="M8675" t="n">
        <v>0</v>
      </c>
      <c r="N8675" t="n">
        <v>0</v>
      </c>
      <c r="O8675" t="n">
        <v>0</v>
      </c>
      <c r="P8675" t="n">
        <v>0</v>
      </c>
      <c r="Q8675" t="n">
        <v>0</v>
      </c>
      <c r="R8675" s="2" t="inlineStr"/>
    </row>
    <row r="8676" ht="15" customHeight="1">
      <c r="A8676" t="inlineStr">
        <is>
          <t>A 783-2023</t>
        </is>
      </c>
      <c r="B8676" s="1" t="n">
        <v>44931</v>
      </c>
      <c r="C8676" s="1" t="n">
        <v>45810</v>
      </c>
      <c r="D8676" t="inlineStr">
        <is>
          <t>VÄRMLANDS LÄN</t>
        </is>
      </c>
      <c r="E8676" t="inlineStr">
        <is>
          <t>ARVIKA</t>
        </is>
      </c>
      <c r="F8676" t="inlineStr">
        <is>
          <t>Bergvik skog väst AB</t>
        </is>
      </c>
      <c r="G8676" t="n">
        <v>2.7</v>
      </c>
      <c r="H8676" t="n">
        <v>0</v>
      </c>
      <c r="I8676" t="n">
        <v>0</v>
      </c>
      <c r="J8676" t="n">
        <v>0</v>
      </c>
      <c r="K8676" t="n">
        <v>0</v>
      </c>
      <c r="L8676" t="n">
        <v>0</v>
      </c>
      <c r="M8676" t="n">
        <v>0</v>
      </c>
      <c r="N8676" t="n">
        <v>0</v>
      </c>
      <c r="O8676" t="n">
        <v>0</v>
      </c>
      <c r="P8676" t="n">
        <v>0</v>
      </c>
      <c r="Q8676" t="n">
        <v>0</v>
      </c>
      <c r="R8676" s="2" t="inlineStr"/>
    </row>
    <row r="8677" ht="15" customHeight="1">
      <c r="A8677" t="inlineStr">
        <is>
          <t>A 820-2023</t>
        </is>
      </c>
      <c r="B8677" s="1" t="n">
        <v>44931</v>
      </c>
      <c r="C8677" s="1" t="n">
        <v>45810</v>
      </c>
      <c r="D8677" t="inlineStr">
        <is>
          <t>VÄRMLANDS LÄN</t>
        </is>
      </c>
      <c r="E8677" t="inlineStr">
        <is>
          <t>FORSHAGA</t>
        </is>
      </c>
      <c r="G8677" t="n">
        <v>3.5</v>
      </c>
      <c r="H8677" t="n">
        <v>0</v>
      </c>
      <c r="I8677" t="n">
        <v>0</v>
      </c>
      <c r="J8677" t="n">
        <v>0</v>
      </c>
      <c r="K8677" t="n">
        <v>0</v>
      </c>
      <c r="L8677" t="n">
        <v>0</v>
      </c>
      <c r="M8677" t="n">
        <v>0</v>
      </c>
      <c r="N8677" t="n">
        <v>0</v>
      </c>
      <c r="O8677" t="n">
        <v>0</v>
      </c>
      <c r="P8677" t="n">
        <v>0</v>
      </c>
      <c r="Q8677" t="n">
        <v>0</v>
      </c>
      <c r="R8677" s="2" t="inlineStr"/>
    </row>
    <row r="8678" ht="15" customHeight="1">
      <c r="A8678" t="inlineStr">
        <is>
          <t>A 862-2023</t>
        </is>
      </c>
      <c r="B8678" s="1" t="n">
        <v>44931</v>
      </c>
      <c r="C8678" s="1" t="n">
        <v>45810</v>
      </c>
      <c r="D8678" t="inlineStr">
        <is>
          <t>VÄRMLANDS LÄN</t>
        </is>
      </c>
      <c r="E8678" t="inlineStr">
        <is>
          <t>ARVIKA</t>
        </is>
      </c>
      <c r="G8678" t="n">
        <v>1.1</v>
      </c>
      <c r="H8678" t="n">
        <v>0</v>
      </c>
      <c r="I8678" t="n">
        <v>0</v>
      </c>
      <c r="J8678" t="n">
        <v>0</v>
      </c>
      <c r="K8678" t="n">
        <v>0</v>
      </c>
      <c r="L8678" t="n">
        <v>0</v>
      </c>
      <c r="M8678" t="n">
        <v>0</v>
      </c>
      <c r="N8678" t="n">
        <v>0</v>
      </c>
      <c r="O8678" t="n">
        <v>0</v>
      </c>
      <c r="P8678" t="n">
        <v>0</v>
      </c>
      <c r="Q8678" t="n">
        <v>0</v>
      </c>
      <c r="R8678" s="2" t="inlineStr"/>
    </row>
    <row r="8679" ht="15" customHeight="1">
      <c r="A8679" t="inlineStr">
        <is>
          <t>A 1248-2023</t>
        </is>
      </c>
      <c r="B8679" s="1" t="n">
        <v>44931</v>
      </c>
      <c r="C8679" s="1" t="n">
        <v>45810</v>
      </c>
      <c r="D8679" t="inlineStr">
        <is>
          <t>VÄRMLANDS LÄN</t>
        </is>
      </c>
      <c r="E8679" t="inlineStr">
        <is>
          <t>SUNNE</t>
        </is>
      </c>
      <c r="G8679" t="n">
        <v>2.5</v>
      </c>
      <c r="H8679" t="n">
        <v>0</v>
      </c>
      <c r="I8679" t="n">
        <v>0</v>
      </c>
      <c r="J8679" t="n">
        <v>0</v>
      </c>
      <c r="K8679" t="n">
        <v>0</v>
      </c>
      <c r="L8679" t="n">
        <v>0</v>
      </c>
      <c r="M8679" t="n">
        <v>0</v>
      </c>
      <c r="N8679" t="n">
        <v>0</v>
      </c>
      <c r="O8679" t="n">
        <v>0</v>
      </c>
      <c r="P8679" t="n">
        <v>0</v>
      </c>
      <c r="Q8679" t="n">
        <v>0</v>
      </c>
      <c r="R8679" s="2" t="inlineStr"/>
    </row>
    <row r="8680" ht="15" customHeight="1">
      <c r="A8680" t="inlineStr">
        <is>
          <t>A 1250-2023</t>
        </is>
      </c>
      <c r="B8680" s="1" t="n">
        <v>44931</v>
      </c>
      <c r="C8680" s="1" t="n">
        <v>45810</v>
      </c>
      <c r="D8680" t="inlineStr">
        <is>
          <t>VÄRMLANDS LÄN</t>
        </is>
      </c>
      <c r="E8680" t="inlineStr">
        <is>
          <t>SUNNE</t>
        </is>
      </c>
      <c r="G8680" t="n">
        <v>0.7</v>
      </c>
      <c r="H8680" t="n">
        <v>0</v>
      </c>
      <c r="I8680" t="n">
        <v>0</v>
      </c>
      <c r="J8680" t="n">
        <v>0</v>
      </c>
      <c r="K8680" t="n">
        <v>0</v>
      </c>
      <c r="L8680" t="n">
        <v>0</v>
      </c>
      <c r="M8680" t="n">
        <v>0</v>
      </c>
      <c r="N8680" t="n">
        <v>0</v>
      </c>
      <c r="O8680" t="n">
        <v>0</v>
      </c>
      <c r="P8680" t="n">
        <v>0</v>
      </c>
      <c r="Q8680" t="n">
        <v>0</v>
      </c>
      <c r="R8680" s="2" t="inlineStr"/>
    </row>
    <row r="8681" ht="15" customHeight="1">
      <c r="A8681" t="inlineStr">
        <is>
          <t>A 969-2023</t>
        </is>
      </c>
      <c r="B8681" s="1" t="n">
        <v>44935</v>
      </c>
      <c r="C8681" s="1" t="n">
        <v>45810</v>
      </c>
      <c r="D8681" t="inlineStr">
        <is>
          <t>VÄRMLANDS LÄN</t>
        </is>
      </c>
      <c r="E8681" t="inlineStr">
        <is>
          <t>ARVIKA</t>
        </is>
      </c>
      <c r="G8681" t="n">
        <v>6.9</v>
      </c>
      <c r="H8681" t="n">
        <v>0</v>
      </c>
      <c r="I8681" t="n">
        <v>0</v>
      </c>
      <c r="J8681" t="n">
        <v>0</v>
      </c>
      <c r="K8681" t="n">
        <v>0</v>
      </c>
      <c r="L8681" t="n">
        <v>0</v>
      </c>
      <c r="M8681" t="n">
        <v>0</v>
      </c>
      <c r="N8681" t="n">
        <v>0</v>
      </c>
      <c r="O8681" t="n">
        <v>0</v>
      </c>
      <c r="P8681" t="n">
        <v>0</v>
      </c>
      <c r="Q8681" t="n">
        <v>0</v>
      </c>
      <c r="R8681" s="2" t="inlineStr"/>
    </row>
    <row r="8682" ht="15" customHeight="1">
      <c r="A8682" t="inlineStr">
        <is>
          <t>A 998-2023</t>
        </is>
      </c>
      <c r="B8682" s="1" t="n">
        <v>44935</v>
      </c>
      <c r="C8682" s="1" t="n">
        <v>45810</v>
      </c>
      <c r="D8682" t="inlineStr">
        <is>
          <t>VÄRMLANDS LÄN</t>
        </is>
      </c>
      <c r="E8682" t="inlineStr">
        <is>
          <t>EDA</t>
        </is>
      </c>
      <c r="G8682" t="n">
        <v>1.2</v>
      </c>
      <c r="H8682" t="n">
        <v>0</v>
      </c>
      <c r="I8682" t="n">
        <v>0</v>
      </c>
      <c r="J8682" t="n">
        <v>0</v>
      </c>
      <c r="K8682" t="n">
        <v>0</v>
      </c>
      <c r="L8682" t="n">
        <v>0</v>
      </c>
      <c r="M8682" t="n">
        <v>0</v>
      </c>
      <c r="N8682" t="n">
        <v>0</v>
      </c>
      <c r="O8682" t="n">
        <v>0</v>
      </c>
      <c r="P8682" t="n">
        <v>0</v>
      </c>
      <c r="Q8682" t="n">
        <v>0</v>
      </c>
      <c r="R8682" s="2" t="inlineStr"/>
    </row>
    <row r="8683" ht="15" customHeight="1">
      <c r="A8683" t="inlineStr">
        <is>
          <t>A 1003-2023</t>
        </is>
      </c>
      <c r="B8683" s="1" t="n">
        <v>44935</v>
      </c>
      <c r="C8683" s="1" t="n">
        <v>45810</v>
      </c>
      <c r="D8683" t="inlineStr">
        <is>
          <t>VÄRMLANDS LÄN</t>
        </is>
      </c>
      <c r="E8683" t="inlineStr">
        <is>
          <t>TORSBY</t>
        </is>
      </c>
      <c r="G8683" t="n">
        <v>7.9</v>
      </c>
      <c r="H8683" t="n">
        <v>0</v>
      </c>
      <c r="I8683" t="n">
        <v>0</v>
      </c>
      <c r="J8683" t="n">
        <v>0</v>
      </c>
      <c r="K8683" t="n">
        <v>0</v>
      </c>
      <c r="L8683" t="n">
        <v>0</v>
      </c>
      <c r="M8683" t="n">
        <v>0</v>
      </c>
      <c r="N8683" t="n">
        <v>0</v>
      </c>
      <c r="O8683" t="n">
        <v>0</v>
      </c>
      <c r="P8683" t="n">
        <v>0</v>
      </c>
      <c r="Q8683" t="n">
        <v>0</v>
      </c>
      <c r="R8683" s="2" t="inlineStr"/>
    </row>
    <row r="8684" ht="15" customHeight="1">
      <c r="A8684" t="inlineStr">
        <is>
          <t>A 1014-2023</t>
        </is>
      </c>
      <c r="B8684" s="1" t="n">
        <v>44935</v>
      </c>
      <c r="C8684" s="1" t="n">
        <v>45810</v>
      </c>
      <c r="D8684" t="inlineStr">
        <is>
          <t>VÄRMLANDS LÄN</t>
        </is>
      </c>
      <c r="E8684" t="inlineStr">
        <is>
          <t>SUNNE</t>
        </is>
      </c>
      <c r="F8684" t="inlineStr">
        <is>
          <t>Bergvik skog väst AB</t>
        </is>
      </c>
      <c r="G8684" t="n">
        <v>5.7</v>
      </c>
      <c r="H8684" t="n">
        <v>0</v>
      </c>
      <c r="I8684" t="n">
        <v>0</v>
      </c>
      <c r="J8684" t="n">
        <v>0</v>
      </c>
      <c r="K8684" t="n">
        <v>0</v>
      </c>
      <c r="L8684" t="n">
        <v>0</v>
      </c>
      <c r="M8684" t="n">
        <v>0</v>
      </c>
      <c r="N8684" t="n">
        <v>0</v>
      </c>
      <c r="O8684" t="n">
        <v>0</v>
      </c>
      <c r="P8684" t="n">
        <v>0</v>
      </c>
      <c r="Q8684" t="n">
        <v>0</v>
      </c>
      <c r="R8684" s="2" t="inlineStr"/>
    </row>
    <row r="8685" ht="15" customHeight="1">
      <c r="A8685" t="inlineStr">
        <is>
          <t>A 978-2023</t>
        </is>
      </c>
      <c r="B8685" s="1" t="n">
        <v>44935</v>
      </c>
      <c r="C8685" s="1" t="n">
        <v>45810</v>
      </c>
      <c r="D8685" t="inlineStr">
        <is>
          <t>VÄRMLANDS LÄN</t>
        </is>
      </c>
      <c r="E8685" t="inlineStr">
        <is>
          <t>SUNNE</t>
        </is>
      </c>
      <c r="G8685" t="n">
        <v>1.5</v>
      </c>
      <c r="H8685" t="n">
        <v>0</v>
      </c>
      <c r="I8685" t="n">
        <v>0</v>
      </c>
      <c r="J8685" t="n">
        <v>0</v>
      </c>
      <c r="K8685" t="n">
        <v>0</v>
      </c>
      <c r="L8685" t="n">
        <v>0</v>
      </c>
      <c r="M8685" t="n">
        <v>0</v>
      </c>
      <c r="N8685" t="n">
        <v>0</v>
      </c>
      <c r="O8685" t="n">
        <v>0</v>
      </c>
      <c r="P8685" t="n">
        <v>0</v>
      </c>
      <c r="Q8685" t="n">
        <v>0</v>
      </c>
      <c r="R8685" s="2" t="inlineStr"/>
    </row>
    <row r="8686" ht="15" customHeight="1">
      <c r="A8686" t="inlineStr">
        <is>
          <t>A 1042-2023</t>
        </is>
      </c>
      <c r="B8686" s="1" t="n">
        <v>44935</v>
      </c>
      <c r="C8686" s="1" t="n">
        <v>45810</v>
      </c>
      <c r="D8686" t="inlineStr">
        <is>
          <t>VÄRMLANDS LÄN</t>
        </is>
      </c>
      <c r="E8686" t="inlineStr">
        <is>
          <t>FILIPSTAD</t>
        </is>
      </c>
      <c r="G8686" t="n">
        <v>1.3</v>
      </c>
      <c r="H8686" t="n">
        <v>0</v>
      </c>
      <c r="I8686" t="n">
        <v>0</v>
      </c>
      <c r="J8686" t="n">
        <v>0</v>
      </c>
      <c r="K8686" t="n">
        <v>0</v>
      </c>
      <c r="L8686" t="n">
        <v>0</v>
      </c>
      <c r="M8686" t="n">
        <v>0</v>
      </c>
      <c r="N8686" t="n">
        <v>0</v>
      </c>
      <c r="O8686" t="n">
        <v>0</v>
      </c>
      <c r="P8686" t="n">
        <v>0</v>
      </c>
      <c r="Q8686" t="n">
        <v>0</v>
      </c>
      <c r="R8686" s="2" t="inlineStr"/>
    </row>
    <row r="8687" ht="15" customHeight="1">
      <c r="A8687" t="inlineStr">
        <is>
          <t>A 1009-2023</t>
        </is>
      </c>
      <c r="B8687" s="1" t="n">
        <v>44935</v>
      </c>
      <c r="C8687" s="1" t="n">
        <v>45810</v>
      </c>
      <c r="D8687" t="inlineStr">
        <is>
          <t>VÄRMLANDS LÄN</t>
        </is>
      </c>
      <c r="E8687" t="inlineStr">
        <is>
          <t>SUNNE</t>
        </is>
      </c>
      <c r="F8687" t="inlineStr">
        <is>
          <t>Bergvik skog väst AB</t>
        </is>
      </c>
      <c r="G8687" t="n">
        <v>1.7</v>
      </c>
      <c r="H8687" t="n">
        <v>0</v>
      </c>
      <c r="I8687" t="n">
        <v>0</v>
      </c>
      <c r="J8687" t="n">
        <v>0</v>
      </c>
      <c r="K8687" t="n">
        <v>0</v>
      </c>
      <c r="L8687" t="n">
        <v>0</v>
      </c>
      <c r="M8687" t="n">
        <v>0</v>
      </c>
      <c r="N8687" t="n">
        <v>0</v>
      </c>
      <c r="O8687" t="n">
        <v>0</v>
      </c>
      <c r="P8687" t="n">
        <v>0</v>
      </c>
      <c r="Q8687" t="n">
        <v>0</v>
      </c>
      <c r="R8687" s="2" t="inlineStr"/>
    </row>
    <row r="8688" ht="15" customHeight="1">
      <c r="A8688" t="inlineStr">
        <is>
          <t>A 1120-2023</t>
        </is>
      </c>
      <c r="B8688" s="1" t="n">
        <v>44935</v>
      </c>
      <c r="C8688" s="1" t="n">
        <v>45810</v>
      </c>
      <c r="D8688" t="inlineStr">
        <is>
          <t>VÄRMLANDS LÄN</t>
        </is>
      </c>
      <c r="E8688" t="inlineStr">
        <is>
          <t>TORSBY</t>
        </is>
      </c>
      <c r="G8688" t="n">
        <v>1.3</v>
      </c>
      <c r="H8688" t="n">
        <v>0</v>
      </c>
      <c r="I8688" t="n">
        <v>0</v>
      </c>
      <c r="J8688" t="n">
        <v>0</v>
      </c>
      <c r="K8688" t="n">
        <v>0</v>
      </c>
      <c r="L8688" t="n">
        <v>0</v>
      </c>
      <c r="M8688" t="n">
        <v>0</v>
      </c>
      <c r="N8688" t="n">
        <v>0</v>
      </c>
      <c r="O8688" t="n">
        <v>0</v>
      </c>
      <c r="P8688" t="n">
        <v>0</v>
      </c>
      <c r="Q8688" t="n">
        <v>0</v>
      </c>
      <c r="R8688" s="2" t="inlineStr"/>
    </row>
    <row r="8689" ht="15" customHeight="1">
      <c r="A8689" t="inlineStr">
        <is>
          <t>A 1144-2023</t>
        </is>
      </c>
      <c r="B8689" s="1" t="n">
        <v>44935</v>
      </c>
      <c r="C8689" s="1" t="n">
        <v>45810</v>
      </c>
      <c r="D8689" t="inlineStr">
        <is>
          <t>VÄRMLANDS LÄN</t>
        </is>
      </c>
      <c r="E8689" t="inlineStr">
        <is>
          <t>KARLSTAD</t>
        </is>
      </c>
      <c r="G8689" t="n">
        <v>0.8</v>
      </c>
      <c r="H8689" t="n">
        <v>0</v>
      </c>
      <c r="I8689" t="n">
        <v>0</v>
      </c>
      <c r="J8689" t="n">
        <v>0</v>
      </c>
      <c r="K8689" t="n">
        <v>0</v>
      </c>
      <c r="L8689" t="n">
        <v>0</v>
      </c>
      <c r="M8689" t="n">
        <v>0</v>
      </c>
      <c r="N8689" t="n">
        <v>0</v>
      </c>
      <c r="O8689" t="n">
        <v>0</v>
      </c>
      <c r="P8689" t="n">
        <v>0</v>
      </c>
      <c r="Q8689" t="n">
        <v>0</v>
      </c>
      <c r="R8689" s="2" t="inlineStr"/>
    </row>
    <row r="8690" ht="15" customHeight="1">
      <c r="A8690" t="inlineStr">
        <is>
          <t>A 1166-2023</t>
        </is>
      </c>
      <c r="B8690" s="1" t="n">
        <v>44935</v>
      </c>
      <c r="C8690" s="1" t="n">
        <v>45810</v>
      </c>
      <c r="D8690" t="inlineStr">
        <is>
          <t>VÄRMLANDS LÄN</t>
        </is>
      </c>
      <c r="E8690" t="inlineStr">
        <is>
          <t>TORSBY</t>
        </is>
      </c>
      <c r="G8690" t="n">
        <v>3.9</v>
      </c>
      <c r="H8690" t="n">
        <v>0</v>
      </c>
      <c r="I8690" t="n">
        <v>0</v>
      </c>
      <c r="J8690" t="n">
        <v>0</v>
      </c>
      <c r="K8690" t="n">
        <v>0</v>
      </c>
      <c r="L8690" t="n">
        <v>0</v>
      </c>
      <c r="M8690" t="n">
        <v>0</v>
      </c>
      <c r="N8690" t="n">
        <v>0</v>
      </c>
      <c r="O8690" t="n">
        <v>0</v>
      </c>
      <c r="P8690" t="n">
        <v>0</v>
      </c>
      <c r="Q8690" t="n">
        <v>0</v>
      </c>
      <c r="R8690" s="2" t="inlineStr"/>
    </row>
    <row r="8691" ht="15" customHeight="1">
      <c r="A8691" t="inlineStr">
        <is>
          <t>A 1200-2023</t>
        </is>
      </c>
      <c r="B8691" s="1" t="n">
        <v>44935</v>
      </c>
      <c r="C8691" s="1" t="n">
        <v>45810</v>
      </c>
      <c r="D8691" t="inlineStr">
        <is>
          <t>VÄRMLANDS LÄN</t>
        </is>
      </c>
      <c r="E8691" t="inlineStr">
        <is>
          <t>ÅRJÄNG</t>
        </is>
      </c>
      <c r="G8691" t="n">
        <v>1.5</v>
      </c>
      <c r="H8691" t="n">
        <v>0</v>
      </c>
      <c r="I8691" t="n">
        <v>0</v>
      </c>
      <c r="J8691" t="n">
        <v>0</v>
      </c>
      <c r="K8691" t="n">
        <v>0</v>
      </c>
      <c r="L8691" t="n">
        <v>0</v>
      </c>
      <c r="M8691" t="n">
        <v>0</v>
      </c>
      <c r="N8691" t="n">
        <v>0</v>
      </c>
      <c r="O8691" t="n">
        <v>0</v>
      </c>
      <c r="P8691" t="n">
        <v>0</v>
      </c>
      <c r="Q8691" t="n">
        <v>0</v>
      </c>
      <c r="R8691" s="2" t="inlineStr"/>
    </row>
    <row r="8692" ht="15" customHeight="1">
      <c r="A8692" t="inlineStr">
        <is>
          <t>A 1117-2023</t>
        </is>
      </c>
      <c r="B8692" s="1" t="n">
        <v>44935</v>
      </c>
      <c r="C8692" s="1" t="n">
        <v>45810</v>
      </c>
      <c r="D8692" t="inlineStr">
        <is>
          <t>VÄRMLANDS LÄN</t>
        </is>
      </c>
      <c r="E8692" t="inlineStr">
        <is>
          <t>SUNNE</t>
        </is>
      </c>
      <c r="F8692" t="inlineStr">
        <is>
          <t>Bergvik skog väst AB</t>
        </is>
      </c>
      <c r="G8692" t="n">
        <v>14.3</v>
      </c>
      <c r="H8692" t="n">
        <v>0</v>
      </c>
      <c r="I8692" t="n">
        <v>0</v>
      </c>
      <c r="J8692" t="n">
        <v>0</v>
      </c>
      <c r="K8692" t="n">
        <v>0</v>
      </c>
      <c r="L8692" t="n">
        <v>0</v>
      </c>
      <c r="M8692" t="n">
        <v>0</v>
      </c>
      <c r="N8692" t="n">
        <v>0</v>
      </c>
      <c r="O8692" t="n">
        <v>0</v>
      </c>
      <c r="P8692" t="n">
        <v>0</v>
      </c>
      <c r="Q8692" t="n">
        <v>0</v>
      </c>
      <c r="R8692" s="2" t="inlineStr"/>
    </row>
    <row r="8693" ht="15" customHeight="1">
      <c r="A8693" t="inlineStr">
        <is>
          <t>A 1123-2023</t>
        </is>
      </c>
      <c r="B8693" s="1" t="n">
        <v>44935</v>
      </c>
      <c r="C8693" s="1" t="n">
        <v>45810</v>
      </c>
      <c r="D8693" t="inlineStr">
        <is>
          <t>VÄRMLANDS LÄN</t>
        </is>
      </c>
      <c r="E8693" t="inlineStr">
        <is>
          <t>TORSBY</t>
        </is>
      </c>
      <c r="G8693" t="n">
        <v>1.4</v>
      </c>
      <c r="H8693" t="n">
        <v>0</v>
      </c>
      <c r="I8693" t="n">
        <v>0</v>
      </c>
      <c r="J8693" t="n">
        <v>0</v>
      </c>
      <c r="K8693" t="n">
        <v>0</v>
      </c>
      <c r="L8693" t="n">
        <v>0</v>
      </c>
      <c r="M8693" t="n">
        <v>0</v>
      </c>
      <c r="N8693" t="n">
        <v>0</v>
      </c>
      <c r="O8693" t="n">
        <v>0</v>
      </c>
      <c r="P8693" t="n">
        <v>0</v>
      </c>
      <c r="Q8693" t="n">
        <v>0</v>
      </c>
      <c r="R8693" s="2" t="inlineStr"/>
    </row>
    <row r="8694" ht="15" customHeight="1">
      <c r="A8694" t="inlineStr">
        <is>
          <t>A 1153-2023</t>
        </is>
      </c>
      <c r="B8694" s="1" t="n">
        <v>44935</v>
      </c>
      <c r="C8694" s="1" t="n">
        <v>45810</v>
      </c>
      <c r="D8694" t="inlineStr">
        <is>
          <t>VÄRMLANDS LÄN</t>
        </is>
      </c>
      <c r="E8694" t="inlineStr">
        <is>
          <t>ÅRJÄNG</t>
        </is>
      </c>
      <c r="G8694" t="n">
        <v>3.2</v>
      </c>
      <c r="H8694" t="n">
        <v>0</v>
      </c>
      <c r="I8694" t="n">
        <v>0</v>
      </c>
      <c r="J8694" t="n">
        <v>0</v>
      </c>
      <c r="K8694" t="n">
        <v>0</v>
      </c>
      <c r="L8694" t="n">
        <v>0</v>
      </c>
      <c r="M8694" t="n">
        <v>0</v>
      </c>
      <c r="N8694" t="n">
        <v>0</v>
      </c>
      <c r="O8694" t="n">
        <v>0</v>
      </c>
      <c r="P8694" t="n">
        <v>0</v>
      </c>
      <c r="Q8694" t="n">
        <v>0</v>
      </c>
      <c r="R8694" s="2" t="inlineStr"/>
    </row>
    <row r="8695" ht="15" customHeight="1">
      <c r="A8695" t="inlineStr">
        <is>
          <t>A 1170-2023</t>
        </is>
      </c>
      <c r="B8695" s="1" t="n">
        <v>44935</v>
      </c>
      <c r="C8695" s="1" t="n">
        <v>45810</v>
      </c>
      <c r="D8695" t="inlineStr">
        <is>
          <t>VÄRMLANDS LÄN</t>
        </is>
      </c>
      <c r="E8695" t="inlineStr">
        <is>
          <t>FILIPSTAD</t>
        </is>
      </c>
      <c r="F8695" t="inlineStr">
        <is>
          <t>Bergvik skog väst AB</t>
        </is>
      </c>
      <c r="G8695" t="n">
        <v>0.7</v>
      </c>
      <c r="H8695" t="n">
        <v>0</v>
      </c>
      <c r="I8695" t="n">
        <v>0</v>
      </c>
      <c r="J8695" t="n">
        <v>0</v>
      </c>
      <c r="K8695" t="n">
        <v>0</v>
      </c>
      <c r="L8695" t="n">
        <v>0</v>
      </c>
      <c r="M8695" t="n">
        <v>0</v>
      </c>
      <c r="N8695" t="n">
        <v>0</v>
      </c>
      <c r="O8695" t="n">
        <v>0</v>
      </c>
      <c r="P8695" t="n">
        <v>0</v>
      </c>
      <c r="Q8695" t="n">
        <v>0</v>
      </c>
      <c r="R8695" s="2" t="inlineStr"/>
    </row>
    <row r="8696" ht="15" customHeight="1">
      <c r="A8696" t="inlineStr">
        <is>
          <t>A 1203-2023</t>
        </is>
      </c>
      <c r="B8696" s="1" t="n">
        <v>44935</v>
      </c>
      <c r="C8696" s="1" t="n">
        <v>45810</v>
      </c>
      <c r="D8696" t="inlineStr">
        <is>
          <t>VÄRMLANDS LÄN</t>
        </is>
      </c>
      <c r="E8696" t="inlineStr">
        <is>
          <t>ÅRJÄNG</t>
        </is>
      </c>
      <c r="G8696" t="n">
        <v>6.9</v>
      </c>
      <c r="H8696" t="n">
        <v>0</v>
      </c>
      <c r="I8696" t="n">
        <v>0</v>
      </c>
      <c r="J8696" t="n">
        <v>0</v>
      </c>
      <c r="K8696" t="n">
        <v>0</v>
      </c>
      <c r="L8696" t="n">
        <v>0</v>
      </c>
      <c r="M8696" t="n">
        <v>0</v>
      </c>
      <c r="N8696" t="n">
        <v>0</v>
      </c>
      <c r="O8696" t="n">
        <v>0</v>
      </c>
      <c r="P8696" t="n">
        <v>0</v>
      </c>
      <c r="Q8696" t="n">
        <v>0</v>
      </c>
      <c r="R8696" s="2" t="inlineStr"/>
    </row>
    <row r="8697" ht="15" customHeight="1">
      <c r="A8697" t="inlineStr">
        <is>
          <t>A 1133-2023</t>
        </is>
      </c>
      <c r="B8697" s="1" t="n">
        <v>44935</v>
      </c>
      <c r="C8697" s="1" t="n">
        <v>45810</v>
      </c>
      <c r="D8697" t="inlineStr">
        <is>
          <t>VÄRMLANDS LÄN</t>
        </is>
      </c>
      <c r="E8697" t="inlineStr">
        <is>
          <t>ARVIKA</t>
        </is>
      </c>
      <c r="G8697" t="n">
        <v>1.3</v>
      </c>
      <c r="H8697" t="n">
        <v>0</v>
      </c>
      <c r="I8697" t="n">
        <v>0</v>
      </c>
      <c r="J8697" t="n">
        <v>0</v>
      </c>
      <c r="K8697" t="n">
        <v>0</v>
      </c>
      <c r="L8697" t="n">
        <v>0</v>
      </c>
      <c r="M8697" t="n">
        <v>0</v>
      </c>
      <c r="N8697" t="n">
        <v>0</v>
      </c>
      <c r="O8697" t="n">
        <v>0</v>
      </c>
      <c r="P8697" t="n">
        <v>0</v>
      </c>
      <c r="Q8697" t="n">
        <v>0</v>
      </c>
      <c r="R8697" s="2" t="inlineStr"/>
    </row>
    <row r="8698" ht="15" customHeight="1">
      <c r="A8698" t="inlineStr">
        <is>
          <t>A 1201-2023</t>
        </is>
      </c>
      <c r="B8698" s="1" t="n">
        <v>44935</v>
      </c>
      <c r="C8698" s="1" t="n">
        <v>45810</v>
      </c>
      <c r="D8698" t="inlineStr">
        <is>
          <t>VÄRMLANDS LÄN</t>
        </is>
      </c>
      <c r="E8698" t="inlineStr">
        <is>
          <t>ÅRJÄNG</t>
        </is>
      </c>
      <c r="G8698" t="n">
        <v>3.4</v>
      </c>
      <c r="H8698" t="n">
        <v>0</v>
      </c>
      <c r="I8698" t="n">
        <v>0</v>
      </c>
      <c r="J8698" t="n">
        <v>0</v>
      </c>
      <c r="K8698" t="n">
        <v>0</v>
      </c>
      <c r="L8698" t="n">
        <v>0</v>
      </c>
      <c r="M8698" t="n">
        <v>0</v>
      </c>
      <c r="N8698" t="n">
        <v>0</v>
      </c>
      <c r="O8698" t="n">
        <v>0</v>
      </c>
      <c r="P8698" t="n">
        <v>0</v>
      </c>
      <c r="Q8698" t="n">
        <v>0</v>
      </c>
      <c r="R8698" s="2" t="inlineStr"/>
    </row>
    <row r="8699" ht="15" customHeight="1">
      <c r="A8699" t="inlineStr">
        <is>
          <t>A 1165-2023</t>
        </is>
      </c>
      <c r="B8699" s="1" t="n">
        <v>44935</v>
      </c>
      <c r="C8699" s="1" t="n">
        <v>45810</v>
      </c>
      <c r="D8699" t="inlineStr">
        <is>
          <t>VÄRMLANDS LÄN</t>
        </is>
      </c>
      <c r="E8699" t="inlineStr">
        <is>
          <t>ARVIKA</t>
        </is>
      </c>
      <c r="G8699" t="n">
        <v>3.1</v>
      </c>
      <c r="H8699" t="n">
        <v>0</v>
      </c>
      <c r="I8699" t="n">
        <v>0</v>
      </c>
      <c r="J8699" t="n">
        <v>0</v>
      </c>
      <c r="K8699" t="n">
        <v>0</v>
      </c>
      <c r="L8699" t="n">
        <v>0</v>
      </c>
      <c r="M8699" t="n">
        <v>0</v>
      </c>
      <c r="N8699" t="n">
        <v>0</v>
      </c>
      <c r="O8699" t="n">
        <v>0</v>
      </c>
      <c r="P8699" t="n">
        <v>0</v>
      </c>
      <c r="Q8699" t="n">
        <v>0</v>
      </c>
      <c r="R8699" s="2" t="inlineStr"/>
    </row>
    <row r="8700" ht="15" customHeight="1">
      <c r="A8700" t="inlineStr">
        <is>
          <t>A 1210-2023</t>
        </is>
      </c>
      <c r="B8700" s="1" t="n">
        <v>44935</v>
      </c>
      <c r="C8700" s="1" t="n">
        <v>45810</v>
      </c>
      <c r="D8700" t="inlineStr">
        <is>
          <t>VÄRMLANDS LÄN</t>
        </is>
      </c>
      <c r="E8700" t="inlineStr">
        <is>
          <t>EDA</t>
        </is>
      </c>
      <c r="G8700" t="n">
        <v>2.1</v>
      </c>
      <c r="H8700" t="n">
        <v>0</v>
      </c>
      <c r="I8700" t="n">
        <v>0</v>
      </c>
      <c r="J8700" t="n">
        <v>0</v>
      </c>
      <c r="K8700" t="n">
        <v>0</v>
      </c>
      <c r="L8700" t="n">
        <v>0</v>
      </c>
      <c r="M8700" t="n">
        <v>0</v>
      </c>
      <c r="N8700" t="n">
        <v>0</v>
      </c>
      <c r="O8700" t="n">
        <v>0</v>
      </c>
      <c r="P8700" t="n">
        <v>0</v>
      </c>
      <c r="Q8700" t="n">
        <v>0</v>
      </c>
      <c r="R8700" s="2" t="inlineStr"/>
    </row>
    <row r="8701" ht="15" customHeight="1">
      <c r="A8701" t="inlineStr">
        <is>
          <t>A 1525-2023</t>
        </is>
      </c>
      <c r="B8701" s="1" t="n">
        <v>44935</v>
      </c>
      <c r="C8701" s="1" t="n">
        <v>45810</v>
      </c>
      <c r="D8701" t="inlineStr">
        <is>
          <t>VÄRMLANDS LÄN</t>
        </is>
      </c>
      <c r="E8701" t="inlineStr">
        <is>
          <t>KRISTINEHAMN</t>
        </is>
      </c>
      <c r="G8701" t="n">
        <v>2.9</v>
      </c>
      <c r="H8701" t="n">
        <v>0</v>
      </c>
      <c r="I8701" t="n">
        <v>0</v>
      </c>
      <c r="J8701" t="n">
        <v>0</v>
      </c>
      <c r="K8701" t="n">
        <v>0</v>
      </c>
      <c r="L8701" t="n">
        <v>0</v>
      </c>
      <c r="M8701" t="n">
        <v>0</v>
      </c>
      <c r="N8701" t="n">
        <v>0</v>
      </c>
      <c r="O8701" t="n">
        <v>0</v>
      </c>
      <c r="P8701" t="n">
        <v>0</v>
      </c>
      <c r="Q8701" t="n">
        <v>0</v>
      </c>
      <c r="R8701" s="2" t="inlineStr"/>
    </row>
    <row r="8702" ht="15" customHeight="1">
      <c r="A8702" t="inlineStr">
        <is>
          <t>A 1314-2023</t>
        </is>
      </c>
      <c r="B8702" s="1" t="n">
        <v>44936</v>
      </c>
      <c r="C8702" s="1" t="n">
        <v>45810</v>
      </c>
      <c r="D8702" t="inlineStr">
        <is>
          <t>VÄRMLANDS LÄN</t>
        </is>
      </c>
      <c r="E8702" t="inlineStr">
        <is>
          <t>STORFORS</t>
        </is>
      </c>
      <c r="G8702" t="n">
        <v>3.7</v>
      </c>
      <c r="H8702" t="n">
        <v>0</v>
      </c>
      <c r="I8702" t="n">
        <v>0</v>
      </c>
      <c r="J8702" t="n">
        <v>0</v>
      </c>
      <c r="K8702" t="n">
        <v>0</v>
      </c>
      <c r="L8702" t="n">
        <v>0</v>
      </c>
      <c r="M8702" t="n">
        <v>0</v>
      </c>
      <c r="N8702" t="n">
        <v>0</v>
      </c>
      <c r="O8702" t="n">
        <v>0</v>
      </c>
      <c r="P8702" t="n">
        <v>0</v>
      </c>
      <c r="Q8702" t="n">
        <v>0</v>
      </c>
      <c r="R8702" s="2" t="inlineStr"/>
    </row>
    <row r="8703" ht="15" customHeight="1">
      <c r="A8703" t="inlineStr">
        <is>
          <t>A 1320-2023</t>
        </is>
      </c>
      <c r="B8703" s="1" t="n">
        <v>44936</v>
      </c>
      <c r="C8703" s="1" t="n">
        <v>45810</v>
      </c>
      <c r="D8703" t="inlineStr">
        <is>
          <t>VÄRMLANDS LÄN</t>
        </is>
      </c>
      <c r="E8703" t="inlineStr">
        <is>
          <t>KIL</t>
        </is>
      </c>
      <c r="G8703" t="n">
        <v>0.5</v>
      </c>
      <c r="H8703" t="n">
        <v>0</v>
      </c>
      <c r="I8703" t="n">
        <v>0</v>
      </c>
      <c r="J8703" t="n">
        <v>0</v>
      </c>
      <c r="K8703" t="n">
        <v>0</v>
      </c>
      <c r="L8703" t="n">
        <v>0</v>
      </c>
      <c r="M8703" t="n">
        <v>0</v>
      </c>
      <c r="N8703" t="n">
        <v>0</v>
      </c>
      <c r="O8703" t="n">
        <v>0</v>
      </c>
      <c r="P8703" t="n">
        <v>0</v>
      </c>
      <c r="Q8703" t="n">
        <v>0</v>
      </c>
      <c r="R8703" s="2" t="inlineStr"/>
    </row>
    <row r="8704" ht="15" customHeight="1">
      <c r="A8704" t="inlineStr">
        <is>
          <t>A 1332-2023</t>
        </is>
      </c>
      <c r="B8704" s="1" t="n">
        <v>44936</v>
      </c>
      <c r="C8704" s="1" t="n">
        <v>45810</v>
      </c>
      <c r="D8704" t="inlineStr">
        <is>
          <t>VÄRMLANDS LÄN</t>
        </is>
      </c>
      <c r="E8704" t="inlineStr">
        <is>
          <t>KRISTINEHAMN</t>
        </is>
      </c>
      <c r="G8704" t="n">
        <v>4.1</v>
      </c>
      <c r="H8704" t="n">
        <v>0</v>
      </c>
      <c r="I8704" t="n">
        <v>0</v>
      </c>
      <c r="J8704" t="n">
        <v>0</v>
      </c>
      <c r="K8704" t="n">
        <v>0</v>
      </c>
      <c r="L8704" t="n">
        <v>0</v>
      </c>
      <c r="M8704" t="n">
        <v>0</v>
      </c>
      <c r="N8704" t="n">
        <v>0</v>
      </c>
      <c r="O8704" t="n">
        <v>0</v>
      </c>
      <c r="P8704" t="n">
        <v>0</v>
      </c>
      <c r="Q8704" t="n">
        <v>0</v>
      </c>
      <c r="R8704" s="2" t="inlineStr"/>
    </row>
    <row r="8705" ht="15" customHeight="1">
      <c r="A8705" t="inlineStr">
        <is>
          <t>A 1338-2023</t>
        </is>
      </c>
      <c r="B8705" s="1" t="n">
        <v>44936</v>
      </c>
      <c r="C8705" s="1" t="n">
        <v>45810</v>
      </c>
      <c r="D8705" t="inlineStr">
        <is>
          <t>VÄRMLANDS LÄN</t>
        </is>
      </c>
      <c r="E8705" t="inlineStr">
        <is>
          <t>FORSHAGA</t>
        </is>
      </c>
      <c r="G8705" t="n">
        <v>6</v>
      </c>
      <c r="H8705" t="n">
        <v>0</v>
      </c>
      <c r="I8705" t="n">
        <v>0</v>
      </c>
      <c r="J8705" t="n">
        <v>0</v>
      </c>
      <c r="K8705" t="n">
        <v>0</v>
      </c>
      <c r="L8705" t="n">
        <v>0</v>
      </c>
      <c r="M8705" t="n">
        <v>0</v>
      </c>
      <c r="N8705" t="n">
        <v>0</v>
      </c>
      <c r="O8705" t="n">
        <v>0</v>
      </c>
      <c r="P8705" t="n">
        <v>0</v>
      </c>
      <c r="Q8705" t="n">
        <v>0</v>
      </c>
      <c r="R8705" s="2" t="inlineStr"/>
    </row>
    <row r="8706" ht="15" customHeight="1">
      <c r="A8706" t="inlineStr">
        <is>
          <t>A 1329-2023</t>
        </is>
      </c>
      <c r="B8706" s="1" t="n">
        <v>44936</v>
      </c>
      <c r="C8706" s="1" t="n">
        <v>45810</v>
      </c>
      <c r="D8706" t="inlineStr">
        <is>
          <t>VÄRMLANDS LÄN</t>
        </is>
      </c>
      <c r="E8706" t="inlineStr">
        <is>
          <t>SÄFFLE</t>
        </is>
      </c>
      <c r="G8706" t="n">
        <v>5.4</v>
      </c>
      <c r="H8706" t="n">
        <v>0</v>
      </c>
      <c r="I8706" t="n">
        <v>0</v>
      </c>
      <c r="J8706" t="n">
        <v>0</v>
      </c>
      <c r="K8706" t="n">
        <v>0</v>
      </c>
      <c r="L8706" t="n">
        <v>0</v>
      </c>
      <c r="M8706" t="n">
        <v>0</v>
      </c>
      <c r="N8706" t="n">
        <v>0</v>
      </c>
      <c r="O8706" t="n">
        <v>0</v>
      </c>
      <c r="P8706" t="n">
        <v>0</v>
      </c>
      <c r="Q8706" t="n">
        <v>0</v>
      </c>
      <c r="R8706" s="2" t="inlineStr"/>
    </row>
    <row r="8707" ht="15" customHeight="1">
      <c r="A8707" t="inlineStr">
        <is>
          <t>A 1387-2023</t>
        </is>
      </c>
      <c r="B8707" s="1" t="n">
        <v>44936</v>
      </c>
      <c r="C8707" s="1" t="n">
        <v>45810</v>
      </c>
      <c r="D8707" t="inlineStr">
        <is>
          <t>VÄRMLANDS LÄN</t>
        </is>
      </c>
      <c r="E8707" t="inlineStr">
        <is>
          <t>ARVIKA</t>
        </is>
      </c>
      <c r="G8707" t="n">
        <v>2.5</v>
      </c>
      <c r="H8707" t="n">
        <v>0</v>
      </c>
      <c r="I8707" t="n">
        <v>0</v>
      </c>
      <c r="J8707" t="n">
        <v>0</v>
      </c>
      <c r="K8707" t="n">
        <v>0</v>
      </c>
      <c r="L8707" t="n">
        <v>0</v>
      </c>
      <c r="M8707" t="n">
        <v>0</v>
      </c>
      <c r="N8707" t="n">
        <v>0</v>
      </c>
      <c r="O8707" t="n">
        <v>0</v>
      </c>
      <c r="P8707" t="n">
        <v>0</v>
      </c>
      <c r="Q8707" t="n">
        <v>0</v>
      </c>
      <c r="R8707" s="2" t="inlineStr"/>
    </row>
    <row r="8708" ht="15" customHeight="1">
      <c r="A8708" t="inlineStr">
        <is>
          <t>A 1696-2023</t>
        </is>
      </c>
      <c r="B8708" s="1" t="n">
        <v>44936</v>
      </c>
      <c r="C8708" s="1" t="n">
        <v>45810</v>
      </c>
      <c r="D8708" t="inlineStr">
        <is>
          <t>VÄRMLANDS LÄN</t>
        </is>
      </c>
      <c r="E8708" t="inlineStr">
        <is>
          <t>SÄFFLE</t>
        </is>
      </c>
      <c r="G8708" t="n">
        <v>3.5</v>
      </c>
      <c r="H8708" t="n">
        <v>0</v>
      </c>
      <c r="I8708" t="n">
        <v>0</v>
      </c>
      <c r="J8708" t="n">
        <v>0</v>
      </c>
      <c r="K8708" t="n">
        <v>0</v>
      </c>
      <c r="L8708" t="n">
        <v>0</v>
      </c>
      <c r="M8708" t="n">
        <v>0</v>
      </c>
      <c r="N8708" t="n">
        <v>0</v>
      </c>
      <c r="O8708" t="n">
        <v>0</v>
      </c>
      <c r="P8708" t="n">
        <v>0</v>
      </c>
      <c r="Q8708" t="n">
        <v>0</v>
      </c>
      <c r="R8708" s="2" t="inlineStr"/>
    </row>
    <row r="8709" ht="15" customHeight="1">
      <c r="A8709" t="inlineStr">
        <is>
          <t>A 1377-2023</t>
        </is>
      </c>
      <c r="B8709" s="1" t="n">
        <v>44936</v>
      </c>
      <c r="C8709" s="1" t="n">
        <v>45810</v>
      </c>
      <c r="D8709" t="inlineStr">
        <is>
          <t>VÄRMLANDS LÄN</t>
        </is>
      </c>
      <c r="E8709" t="inlineStr">
        <is>
          <t>ÅRJÄNG</t>
        </is>
      </c>
      <c r="G8709" t="n">
        <v>1.6</v>
      </c>
      <c r="H8709" t="n">
        <v>0</v>
      </c>
      <c r="I8709" t="n">
        <v>0</v>
      </c>
      <c r="J8709" t="n">
        <v>0</v>
      </c>
      <c r="K8709" t="n">
        <v>0</v>
      </c>
      <c r="L8709" t="n">
        <v>0</v>
      </c>
      <c r="M8709" t="n">
        <v>0</v>
      </c>
      <c r="N8709" t="n">
        <v>0</v>
      </c>
      <c r="O8709" t="n">
        <v>0</v>
      </c>
      <c r="P8709" t="n">
        <v>0</v>
      </c>
      <c r="Q8709" t="n">
        <v>0</v>
      </c>
      <c r="R8709" s="2" t="inlineStr"/>
    </row>
    <row r="8710" ht="15" customHeight="1">
      <c r="A8710" t="inlineStr">
        <is>
          <t>A 1386-2023</t>
        </is>
      </c>
      <c r="B8710" s="1" t="n">
        <v>44936</v>
      </c>
      <c r="C8710" s="1" t="n">
        <v>45810</v>
      </c>
      <c r="D8710" t="inlineStr">
        <is>
          <t>VÄRMLANDS LÄN</t>
        </is>
      </c>
      <c r="E8710" t="inlineStr">
        <is>
          <t>TORSBY</t>
        </is>
      </c>
      <c r="G8710" t="n">
        <v>3.4</v>
      </c>
      <c r="H8710" t="n">
        <v>0</v>
      </c>
      <c r="I8710" t="n">
        <v>0</v>
      </c>
      <c r="J8710" t="n">
        <v>0</v>
      </c>
      <c r="K8710" t="n">
        <v>0</v>
      </c>
      <c r="L8710" t="n">
        <v>0</v>
      </c>
      <c r="M8710" t="n">
        <v>0</v>
      </c>
      <c r="N8710" t="n">
        <v>0</v>
      </c>
      <c r="O8710" t="n">
        <v>0</v>
      </c>
      <c r="P8710" t="n">
        <v>0</v>
      </c>
      <c r="Q8710" t="n">
        <v>0</v>
      </c>
      <c r="R8710" s="2" t="inlineStr"/>
    </row>
    <row r="8711" ht="15" customHeight="1">
      <c r="A8711" t="inlineStr">
        <is>
          <t>A 1547-2023</t>
        </is>
      </c>
      <c r="B8711" s="1" t="n">
        <v>44937</v>
      </c>
      <c r="C8711" s="1" t="n">
        <v>45810</v>
      </c>
      <c r="D8711" t="inlineStr">
        <is>
          <t>VÄRMLANDS LÄN</t>
        </is>
      </c>
      <c r="E8711" t="inlineStr">
        <is>
          <t>EDA</t>
        </is>
      </c>
      <c r="G8711" t="n">
        <v>7.6</v>
      </c>
      <c r="H8711" t="n">
        <v>0</v>
      </c>
      <c r="I8711" t="n">
        <v>0</v>
      </c>
      <c r="J8711" t="n">
        <v>0</v>
      </c>
      <c r="K8711" t="n">
        <v>0</v>
      </c>
      <c r="L8711" t="n">
        <v>0</v>
      </c>
      <c r="M8711" t="n">
        <v>0</v>
      </c>
      <c r="N8711" t="n">
        <v>0</v>
      </c>
      <c r="O8711" t="n">
        <v>0</v>
      </c>
      <c r="P8711" t="n">
        <v>0</v>
      </c>
      <c r="Q8711" t="n">
        <v>0</v>
      </c>
      <c r="R8711" s="2" t="inlineStr"/>
    </row>
    <row r="8712" ht="15" customHeight="1">
      <c r="A8712" t="inlineStr">
        <is>
          <t>A 1565-2023</t>
        </is>
      </c>
      <c r="B8712" s="1" t="n">
        <v>44937</v>
      </c>
      <c r="C8712" s="1" t="n">
        <v>45810</v>
      </c>
      <c r="D8712" t="inlineStr">
        <is>
          <t>VÄRMLANDS LÄN</t>
        </is>
      </c>
      <c r="E8712" t="inlineStr">
        <is>
          <t>EDA</t>
        </is>
      </c>
      <c r="G8712" t="n">
        <v>2.4</v>
      </c>
      <c r="H8712" t="n">
        <v>0</v>
      </c>
      <c r="I8712" t="n">
        <v>0</v>
      </c>
      <c r="J8712" t="n">
        <v>0</v>
      </c>
      <c r="K8712" t="n">
        <v>0</v>
      </c>
      <c r="L8712" t="n">
        <v>0</v>
      </c>
      <c r="M8712" t="n">
        <v>0</v>
      </c>
      <c r="N8712" t="n">
        <v>0</v>
      </c>
      <c r="O8712" t="n">
        <v>0</v>
      </c>
      <c r="P8712" t="n">
        <v>0</v>
      </c>
      <c r="Q8712" t="n">
        <v>0</v>
      </c>
      <c r="R8712" s="2" t="inlineStr"/>
    </row>
    <row r="8713" ht="15" customHeight="1">
      <c r="A8713" t="inlineStr">
        <is>
          <t>A 1435-2023</t>
        </is>
      </c>
      <c r="B8713" s="1" t="n">
        <v>44937</v>
      </c>
      <c r="C8713" s="1" t="n">
        <v>45810</v>
      </c>
      <c r="D8713" t="inlineStr">
        <is>
          <t>VÄRMLANDS LÄN</t>
        </is>
      </c>
      <c r="E8713" t="inlineStr">
        <is>
          <t>HAGFORS</t>
        </is>
      </c>
      <c r="F8713" t="inlineStr">
        <is>
          <t>Bergvik skog väst AB</t>
        </is>
      </c>
      <c r="G8713" t="n">
        <v>2</v>
      </c>
      <c r="H8713" t="n">
        <v>0</v>
      </c>
      <c r="I8713" t="n">
        <v>0</v>
      </c>
      <c r="J8713" t="n">
        <v>0</v>
      </c>
      <c r="K8713" t="n">
        <v>0</v>
      </c>
      <c r="L8713" t="n">
        <v>0</v>
      </c>
      <c r="M8713" t="n">
        <v>0</v>
      </c>
      <c r="N8713" t="n">
        <v>0</v>
      </c>
      <c r="O8713" t="n">
        <v>0</v>
      </c>
      <c r="P8713" t="n">
        <v>0</v>
      </c>
      <c r="Q8713" t="n">
        <v>0</v>
      </c>
      <c r="R8713" s="2" t="inlineStr"/>
    </row>
    <row r="8714" ht="15" customHeight="1">
      <c r="A8714" t="inlineStr">
        <is>
          <t>A 1450-2023</t>
        </is>
      </c>
      <c r="B8714" s="1" t="n">
        <v>44937</v>
      </c>
      <c r="C8714" s="1" t="n">
        <v>45810</v>
      </c>
      <c r="D8714" t="inlineStr">
        <is>
          <t>VÄRMLANDS LÄN</t>
        </is>
      </c>
      <c r="E8714" t="inlineStr">
        <is>
          <t>KARLSTAD</t>
        </is>
      </c>
      <c r="F8714" t="inlineStr">
        <is>
          <t>Bergvik skog väst AB</t>
        </is>
      </c>
      <c r="G8714" t="n">
        <v>5</v>
      </c>
      <c r="H8714" t="n">
        <v>0</v>
      </c>
      <c r="I8714" t="n">
        <v>0</v>
      </c>
      <c r="J8714" t="n">
        <v>0</v>
      </c>
      <c r="K8714" t="n">
        <v>0</v>
      </c>
      <c r="L8714" t="n">
        <v>0</v>
      </c>
      <c r="M8714" t="n">
        <v>0</v>
      </c>
      <c r="N8714" t="n">
        <v>0</v>
      </c>
      <c r="O8714" t="n">
        <v>0</v>
      </c>
      <c r="P8714" t="n">
        <v>0</v>
      </c>
      <c r="Q8714" t="n">
        <v>0</v>
      </c>
      <c r="R8714" s="2" t="inlineStr"/>
    </row>
    <row r="8715" ht="15" customHeight="1">
      <c r="A8715" t="inlineStr">
        <is>
          <t>A 1464-2023</t>
        </is>
      </c>
      <c r="B8715" s="1" t="n">
        <v>44937</v>
      </c>
      <c r="C8715" s="1" t="n">
        <v>45810</v>
      </c>
      <c r="D8715" t="inlineStr">
        <is>
          <t>VÄRMLANDS LÄN</t>
        </is>
      </c>
      <c r="E8715" t="inlineStr">
        <is>
          <t>HAGFORS</t>
        </is>
      </c>
      <c r="F8715" t="inlineStr">
        <is>
          <t>Bergvik skog väst AB</t>
        </is>
      </c>
      <c r="G8715" t="n">
        <v>6</v>
      </c>
      <c r="H8715" t="n">
        <v>0</v>
      </c>
      <c r="I8715" t="n">
        <v>0</v>
      </c>
      <c r="J8715" t="n">
        <v>0</v>
      </c>
      <c r="K8715" t="n">
        <v>0</v>
      </c>
      <c r="L8715" t="n">
        <v>0</v>
      </c>
      <c r="M8715" t="n">
        <v>0</v>
      </c>
      <c r="N8715" t="n">
        <v>0</v>
      </c>
      <c r="O8715" t="n">
        <v>0</v>
      </c>
      <c r="P8715" t="n">
        <v>0</v>
      </c>
      <c r="Q8715" t="n">
        <v>0</v>
      </c>
      <c r="R8715" s="2" t="inlineStr"/>
    </row>
    <row r="8716" ht="15" customHeight="1">
      <c r="A8716" t="inlineStr">
        <is>
          <t>A 1438-2023</t>
        </is>
      </c>
      <c r="B8716" s="1" t="n">
        <v>44937</v>
      </c>
      <c r="C8716" s="1" t="n">
        <v>45810</v>
      </c>
      <c r="D8716" t="inlineStr">
        <is>
          <t>VÄRMLANDS LÄN</t>
        </is>
      </c>
      <c r="E8716" t="inlineStr">
        <is>
          <t>ARVIKA</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1446-2023</t>
        </is>
      </c>
      <c r="B8717" s="1" t="n">
        <v>44937</v>
      </c>
      <c r="C8717" s="1" t="n">
        <v>45810</v>
      </c>
      <c r="D8717" t="inlineStr">
        <is>
          <t>VÄRMLANDS LÄN</t>
        </is>
      </c>
      <c r="E8717" t="inlineStr">
        <is>
          <t>KARLSTAD</t>
        </is>
      </c>
      <c r="G8717" t="n">
        <v>2.9</v>
      </c>
      <c r="H8717" t="n">
        <v>0</v>
      </c>
      <c r="I8717" t="n">
        <v>0</v>
      </c>
      <c r="J8717" t="n">
        <v>0</v>
      </c>
      <c r="K8717" t="n">
        <v>0</v>
      </c>
      <c r="L8717" t="n">
        <v>0</v>
      </c>
      <c r="M8717" t="n">
        <v>0</v>
      </c>
      <c r="N8717" t="n">
        <v>0</v>
      </c>
      <c r="O8717" t="n">
        <v>0</v>
      </c>
      <c r="P8717" t="n">
        <v>0</v>
      </c>
      <c r="Q8717" t="n">
        <v>0</v>
      </c>
      <c r="R8717" s="2" t="inlineStr"/>
    </row>
    <row r="8718" ht="15" customHeight="1">
      <c r="A8718" t="inlineStr">
        <is>
          <t>A 1512-2023</t>
        </is>
      </c>
      <c r="B8718" s="1" t="n">
        <v>44937</v>
      </c>
      <c r="C8718" s="1" t="n">
        <v>45810</v>
      </c>
      <c r="D8718" t="inlineStr">
        <is>
          <t>VÄRMLANDS LÄN</t>
        </is>
      </c>
      <c r="E8718" t="inlineStr">
        <is>
          <t>HAGFORS</t>
        </is>
      </c>
      <c r="F8718" t="inlineStr">
        <is>
          <t>Bergvik skog väst AB</t>
        </is>
      </c>
      <c r="G8718" t="n">
        <v>2.1</v>
      </c>
      <c r="H8718" t="n">
        <v>0</v>
      </c>
      <c r="I8718" t="n">
        <v>0</v>
      </c>
      <c r="J8718" t="n">
        <v>0</v>
      </c>
      <c r="K8718" t="n">
        <v>0</v>
      </c>
      <c r="L8718" t="n">
        <v>0</v>
      </c>
      <c r="M8718" t="n">
        <v>0</v>
      </c>
      <c r="N8718" t="n">
        <v>0</v>
      </c>
      <c r="O8718" t="n">
        <v>0</v>
      </c>
      <c r="P8718" t="n">
        <v>0</v>
      </c>
      <c r="Q8718" t="n">
        <v>0</v>
      </c>
      <c r="R8718" s="2" t="inlineStr"/>
    </row>
    <row r="8719" ht="15" customHeight="1">
      <c r="A8719" t="inlineStr">
        <is>
          <t>A 1536-2023</t>
        </is>
      </c>
      <c r="B8719" s="1" t="n">
        <v>44937</v>
      </c>
      <c r="C8719" s="1" t="n">
        <v>45810</v>
      </c>
      <c r="D8719" t="inlineStr">
        <is>
          <t>VÄRMLANDS LÄN</t>
        </is>
      </c>
      <c r="E8719" t="inlineStr">
        <is>
          <t>ARVIKA</t>
        </is>
      </c>
      <c r="G8719" t="n">
        <v>0.6</v>
      </c>
      <c r="H8719" t="n">
        <v>0</v>
      </c>
      <c r="I8719" t="n">
        <v>0</v>
      </c>
      <c r="J8719" t="n">
        <v>0</v>
      </c>
      <c r="K8719" t="n">
        <v>0</v>
      </c>
      <c r="L8719" t="n">
        <v>0</v>
      </c>
      <c r="M8719" t="n">
        <v>0</v>
      </c>
      <c r="N8719" t="n">
        <v>0</v>
      </c>
      <c r="O8719" t="n">
        <v>0</v>
      </c>
      <c r="P8719" t="n">
        <v>0</v>
      </c>
      <c r="Q8719" t="n">
        <v>0</v>
      </c>
      <c r="R8719" s="2" t="inlineStr"/>
    </row>
    <row r="8720" ht="15" customHeight="1">
      <c r="A8720" t="inlineStr">
        <is>
          <t>A 1596-2023</t>
        </is>
      </c>
      <c r="B8720" s="1" t="n">
        <v>44937</v>
      </c>
      <c r="C8720" s="1" t="n">
        <v>45810</v>
      </c>
      <c r="D8720" t="inlineStr">
        <is>
          <t>VÄRMLANDS LÄN</t>
        </is>
      </c>
      <c r="E8720" t="inlineStr">
        <is>
          <t>KRISTINEHAMN</t>
        </is>
      </c>
      <c r="F8720" t="inlineStr">
        <is>
          <t>Bergvik skog väst AB</t>
        </is>
      </c>
      <c r="G8720" t="n">
        <v>7.1</v>
      </c>
      <c r="H8720" t="n">
        <v>0</v>
      </c>
      <c r="I8720" t="n">
        <v>0</v>
      </c>
      <c r="J8720" t="n">
        <v>0</v>
      </c>
      <c r="K8720" t="n">
        <v>0</v>
      </c>
      <c r="L8720" t="n">
        <v>0</v>
      </c>
      <c r="M8720" t="n">
        <v>0</v>
      </c>
      <c r="N8720" t="n">
        <v>0</v>
      </c>
      <c r="O8720" t="n">
        <v>0</v>
      </c>
      <c r="P8720" t="n">
        <v>0</v>
      </c>
      <c r="Q8720" t="n">
        <v>0</v>
      </c>
      <c r="R8720" s="2" t="inlineStr"/>
    </row>
    <row r="8721" ht="15" customHeight="1">
      <c r="A8721" t="inlineStr">
        <is>
          <t>A 1790-2023</t>
        </is>
      </c>
      <c r="B8721" s="1" t="n">
        <v>44937</v>
      </c>
      <c r="C8721" s="1" t="n">
        <v>45810</v>
      </c>
      <c r="D8721" t="inlineStr">
        <is>
          <t>VÄRMLANDS LÄN</t>
        </is>
      </c>
      <c r="E8721" t="inlineStr">
        <is>
          <t>SÄFFLE</t>
        </is>
      </c>
      <c r="G8721" t="n">
        <v>1.4</v>
      </c>
      <c r="H8721" t="n">
        <v>0</v>
      </c>
      <c r="I8721" t="n">
        <v>0</v>
      </c>
      <c r="J8721" t="n">
        <v>0</v>
      </c>
      <c r="K8721" t="n">
        <v>0</v>
      </c>
      <c r="L8721" t="n">
        <v>0</v>
      </c>
      <c r="M8721" t="n">
        <v>0</v>
      </c>
      <c r="N8721" t="n">
        <v>0</v>
      </c>
      <c r="O8721" t="n">
        <v>0</v>
      </c>
      <c r="P8721" t="n">
        <v>0</v>
      </c>
      <c r="Q8721" t="n">
        <v>0</v>
      </c>
      <c r="R8721" s="2" t="inlineStr"/>
    </row>
    <row r="8722" ht="15" customHeight="1">
      <c r="A8722" t="inlineStr">
        <is>
          <t>A 1887-2023</t>
        </is>
      </c>
      <c r="B8722" s="1" t="n">
        <v>44937</v>
      </c>
      <c r="C8722" s="1" t="n">
        <v>45810</v>
      </c>
      <c r="D8722" t="inlineStr">
        <is>
          <t>VÄRMLANDS LÄN</t>
        </is>
      </c>
      <c r="E8722" t="inlineStr">
        <is>
          <t>EDA</t>
        </is>
      </c>
      <c r="G8722" t="n">
        <v>0.8</v>
      </c>
      <c r="H8722" t="n">
        <v>0</v>
      </c>
      <c r="I8722" t="n">
        <v>0</v>
      </c>
      <c r="J8722" t="n">
        <v>0</v>
      </c>
      <c r="K8722" t="n">
        <v>0</v>
      </c>
      <c r="L8722" t="n">
        <v>0</v>
      </c>
      <c r="M8722" t="n">
        <v>0</v>
      </c>
      <c r="N8722" t="n">
        <v>0</v>
      </c>
      <c r="O8722" t="n">
        <v>0</v>
      </c>
      <c r="P8722" t="n">
        <v>0</v>
      </c>
      <c r="Q8722" t="n">
        <v>0</v>
      </c>
      <c r="R8722" s="2" t="inlineStr"/>
    </row>
    <row r="8723" ht="15" customHeight="1">
      <c r="A8723" t="inlineStr">
        <is>
          <t>A 1626-2023</t>
        </is>
      </c>
      <c r="B8723" s="1" t="n">
        <v>44937</v>
      </c>
      <c r="C8723" s="1" t="n">
        <v>45810</v>
      </c>
      <c r="D8723" t="inlineStr">
        <is>
          <t>VÄRMLANDS LÄN</t>
        </is>
      </c>
      <c r="E8723" t="inlineStr">
        <is>
          <t>SUNNE</t>
        </is>
      </c>
      <c r="G8723" t="n">
        <v>0.6</v>
      </c>
      <c r="H8723" t="n">
        <v>0</v>
      </c>
      <c r="I8723" t="n">
        <v>0</v>
      </c>
      <c r="J8723" t="n">
        <v>0</v>
      </c>
      <c r="K8723" t="n">
        <v>0</v>
      </c>
      <c r="L8723" t="n">
        <v>0</v>
      </c>
      <c r="M8723" t="n">
        <v>0</v>
      </c>
      <c r="N8723" t="n">
        <v>0</v>
      </c>
      <c r="O8723" t="n">
        <v>0</v>
      </c>
      <c r="P8723" t="n">
        <v>0</v>
      </c>
      <c r="Q8723" t="n">
        <v>0</v>
      </c>
      <c r="R8723" s="2" t="inlineStr"/>
    </row>
    <row r="8724" ht="15" customHeight="1">
      <c r="A8724" t="inlineStr">
        <is>
          <t>A 1656-2023</t>
        </is>
      </c>
      <c r="B8724" s="1" t="n">
        <v>44938</v>
      </c>
      <c r="C8724" s="1" t="n">
        <v>45810</v>
      </c>
      <c r="D8724" t="inlineStr">
        <is>
          <t>VÄRMLANDS LÄN</t>
        </is>
      </c>
      <c r="E8724" t="inlineStr">
        <is>
          <t>FORSHAGA</t>
        </is>
      </c>
      <c r="G8724" t="n">
        <v>4.4</v>
      </c>
      <c r="H8724" t="n">
        <v>0</v>
      </c>
      <c r="I8724" t="n">
        <v>0</v>
      </c>
      <c r="J8724" t="n">
        <v>0</v>
      </c>
      <c r="K8724" t="n">
        <v>0</v>
      </c>
      <c r="L8724" t="n">
        <v>0</v>
      </c>
      <c r="M8724" t="n">
        <v>0</v>
      </c>
      <c r="N8724" t="n">
        <v>0</v>
      </c>
      <c r="O8724" t="n">
        <v>0</v>
      </c>
      <c r="P8724" t="n">
        <v>0</v>
      </c>
      <c r="Q8724" t="n">
        <v>0</v>
      </c>
      <c r="R8724" s="2" t="inlineStr"/>
    </row>
    <row r="8725" ht="15" customHeight="1">
      <c r="A8725" t="inlineStr">
        <is>
          <t>A 1735-2023</t>
        </is>
      </c>
      <c r="B8725" s="1" t="n">
        <v>44938</v>
      </c>
      <c r="C8725" s="1" t="n">
        <v>45810</v>
      </c>
      <c r="D8725" t="inlineStr">
        <is>
          <t>VÄRMLANDS LÄN</t>
        </is>
      </c>
      <c r="E8725" t="inlineStr">
        <is>
          <t>HAGFORS</t>
        </is>
      </c>
      <c r="G8725" t="n">
        <v>3.4</v>
      </c>
      <c r="H8725" t="n">
        <v>0</v>
      </c>
      <c r="I8725" t="n">
        <v>0</v>
      </c>
      <c r="J8725" t="n">
        <v>0</v>
      </c>
      <c r="K8725" t="n">
        <v>0</v>
      </c>
      <c r="L8725" t="n">
        <v>0</v>
      </c>
      <c r="M8725" t="n">
        <v>0</v>
      </c>
      <c r="N8725" t="n">
        <v>0</v>
      </c>
      <c r="O8725" t="n">
        <v>0</v>
      </c>
      <c r="P8725" t="n">
        <v>0</v>
      </c>
      <c r="Q8725" t="n">
        <v>0</v>
      </c>
      <c r="R8725" s="2" t="inlineStr"/>
    </row>
    <row r="8726" ht="15" customHeight="1">
      <c r="A8726" t="inlineStr">
        <is>
          <t>A 1665-2023</t>
        </is>
      </c>
      <c r="B8726" s="1" t="n">
        <v>44938</v>
      </c>
      <c r="C8726" s="1" t="n">
        <v>45810</v>
      </c>
      <c r="D8726" t="inlineStr">
        <is>
          <t>VÄRMLANDS LÄN</t>
        </is>
      </c>
      <c r="E8726" t="inlineStr">
        <is>
          <t>ÅRJÄNG</t>
        </is>
      </c>
      <c r="G8726" t="n">
        <v>5.1</v>
      </c>
      <c r="H8726" t="n">
        <v>0</v>
      </c>
      <c r="I8726" t="n">
        <v>0</v>
      </c>
      <c r="J8726" t="n">
        <v>0</v>
      </c>
      <c r="K8726" t="n">
        <v>0</v>
      </c>
      <c r="L8726" t="n">
        <v>0</v>
      </c>
      <c r="M8726" t="n">
        <v>0</v>
      </c>
      <c r="N8726" t="n">
        <v>0</v>
      </c>
      <c r="O8726" t="n">
        <v>0</v>
      </c>
      <c r="P8726" t="n">
        <v>0</v>
      </c>
      <c r="Q8726" t="n">
        <v>0</v>
      </c>
      <c r="R8726" s="2" t="inlineStr"/>
    </row>
    <row r="8727" ht="15" customHeight="1">
      <c r="A8727" t="inlineStr">
        <is>
          <t>A 1734-2023</t>
        </is>
      </c>
      <c r="B8727" s="1" t="n">
        <v>44938</v>
      </c>
      <c r="C8727" s="1" t="n">
        <v>45810</v>
      </c>
      <c r="D8727" t="inlineStr">
        <is>
          <t>VÄRMLANDS LÄN</t>
        </is>
      </c>
      <c r="E8727" t="inlineStr">
        <is>
          <t>HAGFORS</t>
        </is>
      </c>
      <c r="G8727" t="n">
        <v>1.5</v>
      </c>
      <c r="H8727" t="n">
        <v>0</v>
      </c>
      <c r="I8727" t="n">
        <v>0</v>
      </c>
      <c r="J8727" t="n">
        <v>0</v>
      </c>
      <c r="K8727" t="n">
        <v>0</v>
      </c>
      <c r="L8727" t="n">
        <v>0</v>
      </c>
      <c r="M8727" t="n">
        <v>0</v>
      </c>
      <c r="N8727" t="n">
        <v>0</v>
      </c>
      <c r="O8727" t="n">
        <v>0</v>
      </c>
      <c r="P8727" t="n">
        <v>0</v>
      </c>
      <c r="Q8727" t="n">
        <v>0</v>
      </c>
      <c r="R8727" s="2" t="inlineStr"/>
    </row>
    <row r="8728" ht="15" customHeight="1">
      <c r="A8728" t="inlineStr">
        <is>
          <t>A 1675-2023</t>
        </is>
      </c>
      <c r="B8728" s="1" t="n">
        <v>44938</v>
      </c>
      <c r="C8728" s="1" t="n">
        <v>45810</v>
      </c>
      <c r="D8728" t="inlineStr">
        <is>
          <t>VÄRMLANDS LÄN</t>
        </is>
      </c>
      <c r="E8728" t="inlineStr">
        <is>
          <t>KARLSTAD</t>
        </is>
      </c>
      <c r="G8728" t="n">
        <v>2</v>
      </c>
      <c r="H8728" t="n">
        <v>0</v>
      </c>
      <c r="I8728" t="n">
        <v>0</v>
      </c>
      <c r="J8728" t="n">
        <v>0</v>
      </c>
      <c r="K8728" t="n">
        <v>0</v>
      </c>
      <c r="L8728" t="n">
        <v>0</v>
      </c>
      <c r="M8728" t="n">
        <v>0</v>
      </c>
      <c r="N8728" t="n">
        <v>0</v>
      </c>
      <c r="O8728" t="n">
        <v>0</v>
      </c>
      <c r="P8728" t="n">
        <v>0</v>
      </c>
      <c r="Q8728" t="n">
        <v>0</v>
      </c>
      <c r="R8728" s="2" t="inlineStr"/>
    </row>
    <row r="8729" ht="15" customHeight="1">
      <c r="A8729" t="inlineStr">
        <is>
          <t>A 1840-2023</t>
        </is>
      </c>
      <c r="B8729" s="1" t="n">
        <v>44938</v>
      </c>
      <c r="C8729" s="1" t="n">
        <v>45810</v>
      </c>
      <c r="D8729" t="inlineStr">
        <is>
          <t>VÄRMLANDS LÄN</t>
        </is>
      </c>
      <c r="E8729" t="inlineStr">
        <is>
          <t>STORFORS</t>
        </is>
      </c>
      <c r="F8729" t="inlineStr">
        <is>
          <t>Kyrkan</t>
        </is>
      </c>
      <c r="G8729" t="n">
        <v>1.3</v>
      </c>
      <c r="H8729" t="n">
        <v>0</v>
      </c>
      <c r="I8729" t="n">
        <v>0</v>
      </c>
      <c r="J8729" t="n">
        <v>0</v>
      </c>
      <c r="K8729" t="n">
        <v>0</v>
      </c>
      <c r="L8729" t="n">
        <v>0</v>
      </c>
      <c r="M8729" t="n">
        <v>0</v>
      </c>
      <c r="N8729" t="n">
        <v>0</v>
      </c>
      <c r="O8729" t="n">
        <v>0</v>
      </c>
      <c r="P8729" t="n">
        <v>0</v>
      </c>
      <c r="Q8729" t="n">
        <v>0</v>
      </c>
      <c r="R8729" s="2" t="inlineStr"/>
    </row>
    <row r="8730" ht="15" customHeight="1">
      <c r="A8730" t="inlineStr">
        <is>
          <t>A 2046-2023</t>
        </is>
      </c>
      <c r="B8730" s="1" t="n">
        <v>44938</v>
      </c>
      <c r="C8730" s="1" t="n">
        <v>45810</v>
      </c>
      <c r="D8730" t="inlineStr">
        <is>
          <t>VÄRMLANDS LÄN</t>
        </is>
      </c>
      <c r="E8730" t="inlineStr">
        <is>
          <t>ARVIKA</t>
        </is>
      </c>
      <c r="G8730" t="n">
        <v>0.6</v>
      </c>
      <c r="H8730" t="n">
        <v>0</v>
      </c>
      <c r="I8730" t="n">
        <v>0</v>
      </c>
      <c r="J8730" t="n">
        <v>0</v>
      </c>
      <c r="K8730" t="n">
        <v>0</v>
      </c>
      <c r="L8730" t="n">
        <v>0</v>
      </c>
      <c r="M8730" t="n">
        <v>0</v>
      </c>
      <c r="N8730" t="n">
        <v>0</v>
      </c>
      <c r="O8730" t="n">
        <v>0</v>
      </c>
      <c r="P8730" t="n">
        <v>0</v>
      </c>
      <c r="Q8730" t="n">
        <v>0</v>
      </c>
      <c r="R8730" s="2" t="inlineStr"/>
    </row>
    <row r="8731" ht="15" customHeight="1">
      <c r="A8731" t="inlineStr">
        <is>
          <t>A 1825-2023</t>
        </is>
      </c>
      <c r="B8731" s="1" t="n">
        <v>44938</v>
      </c>
      <c r="C8731" s="1" t="n">
        <v>45810</v>
      </c>
      <c r="D8731" t="inlineStr">
        <is>
          <t>VÄRMLANDS LÄN</t>
        </is>
      </c>
      <c r="E8731" t="inlineStr">
        <is>
          <t>STORFORS</t>
        </is>
      </c>
      <c r="F8731" t="inlineStr">
        <is>
          <t>Kyrkan</t>
        </is>
      </c>
      <c r="G8731" t="n">
        <v>1.2</v>
      </c>
      <c r="H8731" t="n">
        <v>0</v>
      </c>
      <c r="I8731" t="n">
        <v>0</v>
      </c>
      <c r="J8731" t="n">
        <v>0</v>
      </c>
      <c r="K8731" t="n">
        <v>0</v>
      </c>
      <c r="L8731" t="n">
        <v>0</v>
      </c>
      <c r="M8731" t="n">
        <v>0</v>
      </c>
      <c r="N8731" t="n">
        <v>0</v>
      </c>
      <c r="O8731" t="n">
        <v>0</v>
      </c>
      <c r="P8731" t="n">
        <v>0</v>
      </c>
      <c r="Q8731" t="n">
        <v>0</v>
      </c>
      <c r="R8731" s="2" t="inlineStr"/>
    </row>
    <row r="8732" ht="15" customHeight="1">
      <c r="A8732" t="inlineStr">
        <is>
          <t>A 1834-2023</t>
        </is>
      </c>
      <c r="B8732" s="1" t="n">
        <v>44938</v>
      </c>
      <c r="C8732" s="1" t="n">
        <v>45810</v>
      </c>
      <c r="D8732" t="inlineStr">
        <is>
          <t>VÄRMLANDS LÄN</t>
        </is>
      </c>
      <c r="E8732" t="inlineStr">
        <is>
          <t>SÄFFLE</t>
        </is>
      </c>
      <c r="G8732" t="n">
        <v>10.7</v>
      </c>
      <c r="H8732" t="n">
        <v>0</v>
      </c>
      <c r="I8732" t="n">
        <v>0</v>
      </c>
      <c r="J8732" t="n">
        <v>0</v>
      </c>
      <c r="K8732" t="n">
        <v>0</v>
      </c>
      <c r="L8732" t="n">
        <v>0</v>
      </c>
      <c r="M8732" t="n">
        <v>0</v>
      </c>
      <c r="N8732" t="n">
        <v>0</v>
      </c>
      <c r="O8732" t="n">
        <v>0</v>
      </c>
      <c r="P8732" t="n">
        <v>0</v>
      </c>
      <c r="Q8732" t="n">
        <v>0</v>
      </c>
      <c r="R8732" s="2" t="inlineStr"/>
    </row>
    <row r="8733" ht="15" customHeight="1">
      <c r="A8733" t="inlineStr">
        <is>
          <t>A 1838-2023</t>
        </is>
      </c>
      <c r="B8733" s="1" t="n">
        <v>44938</v>
      </c>
      <c r="C8733" s="1" t="n">
        <v>45810</v>
      </c>
      <c r="D8733" t="inlineStr">
        <is>
          <t>VÄRMLANDS LÄN</t>
        </is>
      </c>
      <c r="E8733" t="inlineStr">
        <is>
          <t>SÄFFLE</t>
        </is>
      </c>
      <c r="G8733" t="n">
        <v>5.7</v>
      </c>
      <c r="H8733" t="n">
        <v>0</v>
      </c>
      <c r="I8733" t="n">
        <v>0</v>
      </c>
      <c r="J8733" t="n">
        <v>0</v>
      </c>
      <c r="K8733" t="n">
        <v>0</v>
      </c>
      <c r="L8733" t="n">
        <v>0</v>
      </c>
      <c r="M8733" t="n">
        <v>0</v>
      </c>
      <c r="N8733" t="n">
        <v>0</v>
      </c>
      <c r="O8733" t="n">
        <v>0</v>
      </c>
      <c r="P8733" t="n">
        <v>0</v>
      </c>
      <c r="Q8733" t="n">
        <v>0</v>
      </c>
      <c r="R8733" s="2" t="inlineStr"/>
    </row>
    <row r="8734" ht="15" customHeight="1">
      <c r="A8734" t="inlineStr">
        <is>
          <t>A 2342-2023</t>
        </is>
      </c>
      <c r="B8734" s="1" t="n">
        <v>44938</v>
      </c>
      <c r="C8734" s="1" t="n">
        <v>45810</v>
      </c>
      <c r="D8734" t="inlineStr">
        <is>
          <t>VÄRMLANDS LÄN</t>
        </is>
      </c>
      <c r="E8734" t="inlineStr">
        <is>
          <t>STORFORS</t>
        </is>
      </c>
      <c r="G8734" t="n">
        <v>1.8</v>
      </c>
      <c r="H8734" t="n">
        <v>0</v>
      </c>
      <c r="I8734" t="n">
        <v>0</v>
      </c>
      <c r="J8734" t="n">
        <v>0</v>
      </c>
      <c r="K8734" t="n">
        <v>0</v>
      </c>
      <c r="L8734" t="n">
        <v>0</v>
      </c>
      <c r="M8734" t="n">
        <v>0</v>
      </c>
      <c r="N8734" t="n">
        <v>0</v>
      </c>
      <c r="O8734" t="n">
        <v>0</v>
      </c>
      <c r="P8734" t="n">
        <v>0</v>
      </c>
      <c r="Q8734" t="n">
        <v>0</v>
      </c>
      <c r="R8734" s="2" t="inlineStr"/>
    </row>
    <row r="8735" ht="15" customHeight="1">
      <c r="A8735" t="inlineStr">
        <is>
          <t>A 2352-2023</t>
        </is>
      </c>
      <c r="B8735" s="1" t="n">
        <v>44938</v>
      </c>
      <c r="C8735" s="1" t="n">
        <v>45810</v>
      </c>
      <c r="D8735" t="inlineStr">
        <is>
          <t>VÄRMLANDS LÄN</t>
        </is>
      </c>
      <c r="E8735" t="inlineStr">
        <is>
          <t>STORFORS</t>
        </is>
      </c>
      <c r="G8735" t="n">
        <v>7</v>
      </c>
      <c r="H8735" t="n">
        <v>0</v>
      </c>
      <c r="I8735" t="n">
        <v>0</v>
      </c>
      <c r="J8735" t="n">
        <v>0</v>
      </c>
      <c r="K8735" t="n">
        <v>0</v>
      </c>
      <c r="L8735" t="n">
        <v>0</v>
      </c>
      <c r="M8735" t="n">
        <v>0</v>
      </c>
      <c r="N8735" t="n">
        <v>0</v>
      </c>
      <c r="O8735" t="n">
        <v>0</v>
      </c>
      <c r="P8735" t="n">
        <v>0</v>
      </c>
      <c r="Q8735" t="n">
        <v>0</v>
      </c>
      <c r="R8735" s="2" t="inlineStr"/>
    </row>
    <row r="8736" ht="15" customHeight="1">
      <c r="A8736" t="inlineStr">
        <is>
          <t>A 2363-2023</t>
        </is>
      </c>
      <c r="B8736" s="1" t="n">
        <v>44938</v>
      </c>
      <c r="C8736" s="1" t="n">
        <v>45810</v>
      </c>
      <c r="D8736" t="inlineStr">
        <is>
          <t>VÄRMLANDS LÄN</t>
        </is>
      </c>
      <c r="E8736" t="inlineStr">
        <is>
          <t>STORFORS</t>
        </is>
      </c>
      <c r="G8736" t="n">
        <v>1.8</v>
      </c>
      <c r="H8736" t="n">
        <v>0</v>
      </c>
      <c r="I8736" t="n">
        <v>0</v>
      </c>
      <c r="J8736" t="n">
        <v>0</v>
      </c>
      <c r="K8736" t="n">
        <v>0</v>
      </c>
      <c r="L8736" t="n">
        <v>0</v>
      </c>
      <c r="M8736" t="n">
        <v>0</v>
      </c>
      <c r="N8736" t="n">
        <v>0</v>
      </c>
      <c r="O8736" t="n">
        <v>0</v>
      </c>
      <c r="P8736" t="n">
        <v>0</v>
      </c>
      <c r="Q8736" t="n">
        <v>0</v>
      </c>
      <c r="R8736" s="2" t="inlineStr"/>
    </row>
    <row r="8737" ht="15" customHeight="1">
      <c r="A8737" t="inlineStr">
        <is>
          <t>A 1882-2023</t>
        </is>
      </c>
      <c r="B8737" s="1" t="n">
        <v>44939</v>
      </c>
      <c r="C8737" s="1" t="n">
        <v>45810</v>
      </c>
      <c r="D8737" t="inlineStr">
        <is>
          <t>VÄRMLANDS LÄN</t>
        </is>
      </c>
      <c r="E8737" t="inlineStr">
        <is>
          <t>ARVIKA</t>
        </is>
      </c>
      <c r="G8737" t="n">
        <v>0.8</v>
      </c>
      <c r="H8737" t="n">
        <v>0</v>
      </c>
      <c r="I8737" t="n">
        <v>0</v>
      </c>
      <c r="J8737" t="n">
        <v>0</v>
      </c>
      <c r="K8737" t="n">
        <v>0</v>
      </c>
      <c r="L8737" t="n">
        <v>0</v>
      </c>
      <c r="M8737" t="n">
        <v>0</v>
      </c>
      <c r="N8737" t="n">
        <v>0</v>
      </c>
      <c r="O8737" t="n">
        <v>0</v>
      </c>
      <c r="P8737" t="n">
        <v>0</v>
      </c>
      <c r="Q8737" t="n">
        <v>0</v>
      </c>
      <c r="R8737" s="2" t="inlineStr"/>
    </row>
    <row r="8738" ht="15" customHeight="1">
      <c r="A8738" t="inlineStr">
        <is>
          <t>A 2014-2023</t>
        </is>
      </c>
      <c r="B8738" s="1" t="n">
        <v>44939</v>
      </c>
      <c r="C8738" s="1" t="n">
        <v>45810</v>
      </c>
      <c r="D8738" t="inlineStr">
        <is>
          <t>VÄRMLANDS LÄN</t>
        </is>
      </c>
      <c r="E8738" t="inlineStr">
        <is>
          <t>SUNNE</t>
        </is>
      </c>
      <c r="G8738" t="n">
        <v>6.4</v>
      </c>
      <c r="H8738" t="n">
        <v>0</v>
      </c>
      <c r="I8738" t="n">
        <v>0</v>
      </c>
      <c r="J8738" t="n">
        <v>0</v>
      </c>
      <c r="K8738" t="n">
        <v>0</v>
      </c>
      <c r="L8738" t="n">
        <v>0</v>
      </c>
      <c r="M8738" t="n">
        <v>0</v>
      </c>
      <c r="N8738" t="n">
        <v>0</v>
      </c>
      <c r="O8738" t="n">
        <v>0</v>
      </c>
      <c r="P8738" t="n">
        <v>0</v>
      </c>
      <c r="Q8738" t="n">
        <v>0</v>
      </c>
      <c r="R8738" s="2" t="inlineStr"/>
    </row>
    <row r="8739" ht="15" customHeight="1">
      <c r="A8739" t="inlineStr">
        <is>
          <t>A 2037-2023</t>
        </is>
      </c>
      <c r="B8739" s="1" t="n">
        <v>44939</v>
      </c>
      <c r="C8739" s="1" t="n">
        <v>45810</v>
      </c>
      <c r="D8739" t="inlineStr">
        <is>
          <t>VÄRMLANDS LÄN</t>
        </is>
      </c>
      <c r="E8739" t="inlineStr">
        <is>
          <t>STORFORS</t>
        </is>
      </c>
      <c r="F8739" t="inlineStr">
        <is>
          <t>Kyrkan</t>
        </is>
      </c>
      <c r="G8739" t="n">
        <v>1.4</v>
      </c>
      <c r="H8739" t="n">
        <v>0</v>
      </c>
      <c r="I8739" t="n">
        <v>0</v>
      </c>
      <c r="J8739" t="n">
        <v>0</v>
      </c>
      <c r="K8739" t="n">
        <v>0</v>
      </c>
      <c r="L8739" t="n">
        <v>0</v>
      </c>
      <c r="M8739" t="n">
        <v>0</v>
      </c>
      <c r="N8739" t="n">
        <v>0</v>
      </c>
      <c r="O8739" t="n">
        <v>0</v>
      </c>
      <c r="P8739" t="n">
        <v>0</v>
      </c>
      <c r="Q8739" t="n">
        <v>0</v>
      </c>
      <c r="R8739" s="2" t="inlineStr"/>
    </row>
    <row r="8740" ht="15" customHeight="1">
      <c r="A8740" t="inlineStr">
        <is>
          <t>A 1947-2023</t>
        </is>
      </c>
      <c r="B8740" s="1" t="n">
        <v>44939</v>
      </c>
      <c r="C8740" s="1" t="n">
        <v>45810</v>
      </c>
      <c r="D8740" t="inlineStr">
        <is>
          <t>VÄRMLANDS LÄN</t>
        </is>
      </c>
      <c r="E8740" t="inlineStr">
        <is>
          <t>TORSBY</t>
        </is>
      </c>
      <c r="G8740" t="n">
        <v>2.9</v>
      </c>
      <c r="H8740" t="n">
        <v>0</v>
      </c>
      <c r="I8740" t="n">
        <v>0</v>
      </c>
      <c r="J8740" t="n">
        <v>0</v>
      </c>
      <c r="K8740" t="n">
        <v>0</v>
      </c>
      <c r="L8740" t="n">
        <v>0</v>
      </c>
      <c r="M8740" t="n">
        <v>0</v>
      </c>
      <c r="N8740" t="n">
        <v>0</v>
      </c>
      <c r="O8740" t="n">
        <v>0</v>
      </c>
      <c r="P8740" t="n">
        <v>0</v>
      </c>
      <c r="Q8740" t="n">
        <v>0</v>
      </c>
      <c r="R8740" s="2" t="inlineStr"/>
    </row>
    <row r="8741" ht="15" customHeight="1">
      <c r="A8741" t="inlineStr">
        <is>
          <t>A 1969-2023</t>
        </is>
      </c>
      <c r="B8741" s="1" t="n">
        <v>44939</v>
      </c>
      <c r="C8741" s="1" t="n">
        <v>45810</v>
      </c>
      <c r="D8741" t="inlineStr">
        <is>
          <t>VÄRMLANDS LÄN</t>
        </is>
      </c>
      <c r="E8741" t="inlineStr">
        <is>
          <t>ARVIKA</t>
        </is>
      </c>
      <c r="G8741" t="n">
        <v>3.3</v>
      </c>
      <c r="H8741" t="n">
        <v>0</v>
      </c>
      <c r="I8741" t="n">
        <v>0</v>
      </c>
      <c r="J8741" t="n">
        <v>0</v>
      </c>
      <c r="K8741" t="n">
        <v>0</v>
      </c>
      <c r="L8741" t="n">
        <v>0</v>
      </c>
      <c r="M8741" t="n">
        <v>0</v>
      </c>
      <c r="N8741" t="n">
        <v>0</v>
      </c>
      <c r="O8741" t="n">
        <v>0</v>
      </c>
      <c r="P8741" t="n">
        <v>0</v>
      </c>
      <c r="Q8741" t="n">
        <v>0</v>
      </c>
      <c r="R8741" s="2" t="inlineStr"/>
    </row>
    <row r="8742" ht="15" customHeight="1">
      <c r="A8742" t="inlineStr">
        <is>
          <t>A 1979-2023</t>
        </is>
      </c>
      <c r="B8742" s="1" t="n">
        <v>44939</v>
      </c>
      <c r="C8742" s="1" t="n">
        <v>45810</v>
      </c>
      <c r="D8742" t="inlineStr">
        <is>
          <t>VÄRMLANDS LÄN</t>
        </is>
      </c>
      <c r="E8742" t="inlineStr">
        <is>
          <t>TORSBY</t>
        </is>
      </c>
      <c r="G8742" t="n">
        <v>2.2</v>
      </c>
      <c r="H8742" t="n">
        <v>0</v>
      </c>
      <c r="I8742" t="n">
        <v>0</v>
      </c>
      <c r="J8742" t="n">
        <v>0</v>
      </c>
      <c r="K8742" t="n">
        <v>0</v>
      </c>
      <c r="L8742" t="n">
        <v>0</v>
      </c>
      <c r="M8742" t="n">
        <v>0</v>
      </c>
      <c r="N8742" t="n">
        <v>0</v>
      </c>
      <c r="O8742" t="n">
        <v>0</v>
      </c>
      <c r="P8742" t="n">
        <v>0</v>
      </c>
      <c r="Q8742" t="n">
        <v>0</v>
      </c>
      <c r="R8742" s="2" t="inlineStr"/>
    </row>
    <row r="8743" ht="15" customHeight="1">
      <c r="A8743" t="inlineStr">
        <is>
          <t>A 2526-2023</t>
        </is>
      </c>
      <c r="B8743" s="1" t="n">
        <v>44939</v>
      </c>
      <c r="C8743" s="1" t="n">
        <v>45810</v>
      </c>
      <c r="D8743" t="inlineStr">
        <is>
          <t>VÄRMLANDS LÄN</t>
        </is>
      </c>
      <c r="E8743" t="inlineStr">
        <is>
          <t>ARVIKA</t>
        </is>
      </c>
      <c r="G8743" t="n">
        <v>5</v>
      </c>
      <c r="H8743" t="n">
        <v>0</v>
      </c>
      <c r="I8743" t="n">
        <v>0</v>
      </c>
      <c r="J8743" t="n">
        <v>0</v>
      </c>
      <c r="K8743" t="n">
        <v>0</v>
      </c>
      <c r="L8743" t="n">
        <v>0</v>
      </c>
      <c r="M8743" t="n">
        <v>0</v>
      </c>
      <c r="N8743" t="n">
        <v>0</v>
      </c>
      <c r="O8743" t="n">
        <v>0</v>
      </c>
      <c r="P8743" t="n">
        <v>0</v>
      </c>
      <c r="Q8743" t="n">
        <v>0</v>
      </c>
      <c r="R8743" s="2" t="inlineStr"/>
    </row>
    <row r="8744" ht="15" customHeight="1">
      <c r="A8744" t="inlineStr">
        <is>
          <t>A 1996-2023</t>
        </is>
      </c>
      <c r="B8744" s="1" t="n">
        <v>44939</v>
      </c>
      <c r="C8744" s="1" t="n">
        <v>45810</v>
      </c>
      <c r="D8744" t="inlineStr">
        <is>
          <t>VÄRMLANDS LÄN</t>
        </is>
      </c>
      <c r="E8744" t="inlineStr">
        <is>
          <t>EDA</t>
        </is>
      </c>
      <c r="G8744" t="n">
        <v>2.2</v>
      </c>
      <c r="H8744" t="n">
        <v>0</v>
      </c>
      <c r="I8744" t="n">
        <v>0</v>
      </c>
      <c r="J8744" t="n">
        <v>0</v>
      </c>
      <c r="K8744" t="n">
        <v>0</v>
      </c>
      <c r="L8744" t="n">
        <v>0</v>
      </c>
      <c r="M8744" t="n">
        <v>0</v>
      </c>
      <c r="N8744" t="n">
        <v>0</v>
      </c>
      <c r="O8744" t="n">
        <v>0</v>
      </c>
      <c r="P8744" t="n">
        <v>0</v>
      </c>
      <c r="Q8744" t="n">
        <v>0</v>
      </c>
      <c r="R8744" s="2" t="inlineStr"/>
    </row>
    <row r="8745" ht="15" customHeight="1">
      <c r="A8745" t="inlineStr">
        <is>
          <t>A 2156-2023</t>
        </is>
      </c>
      <c r="B8745" s="1" t="n">
        <v>44941</v>
      </c>
      <c r="C8745" s="1" t="n">
        <v>45810</v>
      </c>
      <c r="D8745" t="inlineStr">
        <is>
          <t>VÄRMLANDS LÄN</t>
        </is>
      </c>
      <c r="E8745" t="inlineStr">
        <is>
          <t>ARVIKA</t>
        </is>
      </c>
      <c r="G8745" t="n">
        <v>5.1</v>
      </c>
      <c r="H8745" t="n">
        <v>0</v>
      </c>
      <c r="I8745" t="n">
        <v>0</v>
      </c>
      <c r="J8745" t="n">
        <v>0</v>
      </c>
      <c r="K8745" t="n">
        <v>0</v>
      </c>
      <c r="L8745" t="n">
        <v>0</v>
      </c>
      <c r="M8745" t="n">
        <v>0</v>
      </c>
      <c r="N8745" t="n">
        <v>0</v>
      </c>
      <c r="O8745" t="n">
        <v>0</v>
      </c>
      <c r="P8745" t="n">
        <v>0</v>
      </c>
      <c r="Q8745" t="n">
        <v>0</v>
      </c>
      <c r="R8745" s="2" t="inlineStr"/>
    </row>
    <row r="8746" ht="15" customHeight="1">
      <c r="A8746" t="inlineStr">
        <is>
          <t>A 2172-2023</t>
        </is>
      </c>
      <c r="B8746" s="1" t="n">
        <v>44941</v>
      </c>
      <c r="C8746" s="1" t="n">
        <v>45810</v>
      </c>
      <c r="D8746" t="inlineStr">
        <is>
          <t>VÄRMLANDS LÄN</t>
        </is>
      </c>
      <c r="E8746" t="inlineStr">
        <is>
          <t>HAGFORS</t>
        </is>
      </c>
      <c r="G8746" t="n">
        <v>1.2</v>
      </c>
      <c r="H8746" t="n">
        <v>0</v>
      </c>
      <c r="I8746" t="n">
        <v>0</v>
      </c>
      <c r="J8746" t="n">
        <v>0</v>
      </c>
      <c r="K8746" t="n">
        <v>0</v>
      </c>
      <c r="L8746" t="n">
        <v>0</v>
      </c>
      <c r="M8746" t="n">
        <v>0</v>
      </c>
      <c r="N8746" t="n">
        <v>0</v>
      </c>
      <c r="O8746" t="n">
        <v>0</v>
      </c>
      <c r="P8746" t="n">
        <v>0</v>
      </c>
      <c r="Q8746" t="n">
        <v>0</v>
      </c>
      <c r="R8746" s="2" t="inlineStr"/>
    </row>
    <row r="8747" ht="15" customHeight="1">
      <c r="A8747" t="inlineStr">
        <is>
          <t>A 2154-2023</t>
        </is>
      </c>
      <c r="B8747" s="1" t="n">
        <v>44941</v>
      </c>
      <c r="C8747" s="1" t="n">
        <v>45810</v>
      </c>
      <c r="D8747" t="inlineStr">
        <is>
          <t>VÄRMLANDS LÄN</t>
        </is>
      </c>
      <c r="E8747" t="inlineStr">
        <is>
          <t>ARVIKA</t>
        </is>
      </c>
      <c r="G8747" t="n">
        <v>2.5</v>
      </c>
      <c r="H8747" t="n">
        <v>0</v>
      </c>
      <c r="I8747" t="n">
        <v>0</v>
      </c>
      <c r="J8747" t="n">
        <v>0</v>
      </c>
      <c r="K8747" t="n">
        <v>0</v>
      </c>
      <c r="L8747" t="n">
        <v>0</v>
      </c>
      <c r="M8747" t="n">
        <v>0</v>
      </c>
      <c r="N8747" t="n">
        <v>0</v>
      </c>
      <c r="O8747" t="n">
        <v>0</v>
      </c>
      <c r="P8747" t="n">
        <v>0</v>
      </c>
      <c r="Q8747" t="n">
        <v>0</v>
      </c>
      <c r="R8747" s="2" t="inlineStr"/>
    </row>
    <row r="8748" ht="15" customHeight="1">
      <c r="A8748" t="inlineStr">
        <is>
          <t>A 2263-2023</t>
        </is>
      </c>
      <c r="B8748" s="1" t="n">
        <v>44941</v>
      </c>
      <c r="C8748" s="1" t="n">
        <v>45810</v>
      </c>
      <c r="D8748" t="inlineStr">
        <is>
          <t>VÄRMLANDS LÄN</t>
        </is>
      </c>
      <c r="E8748" t="inlineStr">
        <is>
          <t>KIL</t>
        </is>
      </c>
      <c r="G8748" t="n">
        <v>2</v>
      </c>
      <c r="H8748" t="n">
        <v>0</v>
      </c>
      <c r="I8748" t="n">
        <v>0</v>
      </c>
      <c r="J8748" t="n">
        <v>0</v>
      </c>
      <c r="K8748" t="n">
        <v>0</v>
      </c>
      <c r="L8748" t="n">
        <v>0</v>
      </c>
      <c r="M8748" t="n">
        <v>0</v>
      </c>
      <c r="N8748" t="n">
        <v>0</v>
      </c>
      <c r="O8748" t="n">
        <v>0</v>
      </c>
      <c r="P8748" t="n">
        <v>0</v>
      </c>
      <c r="Q8748" t="n">
        <v>0</v>
      </c>
      <c r="R8748" s="2" t="inlineStr"/>
    </row>
    <row r="8749" ht="15" customHeight="1">
      <c r="A8749" t="inlineStr">
        <is>
          <t>A 2157-2023</t>
        </is>
      </c>
      <c r="B8749" s="1" t="n">
        <v>44941</v>
      </c>
      <c r="C8749" s="1" t="n">
        <v>45810</v>
      </c>
      <c r="D8749" t="inlineStr">
        <is>
          <t>VÄRMLANDS LÄN</t>
        </is>
      </c>
      <c r="E8749" t="inlineStr">
        <is>
          <t>ARVIKA</t>
        </is>
      </c>
      <c r="G8749" t="n">
        <v>5.5</v>
      </c>
      <c r="H8749" t="n">
        <v>0</v>
      </c>
      <c r="I8749" t="n">
        <v>0</v>
      </c>
      <c r="J8749" t="n">
        <v>0</v>
      </c>
      <c r="K8749" t="n">
        <v>0</v>
      </c>
      <c r="L8749" t="n">
        <v>0</v>
      </c>
      <c r="M8749" t="n">
        <v>0</v>
      </c>
      <c r="N8749" t="n">
        <v>0</v>
      </c>
      <c r="O8749" t="n">
        <v>0</v>
      </c>
      <c r="P8749" t="n">
        <v>0</v>
      </c>
      <c r="Q8749" t="n">
        <v>0</v>
      </c>
      <c r="R8749" s="2" t="inlineStr"/>
    </row>
    <row r="8750" ht="15" customHeight="1">
      <c r="A8750" t="inlineStr">
        <is>
          <t>A 2173-2023</t>
        </is>
      </c>
      <c r="B8750" s="1" t="n">
        <v>44941</v>
      </c>
      <c r="C8750" s="1" t="n">
        <v>45810</v>
      </c>
      <c r="D8750" t="inlineStr">
        <is>
          <t>VÄRMLANDS LÄN</t>
        </is>
      </c>
      <c r="E8750" t="inlineStr">
        <is>
          <t>SUNNE</t>
        </is>
      </c>
      <c r="G8750" t="n">
        <v>0.4</v>
      </c>
      <c r="H8750" t="n">
        <v>0</v>
      </c>
      <c r="I8750" t="n">
        <v>0</v>
      </c>
      <c r="J8750" t="n">
        <v>0</v>
      </c>
      <c r="K8750" t="n">
        <v>0</v>
      </c>
      <c r="L8750" t="n">
        <v>0</v>
      </c>
      <c r="M8750" t="n">
        <v>0</v>
      </c>
      <c r="N8750" t="n">
        <v>0</v>
      </c>
      <c r="O8750" t="n">
        <v>0</v>
      </c>
      <c r="P8750" t="n">
        <v>0</v>
      </c>
      <c r="Q8750" t="n">
        <v>0</v>
      </c>
      <c r="R8750" s="2" t="inlineStr"/>
    </row>
    <row r="8751" ht="15" customHeight="1">
      <c r="A8751" t="inlineStr">
        <is>
          <t>A 2155-2023</t>
        </is>
      </c>
      <c r="B8751" s="1" t="n">
        <v>44941</v>
      </c>
      <c r="C8751" s="1" t="n">
        <v>45810</v>
      </c>
      <c r="D8751" t="inlineStr">
        <is>
          <t>VÄRMLANDS LÄN</t>
        </is>
      </c>
      <c r="E8751" t="inlineStr">
        <is>
          <t>ARVIKA</t>
        </is>
      </c>
      <c r="G8751" t="n">
        <v>5.2</v>
      </c>
      <c r="H8751" t="n">
        <v>0</v>
      </c>
      <c r="I8751" t="n">
        <v>0</v>
      </c>
      <c r="J8751" t="n">
        <v>0</v>
      </c>
      <c r="K8751" t="n">
        <v>0</v>
      </c>
      <c r="L8751" t="n">
        <v>0</v>
      </c>
      <c r="M8751" t="n">
        <v>0</v>
      </c>
      <c r="N8751" t="n">
        <v>0</v>
      </c>
      <c r="O8751" t="n">
        <v>0</v>
      </c>
      <c r="P8751" t="n">
        <v>0</v>
      </c>
      <c r="Q8751" t="n">
        <v>0</v>
      </c>
      <c r="R8751" s="2" t="inlineStr"/>
    </row>
    <row r="8752" ht="15" customHeight="1">
      <c r="A8752" t="inlineStr">
        <is>
          <t>A 2160-2023</t>
        </is>
      </c>
      <c r="B8752" s="1" t="n">
        <v>44941</v>
      </c>
      <c r="C8752" s="1" t="n">
        <v>45810</v>
      </c>
      <c r="D8752" t="inlineStr">
        <is>
          <t>VÄRMLANDS LÄN</t>
        </is>
      </c>
      <c r="E8752" t="inlineStr">
        <is>
          <t>KRISTINEHAMN</t>
        </is>
      </c>
      <c r="G8752" t="n">
        <v>0.2</v>
      </c>
      <c r="H8752" t="n">
        <v>0</v>
      </c>
      <c r="I8752" t="n">
        <v>0</v>
      </c>
      <c r="J8752" t="n">
        <v>0</v>
      </c>
      <c r="K8752" t="n">
        <v>0</v>
      </c>
      <c r="L8752" t="n">
        <v>0</v>
      </c>
      <c r="M8752" t="n">
        <v>0</v>
      </c>
      <c r="N8752" t="n">
        <v>0</v>
      </c>
      <c r="O8752" t="n">
        <v>0</v>
      </c>
      <c r="P8752" t="n">
        <v>0</v>
      </c>
      <c r="Q8752" t="n">
        <v>0</v>
      </c>
      <c r="R8752" s="2" t="inlineStr"/>
    </row>
    <row r="8753" ht="15" customHeight="1">
      <c r="A8753" t="inlineStr">
        <is>
          <t>A 2171-2023</t>
        </is>
      </c>
      <c r="B8753" s="1" t="n">
        <v>44941</v>
      </c>
      <c r="C8753" s="1" t="n">
        <v>45810</v>
      </c>
      <c r="D8753" t="inlineStr">
        <is>
          <t>VÄRMLANDS LÄN</t>
        </is>
      </c>
      <c r="E8753" t="inlineStr">
        <is>
          <t>SUNNE</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2222-2023</t>
        </is>
      </c>
      <c r="B8754" s="1" t="n">
        <v>44942</v>
      </c>
      <c r="C8754" s="1" t="n">
        <v>45810</v>
      </c>
      <c r="D8754" t="inlineStr">
        <is>
          <t>VÄRMLANDS LÄN</t>
        </is>
      </c>
      <c r="E8754" t="inlineStr">
        <is>
          <t>ÅRJÄNG</t>
        </is>
      </c>
      <c r="G8754" t="n">
        <v>5.7</v>
      </c>
      <c r="H8754" t="n">
        <v>0</v>
      </c>
      <c r="I8754" t="n">
        <v>0</v>
      </c>
      <c r="J8754" t="n">
        <v>0</v>
      </c>
      <c r="K8754" t="n">
        <v>0</v>
      </c>
      <c r="L8754" t="n">
        <v>0</v>
      </c>
      <c r="M8754" t="n">
        <v>0</v>
      </c>
      <c r="N8754" t="n">
        <v>0</v>
      </c>
      <c r="O8754" t="n">
        <v>0</v>
      </c>
      <c r="P8754" t="n">
        <v>0</v>
      </c>
      <c r="Q8754" t="n">
        <v>0</v>
      </c>
      <c r="R8754" s="2" t="inlineStr"/>
    </row>
    <row r="8755" ht="15" customHeight="1">
      <c r="A8755" t="inlineStr">
        <is>
          <t>A 2319-2023</t>
        </is>
      </c>
      <c r="B8755" s="1" t="n">
        <v>44942</v>
      </c>
      <c r="C8755" s="1" t="n">
        <v>45810</v>
      </c>
      <c r="D8755" t="inlineStr">
        <is>
          <t>VÄRMLANDS LÄN</t>
        </is>
      </c>
      <c r="E8755" t="inlineStr">
        <is>
          <t>EDA</t>
        </is>
      </c>
      <c r="G8755" t="n">
        <v>1</v>
      </c>
      <c r="H8755" t="n">
        <v>0</v>
      </c>
      <c r="I8755" t="n">
        <v>0</v>
      </c>
      <c r="J8755" t="n">
        <v>0</v>
      </c>
      <c r="K8755" t="n">
        <v>0</v>
      </c>
      <c r="L8755" t="n">
        <v>0</v>
      </c>
      <c r="M8755" t="n">
        <v>0</v>
      </c>
      <c r="N8755" t="n">
        <v>0</v>
      </c>
      <c r="O8755" t="n">
        <v>0</v>
      </c>
      <c r="P8755" t="n">
        <v>0</v>
      </c>
      <c r="Q8755" t="n">
        <v>0</v>
      </c>
      <c r="R8755" s="2" t="inlineStr"/>
    </row>
    <row r="8756" ht="15" customHeight="1">
      <c r="A8756" t="inlineStr">
        <is>
          <t>A 2377-2023</t>
        </is>
      </c>
      <c r="B8756" s="1" t="n">
        <v>44942</v>
      </c>
      <c r="C8756" s="1" t="n">
        <v>45810</v>
      </c>
      <c r="D8756" t="inlineStr">
        <is>
          <t>VÄRMLANDS LÄN</t>
        </is>
      </c>
      <c r="E8756" t="inlineStr">
        <is>
          <t>ARVIKA</t>
        </is>
      </c>
      <c r="G8756" t="n">
        <v>1.7</v>
      </c>
      <c r="H8756" t="n">
        <v>0</v>
      </c>
      <c r="I8756" t="n">
        <v>0</v>
      </c>
      <c r="J8756" t="n">
        <v>0</v>
      </c>
      <c r="K8756" t="n">
        <v>0</v>
      </c>
      <c r="L8756" t="n">
        <v>0</v>
      </c>
      <c r="M8756" t="n">
        <v>0</v>
      </c>
      <c r="N8756" t="n">
        <v>0</v>
      </c>
      <c r="O8756" t="n">
        <v>0</v>
      </c>
      <c r="P8756" t="n">
        <v>0</v>
      </c>
      <c r="Q8756" t="n">
        <v>0</v>
      </c>
      <c r="R8756" s="2" t="inlineStr"/>
    </row>
    <row r="8757" ht="15" customHeight="1">
      <c r="A8757" t="inlineStr">
        <is>
          <t>A 2326-2023</t>
        </is>
      </c>
      <c r="B8757" s="1" t="n">
        <v>44942</v>
      </c>
      <c r="C8757" s="1" t="n">
        <v>45810</v>
      </c>
      <c r="D8757" t="inlineStr">
        <is>
          <t>VÄRMLANDS LÄN</t>
        </is>
      </c>
      <c r="E8757" t="inlineStr">
        <is>
          <t>EDA</t>
        </is>
      </c>
      <c r="G8757" t="n">
        <v>4</v>
      </c>
      <c r="H8757" t="n">
        <v>0</v>
      </c>
      <c r="I8757" t="n">
        <v>0</v>
      </c>
      <c r="J8757" t="n">
        <v>0</v>
      </c>
      <c r="K8757" t="n">
        <v>0</v>
      </c>
      <c r="L8757" t="n">
        <v>0</v>
      </c>
      <c r="M8757" t="n">
        <v>0</v>
      </c>
      <c r="N8757" t="n">
        <v>0</v>
      </c>
      <c r="O8757" t="n">
        <v>0</v>
      </c>
      <c r="P8757" t="n">
        <v>0</v>
      </c>
      <c r="Q8757" t="n">
        <v>0</v>
      </c>
      <c r="R8757" s="2" t="inlineStr"/>
    </row>
    <row r="8758" ht="15" customHeight="1">
      <c r="A8758" t="inlineStr">
        <is>
          <t>A 2358-2023</t>
        </is>
      </c>
      <c r="B8758" s="1" t="n">
        <v>44942</v>
      </c>
      <c r="C8758" s="1" t="n">
        <v>45810</v>
      </c>
      <c r="D8758" t="inlineStr">
        <is>
          <t>VÄRMLANDS LÄN</t>
        </is>
      </c>
      <c r="E8758" t="inlineStr">
        <is>
          <t>SUNNE</t>
        </is>
      </c>
      <c r="G8758" t="n">
        <v>8</v>
      </c>
      <c r="H8758" t="n">
        <v>0</v>
      </c>
      <c r="I8758" t="n">
        <v>0</v>
      </c>
      <c r="J8758" t="n">
        <v>0</v>
      </c>
      <c r="K8758" t="n">
        <v>0</v>
      </c>
      <c r="L8758" t="n">
        <v>0</v>
      </c>
      <c r="M8758" t="n">
        <v>0</v>
      </c>
      <c r="N8758" t="n">
        <v>0</v>
      </c>
      <c r="O8758" t="n">
        <v>0</v>
      </c>
      <c r="P8758" t="n">
        <v>0</v>
      </c>
      <c r="Q8758" t="n">
        <v>0</v>
      </c>
      <c r="R8758" s="2" t="inlineStr"/>
    </row>
    <row r="8759" ht="15" customHeight="1">
      <c r="A8759" t="inlineStr">
        <is>
          <t>A 2317-2023</t>
        </is>
      </c>
      <c r="B8759" s="1" t="n">
        <v>44942</v>
      </c>
      <c r="C8759" s="1" t="n">
        <v>45810</v>
      </c>
      <c r="D8759" t="inlineStr">
        <is>
          <t>VÄRMLANDS LÄN</t>
        </is>
      </c>
      <c r="E8759" t="inlineStr">
        <is>
          <t>SUNNE</t>
        </is>
      </c>
      <c r="G8759" t="n">
        <v>2.2</v>
      </c>
      <c r="H8759" t="n">
        <v>0</v>
      </c>
      <c r="I8759" t="n">
        <v>0</v>
      </c>
      <c r="J8759" t="n">
        <v>0</v>
      </c>
      <c r="K8759" t="n">
        <v>0</v>
      </c>
      <c r="L8759" t="n">
        <v>0</v>
      </c>
      <c r="M8759" t="n">
        <v>0</v>
      </c>
      <c r="N8759" t="n">
        <v>0</v>
      </c>
      <c r="O8759" t="n">
        <v>0</v>
      </c>
      <c r="P8759" t="n">
        <v>0</v>
      </c>
      <c r="Q8759" t="n">
        <v>0</v>
      </c>
      <c r="R8759" s="2" t="inlineStr"/>
    </row>
    <row r="8760" ht="15" customHeight="1">
      <c r="A8760" t="inlineStr">
        <is>
          <t>A 2688-2023</t>
        </is>
      </c>
      <c r="B8760" s="1" t="n">
        <v>44942</v>
      </c>
      <c r="C8760" s="1" t="n">
        <v>45810</v>
      </c>
      <c r="D8760" t="inlineStr">
        <is>
          <t>VÄRMLANDS LÄN</t>
        </is>
      </c>
      <c r="E8760" t="inlineStr">
        <is>
          <t>KIL</t>
        </is>
      </c>
      <c r="G8760" t="n">
        <v>1.5</v>
      </c>
      <c r="H8760" t="n">
        <v>0</v>
      </c>
      <c r="I8760" t="n">
        <v>0</v>
      </c>
      <c r="J8760" t="n">
        <v>0</v>
      </c>
      <c r="K8760" t="n">
        <v>0</v>
      </c>
      <c r="L8760" t="n">
        <v>0</v>
      </c>
      <c r="M8760" t="n">
        <v>0</v>
      </c>
      <c r="N8760" t="n">
        <v>0</v>
      </c>
      <c r="O8760" t="n">
        <v>0</v>
      </c>
      <c r="P8760" t="n">
        <v>0</v>
      </c>
      <c r="Q8760" t="n">
        <v>0</v>
      </c>
      <c r="R8760" s="2" t="inlineStr"/>
    </row>
    <row r="8761" ht="15" customHeight="1">
      <c r="A8761" t="inlineStr">
        <is>
          <t>A 2708-2023</t>
        </is>
      </c>
      <c r="B8761" s="1" t="n">
        <v>44942</v>
      </c>
      <c r="C8761" s="1" t="n">
        <v>45810</v>
      </c>
      <c r="D8761" t="inlineStr">
        <is>
          <t>VÄRMLANDS LÄN</t>
        </is>
      </c>
      <c r="E8761" t="inlineStr">
        <is>
          <t>KIL</t>
        </is>
      </c>
      <c r="G8761" t="n">
        <v>0.6</v>
      </c>
      <c r="H8761" t="n">
        <v>0</v>
      </c>
      <c r="I8761" t="n">
        <v>0</v>
      </c>
      <c r="J8761" t="n">
        <v>0</v>
      </c>
      <c r="K8761" t="n">
        <v>0</v>
      </c>
      <c r="L8761" t="n">
        <v>0</v>
      </c>
      <c r="M8761" t="n">
        <v>0</v>
      </c>
      <c r="N8761" t="n">
        <v>0</v>
      </c>
      <c r="O8761" t="n">
        <v>0</v>
      </c>
      <c r="P8761" t="n">
        <v>0</v>
      </c>
      <c r="Q8761" t="n">
        <v>0</v>
      </c>
      <c r="R8761" s="2" t="inlineStr"/>
    </row>
    <row r="8762" ht="15" customHeight="1">
      <c r="A8762" t="inlineStr">
        <is>
          <t>A 2471-2023</t>
        </is>
      </c>
      <c r="B8762" s="1" t="n">
        <v>44943</v>
      </c>
      <c r="C8762" s="1" t="n">
        <v>45810</v>
      </c>
      <c r="D8762" t="inlineStr">
        <is>
          <t>VÄRMLANDS LÄN</t>
        </is>
      </c>
      <c r="E8762" t="inlineStr">
        <is>
          <t>TORSBY</t>
        </is>
      </c>
      <c r="G8762" t="n">
        <v>2.2</v>
      </c>
      <c r="H8762" t="n">
        <v>0</v>
      </c>
      <c r="I8762" t="n">
        <v>0</v>
      </c>
      <c r="J8762" t="n">
        <v>0</v>
      </c>
      <c r="K8762" t="n">
        <v>0</v>
      </c>
      <c r="L8762" t="n">
        <v>0</v>
      </c>
      <c r="M8762" t="n">
        <v>0</v>
      </c>
      <c r="N8762" t="n">
        <v>0</v>
      </c>
      <c r="O8762" t="n">
        <v>0</v>
      </c>
      <c r="P8762" t="n">
        <v>0</v>
      </c>
      <c r="Q8762" t="n">
        <v>0</v>
      </c>
      <c r="R8762" s="2" t="inlineStr"/>
    </row>
    <row r="8763" ht="15" customHeight="1">
      <c r="A8763" t="inlineStr">
        <is>
          <t>A 2484-2023</t>
        </is>
      </c>
      <c r="B8763" s="1" t="n">
        <v>44943</v>
      </c>
      <c r="C8763" s="1" t="n">
        <v>45810</v>
      </c>
      <c r="D8763" t="inlineStr">
        <is>
          <t>VÄRMLANDS LÄN</t>
        </is>
      </c>
      <c r="E8763" t="inlineStr">
        <is>
          <t>SÄFFLE</t>
        </is>
      </c>
      <c r="G8763" t="n">
        <v>0.8</v>
      </c>
      <c r="H8763" t="n">
        <v>0</v>
      </c>
      <c r="I8763" t="n">
        <v>0</v>
      </c>
      <c r="J8763" t="n">
        <v>0</v>
      </c>
      <c r="K8763" t="n">
        <v>0</v>
      </c>
      <c r="L8763" t="n">
        <v>0</v>
      </c>
      <c r="M8763" t="n">
        <v>0</v>
      </c>
      <c r="N8763" t="n">
        <v>0</v>
      </c>
      <c r="O8763" t="n">
        <v>0</v>
      </c>
      <c r="P8763" t="n">
        <v>0</v>
      </c>
      <c r="Q8763" t="n">
        <v>0</v>
      </c>
      <c r="R8763" s="2" t="inlineStr"/>
    </row>
    <row r="8764" ht="15" customHeight="1">
      <c r="A8764" t="inlineStr">
        <is>
          <t>A 2514-2023</t>
        </is>
      </c>
      <c r="B8764" s="1" t="n">
        <v>44943</v>
      </c>
      <c r="C8764" s="1" t="n">
        <v>45810</v>
      </c>
      <c r="D8764" t="inlineStr">
        <is>
          <t>VÄRMLANDS LÄN</t>
        </is>
      </c>
      <c r="E8764" t="inlineStr">
        <is>
          <t>SUNNE</t>
        </is>
      </c>
      <c r="G8764" t="n">
        <v>4.5</v>
      </c>
      <c r="H8764" t="n">
        <v>0</v>
      </c>
      <c r="I8764" t="n">
        <v>0</v>
      </c>
      <c r="J8764" t="n">
        <v>0</v>
      </c>
      <c r="K8764" t="n">
        <v>0</v>
      </c>
      <c r="L8764" t="n">
        <v>0</v>
      </c>
      <c r="M8764" t="n">
        <v>0</v>
      </c>
      <c r="N8764" t="n">
        <v>0</v>
      </c>
      <c r="O8764" t="n">
        <v>0</v>
      </c>
      <c r="P8764" t="n">
        <v>0</v>
      </c>
      <c r="Q8764" t="n">
        <v>0</v>
      </c>
      <c r="R8764" s="2" t="inlineStr"/>
    </row>
    <row r="8765" ht="15" customHeight="1">
      <c r="A8765" t="inlineStr">
        <is>
          <t>A 2512-2023</t>
        </is>
      </c>
      <c r="B8765" s="1" t="n">
        <v>44943</v>
      </c>
      <c r="C8765" s="1" t="n">
        <v>45810</v>
      </c>
      <c r="D8765" t="inlineStr">
        <is>
          <t>VÄRMLANDS LÄN</t>
        </is>
      </c>
      <c r="E8765" t="inlineStr">
        <is>
          <t>TORSBY</t>
        </is>
      </c>
      <c r="G8765" t="n">
        <v>4.3</v>
      </c>
      <c r="H8765" t="n">
        <v>0</v>
      </c>
      <c r="I8765" t="n">
        <v>0</v>
      </c>
      <c r="J8765" t="n">
        <v>0</v>
      </c>
      <c r="K8765" t="n">
        <v>0</v>
      </c>
      <c r="L8765" t="n">
        <v>0</v>
      </c>
      <c r="M8765" t="n">
        <v>0</v>
      </c>
      <c r="N8765" t="n">
        <v>0</v>
      </c>
      <c r="O8765" t="n">
        <v>0</v>
      </c>
      <c r="P8765" t="n">
        <v>0</v>
      </c>
      <c r="Q8765" t="n">
        <v>0</v>
      </c>
      <c r="R8765" s="2" t="inlineStr"/>
    </row>
    <row r="8766" ht="15" customHeight="1">
      <c r="A8766" t="inlineStr">
        <is>
          <t>A 2525-2023</t>
        </is>
      </c>
      <c r="B8766" s="1" t="n">
        <v>44943</v>
      </c>
      <c r="C8766" s="1" t="n">
        <v>45810</v>
      </c>
      <c r="D8766" t="inlineStr">
        <is>
          <t>VÄRMLANDS LÄN</t>
        </is>
      </c>
      <c r="E8766" t="inlineStr">
        <is>
          <t>SUNNE</t>
        </is>
      </c>
      <c r="G8766" t="n">
        <v>15.2</v>
      </c>
      <c r="H8766" t="n">
        <v>0</v>
      </c>
      <c r="I8766" t="n">
        <v>0</v>
      </c>
      <c r="J8766" t="n">
        <v>0</v>
      </c>
      <c r="K8766" t="n">
        <v>0</v>
      </c>
      <c r="L8766" t="n">
        <v>0</v>
      </c>
      <c r="M8766" t="n">
        <v>0</v>
      </c>
      <c r="N8766" t="n">
        <v>0</v>
      </c>
      <c r="O8766" t="n">
        <v>0</v>
      </c>
      <c r="P8766" t="n">
        <v>0</v>
      </c>
      <c r="Q8766" t="n">
        <v>0</v>
      </c>
      <c r="R8766" s="2" t="inlineStr"/>
    </row>
    <row r="8767" ht="15" customHeight="1">
      <c r="A8767" t="inlineStr">
        <is>
          <t>A 2532-2023</t>
        </is>
      </c>
      <c r="B8767" s="1" t="n">
        <v>44943</v>
      </c>
      <c r="C8767" s="1" t="n">
        <v>45810</v>
      </c>
      <c r="D8767" t="inlineStr">
        <is>
          <t>VÄRMLANDS LÄN</t>
        </is>
      </c>
      <c r="E8767" t="inlineStr">
        <is>
          <t>SÄFFLE</t>
        </is>
      </c>
      <c r="G8767" t="n">
        <v>0.9</v>
      </c>
      <c r="H8767" t="n">
        <v>0</v>
      </c>
      <c r="I8767" t="n">
        <v>0</v>
      </c>
      <c r="J8767" t="n">
        <v>0</v>
      </c>
      <c r="K8767" t="n">
        <v>0</v>
      </c>
      <c r="L8767" t="n">
        <v>0</v>
      </c>
      <c r="M8767" t="n">
        <v>0</v>
      </c>
      <c r="N8767" t="n">
        <v>0</v>
      </c>
      <c r="O8767" t="n">
        <v>0</v>
      </c>
      <c r="P8767" t="n">
        <v>0</v>
      </c>
      <c r="Q8767" t="n">
        <v>0</v>
      </c>
      <c r="R8767" s="2" t="inlineStr"/>
    </row>
    <row r="8768" ht="15" customHeight="1">
      <c r="A8768" t="inlineStr">
        <is>
          <t>A 2589-2023</t>
        </is>
      </c>
      <c r="B8768" s="1" t="n">
        <v>44943</v>
      </c>
      <c r="C8768" s="1" t="n">
        <v>45810</v>
      </c>
      <c r="D8768" t="inlineStr">
        <is>
          <t>VÄRMLANDS LÄN</t>
        </is>
      </c>
      <c r="E8768" t="inlineStr">
        <is>
          <t>STORFORS</t>
        </is>
      </c>
      <c r="G8768" t="n">
        <v>2.6</v>
      </c>
      <c r="H8768" t="n">
        <v>0</v>
      </c>
      <c r="I8768" t="n">
        <v>0</v>
      </c>
      <c r="J8768" t="n">
        <v>0</v>
      </c>
      <c r="K8768" t="n">
        <v>0</v>
      </c>
      <c r="L8768" t="n">
        <v>0</v>
      </c>
      <c r="M8768" t="n">
        <v>0</v>
      </c>
      <c r="N8768" t="n">
        <v>0</v>
      </c>
      <c r="O8768" t="n">
        <v>0</v>
      </c>
      <c r="P8768" t="n">
        <v>0</v>
      </c>
      <c r="Q8768" t="n">
        <v>0</v>
      </c>
      <c r="R8768" s="2" t="inlineStr"/>
    </row>
    <row r="8769" ht="15" customHeight="1">
      <c r="A8769" t="inlineStr">
        <is>
          <t>A 2740-2023</t>
        </is>
      </c>
      <c r="B8769" s="1" t="n">
        <v>44943</v>
      </c>
      <c r="C8769" s="1" t="n">
        <v>45810</v>
      </c>
      <c r="D8769" t="inlineStr">
        <is>
          <t>VÄRMLANDS LÄN</t>
        </is>
      </c>
      <c r="E8769" t="inlineStr">
        <is>
          <t>SÄFFLE</t>
        </is>
      </c>
      <c r="G8769" t="n">
        <v>6</v>
      </c>
      <c r="H8769" t="n">
        <v>0</v>
      </c>
      <c r="I8769" t="n">
        <v>0</v>
      </c>
      <c r="J8769" t="n">
        <v>0</v>
      </c>
      <c r="K8769" t="n">
        <v>0</v>
      </c>
      <c r="L8769" t="n">
        <v>0</v>
      </c>
      <c r="M8769" t="n">
        <v>0</v>
      </c>
      <c r="N8769" t="n">
        <v>0</v>
      </c>
      <c r="O8769" t="n">
        <v>0</v>
      </c>
      <c r="P8769" t="n">
        <v>0</v>
      </c>
      <c r="Q8769" t="n">
        <v>0</v>
      </c>
      <c r="R8769" s="2" t="inlineStr"/>
    </row>
    <row r="8770" ht="15" customHeight="1">
      <c r="A8770" t="inlineStr">
        <is>
          <t>A 2905-2023</t>
        </is>
      </c>
      <c r="B8770" s="1" t="n">
        <v>44943</v>
      </c>
      <c r="C8770" s="1" t="n">
        <v>45810</v>
      </c>
      <c r="D8770" t="inlineStr">
        <is>
          <t>VÄRMLANDS LÄN</t>
        </is>
      </c>
      <c r="E8770" t="inlineStr">
        <is>
          <t>EDA</t>
        </is>
      </c>
      <c r="G8770" t="n">
        <v>2.3</v>
      </c>
      <c r="H8770" t="n">
        <v>0</v>
      </c>
      <c r="I8770" t="n">
        <v>0</v>
      </c>
      <c r="J8770" t="n">
        <v>0</v>
      </c>
      <c r="K8770" t="n">
        <v>0</v>
      </c>
      <c r="L8770" t="n">
        <v>0</v>
      </c>
      <c r="M8770" t="n">
        <v>0</v>
      </c>
      <c r="N8770" t="n">
        <v>0</v>
      </c>
      <c r="O8770" t="n">
        <v>0</v>
      </c>
      <c r="P8770" t="n">
        <v>0</v>
      </c>
      <c r="Q8770" t="n">
        <v>0</v>
      </c>
      <c r="R8770" s="2" t="inlineStr"/>
    </row>
    <row r="8771" ht="15" customHeight="1">
      <c r="A8771" t="inlineStr">
        <is>
          <t>A 2912-2023</t>
        </is>
      </c>
      <c r="B8771" s="1" t="n">
        <v>44943</v>
      </c>
      <c r="C8771" s="1" t="n">
        <v>45810</v>
      </c>
      <c r="D8771" t="inlineStr">
        <is>
          <t>VÄRMLANDS LÄN</t>
        </is>
      </c>
      <c r="E8771" t="inlineStr">
        <is>
          <t>SÄFFLE</t>
        </is>
      </c>
      <c r="F8771" t="inlineStr">
        <is>
          <t>Bergvik skog väst AB</t>
        </is>
      </c>
      <c r="G8771" t="n">
        <v>8</v>
      </c>
      <c r="H8771" t="n">
        <v>0</v>
      </c>
      <c r="I8771" t="n">
        <v>0</v>
      </c>
      <c r="J8771" t="n">
        <v>0</v>
      </c>
      <c r="K8771" t="n">
        <v>0</v>
      </c>
      <c r="L8771" t="n">
        <v>0</v>
      </c>
      <c r="M8771" t="n">
        <v>0</v>
      </c>
      <c r="N8771" t="n">
        <v>0</v>
      </c>
      <c r="O8771" t="n">
        <v>0</v>
      </c>
      <c r="P8771" t="n">
        <v>0</v>
      </c>
      <c r="Q8771" t="n">
        <v>0</v>
      </c>
      <c r="R8771" s="2" t="inlineStr"/>
    </row>
    <row r="8772" ht="15" customHeight="1">
      <c r="A8772" t="inlineStr">
        <is>
          <t>A 2769-2023</t>
        </is>
      </c>
      <c r="B8772" s="1" t="n">
        <v>44944</v>
      </c>
      <c r="C8772" s="1" t="n">
        <v>45810</v>
      </c>
      <c r="D8772" t="inlineStr">
        <is>
          <t>VÄRMLANDS LÄN</t>
        </is>
      </c>
      <c r="E8772" t="inlineStr">
        <is>
          <t>HAMMARÖ</t>
        </is>
      </c>
      <c r="G8772" t="n">
        <v>8.699999999999999</v>
      </c>
      <c r="H8772" t="n">
        <v>0</v>
      </c>
      <c r="I8772" t="n">
        <v>0</v>
      </c>
      <c r="J8772" t="n">
        <v>0</v>
      </c>
      <c r="K8772" t="n">
        <v>0</v>
      </c>
      <c r="L8772" t="n">
        <v>0</v>
      </c>
      <c r="M8772" t="n">
        <v>0</v>
      </c>
      <c r="N8772" t="n">
        <v>0</v>
      </c>
      <c r="O8772" t="n">
        <v>0</v>
      </c>
      <c r="P8772" t="n">
        <v>0</v>
      </c>
      <c r="Q8772" t="n">
        <v>0</v>
      </c>
      <c r="R8772" s="2" t="inlineStr"/>
    </row>
    <row r="8773" ht="15" customHeight="1">
      <c r="A8773" t="inlineStr">
        <is>
          <t>A 2770-2023</t>
        </is>
      </c>
      <c r="B8773" s="1" t="n">
        <v>44944</v>
      </c>
      <c r="C8773" s="1" t="n">
        <v>45810</v>
      </c>
      <c r="D8773" t="inlineStr">
        <is>
          <t>VÄRMLANDS LÄN</t>
        </is>
      </c>
      <c r="E8773" t="inlineStr">
        <is>
          <t>ARVIKA</t>
        </is>
      </c>
      <c r="G8773" t="n">
        <v>1.8</v>
      </c>
      <c r="H8773" t="n">
        <v>0</v>
      </c>
      <c r="I8773" t="n">
        <v>0</v>
      </c>
      <c r="J8773" t="n">
        <v>0</v>
      </c>
      <c r="K8773" t="n">
        <v>0</v>
      </c>
      <c r="L8773" t="n">
        <v>0</v>
      </c>
      <c r="M8773" t="n">
        <v>0</v>
      </c>
      <c r="N8773" t="n">
        <v>0</v>
      </c>
      <c r="O8773" t="n">
        <v>0</v>
      </c>
      <c r="P8773" t="n">
        <v>0</v>
      </c>
      <c r="Q8773" t="n">
        <v>0</v>
      </c>
      <c r="R8773" s="2" t="inlineStr"/>
    </row>
    <row r="8774" ht="15" customHeight="1">
      <c r="A8774" t="inlineStr">
        <is>
          <t>A 2812-2023</t>
        </is>
      </c>
      <c r="B8774" s="1" t="n">
        <v>44944</v>
      </c>
      <c r="C8774" s="1" t="n">
        <v>45810</v>
      </c>
      <c r="D8774" t="inlineStr">
        <is>
          <t>VÄRMLANDS LÄN</t>
        </is>
      </c>
      <c r="E8774" t="inlineStr">
        <is>
          <t>FORSHAGA</t>
        </is>
      </c>
      <c r="G8774" t="n">
        <v>0.7</v>
      </c>
      <c r="H8774" t="n">
        <v>0</v>
      </c>
      <c r="I8774" t="n">
        <v>0</v>
      </c>
      <c r="J8774" t="n">
        <v>0</v>
      </c>
      <c r="K8774" t="n">
        <v>0</v>
      </c>
      <c r="L8774" t="n">
        <v>0</v>
      </c>
      <c r="M8774" t="n">
        <v>0</v>
      </c>
      <c r="N8774" t="n">
        <v>0</v>
      </c>
      <c r="O8774" t="n">
        <v>0</v>
      </c>
      <c r="P8774" t="n">
        <v>0</v>
      </c>
      <c r="Q8774" t="n">
        <v>0</v>
      </c>
      <c r="R8774" s="2" t="inlineStr"/>
    </row>
    <row r="8775" ht="15" customHeight="1">
      <c r="A8775" t="inlineStr">
        <is>
          <t>A 2849-2023</t>
        </is>
      </c>
      <c r="B8775" s="1" t="n">
        <v>44945</v>
      </c>
      <c r="C8775" s="1" t="n">
        <v>45810</v>
      </c>
      <c r="D8775" t="inlineStr">
        <is>
          <t>VÄRMLANDS LÄN</t>
        </is>
      </c>
      <c r="E8775" t="inlineStr">
        <is>
          <t>ARVIKA</t>
        </is>
      </c>
      <c r="F8775" t="inlineStr">
        <is>
          <t>Bergvik skog väst AB</t>
        </is>
      </c>
      <c r="G8775" t="n">
        <v>0.4</v>
      </c>
      <c r="H8775" t="n">
        <v>0</v>
      </c>
      <c r="I8775" t="n">
        <v>0</v>
      </c>
      <c r="J8775" t="n">
        <v>0</v>
      </c>
      <c r="K8775" t="n">
        <v>0</v>
      </c>
      <c r="L8775" t="n">
        <v>0</v>
      </c>
      <c r="M8775" t="n">
        <v>0</v>
      </c>
      <c r="N8775" t="n">
        <v>0</v>
      </c>
      <c r="O8775" t="n">
        <v>0</v>
      </c>
      <c r="P8775" t="n">
        <v>0</v>
      </c>
      <c r="Q8775" t="n">
        <v>0</v>
      </c>
      <c r="R8775" s="2" t="inlineStr"/>
    </row>
    <row r="8776" ht="15" customHeight="1">
      <c r="A8776" t="inlineStr">
        <is>
          <t>A 2933-2023</t>
        </is>
      </c>
      <c r="B8776" s="1" t="n">
        <v>44945</v>
      </c>
      <c r="C8776" s="1" t="n">
        <v>45810</v>
      </c>
      <c r="D8776" t="inlineStr">
        <is>
          <t>VÄRMLANDS LÄN</t>
        </is>
      </c>
      <c r="E8776" t="inlineStr">
        <is>
          <t>SÄFFLE</t>
        </is>
      </c>
      <c r="G8776" t="n">
        <v>0.6</v>
      </c>
      <c r="H8776" t="n">
        <v>0</v>
      </c>
      <c r="I8776" t="n">
        <v>0</v>
      </c>
      <c r="J8776" t="n">
        <v>0</v>
      </c>
      <c r="K8776" t="n">
        <v>0</v>
      </c>
      <c r="L8776" t="n">
        <v>0</v>
      </c>
      <c r="M8776" t="n">
        <v>0</v>
      </c>
      <c r="N8776" t="n">
        <v>0</v>
      </c>
      <c r="O8776" t="n">
        <v>0</v>
      </c>
      <c r="P8776" t="n">
        <v>0</v>
      </c>
      <c r="Q8776" t="n">
        <v>0</v>
      </c>
      <c r="R8776" s="2" t="inlineStr"/>
    </row>
    <row r="8777" ht="15" customHeight="1">
      <c r="A8777" t="inlineStr">
        <is>
          <t>A 2978-2023</t>
        </is>
      </c>
      <c r="B8777" s="1" t="n">
        <v>44945</v>
      </c>
      <c r="C8777" s="1" t="n">
        <v>45810</v>
      </c>
      <c r="D8777" t="inlineStr">
        <is>
          <t>VÄRMLANDS LÄN</t>
        </is>
      </c>
      <c r="E8777" t="inlineStr">
        <is>
          <t>KARLSTAD</t>
        </is>
      </c>
      <c r="G8777" t="n">
        <v>6.8</v>
      </c>
      <c r="H8777" t="n">
        <v>0</v>
      </c>
      <c r="I8777" t="n">
        <v>0</v>
      </c>
      <c r="J8777" t="n">
        <v>0</v>
      </c>
      <c r="K8777" t="n">
        <v>0</v>
      </c>
      <c r="L8777" t="n">
        <v>0</v>
      </c>
      <c r="M8777" t="n">
        <v>0</v>
      </c>
      <c r="N8777" t="n">
        <v>0</v>
      </c>
      <c r="O8777" t="n">
        <v>0</v>
      </c>
      <c r="P8777" t="n">
        <v>0</v>
      </c>
      <c r="Q8777" t="n">
        <v>0</v>
      </c>
      <c r="R8777" s="2" t="inlineStr"/>
    </row>
    <row r="8778" ht="15" customHeight="1">
      <c r="A8778" t="inlineStr">
        <is>
          <t>A 2984-2023</t>
        </is>
      </c>
      <c r="B8778" s="1" t="n">
        <v>44945</v>
      </c>
      <c r="C8778" s="1" t="n">
        <v>45810</v>
      </c>
      <c r="D8778" t="inlineStr">
        <is>
          <t>VÄRMLANDS LÄN</t>
        </is>
      </c>
      <c r="E8778" t="inlineStr">
        <is>
          <t>KARLSTAD</t>
        </is>
      </c>
      <c r="G8778" t="n">
        <v>1.7</v>
      </c>
      <c r="H8778" t="n">
        <v>0</v>
      </c>
      <c r="I8778" t="n">
        <v>0</v>
      </c>
      <c r="J8778" t="n">
        <v>0</v>
      </c>
      <c r="K8778" t="n">
        <v>0</v>
      </c>
      <c r="L8778" t="n">
        <v>0</v>
      </c>
      <c r="M8778" t="n">
        <v>0</v>
      </c>
      <c r="N8778" t="n">
        <v>0</v>
      </c>
      <c r="O8778" t="n">
        <v>0</v>
      </c>
      <c r="P8778" t="n">
        <v>0</v>
      </c>
      <c r="Q8778" t="n">
        <v>0</v>
      </c>
      <c r="R8778" s="2" t="inlineStr"/>
    </row>
    <row r="8779" ht="15" customHeight="1">
      <c r="A8779" t="inlineStr">
        <is>
          <t>A 3283-2023</t>
        </is>
      </c>
      <c r="B8779" s="1" t="n">
        <v>44945</v>
      </c>
      <c r="C8779" s="1" t="n">
        <v>45810</v>
      </c>
      <c r="D8779" t="inlineStr">
        <is>
          <t>VÄRMLANDS LÄN</t>
        </is>
      </c>
      <c r="E8779" t="inlineStr">
        <is>
          <t>SÄFFLE</t>
        </is>
      </c>
      <c r="G8779" t="n">
        <v>2.4</v>
      </c>
      <c r="H8779" t="n">
        <v>0</v>
      </c>
      <c r="I8779" t="n">
        <v>0</v>
      </c>
      <c r="J8779" t="n">
        <v>0</v>
      </c>
      <c r="K8779" t="n">
        <v>0</v>
      </c>
      <c r="L8779" t="n">
        <v>0</v>
      </c>
      <c r="M8779" t="n">
        <v>0</v>
      </c>
      <c r="N8779" t="n">
        <v>0</v>
      </c>
      <c r="O8779" t="n">
        <v>0</v>
      </c>
      <c r="P8779" t="n">
        <v>0</v>
      </c>
      <c r="Q8779" t="n">
        <v>0</v>
      </c>
      <c r="R8779" s="2" t="inlineStr"/>
    </row>
    <row r="8780" ht="15" customHeight="1">
      <c r="A8780" t="inlineStr">
        <is>
          <t>A 3098-2023</t>
        </is>
      </c>
      <c r="B8780" s="1" t="n">
        <v>44946</v>
      </c>
      <c r="C8780" s="1" t="n">
        <v>45810</v>
      </c>
      <c r="D8780" t="inlineStr">
        <is>
          <t>VÄRMLANDS LÄN</t>
        </is>
      </c>
      <c r="E8780" t="inlineStr">
        <is>
          <t>TORSBY</t>
        </is>
      </c>
      <c r="G8780" t="n">
        <v>1.7</v>
      </c>
      <c r="H8780" t="n">
        <v>0</v>
      </c>
      <c r="I8780" t="n">
        <v>0</v>
      </c>
      <c r="J8780" t="n">
        <v>0</v>
      </c>
      <c r="K8780" t="n">
        <v>0</v>
      </c>
      <c r="L8780" t="n">
        <v>0</v>
      </c>
      <c r="M8780" t="n">
        <v>0</v>
      </c>
      <c r="N8780" t="n">
        <v>0</v>
      </c>
      <c r="O8780" t="n">
        <v>0</v>
      </c>
      <c r="P8780" t="n">
        <v>0</v>
      </c>
      <c r="Q8780" t="n">
        <v>0</v>
      </c>
      <c r="R8780" s="2" t="inlineStr"/>
    </row>
    <row r="8781" ht="15" customHeight="1">
      <c r="A8781" t="inlineStr">
        <is>
          <t>A 3103-2023</t>
        </is>
      </c>
      <c r="B8781" s="1" t="n">
        <v>44946</v>
      </c>
      <c r="C8781" s="1" t="n">
        <v>45810</v>
      </c>
      <c r="D8781" t="inlineStr">
        <is>
          <t>VÄRMLANDS LÄN</t>
        </is>
      </c>
      <c r="E8781" t="inlineStr">
        <is>
          <t>TORSBY</t>
        </is>
      </c>
      <c r="G8781" t="n">
        <v>1.4</v>
      </c>
      <c r="H8781" t="n">
        <v>0</v>
      </c>
      <c r="I8781" t="n">
        <v>0</v>
      </c>
      <c r="J8781" t="n">
        <v>0</v>
      </c>
      <c r="K8781" t="n">
        <v>0</v>
      </c>
      <c r="L8781" t="n">
        <v>0</v>
      </c>
      <c r="M8781" t="n">
        <v>0</v>
      </c>
      <c r="N8781" t="n">
        <v>0</v>
      </c>
      <c r="O8781" t="n">
        <v>0</v>
      </c>
      <c r="P8781" t="n">
        <v>0</v>
      </c>
      <c r="Q8781" t="n">
        <v>0</v>
      </c>
      <c r="R8781" s="2" t="inlineStr"/>
    </row>
    <row r="8782" ht="15" customHeight="1">
      <c r="A8782" t="inlineStr">
        <is>
          <t>A 3723-2023</t>
        </is>
      </c>
      <c r="B8782" s="1" t="n">
        <v>44946</v>
      </c>
      <c r="C8782" s="1" t="n">
        <v>45810</v>
      </c>
      <c r="D8782" t="inlineStr">
        <is>
          <t>VÄRMLANDS LÄN</t>
        </is>
      </c>
      <c r="E8782" t="inlineStr">
        <is>
          <t>SÄFFLE</t>
        </is>
      </c>
      <c r="G8782" t="n">
        <v>9</v>
      </c>
      <c r="H8782" t="n">
        <v>0</v>
      </c>
      <c r="I8782" t="n">
        <v>0</v>
      </c>
      <c r="J8782" t="n">
        <v>0</v>
      </c>
      <c r="K8782" t="n">
        <v>0</v>
      </c>
      <c r="L8782" t="n">
        <v>0</v>
      </c>
      <c r="M8782" t="n">
        <v>0</v>
      </c>
      <c r="N8782" t="n">
        <v>0</v>
      </c>
      <c r="O8782" t="n">
        <v>0</v>
      </c>
      <c r="P8782" t="n">
        <v>0</v>
      </c>
      <c r="Q8782" t="n">
        <v>0</v>
      </c>
      <c r="R8782" s="2" t="inlineStr"/>
    </row>
    <row r="8783" ht="15" customHeight="1">
      <c r="A8783" t="inlineStr">
        <is>
          <t>A 3734-2023</t>
        </is>
      </c>
      <c r="B8783" s="1" t="n">
        <v>44948</v>
      </c>
      <c r="C8783" s="1" t="n">
        <v>45810</v>
      </c>
      <c r="D8783" t="inlineStr">
        <is>
          <t>VÄRMLANDS LÄN</t>
        </is>
      </c>
      <c r="E8783" t="inlineStr">
        <is>
          <t>ÅRJÄNG</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3256-2023</t>
        </is>
      </c>
      <c r="B8784" s="1" t="n">
        <v>44948</v>
      </c>
      <c r="C8784" s="1" t="n">
        <v>45810</v>
      </c>
      <c r="D8784" t="inlineStr">
        <is>
          <t>VÄRMLANDS LÄN</t>
        </is>
      </c>
      <c r="E8784" t="inlineStr">
        <is>
          <t>TORSBY</t>
        </is>
      </c>
      <c r="G8784" t="n">
        <v>1.9</v>
      </c>
      <c r="H8784" t="n">
        <v>0</v>
      </c>
      <c r="I8784" t="n">
        <v>0</v>
      </c>
      <c r="J8784" t="n">
        <v>0</v>
      </c>
      <c r="K8784" t="n">
        <v>0</v>
      </c>
      <c r="L8784" t="n">
        <v>0</v>
      </c>
      <c r="M8784" t="n">
        <v>0</v>
      </c>
      <c r="N8784" t="n">
        <v>0</v>
      </c>
      <c r="O8784" t="n">
        <v>0</v>
      </c>
      <c r="P8784" t="n">
        <v>0</v>
      </c>
      <c r="Q8784" t="n">
        <v>0</v>
      </c>
      <c r="R8784" s="2" t="inlineStr"/>
    </row>
    <row r="8785" ht="15" customHeight="1">
      <c r="A8785" t="inlineStr">
        <is>
          <t>A 3284-2023</t>
        </is>
      </c>
      <c r="B8785" s="1" t="n">
        <v>44949</v>
      </c>
      <c r="C8785" s="1" t="n">
        <v>45810</v>
      </c>
      <c r="D8785" t="inlineStr">
        <is>
          <t>VÄRMLANDS LÄN</t>
        </is>
      </c>
      <c r="E8785" t="inlineStr">
        <is>
          <t>SUNNE</t>
        </is>
      </c>
      <c r="G8785" t="n">
        <v>0.8</v>
      </c>
      <c r="H8785" t="n">
        <v>0</v>
      </c>
      <c r="I8785" t="n">
        <v>0</v>
      </c>
      <c r="J8785" t="n">
        <v>0</v>
      </c>
      <c r="K8785" t="n">
        <v>0</v>
      </c>
      <c r="L8785" t="n">
        <v>0</v>
      </c>
      <c r="M8785" t="n">
        <v>0</v>
      </c>
      <c r="N8785" t="n">
        <v>0</v>
      </c>
      <c r="O8785" t="n">
        <v>0</v>
      </c>
      <c r="P8785" t="n">
        <v>0</v>
      </c>
      <c r="Q8785" t="n">
        <v>0</v>
      </c>
      <c r="R8785" s="2" t="inlineStr"/>
    </row>
    <row r="8786" ht="15" customHeight="1">
      <c r="A8786" t="inlineStr">
        <is>
          <t>A 3346-2023</t>
        </is>
      </c>
      <c r="B8786" s="1" t="n">
        <v>44949</v>
      </c>
      <c r="C8786" s="1" t="n">
        <v>45810</v>
      </c>
      <c r="D8786" t="inlineStr">
        <is>
          <t>VÄRMLANDS LÄN</t>
        </is>
      </c>
      <c r="E8786" t="inlineStr">
        <is>
          <t>ARVIKA</t>
        </is>
      </c>
      <c r="G8786" t="n">
        <v>1.1</v>
      </c>
      <c r="H8786" t="n">
        <v>0</v>
      </c>
      <c r="I8786" t="n">
        <v>0</v>
      </c>
      <c r="J8786" t="n">
        <v>0</v>
      </c>
      <c r="K8786" t="n">
        <v>0</v>
      </c>
      <c r="L8786" t="n">
        <v>0</v>
      </c>
      <c r="M8786" t="n">
        <v>0</v>
      </c>
      <c r="N8786" t="n">
        <v>0</v>
      </c>
      <c r="O8786" t="n">
        <v>0</v>
      </c>
      <c r="P8786" t="n">
        <v>0</v>
      </c>
      <c r="Q8786" t="n">
        <v>0</v>
      </c>
      <c r="R8786" s="2" t="inlineStr"/>
    </row>
    <row r="8787" ht="15" customHeight="1">
      <c r="A8787" t="inlineStr">
        <is>
          <t>A 3412-2023</t>
        </is>
      </c>
      <c r="B8787" s="1" t="n">
        <v>44949</v>
      </c>
      <c r="C8787" s="1" t="n">
        <v>45810</v>
      </c>
      <c r="D8787" t="inlineStr">
        <is>
          <t>VÄRMLANDS LÄN</t>
        </is>
      </c>
      <c r="E8787" t="inlineStr">
        <is>
          <t>ARVIKA</t>
        </is>
      </c>
      <c r="G8787" t="n">
        <v>4.4</v>
      </c>
      <c r="H8787" t="n">
        <v>0</v>
      </c>
      <c r="I8787" t="n">
        <v>0</v>
      </c>
      <c r="J8787" t="n">
        <v>0</v>
      </c>
      <c r="K8787" t="n">
        <v>0</v>
      </c>
      <c r="L8787" t="n">
        <v>0</v>
      </c>
      <c r="M8787" t="n">
        <v>0</v>
      </c>
      <c r="N8787" t="n">
        <v>0</v>
      </c>
      <c r="O8787" t="n">
        <v>0</v>
      </c>
      <c r="P8787" t="n">
        <v>0</v>
      </c>
      <c r="Q8787" t="n">
        <v>0</v>
      </c>
      <c r="R8787" s="2" t="inlineStr"/>
    </row>
    <row r="8788" ht="15" customHeight="1">
      <c r="A8788" t="inlineStr">
        <is>
          <t>A 3421-2023</t>
        </is>
      </c>
      <c r="B8788" s="1" t="n">
        <v>44949</v>
      </c>
      <c r="C8788" s="1" t="n">
        <v>45810</v>
      </c>
      <c r="D8788" t="inlineStr">
        <is>
          <t>VÄRMLANDS LÄN</t>
        </is>
      </c>
      <c r="E8788" t="inlineStr">
        <is>
          <t>TORSBY</t>
        </is>
      </c>
      <c r="G8788" t="n">
        <v>1.1</v>
      </c>
      <c r="H8788" t="n">
        <v>0</v>
      </c>
      <c r="I8788" t="n">
        <v>0</v>
      </c>
      <c r="J8788" t="n">
        <v>0</v>
      </c>
      <c r="K8788" t="n">
        <v>0</v>
      </c>
      <c r="L8788" t="n">
        <v>0</v>
      </c>
      <c r="M8788" t="n">
        <v>0</v>
      </c>
      <c r="N8788" t="n">
        <v>0</v>
      </c>
      <c r="O8788" t="n">
        <v>0</v>
      </c>
      <c r="P8788" t="n">
        <v>0</v>
      </c>
      <c r="Q8788" t="n">
        <v>0</v>
      </c>
      <c r="R8788" s="2" t="inlineStr"/>
    </row>
    <row r="8789" ht="15" customHeight="1">
      <c r="A8789" t="inlineStr">
        <is>
          <t>A 3460-2023</t>
        </is>
      </c>
      <c r="B8789" s="1" t="n">
        <v>44949</v>
      </c>
      <c r="C8789" s="1" t="n">
        <v>45810</v>
      </c>
      <c r="D8789" t="inlineStr">
        <is>
          <t>VÄRMLANDS LÄN</t>
        </is>
      </c>
      <c r="E8789" t="inlineStr">
        <is>
          <t>HAGFORS</t>
        </is>
      </c>
      <c r="F8789" t="inlineStr">
        <is>
          <t>Bergvik skog väst AB</t>
        </is>
      </c>
      <c r="G8789" t="n">
        <v>17.7</v>
      </c>
      <c r="H8789" t="n">
        <v>0</v>
      </c>
      <c r="I8789" t="n">
        <v>0</v>
      </c>
      <c r="J8789" t="n">
        <v>0</v>
      </c>
      <c r="K8789" t="n">
        <v>0</v>
      </c>
      <c r="L8789" t="n">
        <v>0</v>
      </c>
      <c r="M8789" t="n">
        <v>0</v>
      </c>
      <c r="N8789" t="n">
        <v>0</v>
      </c>
      <c r="O8789" t="n">
        <v>0</v>
      </c>
      <c r="P8789" t="n">
        <v>0</v>
      </c>
      <c r="Q8789" t="n">
        <v>0</v>
      </c>
      <c r="R8789" s="2" t="inlineStr"/>
    </row>
    <row r="8790" ht="15" customHeight="1">
      <c r="A8790" t="inlineStr">
        <is>
          <t>A 3471-2023</t>
        </is>
      </c>
      <c r="B8790" s="1" t="n">
        <v>44949</v>
      </c>
      <c r="C8790" s="1" t="n">
        <v>45810</v>
      </c>
      <c r="D8790" t="inlineStr">
        <is>
          <t>VÄRMLANDS LÄN</t>
        </is>
      </c>
      <c r="E8790" t="inlineStr">
        <is>
          <t>ÅRJÄNG</t>
        </is>
      </c>
      <c r="G8790" t="n">
        <v>2.2</v>
      </c>
      <c r="H8790" t="n">
        <v>0</v>
      </c>
      <c r="I8790" t="n">
        <v>0</v>
      </c>
      <c r="J8790" t="n">
        <v>0</v>
      </c>
      <c r="K8790" t="n">
        <v>0</v>
      </c>
      <c r="L8790" t="n">
        <v>0</v>
      </c>
      <c r="M8790" t="n">
        <v>0</v>
      </c>
      <c r="N8790" t="n">
        <v>0</v>
      </c>
      <c r="O8790" t="n">
        <v>0</v>
      </c>
      <c r="P8790" t="n">
        <v>0</v>
      </c>
      <c r="Q8790" t="n">
        <v>0</v>
      </c>
      <c r="R8790" s="2" t="inlineStr"/>
    </row>
    <row r="8791" ht="15" customHeight="1">
      <c r="A8791" t="inlineStr">
        <is>
          <t>A 3489-2023</t>
        </is>
      </c>
      <c r="B8791" s="1" t="n">
        <v>44949</v>
      </c>
      <c r="C8791" s="1" t="n">
        <v>45810</v>
      </c>
      <c r="D8791" t="inlineStr">
        <is>
          <t>VÄRMLANDS LÄN</t>
        </is>
      </c>
      <c r="E8791" t="inlineStr">
        <is>
          <t>TORSBY</t>
        </is>
      </c>
      <c r="F8791" t="inlineStr">
        <is>
          <t>Kommuner</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3426-2023</t>
        </is>
      </c>
      <c r="B8792" s="1" t="n">
        <v>44949</v>
      </c>
      <c r="C8792" s="1" t="n">
        <v>45810</v>
      </c>
      <c r="D8792" t="inlineStr">
        <is>
          <t>VÄRMLANDS LÄN</t>
        </is>
      </c>
      <c r="E8792" t="inlineStr">
        <is>
          <t>HAGFORS</t>
        </is>
      </c>
      <c r="G8792" t="n">
        <v>2.7</v>
      </c>
      <c r="H8792" t="n">
        <v>0</v>
      </c>
      <c r="I8792" t="n">
        <v>0</v>
      </c>
      <c r="J8792" t="n">
        <v>0</v>
      </c>
      <c r="K8792" t="n">
        <v>0</v>
      </c>
      <c r="L8792" t="n">
        <v>0</v>
      </c>
      <c r="M8792" t="n">
        <v>0</v>
      </c>
      <c r="N8792" t="n">
        <v>0</v>
      </c>
      <c r="O8792" t="n">
        <v>0</v>
      </c>
      <c r="P8792" t="n">
        <v>0</v>
      </c>
      <c r="Q8792" t="n">
        <v>0</v>
      </c>
      <c r="R8792" s="2" t="inlineStr"/>
    </row>
    <row r="8793" ht="15" customHeight="1">
      <c r="A8793" t="inlineStr">
        <is>
          <t>A 3462-2023</t>
        </is>
      </c>
      <c r="B8793" s="1" t="n">
        <v>44949</v>
      </c>
      <c r="C8793" s="1" t="n">
        <v>45810</v>
      </c>
      <c r="D8793" t="inlineStr">
        <is>
          <t>VÄRMLANDS LÄN</t>
        </is>
      </c>
      <c r="E8793" t="inlineStr">
        <is>
          <t>SÄFFLE</t>
        </is>
      </c>
      <c r="G8793" t="n">
        <v>4.1</v>
      </c>
      <c r="H8793" t="n">
        <v>0</v>
      </c>
      <c r="I8793" t="n">
        <v>0</v>
      </c>
      <c r="J8793" t="n">
        <v>0</v>
      </c>
      <c r="K8793" t="n">
        <v>0</v>
      </c>
      <c r="L8793" t="n">
        <v>0</v>
      </c>
      <c r="M8793" t="n">
        <v>0</v>
      </c>
      <c r="N8793" t="n">
        <v>0</v>
      </c>
      <c r="O8793" t="n">
        <v>0</v>
      </c>
      <c r="P8793" t="n">
        <v>0</v>
      </c>
      <c r="Q8793" t="n">
        <v>0</v>
      </c>
      <c r="R8793" s="2" t="inlineStr"/>
    </row>
    <row r="8794" ht="15" customHeight="1">
      <c r="A8794" t="inlineStr">
        <is>
          <t>A 3491-2023</t>
        </is>
      </c>
      <c r="B8794" s="1" t="n">
        <v>44949</v>
      </c>
      <c r="C8794" s="1" t="n">
        <v>45810</v>
      </c>
      <c r="D8794" t="inlineStr">
        <is>
          <t>VÄRMLANDS LÄN</t>
        </is>
      </c>
      <c r="E8794" t="inlineStr">
        <is>
          <t>TORSBY</t>
        </is>
      </c>
      <c r="G8794" t="n">
        <v>1.3</v>
      </c>
      <c r="H8794" t="n">
        <v>0</v>
      </c>
      <c r="I8794" t="n">
        <v>0</v>
      </c>
      <c r="J8794" t="n">
        <v>0</v>
      </c>
      <c r="K8794" t="n">
        <v>0</v>
      </c>
      <c r="L8794" t="n">
        <v>0</v>
      </c>
      <c r="M8794" t="n">
        <v>0</v>
      </c>
      <c r="N8794" t="n">
        <v>0</v>
      </c>
      <c r="O8794" t="n">
        <v>0</v>
      </c>
      <c r="P8794" t="n">
        <v>0</v>
      </c>
      <c r="Q8794" t="n">
        <v>0</v>
      </c>
      <c r="R8794" s="2" t="inlineStr"/>
    </row>
    <row r="8795" ht="15" customHeight="1">
      <c r="A8795" t="inlineStr">
        <is>
          <t>A 3736-2023</t>
        </is>
      </c>
      <c r="B8795" s="1" t="n">
        <v>44949</v>
      </c>
      <c r="C8795" s="1" t="n">
        <v>45810</v>
      </c>
      <c r="D8795" t="inlineStr">
        <is>
          <t>VÄRMLANDS LÄN</t>
        </is>
      </c>
      <c r="E8795" t="inlineStr">
        <is>
          <t>KARLSTAD</t>
        </is>
      </c>
      <c r="G8795" t="n">
        <v>1.4</v>
      </c>
      <c r="H8795" t="n">
        <v>0</v>
      </c>
      <c r="I8795" t="n">
        <v>0</v>
      </c>
      <c r="J8795" t="n">
        <v>0</v>
      </c>
      <c r="K8795" t="n">
        <v>0</v>
      </c>
      <c r="L8795" t="n">
        <v>0</v>
      </c>
      <c r="M8795" t="n">
        <v>0</v>
      </c>
      <c r="N8795" t="n">
        <v>0</v>
      </c>
      <c r="O8795" t="n">
        <v>0</v>
      </c>
      <c r="P8795" t="n">
        <v>0</v>
      </c>
      <c r="Q8795" t="n">
        <v>0</v>
      </c>
      <c r="R8795" s="2" t="inlineStr"/>
    </row>
    <row r="8796" ht="15" customHeight="1">
      <c r="A8796" t="inlineStr">
        <is>
          <t>A 3542-2023</t>
        </is>
      </c>
      <c r="B8796" s="1" t="n">
        <v>44950</v>
      </c>
      <c r="C8796" s="1" t="n">
        <v>45810</v>
      </c>
      <c r="D8796" t="inlineStr">
        <is>
          <t>VÄRMLANDS LÄN</t>
        </is>
      </c>
      <c r="E8796" t="inlineStr">
        <is>
          <t>TORSBY</t>
        </is>
      </c>
      <c r="G8796" t="n">
        <v>3.2</v>
      </c>
      <c r="H8796" t="n">
        <v>0</v>
      </c>
      <c r="I8796" t="n">
        <v>0</v>
      </c>
      <c r="J8796" t="n">
        <v>0</v>
      </c>
      <c r="K8796" t="n">
        <v>0</v>
      </c>
      <c r="L8796" t="n">
        <v>0</v>
      </c>
      <c r="M8796" t="n">
        <v>0</v>
      </c>
      <c r="N8796" t="n">
        <v>0</v>
      </c>
      <c r="O8796" t="n">
        <v>0</v>
      </c>
      <c r="P8796" t="n">
        <v>0</v>
      </c>
      <c r="Q8796" t="n">
        <v>0</v>
      </c>
      <c r="R8796" s="2" t="inlineStr"/>
    </row>
    <row r="8797" ht="15" customHeight="1">
      <c r="A8797" t="inlineStr">
        <is>
          <t>A 3573-2023</t>
        </is>
      </c>
      <c r="B8797" s="1" t="n">
        <v>44950</v>
      </c>
      <c r="C8797" s="1" t="n">
        <v>45810</v>
      </c>
      <c r="D8797" t="inlineStr">
        <is>
          <t>VÄRMLANDS LÄN</t>
        </is>
      </c>
      <c r="E8797" t="inlineStr">
        <is>
          <t>SÄFFLE</t>
        </is>
      </c>
      <c r="G8797" t="n">
        <v>2.1</v>
      </c>
      <c r="H8797" t="n">
        <v>0</v>
      </c>
      <c r="I8797" t="n">
        <v>0</v>
      </c>
      <c r="J8797" t="n">
        <v>0</v>
      </c>
      <c r="K8797" t="n">
        <v>0</v>
      </c>
      <c r="L8797" t="n">
        <v>0</v>
      </c>
      <c r="M8797" t="n">
        <v>0</v>
      </c>
      <c r="N8797" t="n">
        <v>0</v>
      </c>
      <c r="O8797" t="n">
        <v>0</v>
      </c>
      <c r="P8797" t="n">
        <v>0</v>
      </c>
      <c r="Q8797" t="n">
        <v>0</v>
      </c>
      <c r="R8797" s="2" t="inlineStr"/>
    </row>
    <row r="8798" ht="15" customHeight="1">
      <c r="A8798" t="inlineStr">
        <is>
          <t>A 3636-2023</t>
        </is>
      </c>
      <c r="B8798" s="1" t="n">
        <v>44950</v>
      </c>
      <c r="C8798" s="1" t="n">
        <v>45810</v>
      </c>
      <c r="D8798" t="inlineStr">
        <is>
          <t>VÄRMLANDS LÄN</t>
        </is>
      </c>
      <c r="E8798" t="inlineStr">
        <is>
          <t>ARVIKA</t>
        </is>
      </c>
      <c r="F8798" t="inlineStr">
        <is>
          <t>Bergvik skog väst AB</t>
        </is>
      </c>
      <c r="G8798" t="n">
        <v>13</v>
      </c>
      <c r="H8798" t="n">
        <v>0</v>
      </c>
      <c r="I8798" t="n">
        <v>0</v>
      </c>
      <c r="J8798" t="n">
        <v>0</v>
      </c>
      <c r="K8798" t="n">
        <v>0</v>
      </c>
      <c r="L8798" t="n">
        <v>0</v>
      </c>
      <c r="M8798" t="n">
        <v>0</v>
      </c>
      <c r="N8798" t="n">
        <v>0</v>
      </c>
      <c r="O8798" t="n">
        <v>0</v>
      </c>
      <c r="P8798" t="n">
        <v>0</v>
      </c>
      <c r="Q8798" t="n">
        <v>0</v>
      </c>
      <c r="R8798" s="2" t="inlineStr"/>
    </row>
    <row r="8799" ht="15" customHeight="1">
      <c r="A8799" t="inlineStr">
        <is>
          <t>A 3566-2023</t>
        </is>
      </c>
      <c r="B8799" s="1" t="n">
        <v>44950</v>
      </c>
      <c r="C8799" s="1" t="n">
        <v>45810</v>
      </c>
      <c r="D8799" t="inlineStr">
        <is>
          <t>VÄRMLANDS LÄN</t>
        </is>
      </c>
      <c r="E8799" t="inlineStr">
        <is>
          <t>HAGFORS</t>
        </is>
      </c>
      <c r="G8799" t="n">
        <v>5.2</v>
      </c>
      <c r="H8799" t="n">
        <v>0</v>
      </c>
      <c r="I8799" t="n">
        <v>0</v>
      </c>
      <c r="J8799" t="n">
        <v>0</v>
      </c>
      <c r="K8799" t="n">
        <v>0</v>
      </c>
      <c r="L8799" t="n">
        <v>0</v>
      </c>
      <c r="M8799" t="n">
        <v>0</v>
      </c>
      <c r="N8799" t="n">
        <v>0</v>
      </c>
      <c r="O8799" t="n">
        <v>0</v>
      </c>
      <c r="P8799" t="n">
        <v>0</v>
      </c>
      <c r="Q8799" t="n">
        <v>0</v>
      </c>
      <c r="R8799" s="2" t="inlineStr"/>
    </row>
    <row r="8800" ht="15" customHeight="1">
      <c r="A8800" t="inlineStr">
        <is>
          <t>A 3557-2023</t>
        </is>
      </c>
      <c r="B8800" s="1" t="n">
        <v>44950</v>
      </c>
      <c r="C8800" s="1" t="n">
        <v>45810</v>
      </c>
      <c r="D8800" t="inlineStr">
        <is>
          <t>VÄRMLANDS LÄN</t>
        </is>
      </c>
      <c r="E8800" t="inlineStr">
        <is>
          <t>HAGFORS</t>
        </is>
      </c>
      <c r="G8800" t="n">
        <v>0.7</v>
      </c>
      <c r="H8800" t="n">
        <v>0</v>
      </c>
      <c r="I8800" t="n">
        <v>0</v>
      </c>
      <c r="J8800" t="n">
        <v>0</v>
      </c>
      <c r="K8800" t="n">
        <v>0</v>
      </c>
      <c r="L8800" t="n">
        <v>0</v>
      </c>
      <c r="M8800" t="n">
        <v>0</v>
      </c>
      <c r="N8800" t="n">
        <v>0</v>
      </c>
      <c r="O8800" t="n">
        <v>0</v>
      </c>
      <c r="P8800" t="n">
        <v>0</v>
      </c>
      <c r="Q8800" t="n">
        <v>0</v>
      </c>
      <c r="R8800" s="2" t="inlineStr"/>
    </row>
    <row r="8801" ht="15" customHeight="1">
      <c r="A8801" t="inlineStr">
        <is>
          <t>A 3586-2023</t>
        </is>
      </c>
      <c r="B8801" s="1" t="n">
        <v>44950</v>
      </c>
      <c r="C8801" s="1" t="n">
        <v>45810</v>
      </c>
      <c r="D8801" t="inlineStr">
        <is>
          <t>VÄRMLANDS LÄN</t>
        </is>
      </c>
      <c r="E8801" t="inlineStr">
        <is>
          <t>HAGFORS</t>
        </is>
      </c>
      <c r="F8801" t="inlineStr">
        <is>
          <t>Kyrkan</t>
        </is>
      </c>
      <c r="G8801" t="n">
        <v>2.8</v>
      </c>
      <c r="H8801" t="n">
        <v>0</v>
      </c>
      <c r="I8801" t="n">
        <v>0</v>
      </c>
      <c r="J8801" t="n">
        <v>0</v>
      </c>
      <c r="K8801" t="n">
        <v>0</v>
      </c>
      <c r="L8801" t="n">
        <v>0</v>
      </c>
      <c r="M8801" t="n">
        <v>0</v>
      </c>
      <c r="N8801" t="n">
        <v>0</v>
      </c>
      <c r="O8801" t="n">
        <v>0</v>
      </c>
      <c r="P8801" t="n">
        <v>0</v>
      </c>
      <c r="Q8801" t="n">
        <v>0</v>
      </c>
      <c r="R8801" s="2" t="inlineStr"/>
    </row>
    <row r="8802" ht="15" customHeight="1">
      <c r="A8802" t="inlineStr">
        <is>
          <t>A 3645-2023</t>
        </is>
      </c>
      <c r="B8802" s="1" t="n">
        <v>44950</v>
      </c>
      <c r="C8802" s="1" t="n">
        <v>45810</v>
      </c>
      <c r="D8802" t="inlineStr">
        <is>
          <t>VÄRMLANDS LÄN</t>
        </is>
      </c>
      <c r="E8802" t="inlineStr">
        <is>
          <t>ARVIKA</t>
        </is>
      </c>
      <c r="G8802" t="n">
        <v>1.3</v>
      </c>
      <c r="H8802" t="n">
        <v>0</v>
      </c>
      <c r="I8802" t="n">
        <v>0</v>
      </c>
      <c r="J8802" t="n">
        <v>0</v>
      </c>
      <c r="K8802" t="n">
        <v>0</v>
      </c>
      <c r="L8802" t="n">
        <v>0</v>
      </c>
      <c r="M8802" t="n">
        <v>0</v>
      </c>
      <c r="N8802" t="n">
        <v>0</v>
      </c>
      <c r="O8802" t="n">
        <v>0</v>
      </c>
      <c r="P8802" t="n">
        <v>0</v>
      </c>
      <c r="Q8802" t="n">
        <v>0</v>
      </c>
      <c r="R8802" s="2" t="inlineStr"/>
    </row>
    <row r="8803" ht="15" customHeight="1">
      <c r="A8803" t="inlineStr">
        <is>
          <t>A 3666-2023</t>
        </is>
      </c>
      <c r="B8803" s="1" t="n">
        <v>44950</v>
      </c>
      <c r="C8803" s="1" t="n">
        <v>45810</v>
      </c>
      <c r="D8803" t="inlineStr">
        <is>
          <t>VÄRMLANDS LÄN</t>
        </is>
      </c>
      <c r="E8803" t="inlineStr">
        <is>
          <t>TORSBY</t>
        </is>
      </c>
      <c r="G8803" t="n">
        <v>6.8</v>
      </c>
      <c r="H8803" t="n">
        <v>0</v>
      </c>
      <c r="I8803" t="n">
        <v>0</v>
      </c>
      <c r="J8803" t="n">
        <v>0</v>
      </c>
      <c r="K8803" t="n">
        <v>0</v>
      </c>
      <c r="L8803" t="n">
        <v>0</v>
      </c>
      <c r="M8803" t="n">
        <v>0</v>
      </c>
      <c r="N8803" t="n">
        <v>0</v>
      </c>
      <c r="O8803" t="n">
        <v>0</v>
      </c>
      <c r="P8803" t="n">
        <v>0</v>
      </c>
      <c r="Q8803" t="n">
        <v>0</v>
      </c>
      <c r="R8803" s="2" t="inlineStr"/>
    </row>
    <row r="8804" ht="15" customHeight="1">
      <c r="A8804" t="inlineStr">
        <is>
          <t>A 3670-2023</t>
        </is>
      </c>
      <c r="B8804" s="1" t="n">
        <v>44950</v>
      </c>
      <c r="C8804" s="1" t="n">
        <v>45810</v>
      </c>
      <c r="D8804" t="inlineStr">
        <is>
          <t>VÄRMLANDS LÄN</t>
        </is>
      </c>
      <c r="E8804" t="inlineStr">
        <is>
          <t>TORSBY</t>
        </is>
      </c>
      <c r="G8804" t="n">
        <v>15.4</v>
      </c>
      <c r="H8804" t="n">
        <v>0</v>
      </c>
      <c r="I8804" t="n">
        <v>0</v>
      </c>
      <c r="J8804" t="n">
        <v>0</v>
      </c>
      <c r="K8804" t="n">
        <v>0</v>
      </c>
      <c r="L8804" t="n">
        <v>0</v>
      </c>
      <c r="M8804" t="n">
        <v>0</v>
      </c>
      <c r="N8804" t="n">
        <v>0</v>
      </c>
      <c r="O8804" t="n">
        <v>0</v>
      </c>
      <c r="P8804" t="n">
        <v>0</v>
      </c>
      <c r="Q8804" t="n">
        <v>0</v>
      </c>
      <c r="R8804" s="2" t="inlineStr"/>
    </row>
    <row r="8805" ht="15" customHeight="1">
      <c r="A8805" t="inlineStr">
        <is>
          <t>A 3640-2023</t>
        </is>
      </c>
      <c r="B8805" s="1" t="n">
        <v>44950</v>
      </c>
      <c r="C8805" s="1" t="n">
        <v>45810</v>
      </c>
      <c r="D8805" t="inlineStr">
        <is>
          <t>VÄRMLANDS LÄN</t>
        </is>
      </c>
      <c r="E8805" t="inlineStr">
        <is>
          <t>ARVIKA</t>
        </is>
      </c>
      <c r="G8805" t="n">
        <v>0.5</v>
      </c>
      <c r="H8805" t="n">
        <v>0</v>
      </c>
      <c r="I8805" t="n">
        <v>0</v>
      </c>
      <c r="J8805" t="n">
        <v>0</v>
      </c>
      <c r="K8805" t="n">
        <v>0</v>
      </c>
      <c r="L8805" t="n">
        <v>0</v>
      </c>
      <c r="M8805" t="n">
        <v>0</v>
      </c>
      <c r="N8805" t="n">
        <v>0</v>
      </c>
      <c r="O8805" t="n">
        <v>0</v>
      </c>
      <c r="P8805" t="n">
        <v>0</v>
      </c>
      <c r="Q8805" t="n">
        <v>0</v>
      </c>
      <c r="R8805" s="2" t="inlineStr"/>
    </row>
    <row r="8806" ht="15" customHeight="1">
      <c r="A8806" t="inlineStr">
        <is>
          <t>A 3667-2023</t>
        </is>
      </c>
      <c r="B8806" s="1" t="n">
        <v>44950</v>
      </c>
      <c r="C8806" s="1" t="n">
        <v>45810</v>
      </c>
      <c r="D8806" t="inlineStr">
        <is>
          <t>VÄRMLANDS LÄN</t>
        </is>
      </c>
      <c r="E8806" t="inlineStr">
        <is>
          <t>TORSBY</t>
        </is>
      </c>
      <c r="G8806" t="n">
        <v>21.2</v>
      </c>
      <c r="H8806" t="n">
        <v>0</v>
      </c>
      <c r="I8806" t="n">
        <v>0</v>
      </c>
      <c r="J8806" t="n">
        <v>0</v>
      </c>
      <c r="K8806" t="n">
        <v>0</v>
      </c>
      <c r="L8806" t="n">
        <v>0</v>
      </c>
      <c r="M8806" t="n">
        <v>0</v>
      </c>
      <c r="N8806" t="n">
        <v>0</v>
      </c>
      <c r="O8806" t="n">
        <v>0</v>
      </c>
      <c r="P8806" t="n">
        <v>0</v>
      </c>
      <c r="Q8806" t="n">
        <v>0</v>
      </c>
      <c r="R8806" s="2" t="inlineStr"/>
    </row>
    <row r="8807" ht="15" customHeight="1">
      <c r="A8807" t="inlineStr">
        <is>
          <t>A 3672-2023</t>
        </is>
      </c>
      <c r="B8807" s="1" t="n">
        <v>44950</v>
      </c>
      <c r="C8807" s="1" t="n">
        <v>45810</v>
      </c>
      <c r="D8807" t="inlineStr">
        <is>
          <t>VÄRMLANDS LÄN</t>
        </is>
      </c>
      <c r="E8807" t="inlineStr">
        <is>
          <t>TORSBY</t>
        </is>
      </c>
      <c r="G8807" t="n">
        <v>7.5</v>
      </c>
      <c r="H8807" t="n">
        <v>0</v>
      </c>
      <c r="I8807" t="n">
        <v>0</v>
      </c>
      <c r="J8807" t="n">
        <v>0</v>
      </c>
      <c r="K8807" t="n">
        <v>0</v>
      </c>
      <c r="L8807" t="n">
        <v>0</v>
      </c>
      <c r="M8807" t="n">
        <v>0</v>
      </c>
      <c r="N8807" t="n">
        <v>0</v>
      </c>
      <c r="O8807" t="n">
        <v>0</v>
      </c>
      <c r="P8807" t="n">
        <v>0</v>
      </c>
      <c r="Q8807" t="n">
        <v>0</v>
      </c>
      <c r="R8807" s="2" t="inlineStr"/>
    </row>
    <row r="8808" ht="15" customHeight="1">
      <c r="A8808" t="inlineStr">
        <is>
          <t>A 3724-2023</t>
        </is>
      </c>
      <c r="B8808" s="1" t="n">
        <v>44951</v>
      </c>
      <c r="C8808" s="1" t="n">
        <v>45810</v>
      </c>
      <c r="D8808" t="inlineStr">
        <is>
          <t>VÄRMLANDS LÄN</t>
        </is>
      </c>
      <c r="E8808" t="inlineStr">
        <is>
          <t>HAGFORS</t>
        </is>
      </c>
      <c r="F8808" t="inlineStr">
        <is>
          <t>Kyrkan</t>
        </is>
      </c>
      <c r="G8808" t="n">
        <v>2.7</v>
      </c>
      <c r="H8808" t="n">
        <v>0</v>
      </c>
      <c r="I8808" t="n">
        <v>0</v>
      </c>
      <c r="J8808" t="n">
        <v>0</v>
      </c>
      <c r="K8808" t="n">
        <v>0</v>
      </c>
      <c r="L8808" t="n">
        <v>0</v>
      </c>
      <c r="M8808" t="n">
        <v>0</v>
      </c>
      <c r="N8808" t="n">
        <v>0</v>
      </c>
      <c r="O8808" t="n">
        <v>0</v>
      </c>
      <c r="P8808" t="n">
        <v>0</v>
      </c>
      <c r="Q8808" t="n">
        <v>0</v>
      </c>
      <c r="R8808" s="2" t="inlineStr"/>
    </row>
    <row r="8809" ht="15" customHeight="1">
      <c r="A8809" t="inlineStr">
        <is>
          <t>A 3760-2023</t>
        </is>
      </c>
      <c r="B8809" s="1" t="n">
        <v>44951</v>
      </c>
      <c r="C8809" s="1" t="n">
        <v>45810</v>
      </c>
      <c r="D8809" t="inlineStr">
        <is>
          <t>VÄRMLANDS LÄN</t>
        </is>
      </c>
      <c r="E8809" t="inlineStr">
        <is>
          <t>ARVIKA</t>
        </is>
      </c>
      <c r="G8809" t="n">
        <v>1.9</v>
      </c>
      <c r="H8809" t="n">
        <v>0</v>
      </c>
      <c r="I8809" t="n">
        <v>0</v>
      </c>
      <c r="J8809" t="n">
        <v>0</v>
      </c>
      <c r="K8809" t="n">
        <v>0</v>
      </c>
      <c r="L8809" t="n">
        <v>0</v>
      </c>
      <c r="M8809" t="n">
        <v>0</v>
      </c>
      <c r="N8809" t="n">
        <v>0</v>
      </c>
      <c r="O8809" t="n">
        <v>0</v>
      </c>
      <c r="P8809" t="n">
        <v>0</v>
      </c>
      <c r="Q8809" t="n">
        <v>0</v>
      </c>
      <c r="R8809" s="2" t="inlineStr"/>
    </row>
    <row r="8810" ht="15" customHeight="1">
      <c r="A8810" t="inlineStr">
        <is>
          <t>A 3815-2023</t>
        </is>
      </c>
      <c r="B8810" s="1" t="n">
        <v>44951</v>
      </c>
      <c r="C8810" s="1" t="n">
        <v>45810</v>
      </c>
      <c r="D8810" t="inlineStr">
        <is>
          <t>VÄRMLANDS LÄN</t>
        </is>
      </c>
      <c r="E8810" t="inlineStr">
        <is>
          <t>ARVIKA</t>
        </is>
      </c>
      <c r="G8810" t="n">
        <v>5.3</v>
      </c>
      <c r="H8810" t="n">
        <v>0</v>
      </c>
      <c r="I8810" t="n">
        <v>0</v>
      </c>
      <c r="J8810" t="n">
        <v>0</v>
      </c>
      <c r="K8810" t="n">
        <v>0</v>
      </c>
      <c r="L8810" t="n">
        <v>0</v>
      </c>
      <c r="M8810" t="n">
        <v>0</v>
      </c>
      <c r="N8810" t="n">
        <v>0</v>
      </c>
      <c r="O8810" t="n">
        <v>0</v>
      </c>
      <c r="P8810" t="n">
        <v>0</v>
      </c>
      <c r="Q8810" t="n">
        <v>0</v>
      </c>
      <c r="R8810" s="2" t="inlineStr"/>
    </row>
    <row r="8811" ht="15" customHeight="1">
      <c r="A8811" t="inlineStr">
        <is>
          <t>A 3844-2023</t>
        </is>
      </c>
      <c r="B8811" s="1" t="n">
        <v>44951</v>
      </c>
      <c r="C8811" s="1" t="n">
        <v>45810</v>
      </c>
      <c r="D8811" t="inlineStr">
        <is>
          <t>VÄRMLANDS LÄN</t>
        </is>
      </c>
      <c r="E8811" t="inlineStr">
        <is>
          <t>FILIPSTAD</t>
        </is>
      </c>
      <c r="F8811" t="inlineStr">
        <is>
          <t>Bergvik skog väst AB</t>
        </is>
      </c>
      <c r="G8811" t="n">
        <v>6.6</v>
      </c>
      <c r="H8811" t="n">
        <v>0</v>
      </c>
      <c r="I8811" t="n">
        <v>0</v>
      </c>
      <c r="J8811" t="n">
        <v>0</v>
      </c>
      <c r="K8811" t="n">
        <v>0</v>
      </c>
      <c r="L8811" t="n">
        <v>0</v>
      </c>
      <c r="M8811" t="n">
        <v>0</v>
      </c>
      <c r="N8811" t="n">
        <v>0</v>
      </c>
      <c r="O8811" t="n">
        <v>0</v>
      </c>
      <c r="P8811" t="n">
        <v>0</v>
      </c>
      <c r="Q8811" t="n">
        <v>0</v>
      </c>
      <c r="R8811" s="2" t="inlineStr"/>
    </row>
    <row r="8812" ht="15" customHeight="1">
      <c r="A8812" t="inlineStr">
        <is>
          <t>A 3742-2023</t>
        </is>
      </c>
      <c r="B8812" s="1" t="n">
        <v>44951</v>
      </c>
      <c r="C8812" s="1" t="n">
        <v>45810</v>
      </c>
      <c r="D8812" t="inlineStr">
        <is>
          <t>VÄRMLANDS LÄN</t>
        </is>
      </c>
      <c r="E8812" t="inlineStr">
        <is>
          <t>ARVIKA</t>
        </is>
      </c>
      <c r="G8812" t="n">
        <v>1.2</v>
      </c>
      <c r="H8812" t="n">
        <v>0</v>
      </c>
      <c r="I8812" t="n">
        <v>0</v>
      </c>
      <c r="J8812" t="n">
        <v>0</v>
      </c>
      <c r="K8812" t="n">
        <v>0</v>
      </c>
      <c r="L8812" t="n">
        <v>0</v>
      </c>
      <c r="M8812" t="n">
        <v>0</v>
      </c>
      <c r="N8812" t="n">
        <v>0</v>
      </c>
      <c r="O8812" t="n">
        <v>0</v>
      </c>
      <c r="P8812" t="n">
        <v>0</v>
      </c>
      <c r="Q8812" t="n">
        <v>0</v>
      </c>
      <c r="R8812" s="2" t="inlineStr"/>
    </row>
    <row r="8813" ht="15" customHeight="1">
      <c r="A8813" t="inlineStr">
        <is>
          <t>A 3790-2023</t>
        </is>
      </c>
      <c r="B8813" s="1" t="n">
        <v>44951</v>
      </c>
      <c r="C8813" s="1" t="n">
        <v>45810</v>
      </c>
      <c r="D8813" t="inlineStr">
        <is>
          <t>VÄRMLANDS LÄN</t>
        </is>
      </c>
      <c r="E8813" t="inlineStr">
        <is>
          <t>ARVIKA</t>
        </is>
      </c>
      <c r="G8813" t="n">
        <v>1.2</v>
      </c>
      <c r="H8813" t="n">
        <v>0</v>
      </c>
      <c r="I8813" t="n">
        <v>0</v>
      </c>
      <c r="J8813" t="n">
        <v>0</v>
      </c>
      <c r="K8813" t="n">
        <v>0</v>
      </c>
      <c r="L8813" t="n">
        <v>0</v>
      </c>
      <c r="M8813" t="n">
        <v>0</v>
      </c>
      <c r="N8813" t="n">
        <v>0</v>
      </c>
      <c r="O8813" t="n">
        <v>0</v>
      </c>
      <c r="P8813" t="n">
        <v>0</v>
      </c>
      <c r="Q8813" t="n">
        <v>0</v>
      </c>
      <c r="R8813" s="2" t="inlineStr"/>
    </row>
    <row r="8814" ht="15" customHeight="1">
      <c r="A8814" t="inlineStr">
        <is>
          <t>A 3881-2023</t>
        </is>
      </c>
      <c r="B8814" s="1" t="n">
        <v>44951</v>
      </c>
      <c r="C8814" s="1" t="n">
        <v>45810</v>
      </c>
      <c r="D8814" t="inlineStr">
        <is>
          <t>VÄRMLANDS LÄN</t>
        </is>
      </c>
      <c r="E8814" t="inlineStr">
        <is>
          <t>TORSBY</t>
        </is>
      </c>
      <c r="G8814" t="n">
        <v>3.7</v>
      </c>
      <c r="H8814" t="n">
        <v>0</v>
      </c>
      <c r="I8814" t="n">
        <v>0</v>
      </c>
      <c r="J8814" t="n">
        <v>0</v>
      </c>
      <c r="K8814" t="n">
        <v>0</v>
      </c>
      <c r="L8814" t="n">
        <v>0</v>
      </c>
      <c r="M8814" t="n">
        <v>0</v>
      </c>
      <c r="N8814" t="n">
        <v>0</v>
      </c>
      <c r="O8814" t="n">
        <v>0</v>
      </c>
      <c r="P8814" t="n">
        <v>0</v>
      </c>
      <c r="Q8814" t="n">
        <v>0</v>
      </c>
      <c r="R8814" s="2" t="inlineStr"/>
    </row>
    <row r="8815" ht="15" customHeight="1">
      <c r="A8815" t="inlineStr">
        <is>
          <t>A 3846-2023</t>
        </is>
      </c>
      <c r="B8815" s="1" t="n">
        <v>44951</v>
      </c>
      <c r="C8815" s="1" t="n">
        <v>45810</v>
      </c>
      <c r="D8815" t="inlineStr">
        <is>
          <t>VÄRMLANDS LÄN</t>
        </is>
      </c>
      <c r="E8815" t="inlineStr">
        <is>
          <t>HAGFORS</t>
        </is>
      </c>
      <c r="F8815" t="inlineStr">
        <is>
          <t>Kommuner</t>
        </is>
      </c>
      <c r="G8815" t="n">
        <v>0.3</v>
      </c>
      <c r="H8815" t="n">
        <v>0</v>
      </c>
      <c r="I8815" t="n">
        <v>0</v>
      </c>
      <c r="J8815" t="n">
        <v>0</v>
      </c>
      <c r="K8815" t="n">
        <v>0</v>
      </c>
      <c r="L8815" t="n">
        <v>0</v>
      </c>
      <c r="M8815" t="n">
        <v>0</v>
      </c>
      <c r="N8815" t="n">
        <v>0</v>
      </c>
      <c r="O8815" t="n">
        <v>0</v>
      </c>
      <c r="P8815" t="n">
        <v>0</v>
      </c>
      <c r="Q8815" t="n">
        <v>0</v>
      </c>
      <c r="R8815" s="2" t="inlineStr"/>
    </row>
    <row r="8816" ht="15" customHeight="1">
      <c r="A8816" t="inlineStr">
        <is>
          <t>A 3885-2023</t>
        </is>
      </c>
      <c r="B8816" s="1" t="n">
        <v>44951</v>
      </c>
      <c r="C8816" s="1" t="n">
        <v>45810</v>
      </c>
      <c r="D8816" t="inlineStr">
        <is>
          <t>VÄRMLANDS LÄN</t>
        </is>
      </c>
      <c r="E8816" t="inlineStr">
        <is>
          <t>EDA</t>
        </is>
      </c>
      <c r="G8816" t="n">
        <v>0.6</v>
      </c>
      <c r="H8816" t="n">
        <v>0</v>
      </c>
      <c r="I8816" t="n">
        <v>0</v>
      </c>
      <c r="J8816" t="n">
        <v>0</v>
      </c>
      <c r="K8816" t="n">
        <v>0</v>
      </c>
      <c r="L8816" t="n">
        <v>0</v>
      </c>
      <c r="M8816" t="n">
        <v>0</v>
      </c>
      <c r="N8816" t="n">
        <v>0</v>
      </c>
      <c r="O8816" t="n">
        <v>0</v>
      </c>
      <c r="P8816" t="n">
        <v>0</v>
      </c>
      <c r="Q8816" t="n">
        <v>0</v>
      </c>
      <c r="R8816" s="2" t="inlineStr"/>
    </row>
    <row r="8817" ht="15" customHeight="1">
      <c r="A8817" t="inlineStr">
        <is>
          <t>A 3879-2023</t>
        </is>
      </c>
      <c r="B8817" s="1" t="n">
        <v>44951</v>
      </c>
      <c r="C8817" s="1" t="n">
        <v>45810</v>
      </c>
      <c r="D8817" t="inlineStr">
        <is>
          <t>VÄRMLANDS LÄN</t>
        </is>
      </c>
      <c r="E8817" t="inlineStr">
        <is>
          <t>KRISTINEHAMN</t>
        </is>
      </c>
      <c r="G8817" t="n">
        <v>1.2</v>
      </c>
      <c r="H8817" t="n">
        <v>0</v>
      </c>
      <c r="I8817" t="n">
        <v>0</v>
      </c>
      <c r="J8817" t="n">
        <v>0</v>
      </c>
      <c r="K8817" t="n">
        <v>0</v>
      </c>
      <c r="L8817" t="n">
        <v>0</v>
      </c>
      <c r="M8817" t="n">
        <v>0</v>
      </c>
      <c r="N8817" t="n">
        <v>0</v>
      </c>
      <c r="O8817" t="n">
        <v>0</v>
      </c>
      <c r="P8817" t="n">
        <v>0</v>
      </c>
      <c r="Q8817" t="n">
        <v>0</v>
      </c>
      <c r="R8817" s="2" t="inlineStr"/>
    </row>
    <row r="8818" ht="15" customHeight="1">
      <c r="A8818" t="inlineStr">
        <is>
          <t>A 3883-2023</t>
        </is>
      </c>
      <c r="B8818" s="1" t="n">
        <v>44951</v>
      </c>
      <c r="C8818" s="1" t="n">
        <v>45810</v>
      </c>
      <c r="D8818" t="inlineStr">
        <is>
          <t>VÄRMLANDS LÄN</t>
        </is>
      </c>
      <c r="E8818" t="inlineStr">
        <is>
          <t>KRISTINEHAMN</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4610-2023</t>
        </is>
      </c>
      <c r="B8819" s="1" t="n">
        <v>44951</v>
      </c>
      <c r="C8819" s="1" t="n">
        <v>45810</v>
      </c>
      <c r="D8819" t="inlineStr">
        <is>
          <t>VÄRMLANDS LÄN</t>
        </is>
      </c>
      <c r="E8819" t="inlineStr">
        <is>
          <t>MUNKFORS</t>
        </is>
      </c>
      <c r="G8819" t="n">
        <v>2.8</v>
      </c>
      <c r="H8819" t="n">
        <v>0</v>
      </c>
      <c r="I8819" t="n">
        <v>0</v>
      </c>
      <c r="J8819" t="n">
        <v>0</v>
      </c>
      <c r="K8819" t="n">
        <v>0</v>
      </c>
      <c r="L8819" t="n">
        <v>0</v>
      </c>
      <c r="M8819" t="n">
        <v>0</v>
      </c>
      <c r="N8819" t="n">
        <v>0</v>
      </c>
      <c r="O8819" t="n">
        <v>0</v>
      </c>
      <c r="P8819" t="n">
        <v>0</v>
      </c>
      <c r="Q8819" t="n">
        <v>0</v>
      </c>
      <c r="R8819" s="2" t="inlineStr"/>
    </row>
    <row r="8820" ht="15" customHeight="1">
      <c r="A8820" t="inlineStr">
        <is>
          <t>A 3962-2023</t>
        </is>
      </c>
      <c r="B8820" s="1" t="n">
        <v>44952</v>
      </c>
      <c r="C8820" s="1" t="n">
        <v>45810</v>
      </c>
      <c r="D8820" t="inlineStr">
        <is>
          <t>VÄRMLANDS LÄN</t>
        </is>
      </c>
      <c r="E8820" t="inlineStr">
        <is>
          <t>KARLSTAD</t>
        </is>
      </c>
      <c r="G8820" t="n">
        <v>7.8</v>
      </c>
      <c r="H8820" t="n">
        <v>0</v>
      </c>
      <c r="I8820" t="n">
        <v>0</v>
      </c>
      <c r="J8820" t="n">
        <v>0</v>
      </c>
      <c r="K8820" t="n">
        <v>0</v>
      </c>
      <c r="L8820" t="n">
        <v>0</v>
      </c>
      <c r="M8820" t="n">
        <v>0</v>
      </c>
      <c r="N8820" t="n">
        <v>0</v>
      </c>
      <c r="O8820" t="n">
        <v>0</v>
      </c>
      <c r="P8820" t="n">
        <v>0</v>
      </c>
      <c r="Q8820" t="n">
        <v>0</v>
      </c>
      <c r="R8820" s="2" t="inlineStr"/>
    </row>
    <row r="8821" ht="15" customHeight="1">
      <c r="A8821" t="inlineStr">
        <is>
          <t>A 3980-2023</t>
        </is>
      </c>
      <c r="B8821" s="1" t="n">
        <v>44952</v>
      </c>
      <c r="C8821" s="1" t="n">
        <v>45810</v>
      </c>
      <c r="D8821" t="inlineStr">
        <is>
          <t>VÄRMLANDS LÄN</t>
        </is>
      </c>
      <c r="E8821" t="inlineStr">
        <is>
          <t>ARVIKA</t>
        </is>
      </c>
      <c r="G8821" t="n">
        <v>1.1</v>
      </c>
      <c r="H8821" t="n">
        <v>0</v>
      </c>
      <c r="I8821" t="n">
        <v>0</v>
      </c>
      <c r="J8821" t="n">
        <v>0</v>
      </c>
      <c r="K8821" t="n">
        <v>0</v>
      </c>
      <c r="L8821" t="n">
        <v>0</v>
      </c>
      <c r="M8821" t="n">
        <v>0</v>
      </c>
      <c r="N8821" t="n">
        <v>0</v>
      </c>
      <c r="O8821" t="n">
        <v>0</v>
      </c>
      <c r="P8821" t="n">
        <v>0</v>
      </c>
      <c r="Q8821" t="n">
        <v>0</v>
      </c>
      <c r="R8821" s="2" t="inlineStr"/>
    </row>
    <row r="8822" ht="15" customHeight="1">
      <c r="A8822" t="inlineStr">
        <is>
          <t>A 3961-2023</t>
        </is>
      </c>
      <c r="B8822" s="1" t="n">
        <v>44952</v>
      </c>
      <c r="C8822" s="1" t="n">
        <v>45810</v>
      </c>
      <c r="D8822" t="inlineStr">
        <is>
          <t>VÄRMLANDS LÄN</t>
        </is>
      </c>
      <c r="E8822" t="inlineStr">
        <is>
          <t>KARLSTAD</t>
        </is>
      </c>
      <c r="G8822" t="n">
        <v>10.7</v>
      </c>
      <c r="H8822" t="n">
        <v>0</v>
      </c>
      <c r="I8822" t="n">
        <v>0</v>
      </c>
      <c r="J8822" t="n">
        <v>0</v>
      </c>
      <c r="K8822" t="n">
        <v>0</v>
      </c>
      <c r="L8822" t="n">
        <v>0</v>
      </c>
      <c r="M8822" t="n">
        <v>0</v>
      </c>
      <c r="N8822" t="n">
        <v>0</v>
      </c>
      <c r="O8822" t="n">
        <v>0</v>
      </c>
      <c r="P8822" t="n">
        <v>0</v>
      </c>
      <c r="Q8822" t="n">
        <v>0</v>
      </c>
      <c r="R8822" s="2" t="inlineStr"/>
    </row>
    <row r="8823" ht="15" customHeight="1">
      <c r="A8823" t="inlineStr">
        <is>
          <t>A 4071-2023</t>
        </is>
      </c>
      <c r="B8823" s="1" t="n">
        <v>44952</v>
      </c>
      <c r="C8823" s="1" t="n">
        <v>45810</v>
      </c>
      <c r="D8823" t="inlineStr">
        <is>
          <t>VÄRMLANDS LÄN</t>
        </is>
      </c>
      <c r="E8823" t="inlineStr">
        <is>
          <t>KARLSTAD</t>
        </is>
      </c>
      <c r="G8823" t="n">
        <v>3.1</v>
      </c>
      <c r="H8823" t="n">
        <v>0</v>
      </c>
      <c r="I8823" t="n">
        <v>0</v>
      </c>
      <c r="J8823" t="n">
        <v>0</v>
      </c>
      <c r="K8823" t="n">
        <v>0</v>
      </c>
      <c r="L8823" t="n">
        <v>0</v>
      </c>
      <c r="M8823" t="n">
        <v>0</v>
      </c>
      <c r="N8823" t="n">
        <v>0</v>
      </c>
      <c r="O8823" t="n">
        <v>0</v>
      </c>
      <c r="P8823" t="n">
        <v>0</v>
      </c>
      <c r="Q8823" t="n">
        <v>0</v>
      </c>
      <c r="R8823" s="2" t="inlineStr"/>
    </row>
    <row r="8824" ht="15" customHeight="1">
      <c r="A8824" t="inlineStr">
        <is>
          <t>A 3954-2023</t>
        </is>
      </c>
      <c r="B8824" s="1" t="n">
        <v>44952</v>
      </c>
      <c r="C8824" s="1" t="n">
        <v>45810</v>
      </c>
      <c r="D8824" t="inlineStr">
        <is>
          <t>VÄRMLANDS LÄN</t>
        </is>
      </c>
      <c r="E8824" t="inlineStr">
        <is>
          <t>KARLSTAD</t>
        </is>
      </c>
      <c r="G8824" t="n">
        <v>2.8</v>
      </c>
      <c r="H8824" t="n">
        <v>0</v>
      </c>
      <c r="I8824" t="n">
        <v>0</v>
      </c>
      <c r="J8824" t="n">
        <v>0</v>
      </c>
      <c r="K8824" t="n">
        <v>0</v>
      </c>
      <c r="L8824" t="n">
        <v>0</v>
      </c>
      <c r="M8824" t="n">
        <v>0</v>
      </c>
      <c r="N8824" t="n">
        <v>0</v>
      </c>
      <c r="O8824" t="n">
        <v>0</v>
      </c>
      <c r="P8824" t="n">
        <v>0</v>
      </c>
      <c r="Q8824" t="n">
        <v>0</v>
      </c>
      <c r="R8824" s="2" t="inlineStr"/>
    </row>
    <row r="8825" ht="15" customHeight="1">
      <c r="A8825" t="inlineStr">
        <is>
          <t>A 3974-2023</t>
        </is>
      </c>
      <c r="B8825" s="1" t="n">
        <v>44952</v>
      </c>
      <c r="C8825" s="1" t="n">
        <v>45810</v>
      </c>
      <c r="D8825" t="inlineStr">
        <is>
          <t>VÄRMLANDS LÄN</t>
        </is>
      </c>
      <c r="E8825" t="inlineStr">
        <is>
          <t>ARVIKA</t>
        </is>
      </c>
      <c r="G8825" t="n">
        <v>8</v>
      </c>
      <c r="H8825" t="n">
        <v>0</v>
      </c>
      <c r="I8825" t="n">
        <v>0</v>
      </c>
      <c r="J8825" t="n">
        <v>0</v>
      </c>
      <c r="K8825" t="n">
        <v>0</v>
      </c>
      <c r="L8825" t="n">
        <v>0</v>
      </c>
      <c r="M8825" t="n">
        <v>0</v>
      </c>
      <c r="N8825" t="n">
        <v>0</v>
      </c>
      <c r="O8825" t="n">
        <v>0</v>
      </c>
      <c r="P8825" t="n">
        <v>0</v>
      </c>
      <c r="Q8825" t="n">
        <v>0</v>
      </c>
      <c r="R8825" s="2" t="inlineStr"/>
    </row>
    <row r="8826" ht="15" customHeight="1">
      <c r="A8826" t="inlineStr">
        <is>
          <t>A 4848-2023</t>
        </is>
      </c>
      <c r="B8826" s="1" t="n">
        <v>44952</v>
      </c>
      <c r="C8826" s="1" t="n">
        <v>45810</v>
      </c>
      <c r="D8826" t="inlineStr">
        <is>
          <t>VÄRMLANDS LÄN</t>
        </is>
      </c>
      <c r="E8826" t="inlineStr">
        <is>
          <t>SÄFFLE</t>
        </is>
      </c>
      <c r="G8826" t="n">
        <v>3.4</v>
      </c>
      <c r="H8826" t="n">
        <v>0</v>
      </c>
      <c r="I8826" t="n">
        <v>0</v>
      </c>
      <c r="J8826" t="n">
        <v>0</v>
      </c>
      <c r="K8826" t="n">
        <v>0</v>
      </c>
      <c r="L8826" t="n">
        <v>0</v>
      </c>
      <c r="M8826" t="n">
        <v>0</v>
      </c>
      <c r="N8826" t="n">
        <v>0</v>
      </c>
      <c r="O8826" t="n">
        <v>0</v>
      </c>
      <c r="P8826" t="n">
        <v>0</v>
      </c>
      <c r="Q8826" t="n">
        <v>0</v>
      </c>
      <c r="R8826" s="2" t="inlineStr"/>
    </row>
    <row r="8827" ht="15" customHeight="1">
      <c r="A8827" t="inlineStr">
        <is>
          <t>A 4851-2023</t>
        </is>
      </c>
      <c r="B8827" s="1" t="n">
        <v>44952</v>
      </c>
      <c r="C8827" s="1" t="n">
        <v>45810</v>
      </c>
      <c r="D8827" t="inlineStr">
        <is>
          <t>VÄRMLANDS LÄN</t>
        </is>
      </c>
      <c r="E8827" t="inlineStr">
        <is>
          <t>SÄFFLE</t>
        </is>
      </c>
      <c r="G8827" t="n">
        <v>4.9</v>
      </c>
      <c r="H8827" t="n">
        <v>0</v>
      </c>
      <c r="I8827" t="n">
        <v>0</v>
      </c>
      <c r="J8827" t="n">
        <v>0</v>
      </c>
      <c r="K8827" t="n">
        <v>0</v>
      </c>
      <c r="L8827" t="n">
        <v>0</v>
      </c>
      <c r="M8827" t="n">
        <v>0</v>
      </c>
      <c r="N8827" t="n">
        <v>0</v>
      </c>
      <c r="O8827" t="n">
        <v>0</v>
      </c>
      <c r="P8827" t="n">
        <v>0</v>
      </c>
      <c r="Q8827" t="n">
        <v>0</v>
      </c>
      <c r="R8827" s="2" t="inlineStr"/>
    </row>
    <row r="8828" ht="15" customHeight="1">
      <c r="A8828" t="inlineStr">
        <is>
          <t>A 4842-2023</t>
        </is>
      </c>
      <c r="B8828" s="1" t="n">
        <v>44952</v>
      </c>
      <c r="C8828" s="1" t="n">
        <v>45810</v>
      </c>
      <c r="D8828" t="inlineStr">
        <is>
          <t>VÄRMLANDS LÄN</t>
        </is>
      </c>
      <c r="E8828" t="inlineStr">
        <is>
          <t>SÄFFLE</t>
        </is>
      </c>
      <c r="G8828" t="n">
        <v>5.5</v>
      </c>
      <c r="H8828" t="n">
        <v>0</v>
      </c>
      <c r="I8828" t="n">
        <v>0</v>
      </c>
      <c r="J8828" t="n">
        <v>0</v>
      </c>
      <c r="K8828" t="n">
        <v>0</v>
      </c>
      <c r="L8828" t="n">
        <v>0</v>
      </c>
      <c r="M8828" t="n">
        <v>0</v>
      </c>
      <c r="N8828" t="n">
        <v>0</v>
      </c>
      <c r="O8828" t="n">
        <v>0</v>
      </c>
      <c r="P8828" t="n">
        <v>0</v>
      </c>
      <c r="Q8828" t="n">
        <v>0</v>
      </c>
      <c r="R8828" s="2" t="inlineStr"/>
    </row>
    <row r="8829" ht="15" customHeight="1">
      <c r="A8829" t="inlineStr">
        <is>
          <t>A 4171-2023</t>
        </is>
      </c>
      <c r="B8829" s="1" t="n">
        <v>44953</v>
      </c>
      <c r="C8829" s="1" t="n">
        <v>45810</v>
      </c>
      <c r="D8829" t="inlineStr">
        <is>
          <t>VÄRMLANDS LÄN</t>
        </is>
      </c>
      <c r="E8829" t="inlineStr">
        <is>
          <t>ÅRJÄNG</t>
        </is>
      </c>
      <c r="G8829" t="n">
        <v>2.4</v>
      </c>
      <c r="H8829" t="n">
        <v>0</v>
      </c>
      <c r="I8829" t="n">
        <v>0</v>
      </c>
      <c r="J8829" t="n">
        <v>0</v>
      </c>
      <c r="K8829" t="n">
        <v>0</v>
      </c>
      <c r="L8829" t="n">
        <v>0</v>
      </c>
      <c r="M8829" t="n">
        <v>0</v>
      </c>
      <c r="N8829" t="n">
        <v>0</v>
      </c>
      <c r="O8829" t="n">
        <v>0</v>
      </c>
      <c r="P8829" t="n">
        <v>0</v>
      </c>
      <c r="Q8829" t="n">
        <v>0</v>
      </c>
      <c r="R8829" s="2" t="inlineStr"/>
    </row>
    <row r="8830" ht="15" customHeight="1">
      <c r="A8830" t="inlineStr">
        <is>
          <t>A 4250-2023</t>
        </is>
      </c>
      <c r="B8830" s="1" t="n">
        <v>44953</v>
      </c>
      <c r="C8830" s="1" t="n">
        <v>45810</v>
      </c>
      <c r="D8830" t="inlineStr">
        <is>
          <t>VÄRMLANDS LÄN</t>
        </is>
      </c>
      <c r="E8830" t="inlineStr">
        <is>
          <t>TORSBY</t>
        </is>
      </c>
      <c r="G8830" t="n">
        <v>5.4</v>
      </c>
      <c r="H8830" t="n">
        <v>0</v>
      </c>
      <c r="I8830" t="n">
        <v>0</v>
      </c>
      <c r="J8830" t="n">
        <v>0</v>
      </c>
      <c r="K8830" t="n">
        <v>0</v>
      </c>
      <c r="L8830" t="n">
        <v>0</v>
      </c>
      <c r="M8830" t="n">
        <v>0</v>
      </c>
      <c r="N8830" t="n">
        <v>0</v>
      </c>
      <c r="O8830" t="n">
        <v>0</v>
      </c>
      <c r="P8830" t="n">
        <v>0</v>
      </c>
      <c r="Q8830" t="n">
        <v>0</v>
      </c>
      <c r="R8830" s="2" t="inlineStr"/>
    </row>
    <row r="8831" ht="15" customHeight="1">
      <c r="A8831" t="inlineStr">
        <is>
          <t>A 4314-2023</t>
        </is>
      </c>
      <c r="B8831" s="1" t="n">
        <v>44953</v>
      </c>
      <c r="C8831" s="1" t="n">
        <v>45810</v>
      </c>
      <c r="D8831" t="inlineStr">
        <is>
          <t>VÄRMLANDS LÄN</t>
        </is>
      </c>
      <c r="E8831" t="inlineStr">
        <is>
          <t>KRISTINEHAMN</t>
        </is>
      </c>
      <c r="G8831" t="n">
        <v>1.4</v>
      </c>
      <c r="H8831" t="n">
        <v>0</v>
      </c>
      <c r="I8831" t="n">
        <v>0</v>
      </c>
      <c r="J8831" t="n">
        <v>0</v>
      </c>
      <c r="K8831" t="n">
        <v>0</v>
      </c>
      <c r="L8831" t="n">
        <v>0</v>
      </c>
      <c r="M8831" t="n">
        <v>0</v>
      </c>
      <c r="N8831" t="n">
        <v>0</v>
      </c>
      <c r="O8831" t="n">
        <v>0</v>
      </c>
      <c r="P8831" t="n">
        <v>0</v>
      </c>
      <c r="Q8831" t="n">
        <v>0</v>
      </c>
      <c r="R8831" s="2" t="inlineStr"/>
    </row>
    <row r="8832" ht="15" customHeight="1">
      <c r="A8832" t="inlineStr">
        <is>
          <t>A 4236-2023</t>
        </is>
      </c>
      <c r="B8832" s="1" t="n">
        <v>44953</v>
      </c>
      <c r="C8832" s="1" t="n">
        <v>45810</v>
      </c>
      <c r="D8832" t="inlineStr">
        <is>
          <t>VÄRMLANDS LÄN</t>
        </is>
      </c>
      <c r="E8832" t="inlineStr">
        <is>
          <t>TORSBY</t>
        </is>
      </c>
      <c r="G8832" t="n">
        <v>1.8</v>
      </c>
      <c r="H8832" t="n">
        <v>0</v>
      </c>
      <c r="I8832" t="n">
        <v>0</v>
      </c>
      <c r="J8832" t="n">
        <v>0</v>
      </c>
      <c r="K8832" t="n">
        <v>0</v>
      </c>
      <c r="L8832" t="n">
        <v>0</v>
      </c>
      <c r="M8832" t="n">
        <v>0</v>
      </c>
      <c r="N8832" t="n">
        <v>0</v>
      </c>
      <c r="O8832" t="n">
        <v>0</v>
      </c>
      <c r="P8832" t="n">
        <v>0</v>
      </c>
      <c r="Q8832" t="n">
        <v>0</v>
      </c>
      <c r="R8832" s="2" t="inlineStr"/>
    </row>
    <row r="8833" ht="15" customHeight="1">
      <c r="A8833" t="inlineStr">
        <is>
          <t>A 4260-2023</t>
        </is>
      </c>
      <c r="B8833" s="1" t="n">
        <v>44953</v>
      </c>
      <c r="C8833" s="1" t="n">
        <v>45810</v>
      </c>
      <c r="D8833" t="inlineStr">
        <is>
          <t>VÄRMLANDS LÄN</t>
        </is>
      </c>
      <c r="E8833" t="inlineStr">
        <is>
          <t>HAGFORS</t>
        </is>
      </c>
      <c r="G8833" t="n">
        <v>1.7</v>
      </c>
      <c r="H8833" t="n">
        <v>0</v>
      </c>
      <c r="I8833" t="n">
        <v>0</v>
      </c>
      <c r="J8833" t="n">
        <v>0</v>
      </c>
      <c r="K8833" t="n">
        <v>0</v>
      </c>
      <c r="L8833" t="n">
        <v>0</v>
      </c>
      <c r="M8833" t="n">
        <v>0</v>
      </c>
      <c r="N8833" t="n">
        <v>0</v>
      </c>
      <c r="O8833" t="n">
        <v>0</v>
      </c>
      <c r="P8833" t="n">
        <v>0</v>
      </c>
      <c r="Q8833" t="n">
        <v>0</v>
      </c>
      <c r="R8833" s="2" t="inlineStr"/>
    </row>
    <row r="8834" ht="15" customHeight="1">
      <c r="A8834" t="inlineStr">
        <is>
          <t>A 5012-2023</t>
        </is>
      </c>
      <c r="B8834" s="1" t="n">
        <v>44953</v>
      </c>
      <c r="C8834" s="1" t="n">
        <v>45810</v>
      </c>
      <c r="D8834" t="inlineStr">
        <is>
          <t>VÄRMLANDS LÄN</t>
        </is>
      </c>
      <c r="E8834" t="inlineStr">
        <is>
          <t>SUNNE</t>
        </is>
      </c>
      <c r="G8834" t="n">
        <v>2.2</v>
      </c>
      <c r="H8834" t="n">
        <v>0</v>
      </c>
      <c r="I8834" t="n">
        <v>0</v>
      </c>
      <c r="J8834" t="n">
        <v>0</v>
      </c>
      <c r="K8834" t="n">
        <v>0</v>
      </c>
      <c r="L8834" t="n">
        <v>0</v>
      </c>
      <c r="M8834" t="n">
        <v>0</v>
      </c>
      <c r="N8834" t="n">
        <v>0</v>
      </c>
      <c r="O8834" t="n">
        <v>0</v>
      </c>
      <c r="P8834" t="n">
        <v>0</v>
      </c>
      <c r="Q8834" t="n">
        <v>0</v>
      </c>
      <c r="R8834" s="2" t="inlineStr"/>
    </row>
    <row r="8835" ht="15" customHeight="1">
      <c r="A8835" t="inlineStr">
        <is>
          <t>A 5095-2023</t>
        </is>
      </c>
      <c r="B8835" s="1" t="n">
        <v>44953</v>
      </c>
      <c r="C8835" s="1" t="n">
        <v>45810</v>
      </c>
      <c r="D8835" t="inlineStr">
        <is>
          <t>VÄRMLANDS LÄN</t>
        </is>
      </c>
      <c r="E8835" t="inlineStr">
        <is>
          <t>ÅRJÄNG</t>
        </is>
      </c>
      <c r="G8835" t="n">
        <v>1.5</v>
      </c>
      <c r="H8835" t="n">
        <v>0</v>
      </c>
      <c r="I8835" t="n">
        <v>0</v>
      </c>
      <c r="J8835" t="n">
        <v>0</v>
      </c>
      <c r="K8835" t="n">
        <v>0</v>
      </c>
      <c r="L8835" t="n">
        <v>0</v>
      </c>
      <c r="M8835" t="n">
        <v>0</v>
      </c>
      <c r="N8835" t="n">
        <v>0</v>
      </c>
      <c r="O8835" t="n">
        <v>0</v>
      </c>
      <c r="P8835" t="n">
        <v>0</v>
      </c>
      <c r="Q8835" t="n">
        <v>0</v>
      </c>
      <c r="R8835" s="2" t="inlineStr"/>
    </row>
    <row r="8836" ht="15" customHeight="1">
      <c r="A8836" t="inlineStr">
        <is>
          <t>A 5115-2023</t>
        </is>
      </c>
      <c r="B8836" s="1" t="n">
        <v>44953</v>
      </c>
      <c r="C8836" s="1" t="n">
        <v>45810</v>
      </c>
      <c r="D8836" t="inlineStr">
        <is>
          <t>VÄRMLANDS LÄN</t>
        </is>
      </c>
      <c r="E8836" t="inlineStr">
        <is>
          <t>ÅRJÄNG</t>
        </is>
      </c>
      <c r="G8836" t="n">
        <v>8.6</v>
      </c>
      <c r="H8836" t="n">
        <v>0</v>
      </c>
      <c r="I8836" t="n">
        <v>0</v>
      </c>
      <c r="J8836" t="n">
        <v>0</v>
      </c>
      <c r="K8836" t="n">
        <v>0</v>
      </c>
      <c r="L8836" t="n">
        <v>0</v>
      </c>
      <c r="M8836" t="n">
        <v>0</v>
      </c>
      <c r="N8836" t="n">
        <v>0</v>
      </c>
      <c r="O8836" t="n">
        <v>0</v>
      </c>
      <c r="P8836" t="n">
        <v>0</v>
      </c>
      <c r="Q8836" t="n">
        <v>0</v>
      </c>
      <c r="R8836" s="2" t="inlineStr"/>
    </row>
    <row r="8837" ht="15" customHeight="1">
      <c r="A8837" t="inlineStr">
        <is>
          <t>A 5106-2023</t>
        </is>
      </c>
      <c r="B8837" s="1" t="n">
        <v>44953</v>
      </c>
      <c r="C8837" s="1" t="n">
        <v>45810</v>
      </c>
      <c r="D8837" t="inlineStr">
        <is>
          <t>VÄRMLANDS LÄN</t>
        </is>
      </c>
      <c r="E8837" t="inlineStr">
        <is>
          <t>ÅRJÄNG</t>
        </is>
      </c>
      <c r="G8837" t="n">
        <v>0.6</v>
      </c>
      <c r="H8837" t="n">
        <v>0</v>
      </c>
      <c r="I8837" t="n">
        <v>0</v>
      </c>
      <c r="J8837" t="n">
        <v>0</v>
      </c>
      <c r="K8837" t="n">
        <v>0</v>
      </c>
      <c r="L8837" t="n">
        <v>0</v>
      </c>
      <c r="M8837" t="n">
        <v>0</v>
      </c>
      <c r="N8837" t="n">
        <v>0</v>
      </c>
      <c r="O8837" t="n">
        <v>0</v>
      </c>
      <c r="P8837" t="n">
        <v>0</v>
      </c>
      <c r="Q8837" t="n">
        <v>0</v>
      </c>
      <c r="R8837" s="2" t="inlineStr"/>
    </row>
    <row r="8838" ht="15" customHeight="1">
      <c r="A8838" t="inlineStr">
        <is>
          <t>A 4433-2023</t>
        </is>
      </c>
      <c r="B8838" s="1" t="n">
        <v>44956</v>
      </c>
      <c r="C8838" s="1" t="n">
        <v>45810</v>
      </c>
      <c r="D8838" t="inlineStr">
        <is>
          <t>VÄRMLANDS LÄN</t>
        </is>
      </c>
      <c r="E8838" t="inlineStr">
        <is>
          <t>TORSBY</t>
        </is>
      </c>
      <c r="G8838" t="n">
        <v>7.2</v>
      </c>
      <c r="H8838" t="n">
        <v>0</v>
      </c>
      <c r="I8838" t="n">
        <v>0</v>
      </c>
      <c r="J8838" t="n">
        <v>0</v>
      </c>
      <c r="K8838" t="n">
        <v>0</v>
      </c>
      <c r="L8838" t="n">
        <v>0</v>
      </c>
      <c r="M8838" t="n">
        <v>0</v>
      </c>
      <c r="N8838" t="n">
        <v>0</v>
      </c>
      <c r="O8838" t="n">
        <v>0</v>
      </c>
      <c r="P8838" t="n">
        <v>0</v>
      </c>
      <c r="Q8838" t="n">
        <v>0</v>
      </c>
      <c r="R8838" s="2" t="inlineStr"/>
    </row>
    <row r="8839" ht="15" customHeight="1">
      <c r="A8839" t="inlineStr">
        <is>
          <t>A 4421-2023</t>
        </is>
      </c>
      <c r="B8839" s="1" t="n">
        <v>44956</v>
      </c>
      <c r="C8839" s="1" t="n">
        <v>45810</v>
      </c>
      <c r="D8839" t="inlineStr">
        <is>
          <t>VÄRMLANDS LÄN</t>
        </is>
      </c>
      <c r="E8839" t="inlineStr">
        <is>
          <t>EDA</t>
        </is>
      </c>
      <c r="G8839" t="n">
        <v>0.9</v>
      </c>
      <c r="H8839" t="n">
        <v>0</v>
      </c>
      <c r="I8839" t="n">
        <v>0</v>
      </c>
      <c r="J8839" t="n">
        <v>0</v>
      </c>
      <c r="K8839" t="n">
        <v>0</v>
      </c>
      <c r="L8839" t="n">
        <v>0</v>
      </c>
      <c r="M8839" t="n">
        <v>0</v>
      </c>
      <c r="N8839" t="n">
        <v>0</v>
      </c>
      <c r="O8839" t="n">
        <v>0</v>
      </c>
      <c r="P8839" t="n">
        <v>0</v>
      </c>
      <c r="Q8839" t="n">
        <v>0</v>
      </c>
      <c r="R8839" s="2" t="inlineStr"/>
    </row>
    <row r="8840" ht="15" customHeight="1">
      <c r="A8840" t="inlineStr">
        <is>
          <t>A 4456-2023</t>
        </is>
      </c>
      <c r="B8840" s="1" t="n">
        <v>44956</v>
      </c>
      <c r="C8840" s="1" t="n">
        <v>45810</v>
      </c>
      <c r="D8840" t="inlineStr">
        <is>
          <t>VÄRMLANDS LÄN</t>
        </is>
      </c>
      <c r="E8840" t="inlineStr">
        <is>
          <t>ARVIKA</t>
        </is>
      </c>
      <c r="G8840" t="n">
        <v>5.2</v>
      </c>
      <c r="H8840" t="n">
        <v>0</v>
      </c>
      <c r="I8840" t="n">
        <v>0</v>
      </c>
      <c r="J8840" t="n">
        <v>0</v>
      </c>
      <c r="K8840" t="n">
        <v>0</v>
      </c>
      <c r="L8840" t="n">
        <v>0</v>
      </c>
      <c r="M8840" t="n">
        <v>0</v>
      </c>
      <c r="N8840" t="n">
        <v>0</v>
      </c>
      <c r="O8840" t="n">
        <v>0</v>
      </c>
      <c r="P8840" t="n">
        <v>0</v>
      </c>
      <c r="Q8840" t="n">
        <v>0</v>
      </c>
      <c r="R8840" s="2" t="inlineStr"/>
    </row>
    <row r="8841" ht="15" customHeight="1">
      <c r="A8841" t="inlineStr">
        <is>
          <t>A 4430-2023</t>
        </is>
      </c>
      <c r="B8841" s="1" t="n">
        <v>44956</v>
      </c>
      <c r="C8841" s="1" t="n">
        <v>45810</v>
      </c>
      <c r="D8841" t="inlineStr">
        <is>
          <t>VÄRMLANDS LÄN</t>
        </is>
      </c>
      <c r="E8841" t="inlineStr">
        <is>
          <t>ARVIKA</t>
        </is>
      </c>
      <c r="G8841" t="n">
        <v>1.7</v>
      </c>
      <c r="H8841" t="n">
        <v>0</v>
      </c>
      <c r="I8841" t="n">
        <v>0</v>
      </c>
      <c r="J8841" t="n">
        <v>0</v>
      </c>
      <c r="K8841" t="n">
        <v>0</v>
      </c>
      <c r="L8841" t="n">
        <v>0</v>
      </c>
      <c r="M8841" t="n">
        <v>0</v>
      </c>
      <c r="N8841" t="n">
        <v>0</v>
      </c>
      <c r="O8841" t="n">
        <v>0</v>
      </c>
      <c r="P8841" t="n">
        <v>0</v>
      </c>
      <c r="Q8841" t="n">
        <v>0</v>
      </c>
      <c r="R8841" s="2" t="inlineStr"/>
    </row>
    <row r="8842" ht="15" customHeight="1">
      <c r="A8842" t="inlineStr">
        <is>
          <t>A 4510-2023</t>
        </is>
      </c>
      <c r="B8842" s="1" t="n">
        <v>44956</v>
      </c>
      <c r="C8842" s="1" t="n">
        <v>45810</v>
      </c>
      <c r="D8842" t="inlineStr">
        <is>
          <t>VÄRMLANDS LÄN</t>
        </is>
      </c>
      <c r="E8842" t="inlineStr">
        <is>
          <t>TORSBY</t>
        </is>
      </c>
      <c r="G8842" t="n">
        <v>1.3</v>
      </c>
      <c r="H8842" t="n">
        <v>0</v>
      </c>
      <c r="I8842" t="n">
        <v>0</v>
      </c>
      <c r="J8842" t="n">
        <v>0</v>
      </c>
      <c r="K8842" t="n">
        <v>0</v>
      </c>
      <c r="L8842" t="n">
        <v>0</v>
      </c>
      <c r="M8842" t="n">
        <v>0</v>
      </c>
      <c r="N8842" t="n">
        <v>0</v>
      </c>
      <c r="O8842" t="n">
        <v>0</v>
      </c>
      <c r="P8842" t="n">
        <v>0</v>
      </c>
      <c r="Q8842" t="n">
        <v>0</v>
      </c>
      <c r="R8842" s="2" t="inlineStr"/>
    </row>
    <row r="8843" ht="15" customHeight="1">
      <c r="A8843" t="inlineStr">
        <is>
          <t>A 4492-2023</t>
        </is>
      </c>
      <c r="B8843" s="1" t="n">
        <v>44956</v>
      </c>
      <c r="C8843" s="1" t="n">
        <v>45810</v>
      </c>
      <c r="D8843" t="inlineStr">
        <is>
          <t>VÄRMLANDS LÄN</t>
        </is>
      </c>
      <c r="E8843" t="inlineStr">
        <is>
          <t>SUNNE</t>
        </is>
      </c>
      <c r="G8843" t="n">
        <v>1.1</v>
      </c>
      <c r="H8843" t="n">
        <v>0</v>
      </c>
      <c r="I8843" t="n">
        <v>0</v>
      </c>
      <c r="J8843" t="n">
        <v>0</v>
      </c>
      <c r="K8843" t="n">
        <v>0</v>
      </c>
      <c r="L8843" t="n">
        <v>0</v>
      </c>
      <c r="M8843" t="n">
        <v>0</v>
      </c>
      <c r="N8843" t="n">
        <v>0</v>
      </c>
      <c r="O8843" t="n">
        <v>0</v>
      </c>
      <c r="P8843" t="n">
        <v>0</v>
      </c>
      <c r="Q8843" t="n">
        <v>0</v>
      </c>
      <c r="R8843" s="2" t="inlineStr"/>
    </row>
    <row r="8844" ht="15" customHeight="1">
      <c r="A8844" t="inlineStr">
        <is>
          <t>A 4568-2023</t>
        </is>
      </c>
      <c r="B8844" s="1" t="n">
        <v>44956</v>
      </c>
      <c r="C8844" s="1" t="n">
        <v>45810</v>
      </c>
      <c r="D8844" t="inlineStr">
        <is>
          <t>VÄRMLANDS LÄN</t>
        </is>
      </c>
      <c r="E8844" t="inlineStr">
        <is>
          <t>TORSBY</t>
        </is>
      </c>
      <c r="G8844" t="n">
        <v>1.4</v>
      </c>
      <c r="H8844" t="n">
        <v>0</v>
      </c>
      <c r="I8844" t="n">
        <v>0</v>
      </c>
      <c r="J8844" t="n">
        <v>0</v>
      </c>
      <c r="K8844" t="n">
        <v>0</v>
      </c>
      <c r="L8844" t="n">
        <v>0</v>
      </c>
      <c r="M8844" t="n">
        <v>0</v>
      </c>
      <c r="N8844" t="n">
        <v>0</v>
      </c>
      <c r="O8844" t="n">
        <v>0</v>
      </c>
      <c r="P8844" t="n">
        <v>0</v>
      </c>
      <c r="Q8844" t="n">
        <v>0</v>
      </c>
      <c r="R8844" s="2" t="inlineStr"/>
    </row>
    <row r="8845" ht="15" customHeight="1">
      <c r="A8845" t="inlineStr">
        <is>
          <t>A 4424-2023</t>
        </is>
      </c>
      <c r="B8845" s="1" t="n">
        <v>44956</v>
      </c>
      <c r="C8845" s="1" t="n">
        <v>45810</v>
      </c>
      <c r="D8845" t="inlineStr">
        <is>
          <t>VÄRMLANDS LÄN</t>
        </is>
      </c>
      <c r="E8845" t="inlineStr">
        <is>
          <t>EDA</t>
        </is>
      </c>
      <c r="G8845" t="n">
        <v>1.1</v>
      </c>
      <c r="H8845" t="n">
        <v>0</v>
      </c>
      <c r="I8845" t="n">
        <v>0</v>
      </c>
      <c r="J8845" t="n">
        <v>0</v>
      </c>
      <c r="K8845" t="n">
        <v>0</v>
      </c>
      <c r="L8845" t="n">
        <v>0</v>
      </c>
      <c r="M8845" t="n">
        <v>0</v>
      </c>
      <c r="N8845" t="n">
        <v>0</v>
      </c>
      <c r="O8845" t="n">
        <v>0</v>
      </c>
      <c r="P8845" t="n">
        <v>0</v>
      </c>
      <c r="Q8845" t="n">
        <v>0</v>
      </c>
      <c r="R8845" s="2" t="inlineStr"/>
    </row>
    <row r="8846" ht="15" customHeight="1">
      <c r="A8846" t="inlineStr">
        <is>
          <t>A 4585-2023</t>
        </is>
      </c>
      <c r="B8846" s="1" t="n">
        <v>44956</v>
      </c>
      <c r="C8846" s="1" t="n">
        <v>45810</v>
      </c>
      <c r="D8846" t="inlineStr">
        <is>
          <t>VÄRMLANDS LÄN</t>
        </is>
      </c>
      <c r="E8846" t="inlineStr">
        <is>
          <t>TORSBY</t>
        </is>
      </c>
      <c r="G8846" t="n">
        <v>1.3</v>
      </c>
      <c r="H8846" t="n">
        <v>0</v>
      </c>
      <c r="I8846" t="n">
        <v>0</v>
      </c>
      <c r="J8846" t="n">
        <v>0</v>
      </c>
      <c r="K8846" t="n">
        <v>0</v>
      </c>
      <c r="L8846" t="n">
        <v>0</v>
      </c>
      <c r="M8846" t="n">
        <v>0</v>
      </c>
      <c r="N8846" t="n">
        <v>0</v>
      </c>
      <c r="O8846" t="n">
        <v>0</v>
      </c>
      <c r="P8846" t="n">
        <v>0</v>
      </c>
      <c r="Q8846" t="n">
        <v>0</v>
      </c>
      <c r="R8846" s="2" t="inlineStr"/>
    </row>
    <row r="8847" ht="15" customHeight="1">
      <c r="A8847" t="inlineStr">
        <is>
          <t>A 5231-2023</t>
        </is>
      </c>
      <c r="B8847" s="1" t="n">
        <v>44956</v>
      </c>
      <c r="C8847" s="1" t="n">
        <v>45810</v>
      </c>
      <c r="D8847" t="inlineStr">
        <is>
          <t>VÄRMLANDS LÄN</t>
        </is>
      </c>
      <c r="E8847" t="inlineStr">
        <is>
          <t>GRUMS</t>
        </is>
      </c>
      <c r="G8847" t="n">
        <v>1.2</v>
      </c>
      <c r="H8847" t="n">
        <v>0</v>
      </c>
      <c r="I8847" t="n">
        <v>0</v>
      </c>
      <c r="J8847" t="n">
        <v>0</v>
      </c>
      <c r="K8847" t="n">
        <v>0</v>
      </c>
      <c r="L8847" t="n">
        <v>0</v>
      </c>
      <c r="M8847" t="n">
        <v>0</v>
      </c>
      <c r="N8847" t="n">
        <v>0</v>
      </c>
      <c r="O8847" t="n">
        <v>0</v>
      </c>
      <c r="P8847" t="n">
        <v>0</v>
      </c>
      <c r="Q8847" t="n">
        <v>0</v>
      </c>
      <c r="R8847" s="2" t="inlineStr"/>
    </row>
    <row r="8848" ht="15" customHeight="1">
      <c r="A8848" t="inlineStr">
        <is>
          <t>A 4536-2023</t>
        </is>
      </c>
      <c r="B8848" s="1" t="n">
        <v>44956</v>
      </c>
      <c r="C8848" s="1" t="n">
        <v>45810</v>
      </c>
      <c r="D8848" t="inlineStr">
        <is>
          <t>VÄRMLANDS LÄN</t>
        </is>
      </c>
      <c r="E8848" t="inlineStr">
        <is>
          <t>SUNNE</t>
        </is>
      </c>
      <c r="G8848" t="n">
        <v>3.7</v>
      </c>
      <c r="H8848" t="n">
        <v>0</v>
      </c>
      <c r="I8848" t="n">
        <v>0</v>
      </c>
      <c r="J8848" t="n">
        <v>0</v>
      </c>
      <c r="K8848" t="n">
        <v>0</v>
      </c>
      <c r="L8848" t="n">
        <v>0</v>
      </c>
      <c r="M8848" t="n">
        <v>0</v>
      </c>
      <c r="N8848" t="n">
        <v>0</v>
      </c>
      <c r="O8848" t="n">
        <v>0</v>
      </c>
      <c r="P8848" t="n">
        <v>0</v>
      </c>
      <c r="Q8848" t="n">
        <v>0</v>
      </c>
      <c r="R8848" s="2" t="inlineStr"/>
    </row>
    <row r="8849" ht="15" customHeight="1">
      <c r="A8849" t="inlineStr">
        <is>
          <t>A 4576-2023</t>
        </is>
      </c>
      <c r="B8849" s="1" t="n">
        <v>44956</v>
      </c>
      <c r="C8849" s="1" t="n">
        <v>45810</v>
      </c>
      <c r="D8849" t="inlineStr">
        <is>
          <t>VÄRMLANDS LÄN</t>
        </is>
      </c>
      <c r="E8849" t="inlineStr">
        <is>
          <t>STORFORS</t>
        </is>
      </c>
      <c r="F8849" t="inlineStr">
        <is>
          <t>Kyrkan</t>
        </is>
      </c>
      <c r="G8849" t="n">
        <v>1.9</v>
      </c>
      <c r="H8849" t="n">
        <v>0</v>
      </c>
      <c r="I8849" t="n">
        <v>0</v>
      </c>
      <c r="J8849" t="n">
        <v>0</v>
      </c>
      <c r="K8849" t="n">
        <v>0</v>
      </c>
      <c r="L8849" t="n">
        <v>0</v>
      </c>
      <c r="M8849" t="n">
        <v>0</v>
      </c>
      <c r="N8849" t="n">
        <v>0</v>
      </c>
      <c r="O8849" t="n">
        <v>0</v>
      </c>
      <c r="P8849" t="n">
        <v>0</v>
      </c>
      <c r="Q8849" t="n">
        <v>0</v>
      </c>
      <c r="R8849" s="2" t="inlineStr"/>
    </row>
    <row r="8850" ht="15" customHeight="1">
      <c r="A8850" t="inlineStr">
        <is>
          <t>A 5236-2023</t>
        </is>
      </c>
      <c r="B8850" s="1" t="n">
        <v>44956</v>
      </c>
      <c r="C8850" s="1" t="n">
        <v>45810</v>
      </c>
      <c r="D8850" t="inlineStr">
        <is>
          <t>VÄRMLANDS LÄN</t>
        </is>
      </c>
      <c r="E8850" t="inlineStr">
        <is>
          <t>GRUMS</t>
        </is>
      </c>
      <c r="G8850" t="n">
        <v>1</v>
      </c>
      <c r="H8850" t="n">
        <v>0</v>
      </c>
      <c r="I8850" t="n">
        <v>0</v>
      </c>
      <c r="J8850" t="n">
        <v>0</v>
      </c>
      <c r="K8850" t="n">
        <v>0</v>
      </c>
      <c r="L8850" t="n">
        <v>0</v>
      </c>
      <c r="M8850" t="n">
        <v>0</v>
      </c>
      <c r="N8850" t="n">
        <v>0</v>
      </c>
      <c r="O8850" t="n">
        <v>0</v>
      </c>
      <c r="P8850" t="n">
        <v>0</v>
      </c>
      <c r="Q8850" t="n">
        <v>0</v>
      </c>
      <c r="R8850" s="2" t="inlineStr"/>
    </row>
    <row r="8851" ht="15" customHeight="1">
      <c r="A8851" t="inlineStr">
        <is>
          <t>A 4792-2023</t>
        </is>
      </c>
      <c r="B8851" s="1" t="n">
        <v>44957</v>
      </c>
      <c r="C8851" s="1" t="n">
        <v>45810</v>
      </c>
      <c r="D8851" t="inlineStr">
        <is>
          <t>VÄRMLANDS LÄN</t>
        </is>
      </c>
      <c r="E8851" t="inlineStr">
        <is>
          <t>MUNKFORS</t>
        </is>
      </c>
      <c r="G8851" t="n">
        <v>0.9</v>
      </c>
      <c r="H8851" t="n">
        <v>0</v>
      </c>
      <c r="I8851" t="n">
        <v>0</v>
      </c>
      <c r="J8851" t="n">
        <v>0</v>
      </c>
      <c r="K8851" t="n">
        <v>0</v>
      </c>
      <c r="L8851" t="n">
        <v>0</v>
      </c>
      <c r="M8851" t="n">
        <v>0</v>
      </c>
      <c r="N8851" t="n">
        <v>0</v>
      </c>
      <c r="O8851" t="n">
        <v>0</v>
      </c>
      <c r="P8851" t="n">
        <v>0</v>
      </c>
      <c r="Q8851" t="n">
        <v>0</v>
      </c>
      <c r="R8851" s="2" t="inlineStr"/>
    </row>
    <row r="8852" ht="15" customHeight="1">
      <c r="A8852" t="inlineStr">
        <is>
          <t>A 4707-2023</t>
        </is>
      </c>
      <c r="B8852" s="1" t="n">
        <v>44957</v>
      </c>
      <c r="C8852" s="1" t="n">
        <v>45810</v>
      </c>
      <c r="D8852" t="inlineStr">
        <is>
          <t>VÄRMLANDS LÄN</t>
        </is>
      </c>
      <c r="E8852" t="inlineStr">
        <is>
          <t>TORSBY</t>
        </is>
      </c>
      <c r="G8852" t="n">
        <v>7</v>
      </c>
      <c r="H8852" t="n">
        <v>0</v>
      </c>
      <c r="I8852" t="n">
        <v>0</v>
      </c>
      <c r="J8852" t="n">
        <v>0</v>
      </c>
      <c r="K8852" t="n">
        <v>0</v>
      </c>
      <c r="L8852" t="n">
        <v>0</v>
      </c>
      <c r="M8852" t="n">
        <v>0</v>
      </c>
      <c r="N8852" t="n">
        <v>0</v>
      </c>
      <c r="O8852" t="n">
        <v>0</v>
      </c>
      <c r="P8852" t="n">
        <v>0</v>
      </c>
      <c r="Q8852" t="n">
        <v>0</v>
      </c>
      <c r="R8852" s="2" t="inlineStr"/>
    </row>
    <row r="8853" ht="15" customHeight="1">
      <c r="A8853" t="inlineStr">
        <is>
          <t>A 4748-2023</t>
        </is>
      </c>
      <c r="B8853" s="1" t="n">
        <v>44957</v>
      </c>
      <c r="C8853" s="1" t="n">
        <v>45810</v>
      </c>
      <c r="D8853" t="inlineStr">
        <is>
          <t>VÄRMLANDS LÄN</t>
        </is>
      </c>
      <c r="E8853" t="inlineStr">
        <is>
          <t>ÅRJÄNG</t>
        </is>
      </c>
      <c r="G8853" t="n">
        <v>2.6</v>
      </c>
      <c r="H8853" t="n">
        <v>0</v>
      </c>
      <c r="I8853" t="n">
        <v>0</v>
      </c>
      <c r="J8853" t="n">
        <v>0</v>
      </c>
      <c r="K8853" t="n">
        <v>0</v>
      </c>
      <c r="L8853" t="n">
        <v>0</v>
      </c>
      <c r="M8853" t="n">
        <v>0</v>
      </c>
      <c r="N8853" t="n">
        <v>0</v>
      </c>
      <c r="O8853" t="n">
        <v>0</v>
      </c>
      <c r="P8853" t="n">
        <v>0</v>
      </c>
      <c r="Q8853" t="n">
        <v>0</v>
      </c>
      <c r="R8853" s="2" t="inlineStr"/>
    </row>
    <row r="8854" ht="15" customHeight="1">
      <c r="A8854" t="inlineStr">
        <is>
          <t>A 4795-2023</t>
        </is>
      </c>
      <c r="B8854" s="1" t="n">
        <v>44957</v>
      </c>
      <c r="C8854" s="1" t="n">
        <v>45810</v>
      </c>
      <c r="D8854" t="inlineStr">
        <is>
          <t>VÄRMLANDS LÄN</t>
        </is>
      </c>
      <c r="E8854" t="inlineStr">
        <is>
          <t>MUNKFORS</t>
        </is>
      </c>
      <c r="G8854" t="n">
        <v>1.3</v>
      </c>
      <c r="H8854" t="n">
        <v>0</v>
      </c>
      <c r="I8854" t="n">
        <v>0</v>
      </c>
      <c r="J8854" t="n">
        <v>0</v>
      </c>
      <c r="K8854" t="n">
        <v>0</v>
      </c>
      <c r="L8854" t="n">
        <v>0</v>
      </c>
      <c r="M8854" t="n">
        <v>0</v>
      </c>
      <c r="N8854" t="n">
        <v>0</v>
      </c>
      <c r="O8854" t="n">
        <v>0</v>
      </c>
      <c r="P8854" t="n">
        <v>0</v>
      </c>
      <c r="Q8854" t="n">
        <v>0</v>
      </c>
      <c r="R8854" s="2" t="inlineStr"/>
    </row>
    <row r="8855" ht="15" customHeight="1">
      <c r="A8855" t="inlineStr">
        <is>
          <t>A 4802-2023</t>
        </is>
      </c>
      <c r="B8855" s="1" t="n">
        <v>44957</v>
      </c>
      <c r="C8855" s="1" t="n">
        <v>45810</v>
      </c>
      <c r="D8855" t="inlineStr">
        <is>
          <t>VÄRMLANDS LÄN</t>
        </is>
      </c>
      <c r="E8855" t="inlineStr">
        <is>
          <t>KRISTINEHAMN</t>
        </is>
      </c>
      <c r="G8855" t="n">
        <v>1.3</v>
      </c>
      <c r="H8855" t="n">
        <v>0</v>
      </c>
      <c r="I8855" t="n">
        <v>0</v>
      </c>
      <c r="J8855" t="n">
        <v>0</v>
      </c>
      <c r="K8855" t="n">
        <v>0</v>
      </c>
      <c r="L8855" t="n">
        <v>0</v>
      </c>
      <c r="M8855" t="n">
        <v>0</v>
      </c>
      <c r="N8855" t="n">
        <v>0</v>
      </c>
      <c r="O8855" t="n">
        <v>0</v>
      </c>
      <c r="P8855" t="n">
        <v>0</v>
      </c>
      <c r="Q8855" t="n">
        <v>0</v>
      </c>
      <c r="R8855" s="2" t="inlineStr"/>
    </row>
    <row r="8856" ht="15" customHeight="1">
      <c r="A8856" t="inlineStr">
        <is>
          <t>A 4731-2023</t>
        </is>
      </c>
      <c r="B8856" s="1" t="n">
        <v>44957</v>
      </c>
      <c r="C8856" s="1" t="n">
        <v>45810</v>
      </c>
      <c r="D8856" t="inlineStr">
        <is>
          <t>VÄRMLANDS LÄN</t>
        </is>
      </c>
      <c r="E8856" t="inlineStr">
        <is>
          <t>ÅRJÄNG</t>
        </is>
      </c>
      <c r="G8856" t="n">
        <v>1.1</v>
      </c>
      <c r="H8856" t="n">
        <v>0</v>
      </c>
      <c r="I8856" t="n">
        <v>0</v>
      </c>
      <c r="J8856" t="n">
        <v>0</v>
      </c>
      <c r="K8856" t="n">
        <v>0</v>
      </c>
      <c r="L8856" t="n">
        <v>0</v>
      </c>
      <c r="M8856" t="n">
        <v>0</v>
      </c>
      <c r="N8856" t="n">
        <v>0</v>
      </c>
      <c r="O8856" t="n">
        <v>0</v>
      </c>
      <c r="P8856" t="n">
        <v>0</v>
      </c>
      <c r="Q8856" t="n">
        <v>0</v>
      </c>
      <c r="R8856" s="2" t="inlineStr"/>
    </row>
    <row r="8857" ht="15" customHeight="1">
      <c r="A8857" t="inlineStr">
        <is>
          <t>A 4799-2023</t>
        </is>
      </c>
      <c r="B8857" s="1" t="n">
        <v>44957</v>
      </c>
      <c r="C8857" s="1" t="n">
        <v>45810</v>
      </c>
      <c r="D8857" t="inlineStr">
        <is>
          <t>VÄRMLANDS LÄN</t>
        </is>
      </c>
      <c r="E8857" t="inlineStr">
        <is>
          <t>KRISTINEHAMN</t>
        </is>
      </c>
      <c r="G8857" t="n">
        <v>7.3</v>
      </c>
      <c r="H8857" t="n">
        <v>0</v>
      </c>
      <c r="I8857" t="n">
        <v>0</v>
      </c>
      <c r="J8857" t="n">
        <v>0</v>
      </c>
      <c r="K8857" t="n">
        <v>0</v>
      </c>
      <c r="L8857" t="n">
        <v>0</v>
      </c>
      <c r="M8857" t="n">
        <v>0</v>
      </c>
      <c r="N8857" t="n">
        <v>0</v>
      </c>
      <c r="O8857" t="n">
        <v>0</v>
      </c>
      <c r="P8857" t="n">
        <v>0</v>
      </c>
      <c r="Q8857" t="n">
        <v>0</v>
      </c>
      <c r="R8857" s="2" t="inlineStr"/>
    </row>
    <row r="8858" ht="15" customHeight="1">
      <c r="A8858" t="inlineStr">
        <is>
          <t>A 4819-2023</t>
        </is>
      </c>
      <c r="B8858" s="1" t="n">
        <v>44957</v>
      </c>
      <c r="C8858" s="1" t="n">
        <v>45810</v>
      </c>
      <c r="D8858" t="inlineStr">
        <is>
          <t>VÄRMLANDS LÄN</t>
        </is>
      </c>
      <c r="E8858" t="inlineStr">
        <is>
          <t>FILIPSTAD</t>
        </is>
      </c>
      <c r="F8858" t="inlineStr">
        <is>
          <t>Bergvik skog väst AB</t>
        </is>
      </c>
      <c r="G8858" t="n">
        <v>11.3</v>
      </c>
      <c r="H8858" t="n">
        <v>0</v>
      </c>
      <c r="I8858" t="n">
        <v>0</v>
      </c>
      <c r="J8858" t="n">
        <v>0</v>
      </c>
      <c r="K8858" t="n">
        <v>0</v>
      </c>
      <c r="L8858" t="n">
        <v>0</v>
      </c>
      <c r="M8858" t="n">
        <v>0</v>
      </c>
      <c r="N8858" t="n">
        <v>0</v>
      </c>
      <c r="O8858" t="n">
        <v>0</v>
      </c>
      <c r="P8858" t="n">
        <v>0</v>
      </c>
      <c r="Q8858" t="n">
        <v>0</v>
      </c>
      <c r="R8858" s="2" t="inlineStr"/>
    </row>
    <row r="8859" ht="15" customHeight="1">
      <c r="A8859" t="inlineStr">
        <is>
          <t>A 4704-2023</t>
        </is>
      </c>
      <c r="B8859" s="1" t="n">
        <v>44957</v>
      </c>
      <c r="C8859" s="1" t="n">
        <v>45810</v>
      </c>
      <c r="D8859" t="inlineStr">
        <is>
          <t>VÄRMLANDS LÄN</t>
        </is>
      </c>
      <c r="E8859" t="inlineStr">
        <is>
          <t>ÅRJÄNG</t>
        </is>
      </c>
      <c r="G8859" t="n">
        <v>2.2</v>
      </c>
      <c r="H8859" t="n">
        <v>0</v>
      </c>
      <c r="I8859" t="n">
        <v>0</v>
      </c>
      <c r="J8859" t="n">
        <v>0</v>
      </c>
      <c r="K8859" t="n">
        <v>0</v>
      </c>
      <c r="L8859" t="n">
        <v>0</v>
      </c>
      <c r="M8859" t="n">
        <v>0</v>
      </c>
      <c r="N8859" t="n">
        <v>0</v>
      </c>
      <c r="O8859" t="n">
        <v>0</v>
      </c>
      <c r="P8859" t="n">
        <v>0</v>
      </c>
      <c r="Q8859" t="n">
        <v>0</v>
      </c>
      <c r="R8859" s="2" t="inlineStr"/>
    </row>
    <row r="8860" ht="15" customHeight="1">
      <c r="A8860" t="inlineStr">
        <is>
          <t>A 4709-2023</t>
        </is>
      </c>
      <c r="B8860" s="1" t="n">
        <v>44957</v>
      </c>
      <c r="C8860" s="1" t="n">
        <v>45810</v>
      </c>
      <c r="D8860" t="inlineStr">
        <is>
          <t>VÄRMLANDS LÄN</t>
        </is>
      </c>
      <c r="E8860" t="inlineStr">
        <is>
          <t>ARVIKA</t>
        </is>
      </c>
      <c r="F8860" t="inlineStr">
        <is>
          <t>Bergvik skog väst AB</t>
        </is>
      </c>
      <c r="G8860" t="n">
        <v>5.4</v>
      </c>
      <c r="H8860" t="n">
        <v>0</v>
      </c>
      <c r="I8860" t="n">
        <v>0</v>
      </c>
      <c r="J8860" t="n">
        <v>0</v>
      </c>
      <c r="K8860" t="n">
        <v>0</v>
      </c>
      <c r="L8860" t="n">
        <v>0</v>
      </c>
      <c r="M8860" t="n">
        <v>0</v>
      </c>
      <c r="N8860" t="n">
        <v>0</v>
      </c>
      <c r="O8860" t="n">
        <v>0</v>
      </c>
      <c r="P8860" t="n">
        <v>0</v>
      </c>
      <c r="Q8860" t="n">
        <v>0</v>
      </c>
      <c r="R8860" s="2" t="inlineStr"/>
    </row>
    <row r="8861" ht="15" customHeight="1">
      <c r="A8861" t="inlineStr">
        <is>
          <t>A 4763-2023</t>
        </is>
      </c>
      <c r="B8861" s="1" t="n">
        <v>44957</v>
      </c>
      <c r="C8861" s="1" t="n">
        <v>45810</v>
      </c>
      <c r="D8861" t="inlineStr">
        <is>
          <t>VÄRMLANDS LÄN</t>
        </is>
      </c>
      <c r="E8861" t="inlineStr">
        <is>
          <t>ÅRJÄNG</t>
        </is>
      </c>
      <c r="G8861" t="n">
        <v>0.8</v>
      </c>
      <c r="H8861" t="n">
        <v>0</v>
      </c>
      <c r="I8861" t="n">
        <v>0</v>
      </c>
      <c r="J8861" t="n">
        <v>0</v>
      </c>
      <c r="K8861" t="n">
        <v>0</v>
      </c>
      <c r="L8861" t="n">
        <v>0</v>
      </c>
      <c r="M8861" t="n">
        <v>0</v>
      </c>
      <c r="N8861" t="n">
        <v>0</v>
      </c>
      <c r="O8861" t="n">
        <v>0</v>
      </c>
      <c r="P8861" t="n">
        <v>0</v>
      </c>
      <c r="Q8861" t="n">
        <v>0</v>
      </c>
      <c r="R8861" s="2" t="inlineStr"/>
    </row>
    <row r="8862" ht="15" customHeight="1">
      <c r="A8862" t="inlineStr">
        <is>
          <t>A 4784-2023</t>
        </is>
      </c>
      <c r="B8862" s="1" t="n">
        <v>44957</v>
      </c>
      <c r="C8862" s="1" t="n">
        <v>45810</v>
      </c>
      <c r="D8862" t="inlineStr">
        <is>
          <t>VÄRMLANDS LÄN</t>
        </is>
      </c>
      <c r="E8862" t="inlineStr">
        <is>
          <t>ÅRJÄNG</t>
        </is>
      </c>
      <c r="G8862" t="n">
        <v>0.9</v>
      </c>
      <c r="H8862" t="n">
        <v>0</v>
      </c>
      <c r="I8862" t="n">
        <v>0</v>
      </c>
      <c r="J8862" t="n">
        <v>0</v>
      </c>
      <c r="K8862" t="n">
        <v>0</v>
      </c>
      <c r="L8862" t="n">
        <v>0</v>
      </c>
      <c r="M8862" t="n">
        <v>0</v>
      </c>
      <c r="N8862" t="n">
        <v>0</v>
      </c>
      <c r="O8862" t="n">
        <v>0</v>
      </c>
      <c r="P8862" t="n">
        <v>0</v>
      </c>
      <c r="Q8862" t="n">
        <v>0</v>
      </c>
      <c r="R8862" s="2" t="inlineStr"/>
    </row>
    <row r="8863" ht="15" customHeight="1">
      <c r="A8863" t="inlineStr">
        <is>
          <t>A 4807-2023</t>
        </is>
      </c>
      <c r="B8863" s="1" t="n">
        <v>44957</v>
      </c>
      <c r="C8863" s="1" t="n">
        <v>45810</v>
      </c>
      <c r="D8863" t="inlineStr">
        <is>
          <t>VÄRMLANDS LÄN</t>
        </is>
      </c>
      <c r="E8863" t="inlineStr">
        <is>
          <t>KRISTINEHAMN</t>
        </is>
      </c>
      <c r="G8863" t="n">
        <v>2.4</v>
      </c>
      <c r="H8863" t="n">
        <v>0</v>
      </c>
      <c r="I8863" t="n">
        <v>0</v>
      </c>
      <c r="J8863" t="n">
        <v>0</v>
      </c>
      <c r="K8863" t="n">
        <v>0</v>
      </c>
      <c r="L8863" t="n">
        <v>0</v>
      </c>
      <c r="M8863" t="n">
        <v>0</v>
      </c>
      <c r="N8863" t="n">
        <v>0</v>
      </c>
      <c r="O8863" t="n">
        <v>0</v>
      </c>
      <c r="P8863" t="n">
        <v>0</v>
      </c>
      <c r="Q8863" t="n">
        <v>0</v>
      </c>
      <c r="R8863" s="2" t="inlineStr"/>
    </row>
    <row r="8864" ht="15" customHeight="1">
      <c r="A8864" t="inlineStr">
        <is>
          <t>A 4897-2023</t>
        </is>
      </c>
      <c r="B8864" s="1" t="n">
        <v>44958</v>
      </c>
      <c r="C8864" s="1" t="n">
        <v>45810</v>
      </c>
      <c r="D8864" t="inlineStr">
        <is>
          <t>VÄRMLANDS LÄN</t>
        </is>
      </c>
      <c r="E8864" t="inlineStr">
        <is>
          <t>SUNNE</t>
        </is>
      </c>
      <c r="G8864" t="n">
        <v>1.2</v>
      </c>
      <c r="H8864" t="n">
        <v>0</v>
      </c>
      <c r="I8864" t="n">
        <v>0</v>
      </c>
      <c r="J8864" t="n">
        <v>0</v>
      </c>
      <c r="K8864" t="n">
        <v>0</v>
      </c>
      <c r="L8864" t="n">
        <v>0</v>
      </c>
      <c r="M8864" t="n">
        <v>0</v>
      </c>
      <c r="N8864" t="n">
        <v>0</v>
      </c>
      <c r="O8864" t="n">
        <v>0</v>
      </c>
      <c r="P8864" t="n">
        <v>0</v>
      </c>
      <c r="Q8864" t="n">
        <v>0</v>
      </c>
      <c r="R8864" s="2" t="inlineStr"/>
    </row>
    <row r="8865" ht="15" customHeight="1">
      <c r="A8865" t="inlineStr">
        <is>
          <t>A 4940-2023</t>
        </is>
      </c>
      <c r="B8865" s="1" t="n">
        <v>44958</v>
      </c>
      <c r="C8865" s="1" t="n">
        <v>45810</v>
      </c>
      <c r="D8865" t="inlineStr">
        <is>
          <t>VÄRMLANDS LÄN</t>
        </is>
      </c>
      <c r="E8865" t="inlineStr">
        <is>
          <t>ÅRJÄNG</t>
        </is>
      </c>
      <c r="G8865" t="n">
        <v>3.2</v>
      </c>
      <c r="H8865" t="n">
        <v>0</v>
      </c>
      <c r="I8865" t="n">
        <v>0</v>
      </c>
      <c r="J8865" t="n">
        <v>0</v>
      </c>
      <c r="K8865" t="n">
        <v>0</v>
      </c>
      <c r="L8865" t="n">
        <v>0</v>
      </c>
      <c r="M8865" t="n">
        <v>0</v>
      </c>
      <c r="N8865" t="n">
        <v>0</v>
      </c>
      <c r="O8865" t="n">
        <v>0</v>
      </c>
      <c r="P8865" t="n">
        <v>0</v>
      </c>
      <c r="Q8865" t="n">
        <v>0</v>
      </c>
      <c r="R8865" s="2" t="inlineStr"/>
    </row>
    <row r="8866" ht="15" customHeight="1">
      <c r="A8866" t="inlineStr">
        <is>
          <t>A 5084-2023</t>
        </is>
      </c>
      <c r="B8866" s="1" t="n">
        <v>44958</v>
      </c>
      <c r="C8866" s="1" t="n">
        <v>45810</v>
      </c>
      <c r="D8866" t="inlineStr">
        <is>
          <t>VÄRMLANDS LÄN</t>
        </is>
      </c>
      <c r="E8866" t="inlineStr">
        <is>
          <t>GRUMS</t>
        </is>
      </c>
      <c r="G8866" t="n">
        <v>2.1</v>
      </c>
      <c r="H8866" t="n">
        <v>0</v>
      </c>
      <c r="I8866" t="n">
        <v>0</v>
      </c>
      <c r="J8866" t="n">
        <v>0</v>
      </c>
      <c r="K8866" t="n">
        <v>0</v>
      </c>
      <c r="L8866" t="n">
        <v>0</v>
      </c>
      <c r="M8866" t="n">
        <v>0</v>
      </c>
      <c r="N8866" t="n">
        <v>0</v>
      </c>
      <c r="O8866" t="n">
        <v>0</v>
      </c>
      <c r="P8866" t="n">
        <v>0</v>
      </c>
      <c r="Q8866" t="n">
        <v>0</v>
      </c>
      <c r="R8866" s="2" t="inlineStr"/>
    </row>
    <row r="8867" ht="15" customHeight="1">
      <c r="A8867" t="inlineStr">
        <is>
          <t>A 5126-2023</t>
        </is>
      </c>
      <c r="B8867" s="1" t="n">
        <v>44958</v>
      </c>
      <c r="C8867" s="1" t="n">
        <v>45810</v>
      </c>
      <c r="D8867" t="inlineStr">
        <is>
          <t>VÄRMLANDS LÄN</t>
        </is>
      </c>
      <c r="E8867" t="inlineStr">
        <is>
          <t>GRUMS</t>
        </is>
      </c>
      <c r="G8867" t="n">
        <v>14.3</v>
      </c>
      <c r="H8867" t="n">
        <v>0</v>
      </c>
      <c r="I8867" t="n">
        <v>0</v>
      </c>
      <c r="J8867" t="n">
        <v>0</v>
      </c>
      <c r="K8867" t="n">
        <v>0</v>
      </c>
      <c r="L8867" t="n">
        <v>0</v>
      </c>
      <c r="M8867" t="n">
        <v>0</v>
      </c>
      <c r="N8867" t="n">
        <v>0</v>
      </c>
      <c r="O8867" t="n">
        <v>0</v>
      </c>
      <c r="P8867" t="n">
        <v>0</v>
      </c>
      <c r="Q8867" t="n">
        <v>0</v>
      </c>
      <c r="R8867" s="2" t="inlineStr"/>
    </row>
    <row r="8868" ht="15" customHeight="1">
      <c r="A8868" t="inlineStr">
        <is>
          <t>A 4993-2023</t>
        </is>
      </c>
      <c r="B8868" s="1" t="n">
        <v>44958</v>
      </c>
      <c r="C8868" s="1" t="n">
        <v>45810</v>
      </c>
      <c r="D8868" t="inlineStr">
        <is>
          <t>VÄRMLANDS LÄN</t>
        </is>
      </c>
      <c r="E8868" t="inlineStr">
        <is>
          <t>EDA</t>
        </is>
      </c>
      <c r="G8868" t="n">
        <v>0.6</v>
      </c>
      <c r="H8868" t="n">
        <v>0</v>
      </c>
      <c r="I8868" t="n">
        <v>0</v>
      </c>
      <c r="J8868" t="n">
        <v>0</v>
      </c>
      <c r="K8868" t="n">
        <v>0</v>
      </c>
      <c r="L8868" t="n">
        <v>0</v>
      </c>
      <c r="M8868" t="n">
        <v>0</v>
      </c>
      <c r="N8868" t="n">
        <v>0</v>
      </c>
      <c r="O8868" t="n">
        <v>0</v>
      </c>
      <c r="P8868" t="n">
        <v>0</v>
      </c>
      <c r="Q8868" t="n">
        <v>0</v>
      </c>
      <c r="R8868" s="2" t="inlineStr"/>
    </row>
    <row r="8869" ht="15" customHeight="1">
      <c r="A8869" t="inlineStr">
        <is>
          <t>A 5000-2023</t>
        </is>
      </c>
      <c r="B8869" s="1" t="n">
        <v>44958</v>
      </c>
      <c r="C8869" s="1" t="n">
        <v>45810</v>
      </c>
      <c r="D8869" t="inlineStr">
        <is>
          <t>VÄRMLANDS LÄN</t>
        </is>
      </c>
      <c r="E8869" t="inlineStr">
        <is>
          <t>KRISTINEHAMN</t>
        </is>
      </c>
      <c r="G8869" t="n">
        <v>1.2</v>
      </c>
      <c r="H8869" t="n">
        <v>0</v>
      </c>
      <c r="I8869" t="n">
        <v>0</v>
      </c>
      <c r="J8869" t="n">
        <v>0</v>
      </c>
      <c r="K8869" t="n">
        <v>0</v>
      </c>
      <c r="L8869" t="n">
        <v>0</v>
      </c>
      <c r="M8869" t="n">
        <v>0</v>
      </c>
      <c r="N8869" t="n">
        <v>0</v>
      </c>
      <c r="O8869" t="n">
        <v>0</v>
      </c>
      <c r="P8869" t="n">
        <v>0</v>
      </c>
      <c r="Q8869" t="n">
        <v>0</v>
      </c>
      <c r="R8869" s="2" t="inlineStr"/>
    </row>
    <row r="8870" ht="15" customHeight="1">
      <c r="A8870" t="inlineStr">
        <is>
          <t>A 5025-2023</t>
        </is>
      </c>
      <c r="B8870" s="1" t="n">
        <v>44958</v>
      </c>
      <c r="C8870" s="1" t="n">
        <v>45810</v>
      </c>
      <c r="D8870" t="inlineStr">
        <is>
          <t>VÄRMLANDS LÄN</t>
        </is>
      </c>
      <c r="E8870" t="inlineStr">
        <is>
          <t>GRUMS</t>
        </is>
      </c>
      <c r="G8870" t="n">
        <v>0.9</v>
      </c>
      <c r="H8870" t="n">
        <v>0</v>
      </c>
      <c r="I8870" t="n">
        <v>0</v>
      </c>
      <c r="J8870" t="n">
        <v>0</v>
      </c>
      <c r="K8870" t="n">
        <v>0</v>
      </c>
      <c r="L8870" t="n">
        <v>0</v>
      </c>
      <c r="M8870" t="n">
        <v>0</v>
      </c>
      <c r="N8870" t="n">
        <v>0</v>
      </c>
      <c r="O8870" t="n">
        <v>0</v>
      </c>
      <c r="P8870" t="n">
        <v>0</v>
      </c>
      <c r="Q8870" t="n">
        <v>0</v>
      </c>
      <c r="R8870" s="2" t="inlineStr"/>
    </row>
    <row r="8871" ht="15" customHeight="1">
      <c r="A8871" t="inlineStr">
        <is>
          <t>A 5200-2023</t>
        </is>
      </c>
      <c r="B8871" s="1" t="n">
        <v>44959</v>
      </c>
      <c r="C8871" s="1" t="n">
        <v>45810</v>
      </c>
      <c r="D8871" t="inlineStr">
        <is>
          <t>VÄRMLANDS LÄN</t>
        </is>
      </c>
      <c r="E8871" t="inlineStr">
        <is>
          <t>ARVIKA</t>
        </is>
      </c>
      <c r="G8871" t="n">
        <v>1</v>
      </c>
      <c r="H8871" t="n">
        <v>0</v>
      </c>
      <c r="I8871" t="n">
        <v>0</v>
      </c>
      <c r="J8871" t="n">
        <v>0</v>
      </c>
      <c r="K8871" t="n">
        <v>0</v>
      </c>
      <c r="L8871" t="n">
        <v>0</v>
      </c>
      <c r="M8871" t="n">
        <v>0</v>
      </c>
      <c r="N8871" t="n">
        <v>0</v>
      </c>
      <c r="O8871" t="n">
        <v>0</v>
      </c>
      <c r="P8871" t="n">
        <v>0</v>
      </c>
      <c r="Q8871" t="n">
        <v>0</v>
      </c>
      <c r="R8871" s="2" t="inlineStr"/>
    </row>
    <row r="8872" ht="15" customHeight="1">
      <c r="A8872" t="inlineStr">
        <is>
          <t>A 5269-2023</t>
        </is>
      </c>
      <c r="B8872" s="1" t="n">
        <v>44959</v>
      </c>
      <c r="C8872" s="1" t="n">
        <v>45810</v>
      </c>
      <c r="D8872" t="inlineStr">
        <is>
          <t>VÄRMLANDS LÄN</t>
        </is>
      </c>
      <c r="E8872" t="inlineStr">
        <is>
          <t>HAGFORS</t>
        </is>
      </c>
      <c r="G8872" t="n">
        <v>1.9</v>
      </c>
      <c r="H8872" t="n">
        <v>0</v>
      </c>
      <c r="I8872" t="n">
        <v>0</v>
      </c>
      <c r="J8872" t="n">
        <v>0</v>
      </c>
      <c r="K8872" t="n">
        <v>0</v>
      </c>
      <c r="L8872" t="n">
        <v>0</v>
      </c>
      <c r="M8872" t="n">
        <v>0</v>
      </c>
      <c r="N8872" t="n">
        <v>0</v>
      </c>
      <c r="O8872" t="n">
        <v>0</v>
      </c>
      <c r="P8872" t="n">
        <v>0</v>
      </c>
      <c r="Q8872" t="n">
        <v>0</v>
      </c>
      <c r="R8872" s="2" t="inlineStr"/>
    </row>
    <row r="8873" ht="15" customHeight="1">
      <c r="A8873" t="inlineStr">
        <is>
          <t>A 5322-2023</t>
        </is>
      </c>
      <c r="B8873" s="1" t="n">
        <v>44959</v>
      </c>
      <c r="C8873" s="1" t="n">
        <v>45810</v>
      </c>
      <c r="D8873" t="inlineStr">
        <is>
          <t>VÄRMLANDS LÄN</t>
        </is>
      </c>
      <c r="E8873" t="inlineStr">
        <is>
          <t>ARVIKA</t>
        </is>
      </c>
      <c r="G8873" t="n">
        <v>0.8</v>
      </c>
      <c r="H8873" t="n">
        <v>0</v>
      </c>
      <c r="I8873" t="n">
        <v>0</v>
      </c>
      <c r="J8873" t="n">
        <v>0</v>
      </c>
      <c r="K8873" t="n">
        <v>0</v>
      </c>
      <c r="L8873" t="n">
        <v>0</v>
      </c>
      <c r="M8873" t="n">
        <v>0</v>
      </c>
      <c r="N8873" t="n">
        <v>0</v>
      </c>
      <c r="O8873" t="n">
        <v>0</v>
      </c>
      <c r="P8873" t="n">
        <v>0</v>
      </c>
      <c r="Q8873" t="n">
        <v>0</v>
      </c>
      <c r="R8873" s="2" t="inlineStr"/>
    </row>
    <row r="8874" ht="15" customHeight="1">
      <c r="A8874" t="inlineStr">
        <is>
          <t>A 5357-2023</t>
        </is>
      </c>
      <c r="B8874" s="1" t="n">
        <v>44959</v>
      </c>
      <c r="C8874" s="1" t="n">
        <v>45810</v>
      </c>
      <c r="D8874" t="inlineStr">
        <is>
          <t>VÄRMLANDS LÄN</t>
        </is>
      </c>
      <c r="E8874" t="inlineStr">
        <is>
          <t>HAGFORS</t>
        </is>
      </c>
      <c r="G8874" t="n">
        <v>4.9</v>
      </c>
      <c r="H8874" t="n">
        <v>0</v>
      </c>
      <c r="I8874" t="n">
        <v>0</v>
      </c>
      <c r="J8874" t="n">
        <v>0</v>
      </c>
      <c r="K8874" t="n">
        <v>0</v>
      </c>
      <c r="L8874" t="n">
        <v>0</v>
      </c>
      <c r="M8874" t="n">
        <v>0</v>
      </c>
      <c r="N8874" t="n">
        <v>0</v>
      </c>
      <c r="O8874" t="n">
        <v>0</v>
      </c>
      <c r="P8874" t="n">
        <v>0</v>
      </c>
      <c r="Q8874" t="n">
        <v>0</v>
      </c>
      <c r="R8874" s="2" t="inlineStr"/>
    </row>
    <row r="8875" ht="15" customHeight="1">
      <c r="A8875" t="inlineStr">
        <is>
          <t>A 5395-2023</t>
        </is>
      </c>
      <c r="B8875" s="1" t="n">
        <v>44959</v>
      </c>
      <c r="C8875" s="1" t="n">
        <v>45810</v>
      </c>
      <c r="D8875" t="inlineStr">
        <is>
          <t>VÄRMLANDS LÄN</t>
        </is>
      </c>
      <c r="E8875" t="inlineStr">
        <is>
          <t>ÅRJÄNG</t>
        </is>
      </c>
      <c r="G8875" t="n">
        <v>3.4</v>
      </c>
      <c r="H8875" t="n">
        <v>0</v>
      </c>
      <c r="I8875" t="n">
        <v>0</v>
      </c>
      <c r="J8875" t="n">
        <v>0</v>
      </c>
      <c r="K8875" t="n">
        <v>0</v>
      </c>
      <c r="L8875" t="n">
        <v>0</v>
      </c>
      <c r="M8875" t="n">
        <v>0</v>
      </c>
      <c r="N8875" t="n">
        <v>0</v>
      </c>
      <c r="O8875" t="n">
        <v>0</v>
      </c>
      <c r="P8875" t="n">
        <v>0</v>
      </c>
      <c r="Q8875" t="n">
        <v>0</v>
      </c>
      <c r="R8875" s="2" t="inlineStr"/>
    </row>
    <row r="8876" ht="15" customHeight="1">
      <c r="A8876" t="inlineStr">
        <is>
          <t>A 5256-2023</t>
        </is>
      </c>
      <c r="B8876" s="1" t="n">
        <v>44959</v>
      </c>
      <c r="C8876" s="1" t="n">
        <v>45810</v>
      </c>
      <c r="D8876" t="inlineStr">
        <is>
          <t>VÄRMLANDS LÄN</t>
        </is>
      </c>
      <c r="E8876" t="inlineStr">
        <is>
          <t>ÅRJÄNG</t>
        </is>
      </c>
      <c r="G8876" t="n">
        <v>1.7</v>
      </c>
      <c r="H8876" t="n">
        <v>0</v>
      </c>
      <c r="I8876" t="n">
        <v>0</v>
      </c>
      <c r="J8876" t="n">
        <v>0</v>
      </c>
      <c r="K8876" t="n">
        <v>0</v>
      </c>
      <c r="L8876" t="n">
        <v>0</v>
      </c>
      <c r="M8876" t="n">
        <v>0</v>
      </c>
      <c r="N8876" t="n">
        <v>0</v>
      </c>
      <c r="O8876" t="n">
        <v>0</v>
      </c>
      <c r="P8876" t="n">
        <v>0</v>
      </c>
      <c r="Q8876" t="n">
        <v>0</v>
      </c>
      <c r="R8876" s="2" t="inlineStr"/>
    </row>
    <row r="8877" ht="15" customHeight="1">
      <c r="A8877" t="inlineStr">
        <is>
          <t>A 5377-2023</t>
        </is>
      </c>
      <c r="B8877" s="1" t="n">
        <v>44959</v>
      </c>
      <c r="C8877" s="1" t="n">
        <v>45810</v>
      </c>
      <c r="D8877" t="inlineStr">
        <is>
          <t>VÄRMLANDS LÄN</t>
        </is>
      </c>
      <c r="E8877" t="inlineStr">
        <is>
          <t>HAGFORS</t>
        </is>
      </c>
      <c r="G8877" t="n">
        <v>5.2</v>
      </c>
      <c r="H8877" t="n">
        <v>0</v>
      </c>
      <c r="I8877" t="n">
        <v>0</v>
      </c>
      <c r="J8877" t="n">
        <v>0</v>
      </c>
      <c r="K8877" t="n">
        <v>0</v>
      </c>
      <c r="L8877" t="n">
        <v>0</v>
      </c>
      <c r="M8877" t="n">
        <v>0</v>
      </c>
      <c r="N8877" t="n">
        <v>0</v>
      </c>
      <c r="O8877" t="n">
        <v>0</v>
      </c>
      <c r="P8877" t="n">
        <v>0</v>
      </c>
      <c r="Q8877" t="n">
        <v>0</v>
      </c>
      <c r="R8877" s="2" t="inlineStr"/>
    </row>
    <row r="8878" ht="15" customHeight="1">
      <c r="A8878" t="inlineStr">
        <is>
          <t>A 5206-2023</t>
        </is>
      </c>
      <c r="B8878" s="1" t="n">
        <v>44959</v>
      </c>
      <c r="C8878" s="1" t="n">
        <v>45810</v>
      </c>
      <c r="D8878" t="inlineStr">
        <is>
          <t>VÄRMLANDS LÄN</t>
        </is>
      </c>
      <c r="E8878" t="inlineStr">
        <is>
          <t>EDA</t>
        </is>
      </c>
      <c r="G8878" t="n">
        <v>2.4</v>
      </c>
      <c r="H8878" t="n">
        <v>0</v>
      </c>
      <c r="I8878" t="n">
        <v>0</v>
      </c>
      <c r="J8878" t="n">
        <v>0</v>
      </c>
      <c r="K8878" t="n">
        <v>0</v>
      </c>
      <c r="L8878" t="n">
        <v>0</v>
      </c>
      <c r="M8878" t="n">
        <v>0</v>
      </c>
      <c r="N8878" t="n">
        <v>0</v>
      </c>
      <c r="O8878" t="n">
        <v>0</v>
      </c>
      <c r="P8878" t="n">
        <v>0</v>
      </c>
      <c r="Q8878" t="n">
        <v>0</v>
      </c>
      <c r="R8878" s="2" t="inlineStr"/>
    </row>
    <row r="8879" ht="15" customHeight="1">
      <c r="A8879" t="inlineStr">
        <is>
          <t>A 5216-2023</t>
        </is>
      </c>
      <c r="B8879" s="1" t="n">
        <v>44959</v>
      </c>
      <c r="C8879" s="1" t="n">
        <v>45810</v>
      </c>
      <c r="D8879" t="inlineStr">
        <is>
          <t>VÄRMLANDS LÄN</t>
        </is>
      </c>
      <c r="E8879" t="inlineStr">
        <is>
          <t>TORSBY</t>
        </is>
      </c>
      <c r="G8879" t="n">
        <v>3.2</v>
      </c>
      <c r="H8879" t="n">
        <v>0</v>
      </c>
      <c r="I8879" t="n">
        <v>0</v>
      </c>
      <c r="J8879" t="n">
        <v>0</v>
      </c>
      <c r="K8879" t="n">
        <v>0</v>
      </c>
      <c r="L8879" t="n">
        <v>0</v>
      </c>
      <c r="M8879" t="n">
        <v>0</v>
      </c>
      <c r="N8879" t="n">
        <v>0</v>
      </c>
      <c r="O8879" t="n">
        <v>0</v>
      </c>
      <c r="P8879" t="n">
        <v>0</v>
      </c>
      <c r="Q8879" t="n">
        <v>0</v>
      </c>
      <c r="R8879" s="2" t="inlineStr"/>
    </row>
    <row r="8880" ht="15" customHeight="1">
      <c r="A8880" t="inlineStr">
        <is>
          <t>A 5250-2023</t>
        </is>
      </c>
      <c r="B8880" s="1" t="n">
        <v>44959</v>
      </c>
      <c r="C8880" s="1" t="n">
        <v>45810</v>
      </c>
      <c r="D8880" t="inlineStr">
        <is>
          <t>VÄRMLANDS LÄN</t>
        </is>
      </c>
      <c r="E8880" t="inlineStr">
        <is>
          <t>KRISTINEHAMN</t>
        </is>
      </c>
      <c r="G8880" t="n">
        <v>1.2</v>
      </c>
      <c r="H8880" t="n">
        <v>0</v>
      </c>
      <c r="I8880" t="n">
        <v>0</v>
      </c>
      <c r="J8880" t="n">
        <v>0</v>
      </c>
      <c r="K8880" t="n">
        <v>0</v>
      </c>
      <c r="L8880" t="n">
        <v>0</v>
      </c>
      <c r="M8880" t="n">
        <v>0</v>
      </c>
      <c r="N8880" t="n">
        <v>0</v>
      </c>
      <c r="O8880" t="n">
        <v>0</v>
      </c>
      <c r="P8880" t="n">
        <v>0</v>
      </c>
      <c r="Q8880" t="n">
        <v>0</v>
      </c>
      <c r="R8880" s="2" t="inlineStr"/>
    </row>
    <row r="8881" ht="15" customHeight="1">
      <c r="A8881" t="inlineStr">
        <is>
          <t>A 5411-2023</t>
        </is>
      </c>
      <c r="B8881" s="1" t="n">
        <v>44959</v>
      </c>
      <c r="C8881" s="1" t="n">
        <v>45810</v>
      </c>
      <c r="D8881" t="inlineStr">
        <is>
          <t>VÄRMLANDS LÄN</t>
        </is>
      </c>
      <c r="E8881" t="inlineStr">
        <is>
          <t>ÅRJÄNG</t>
        </is>
      </c>
      <c r="G8881" t="n">
        <v>1.8</v>
      </c>
      <c r="H8881" t="n">
        <v>0</v>
      </c>
      <c r="I8881" t="n">
        <v>0</v>
      </c>
      <c r="J8881" t="n">
        <v>0</v>
      </c>
      <c r="K8881" t="n">
        <v>0</v>
      </c>
      <c r="L8881" t="n">
        <v>0</v>
      </c>
      <c r="M8881" t="n">
        <v>0</v>
      </c>
      <c r="N8881" t="n">
        <v>0</v>
      </c>
      <c r="O8881" t="n">
        <v>0</v>
      </c>
      <c r="P8881" t="n">
        <v>0</v>
      </c>
      <c r="Q8881" t="n">
        <v>0</v>
      </c>
      <c r="R8881" s="2" t="inlineStr"/>
    </row>
    <row r="8882" ht="15" customHeight="1">
      <c r="A8882" t="inlineStr">
        <is>
          <t>A 5286-2023</t>
        </is>
      </c>
      <c r="B8882" s="1" t="n">
        <v>44959</v>
      </c>
      <c r="C8882" s="1" t="n">
        <v>45810</v>
      </c>
      <c r="D8882" t="inlineStr">
        <is>
          <t>VÄRMLANDS LÄN</t>
        </is>
      </c>
      <c r="E8882" t="inlineStr">
        <is>
          <t>KIL</t>
        </is>
      </c>
      <c r="G8882" t="n">
        <v>5.3</v>
      </c>
      <c r="H8882" t="n">
        <v>0</v>
      </c>
      <c r="I8882" t="n">
        <v>0</v>
      </c>
      <c r="J8882" t="n">
        <v>0</v>
      </c>
      <c r="K8882" t="n">
        <v>0</v>
      </c>
      <c r="L8882" t="n">
        <v>0</v>
      </c>
      <c r="M8882" t="n">
        <v>0</v>
      </c>
      <c r="N8882" t="n">
        <v>0</v>
      </c>
      <c r="O8882" t="n">
        <v>0</v>
      </c>
      <c r="P8882" t="n">
        <v>0</v>
      </c>
      <c r="Q8882" t="n">
        <v>0</v>
      </c>
      <c r="R8882" s="2" t="inlineStr"/>
    </row>
    <row r="8883" ht="15" customHeight="1">
      <c r="A8883" t="inlineStr">
        <is>
          <t>A 5331-2023</t>
        </is>
      </c>
      <c r="B8883" s="1" t="n">
        <v>44959</v>
      </c>
      <c r="C8883" s="1" t="n">
        <v>45810</v>
      </c>
      <c r="D8883" t="inlineStr">
        <is>
          <t>VÄRMLANDS LÄN</t>
        </is>
      </c>
      <c r="E8883" t="inlineStr">
        <is>
          <t>SÄFFLE</t>
        </is>
      </c>
      <c r="G8883" t="n">
        <v>2.7</v>
      </c>
      <c r="H8883" t="n">
        <v>0</v>
      </c>
      <c r="I8883" t="n">
        <v>0</v>
      </c>
      <c r="J8883" t="n">
        <v>0</v>
      </c>
      <c r="K8883" t="n">
        <v>0</v>
      </c>
      <c r="L8883" t="n">
        <v>0</v>
      </c>
      <c r="M8883" t="n">
        <v>0</v>
      </c>
      <c r="N8883" t="n">
        <v>0</v>
      </c>
      <c r="O8883" t="n">
        <v>0</v>
      </c>
      <c r="P8883" t="n">
        <v>0</v>
      </c>
      <c r="Q8883" t="n">
        <v>0</v>
      </c>
      <c r="R8883" s="2" t="inlineStr"/>
    </row>
    <row r="8884" ht="15" customHeight="1">
      <c r="A8884" t="inlineStr">
        <is>
          <t>A 5421-2023</t>
        </is>
      </c>
      <c r="B8884" s="1" t="n">
        <v>44959</v>
      </c>
      <c r="C8884" s="1" t="n">
        <v>45810</v>
      </c>
      <c r="D8884" t="inlineStr">
        <is>
          <t>VÄRMLANDS LÄN</t>
        </is>
      </c>
      <c r="E8884" t="inlineStr">
        <is>
          <t>EDA</t>
        </is>
      </c>
      <c r="G8884" t="n">
        <v>5.1</v>
      </c>
      <c r="H8884" t="n">
        <v>0</v>
      </c>
      <c r="I8884" t="n">
        <v>0</v>
      </c>
      <c r="J8884" t="n">
        <v>0</v>
      </c>
      <c r="K8884" t="n">
        <v>0</v>
      </c>
      <c r="L8884" t="n">
        <v>0</v>
      </c>
      <c r="M8884" t="n">
        <v>0</v>
      </c>
      <c r="N8884" t="n">
        <v>0</v>
      </c>
      <c r="O8884" t="n">
        <v>0</v>
      </c>
      <c r="P8884" t="n">
        <v>0</v>
      </c>
      <c r="Q8884" t="n">
        <v>0</v>
      </c>
      <c r="R8884" s="2" t="inlineStr"/>
    </row>
    <row r="8885" ht="15" customHeight="1">
      <c r="A8885" t="inlineStr">
        <is>
          <t>A 5492-2023</t>
        </is>
      </c>
      <c r="B8885" s="1" t="n">
        <v>44959</v>
      </c>
      <c r="C8885" s="1" t="n">
        <v>45810</v>
      </c>
      <c r="D8885" t="inlineStr">
        <is>
          <t>VÄRMLANDS LÄN</t>
        </is>
      </c>
      <c r="E8885" t="inlineStr">
        <is>
          <t>TORSBY</t>
        </is>
      </c>
      <c r="F8885" t="inlineStr">
        <is>
          <t>Övriga Aktiebolag</t>
        </is>
      </c>
      <c r="G8885" t="n">
        <v>2.2</v>
      </c>
      <c r="H8885" t="n">
        <v>0</v>
      </c>
      <c r="I8885" t="n">
        <v>0</v>
      </c>
      <c r="J8885" t="n">
        <v>0</v>
      </c>
      <c r="K8885" t="n">
        <v>0</v>
      </c>
      <c r="L8885" t="n">
        <v>0</v>
      </c>
      <c r="M8885" t="n">
        <v>0</v>
      </c>
      <c r="N8885" t="n">
        <v>0</v>
      </c>
      <c r="O8885" t="n">
        <v>0</v>
      </c>
      <c r="P8885" t="n">
        <v>0</v>
      </c>
      <c r="Q8885" t="n">
        <v>0</v>
      </c>
      <c r="R8885" s="2" t="inlineStr"/>
    </row>
    <row r="8886" ht="15" customHeight="1">
      <c r="A8886" t="inlineStr">
        <is>
          <t>A 5992-2023</t>
        </is>
      </c>
      <c r="B8886" s="1" t="n">
        <v>44959</v>
      </c>
      <c r="C8886" s="1" t="n">
        <v>45810</v>
      </c>
      <c r="D8886" t="inlineStr">
        <is>
          <t>VÄRMLANDS LÄN</t>
        </is>
      </c>
      <c r="E8886" t="inlineStr">
        <is>
          <t>FILIPSTAD</t>
        </is>
      </c>
      <c r="G8886" t="n">
        <v>0.6</v>
      </c>
      <c r="H8886" t="n">
        <v>0</v>
      </c>
      <c r="I8886" t="n">
        <v>0</v>
      </c>
      <c r="J8886" t="n">
        <v>0</v>
      </c>
      <c r="K8886" t="n">
        <v>0</v>
      </c>
      <c r="L8886" t="n">
        <v>0</v>
      </c>
      <c r="M8886" t="n">
        <v>0</v>
      </c>
      <c r="N8886" t="n">
        <v>0</v>
      </c>
      <c r="O8886" t="n">
        <v>0</v>
      </c>
      <c r="P8886" t="n">
        <v>0</v>
      </c>
      <c r="Q8886" t="n">
        <v>0</v>
      </c>
      <c r="R8886" s="2" t="inlineStr"/>
    </row>
    <row r="8887" ht="15" customHeight="1">
      <c r="A8887" t="inlineStr">
        <is>
          <t>A 5861-2023</t>
        </is>
      </c>
      <c r="B8887" s="1" t="n">
        <v>44959</v>
      </c>
      <c r="C8887" s="1" t="n">
        <v>45810</v>
      </c>
      <c r="D8887" t="inlineStr">
        <is>
          <t>VÄRMLANDS LÄN</t>
        </is>
      </c>
      <c r="E8887" t="inlineStr">
        <is>
          <t>SUNNE</t>
        </is>
      </c>
      <c r="G8887" t="n">
        <v>2.1</v>
      </c>
      <c r="H8887" t="n">
        <v>0</v>
      </c>
      <c r="I8887" t="n">
        <v>0</v>
      </c>
      <c r="J8887" t="n">
        <v>0</v>
      </c>
      <c r="K8887" t="n">
        <v>0</v>
      </c>
      <c r="L8887" t="n">
        <v>0</v>
      </c>
      <c r="M8887" t="n">
        <v>0</v>
      </c>
      <c r="N8887" t="n">
        <v>0</v>
      </c>
      <c r="O8887" t="n">
        <v>0</v>
      </c>
      <c r="P8887" t="n">
        <v>0</v>
      </c>
      <c r="Q8887" t="n">
        <v>0</v>
      </c>
      <c r="R8887" s="2" t="inlineStr"/>
    </row>
    <row r="8888" ht="15" customHeight="1">
      <c r="A8888" t="inlineStr">
        <is>
          <t>A 6263-2023</t>
        </is>
      </c>
      <c r="B8888" s="1" t="n">
        <v>44959</v>
      </c>
      <c r="C8888" s="1" t="n">
        <v>45810</v>
      </c>
      <c r="D8888" t="inlineStr">
        <is>
          <t>VÄRMLANDS LÄN</t>
        </is>
      </c>
      <c r="E8888" t="inlineStr">
        <is>
          <t>KARLSTAD</t>
        </is>
      </c>
      <c r="G8888" t="n">
        <v>1.1</v>
      </c>
      <c r="H8888" t="n">
        <v>0</v>
      </c>
      <c r="I8888" t="n">
        <v>0</v>
      </c>
      <c r="J8888" t="n">
        <v>0</v>
      </c>
      <c r="K8888" t="n">
        <v>0</v>
      </c>
      <c r="L8888" t="n">
        <v>0</v>
      </c>
      <c r="M8888" t="n">
        <v>0</v>
      </c>
      <c r="N8888" t="n">
        <v>0</v>
      </c>
      <c r="O8888" t="n">
        <v>0</v>
      </c>
      <c r="P8888" t="n">
        <v>0</v>
      </c>
      <c r="Q8888" t="n">
        <v>0</v>
      </c>
      <c r="R8888" s="2" t="inlineStr"/>
    </row>
    <row r="8889" ht="15" customHeight="1">
      <c r="A8889" t="inlineStr">
        <is>
          <t>A 6260-2023</t>
        </is>
      </c>
      <c r="B8889" s="1" t="n">
        <v>44959</v>
      </c>
      <c r="C8889" s="1" t="n">
        <v>45810</v>
      </c>
      <c r="D8889" t="inlineStr">
        <is>
          <t>VÄRMLANDS LÄN</t>
        </is>
      </c>
      <c r="E8889" t="inlineStr">
        <is>
          <t>KARLSTAD</t>
        </is>
      </c>
      <c r="G8889" t="n">
        <v>2.2</v>
      </c>
      <c r="H8889" t="n">
        <v>0</v>
      </c>
      <c r="I8889" t="n">
        <v>0</v>
      </c>
      <c r="J8889" t="n">
        <v>0</v>
      </c>
      <c r="K8889" t="n">
        <v>0</v>
      </c>
      <c r="L8889" t="n">
        <v>0</v>
      </c>
      <c r="M8889" t="n">
        <v>0</v>
      </c>
      <c r="N8889" t="n">
        <v>0</v>
      </c>
      <c r="O8889" t="n">
        <v>0</v>
      </c>
      <c r="P8889" t="n">
        <v>0</v>
      </c>
      <c r="Q8889" t="n">
        <v>0</v>
      </c>
      <c r="R8889" s="2" t="inlineStr"/>
    </row>
    <row r="8890" ht="15" customHeight="1">
      <c r="A8890" t="inlineStr">
        <is>
          <t>A 5624-2023</t>
        </is>
      </c>
      <c r="B8890" s="1" t="n">
        <v>44960</v>
      </c>
      <c r="C8890" s="1" t="n">
        <v>45810</v>
      </c>
      <c r="D8890" t="inlineStr">
        <is>
          <t>VÄRMLANDS LÄN</t>
        </is>
      </c>
      <c r="E8890" t="inlineStr">
        <is>
          <t>HAGFORS</t>
        </is>
      </c>
      <c r="F8890" t="inlineStr">
        <is>
          <t>Bergvik skog väst AB</t>
        </is>
      </c>
      <c r="G8890" t="n">
        <v>11.2</v>
      </c>
      <c r="H8890" t="n">
        <v>0</v>
      </c>
      <c r="I8890" t="n">
        <v>0</v>
      </c>
      <c r="J8890" t="n">
        <v>0</v>
      </c>
      <c r="K8890" t="n">
        <v>0</v>
      </c>
      <c r="L8890" t="n">
        <v>0</v>
      </c>
      <c r="M8890" t="n">
        <v>0</v>
      </c>
      <c r="N8890" t="n">
        <v>0</v>
      </c>
      <c r="O8890" t="n">
        <v>0</v>
      </c>
      <c r="P8890" t="n">
        <v>0</v>
      </c>
      <c r="Q8890" t="n">
        <v>0</v>
      </c>
      <c r="R8890" s="2" t="inlineStr"/>
    </row>
    <row r="8891" ht="15" customHeight="1">
      <c r="A8891" t="inlineStr">
        <is>
          <t>A 5653-2023</t>
        </is>
      </c>
      <c r="B8891" s="1" t="n">
        <v>44960</v>
      </c>
      <c r="C8891" s="1" t="n">
        <v>45810</v>
      </c>
      <c r="D8891" t="inlineStr">
        <is>
          <t>VÄRMLANDS LÄN</t>
        </is>
      </c>
      <c r="E8891" t="inlineStr">
        <is>
          <t>ARVIKA</t>
        </is>
      </c>
      <c r="G8891" t="n">
        <v>1.7</v>
      </c>
      <c r="H8891" t="n">
        <v>0</v>
      </c>
      <c r="I8891" t="n">
        <v>0</v>
      </c>
      <c r="J8891" t="n">
        <v>0</v>
      </c>
      <c r="K8891" t="n">
        <v>0</v>
      </c>
      <c r="L8891" t="n">
        <v>0</v>
      </c>
      <c r="M8891" t="n">
        <v>0</v>
      </c>
      <c r="N8891" t="n">
        <v>0</v>
      </c>
      <c r="O8891" t="n">
        <v>0</v>
      </c>
      <c r="P8891" t="n">
        <v>0</v>
      </c>
      <c r="Q8891" t="n">
        <v>0</v>
      </c>
      <c r="R8891" s="2" t="inlineStr"/>
    </row>
    <row r="8892" ht="15" customHeight="1">
      <c r="A8892" t="inlineStr">
        <is>
          <t>A 5655-2023</t>
        </is>
      </c>
      <c r="B8892" s="1" t="n">
        <v>44960</v>
      </c>
      <c r="C8892" s="1" t="n">
        <v>45810</v>
      </c>
      <c r="D8892" t="inlineStr">
        <is>
          <t>VÄRMLANDS LÄN</t>
        </is>
      </c>
      <c r="E8892" t="inlineStr">
        <is>
          <t>ARVIKA</t>
        </is>
      </c>
      <c r="G8892" t="n">
        <v>0.5</v>
      </c>
      <c r="H8892" t="n">
        <v>0</v>
      </c>
      <c r="I8892" t="n">
        <v>0</v>
      </c>
      <c r="J8892" t="n">
        <v>0</v>
      </c>
      <c r="K8892" t="n">
        <v>0</v>
      </c>
      <c r="L8892" t="n">
        <v>0</v>
      </c>
      <c r="M8892" t="n">
        <v>0</v>
      </c>
      <c r="N8892" t="n">
        <v>0</v>
      </c>
      <c r="O8892" t="n">
        <v>0</v>
      </c>
      <c r="P8892" t="n">
        <v>0</v>
      </c>
      <c r="Q8892" t="n">
        <v>0</v>
      </c>
      <c r="R8892" s="2" t="inlineStr"/>
    </row>
    <row r="8893" ht="15" customHeight="1">
      <c r="A8893" t="inlineStr">
        <is>
          <t>A 5468-2023</t>
        </is>
      </c>
      <c r="B8893" s="1" t="n">
        <v>44960</v>
      </c>
      <c r="C8893" s="1" t="n">
        <v>45810</v>
      </c>
      <c r="D8893" t="inlineStr">
        <is>
          <t>VÄRMLANDS LÄN</t>
        </is>
      </c>
      <c r="E8893" t="inlineStr">
        <is>
          <t>SÄFFLE</t>
        </is>
      </c>
      <c r="G8893" t="n">
        <v>1.3</v>
      </c>
      <c r="H8893" t="n">
        <v>0</v>
      </c>
      <c r="I8893" t="n">
        <v>0</v>
      </c>
      <c r="J8893" t="n">
        <v>0</v>
      </c>
      <c r="K8893" t="n">
        <v>0</v>
      </c>
      <c r="L8893" t="n">
        <v>0</v>
      </c>
      <c r="M8893" t="n">
        <v>0</v>
      </c>
      <c r="N8893" t="n">
        <v>0</v>
      </c>
      <c r="O8893" t="n">
        <v>0</v>
      </c>
      <c r="P8893" t="n">
        <v>0</v>
      </c>
      <c r="Q8893" t="n">
        <v>0</v>
      </c>
      <c r="R8893" s="2" t="inlineStr"/>
    </row>
    <row r="8894" ht="15" customHeight="1">
      <c r="A8894" t="inlineStr">
        <is>
          <t>A 6555-2023</t>
        </is>
      </c>
      <c r="B8894" s="1" t="n">
        <v>44960</v>
      </c>
      <c r="C8894" s="1" t="n">
        <v>45810</v>
      </c>
      <c r="D8894" t="inlineStr">
        <is>
          <t>VÄRMLANDS LÄN</t>
        </is>
      </c>
      <c r="E8894" t="inlineStr">
        <is>
          <t>FILIPSTAD</t>
        </is>
      </c>
      <c r="F8894" t="inlineStr">
        <is>
          <t>Kommuner</t>
        </is>
      </c>
      <c r="G8894" t="n">
        <v>1</v>
      </c>
      <c r="H8894" t="n">
        <v>0</v>
      </c>
      <c r="I8894" t="n">
        <v>0</v>
      </c>
      <c r="J8894" t="n">
        <v>0</v>
      </c>
      <c r="K8894" t="n">
        <v>0</v>
      </c>
      <c r="L8894" t="n">
        <v>0</v>
      </c>
      <c r="M8894" t="n">
        <v>0</v>
      </c>
      <c r="N8894" t="n">
        <v>0</v>
      </c>
      <c r="O8894" t="n">
        <v>0</v>
      </c>
      <c r="P8894" t="n">
        <v>0</v>
      </c>
      <c r="Q8894" t="n">
        <v>0</v>
      </c>
      <c r="R8894" s="2" t="inlineStr"/>
    </row>
    <row r="8895" ht="15" customHeight="1">
      <c r="A8895" t="inlineStr">
        <is>
          <t>A 6520-2023</t>
        </is>
      </c>
      <c r="B8895" s="1" t="n">
        <v>44960</v>
      </c>
      <c r="C8895" s="1" t="n">
        <v>45810</v>
      </c>
      <c r="D8895" t="inlineStr">
        <is>
          <t>VÄRMLANDS LÄN</t>
        </is>
      </c>
      <c r="E8895" t="inlineStr">
        <is>
          <t>FILIPSTAD</t>
        </is>
      </c>
      <c r="F8895" t="inlineStr">
        <is>
          <t>Kommuner</t>
        </is>
      </c>
      <c r="G8895" t="n">
        <v>1.6</v>
      </c>
      <c r="H8895" t="n">
        <v>0</v>
      </c>
      <c r="I8895" t="n">
        <v>0</v>
      </c>
      <c r="J8895" t="n">
        <v>0</v>
      </c>
      <c r="K8895" t="n">
        <v>0</v>
      </c>
      <c r="L8895" t="n">
        <v>0</v>
      </c>
      <c r="M8895" t="n">
        <v>0</v>
      </c>
      <c r="N8895" t="n">
        <v>0</v>
      </c>
      <c r="O8895" t="n">
        <v>0</v>
      </c>
      <c r="P8895" t="n">
        <v>0</v>
      </c>
      <c r="Q8895" t="n">
        <v>0</v>
      </c>
      <c r="R8895" s="2" t="inlineStr"/>
    </row>
    <row r="8896" ht="15" customHeight="1">
      <c r="A8896" t="inlineStr">
        <is>
          <t>A 6561-2023</t>
        </is>
      </c>
      <c r="B8896" s="1" t="n">
        <v>44960</v>
      </c>
      <c r="C8896" s="1" t="n">
        <v>45810</v>
      </c>
      <c r="D8896" t="inlineStr">
        <is>
          <t>VÄRMLANDS LÄN</t>
        </is>
      </c>
      <c r="E8896" t="inlineStr">
        <is>
          <t>FILIPSTAD</t>
        </is>
      </c>
      <c r="F8896" t="inlineStr">
        <is>
          <t>Kommuner</t>
        </is>
      </c>
      <c r="G8896" t="n">
        <v>2.2</v>
      </c>
      <c r="H8896" t="n">
        <v>0</v>
      </c>
      <c r="I8896" t="n">
        <v>0</v>
      </c>
      <c r="J8896" t="n">
        <v>0</v>
      </c>
      <c r="K8896" t="n">
        <v>0</v>
      </c>
      <c r="L8896" t="n">
        <v>0</v>
      </c>
      <c r="M8896" t="n">
        <v>0</v>
      </c>
      <c r="N8896" t="n">
        <v>0</v>
      </c>
      <c r="O8896" t="n">
        <v>0</v>
      </c>
      <c r="P8896" t="n">
        <v>0</v>
      </c>
      <c r="Q8896" t="n">
        <v>0</v>
      </c>
      <c r="R8896" s="2" t="inlineStr"/>
    </row>
    <row r="8897" ht="15" customHeight="1">
      <c r="A8897" t="inlineStr">
        <is>
          <t>A 6708-2023</t>
        </is>
      </c>
      <c r="B8897" s="1" t="n">
        <v>44960</v>
      </c>
      <c r="C8897" s="1" t="n">
        <v>45810</v>
      </c>
      <c r="D8897" t="inlineStr">
        <is>
          <t>VÄRMLANDS LÄN</t>
        </is>
      </c>
      <c r="E8897" t="inlineStr">
        <is>
          <t>TORSBY</t>
        </is>
      </c>
      <c r="G8897" t="n">
        <v>3</v>
      </c>
      <c r="H8897" t="n">
        <v>0</v>
      </c>
      <c r="I8897" t="n">
        <v>0</v>
      </c>
      <c r="J8897" t="n">
        <v>0</v>
      </c>
      <c r="K8897" t="n">
        <v>0</v>
      </c>
      <c r="L8897" t="n">
        <v>0</v>
      </c>
      <c r="M8897" t="n">
        <v>0</v>
      </c>
      <c r="N8897" t="n">
        <v>0</v>
      </c>
      <c r="O8897" t="n">
        <v>0</v>
      </c>
      <c r="P8897" t="n">
        <v>0</v>
      </c>
      <c r="Q8897" t="n">
        <v>0</v>
      </c>
      <c r="R8897" s="2" t="inlineStr"/>
    </row>
    <row r="8898" ht="15" customHeight="1">
      <c r="A8898" t="inlineStr">
        <is>
          <t>A 6702-2023</t>
        </is>
      </c>
      <c r="B8898" s="1" t="n">
        <v>44960</v>
      </c>
      <c r="C8898" s="1" t="n">
        <v>45810</v>
      </c>
      <c r="D8898" t="inlineStr">
        <is>
          <t>VÄRMLANDS LÄN</t>
        </is>
      </c>
      <c r="E8898" t="inlineStr">
        <is>
          <t>TORSBY</t>
        </is>
      </c>
      <c r="G8898" t="n">
        <v>3.1</v>
      </c>
      <c r="H8898" t="n">
        <v>0</v>
      </c>
      <c r="I8898" t="n">
        <v>0</v>
      </c>
      <c r="J8898" t="n">
        <v>0</v>
      </c>
      <c r="K8898" t="n">
        <v>0</v>
      </c>
      <c r="L8898" t="n">
        <v>0</v>
      </c>
      <c r="M8898" t="n">
        <v>0</v>
      </c>
      <c r="N8898" t="n">
        <v>0</v>
      </c>
      <c r="O8898" t="n">
        <v>0</v>
      </c>
      <c r="P8898" t="n">
        <v>0</v>
      </c>
      <c r="Q8898" t="n">
        <v>0</v>
      </c>
      <c r="R8898" s="2" t="inlineStr"/>
    </row>
    <row r="8899" ht="15" customHeight="1">
      <c r="A8899" t="inlineStr">
        <is>
          <t>A 6715-2023</t>
        </is>
      </c>
      <c r="B8899" s="1" t="n">
        <v>44960</v>
      </c>
      <c r="C8899" s="1" t="n">
        <v>45810</v>
      </c>
      <c r="D8899" t="inlineStr">
        <is>
          <t>VÄRMLANDS LÄN</t>
        </is>
      </c>
      <c r="E8899" t="inlineStr">
        <is>
          <t>TORSBY</t>
        </is>
      </c>
      <c r="G8899" t="n">
        <v>4.8</v>
      </c>
      <c r="H8899" t="n">
        <v>0</v>
      </c>
      <c r="I8899" t="n">
        <v>0</v>
      </c>
      <c r="J8899" t="n">
        <v>0</v>
      </c>
      <c r="K8899" t="n">
        <v>0</v>
      </c>
      <c r="L8899" t="n">
        <v>0</v>
      </c>
      <c r="M8899" t="n">
        <v>0</v>
      </c>
      <c r="N8899" t="n">
        <v>0</v>
      </c>
      <c r="O8899" t="n">
        <v>0</v>
      </c>
      <c r="P8899" t="n">
        <v>0</v>
      </c>
      <c r="Q8899" t="n">
        <v>0</v>
      </c>
      <c r="R8899" s="2" t="inlineStr"/>
    </row>
    <row r="8900" ht="15" customHeight="1">
      <c r="A8900" t="inlineStr">
        <is>
          <t>A 6523-2023</t>
        </is>
      </c>
      <c r="B8900" s="1" t="n">
        <v>44960</v>
      </c>
      <c r="C8900" s="1" t="n">
        <v>45810</v>
      </c>
      <c r="D8900" t="inlineStr">
        <is>
          <t>VÄRMLANDS LÄN</t>
        </is>
      </c>
      <c r="E8900" t="inlineStr">
        <is>
          <t>FILIPSTAD</t>
        </is>
      </c>
      <c r="F8900" t="inlineStr">
        <is>
          <t>Kommuner</t>
        </is>
      </c>
      <c r="G8900" t="n">
        <v>3.8</v>
      </c>
      <c r="H8900" t="n">
        <v>0</v>
      </c>
      <c r="I8900" t="n">
        <v>0</v>
      </c>
      <c r="J8900" t="n">
        <v>0</v>
      </c>
      <c r="K8900" t="n">
        <v>0</v>
      </c>
      <c r="L8900" t="n">
        <v>0</v>
      </c>
      <c r="M8900" t="n">
        <v>0</v>
      </c>
      <c r="N8900" t="n">
        <v>0</v>
      </c>
      <c r="O8900" t="n">
        <v>0</v>
      </c>
      <c r="P8900" t="n">
        <v>0</v>
      </c>
      <c r="Q8900" t="n">
        <v>0</v>
      </c>
      <c r="R8900" s="2" t="inlineStr"/>
    </row>
    <row r="8901" ht="15" customHeight="1">
      <c r="A8901" t="inlineStr">
        <is>
          <t>A 6568-2023</t>
        </is>
      </c>
      <c r="B8901" s="1" t="n">
        <v>44960</v>
      </c>
      <c r="C8901" s="1" t="n">
        <v>45810</v>
      </c>
      <c r="D8901" t="inlineStr">
        <is>
          <t>VÄRMLANDS LÄN</t>
        </is>
      </c>
      <c r="E8901" t="inlineStr">
        <is>
          <t>FILIPSTAD</t>
        </is>
      </c>
      <c r="F8901" t="inlineStr">
        <is>
          <t>Kommuner</t>
        </is>
      </c>
      <c r="G8901" t="n">
        <v>3.2</v>
      </c>
      <c r="H8901" t="n">
        <v>0</v>
      </c>
      <c r="I8901" t="n">
        <v>0</v>
      </c>
      <c r="J8901" t="n">
        <v>0</v>
      </c>
      <c r="K8901" t="n">
        <v>0</v>
      </c>
      <c r="L8901" t="n">
        <v>0</v>
      </c>
      <c r="M8901" t="n">
        <v>0</v>
      </c>
      <c r="N8901" t="n">
        <v>0</v>
      </c>
      <c r="O8901" t="n">
        <v>0</v>
      </c>
      <c r="P8901" t="n">
        <v>0</v>
      </c>
      <c r="Q8901" t="n">
        <v>0</v>
      </c>
      <c r="R8901" s="2" t="inlineStr"/>
    </row>
    <row r="8902" ht="15" customHeight="1">
      <c r="A8902" t="inlineStr">
        <is>
          <t>A 6711-2023</t>
        </is>
      </c>
      <c r="B8902" s="1" t="n">
        <v>44960</v>
      </c>
      <c r="C8902" s="1" t="n">
        <v>45810</v>
      </c>
      <c r="D8902" t="inlineStr">
        <is>
          <t>VÄRMLANDS LÄN</t>
        </is>
      </c>
      <c r="E8902" t="inlineStr">
        <is>
          <t>TORSBY</t>
        </is>
      </c>
      <c r="G8902" t="n">
        <v>1.1</v>
      </c>
      <c r="H8902" t="n">
        <v>0</v>
      </c>
      <c r="I8902" t="n">
        <v>0</v>
      </c>
      <c r="J8902" t="n">
        <v>0</v>
      </c>
      <c r="K8902" t="n">
        <v>0</v>
      </c>
      <c r="L8902" t="n">
        <v>0</v>
      </c>
      <c r="M8902" t="n">
        <v>0</v>
      </c>
      <c r="N8902" t="n">
        <v>0</v>
      </c>
      <c r="O8902" t="n">
        <v>0</v>
      </c>
      <c r="P8902" t="n">
        <v>0</v>
      </c>
      <c r="Q8902" t="n">
        <v>0</v>
      </c>
      <c r="R8902" s="2" t="inlineStr"/>
    </row>
    <row r="8903" ht="15" customHeight="1">
      <c r="A8903" t="inlineStr">
        <is>
          <t>A 6573-2023</t>
        </is>
      </c>
      <c r="B8903" s="1" t="n">
        <v>44960</v>
      </c>
      <c r="C8903" s="1" t="n">
        <v>45810</v>
      </c>
      <c r="D8903" t="inlineStr">
        <is>
          <t>VÄRMLANDS LÄN</t>
        </is>
      </c>
      <c r="E8903" t="inlineStr">
        <is>
          <t>FILIPSTAD</t>
        </is>
      </c>
      <c r="F8903" t="inlineStr">
        <is>
          <t>Kommuner</t>
        </is>
      </c>
      <c r="G8903" t="n">
        <v>4.6</v>
      </c>
      <c r="H8903" t="n">
        <v>0</v>
      </c>
      <c r="I8903" t="n">
        <v>0</v>
      </c>
      <c r="J8903" t="n">
        <v>0</v>
      </c>
      <c r="K8903" t="n">
        <v>0</v>
      </c>
      <c r="L8903" t="n">
        <v>0</v>
      </c>
      <c r="M8903" t="n">
        <v>0</v>
      </c>
      <c r="N8903" t="n">
        <v>0</v>
      </c>
      <c r="O8903" t="n">
        <v>0</v>
      </c>
      <c r="P8903" t="n">
        <v>0</v>
      </c>
      <c r="Q8903" t="n">
        <v>0</v>
      </c>
      <c r="R8903" s="2" t="inlineStr"/>
    </row>
    <row r="8904" ht="15" customHeight="1">
      <c r="A8904" t="inlineStr">
        <is>
          <t>A 6713-2023</t>
        </is>
      </c>
      <c r="B8904" s="1" t="n">
        <v>44960</v>
      </c>
      <c r="C8904" s="1" t="n">
        <v>45810</v>
      </c>
      <c r="D8904" t="inlineStr">
        <is>
          <t>VÄRMLANDS LÄN</t>
        </is>
      </c>
      <c r="E8904" t="inlineStr">
        <is>
          <t>TORSBY</t>
        </is>
      </c>
      <c r="G8904" t="n">
        <v>4.2</v>
      </c>
      <c r="H8904" t="n">
        <v>0</v>
      </c>
      <c r="I8904" t="n">
        <v>0</v>
      </c>
      <c r="J8904" t="n">
        <v>0</v>
      </c>
      <c r="K8904" t="n">
        <v>0</v>
      </c>
      <c r="L8904" t="n">
        <v>0</v>
      </c>
      <c r="M8904" t="n">
        <v>0</v>
      </c>
      <c r="N8904" t="n">
        <v>0</v>
      </c>
      <c r="O8904" t="n">
        <v>0</v>
      </c>
      <c r="P8904" t="n">
        <v>0</v>
      </c>
      <c r="Q8904" t="n">
        <v>0</v>
      </c>
      <c r="R8904" s="2" t="inlineStr"/>
    </row>
    <row r="8905" ht="15" customHeight="1">
      <c r="A8905" t="inlineStr">
        <is>
          <t>A 5810-2023</t>
        </is>
      </c>
      <c r="B8905" s="1" t="n">
        <v>44963</v>
      </c>
      <c r="C8905" s="1" t="n">
        <v>45810</v>
      </c>
      <c r="D8905" t="inlineStr">
        <is>
          <t>VÄRMLANDS LÄN</t>
        </is>
      </c>
      <c r="E8905" t="inlineStr">
        <is>
          <t>GRUMS</t>
        </is>
      </c>
      <c r="G8905" t="n">
        <v>1.8</v>
      </c>
      <c r="H8905" t="n">
        <v>0</v>
      </c>
      <c r="I8905" t="n">
        <v>0</v>
      </c>
      <c r="J8905" t="n">
        <v>0</v>
      </c>
      <c r="K8905" t="n">
        <v>0</v>
      </c>
      <c r="L8905" t="n">
        <v>0</v>
      </c>
      <c r="M8905" t="n">
        <v>0</v>
      </c>
      <c r="N8905" t="n">
        <v>0</v>
      </c>
      <c r="O8905" t="n">
        <v>0</v>
      </c>
      <c r="P8905" t="n">
        <v>0</v>
      </c>
      <c r="Q8905" t="n">
        <v>0</v>
      </c>
      <c r="R8905" s="2" t="inlineStr"/>
    </row>
    <row r="8906" ht="15" customHeight="1">
      <c r="A8906" t="inlineStr">
        <is>
          <t>A 5846-2023</t>
        </is>
      </c>
      <c r="B8906" s="1" t="n">
        <v>44963</v>
      </c>
      <c r="C8906" s="1" t="n">
        <v>45810</v>
      </c>
      <c r="D8906" t="inlineStr">
        <is>
          <t>VÄRMLANDS LÄN</t>
        </is>
      </c>
      <c r="E8906" t="inlineStr">
        <is>
          <t>FILIPSTAD</t>
        </is>
      </c>
      <c r="G8906" t="n">
        <v>2.1</v>
      </c>
      <c r="H8906" t="n">
        <v>0</v>
      </c>
      <c r="I8906" t="n">
        <v>0</v>
      </c>
      <c r="J8906" t="n">
        <v>0</v>
      </c>
      <c r="K8906" t="n">
        <v>0</v>
      </c>
      <c r="L8906" t="n">
        <v>0</v>
      </c>
      <c r="M8906" t="n">
        <v>0</v>
      </c>
      <c r="N8906" t="n">
        <v>0</v>
      </c>
      <c r="O8906" t="n">
        <v>0</v>
      </c>
      <c r="P8906" t="n">
        <v>0</v>
      </c>
      <c r="Q8906" t="n">
        <v>0</v>
      </c>
      <c r="R8906" s="2" t="inlineStr"/>
    </row>
    <row r="8907" ht="15" customHeight="1">
      <c r="A8907" t="inlineStr">
        <is>
          <t>A 5830-2023</t>
        </is>
      </c>
      <c r="B8907" s="1" t="n">
        <v>44963</v>
      </c>
      <c r="C8907" s="1" t="n">
        <v>45810</v>
      </c>
      <c r="D8907" t="inlineStr">
        <is>
          <t>VÄRMLANDS LÄN</t>
        </is>
      </c>
      <c r="E8907" t="inlineStr">
        <is>
          <t>TORSBY</t>
        </is>
      </c>
      <c r="G8907" t="n">
        <v>2.2</v>
      </c>
      <c r="H8907" t="n">
        <v>0</v>
      </c>
      <c r="I8907" t="n">
        <v>0</v>
      </c>
      <c r="J8907" t="n">
        <v>0</v>
      </c>
      <c r="K8907" t="n">
        <v>0</v>
      </c>
      <c r="L8907" t="n">
        <v>0</v>
      </c>
      <c r="M8907" t="n">
        <v>0</v>
      </c>
      <c r="N8907" t="n">
        <v>0</v>
      </c>
      <c r="O8907" t="n">
        <v>0</v>
      </c>
      <c r="P8907" t="n">
        <v>0</v>
      </c>
      <c r="Q8907" t="n">
        <v>0</v>
      </c>
      <c r="R8907" s="2" t="inlineStr"/>
    </row>
    <row r="8908" ht="15" customHeight="1">
      <c r="A8908" t="inlineStr">
        <is>
          <t>A 5863-2023</t>
        </is>
      </c>
      <c r="B8908" s="1" t="n">
        <v>44963</v>
      </c>
      <c r="C8908" s="1" t="n">
        <v>45810</v>
      </c>
      <c r="D8908" t="inlineStr">
        <is>
          <t>VÄRMLANDS LÄN</t>
        </is>
      </c>
      <c r="E8908" t="inlineStr">
        <is>
          <t>ÅRJÄNG</t>
        </is>
      </c>
      <c r="G8908" t="n">
        <v>0.9</v>
      </c>
      <c r="H8908" t="n">
        <v>0</v>
      </c>
      <c r="I8908" t="n">
        <v>0</v>
      </c>
      <c r="J8908" t="n">
        <v>0</v>
      </c>
      <c r="K8908" t="n">
        <v>0</v>
      </c>
      <c r="L8908" t="n">
        <v>0</v>
      </c>
      <c r="M8908" t="n">
        <v>0</v>
      </c>
      <c r="N8908" t="n">
        <v>0</v>
      </c>
      <c r="O8908" t="n">
        <v>0</v>
      </c>
      <c r="P8908" t="n">
        <v>0</v>
      </c>
      <c r="Q8908" t="n">
        <v>0</v>
      </c>
      <c r="R8908" s="2" t="inlineStr"/>
    </row>
    <row r="8909" ht="15" customHeight="1">
      <c r="A8909" t="inlineStr">
        <is>
          <t>A 5763-2023</t>
        </is>
      </c>
      <c r="B8909" s="1" t="n">
        <v>44963</v>
      </c>
      <c r="C8909" s="1" t="n">
        <v>45810</v>
      </c>
      <c r="D8909" t="inlineStr">
        <is>
          <t>VÄRMLANDS LÄN</t>
        </is>
      </c>
      <c r="E8909" t="inlineStr">
        <is>
          <t>TORSBY</t>
        </is>
      </c>
      <c r="G8909" t="n">
        <v>1.2</v>
      </c>
      <c r="H8909" t="n">
        <v>0</v>
      </c>
      <c r="I8909" t="n">
        <v>0</v>
      </c>
      <c r="J8909" t="n">
        <v>0</v>
      </c>
      <c r="K8909" t="n">
        <v>0</v>
      </c>
      <c r="L8909" t="n">
        <v>0</v>
      </c>
      <c r="M8909" t="n">
        <v>0</v>
      </c>
      <c r="N8909" t="n">
        <v>0</v>
      </c>
      <c r="O8909" t="n">
        <v>0</v>
      </c>
      <c r="P8909" t="n">
        <v>0</v>
      </c>
      <c r="Q8909" t="n">
        <v>0</v>
      </c>
      <c r="R8909" s="2" t="inlineStr"/>
    </row>
    <row r="8910" ht="15" customHeight="1">
      <c r="A8910" t="inlineStr">
        <is>
          <t>A 5778-2023</t>
        </is>
      </c>
      <c r="B8910" s="1" t="n">
        <v>44963</v>
      </c>
      <c r="C8910" s="1" t="n">
        <v>45810</v>
      </c>
      <c r="D8910" t="inlineStr">
        <is>
          <t>VÄRMLANDS LÄN</t>
        </is>
      </c>
      <c r="E8910" t="inlineStr">
        <is>
          <t>MUNKFORS</t>
        </is>
      </c>
      <c r="F8910" t="inlineStr">
        <is>
          <t>Bergvik skog väst AB</t>
        </is>
      </c>
      <c r="G8910" t="n">
        <v>7.4</v>
      </c>
      <c r="H8910" t="n">
        <v>0</v>
      </c>
      <c r="I8910" t="n">
        <v>0</v>
      </c>
      <c r="J8910" t="n">
        <v>0</v>
      </c>
      <c r="K8910" t="n">
        <v>0</v>
      </c>
      <c r="L8910" t="n">
        <v>0</v>
      </c>
      <c r="M8910" t="n">
        <v>0</v>
      </c>
      <c r="N8910" t="n">
        <v>0</v>
      </c>
      <c r="O8910" t="n">
        <v>0</v>
      </c>
      <c r="P8910" t="n">
        <v>0</v>
      </c>
      <c r="Q8910" t="n">
        <v>0</v>
      </c>
      <c r="R8910" s="2" t="inlineStr"/>
    </row>
    <row r="8911" ht="15" customHeight="1">
      <c r="A8911" t="inlineStr">
        <is>
          <t>A 5798-2023</t>
        </is>
      </c>
      <c r="B8911" s="1" t="n">
        <v>44963</v>
      </c>
      <c r="C8911" s="1" t="n">
        <v>45810</v>
      </c>
      <c r="D8911" t="inlineStr">
        <is>
          <t>VÄRMLANDS LÄN</t>
        </is>
      </c>
      <c r="E8911" t="inlineStr">
        <is>
          <t>ARVIKA</t>
        </is>
      </c>
      <c r="G8911" t="n">
        <v>0.8</v>
      </c>
      <c r="H8911" t="n">
        <v>0</v>
      </c>
      <c r="I8911" t="n">
        <v>0</v>
      </c>
      <c r="J8911" t="n">
        <v>0</v>
      </c>
      <c r="K8911" t="n">
        <v>0</v>
      </c>
      <c r="L8911" t="n">
        <v>0</v>
      </c>
      <c r="M8911" t="n">
        <v>0</v>
      </c>
      <c r="N8911" t="n">
        <v>0</v>
      </c>
      <c r="O8911" t="n">
        <v>0</v>
      </c>
      <c r="P8911" t="n">
        <v>0</v>
      </c>
      <c r="Q8911" t="n">
        <v>0</v>
      </c>
      <c r="R8911" s="2" t="inlineStr"/>
    </row>
    <row r="8912" ht="15" customHeight="1">
      <c r="A8912" t="inlineStr">
        <is>
          <t>A 5803-2023</t>
        </is>
      </c>
      <c r="B8912" s="1" t="n">
        <v>44963</v>
      </c>
      <c r="C8912" s="1" t="n">
        <v>45810</v>
      </c>
      <c r="D8912" t="inlineStr">
        <is>
          <t>VÄRMLANDS LÄN</t>
        </is>
      </c>
      <c r="E8912" t="inlineStr">
        <is>
          <t>FILIPSTAD</t>
        </is>
      </c>
      <c r="F8912" t="inlineStr">
        <is>
          <t>Bergvik skog väst AB</t>
        </is>
      </c>
      <c r="G8912" t="n">
        <v>2.5</v>
      </c>
      <c r="H8912" t="n">
        <v>0</v>
      </c>
      <c r="I8912" t="n">
        <v>0</v>
      </c>
      <c r="J8912" t="n">
        <v>0</v>
      </c>
      <c r="K8912" t="n">
        <v>0</v>
      </c>
      <c r="L8912" t="n">
        <v>0</v>
      </c>
      <c r="M8912" t="n">
        <v>0</v>
      </c>
      <c r="N8912" t="n">
        <v>0</v>
      </c>
      <c r="O8912" t="n">
        <v>0</v>
      </c>
      <c r="P8912" t="n">
        <v>0</v>
      </c>
      <c r="Q8912" t="n">
        <v>0</v>
      </c>
      <c r="R8912" s="2" t="inlineStr"/>
    </row>
    <row r="8913" ht="15" customHeight="1">
      <c r="A8913" t="inlineStr">
        <is>
          <t>A 5811-2023</t>
        </is>
      </c>
      <c r="B8913" s="1" t="n">
        <v>44963</v>
      </c>
      <c r="C8913" s="1" t="n">
        <v>45810</v>
      </c>
      <c r="D8913" t="inlineStr">
        <is>
          <t>VÄRMLANDS LÄN</t>
        </is>
      </c>
      <c r="E8913" t="inlineStr">
        <is>
          <t>ARVIKA</t>
        </is>
      </c>
      <c r="G8913" t="n">
        <v>3.1</v>
      </c>
      <c r="H8913" t="n">
        <v>0</v>
      </c>
      <c r="I8913" t="n">
        <v>0</v>
      </c>
      <c r="J8913" t="n">
        <v>0</v>
      </c>
      <c r="K8913" t="n">
        <v>0</v>
      </c>
      <c r="L8913" t="n">
        <v>0</v>
      </c>
      <c r="M8913" t="n">
        <v>0</v>
      </c>
      <c r="N8913" t="n">
        <v>0</v>
      </c>
      <c r="O8913" t="n">
        <v>0</v>
      </c>
      <c r="P8913" t="n">
        <v>0</v>
      </c>
      <c r="Q8913" t="n">
        <v>0</v>
      </c>
      <c r="R8913" s="2" t="inlineStr"/>
    </row>
    <row r="8914" ht="15" customHeight="1">
      <c r="A8914" t="inlineStr">
        <is>
          <t>A 5837-2023</t>
        </is>
      </c>
      <c r="B8914" s="1" t="n">
        <v>44963</v>
      </c>
      <c r="C8914" s="1" t="n">
        <v>45810</v>
      </c>
      <c r="D8914" t="inlineStr">
        <is>
          <t>VÄRMLANDS LÄN</t>
        </is>
      </c>
      <c r="E8914" t="inlineStr">
        <is>
          <t>ARVIKA</t>
        </is>
      </c>
      <c r="G8914" t="n">
        <v>5</v>
      </c>
      <c r="H8914" t="n">
        <v>0</v>
      </c>
      <c r="I8914" t="n">
        <v>0</v>
      </c>
      <c r="J8914" t="n">
        <v>0</v>
      </c>
      <c r="K8914" t="n">
        <v>0</v>
      </c>
      <c r="L8914" t="n">
        <v>0</v>
      </c>
      <c r="M8914" t="n">
        <v>0</v>
      </c>
      <c r="N8914" t="n">
        <v>0</v>
      </c>
      <c r="O8914" t="n">
        <v>0</v>
      </c>
      <c r="P8914" t="n">
        <v>0</v>
      </c>
      <c r="Q8914" t="n">
        <v>0</v>
      </c>
      <c r="R8914" s="2" t="inlineStr"/>
    </row>
    <row r="8915" ht="15" customHeight="1">
      <c r="A8915" t="inlineStr">
        <is>
          <t>A 5924-2023</t>
        </is>
      </c>
      <c r="B8915" s="1" t="n">
        <v>44963</v>
      </c>
      <c r="C8915" s="1" t="n">
        <v>45810</v>
      </c>
      <c r="D8915" t="inlineStr">
        <is>
          <t>VÄRMLANDS LÄN</t>
        </is>
      </c>
      <c r="E8915" t="inlineStr">
        <is>
          <t>SUNNE</t>
        </is>
      </c>
      <c r="G8915" t="n">
        <v>2.9</v>
      </c>
      <c r="H8915" t="n">
        <v>0</v>
      </c>
      <c r="I8915" t="n">
        <v>0</v>
      </c>
      <c r="J8915" t="n">
        <v>0</v>
      </c>
      <c r="K8915" t="n">
        <v>0</v>
      </c>
      <c r="L8915" t="n">
        <v>0</v>
      </c>
      <c r="M8915" t="n">
        <v>0</v>
      </c>
      <c r="N8915" t="n">
        <v>0</v>
      </c>
      <c r="O8915" t="n">
        <v>0</v>
      </c>
      <c r="P8915" t="n">
        <v>0</v>
      </c>
      <c r="Q8915" t="n">
        <v>0</v>
      </c>
      <c r="R8915" s="2" t="inlineStr"/>
    </row>
    <row r="8916" ht="15" customHeight="1">
      <c r="A8916" t="inlineStr">
        <is>
          <t>A 6669-2023</t>
        </is>
      </c>
      <c r="B8916" s="1" t="n">
        <v>44963</v>
      </c>
      <c r="C8916" s="1" t="n">
        <v>45810</v>
      </c>
      <c r="D8916" t="inlineStr">
        <is>
          <t>VÄRMLANDS LÄN</t>
        </is>
      </c>
      <c r="E8916" t="inlineStr">
        <is>
          <t>SUNNE</t>
        </is>
      </c>
      <c r="G8916" t="n">
        <v>5.3</v>
      </c>
      <c r="H8916" t="n">
        <v>0</v>
      </c>
      <c r="I8916" t="n">
        <v>0</v>
      </c>
      <c r="J8916" t="n">
        <v>0</v>
      </c>
      <c r="K8916" t="n">
        <v>0</v>
      </c>
      <c r="L8916" t="n">
        <v>0</v>
      </c>
      <c r="M8916" t="n">
        <v>0</v>
      </c>
      <c r="N8916" t="n">
        <v>0</v>
      </c>
      <c r="O8916" t="n">
        <v>0</v>
      </c>
      <c r="P8916" t="n">
        <v>0</v>
      </c>
      <c r="Q8916" t="n">
        <v>0</v>
      </c>
      <c r="R8916" s="2" t="inlineStr"/>
    </row>
    <row r="8917" ht="15" customHeight="1">
      <c r="A8917" t="inlineStr">
        <is>
          <t>A 5931-2023</t>
        </is>
      </c>
      <c r="B8917" s="1" t="n">
        <v>44963</v>
      </c>
      <c r="C8917" s="1" t="n">
        <v>45810</v>
      </c>
      <c r="D8917" t="inlineStr">
        <is>
          <t>VÄRMLANDS LÄN</t>
        </is>
      </c>
      <c r="E8917" t="inlineStr">
        <is>
          <t>ÅRJÄNG</t>
        </is>
      </c>
      <c r="G8917" t="n">
        <v>0.8</v>
      </c>
      <c r="H8917" t="n">
        <v>0</v>
      </c>
      <c r="I8917" t="n">
        <v>0</v>
      </c>
      <c r="J8917" t="n">
        <v>0</v>
      </c>
      <c r="K8917" t="n">
        <v>0</v>
      </c>
      <c r="L8917" t="n">
        <v>0</v>
      </c>
      <c r="M8917" t="n">
        <v>0</v>
      </c>
      <c r="N8917" t="n">
        <v>0</v>
      </c>
      <c r="O8917" t="n">
        <v>0</v>
      </c>
      <c r="P8917" t="n">
        <v>0</v>
      </c>
      <c r="Q8917" t="n">
        <v>0</v>
      </c>
      <c r="R8917" s="2" t="inlineStr"/>
    </row>
    <row r="8918" ht="15" customHeight="1">
      <c r="A8918" t="inlineStr">
        <is>
          <t>A 6096-2023</t>
        </is>
      </c>
      <c r="B8918" s="1" t="n">
        <v>44964</v>
      </c>
      <c r="C8918" s="1" t="n">
        <v>45810</v>
      </c>
      <c r="D8918" t="inlineStr">
        <is>
          <t>VÄRMLANDS LÄN</t>
        </is>
      </c>
      <c r="E8918" t="inlineStr">
        <is>
          <t>SUNNE</t>
        </is>
      </c>
      <c r="F8918" t="inlineStr">
        <is>
          <t>Bergvik skog väst AB</t>
        </is>
      </c>
      <c r="G8918" t="n">
        <v>13.3</v>
      </c>
      <c r="H8918" t="n">
        <v>0</v>
      </c>
      <c r="I8918" t="n">
        <v>0</v>
      </c>
      <c r="J8918" t="n">
        <v>0</v>
      </c>
      <c r="K8918" t="n">
        <v>0</v>
      </c>
      <c r="L8918" t="n">
        <v>0</v>
      </c>
      <c r="M8918" t="n">
        <v>0</v>
      </c>
      <c r="N8918" t="n">
        <v>0</v>
      </c>
      <c r="O8918" t="n">
        <v>0</v>
      </c>
      <c r="P8918" t="n">
        <v>0</v>
      </c>
      <c r="Q8918" t="n">
        <v>0</v>
      </c>
      <c r="R8918" s="2" t="inlineStr"/>
    </row>
    <row r="8919" ht="15" customHeight="1">
      <c r="A8919" t="inlineStr">
        <is>
          <t>A 5961-2023</t>
        </is>
      </c>
      <c r="B8919" s="1" t="n">
        <v>44964</v>
      </c>
      <c r="C8919" s="1" t="n">
        <v>45810</v>
      </c>
      <c r="D8919" t="inlineStr">
        <is>
          <t>VÄRMLANDS LÄN</t>
        </is>
      </c>
      <c r="E8919" t="inlineStr">
        <is>
          <t>ARVIKA</t>
        </is>
      </c>
      <c r="G8919" t="n">
        <v>1.8</v>
      </c>
      <c r="H8919" t="n">
        <v>0</v>
      </c>
      <c r="I8919" t="n">
        <v>0</v>
      </c>
      <c r="J8919" t="n">
        <v>0</v>
      </c>
      <c r="K8919" t="n">
        <v>0</v>
      </c>
      <c r="L8919" t="n">
        <v>0</v>
      </c>
      <c r="M8919" t="n">
        <v>0</v>
      </c>
      <c r="N8919" t="n">
        <v>0</v>
      </c>
      <c r="O8919" t="n">
        <v>0</v>
      </c>
      <c r="P8919" t="n">
        <v>0</v>
      </c>
      <c r="Q8919" t="n">
        <v>0</v>
      </c>
      <c r="R8919" s="2" t="inlineStr"/>
    </row>
    <row r="8920" ht="15" customHeight="1">
      <c r="A8920" t="inlineStr">
        <is>
          <t>A 6863-2023</t>
        </is>
      </c>
      <c r="B8920" s="1" t="n">
        <v>44964</v>
      </c>
      <c r="C8920" s="1" t="n">
        <v>45810</v>
      </c>
      <c r="D8920" t="inlineStr">
        <is>
          <t>VÄRMLANDS LÄN</t>
        </is>
      </c>
      <c r="E8920" t="inlineStr">
        <is>
          <t>TORSBY</t>
        </is>
      </c>
      <c r="G8920" t="n">
        <v>1.4</v>
      </c>
      <c r="H8920" t="n">
        <v>0</v>
      </c>
      <c r="I8920" t="n">
        <v>0</v>
      </c>
      <c r="J8920" t="n">
        <v>0</v>
      </c>
      <c r="K8920" t="n">
        <v>0</v>
      </c>
      <c r="L8920" t="n">
        <v>0</v>
      </c>
      <c r="M8920" t="n">
        <v>0</v>
      </c>
      <c r="N8920" t="n">
        <v>0</v>
      </c>
      <c r="O8920" t="n">
        <v>0</v>
      </c>
      <c r="P8920" t="n">
        <v>0</v>
      </c>
      <c r="Q8920" t="n">
        <v>0</v>
      </c>
      <c r="R8920" s="2" t="inlineStr"/>
    </row>
    <row r="8921" ht="15" customHeight="1">
      <c r="A8921" t="inlineStr">
        <is>
          <t>A 6015-2023</t>
        </is>
      </c>
      <c r="B8921" s="1" t="n">
        <v>44964</v>
      </c>
      <c r="C8921" s="1" t="n">
        <v>45810</v>
      </c>
      <c r="D8921" t="inlineStr">
        <is>
          <t>VÄRMLANDS LÄN</t>
        </is>
      </c>
      <c r="E8921" t="inlineStr">
        <is>
          <t>KIL</t>
        </is>
      </c>
      <c r="G8921" t="n">
        <v>0.6</v>
      </c>
      <c r="H8921" t="n">
        <v>0</v>
      </c>
      <c r="I8921" t="n">
        <v>0</v>
      </c>
      <c r="J8921" t="n">
        <v>0</v>
      </c>
      <c r="K8921" t="n">
        <v>0</v>
      </c>
      <c r="L8921" t="n">
        <v>0</v>
      </c>
      <c r="M8921" t="n">
        <v>0</v>
      </c>
      <c r="N8921" t="n">
        <v>0</v>
      </c>
      <c r="O8921" t="n">
        <v>0</v>
      </c>
      <c r="P8921" t="n">
        <v>0</v>
      </c>
      <c r="Q8921" t="n">
        <v>0</v>
      </c>
      <c r="R8921" s="2" t="inlineStr"/>
    </row>
    <row r="8922" ht="15" customHeight="1">
      <c r="A8922" t="inlineStr">
        <is>
          <t>A 6030-2023</t>
        </is>
      </c>
      <c r="B8922" s="1" t="n">
        <v>44964</v>
      </c>
      <c r="C8922" s="1" t="n">
        <v>45810</v>
      </c>
      <c r="D8922" t="inlineStr">
        <is>
          <t>VÄRMLANDS LÄN</t>
        </is>
      </c>
      <c r="E8922" t="inlineStr">
        <is>
          <t>ARVIKA</t>
        </is>
      </c>
      <c r="G8922" t="n">
        <v>10.5</v>
      </c>
      <c r="H8922" t="n">
        <v>0</v>
      </c>
      <c r="I8922" t="n">
        <v>0</v>
      </c>
      <c r="J8922" t="n">
        <v>0</v>
      </c>
      <c r="K8922" t="n">
        <v>0</v>
      </c>
      <c r="L8922" t="n">
        <v>0</v>
      </c>
      <c r="M8922" t="n">
        <v>0</v>
      </c>
      <c r="N8922" t="n">
        <v>0</v>
      </c>
      <c r="O8922" t="n">
        <v>0</v>
      </c>
      <c r="P8922" t="n">
        <v>0</v>
      </c>
      <c r="Q8922" t="n">
        <v>0</v>
      </c>
      <c r="R8922" s="2" t="inlineStr"/>
    </row>
    <row r="8923" ht="15" customHeight="1">
      <c r="A8923" t="inlineStr">
        <is>
          <t>A 6037-2023</t>
        </is>
      </c>
      <c r="B8923" s="1" t="n">
        <v>44964</v>
      </c>
      <c r="C8923" s="1" t="n">
        <v>45810</v>
      </c>
      <c r="D8923" t="inlineStr">
        <is>
          <t>VÄRMLANDS LÄN</t>
        </is>
      </c>
      <c r="E8923" t="inlineStr">
        <is>
          <t>SUNNE</t>
        </is>
      </c>
      <c r="G8923" t="n">
        <v>1.1</v>
      </c>
      <c r="H8923" t="n">
        <v>0</v>
      </c>
      <c r="I8923" t="n">
        <v>0</v>
      </c>
      <c r="J8923" t="n">
        <v>0</v>
      </c>
      <c r="K8923" t="n">
        <v>0</v>
      </c>
      <c r="L8923" t="n">
        <v>0</v>
      </c>
      <c r="M8923" t="n">
        <v>0</v>
      </c>
      <c r="N8923" t="n">
        <v>0</v>
      </c>
      <c r="O8923" t="n">
        <v>0</v>
      </c>
      <c r="P8923" t="n">
        <v>0</v>
      </c>
      <c r="Q8923" t="n">
        <v>0</v>
      </c>
      <c r="R8923" s="2" t="inlineStr"/>
    </row>
    <row r="8924" ht="15" customHeight="1">
      <c r="A8924" t="inlineStr">
        <is>
          <t>A 6132-2023</t>
        </is>
      </c>
      <c r="B8924" s="1" t="n">
        <v>44964</v>
      </c>
      <c r="C8924" s="1" t="n">
        <v>45810</v>
      </c>
      <c r="D8924" t="inlineStr">
        <is>
          <t>VÄRMLANDS LÄN</t>
        </is>
      </c>
      <c r="E8924" t="inlineStr">
        <is>
          <t>SUNNE</t>
        </is>
      </c>
      <c r="F8924" t="inlineStr">
        <is>
          <t>Bergvik skog väst AB</t>
        </is>
      </c>
      <c r="G8924" t="n">
        <v>11.2</v>
      </c>
      <c r="H8924" t="n">
        <v>0</v>
      </c>
      <c r="I8924" t="n">
        <v>0</v>
      </c>
      <c r="J8924" t="n">
        <v>0</v>
      </c>
      <c r="K8924" t="n">
        <v>0</v>
      </c>
      <c r="L8924" t="n">
        <v>0</v>
      </c>
      <c r="M8924" t="n">
        <v>0</v>
      </c>
      <c r="N8924" t="n">
        <v>0</v>
      </c>
      <c r="O8924" t="n">
        <v>0</v>
      </c>
      <c r="P8924" t="n">
        <v>0</v>
      </c>
      <c r="Q8924" t="n">
        <v>0</v>
      </c>
      <c r="R8924" s="2" t="inlineStr"/>
    </row>
    <row r="8925" ht="15" customHeight="1">
      <c r="A8925" t="inlineStr">
        <is>
          <t>A 6138-2023</t>
        </is>
      </c>
      <c r="B8925" s="1" t="n">
        <v>44964</v>
      </c>
      <c r="C8925" s="1" t="n">
        <v>45810</v>
      </c>
      <c r="D8925" t="inlineStr">
        <is>
          <t>VÄRMLANDS LÄN</t>
        </is>
      </c>
      <c r="E8925" t="inlineStr">
        <is>
          <t>ARVIKA</t>
        </is>
      </c>
      <c r="F8925" t="inlineStr">
        <is>
          <t>Bergvik skog väst AB</t>
        </is>
      </c>
      <c r="G8925" t="n">
        <v>2.2</v>
      </c>
      <c r="H8925" t="n">
        <v>0</v>
      </c>
      <c r="I8925" t="n">
        <v>0</v>
      </c>
      <c r="J8925" t="n">
        <v>0</v>
      </c>
      <c r="K8925" t="n">
        <v>0</v>
      </c>
      <c r="L8925" t="n">
        <v>0</v>
      </c>
      <c r="M8925" t="n">
        <v>0</v>
      </c>
      <c r="N8925" t="n">
        <v>0</v>
      </c>
      <c r="O8925" t="n">
        <v>0</v>
      </c>
      <c r="P8925" t="n">
        <v>0</v>
      </c>
      <c r="Q8925" t="n">
        <v>0</v>
      </c>
      <c r="R8925" s="2" t="inlineStr"/>
    </row>
    <row r="8926" ht="15" customHeight="1">
      <c r="A8926" t="inlineStr">
        <is>
          <t>A 6147-2023</t>
        </is>
      </c>
      <c r="B8926" s="1" t="n">
        <v>44964</v>
      </c>
      <c r="C8926" s="1" t="n">
        <v>45810</v>
      </c>
      <c r="D8926" t="inlineStr">
        <is>
          <t>VÄRMLANDS LÄN</t>
        </is>
      </c>
      <c r="E8926" t="inlineStr">
        <is>
          <t>KRISTINEHAMN</t>
        </is>
      </c>
      <c r="G8926" t="n">
        <v>2.6</v>
      </c>
      <c r="H8926" t="n">
        <v>0</v>
      </c>
      <c r="I8926" t="n">
        <v>0</v>
      </c>
      <c r="J8926" t="n">
        <v>0</v>
      </c>
      <c r="K8926" t="n">
        <v>0</v>
      </c>
      <c r="L8926" t="n">
        <v>0</v>
      </c>
      <c r="M8926" t="n">
        <v>0</v>
      </c>
      <c r="N8926" t="n">
        <v>0</v>
      </c>
      <c r="O8926" t="n">
        <v>0</v>
      </c>
      <c r="P8926" t="n">
        <v>0</v>
      </c>
      <c r="Q8926" t="n">
        <v>0</v>
      </c>
      <c r="R8926" s="2" t="inlineStr"/>
    </row>
    <row r="8927" ht="15" customHeight="1">
      <c r="A8927" t="inlineStr">
        <is>
          <t>A 6276-2023</t>
        </is>
      </c>
      <c r="B8927" s="1" t="n">
        <v>44965</v>
      </c>
      <c r="C8927" s="1" t="n">
        <v>45810</v>
      </c>
      <c r="D8927" t="inlineStr">
        <is>
          <t>VÄRMLANDS LÄN</t>
        </is>
      </c>
      <c r="E8927" t="inlineStr">
        <is>
          <t>KARLSTAD</t>
        </is>
      </c>
      <c r="G8927" t="n">
        <v>2</v>
      </c>
      <c r="H8927" t="n">
        <v>0</v>
      </c>
      <c r="I8927" t="n">
        <v>0</v>
      </c>
      <c r="J8927" t="n">
        <v>0</v>
      </c>
      <c r="K8927" t="n">
        <v>0</v>
      </c>
      <c r="L8927" t="n">
        <v>0</v>
      </c>
      <c r="M8927" t="n">
        <v>0</v>
      </c>
      <c r="N8927" t="n">
        <v>0</v>
      </c>
      <c r="O8927" t="n">
        <v>0</v>
      </c>
      <c r="P8927" t="n">
        <v>0</v>
      </c>
      <c r="Q8927" t="n">
        <v>0</v>
      </c>
      <c r="R8927" s="2" t="inlineStr"/>
    </row>
    <row r="8928" ht="15" customHeight="1">
      <c r="A8928" t="inlineStr">
        <is>
          <t>A 6253-2023</t>
        </is>
      </c>
      <c r="B8928" s="1" t="n">
        <v>44965</v>
      </c>
      <c r="C8928" s="1" t="n">
        <v>45810</v>
      </c>
      <c r="D8928" t="inlineStr">
        <is>
          <t>VÄRMLANDS LÄN</t>
        </is>
      </c>
      <c r="E8928" t="inlineStr">
        <is>
          <t>HAGFORS</t>
        </is>
      </c>
      <c r="F8928" t="inlineStr">
        <is>
          <t>Bergvik skog väst AB</t>
        </is>
      </c>
      <c r="G8928" t="n">
        <v>20.8</v>
      </c>
      <c r="H8928" t="n">
        <v>0</v>
      </c>
      <c r="I8928" t="n">
        <v>0</v>
      </c>
      <c r="J8928" t="n">
        <v>0</v>
      </c>
      <c r="K8928" t="n">
        <v>0</v>
      </c>
      <c r="L8928" t="n">
        <v>0</v>
      </c>
      <c r="M8928" t="n">
        <v>0</v>
      </c>
      <c r="N8928" t="n">
        <v>0</v>
      </c>
      <c r="O8928" t="n">
        <v>0</v>
      </c>
      <c r="P8928" t="n">
        <v>0</v>
      </c>
      <c r="Q8928" t="n">
        <v>0</v>
      </c>
      <c r="R8928" s="2" t="inlineStr"/>
    </row>
    <row r="8929" ht="15" customHeight="1">
      <c r="A8929" t="inlineStr">
        <is>
          <t>A 6362-2023</t>
        </is>
      </c>
      <c r="B8929" s="1" t="n">
        <v>44965</v>
      </c>
      <c r="C8929" s="1" t="n">
        <v>45810</v>
      </c>
      <c r="D8929" t="inlineStr">
        <is>
          <t>VÄRMLANDS LÄN</t>
        </is>
      </c>
      <c r="E8929" t="inlineStr">
        <is>
          <t>SUNNE</t>
        </is>
      </c>
      <c r="G8929" t="n">
        <v>1.2</v>
      </c>
      <c r="H8929" t="n">
        <v>0</v>
      </c>
      <c r="I8929" t="n">
        <v>0</v>
      </c>
      <c r="J8929" t="n">
        <v>0</v>
      </c>
      <c r="K8929" t="n">
        <v>0</v>
      </c>
      <c r="L8929" t="n">
        <v>0</v>
      </c>
      <c r="M8929" t="n">
        <v>0</v>
      </c>
      <c r="N8929" t="n">
        <v>0</v>
      </c>
      <c r="O8929" t="n">
        <v>0</v>
      </c>
      <c r="P8929" t="n">
        <v>0</v>
      </c>
      <c r="Q8929" t="n">
        <v>0</v>
      </c>
      <c r="R8929" s="2" t="inlineStr"/>
    </row>
    <row r="8930" ht="15" customHeight="1">
      <c r="A8930" t="inlineStr">
        <is>
          <t>A 6278-2023</t>
        </is>
      </c>
      <c r="B8930" s="1" t="n">
        <v>44965</v>
      </c>
      <c r="C8930" s="1" t="n">
        <v>45810</v>
      </c>
      <c r="D8930" t="inlineStr">
        <is>
          <t>VÄRMLANDS LÄN</t>
        </is>
      </c>
      <c r="E8930" t="inlineStr">
        <is>
          <t>KRISTINEHAMN</t>
        </is>
      </c>
      <c r="G8930" t="n">
        <v>5.7</v>
      </c>
      <c r="H8930" t="n">
        <v>0</v>
      </c>
      <c r="I8930" t="n">
        <v>0</v>
      </c>
      <c r="J8930" t="n">
        <v>0</v>
      </c>
      <c r="K8930" t="n">
        <v>0</v>
      </c>
      <c r="L8930" t="n">
        <v>0</v>
      </c>
      <c r="M8930" t="n">
        <v>0</v>
      </c>
      <c r="N8930" t="n">
        <v>0</v>
      </c>
      <c r="O8930" t="n">
        <v>0</v>
      </c>
      <c r="P8930" t="n">
        <v>0</v>
      </c>
      <c r="Q8930" t="n">
        <v>0</v>
      </c>
      <c r="R8930" s="2" t="inlineStr"/>
    </row>
    <row r="8931" ht="15" customHeight="1">
      <c r="A8931" t="inlineStr">
        <is>
          <t>A 6255-2023</t>
        </is>
      </c>
      <c r="B8931" s="1" t="n">
        <v>44965</v>
      </c>
      <c r="C8931" s="1" t="n">
        <v>45810</v>
      </c>
      <c r="D8931" t="inlineStr">
        <is>
          <t>VÄRMLANDS LÄN</t>
        </is>
      </c>
      <c r="E8931" t="inlineStr">
        <is>
          <t>ARVIKA</t>
        </is>
      </c>
      <c r="G8931" t="n">
        <v>1.3</v>
      </c>
      <c r="H8931" t="n">
        <v>0</v>
      </c>
      <c r="I8931" t="n">
        <v>0</v>
      </c>
      <c r="J8931" t="n">
        <v>0</v>
      </c>
      <c r="K8931" t="n">
        <v>0</v>
      </c>
      <c r="L8931" t="n">
        <v>0</v>
      </c>
      <c r="M8931" t="n">
        <v>0</v>
      </c>
      <c r="N8931" t="n">
        <v>0</v>
      </c>
      <c r="O8931" t="n">
        <v>0</v>
      </c>
      <c r="P8931" t="n">
        <v>0</v>
      </c>
      <c r="Q8931" t="n">
        <v>0</v>
      </c>
      <c r="R8931" s="2" t="inlineStr"/>
    </row>
    <row r="8932" ht="15" customHeight="1">
      <c r="A8932" t="inlineStr">
        <is>
          <t>A 6434-2023</t>
        </is>
      </c>
      <c r="B8932" s="1" t="n">
        <v>44965</v>
      </c>
      <c r="C8932" s="1" t="n">
        <v>45810</v>
      </c>
      <c r="D8932" t="inlineStr">
        <is>
          <t>VÄRMLANDS LÄN</t>
        </is>
      </c>
      <c r="E8932" t="inlineStr">
        <is>
          <t>SUNNE</t>
        </is>
      </c>
      <c r="G8932" t="n">
        <v>8.5</v>
      </c>
      <c r="H8932" t="n">
        <v>0</v>
      </c>
      <c r="I8932" t="n">
        <v>0</v>
      </c>
      <c r="J8932" t="n">
        <v>0</v>
      </c>
      <c r="K8932" t="n">
        <v>0</v>
      </c>
      <c r="L8932" t="n">
        <v>0</v>
      </c>
      <c r="M8932" t="n">
        <v>0</v>
      </c>
      <c r="N8932" t="n">
        <v>0</v>
      </c>
      <c r="O8932" t="n">
        <v>0</v>
      </c>
      <c r="P8932" t="n">
        <v>0</v>
      </c>
      <c r="Q8932" t="n">
        <v>0</v>
      </c>
      <c r="R8932" s="2" t="inlineStr"/>
    </row>
    <row r="8933" ht="15" customHeight="1">
      <c r="A8933" t="inlineStr">
        <is>
          <t>A 6254-2023</t>
        </is>
      </c>
      <c r="B8933" s="1" t="n">
        <v>44965</v>
      </c>
      <c r="C8933" s="1" t="n">
        <v>45810</v>
      </c>
      <c r="D8933" t="inlineStr">
        <is>
          <t>VÄRMLANDS LÄN</t>
        </is>
      </c>
      <c r="E8933" t="inlineStr">
        <is>
          <t>SUNNE</t>
        </is>
      </c>
      <c r="G8933" t="n">
        <v>3.6</v>
      </c>
      <c r="H8933" t="n">
        <v>0</v>
      </c>
      <c r="I8933" t="n">
        <v>0</v>
      </c>
      <c r="J8933" t="n">
        <v>0</v>
      </c>
      <c r="K8933" t="n">
        <v>0</v>
      </c>
      <c r="L8933" t="n">
        <v>0</v>
      </c>
      <c r="M8933" t="n">
        <v>0</v>
      </c>
      <c r="N8933" t="n">
        <v>0</v>
      </c>
      <c r="O8933" t="n">
        <v>0</v>
      </c>
      <c r="P8933" t="n">
        <v>0</v>
      </c>
      <c r="Q8933" t="n">
        <v>0</v>
      </c>
      <c r="R8933" s="2" t="inlineStr"/>
    </row>
    <row r="8934" ht="15" customHeight="1">
      <c r="A8934" t="inlineStr">
        <is>
          <t>A 6328-2023</t>
        </is>
      </c>
      <c r="B8934" s="1" t="n">
        <v>44965</v>
      </c>
      <c r="C8934" s="1" t="n">
        <v>45810</v>
      </c>
      <c r="D8934" t="inlineStr">
        <is>
          <t>VÄRMLANDS LÄN</t>
        </is>
      </c>
      <c r="E8934" t="inlineStr">
        <is>
          <t>SUNNE</t>
        </is>
      </c>
      <c r="G8934" t="n">
        <v>1.2</v>
      </c>
      <c r="H8934" t="n">
        <v>0</v>
      </c>
      <c r="I8934" t="n">
        <v>0</v>
      </c>
      <c r="J8934" t="n">
        <v>0</v>
      </c>
      <c r="K8934" t="n">
        <v>0</v>
      </c>
      <c r="L8934" t="n">
        <v>0</v>
      </c>
      <c r="M8934" t="n">
        <v>0</v>
      </c>
      <c r="N8934" t="n">
        <v>0</v>
      </c>
      <c r="O8934" t="n">
        <v>0</v>
      </c>
      <c r="P8934" t="n">
        <v>0</v>
      </c>
      <c r="Q8934" t="n">
        <v>0</v>
      </c>
      <c r="R8934" s="2" t="inlineStr"/>
    </row>
    <row r="8935" ht="15" customHeight="1">
      <c r="A8935" t="inlineStr">
        <is>
          <t>A 6349-2023</t>
        </is>
      </c>
      <c r="B8935" s="1" t="n">
        <v>44965</v>
      </c>
      <c r="C8935" s="1" t="n">
        <v>45810</v>
      </c>
      <c r="D8935" t="inlineStr">
        <is>
          <t>VÄRMLANDS LÄN</t>
        </is>
      </c>
      <c r="E8935" t="inlineStr">
        <is>
          <t>MUNKFORS</t>
        </is>
      </c>
      <c r="F8935" t="inlineStr">
        <is>
          <t>Bergvik skog väst AB</t>
        </is>
      </c>
      <c r="G8935" t="n">
        <v>2.9</v>
      </c>
      <c r="H8935" t="n">
        <v>0</v>
      </c>
      <c r="I8935" t="n">
        <v>0</v>
      </c>
      <c r="J8935" t="n">
        <v>0</v>
      </c>
      <c r="K8935" t="n">
        <v>0</v>
      </c>
      <c r="L8935" t="n">
        <v>0</v>
      </c>
      <c r="M8935" t="n">
        <v>0</v>
      </c>
      <c r="N8935" t="n">
        <v>0</v>
      </c>
      <c r="O8935" t="n">
        <v>0</v>
      </c>
      <c r="P8935" t="n">
        <v>0</v>
      </c>
      <c r="Q8935" t="n">
        <v>0</v>
      </c>
      <c r="R8935" s="2" t="inlineStr"/>
    </row>
    <row r="8936" ht="15" customHeight="1">
      <c r="A8936" t="inlineStr">
        <is>
          <t>A 6403-2023</t>
        </is>
      </c>
      <c r="B8936" s="1" t="n">
        <v>44965</v>
      </c>
      <c r="C8936" s="1" t="n">
        <v>45810</v>
      </c>
      <c r="D8936" t="inlineStr">
        <is>
          <t>VÄRMLANDS LÄN</t>
        </is>
      </c>
      <c r="E8936" t="inlineStr">
        <is>
          <t>SUNNE</t>
        </is>
      </c>
      <c r="G8936" t="n">
        <v>5.5</v>
      </c>
      <c r="H8936" t="n">
        <v>0</v>
      </c>
      <c r="I8936" t="n">
        <v>0</v>
      </c>
      <c r="J8936" t="n">
        <v>0</v>
      </c>
      <c r="K8936" t="n">
        <v>0</v>
      </c>
      <c r="L8936" t="n">
        <v>0</v>
      </c>
      <c r="M8936" t="n">
        <v>0</v>
      </c>
      <c r="N8936" t="n">
        <v>0</v>
      </c>
      <c r="O8936" t="n">
        <v>0</v>
      </c>
      <c r="P8936" t="n">
        <v>0</v>
      </c>
      <c r="Q8936" t="n">
        <v>0</v>
      </c>
      <c r="R8936" s="2" t="inlineStr"/>
    </row>
    <row r="8937" ht="15" customHeight="1">
      <c r="A8937" t="inlineStr">
        <is>
          <t>A 6490-2023</t>
        </is>
      </c>
      <c r="B8937" s="1" t="n">
        <v>44966</v>
      </c>
      <c r="C8937" s="1" t="n">
        <v>45810</v>
      </c>
      <c r="D8937" t="inlineStr">
        <is>
          <t>VÄRMLANDS LÄN</t>
        </is>
      </c>
      <c r="E8937" t="inlineStr">
        <is>
          <t>EDA</t>
        </is>
      </c>
      <c r="F8937" t="inlineStr">
        <is>
          <t>Övriga statliga verk och myndigheter</t>
        </is>
      </c>
      <c r="G8937" t="n">
        <v>4.4</v>
      </c>
      <c r="H8937" t="n">
        <v>0</v>
      </c>
      <c r="I8937" t="n">
        <v>0</v>
      </c>
      <c r="J8937" t="n">
        <v>0</v>
      </c>
      <c r="K8937" t="n">
        <v>0</v>
      </c>
      <c r="L8937" t="n">
        <v>0</v>
      </c>
      <c r="M8937" t="n">
        <v>0</v>
      </c>
      <c r="N8937" t="n">
        <v>0</v>
      </c>
      <c r="O8937" t="n">
        <v>0</v>
      </c>
      <c r="P8937" t="n">
        <v>0</v>
      </c>
      <c r="Q8937" t="n">
        <v>0</v>
      </c>
      <c r="R8937" s="2" t="inlineStr"/>
    </row>
    <row r="8938" ht="15" customHeight="1">
      <c r="A8938" t="inlineStr">
        <is>
          <t>A 6503-2023</t>
        </is>
      </c>
      <c r="B8938" s="1" t="n">
        <v>44966</v>
      </c>
      <c r="C8938" s="1" t="n">
        <v>45810</v>
      </c>
      <c r="D8938" t="inlineStr">
        <is>
          <t>VÄRMLANDS LÄN</t>
        </is>
      </c>
      <c r="E8938" t="inlineStr">
        <is>
          <t>FILIPSTAD</t>
        </is>
      </c>
      <c r="F8938" t="inlineStr">
        <is>
          <t>Bergvik skog väst AB</t>
        </is>
      </c>
      <c r="G8938" t="n">
        <v>13.1</v>
      </c>
      <c r="H8938" t="n">
        <v>0</v>
      </c>
      <c r="I8938" t="n">
        <v>0</v>
      </c>
      <c r="J8938" t="n">
        <v>0</v>
      </c>
      <c r="K8938" t="n">
        <v>0</v>
      </c>
      <c r="L8938" t="n">
        <v>0</v>
      </c>
      <c r="M8938" t="n">
        <v>0</v>
      </c>
      <c r="N8938" t="n">
        <v>0</v>
      </c>
      <c r="O8938" t="n">
        <v>0</v>
      </c>
      <c r="P8938" t="n">
        <v>0</v>
      </c>
      <c r="Q8938" t="n">
        <v>0</v>
      </c>
      <c r="R8938" s="2" t="inlineStr"/>
    </row>
    <row r="8939" ht="15" customHeight="1">
      <c r="A8939" t="inlineStr">
        <is>
          <t>A 6524-2023</t>
        </is>
      </c>
      <c r="B8939" s="1" t="n">
        <v>44966</v>
      </c>
      <c r="C8939" s="1" t="n">
        <v>45810</v>
      </c>
      <c r="D8939" t="inlineStr">
        <is>
          <t>VÄRMLANDS LÄN</t>
        </is>
      </c>
      <c r="E8939" t="inlineStr">
        <is>
          <t>MUNKFORS</t>
        </is>
      </c>
      <c r="F8939" t="inlineStr">
        <is>
          <t>Bergvik skog väst AB</t>
        </is>
      </c>
      <c r="G8939" t="n">
        <v>4.2</v>
      </c>
      <c r="H8939" t="n">
        <v>0</v>
      </c>
      <c r="I8939" t="n">
        <v>0</v>
      </c>
      <c r="J8939" t="n">
        <v>0</v>
      </c>
      <c r="K8939" t="n">
        <v>0</v>
      </c>
      <c r="L8939" t="n">
        <v>0</v>
      </c>
      <c r="M8939" t="n">
        <v>0</v>
      </c>
      <c r="N8939" t="n">
        <v>0</v>
      </c>
      <c r="O8939" t="n">
        <v>0</v>
      </c>
      <c r="P8939" t="n">
        <v>0</v>
      </c>
      <c r="Q8939" t="n">
        <v>0</v>
      </c>
      <c r="R8939" s="2" t="inlineStr"/>
    </row>
    <row r="8940" ht="15" customHeight="1">
      <c r="A8940" t="inlineStr">
        <is>
          <t>A 6653-2023</t>
        </is>
      </c>
      <c r="B8940" s="1" t="n">
        <v>44966</v>
      </c>
      <c r="C8940" s="1" t="n">
        <v>45810</v>
      </c>
      <c r="D8940" t="inlineStr">
        <is>
          <t>VÄRMLANDS LÄN</t>
        </is>
      </c>
      <c r="E8940" t="inlineStr">
        <is>
          <t>MUNKFORS</t>
        </is>
      </c>
      <c r="F8940" t="inlineStr">
        <is>
          <t>Kyrkan</t>
        </is>
      </c>
      <c r="G8940" t="n">
        <v>1</v>
      </c>
      <c r="H8940" t="n">
        <v>0</v>
      </c>
      <c r="I8940" t="n">
        <v>0</v>
      </c>
      <c r="J8940" t="n">
        <v>0</v>
      </c>
      <c r="K8940" t="n">
        <v>0</v>
      </c>
      <c r="L8940" t="n">
        <v>0</v>
      </c>
      <c r="M8940" t="n">
        <v>0</v>
      </c>
      <c r="N8940" t="n">
        <v>0</v>
      </c>
      <c r="O8940" t="n">
        <v>0</v>
      </c>
      <c r="P8940" t="n">
        <v>0</v>
      </c>
      <c r="Q8940" t="n">
        <v>0</v>
      </c>
      <c r="R8940" s="2" t="inlineStr"/>
    </row>
    <row r="8941" ht="15" customHeight="1">
      <c r="A8941" t="inlineStr">
        <is>
          <t>A 6504-2023</t>
        </is>
      </c>
      <c r="B8941" s="1" t="n">
        <v>44966</v>
      </c>
      <c r="C8941" s="1" t="n">
        <v>45810</v>
      </c>
      <c r="D8941" t="inlineStr">
        <is>
          <t>VÄRMLANDS LÄN</t>
        </is>
      </c>
      <c r="E8941" t="inlineStr">
        <is>
          <t>EDA</t>
        </is>
      </c>
      <c r="G8941" t="n">
        <v>1.7</v>
      </c>
      <c r="H8941" t="n">
        <v>0</v>
      </c>
      <c r="I8941" t="n">
        <v>0</v>
      </c>
      <c r="J8941" t="n">
        <v>0</v>
      </c>
      <c r="K8941" t="n">
        <v>0</v>
      </c>
      <c r="L8941" t="n">
        <v>0</v>
      </c>
      <c r="M8941" t="n">
        <v>0</v>
      </c>
      <c r="N8941" t="n">
        <v>0</v>
      </c>
      <c r="O8941" t="n">
        <v>0</v>
      </c>
      <c r="P8941" t="n">
        <v>0</v>
      </c>
      <c r="Q8941" t="n">
        <v>0</v>
      </c>
      <c r="R8941" s="2" t="inlineStr"/>
    </row>
    <row r="8942" ht="15" customHeight="1">
      <c r="A8942" t="inlineStr">
        <is>
          <t>A 6531-2023</t>
        </is>
      </c>
      <c r="B8942" s="1" t="n">
        <v>44966</v>
      </c>
      <c r="C8942" s="1" t="n">
        <v>45810</v>
      </c>
      <c r="D8942" t="inlineStr">
        <is>
          <t>VÄRMLANDS LÄN</t>
        </is>
      </c>
      <c r="E8942" t="inlineStr">
        <is>
          <t>EDA</t>
        </is>
      </c>
      <c r="G8942" t="n">
        <v>1.6</v>
      </c>
      <c r="H8942" t="n">
        <v>0</v>
      </c>
      <c r="I8942" t="n">
        <v>0</v>
      </c>
      <c r="J8942" t="n">
        <v>0</v>
      </c>
      <c r="K8942" t="n">
        <v>0</v>
      </c>
      <c r="L8942" t="n">
        <v>0</v>
      </c>
      <c r="M8942" t="n">
        <v>0</v>
      </c>
      <c r="N8942" t="n">
        <v>0</v>
      </c>
      <c r="O8942" t="n">
        <v>0</v>
      </c>
      <c r="P8942" t="n">
        <v>0</v>
      </c>
      <c r="Q8942" t="n">
        <v>0</v>
      </c>
      <c r="R8942" s="2" t="inlineStr"/>
    </row>
    <row r="8943" ht="15" customHeight="1">
      <c r="A8943" t="inlineStr">
        <is>
          <t>A 6537-2023</t>
        </is>
      </c>
      <c r="B8943" s="1" t="n">
        <v>44966</v>
      </c>
      <c r="C8943" s="1" t="n">
        <v>45810</v>
      </c>
      <c r="D8943" t="inlineStr">
        <is>
          <t>VÄRMLANDS LÄN</t>
        </is>
      </c>
      <c r="E8943" t="inlineStr">
        <is>
          <t>EDA</t>
        </is>
      </c>
      <c r="G8943" t="n">
        <v>3.9</v>
      </c>
      <c r="H8943" t="n">
        <v>0</v>
      </c>
      <c r="I8943" t="n">
        <v>0</v>
      </c>
      <c r="J8943" t="n">
        <v>0</v>
      </c>
      <c r="K8943" t="n">
        <v>0</v>
      </c>
      <c r="L8943" t="n">
        <v>0</v>
      </c>
      <c r="M8943" t="n">
        <v>0</v>
      </c>
      <c r="N8943" t="n">
        <v>0</v>
      </c>
      <c r="O8943" t="n">
        <v>0</v>
      </c>
      <c r="P8943" t="n">
        <v>0</v>
      </c>
      <c r="Q8943" t="n">
        <v>0</v>
      </c>
      <c r="R8943" s="2" t="inlineStr"/>
    </row>
    <row r="8944" ht="15" customHeight="1">
      <c r="A8944" t="inlineStr">
        <is>
          <t>A 6654-2023</t>
        </is>
      </c>
      <c r="B8944" s="1" t="n">
        <v>44966</v>
      </c>
      <c r="C8944" s="1" t="n">
        <v>45810</v>
      </c>
      <c r="D8944" t="inlineStr">
        <is>
          <t>VÄRMLANDS LÄN</t>
        </is>
      </c>
      <c r="E8944" t="inlineStr">
        <is>
          <t>MUNKFORS</t>
        </is>
      </c>
      <c r="F8944" t="inlineStr">
        <is>
          <t>Bergvik skog väst AB</t>
        </is>
      </c>
      <c r="G8944" t="n">
        <v>7.7</v>
      </c>
      <c r="H8944" t="n">
        <v>0</v>
      </c>
      <c r="I8944" t="n">
        <v>0</v>
      </c>
      <c r="J8944" t="n">
        <v>0</v>
      </c>
      <c r="K8944" t="n">
        <v>0</v>
      </c>
      <c r="L8944" t="n">
        <v>0</v>
      </c>
      <c r="M8944" t="n">
        <v>0</v>
      </c>
      <c r="N8944" t="n">
        <v>0</v>
      </c>
      <c r="O8944" t="n">
        <v>0</v>
      </c>
      <c r="P8944" t="n">
        <v>0</v>
      </c>
      <c r="Q8944" t="n">
        <v>0</v>
      </c>
      <c r="R8944" s="2" t="inlineStr"/>
    </row>
    <row r="8945" ht="15" customHeight="1">
      <c r="A8945" t="inlineStr">
        <is>
          <t>A 6687-2023</t>
        </is>
      </c>
      <c r="B8945" s="1" t="n">
        <v>44966</v>
      </c>
      <c r="C8945" s="1" t="n">
        <v>45810</v>
      </c>
      <c r="D8945" t="inlineStr">
        <is>
          <t>VÄRMLANDS LÄN</t>
        </is>
      </c>
      <c r="E8945" t="inlineStr">
        <is>
          <t>KIL</t>
        </is>
      </c>
      <c r="G8945" t="n">
        <v>1.2</v>
      </c>
      <c r="H8945" t="n">
        <v>0</v>
      </c>
      <c r="I8945" t="n">
        <v>0</v>
      </c>
      <c r="J8945" t="n">
        <v>0</v>
      </c>
      <c r="K8945" t="n">
        <v>0</v>
      </c>
      <c r="L8945" t="n">
        <v>0</v>
      </c>
      <c r="M8945" t="n">
        <v>0</v>
      </c>
      <c r="N8945" t="n">
        <v>0</v>
      </c>
      <c r="O8945" t="n">
        <v>0</v>
      </c>
      <c r="P8945" t="n">
        <v>0</v>
      </c>
      <c r="Q8945" t="n">
        <v>0</v>
      </c>
      <c r="R8945" s="2" t="inlineStr"/>
    </row>
    <row r="8946" ht="15" customHeight="1">
      <c r="A8946" t="inlineStr">
        <is>
          <t>A 6494-2023</t>
        </is>
      </c>
      <c r="B8946" s="1" t="n">
        <v>44966</v>
      </c>
      <c r="C8946" s="1" t="n">
        <v>45810</v>
      </c>
      <c r="D8946" t="inlineStr">
        <is>
          <t>VÄRMLANDS LÄN</t>
        </is>
      </c>
      <c r="E8946" t="inlineStr">
        <is>
          <t>EDA</t>
        </is>
      </c>
      <c r="G8946" t="n">
        <v>3.6</v>
      </c>
      <c r="H8946" t="n">
        <v>0</v>
      </c>
      <c r="I8946" t="n">
        <v>0</v>
      </c>
      <c r="J8946" t="n">
        <v>0</v>
      </c>
      <c r="K8946" t="n">
        <v>0</v>
      </c>
      <c r="L8946" t="n">
        <v>0</v>
      </c>
      <c r="M8946" t="n">
        <v>0</v>
      </c>
      <c r="N8946" t="n">
        <v>0</v>
      </c>
      <c r="O8946" t="n">
        <v>0</v>
      </c>
      <c r="P8946" t="n">
        <v>0</v>
      </c>
      <c r="Q8946" t="n">
        <v>0</v>
      </c>
      <c r="R8946" s="2" t="inlineStr"/>
    </row>
    <row r="8947" ht="15" customHeight="1">
      <c r="A8947" t="inlineStr">
        <is>
          <t>A 6724-2023</t>
        </is>
      </c>
      <c r="B8947" s="1" t="n">
        <v>44966</v>
      </c>
      <c r="C8947" s="1" t="n">
        <v>45810</v>
      </c>
      <c r="D8947" t="inlineStr">
        <is>
          <t>VÄRMLANDS LÄN</t>
        </is>
      </c>
      <c r="E8947" t="inlineStr">
        <is>
          <t>FORSHAGA</t>
        </is>
      </c>
      <c r="F8947" t="inlineStr">
        <is>
          <t>Kyrkan</t>
        </is>
      </c>
      <c r="G8947" t="n">
        <v>6.4</v>
      </c>
      <c r="H8947" t="n">
        <v>0</v>
      </c>
      <c r="I8947" t="n">
        <v>0</v>
      </c>
      <c r="J8947" t="n">
        <v>0</v>
      </c>
      <c r="K8947" t="n">
        <v>0</v>
      </c>
      <c r="L8947" t="n">
        <v>0</v>
      </c>
      <c r="M8947" t="n">
        <v>0</v>
      </c>
      <c r="N8947" t="n">
        <v>0</v>
      </c>
      <c r="O8947" t="n">
        <v>0</v>
      </c>
      <c r="P8947" t="n">
        <v>0</v>
      </c>
      <c r="Q8947" t="n">
        <v>0</v>
      </c>
      <c r="R8947" s="2" t="inlineStr"/>
    </row>
    <row r="8948" ht="15" customHeight="1">
      <c r="A8948" t="inlineStr">
        <is>
          <t>A 6498-2023</t>
        </is>
      </c>
      <c r="B8948" s="1" t="n">
        <v>44966</v>
      </c>
      <c r="C8948" s="1" t="n">
        <v>45810</v>
      </c>
      <c r="D8948" t="inlineStr">
        <is>
          <t>VÄRMLANDS LÄN</t>
        </is>
      </c>
      <c r="E8948" t="inlineStr">
        <is>
          <t>FILIPSTAD</t>
        </is>
      </c>
      <c r="F8948" t="inlineStr">
        <is>
          <t>Bergvik skog väst AB</t>
        </is>
      </c>
      <c r="G8948" t="n">
        <v>7.1</v>
      </c>
      <c r="H8948" t="n">
        <v>0</v>
      </c>
      <c r="I8948" t="n">
        <v>0</v>
      </c>
      <c r="J8948" t="n">
        <v>0</v>
      </c>
      <c r="K8948" t="n">
        <v>0</v>
      </c>
      <c r="L8948" t="n">
        <v>0</v>
      </c>
      <c r="M8948" t="n">
        <v>0</v>
      </c>
      <c r="N8948" t="n">
        <v>0</v>
      </c>
      <c r="O8948" t="n">
        <v>0</v>
      </c>
      <c r="P8948" t="n">
        <v>0</v>
      </c>
      <c r="Q8948" t="n">
        <v>0</v>
      </c>
      <c r="R8948" s="2" t="inlineStr"/>
    </row>
    <row r="8949" ht="15" customHeight="1">
      <c r="A8949" t="inlineStr">
        <is>
          <t>A 6554-2023</t>
        </is>
      </c>
      <c r="B8949" s="1" t="n">
        <v>44966</v>
      </c>
      <c r="C8949" s="1" t="n">
        <v>45810</v>
      </c>
      <c r="D8949" t="inlineStr">
        <is>
          <t>VÄRMLANDS LÄN</t>
        </is>
      </c>
      <c r="E8949" t="inlineStr">
        <is>
          <t>ARVIKA</t>
        </is>
      </c>
      <c r="F8949" t="inlineStr">
        <is>
          <t>Bergvik skog väst AB</t>
        </is>
      </c>
      <c r="G8949" t="n">
        <v>4.9</v>
      </c>
      <c r="H8949" t="n">
        <v>0</v>
      </c>
      <c r="I8949" t="n">
        <v>0</v>
      </c>
      <c r="J8949" t="n">
        <v>0</v>
      </c>
      <c r="K8949" t="n">
        <v>0</v>
      </c>
      <c r="L8949" t="n">
        <v>0</v>
      </c>
      <c r="M8949" t="n">
        <v>0</v>
      </c>
      <c r="N8949" t="n">
        <v>0</v>
      </c>
      <c r="O8949" t="n">
        <v>0</v>
      </c>
      <c r="P8949" t="n">
        <v>0</v>
      </c>
      <c r="Q8949" t="n">
        <v>0</v>
      </c>
      <c r="R8949" s="2" t="inlineStr"/>
    </row>
    <row r="8950" ht="15" customHeight="1">
      <c r="A8950" t="inlineStr">
        <is>
          <t>A 6562-2023</t>
        </is>
      </c>
      <c r="B8950" s="1" t="n">
        <v>44966</v>
      </c>
      <c r="C8950" s="1" t="n">
        <v>45810</v>
      </c>
      <c r="D8950" t="inlineStr">
        <is>
          <t>VÄRMLANDS LÄN</t>
        </is>
      </c>
      <c r="E8950" t="inlineStr">
        <is>
          <t>ÅRJÄNG</t>
        </is>
      </c>
      <c r="G8950" t="n">
        <v>1</v>
      </c>
      <c r="H8950" t="n">
        <v>0</v>
      </c>
      <c r="I8950" t="n">
        <v>0</v>
      </c>
      <c r="J8950" t="n">
        <v>0</v>
      </c>
      <c r="K8950" t="n">
        <v>0</v>
      </c>
      <c r="L8950" t="n">
        <v>0</v>
      </c>
      <c r="M8950" t="n">
        <v>0</v>
      </c>
      <c r="N8950" t="n">
        <v>0</v>
      </c>
      <c r="O8950" t="n">
        <v>0</v>
      </c>
      <c r="P8950" t="n">
        <v>0</v>
      </c>
      <c r="Q8950" t="n">
        <v>0</v>
      </c>
      <c r="R8950" s="2" t="inlineStr"/>
    </row>
    <row r="8951" ht="15" customHeight="1">
      <c r="A8951" t="inlineStr">
        <is>
          <t>A 6566-2023</t>
        </is>
      </c>
      <c r="B8951" s="1" t="n">
        <v>44966</v>
      </c>
      <c r="C8951" s="1" t="n">
        <v>45810</v>
      </c>
      <c r="D8951" t="inlineStr">
        <is>
          <t>VÄRMLANDS LÄN</t>
        </is>
      </c>
      <c r="E8951" t="inlineStr">
        <is>
          <t>SUNNE</t>
        </is>
      </c>
      <c r="G8951" t="n">
        <v>1.5</v>
      </c>
      <c r="H8951" t="n">
        <v>0</v>
      </c>
      <c r="I8951" t="n">
        <v>0</v>
      </c>
      <c r="J8951" t="n">
        <v>0</v>
      </c>
      <c r="K8951" t="n">
        <v>0</v>
      </c>
      <c r="L8951" t="n">
        <v>0</v>
      </c>
      <c r="M8951" t="n">
        <v>0</v>
      </c>
      <c r="N8951" t="n">
        <v>0</v>
      </c>
      <c r="O8951" t="n">
        <v>0</v>
      </c>
      <c r="P8951" t="n">
        <v>0</v>
      </c>
      <c r="Q8951" t="n">
        <v>0</v>
      </c>
      <c r="R8951" s="2" t="inlineStr"/>
    </row>
    <row r="8952" ht="15" customHeight="1">
      <c r="A8952" t="inlineStr">
        <is>
          <t>A 6609-2023</t>
        </is>
      </c>
      <c r="B8952" s="1" t="n">
        <v>44966</v>
      </c>
      <c r="C8952" s="1" t="n">
        <v>45810</v>
      </c>
      <c r="D8952" t="inlineStr">
        <is>
          <t>VÄRMLANDS LÄN</t>
        </is>
      </c>
      <c r="E8952" t="inlineStr">
        <is>
          <t>EDA</t>
        </is>
      </c>
      <c r="G8952" t="n">
        <v>4.5</v>
      </c>
      <c r="H8952" t="n">
        <v>0</v>
      </c>
      <c r="I8952" t="n">
        <v>0</v>
      </c>
      <c r="J8952" t="n">
        <v>0</v>
      </c>
      <c r="K8952" t="n">
        <v>0</v>
      </c>
      <c r="L8952" t="n">
        <v>0</v>
      </c>
      <c r="M8952" t="n">
        <v>0</v>
      </c>
      <c r="N8952" t="n">
        <v>0</v>
      </c>
      <c r="O8952" t="n">
        <v>0</v>
      </c>
      <c r="P8952" t="n">
        <v>0</v>
      </c>
      <c r="Q8952" t="n">
        <v>0</v>
      </c>
      <c r="R8952" s="2" t="inlineStr"/>
    </row>
    <row r="8953" ht="15" customHeight="1">
      <c r="A8953" t="inlineStr">
        <is>
          <t>A 6569-2023</t>
        </is>
      </c>
      <c r="B8953" s="1" t="n">
        <v>44966</v>
      </c>
      <c r="C8953" s="1" t="n">
        <v>45810</v>
      </c>
      <c r="D8953" t="inlineStr">
        <is>
          <t>VÄRMLANDS LÄN</t>
        </is>
      </c>
      <c r="E8953" t="inlineStr">
        <is>
          <t>SUNNE</t>
        </is>
      </c>
      <c r="G8953" t="n">
        <v>4.5</v>
      </c>
      <c r="H8953" t="n">
        <v>0</v>
      </c>
      <c r="I8953" t="n">
        <v>0</v>
      </c>
      <c r="J8953" t="n">
        <v>0</v>
      </c>
      <c r="K8953" t="n">
        <v>0</v>
      </c>
      <c r="L8953" t="n">
        <v>0</v>
      </c>
      <c r="M8953" t="n">
        <v>0</v>
      </c>
      <c r="N8953" t="n">
        <v>0</v>
      </c>
      <c r="O8953" t="n">
        <v>0</v>
      </c>
      <c r="P8953" t="n">
        <v>0</v>
      </c>
      <c r="Q8953" t="n">
        <v>0</v>
      </c>
      <c r="R8953" s="2" t="inlineStr"/>
    </row>
    <row r="8954" ht="15" customHeight="1">
      <c r="A8954" t="inlineStr">
        <is>
          <t>A 6652-2023</t>
        </is>
      </c>
      <c r="B8954" s="1" t="n">
        <v>44966</v>
      </c>
      <c r="C8954" s="1" t="n">
        <v>45810</v>
      </c>
      <c r="D8954" t="inlineStr">
        <is>
          <t>VÄRMLANDS LÄN</t>
        </is>
      </c>
      <c r="E8954" t="inlineStr">
        <is>
          <t>HAGFORS</t>
        </is>
      </c>
      <c r="F8954" t="inlineStr">
        <is>
          <t>Bergvik skog väst AB</t>
        </is>
      </c>
      <c r="G8954" t="n">
        <v>3.1</v>
      </c>
      <c r="H8954" t="n">
        <v>0</v>
      </c>
      <c r="I8954" t="n">
        <v>0</v>
      </c>
      <c r="J8954" t="n">
        <v>0</v>
      </c>
      <c r="K8954" t="n">
        <v>0</v>
      </c>
      <c r="L8954" t="n">
        <v>0</v>
      </c>
      <c r="M8954" t="n">
        <v>0</v>
      </c>
      <c r="N8954" t="n">
        <v>0</v>
      </c>
      <c r="O8954" t="n">
        <v>0</v>
      </c>
      <c r="P8954" t="n">
        <v>0</v>
      </c>
      <c r="Q8954" t="n">
        <v>0</v>
      </c>
      <c r="R8954" s="2" t="inlineStr"/>
    </row>
    <row r="8955" ht="15" customHeight="1">
      <c r="A8955" t="inlineStr">
        <is>
          <t>A 6709-2023</t>
        </is>
      </c>
      <c r="B8955" s="1" t="n">
        <v>44966</v>
      </c>
      <c r="C8955" s="1" t="n">
        <v>45810</v>
      </c>
      <c r="D8955" t="inlineStr">
        <is>
          <t>VÄRMLANDS LÄN</t>
        </is>
      </c>
      <c r="E8955" t="inlineStr">
        <is>
          <t>FILIPSTAD</t>
        </is>
      </c>
      <c r="G8955" t="n">
        <v>3.7</v>
      </c>
      <c r="H8955" t="n">
        <v>0</v>
      </c>
      <c r="I8955" t="n">
        <v>0</v>
      </c>
      <c r="J8955" t="n">
        <v>0</v>
      </c>
      <c r="K8955" t="n">
        <v>0</v>
      </c>
      <c r="L8955" t="n">
        <v>0</v>
      </c>
      <c r="M8955" t="n">
        <v>0</v>
      </c>
      <c r="N8955" t="n">
        <v>0</v>
      </c>
      <c r="O8955" t="n">
        <v>0</v>
      </c>
      <c r="P8955" t="n">
        <v>0</v>
      </c>
      <c r="Q8955" t="n">
        <v>0</v>
      </c>
      <c r="R8955" s="2" t="inlineStr"/>
    </row>
    <row r="8956" ht="15" customHeight="1">
      <c r="A8956" t="inlineStr">
        <is>
          <t>A 6737-2023</t>
        </is>
      </c>
      <c r="B8956" s="1" t="n">
        <v>44966</v>
      </c>
      <c r="C8956" s="1" t="n">
        <v>45810</v>
      </c>
      <c r="D8956" t="inlineStr">
        <is>
          <t>VÄRMLANDS LÄN</t>
        </is>
      </c>
      <c r="E8956" t="inlineStr">
        <is>
          <t>EDA</t>
        </is>
      </c>
      <c r="G8956" t="n">
        <v>2</v>
      </c>
      <c r="H8956" t="n">
        <v>0</v>
      </c>
      <c r="I8956" t="n">
        <v>0</v>
      </c>
      <c r="J8956" t="n">
        <v>0</v>
      </c>
      <c r="K8956" t="n">
        <v>0</v>
      </c>
      <c r="L8956" t="n">
        <v>0</v>
      </c>
      <c r="M8956" t="n">
        <v>0</v>
      </c>
      <c r="N8956" t="n">
        <v>0</v>
      </c>
      <c r="O8956" t="n">
        <v>0</v>
      </c>
      <c r="P8956" t="n">
        <v>0</v>
      </c>
      <c r="Q8956" t="n">
        <v>0</v>
      </c>
      <c r="R8956" s="2" t="inlineStr"/>
    </row>
    <row r="8957" ht="15" customHeight="1">
      <c r="A8957" t="inlineStr">
        <is>
          <t>A 6871-2023</t>
        </is>
      </c>
      <c r="B8957" s="1" t="n">
        <v>44967</v>
      </c>
      <c r="C8957" s="1" t="n">
        <v>45810</v>
      </c>
      <c r="D8957" t="inlineStr">
        <is>
          <t>VÄRMLANDS LÄN</t>
        </is>
      </c>
      <c r="E8957" t="inlineStr">
        <is>
          <t>MUNKFORS</t>
        </is>
      </c>
      <c r="F8957" t="inlineStr">
        <is>
          <t>Bergvik skog väst AB</t>
        </is>
      </c>
      <c r="G8957" t="n">
        <v>1.6</v>
      </c>
      <c r="H8957" t="n">
        <v>0</v>
      </c>
      <c r="I8957" t="n">
        <v>0</v>
      </c>
      <c r="J8957" t="n">
        <v>0</v>
      </c>
      <c r="K8957" t="n">
        <v>0</v>
      </c>
      <c r="L8957" t="n">
        <v>0</v>
      </c>
      <c r="M8957" t="n">
        <v>0</v>
      </c>
      <c r="N8957" t="n">
        <v>0</v>
      </c>
      <c r="O8957" t="n">
        <v>0</v>
      </c>
      <c r="P8957" t="n">
        <v>0</v>
      </c>
      <c r="Q8957" t="n">
        <v>0</v>
      </c>
      <c r="R8957" s="2" t="inlineStr"/>
    </row>
    <row r="8958" ht="15" customHeight="1">
      <c r="A8958" t="inlineStr">
        <is>
          <t>A 6859-2023</t>
        </is>
      </c>
      <c r="B8958" s="1" t="n">
        <v>44967</v>
      </c>
      <c r="C8958" s="1" t="n">
        <v>45810</v>
      </c>
      <c r="D8958" t="inlineStr">
        <is>
          <t>VÄRMLANDS LÄN</t>
        </is>
      </c>
      <c r="E8958" t="inlineStr">
        <is>
          <t>MUNKFORS</t>
        </is>
      </c>
      <c r="F8958" t="inlineStr">
        <is>
          <t>Bergvik skog väst AB</t>
        </is>
      </c>
      <c r="G8958" t="n">
        <v>1</v>
      </c>
      <c r="H8958" t="n">
        <v>0</v>
      </c>
      <c r="I8958" t="n">
        <v>0</v>
      </c>
      <c r="J8958" t="n">
        <v>0</v>
      </c>
      <c r="K8958" t="n">
        <v>0</v>
      </c>
      <c r="L8958" t="n">
        <v>0</v>
      </c>
      <c r="M8958" t="n">
        <v>0</v>
      </c>
      <c r="N8958" t="n">
        <v>0</v>
      </c>
      <c r="O8958" t="n">
        <v>0</v>
      </c>
      <c r="P8958" t="n">
        <v>0</v>
      </c>
      <c r="Q8958" t="n">
        <v>0</v>
      </c>
      <c r="R8958" s="2" t="inlineStr"/>
    </row>
    <row r="8959" ht="15" customHeight="1">
      <c r="A8959" t="inlineStr">
        <is>
          <t>A 6877-2023</t>
        </is>
      </c>
      <c r="B8959" s="1" t="n">
        <v>44967</v>
      </c>
      <c r="C8959" s="1" t="n">
        <v>45810</v>
      </c>
      <c r="D8959" t="inlineStr">
        <is>
          <t>VÄRMLANDS LÄN</t>
        </is>
      </c>
      <c r="E8959" t="inlineStr">
        <is>
          <t>MUNKFORS</t>
        </is>
      </c>
      <c r="F8959" t="inlineStr">
        <is>
          <t>Bergvik skog väst AB</t>
        </is>
      </c>
      <c r="G8959" t="n">
        <v>0.6</v>
      </c>
      <c r="H8959" t="n">
        <v>0</v>
      </c>
      <c r="I8959" t="n">
        <v>0</v>
      </c>
      <c r="J8959" t="n">
        <v>0</v>
      </c>
      <c r="K8959" t="n">
        <v>0</v>
      </c>
      <c r="L8959" t="n">
        <v>0</v>
      </c>
      <c r="M8959" t="n">
        <v>0</v>
      </c>
      <c r="N8959" t="n">
        <v>0</v>
      </c>
      <c r="O8959" t="n">
        <v>0</v>
      </c>
      <c r="P8959" t="n">
        <v>0</v>
      </c>
      <c r="Q8959" t="n">
        <v>0</v>
      </c>
      <c r="R8959" s="2" t="inlineStr"/>
    </row>
    <row r="8960" ht="15" customHeight="1">
      <c r="A8960" t="inlineStr">
        <is>
          <t>A 6901-2023</t>
        </is>
      </c>
      <c r="B8960" s="1" t="n">
        <v>44967</v>
      </c>
      <c r="C8960" s="1" t="n">
        <v>45810</v>
      </c>
      <c r="D8960" t="inlineStr">
        <is>
          <t>VÄRMLANDS LÄN</t>
        </is>
      </c>
      <c r="E8960" t="inlineStr">
        <is>
          <t>MUNKFORS</t>
        </is>
      </c>
      <c r="F8960" t="inlineStr">
        <is>
          <t>Bergvik skog väst AB</t>
        </is>
      </c>
      <c r="G8960" t="n">
        <v>4.4</v>
      </c>
      <c r="H8960" t="n">
        <v>0</v>
      </c>
      <c r="I8960" t="n">
        <v>0</v>
      </c>
      <c r="J8960" t="n">
        <v>0</v>
      </c>
      <c r="K8960" t="n">
        <v>0</v>
      </c>
      <c r="L8960" t="n">
        <v>0</v>
      </c>
      <c r="M8960" t="n">
        <v>0</v>
      </c>
      <c r="N8960" t="n">
        <v>0</v>
      </c>
      <c r="O8960" t="n">
        <v>0</v>
      </c>
      <c r="P8960" t="n">
        <v>0</v>
      </c>
      <c r="Q8960" t="n">
        <v>0</v>
      </c>
      <c r="R8960" s="2" t="inlineStr"/>
    </row>
    <row r="8961" ht="15" customHeight="1">
      <c r="A8961" t="inlineStr">
        <is>
          <t>A 6986-2023</t>
        </is>
      </c>
      <c r="B8961" s="1" t="n">
        <v>44967</v>
      </c>
      <c r="C8961" s="1" t="n">
        <v>45810</v>
      </c>
      <c r="D8961" t="inlineStr">
        <is>
          <t>VÄRMLANDS LÄN</t>
        </is>
      </c>
      <c r="E8961" t="inlineStr">
        <is>
          <t>FORSHAGA</t>
        </is>
      </c>
      <c r="G8961" t="n">
        <v>2</v>
      </c>
      <c r="H8961" t="n">
        <v>0</v>
      </c>
      <c r="I8961" t="n">
        <v>0</v>
      </c>
      <c r="J8961" t="n">
        <v>0</v>
      </c>
      <c r="K8961" t="n">
        <v>0</v>
      </c>
      <c r="L8961" t="n">
        <v>0</v>
      </c>
      <c r="M8961" t="n">
        <v>0</v>
      </c>
      <c r="N8961" t="n">
        <v>0</v>
      </c>
      <c r="O8961" t="n">
        <v>0</v>
      </c>
      <c r="P8961" t="n">
        <v>0</v>
      </c>
      <c r="Q8961" t="n">
        <v>0</v>
      </c>
      <c r="R8961" s="2" t="inlineStr"/>
    </row>
    <row r="8962" ht="15" customHeight="1">
      <c r="A8962" t="inlineStr">
        <is>
          <t>A 6993-2023</t>
        </is>
      </c>
      <c r="B8962" s="1" t="n">
        <v>44967</v>
      </c>
      <c r="C8962" s="1" t="n">
        <v>45810</v>
      </c>
      <c r="D8962" t="inlineStr">
        <is>
          <t>VÄRMLANDS LÄN</t>
        </is>
      </c>
      <c r="E8962" t="inlineStr">
        <is>
          <t>ARVIKA</t>
        </is>
      </c>
      <c r="G8962" t="n">
        <v>2.4</v>
      </c>
      <c r="H8962" t="n">
        <v>0</v>
      </c>
      <c r="I8962" t="n">
        <v>0</v>
      </c>
      <c r="J8962" t="n">
        <v>0</v>
      </c>
      <c r="K8962" t="n">
        <v>0</v>
      </c>
      <c r="L8962" t="n">
        <v>0</v>
      </c>
      <c r="M8962" t="n">
        <v>0</v>
      </c>
      <c r="N8962" t="n">
        <v>0</v>
      </c>
      <c r="O8962" t="n">
        <v>0</v>
      </c>
      <c r="P8962" t="n">
        <v>0</v>
      </c>
      <c r="Q8962" t="n">
        <v>0</v>
      </c>
      <c r="R8962" s="2" t="inlineStr"/>
    </row>
    <row r="8963" ht="15" customHeight="1">
      <c r="A8963" t="inlineStr">
        <is>
          <t>A 7619-2023</t>
        </is>
      </c>
      <c r="B8963" s="1" t="n">
        <v>44967</v>
      </c>
      <c r="C8963" s="1" t="n">
        <v>45810</v>
      </c>
      <c r="D8963" t="inlineStr">
        <is>
          <t>VÄRMLANDS LÄN</t>
        </is>
      </c>
      <c r="E8963" t="inlineStr">
        <is>
          <t>ÅRJÄNG</t>
        </is>
      </c>
      <c r="G8963" t="n">
        <v>1.1</v>
      </c>
      <c r="H8963" t="n">
        <v>0</v>
      </c>
      <c r="I8963" t="n">
        <v>0</v>
      </c>
      <c r="J8963" t="n">
        <v>0</v>
      </c>
      <c r="K8963" t="n">
        <v>0</v>
      </c>
      <c r="L8963" t="n">
        <v>0</v>
      </c>
      <c r="M8963" t="n">
        <v>0</v>
      </c>
      <c r="N8963" t="n">
        <v>0</v>
      </c>
      <c r="O8963" t="n">
        <v>0</v>
      </c>
      <c r="P8963" t="n">
        <v>0</v>
      </c>
      <c r="Q8963" t="n">
        <v>0</v>
      </c>
      <c r="R8963" s="2" t="inlineStr"/>
    </row>
    <row r="8964" ht="15" customHeight="1">
      <c r="A8964" t="inlineStr">
        <is>
          <t>A 7700-2023</t>
        </is>
      </c>
      <c r="B8964" s="1" t="n">
        <v>44967</v>
      </c>
      <c r="C8964" s="1" t="n">
        <v>45810</v>
      </c>
      <c r="D8964" t="inlineStr">
        <is>
          <t>VÄRMLANDS LÄN</t>
        </is>
      </c>
      <c r="E8964" t="inlineStr">
        <is>
          <t>ÅRJÄNG</t>
        </is>
      </c>
      <c r="F8964" t="inlineStr">
        <is>
          <t>Övriga Aktiebolag</t>
        </is>
      </c>
      <c r="G8964" t="n">
        <v>4.3</v>
      </c>
      <c r="H8964" t="n">
        <v>0</v>
      </c>
      <c r="I8964" t="n">
        <v>0</v>
      </c>
      <c r="J8964" t="n">
        <v>0</v>
      </c>
      <c r="K8964" t="n">
        <v>0</v>
      </c>
      <c r="L8964" t="n">
        <v>0</v>
      </c>
      <c r="M8964" t="n">
        <v>0</v>
      </c>
      <c r="N8964" t="n">
        <v>0</v>
      </c>
      <c r="O8964" t="n">
        <v>0</v>
      </c>
      <c r="P8964" t="n">
        <v>0</v>
      </c>
      <c r="Q8964" t="n">
        <v>0</v>
      </c>
      <c r="R8964" s="2" t="inlineStr"/>
    </row>
    <row r="8965" ht="15" customHeight="1">
      <c r="A8965" t="inlineStr">
        <is>
          <t>A 7699-2023</t>
        </is>
      </c>
      <c r="B8965" s="1" t="n">
        <v>44967</v>
      </c>
      <c r="C8965" s="1" t="n">
        <v>45810</v>
      </c>
      <c r="D8965" t="inlineStr">
        <is>
          <t>VÄRMLANDS LÄN</t>
        </is>
      </c>
      <c r="E8965" t="inlineStr">
        <is>
          <t>ÅRJÄNG</t>
        </is>
      </c>
      <c r="F8965" t="inlineStr">
        <is>
          <t>Övriga Aktiebolag</t>
        </is>
      </c>
      <c r="G8965" t="n">
        <v>2.3</v>
      </c>
      <c r="H8965" t="n">
        <v>0</v>
      </c>
      <c r="I8965" t="n">
        <v>0</v>
      </c>
      <c r="J8965" t="n">
        <v>0</v>
      </c>
      <c r="K8965" t="n">
        <v>0</v>
      </c>
      <c r="L8965" t="n">
        <v>0</v>
      </c>
      <c r="M8965" t="n">
        <v>0</v>
      </c>
      <c r="N8965" t="n">
        <v>0</v>
      </c>
      <c r="O8965" t="n">
        <v>0</v>
      </c>
      <c r="P8965" t="n">
        <v>0</v>
      </c>
      <c r="Q8965" t="n">
        <v>0</v>
      </c>
      <c r="R8965" s="2" t="inlineStr"/>
    </row>
    <row r="8966" ht="15" customHeight="1">
      <c r="A8966" t="inlineStr">
        <is>
          <t>A 7703-2023</t>
        </is>
      </c>
      <c r="B8966" s="1" t="n">
        <v>44968</v>
      </c>
      <c r="C8966" s="1" t="n">
        <v>45810</v>
      </c>
      <c r="D8966" t="inlineStr">
        <is>
          <t>VÄRMLANDS LÄN</t>
        </is>
      </c>
      <c r="E8966" t="inlineStr">
        <is>
          <t>ÅRJÄNG</t>
        </is>
      </c>
      <c r="F8966" t="inlineStr">
        <is>
          <t>Övriga Aktiebolag</t>
        </is>
      </c>
      <c r="G8966" t="n">
        <v>1.2</v>
      </c>
      <c r="H8966" t="n">
        <v>0</v>
      </c>
      <c r="I8966" t="n">
        <v>0</v>
      </c>
      <c r="J8966" t="n">
        <v>0</v>
      </c>
      <c r="K8966" t="n">
        <v>0</v>
      </c>
      <c r="L8966" t="n">
        <v>0</v>
      </c>
      <c r="M8966" t="n">
        <v>0</v>
      </c>
      <c r="N8966" t="n">
        <v>0</v>
      </c>
      <c r="O8966" t="n">
        <v>0</v>
      </c>
      <c r="P8966" t="n">
        <v>0</v>
      </c>
      <c r="Q8966" t="n">
        <v>0</v>
      </c>
      <c r="R8966" s="2" t="inlineStr"/>
    </row>
    <row r="8967" ht="15" customHeight="1">
      <c r="A8967" t="inlineStr">
        <is>
          <t>A 7054-2023</t>
        </is>
      </c>
      <c r="B8967" s="1" t="n">
        <v>44969</v>
      </c>
      <c r="C8967" s="1" t="n">
        <v>45810</v>
      </c>
      <c r="D8967" t="inlineStr">
        <is>
          <t>VÄRMLANDS LÄN</t>
        </is>
      </c>
      <c r="E8967" t="inlineStr">
        <is>
          <t>SUNNE</t>
        </is>
      </c>
      <c r="G8967" t="n">
        <v>0.7</v>
      </c>
      <c r="H8967" t="n">
        <v>0</v>
      </c>
      <c r="I8967" t="n">
        <v>0</v>
      </c>
      <c r="J8967" t="n">
        <v>0</v>
      </c>
      <c r="K8967" t="n">
        <v>0</v>
      </c>
      <c r="L8967" t="n">
        <v>0</v>
      </c>
      <c r="M8967" t="n">
        <v>0</v>
      </c>
      <c r="N8967" t="n">
        <v>0</v>
      </c>
      <c r="O8967" t="n">
        <v>0</v>
      </c>
      <c r="P8967" t="n">
        <v>0</v>
      </c>
      <c r="Q8967" t="n">
        <v>0</v>
      </c>
      <c r="R8967" s="2" t="inlineStr"/>
    </row>
    <row r="8968" ht="15" customHeight="1">
      <c r="A8968" t="inlineStr">
        <is>
          <t>A 7052-2023</t>
        </is>
      </c>
      <c r="B8968" s="1" t="n">
        <v>44969</v>
      </c>
      <c r="C8968" s="1" t="n">
        <v>45810</v>
      </c>
      <c r="D8968" t="inlineStr">
        <is>
          <t>VÄRMLANDS LÄN</t>
        </is>
      </c>
      <c r="E8968" t="inlineStr">
        <is>
          <t>SUNNE</t>
        </is>
      </c>
      <c r="G8968" t="n">
        <v>1.6</v>
      </c>
      <c r="H8968" t="n">
        <v>0</v>
      </c>
      <c r="I8968" t="n">
        <v>0</v>
      </c>
      <c r="J8968" t="n">
        <v>0</v>
      </c>
      <c r="K8968" t="n">
        <v>0</v>
      </c>
      <c r="L8968" t="n">
        <v>0</v>
      </c>
      <c r="M8968" t="n">
        <v>0</v>
      </c>
      <c r="N8968" t="n">
        <v>0</v>
      </c>
      <c r="O8968" t="n">
        <v>0</v>
      </c>
      <c r="P8968" t="n">
        <v>0</v>
      </c>
      <c r="Q8968" t="n">
        <v>0</v>
      </c>
      <c r="R8968" s="2" t="inlineStr"/>
    </row>
    <row r="8969" ht="15" customHeight="1">
      <c r="A8969" t="inlineStr">
        <is>
          <t>A 7056-2023</t>
        </is>
      </c>
      <c r="B8969" s="1" t="n">
        <v>44969</v>
      </c>
      <c r="C8969" s="1" t="n">
        <v>45810</v>
      </c>
      <c r="D8969" t="inlineStr">
        <is>
          <t>VÄRMLANDS LÄN</t>
        </is>
      </c>
      <c r="E8969" t="inlineStr">
        <is>
          <t>SUNNE</t>
        </is>
      </c>
      <c r="G8969" t="n">
        <v>2.7</v>
      </c>
      <c r="H8969" t="n">
        <v>0</v>
      </c>
      <c r="I8969" t="n">
        <v>0</v>
      </c>
      <c r="J8969" t="n">
        <v>0</v>
      </c>
      <c r="K8969" t="n">
        <v>0</v>
      </c>
      <c r="L8969" t="n">
        <v>0</v>
      </c>
      <c r="M8969" t="n">
        <v>0</v>
      </c>
      <c r="N8969" t="n">
        <v>0</v>
      </c>
      <c r="O8969" t="n">
        <v>0</v>
      </c>
      <c r="P8969" t="n">
        <v>0</v>
      </c>
      <c r="Q8969" t="n">
        <v>0</v>
      </c>
      <c r="R8969" s="2" t="inlineStr"/>
    </row>
    <row r="8970" ht="15" customHeight="1">
      <c r="A8970" t="inlineStr">
        <is>
          <t>A 7072-2023</t>
        </is>
      </c>
      <c r="B8970" s="1" t="n">
        <v>44969</v>
      </c>
      <c r="C8970" s="1" t="n">
        <v>45810</v>
      </c>
      <c r="D8970" t="inlineStr">
        <is>
          <t>VÄRMLANDS LÄN</t>
        </is>
      </c>
      <c r="E8970" t="inlineStr">
        <is>
          <t>STORFORS</t>
        </is>
      </c>
      <c r="F8970" t="inlineStr">
        <is>
          <t>Bergvik skog väst AB</t>
        </is>
      </c>
      <c r="G8970" t="n">
        <v>5.4</v>
      </c>
      <c r="H8970" t="n">
        <v>0</v>
      </c>
      <c r="I8970" t="n">
        <v>0</v>
      </c>
      <c r="J8970" t="n">
        <v>0</v>
      </c>
      <c r="K8970" t="n">
        <v>0</v>
      </c>
      <c r="L8970" t="n">
        <v>0</v>
      </c>
      <c r="M8970" t="n">
        <v>0</v>
      </c>
      <c r="N8970" t="n">
        <v>0</v>
      </c>
      <c r="O8970" t="n">
        <v>0</v>
      </c>
      <c r="P8970" t="n">
        <v>0</v>
      </c>
      <c r="Q8970" t="n">
        <v>0</v>
      </c>
      <c r="R8970" s="2" t="inlineStr"/>
    </row>
    <row r="8971" ht="15" customHeight="1">
      <c r="A8971" t="inlineStr">
        <is>
          <t>A 7051-2023</t>
        </is>
      </c>
      <c r="B8971" s="1" t="n">
        <v>44969</v>
      </c>
      <c r="C8971" s="1" t="n">
        <v>45810</v>
      </c>
      <c r="D8971" t="inlineStr">
        <is>
          <t>VÄRMLANDS LÄN</t>
        </is>
      </c>
      <c r="E8971" t="inlineStr">
        <is>
          <t>SUNNE</t>
        </is>
      </c>
      <c r="G8971" t="n">
        <v>6.3</v>
      </c>
      <c r="H8971" t="n">
        <v>0</v>
      </c>
      <c r="I8971" t="n">
        <v>0</v>
      </c>
      <c r="J8971" t="n">
        <v>0</v>
      </c>
      <c r="K8971" t="n">
        <v>0</v>
      </c>
      <c r="L8971" t="n">
        <v>0</v>
      </c>
      <c r="M8971" t="n">
        <v>0</v>
      </c>
      <c r="N8971" t="n">
        <v>0</v>
      </c>
      <c r="O8971" t="n">
        <v>0</v>
      </c>
      <c r="P8971" t="n">
        <v>0</v>
      </c>
      <c r="Q8971" t="n">
        <v>0</v>
      </c>
      <c r="R8971" s="2" t="inlineStr"/>
    </row>
    <row r="8972" ht="15" customHeight="1">
      <c r="A8972" t="inlineStr">
        <is>
          <t>A 7055-2023</t>
        </is>
      </c>
      <c r="B8972" s="1" t="n">
        <v>44969</v>
      </c>
      <c r="C8972" s="1" t="n">
        <v>45810</v>
      </c>
      <c r="D8972" t="inlineStr">
        <is>
          <t>VÄRMLANDS LÄN</t>
        </is>
      </c>
      <c r="E8972" t="inlineStr">
        <is>
          <t>SUNNE</t>
        </is>
      </c>
      <c r="G8972" t="n">
        <v>1.5</v>
      </c>
      <c r="H8972" t="n">
        <v>0</v>
      </c>
      <c r="I8972" t="n">
        <v>0</v>
      </c>
      <c r="J8972" t="n">
        <v>0</v>
      </c>
      <c r="K8972" t="n">
        <v>0</v>
      </c>
      <c r="L8972" t="n">
        <v>0</v>
      </c>
      <c r="M8972" t="n">
        <v>0</v>
      </c>
      <c r="N8972" t="n">
        <v>0</v>
      </c>
      <c r="O8972" t="n">
        <v>0</v>
      </c>
      <c r="P8972" t="n">
        <v>0</v>
      </c>
      <c r="Q8972" t="n">
        <v>0</v>
      </c>
      <c r="R8972" s="2" t="inlineStr"/>
    </row>
    <row r="8973" ht="15" customHeight="1">
      <c r="A8973" t="inlineStr">
        <is>
          <t>A 7059-2023</t>
        </is>
      </c>
      <c r="B8973" s="1" t="n">
        <v>44969</v>
      </c>
      <c r="C8973" s="1" t="n">
        <v>45810</v>
      </c>
      <c r="D8973" t="inlineStr">
        <is>
          <t>VÄRMLANDS LÄN</t>
        </is>
      </c>
      <c r="E8973" t="inlineStr">
        <is>
          <t>ÅRJÄNG</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7053-2023</t>
        </is>
      </c>
      <c r="B8974" s="1" t="n">
        <v>44969</v>
      </c>
      <c r="C8974" s="1" t="n">
        <v>45810</v>
      </c>
      <c r="D8974" t="inlineStr">
        <is>
          <t>VÄRMLANDS LÄN</t>
        </is>
      </c>
      <c r="E8974" t="inlineStr">
        <is>
          <t>SUNNE</t>
        </is>
      </c>
      <c r="G8974" t="n">
        <v>3.6</v>
      </c>
      <c r="H8974" t="n">
        <v>0</v>
      </c>
      <c r="I8974" t="n">
        <v>0</v>
      </c>
      <c r="J8974" t="n">
        <v>0</v>
      </c>
      <c r="K8974" t="n">
        <v>0</v>
      </c>
      <c r="L8974" t="n">
        <v>0</v>
      </c>
      <c r="M8974" t="n">
        <v>0</v>
      </c>
      <c r="N8974" t="n">
        <v>0</v>
      </c>
      <c r="O8974" t="n">
        <v>0</v>
      </c>
      <c r="P8974" t="n">
        <v>0</v>
      </c>
      <c r="Q8974" t="n">
        <v>0</v>
      </c>
      <c r="R8974" s="2" t="inlineStr"/>
    </row>
    <row r="8975" ht="15" customHeight="1">
      <c r="A8975" t="inlineStr">
        <is>
          <t>A 7057-2023</t>
        </is>
      </c>
      <c r="B8975" s="1" t="n">
        <v>44969</v>
      </c>
      <c r="C8975" s="1" t="n">
        <v>45810</v>
      </c>
      <c r="D8975" t="inlineStr">
        <is>
          <t>VÄRMLANDS LÄN</t>
        </is>
      </c>
      <c r="E8975" t="inlineStr">
        <is>
          <t>SUNNE</t>
        </is>
      </c>
      <c r="G8975" t="n">
        <v>9.1</v>
      </c>
      <c r="H8975" t="n">
        <v>0</v>
      </c>
      <c r="I8975" t="n">
        <v>0</v>
      </c>
      <c r="J8975" t="n">
        <v>0</v>
      </c>
      <c r="K8975" t="n">
        <v>0</v>
      </c>
      <c r="L8975" t="n">
        <v>0</v>
      </c>
      <c r="M8975" t="n">
        <v>0</v>
      </c>
      <c r="N8975" t="n">
        <v>0</v>
      </c>
      <c r="O8975" t="n">
        <v>0</v>
      </c>
      <c r="P8975" t="n">
        <v>0</v>
      </c>
      <c r="Q8975" t="n">
        <v>0</v>
      </c>
      <c r="R8975" s="2" t="inlineStr"/>
    </row>
    <row r="8976" ht="15" customHeight="1">
      <c r="A8976" t="inlineStr">
        <is>
          <t>A 7097-2023</t>
        </is>
      </c>
      <c r="B8976" s="1" t="n">
        <v>44970</v>
      </c>
      <c r="C8976" s="1" t="n">
        <v>45810</v>
      </c>
      <c r="D8976" t="inlineStr">
        <is>
          <t>VÄRMLANDS LÄN</t>
        </is>
      </c>
      <c r="E8976" t="inlineStr">
        <is>
          <t>KARLSTAD</t>
        </is>
      </c>
      <c r="F8976" t="inlineStr">
        <is>
          <t>Kommuner</t>
        </is>
      </c>
      <c r="G8976" t="n">
        <v>2.5</v>
      </c>
      <c r="H8976" t="n">
        <v>0</v>
      </c>
      <c r="I8976" t="n">
        <v>0</v>
      </c>
      <c r="J8976" t="n">
        <v>0</v>
      </c>
      <c r="K8976" t="n">
        <v>0</v>
      </c>
      <c r="L8976" t="n">
        <v>0</v>
      </c>
      <c r="M8976" t="n">
        <v>0</v>
      </c>
      <c r="N8976" t="n">
        <v>0</v>
      </c>
      <c r="O8976" t="n">
        <v>0</v>
      </c>
      <c r="P8976" t="n">
        <v>0</v>
      </c>
      <c r="Q8976" t="n">
        <v>0</v>
      </c>
      <c r="R8976" s="2" t="inlineStr"/>
    </row>
    <row r="8977" ht="15" customHeight="1">
      <c r="A8977" t="inlineStr">
        <is>
          <t>A 7273-2023</t>
        </is>
      </c>
      <c r="B8977" s="1" t="n">
        <v>44970</v>
      </c>
      <c r="C8977" s="1" t="n">
        <v>45810</v>
      </c>
      <c r="D8977" t="inlineStr">
        <is>
          <t>VÄRMLANDS LÄN</t>
        </is>
      </c>
      <c r="E8977" t="inlineStr">
        <is>
          <t>FORSHAGA</t>
        </is>
      </c>
      <c r="G8977" t="n">
        <v>1.9</v>
      </c>
      <c r="H8977" t="n">
        <v>0</v>
      </c>
      <c r="I8977" t="n">
        <v>0</v>
      </c>
      <c r="J8977" t="n">
        <v>0</v>
      </c>
      <c r="K8977" t="n">
        <v>0</v>
      </c>
      <c r="L8977" t="n">
        <v>0</v>
      </c>
      <c r="M8977" t="n">
        <v>0</v>
      </c>
      <c r="N8977" t="n">
        <v>0</v>
      </c>
      <c r="O8977" t="n">
        <v>0</v>
      </c>
      <c r="P8977" t="n">
        <v>0</v>
      </c>
      <c r="Q8977" t="n">
        <v>0</v>
      </c>
      <c r="R8977" s="2" t="inlineStr"/>
    </row>
    <row r="8978" ht="15" customHeight="1">
      <c r="A8978" t="inlineStr">
        <is>
          <t>A 7073-2023</t>
        </is>
      </c>
      <c r="B8978" s="1" t="n">
        <v>44970</v>
      </c>
      <c r="C8978" s="1" t="n">
        <v>45810</v>
      </c>
      <c r="D8978" t="inlineStr">
        <is>
          <t>VÄRMLANDS LÄN</t>
        </is>
      </c>
      <c r="E8978" t="inlineStr">
        <is>
          <t>SUNNE</t>
        </is>
      </c>
      <c r="G8978" t="n">
        <v>0.7</v>
      </c>
      <c r="H8978" t="n">
        <v>0</v>
      </c>
      <c r="I8978" t="n">
        <v>0</v>
      </c>
      <c r="J8978" t="n">
        <v>0</v>
      </c>
      <c r="K8978" t="n">
        <v>0</v>
      </c>
      <c r="L8978" t="n">
        <v>0</v>
      </c>
      <c r="M8978" t="n">
        <v>0</v>
      </c>
      <c r="N8978" t="n">
        <v>0</v>
      </c>
      <c r="O8978" t="n">
        <v>0</v>
      </c>
      <c r="P8978" t="n">
        <v>0</v>
      </c>
      <c r="Q8978" t="n">
        <v>0</v>
      </c>
      <c r="R8978" s="2" t="inlineStr"/>
    </row>
    <row r="8979" ht="15" customHeight="1">
      <c r="A8979" t="inlineStr">
        <is>
          <t>A 7092-2023</t>
        </is>
      </c>
      <c r="B8979" s="1" t="n">
        <v>44970</v>
      </c>
      <c r="C8979" s="1" t="n">
        <v>45810</v>
      </c>
      <c r="D8979" t="inlineStr">
        <is>
          <t>VÄRMLANDS LÄN</t>
        </is>
      </c>
      <c r="E8979" t="inlineStr">
        <is>
          <t>ÅRJÄNG</t>
        </is>
      </c>
      <c r="G8979" t="n">
        <v>3.8</v>
      </c>
      <c r="H8979" t="n">
        <v>0</v>
      </c>
      <c r="I8979" t="n">
        <v>0</v>
      </c>
      <c r="J8979" t="n">
        <v>0</v>
      </c>
      <c r="K8979" t="n">
        <v>0</v>
      </c>
      <c r="L8979" t="n">
        <v>0</v>
      </c>
      <c r="M8979" t="n">
        <v>0</v>
      </c>
      <c r="N8979" t="n">
        <v>0</v>
      </c>
      <c r="O8979" t="n">
        <v>0</v>
      </c>
      <c r="P8979" t="n">
        <v>0</v>
      </c>
      <c r="Q8979" t="n">
        <v>0</v>
      </c>
      <c r="R8979" s="2" t="inlineStr"/>
    </row>
    <row r="8980" ht="15" customHeight="1">
      <c r="A8980" t="inlineStr">
        <is>
          <t>A 7114-2023</t>
        </is>
      </c>
      <c r="B8980" s="1" t="n">
        <v>44970</v>
      </c>
      <c r="C8980" s="1" t="n">
        <v>45810</v>
      </c>
      <c r="D8980" t="inlineStr">
        <is>
          <t>VÄRMLANDS LÄN</t>
        </is>
      </c>
      <c r="E8980" t="inlineStr">
        <is>
          <t>ÅRJÄNG</t>
        </is>
      </c>
      <c r="G8980" t="n">
        <v>4.7</v>
      </c>
      <c r="H8980" t="n">
        <v>0</v>
      </c>
      <c r="I8980" t="n">
        <v>0</v>
      </c>
      <c r="J8980" t="n">
        <v>0</v>
      </c>
      <c r="K8980" t="n">
        <v>0</v>
      </c>
      <c r="L8980" t="n">
        <v>0</v>
      </c>
      <c r="M8980" t="n">
        <v>0</v>
      </c>
      <c r="N8980" t="n">
        <v>0</v>
      </c>
      <c r="O8980" t="n">
        <v>0</v>
      </c>
      <c r="P8980" t="n">
        <v>0</v>
      </c>
      <c r="Q8980" t="n">
        <v>0</v>
      </c>
      <c r="R8980" s="2" t="inlineStr"/>
    </row>
    <row r="8981" ht="15" customHeight="1">
      <c r="A8981" t="inlineStr">
        <is>
          <t>A 7131-2023</t>
        </is>
      </c>
      <c r="B8981" s="1" t="n">
        <v>44970</v>
      </c>
      <c r="C8981" s="1" t="n">
        <v>45810</v>
      </c>
      <c r="D8981" t="inlineStr">
        <is>
          <t>VÄRMLANDS LÄN</t>
        </is>
      </c>
      <c r="E8981" t="inlineStr">
        <is>
          <t>SUNNE</t>
        </is>
      </c>
      <c r="G8981" t="n">
        <v>2.2</v>
      </c>
      <c r="H8981" t="n">
        <v>0</v>
      </c>
      <c r="I8981" t="n">
        <v>0</v>
      </c>
      <c r="J8981" t="n">
        <v>0</v>
      </c>
      <c r="K8981" t="n">
        <v>0</v>
      </c>
      <c r="L8981" t="n">
        <v>0</v>
      </c>
      <c r="M8981" t="n">
        <v>0</v>
      </c>
      <c r="N8981" t="n">
        <v>0</v>
      </c>
      <c r="O8981" t="n">
        <v>0</v>
      </c>
      <c r="P8981" t="n">
        <v>0</v>
      </c>
      <c r="Q8981" t="n">
        <v>0</v>
      </c>
      <c r="R8981" s="2" t="inlineStr"/>
    </row>
    <row r="8982" ht="15" customHeight="1">
      <c r="A8982" t="inlineStr">
        <is>
          <t>A 7278-2023</t>
        </is>
      </c>
      <c r="B8982" s="1" t="n">
        <v>44970</v>
      </c>
      <c r="C8982" s="1" t="n">
        <v>45810</v>
      </c>
      <c r="D8982" t="inlineStr">
        <is>
          <t>VÄRMLANDS LÄN</t>
        </is>
      </c>
      <c r="E8982" t="inlineStr">
        <is>
          <t>ARVIKA</t>
        </is>
      </c>
      <c r="G8982" t="n">
        <v>3.3</v>
      </c>
      <c r="H8982" t="n">
        <v>0</v>
      </c>
      <c r="I8982" t="n">
        <v>0</v>
      </c>
      <c r="J8982" t="n">
        <v>0</v>
      </c>
      <c r="K8982" t="n">
        <v>0</v>
      </c>
      <c r="L8982" t="n">
        <v>0</v>
      </c>
      <c r="M8982" t="n">
        <v>0</v>
      </c>
      <c r="N8982" t="n">
        <v>0</v>
      </c>
      <c r="O8982" t="n">
        <v>0</v>
      </c>
      <c r="P8982" t="n">
        <v>0</v>
      </c>
      <c r="Q8982" t="n">
        <v>0</v>
      </c>
      <c r="R8982" s="2" t="inlineStr"/>
    </row>
    <row r="8983" ht="15" customHeight="1">
      <c r="A8983" t="inlineStr">
        <is>
          <t>A 7283-2023</t>
        </is>
      </c>
      <c r="B8983" s="1" t="n">
        <v>44970</v>
      </c>
      <c r="C8983" s="1" t="n">
        <v>45810</v>
      </c>
      <c r="D8983" t="inlineStr">
        <is>
          <t>VÄRMLANDS LÄN</t>
        </is>
      </c>
      <c r="E8983" t="inlineStr">
        <is>
          <t>TORSBY</t>
        </is>
      </c>
      <c r="G8983" t="n">
        <v>0.5</v>
      </c>
      <c r="H8983" t="n">
        <v>0</v>
      </c>
      <c r="I8983" t="n">
        <v>0</v>
      </c>
      <c r="J8983" t="n">
        <v>0</v>
      </c>
      <c r="K8983" t="n">
        <v>0</v>
      </c>
      <c r="L8983" t="n">
        <v>0</v>
      </c>
      <c r="M8983" t="n">
        <v>0</v>
      </c>
      <c r="N8983" t="n">
        <v>0</v>
      </c>
      <c r="O8983" t="n">
        <v>0</v>
      </c>
      <c r="P8983" t="n">
        <v>0</v>
      </c>
      <c r="Q8983" t="n">
        <v>0</v>
      </c>
      <c r="R8983" s="2" t="inlineStr"/>
    </row>
    <row r="8984" ht="15" customHeight="1">
      <c r="A8984" t="inlineStr">
        <is>
          <t>A 7297-2023</t>
        </is>
      </c>
      <c r="B8984" s="1" t="n">
        <v>44970</v>
      </c>
      <c r="C8984" s="1" t="n">
        <v>45810</v>
      </c>
      <c r="D8984" t="inlineStr">
        <is>
          <t>VÄRMLANDS LÄN</t>
        </is>
      </c>
      <c r="E8984" t="inlineStr">
        <is>
          <t>FORSHAGA</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7104-2023</t>
        </is>
      </c>
      <c r="B8985" s="1" t="n">
        <v>44970</v>
      </c>
      <c r="C8985" s="1" t="n">
        <v>45810</v>
      </c>
      <c r="D8985" t="inlineStr">
        <is>
          <t>VÄRMLANDS LÄN</t>
        </is>
      </c>
      <c r="E8985" t="inlineStr">
        <is>
          <t>ÅRJÄNG</t>
        </is>
      </c>
      <c r="G8985" t="n">
        <v>1.5</v>
      </c>
      <c r="H8985" t="n">
        <v>0</v>
      </c>
      <c r="I8985" t="n">
        <v>0</v>
      </c>
      <c r="J8985" t="n">
        <v>0</v>
      </c>
      <c r="K8985" t="n">
        <v>0</v>
      </c>
      <c r="L8985" t="n">
        <v>0</v>
      </c>
      <c r="M8985" t="n">
        <v>0</v>
      </c>
      <c r="N8985" t="n">
        <v>0</v>
      </c>
      <c r="O8985" t="n">
        <v>0</v>
      </c>
      <c r="P8985" t="n">
        <v>0</v>
      </c>
      <c r="Q8985" t="n">
        <v>0</v>
      </c>
      <c r="R8985" s="2" t="inlineStr"/>
    </row>
    <row r="8986" ht="15" customHeight="1">
      <c r="A8986" t="inlineStr">
        <is>
          <t>A 7127-2023</t>
        </is>
      </c>
      <c r="B8986" s="1" t="n">
        <v>44970</v>
      </c>
      <c r="C8986" s="1" t="n">
        <v>45810</v>
      </c>
      <c r="D8986" t="inlineStr">
        <is>
          <t>VÄRMLANDS LÄN</t>
        </is>
      </c>
      <c r="E8986" t="inlineStr">
        <is>
          <t>TORSBY</t>
        </is>
      </c>
      <c r="G8986" t="n">
        <v>1.7</v>
      </c>
      <c r="H8986" t="n">
        <v>0</v>
      </c>
      <c r="I8986" t="n">
        <v>0</v>
      </c>
      <c r="J8986" t="n">
        <v>0</v>
      </c>
      <c r="K8986" t="n">
        <v>0</v>
      </c>
      <c r="L8986" t="n">
        <v>0</v>
      </c>
      <c r="M8986" t="n">
        <v>0</v>
      </c>
      <c r="N8986" t="n">
        <v>0</v>
      </c>
      <c r="O8986" t="n">
        <v>0</v>
      </c>
      <c r="P8986" t="n">
        <v>0</v>
      </c>
      <c r="Q8986" t="n">
        <v>0</v>
      </c>
      <c r="R8986" s="2" t="inlineStr"/>
    </row>
    <row r="8987" ht="15" customHeight="1">
      <c r="A8987" t="inlineStr">
        <is>
          <t>A 7133-2023</t>
        </is>
      </c>
      <c r="B8987" s="1" t="n">
        <v>44970</v>
      </c>
      <c r="C8987" s="1" t="n">
        <v>45810</v>
      </c>
      <c r="D8987" t="inlineStr">
        <is>
          <t>VÄRMLANDS LÄN</t>
        </is>
      </c>
      <c r="E8987" t="inlineStr">
        <is>
          <t>TORSBY</t>
        </is>
      </c>
      <c r="G8987" t="n">
        <v>2.3</v>
      </c>
      <c r="H8987" t="n">
        <v>0</v>
      </c>
      <c r="I8987" t="n">
        <v>0</v>
      </c>
      <c r="J8987" t="n">
        <v>0</v>
      </c>
      <c r="K8987" t="n">
        <v>0</v>
      </c>
      <c r="L8987" t="n">
        <v>0</v>
      </c>
      <c r="M8987" t="n">
        <v>0</v>
      </c>
      <c r="N8987" t="n">
        <v>0</v>
      </c>
      <c r="O8987" t="n">
        <v>0</v>
      </c>
      <c r="P8987" t="n">
        <v>0</v>
      </c>
      <c r="Q8987" t="n">
        <v>0</v>
      </c>
      <c r="R8987" s="2" t="inlineStr"/>
    </row>
    <row r="8988" ht="15" customHeight="1">
      <c r="A8988" t="inlineStr">
        <is>
          <t>A 7244-2023</t>
        </is>
      </c>
      <c r="B8988" s="1" t="n">
        <v>44970</v>
      </c>
      <c r="C8988" s="1" t="n">
        <v>45810</v>
      </c>
      <c r="D8988" t="inlineStr">
        <is>
          <t>VÄRMLANDS LÄN</t>
        </is>
      </c>
      <c r="E8988" t="inlineStr">
        <is>
          <t>EDA</t>
        </is>
      </c>
      <c r="G8988" t="n">
        <v>3.8</v>
      </c>
      <c r="H8988" t="n">
        <v>0</v>
      </c>
      <c r="I8988" t="n">
        <v>0</v>
      </c>
      <c r="J8988" t="n">
        <v>0</v>
      </c>
      <c r="K8988" t="n">
        <v>0</v>
      </c>
      <c r="L8988" t="n">
        <v>0</v>
      </c>
      <c r="M8988" t="n">
        <v>0</v>
      </c>
      <c r="N8988" t="n">
        <v>0</v>
      </c>
      <c r="O8988" t="n">
        <v>0</v>
      </c>
      <c r="P8988" t="n">
        <v>0</v>
      </c>
      <c r="Q8988" t="n">
        <v>0</v>
      </c>
      <c r="R8988" s="2" t="inlineStr"/>
    </row>
    <row r="8989" ht="15" customHeight="1">
      <c r="A8989" t="inlineStr">
        <is>
          <t>A 7281-2023</t>
        </is>
      </c>
      <c r="B8989" s="1" t="n">
        <v>44970</v>
      </c>
      <c r="C8989" s="1" t="n">
        <v>45810</v>
      </c>
      <c r="D8989" t="inlineStr">
        <is>
          <t>VÄRMLANDS LÄN</t>
        </is>
      </c>
      <c r="E8989" t="inlineStr">
        <is>
          <t>SÄFFLE</t>
        </is>
      </c>
      <c r="F8989" t="inlineStr">
        <is>
          <t>Bergvik skog väst AB</t>
        </is>
      </c>
      <c r="G8989" t="n">
        <v>4.5</v>
      </c>
      <c r="H8989" t="n">
        <v>0</v>
      </c>
      <c r="I8989" t="n">
        <v>0</v>
      </c>
      <c r="J8989" t="n">
        <v>0</v>
      </c>
      <c r="K8989" t="n">
        <v>0</v>
      </c>
      <c r="L8989" t="n">
        <v>0</v>
      </c>
      <c r="M8989" t="n">
        <v>0</v>
      </c>
      <c r="N8989" t="n">
        <v>0</v>
      </c>
      <c r="O8989" t="n">
        <v>0</v>
      </c>
      <c r="P8989" t="n">
        <v>0</v>
      </c>
      <c r="Q8989" t="n">
        <v>0</v>
      </c>
      <c r="R8989" s="2" t="inlineStr"/>
    </row>
    <row r="8990" ht="15" customHeight="1">
      <c r="A8990" t="inlineStr">
        <is>
          <t>A 7299-2023</t>
        </is>
      </c>
      <c r="B8990" s="1" t="n">
        <v>44970</v>
      </c>
      <c r="C8990" s="1" t="n">
        <v>45810</v>
      </c>
      <c r="D8990" t="inlineStr">
        <is>
          <t>VÄRMLANDS LÄN</t>
        </is>
      </c>
      <c r="E8990" t="inlineStr">
        <is>
          <t>FORSHAGA</t>
        </is>
      </c>
      <c r="G8990" t="n">
        <v>0.3</v>
      </c>
      <c r="H8990" t="n">
        <v>0</v>
      </c>
      <c r="I8990" t="n">
        <v>0</v>
      </c>
      <c r="J8990" t="n">
        <v>0</v>
      </c>
      <c r="K8990" t="n">
        <v>0</v>
      </c>
      <c r="L8990" t="n">
        <v>0</v>
      </c>
      <c r="M8990" t="n">
        <v>0</v>
      </c>
      <c r="N8990" t="n">
        <v>0</v>
      </c>
      <c r="O8990" t="n">
        <v>0</v>
      </c>
      <c r="P8990" t="n">
        <v>0</v>
      </c>
      <c r="Q8990" t="n">
        <v>0</v>
      </c>
      <c r="R8990" s="2" t="inlineStr"/>
    </row>
    <row r="8991" ht="15" customHeight="1">
      <c r="A8991" t="inlineStr">
        <is>
          <t>A 7199-2023</t>
        </is>
      </c>
      <c r="B8991" s="1" t="n">
        <v>44970</v>
      </c>
      <c r="C8991" s="1" t="n">
        <v>45810</v>
      </c>
      <c r="D8991" t="inlineStr">
        <is>
          <t>VÄRMLANDS LÄN</t>
        </is>
      </c>
      <c r="E8991" t="inlineStr">
        <is>
          <t>SUNNE</t>
        </is>
      </c>
      <c r="G8991" t="n">
        <v>0.6</v>
      </c>
      <c r="H8991" t="n">
        <v>0</v>
      </c>
      <c r="I8991" t="n">
        <v>0</v>
      </c>
      <c r="J8991" t="n">
        <v>0</v>
      </c>
      <c r="K8991" t="n">
        <v>0</v>
      </c>
      <c r="L8991" t="n">
        <v>0</v>
      </c>
      <c r="M8991" t="n">
        <v>0</v>
      </c>
      <c r="N8991" t="n">
        <v>0</v>
      </c>
      <c r="O8991" t="n">
        <v>0</v>
      </c>
      <c r="P8991" t="n">
        <v>0</v>
      </c>
      <c r="Q8991" t="n">
        <v>0</v>
      </c>
      <c r="R8991" s="2" t="inlineStr"/>
    </row>
    <row r="8992" ht="15" customHeight="1">
      <c r="A8992" t="inlineStr">
        <is>
          <t>A 7248-2023</t>
        </is>
      </c>
      <c r="B8992" s="1" t="n">
        <v>44970</v>
      </c>
      <c r="C8992" s="1" t="n">
        <v>45810</v>
      </c>
      <c r="D8992" t="inlineStr">
        <is>
          <t>VÄRMLANDS LÄN</t>
        </is>
      </c>
      <c r="E8992" t="inlineStr">
        <is>
          <t>FILIPSTAD</t>
        </is>
      </c>
      <c r="G8992" t="n">
        <v>3.5</v>
      </c>
      <c r="H8992" t="n">
        <v>0</v>
      </c>
      <c r="I8992" t="n">
        <v>0</v>
      </c>
      <c r="J8992" t="n">
        <v>0</v>
      </c>
      <c r="K8992" t="n">
        <v>0</v>
      </c>
      <c r="L8992" t="n">
        <v>0</v>
      </c>
      <c r="M8992" t="n">
        <v>0</v>
      </c>
      <c r="N8992" t="n">
        <v>0</v>
      </c>
      <c r="O8992" t="n">
        <v>0</v>
      </c>
      <c r="P8992" t="n">
        <v>0</v>
      </c>
      <c r="Q8992" t="n">
        <v>0</v>
      </c>
      <c r="R8992" s="2" t="inlineStr"/>
    </row>
    <row r="8993" ht="15" customHeight="1">
      <c r="A8993" t="inlineStr">
        <is>
          <t>A 7282-2023</t>
        </is>
      </c>
      <c r="B8993" s="1" t="n">
        <v>44970</v>
      </c>
      <c r="C8993" s="1" t="n">
        <v>45810</v>
      </c>
      <c r="D8993" t="inlineStr">
        <is>
          <t>VÄRMLANDS LÄN</t>
        </is>
      </c>
      <c r="E8993" t="inlineStr">
        <is>
          <t>EDA</t>
        </is>
      </c>
      <c r="G8993" t="n">
        <v>2.6</v>
      </c>
      <c r="H8993" t="n">
        <v>0</v>
      </c>
      <c r="I8993" t="n">
        <v>0</v>
      </c>
      <c r="J8993" t="n">
        <v>0</v>
      </c>
      <c r="K8993" t="n">
        <v>0</v>
      </c>
      <c r="L8993" t="n">
        <v>0</v>
      </c>
      <c r="M8993" t="n">
        <v>0</v>
      </c>
      <c r="N8993" t="n">
        <v>0</v>
      </c>
      <c r="O8993" t="n">
        <v>0</v>
      </c>
      <c r="P8993" t="n">
        <v>0</v>
      </c>
      <c r="Q8993" t="n">
        <v>0</v>
      </c>
      <c r="R8993" s="2" t="inlineStr"/>
    </row>
    <row r="8994" ht="15" customHeight="1">
      <c r="A8994" t="inlineStr">
        <is>
          <t>A 7294-2023</t>
        </is>
      </c>
      <c r="B8994" s="1" t="n">
        <v>44970</v>
      </c>
      <c r="C8994" s="1" t="n">
        <v>45810</v>
      </c>
      <c r="D8994" t="inlineStr">
        <is>
          <t>VÄRMLANDS LÄN</t>
        </is>
      </c>
      <c r="E8994" t="inlineStr">
        <is>
          <t>FORSHAGA</t>
        </is>
      </c>
      <c r="G8994" t="n">
        <v>1.1</v>
      </c>
      <c r="H8994" t="n">
        <v>0</v>
      </c>
      <c r="I8994" t="n">
        <v>0</v>
      </c>
      <c r="J8994" t="n">
        <v>0</v>
      </c>
      <c r="K8994" t="n">
        <v>0</v>
      </c>
      <c r="L8994" t="n">
        <v>0</v>
      </c>
      <c r="M8994" t="n">
        <v>0</v>
      </c>
      <c r="N8994" t="n">
        <v>0</v>
      </c>
      <c r="O8994" t="n">
        <v>0</v>
      </c>
      <c r="P8994" t="n">
        <v>0</v>
      </c>
      <c r="Q8994" t="n">
        <v>0</v>
      </c>
      <c r="R8994" s="2" t="inlineStr"/>
    </row>
    <row r="8995" ht="15" customHeight="1">
      <c r="A8995" t="inlineStr">
        <is>
          <t>A 7311-2023</t>
        </is>
      </c>
      <c r="B8995" s="1" t="n">
        <v>44970</v>
      </c>
      <c r="C8995" s="1" t="n">
        <v>45810</v>
      </c>
      <c r="D8995" t="inlineStr">
        <is>
          <t>VÄRMLANDS LÄN</t>
        </is>
      </c>
      <c r="E8995" t="inlineStr">
        <is>
          <t>KRISTINEHAMN</t>
        </is>
      </c>
      <c r="G8995" t="n">
        <v>2.4</v>
      </c>
      <c r="H8995" t="n">
        <v>0</v>
      </c>
      <c r="I8995" t="n">
        <v>0</v>
      </c>
      <c r="J8995" t="n">
        <v>0</v>
      </c>
      <c r="K8995" t="n">
        <v>0</v>
      </c>
      <c r="L8995" t="n">
        <v>0</v>
      </c>
      <c r="M8995" t="n">
        <v>0</v>
      </c>
      <c r="N8995" t="n">
        <v>0</v>
      </c>
      <c r="O8995" t="n">
        <v>0</v>
      </c>
      <c r="P8995" t="n">
        <v>0</v>
      </c>
      <c r="Q8995" t="n">
        <v>0</v>
      </c>
      <c r="R8995" s="2" t="inlineStr"/>
    </row>
    <row r="8996" ht="15" customHeight="1">
      <c r="A8996" t="inlineStr">
        <is>
          <t>A 7350-2023</t>
        </is>
      </c>
      <c r="B8996" s="1" t="n">
        <v>44971</v>
      </c>
      <c r="C8996" s="1" t="n">
        <v>45810</v>
      </c>
      <c r="D8996" t="inlineStr">
        <is>
          <t>VÄRMLANDS LÄN</t>
        </is>
      </c>
      <c r="E8996" t="inlineStr">
        <is>
          <t>ARVIKA</t>
        </is>
      </c>
      <c r="G8996" t="n">
        <v>9.300000000000001</v>
      </c>
      <c r="H8996" t="n">
        <v>0</v>
      </c>
      <c r="I8996" t="n">
        <v>0</v>
      </c>
      <c r="J8996" t="n">
        <v>0</v>
      </c>
      <c r="K8996" t="n">
        <v>0</v>
      </c>
      <c r="L8996" t="n">
        <v>0</v>
      </c>
      <c r="M8996" t="n">
        <v>0</v>
      </c>
      <c r="N8996" t="n">
        <v>0</v>
      </c>
      <c r="O8996" t="n">
        <v>0</v>
      </c>
      <c r="P8996" t="n">
        <v>0</v>
      </c>
      <c r="Q8996" t="n">
        <v>0</v>
      </c>
      <c r="R8996" s="2" t="inlineStr"/>
    </row>
    <row r="8997" ht="15" customHeight="1">
      <c r="A8997" t="inlineStr">
        <is>
          <t>A 7395-2023</t>
        </is>
      </c>
      <c r="B8997" s="1" t="n">
        <v>44971</v>
      </c>
      <c r="C8997" s="1" t="n">
        <v>45810</v>
      </c>
      <c r="D8997" t="inlineStr">
        <is>
          <t>VÄRMLANDS LÄN</t>
        </is>
      </c>
      <c r="E8997" t="inlineStr">
        <is>
          <t>SUNNE</t>
        </is>
      </c>
      <c r="G8997" t="n">
        <v>1.8</v>
      </c>
      <c r="H8997" t="n">
        <v>0</v>
      </c>
      <c r="I8997" t="n">
        <v>0</v>
      </c>
      <c r="J8997" t="n">
        <v>0</v>
      </c>
      <c r="K8997" t="n">
        <v>0</v>
      </c>
      <c r="L8997" t="n">
        <v>0</v>
      </c>
      <c r="M8997" t="n">
        <v>0</v>
      </c>
      <c r="N8997" t="n">
        <v>0</v>
      </c>
      <c r="O8997" t="n">
        <v>0</v>
      </c>
      <c r="P8997" t="n">
        <v>0</v>
      </c>
      <c r="Q8997" t="n">
        <v>0</v>
      </c>
      <c r="R8997" s="2" t="inlineStr"/>
    </row>
    <row r="8998" ht="15" customHeight="1">
      <c r="A8998" t="inlineStr">
        <is>
          <t>A 7402-2023</t>
        </is>
      </c>
      <c r="B8998" s="1" t="n">
        <v>44971</v>
      </c>
      <c r="C8998" s="1" t="n">
        <v>45810</v>
      </c>
      <c r="D8998" t="inlineStr">
        <is>
          <t>VÄRMLANDS LÄN</t>
        </is>
      </c>
      <c r="E8998" t="inlineStr">
        <is>
          <t>ARVIKA</t>
        </is>
      </c>
      <c r="F8998" t="inlineStr">
        <is>
          <t>Bergvik skog väst AB</t>
        </is>
      </c>
      <c r="G8998" t="n">
        <v>0.7</v>
      </c>
      <c r="H8998" t="n">
        <v>0</v>
      </c>
      <c r="I8998" t="n">
        <v>0</v>
      </c>
      <c r="J8998" t="n">
        <v>0</v>
      </c>
      <c r="K8998" t="n">
        <v>0</v>
      </c>
      <c r="L8998" t="n">
        <v>0</v>
      </c>
      <c r="M8998" t="n">
        <v>0</v>
      </c>
      <c r="N8998" t="n">
        <v>0</v>
      </c>
      <c r="O8998" t="n">
        <v>0</v>
      </c>
      <c r="P8998" t="n">
        <v>0</v>
      </c>
      <c r="Q8998" t="n">
        <v>0</v>
      </c>
      <c r="R8998" s="2" t="inlineStr"/>
    </row>
    <row r="8999" ht="15" customHeight="1">
      <c r="A8999" t="inlineStr">
        <is>
          <t>A 7407-2023</t>
        </is>
      </c>
      <c r="B8999" s="1" t="n">
        <v>44971</v>
      </c>
      <c r="C8999" s="1" t="n">
        <v>45810</v>
      </c>
      <c r="D8999" t="inlineStr">
        <is>
          <t>VÄRMLANDS LÄN</t>
        </is>
      </c>
      <c r="E8999" t="inlineStr">
        <is>
          <t>KIL</t>
        </is>
      </c>
      <c r="G8999" t="n">
        <v>2.7</v>
      </c>
      <c r="H8999" t="n">
        <v>0</v>
      </c>
      <c r="I8999" t="n">
        <v>0</v>
      </c>
      <c r="J8999" t="n">
        <v>0</v>
      </c>
      <c r="K8999" t="n">
        <v>0</v>
      </c>
      <c r="L8999" t="n">
        <v>0</v>
      </c>
      <c r="M8999" t="n">
        <v>0</v>
      </c>
      <c r="N8999" t="n">
        <v>0</v>
      </c>
      <c r="O8999" t="n">
        <v>0</v>
      </c>
      <c r="P8999" t="n">
        <v>0</v>
      </c>
      <c r="Q8999" t="n">
        <v>0</v>
      </c>
      <c r="R8999" s="2" t="inlineStr"/>
    </row>
    <row r="9000" ht="15" customHeight="1">
      <c r="A9000" t="inlineStr">
        <is>
          <t>A 7400-2023</t>
        </is>
      </c>
      <c r="B9000" s="1" t="n">
        <v>44971</v>
      </c>
      <c r="C9000" s="1" t="n">
        <v>45810</v>
      </c>
      <c r="D9000" t="inlineStr">
        <is>
          <t>VÄRMLANDS LÄN</t>
        </is>
      </c>
      <c r="E9000" t="inlineStr">
        <is>
          <t>SUNNE</t>
        </is>
      </c>
      <c r="G9000" t="n">
        <v>0.3</v>
      </c>
      <c r="H9000" t="n">
        <v>0</v>
      </c>
      <c r="I9000" t="n">
        <v>0</v>
      </c>
      <c r="J9000" t="n">
        <v>0</v>
      </c>
      <c r="K9000" t="n">
        <v>0</v>
      </c>
      <c r="L9000" t="n">
        <v>0</v>
      </c>
      <c r="M9000" t="n">
        <v>0</v>
      </c>
      <c r="N9000" t="n">
        <v>0</v>
      </c>
      <c r="O9000" t="n">
        <v>0</v>
      </c>
      <c r="P9000" t="n">
        <v>0</v>
      </c>
      <c r="Q9000" t="n">
        <v>0</v>
      </c>
      <c r="R9000" s="2" t="inlineStr"/>
    </row>
    <row r="9001" ht="15" customHeight="1">
      <c r="A9001" t="inlineStr">
        <is>
          <t>A 7405-2023</t>
        </is>
      </c>
      <c r="B9001" s="1" t="n">
        <v>44971</v>
      </c>
      <c r="C9001" s="1" t="n">
        <v>45810</v>
      </c>
      <c r="D9001" t="inlineStr">
        <is>
          <t>VÄRMLANDS LÄN</t>
        </is>
      </c>
      <c r="E9001" t="inlineStr">
        <is>
          <t>TORSBY</t>
        </is>
      </c>
      <c r="G9001" t="n">
        <v>3.4</v>
      </c>
      <c r="H9001" t="n">
        <v>0</v>
      </c>
      <c r="I9001" t="n">
        <v>0</v>
      </c>
      <c r="J9001" t="n">
        <v>0</v>
      </c>
      <c r="K9001" t="n">
        <v>0</v>
      </c>
      <c r="L9001" t="n">
        <v>0</v>
      </c>
      <c r="M9001" t="n">
        <v>0</v>
      </c>
      <c r="N9001" t="n">
        <v>0</v>
      </c>
      <c r="O9001" t="n">
        <v>0</v>
      </c>
      <c r="P9001" t="n">
        <v>0</v>
      </c>
      <c r="Q9001" t="n">
        <v>0</v>
      </c>
      <c r="R9001" s="2" t="inlineStr"/>
    </row>
    <row r="9002" ht="15" customHeight="1">
      <c r="A9002" t="inlineStr">
        <is>
          <t>A 7456-2023</t>
        </is>
      </c>
      <c r="B9002" s="1" t="n">
        <v>44971</v>
      </c>
      <c r="C9002" s="1" t="n">
        <v>45810</v>
      </c>
      <c r="D9002" t="inlineStr">
        <is>
          <t>VÄRMLANDS LÄN</t>
        </is>
      </c>
      <c r="E9002" t="inlineStr">
        <is>
          <t>ARVIKA</t>
        </is>
      </c>
      <c r="F9002" t="inlineStr">
        <is>
          <t>Bergvik skog väst AB</t>
        </is>
      </c>
      <c r="G9002" t="n">
        <v>2.6</v>
      </c>
      <c r="H9002" t="n">
        <v>0</v>
      </c>
      <c r="I9002" t="n">
        <v>0</v>
      </c>
      <c r="J9002" t="n">
        <v>0</v>
      </c>
      <c r="K9002" t="n">
        <v>0</v>
      </c>
      <c r="L9002" t="n">
        <v>0</v>
      </c>
      <c r="M9002" t="n">
        <v>0</v>
      </c>
      <c r="N9002" t="n">
        <v>0</v>
      </c>
      <c r="O9002" t="n">
        <v>0</v>
      </c>
      <c r="P9002" t="n">
        <v>0</v>
      </c>
      <c r="Q9002" t="n">
        <v>0</v>
      </c>
      <c r="R9002" s="2" t="inlineStr"/>
    </row>
    <row r="9003" ht="15" customHeight="1">
      <c r="A9003" t="inlineStr">
        <is>
          <t>A 7486-2023</t>
        </is>
      </c>
      <c r="B9003" s="1" t="n">
        <v>44971</v>
      </c>
      <c r="C9003" s="1" t="n">
        <v>45810</v>
      </c>
      <c r="D9003" t="inlineStr">
        <is>
          <t>VÄRMLANDS LÄN</t>
        </is>
      </c>
      <c r="E9003" t="inlineStr">
        <is>
          <t>FORSHAGA</t>
        </is>
      </c>
      <c r="G9003" t="n">
        <v>7.3</v>
      </c>
      <c r="H9003" t="n">
        <v>0</v>
      </c>
      <c r="I9003" t="n">
        <v>0</v>
      </c>
      <c r="J9003" t="n">
        <v>0</v>
      </c>
      <c r="K9003" t="n">
        <v>0</v>
      </c>
      <c r="L9003" t="n">
        <v>0</v>
      </c>
      <c r="M9003" t="n">
        <v>0</v>
      </c>
      <c r="N9003" t="n">
        <v>0</v>
      </c>
      <c r="O9003" t="n">
        <v>0</v>
      </c>
      <c r="P9003" t="n">
        <v>0</v>
      </c>
      <c r="Q9003" t="n">
        <v>0</v>
      </c>
      <c r="R9003" s="2" t="inlineStr"/>
    </row>
    <row r="9004" ht="15" customHeight="1">
      <c r="A9004" t="inlineStr">
        <is>
          <t>A 8194-2023</t>
        </is>
      </c>
      <c r="B9004" s="1" t="n">
        <v>44971</v>
      </c>
      <c r="C9004" s="1" t="n">
        <v>45810</v>
      </c>
      <c r="D9004" t="inlineStr">
        <is>
          <t>VÄRMLANDS LÄN</t>
        </is>
      </c>
      <c r="E9004" t="inlineStr">
        <is>
          <t>TORSBY</t>
        </is>
      </c>
      <c r="G9004" t="n">
        <v>1.9</v>
      </c>
      <c r="H9004" t="n">
        <v>0</v>
      </c>
      <c r="I9004" t="n">
        <v>0</v>
      </c>
      <c r="J9004" t="n">
        <v>0</v>
      </c>
      <c r="K9004" t="n">
        <v>0</v>
      </c>
      <c r="L9004" t="n">
        <v>0</v>
      </c>
      <c r="M9004" t="n">
        <v>0</v>
      </c>
      <c r="N9004" t="n">
        <v>0</v>
      </c>
      <c r="O9004" t="n">
        <v>0</v>
      </c>
      <c r="P9004" t="n">
        <v>0</v>
      </c>
      <c r="Q9004" t="n">
        <v>0</v>
      </c>
      <c r="R9004" s="2" t="inlineStr"/>
    </row>
    <row r="9005" ht="15" customHeight="1">
      <c r="A9005" t="inlineStr">
        <is>
          <t>A 8192-2023</t>
        </is>
      </c>
      <c r="B9005" s="1" t="n">
        <v>44971</v>
      </c>
      <c r="C9005" s="1" t="n">
        <v>45810</v>
      </c>
      <c r="D9005" t="inlineStr">
        <is>
          <t>VÄRMLANDS LÄN</t>
        </is>
      </c>
      <c r="E9005" t="inlineStr">
        <is>
          <t>TORSBY</t>
        </is>
      </c>
      <c r="G9005" t="n">
        <v>1</v>
      </c>
      <c r="H9005" t="n">
        <v>0</v>
      </c>
      <c r="I9005" t="n">
        <v>0</v>
      </c>
      <c r="J9005" t="n">
        <v>0</v>
      </c>
      <c r="K9005" t="n">
        <v>0</v>
      </c>
      <c r="L9005" t="n">
        <v>0</v>
      </c>
      <c r="M9005" t="n">
        <v>0</v>
      </c>
      <c r="N9005" t="n">
        <v>0</v>
      </c>
      <c r="O9005" t="n">
        <v>0</v>
      </c>
      <c r="P9005" t="n">
        <v>0</v>
      </c>
      <c r="Q9005" t="n">
        <v>0</v>
      </c>
      <c r="R9005" s="2" t="inlineStr"/>
    </row>
    <row r="9006" ht="15" customHeight="1">
      <c r="A9006" t="inlineStr">
        <is>
          <t>A 7601-2023</t>
        </is>
      </c>
      <c r="B9006" s="1" t="n">
        <v>44972</v>
      </c>
      <c r="C9006" s="1" t="n">
        <v>45810</v>
      </c>
      <c r="D9006" t="inlineStr">
        <is>
          <t>VÄRMLANDS LÄN</t>
        </is>
      </c>
      <c r="E9006" t="inlineStr">
        <is>
          <t>ÅRJÄNG</t>
        </is>
      </c>
      <c r="G9006" t="n">
        <v>3</v>
      </c>
      <c r="H9006" t="n">
        <v>0</v>
      </c>
      <c r="I9006" t="n">
        <v>0</v>
      </c>
      <c r="J9006" t="n">
        <v>0</v>
      </c>
      <c r="K9006" t="n">
        <v>0</v>
      </c>
      <c r="L9006" t="n">
        <v>0</v>
      </c>
      <c r="M9006" t="n">
        <v>0</v>
      </c>
      <c r="N9006" t="n">
        <v>0</v>
      </c>
      <c r="O9006" t="n">
        <v>0</v>
      </c>
      <c r="P9006" t="n">
        <v>0</v>
      </c>
      <c r="Q9006" t="n">
        <v>0</v>
      </c>
      <c r="R9006" s="2" t="inlineStr"/>
    </row>
    <row r="9007" ht="15" customHeight="1">
      <c r="A9007" t="inlineStr">
        <is>
          <t>A 7615-2023</t>
        </is>
      </c>
      <c r="B9007" s="1" t="n">
        <v>44972</v>
      </c>
      <c r="C9007" s="1" t="n">
        <v>45810</v>
      </c>
      <c r="D9007" t="inlineStr">
        <is>
          <t>VÄRMLANDS LÄN</t>
        </is>
      </c>
      <c r="E9007" t="inlineStr">
        <is>
          <t>ÅRJÄNG</t>
        </is>
      </c>
      <c r="G9007" t="n">
        <v>2.2</v>
      </c>
      <c r="H9007" t="n">
        <v>0</v>
      </c>
      <c r="I9007" t="n">
        <v>0</v>
      </c>
      <c r="J9007" t="n">
        <v>0</v>
      </c>
      <c r="K9007" t="n">
        <v>0</v>
      </c>
      <c r="L9007" t="n">
        <v>0</v>
      </c>
      <c r="M9007" t="n">
        <v>0</v>
      </c>
      <c r="N9007" t="n">
        <v>0</v>
      </c>
      <c r="O9007" t="n">
        <v>0</v>
      </c>
      <c r="P9007" t="n">
        <v>0</v>
      </c>
      <c r="Q9007" t="n">
        <v>0</v>
      </c>
      <c r="R9007" s="2" t="inlineStr"/>
    </row>
    <row r="9008" ht="15" customHeight="1">
      <c r="A9008" t="inlineStr">
        <is>
          <t>A 7622-2023</t>
        </is>
      </c>
      <c r="B9008" s="1" t="n">
        <v>44972</v>
      </c>
      <c r="C9008" s="1" t="n">
        <v>45810</v>
      </c>
      <c r="D9008" t="inlineStr">
        <is>
          <t>VÄRMLANDS LÄN</t>
        </is>
      </c>
      <c r="E9008" t="inlineStr">
        <is>
          <t>ÅRJÄNG</t>
        </is>
      </c>
      <c r="G9008" t="n">
        <v>2.8</v>
      </c>
      <c r="H9008" t="n">
        <v>0</v>
      </c>
      <c r="I9008" t="n">
        <v>0</v>
      </c>
      <c r="J9008" t="n">
        <v>0</v>
      </c>
      <c r="K9008" t="n">
        <v>0</v>
      </c>
      <c r="L9008" t="n">
        <v>0</v>
      </c>
      <c r="M9008" t="n">
        <v>0</v>
      </c>
      <c r="N9008" t="n">
        <v>0</v>
      </c>
      <c r="O9008" t="n">
        <v>0</v>
      </c>
      <c r="P9008" t="n">
        <v>0</v>
      </c>
      <c r="Q9008" t="n">
        <v>0</v>
      </c>
      <c r="R9008" s="2" t="inlineStr"/>
    </row>
    <row r="9009" ht="15" customHeight="1">
      <c r="A9009" t="inlineStr">
        <is>
          <t>A 7617-2023</t>
        </is>
      </c>
      <c r="B9009" s="1" t="n">
        <v>44972</v>
      </c>
      <c r="C9009" s="1" t="n">
        <v>45810</v>
      </c>
      <c r="D9009" t="inlineStr">
        <is>
          <t>VÄRMLANDS LÄN</t>
        </is>
      </c>
      <c r="E9009" t="inlineStr">
        <is>
          <t>ÅRJÄNG</t>
        </is>
      </c>
      <c r="G9009" t="n">
        <v>1.1</v>
      </c>
      <c r="H9009" t="n">
        <v>0</v>
      </c>
      <c r="I9009" t="n">
        <v>0</v>
      </c>
      <c r="J9009" t="n">
        <v>0</v>
      </c>
      <c r="K9009" t="n">
        <v>0</v>
      </c>
      <c r="L9009" t="n">
        <v>0</v>
      </c>
      <c r="M9009" t="n">
        <v>0</v>
      </c>
      <c r="N9009" t="n">
        <v>0</v>
      </c>
      <c r="O9009" t="n">
        <v>0</v>
      </c>
      <c r="P9009" t="n">
        <v>0</v>
      </c>
      <c r="Q9009" t="n">
        <v>0</v>
      </c>
      <c r="R9009" s="2" t="inlineStr"/>
    </row>
    <row r="9010" ht="15" customHeight="1">
      <c r="A9010" t="inlineStr">
        <is>
          <t>A 7625-2023</t>
        </is>
      </c>
      <c r="B9010" s="1" t="n">
        <v>44972</v>
      </c>
      <c r="C9010" s="1" t="n">
        <v>45810</v>
      </c>
      <c r="D9010" t="inlineStr">
        <is>
          <t>VÄRMLANDS LÄN</t>
        </is>
      </c>
      <c r="E9010" t="inlineStr">
        <is>
          <t>ÅRJÄNG</t>
        </is>
      </c>
      <c r="G9010" t="n">
        <v>2.4</v>
      </c>
      <c r="H9010" t="n">
        <v>0</v>
      </c>
      <c r="I9010" t="n">
        <v>0</v>
      </c>
      <c r="J9010" t="n">
        <v>0</v>
      </c>
      <c r="K9010" t="n">
        <v>0</v>
      </c>
      <c r="L9010" t="n">
        <v>0</v>
      </c>
      <c r="M9010" t="n">
        <v>0</v>
      </c>
      <c r="N9010" t="n">
        <v>0</v>
      </c>
      <c r="O9010" t="n">
        <v>0</v>
      </c>
      <c r="P9010" t="n">
        <v>0</v>
      </c>
      <c r="Q9010" t="n">
        <v>0</v>
      </c>
      <c r="R9010" s="2" t="inlineStr"/>
    </row>
    <row r="9011" ht="15" customHeight="1">
      <c r="A9011" t="inlineStr">
        <is>
          <t>A 7633-2023</t>
        </is>
      </c>
      <c r="B9011" s="1" t="n">
        <v>44972</v>
      </c>
      <c r="C9011" s="1" t="n">
        <v>45810</v>
      </c>
      <c r="D9011" t="inlineStr">
        <is>
          <t>VÄRMLANDS LÄN</t>
        </is>
      </c>
      <c r="E9011" t="inlineStr">
        <is>
          <t>ÅRJÄNG</t>
        </is>
      </c>
      <c r="G9011" t="n">
        <v>1.4</v>
      </c>
      <c r="H9011" t="n">
        <v>0</v>
      </c>
      <c r="I9011" t="n">
        <v>0</v>
      </c>
      <c r="J9011" t="n">
        <v>0</v>
      </c>
      <c r="K9011" t="n">
        <v>0</v>
      </c>
      <c r="L9011" t="n">
        <v>0</v>
      </c>
      <c r="M9011" t="n">
        <v>0</v>
      </c>
      <c r="N9011" t="n">
        <v>0</v>
      </c>
      <c r="O9011" t="n">
        <v>0</v>
      </c>
      <c r="P9011" t="n">
        <v>0</v>
      </c>
      <c r="Q9011" t="n">
        <v>0</v>
      </c>
      <c r="R9011" s="2" t="inlineStr"/>
    </row>
    <row r="9012" ht="15" customHeight="1">
      <c r="A9012" t="inlineStr">
        <is>
          <t>A 7614-2023</t>
        </is>
      </c>
      <c r="B9012" s="1" t="n">
        <v>44972</v>
      </c>
      <c r="C9012" s="1" t="n">
        <v>45810</v>
      </c>
      <c r="D9012" t="inlineStr">
        <is>
          <t>VÄRMLANDS LÄN</t>
        </is>
      </c>
      <c r="E9012" t="inlineStr">
        <is>
          <t>MUNKFORS</t>
        </is>
      </c>
      <c r="G9012" t="n">
        <v>1.3</v>
      </c>
      <c r="H9012" t="n">
        <v>0</v>
      </c>
      <c r="I9012" t="n">
        <v>0</v>
      </c>
      <c r="J9012" t="n">
        <v>0</v>
      </c>
      <c r="K9012" t="n">
        <v>0</v>
      </c>
      <c r="L9012" t="n">
        <v>0</v>
      </c>
      <c r="M9012" t="n">
        <v>0</v>
      </c>
      <c r="N9012" t="n">
        <v>0</v>
      </c>
      <c r="O9012" t="n">
        <v>0</v>
      </c>
      <c r="P9012" t="n">
        <v>0</v>
      </c>
      <c r="Q9012" t="n">
        <v>0</v>
      </c>
      <c r="R9012" s="2" t="inlineStr"/>
    </row>
    <row r="9013" ht="15" customHeight="1">
      <c r="A9013" t="inlineStr">
        <is>
          <t>A 7618-2023</t>
        </is>
      </c>
      <c r="B9013" s="1" t="n">
        <v>44972</v>
      </c>
      <c r="C9013" s="1" t="n">
        <v>45810</v>
      </c>
      <c r="D9013" t="inlineStr">
        <is>
          <t>VÄRMLANDS LÄN</t>
        </is>
      </c>
      <c r="E9013" t="inlineStr">
        <is>
          <t>MUNKFORS</t>
        </is>
      </c>
      <c r="G9013" t="n">
        <v>3.9</v>
      </c>
      <c r="H9013" t="n">
        <v>0</v>
      </c>
      <c r="I9013" t="n">
        <v>0</v>
      </c>
      <c r="J9013" t="n">
        <v>0</v>
      </c>
      <c r="K9013" t="n">
        <v>0</v>
      </c>
      <c r="L9013" t="n">
        <v>0</v>
      </c>
      <c r="M9013" t="n">
        <v>0</v>
      </c>
      <c r="N9013" t="n">
        <v>0</v>
      </c>
      <c r="O9013" t="n">
        <v>0</v>
      </c>
      <c r="P9013" t="n">
        <v>0</v>
      </c>
      <c r="Q9013" t="n">
        <v>0</v>
      </c>
      <c r="R9013" s="2" t="inlineStr"/>
    </row>
    <row r="9014" ht="15" customHeight="1">
      <c r="A9014" t="inlineStr">
        <is>
          <t>A 7646-2023</t>
        </is>
      </c>
      <c r="B9014" s="1" t="n">
        <v>44972</v>
      </c>
      <c r="C9014" s="1" t="n">
        <v>45810</v>
      </c>
      <c r="D9014" t="inlineStr">
        <is>
          <t>VÄRMLANDS LÄN</t>
        </is>
      </c>
      <c r="E9014" t="inlineStr">
        <is>
          <t>MUNKFORS</t>
        </is>
      </c>
      <c r="G9014" t="n">
        <v>0.4</v>
      </c>
      <c r="H9014" t="n">
        <v>0</v>
      </c>
      <c r="I9014" t="n">
        <v>0</v>
      </c>
      <c r="J9014" t="n">
        <v>0</v>
      </c>
      <c r="K9014" t="n">
        <v>0</v>
      </c>
      <c r="L9014" t="n">
        <v>0</v>
      </c>
      <c r="M9014" t="n">
        <v>0</v>
      </c>
      <c r="N9014" t="n">
        <v>0</v>
      </c>
      <c r="O9014" t="n">
        <v>0</v>
      </c>
      <c r="P9014" t="n">
        <v>0</v>
      </c>
      <c r="Q9014" t="n">
        <v>0</v>
      </c>
      <c r="R9014" s="2" t="inlineStr"/>
    </row>
    <row r="9015" ht="15" customHeight="1">
      <c r="A9015" t="inlineStr">
        <is>
          <t>A 7678-2023</t>
        </is>
      </c>
      <c r="B9015" s="1" t="n">
        <v>44972</v>
      </c>
      <c r="C9015" s="1" t="n">
        <v>45810</v>
      </c>
      <c r="D9015" t="inlineStr">
        <is>
          <t>VÄRMLANDS LÄN</t>
        </is>
      </c>
      <c r="E9015" t="inlineStr">
        <is>
          <t>MUNKFORS</t>
        </is>
      </c>
      <c r="G9015" t="n">
        <v>1.2</v>
      </c>
      <c r="H9015" t="n">
        <v>0</v>
      </c>
      <c r="I9015" t="n">
        <v>0</v>
      </c>
      <c r="J9015" t="n">
        <v>0</v>
      </c>
      <c r="K9015" t="n">
        <v>0</v>
      </c>
      <c r="L9015" t="n">
        <v>0</v>
      </c>
      <c r="M9015" t="n">
        <v>0</v>
      </c>
      <c r="N9015" t="n">
        <v>0</v>
      </c>
      <c r="O9015" t="n">
        <v>0</v>
      </c>
      <c r="P9015" t="n">
        <v>0</v>
      </c>
      <c r="Q9015" t="n">
        <v>0</v>
      </c>
      <c r="R9015" s="2" t="inlineStr"/>
    </row>
    <row r="9016" ht="15" customHeight="1">
      <c r="A9016" t="inlineStr">
        <is>
          <t>A 7683-2023</t>
        </is>
      </c>
      <c r="B9016" s="1" t="n">
        <v>44972</v>
      </c>
      <c r="C9016" s="1" t="n">
        <v>45810</v>
      </c>
      <c r="D9016" t="inlineStr">
        <is>
          <t>VÄRMLANDS LÄN</t>
        </is>
      </c>
      <c r="E9016" t="inlineStr">
        <is>
          <t>MUNKFORS</t>
        </is>
      </c>
      <c r="G9016" t="n">
        <v>0.2</v>
      </c>
      <c r="H9016" t="n">
        <v>0</v>
      </c>
      <c r="I9016" t="n">
        <v>0</v>
      </c>
      <c r="J9016" t="n">
        <v>0</v>
      </c>
      <c r="K9016" t="n">
        <v>0</v>
      </c>
      <c r="L9016" t="n">
        <v>0</v>
      </c>
      <c r="M9016" t="n">
        <v>0</v>
      </c>
      <c r="N9016" t="n">
        <v>0</v>
      </c>
      <c r="O9016" t="n">
        <v>0</v>
      </c>
      <c r="P9016" t="n">
        <v>0</v>
      </c>
      <c r="Q9016" t="n">
        <v>0</v>
      </c>
      <c r="R9016" s="2" t="inlineStr"/>
    </row>
    <row r="9017" ht="15" customHeight="1">
      <c r="A9017" t="inlineStr">
        <is>
          <t>A 7688-2023</t>
        </is>
      </c>
      <c r="B9017" s="1" t="n">
        <v>44972</v>
      </c>
      <c r="C9017" s="1" t="n">
        <v>45810</v>
      </c>
      <c r="D9017" t="inlineStr">
        <is>
          <t>VÄRMLANDS LÄN</t>
        </is>
      </c>
      <c r="E9017" t="inlineStr">
        <is>
          <t>MUNKFORS</t>
        </is>
      </c>
      <c r="G9017" t="n">
        <v>0.6</v>
      </c>
      <c r="H9017" t="n">
        <v>0</v>
      </c>
      <c r="I9017" t="n">
        <v>0</v>
      </c>
      <c r="J9017" t="n">
        <v>0</v>
      </c>
      <c r="K9017" t="n">
        <v>0</v>
      </c>
      <c r="L9017" t="n">
        <v>0</v>
      </c>
      <c r="M9017" t="n">
        <v>0</v>
      </c>
      <c r="N9017" t="n">
        <v>0</v>
      </c>
      <c r="O9017" t="n">
        <v>0</v>
      </c>
      <c r="P9017" t="n">
        <v>0</v>
      </c>
      <c r="Q9017" t="n">
        <v>0</v>
      </c>
      <c r="R9017" s="2" t="inlineStr"/>
    </row>
    <row r="9018" ht="15" customHeight="1">
      <c r="A9018" t="inlineStr">
        <is>
          <t>A 7686-2023</t>
        </is>
      </c>
      <c r="B9018" s="1" t="n">
        <v>44972</v>
      </c>
      <c r="C9018" s="1" t="n">
        <v>45810</v>
      </c>
      <c r="D9018" t="inlineStr">
        <is>
          <t>VÄRMLANDS LÄN</t>
        </is>
      </c>
      <c r="E9018" t="inlineStr">
        <is>
          <t>ARVIKA</t>
        </is>
      </c>
      <c r="G9018" t="n">
        <v>1.5</v>
      </c>
      <c r="H9018" t="n">
        <v>0</v>
      </c>
      <c r="I9018" t="n">
        <v>0</v>
      </c>
      <c r="J9018" t="n">
        <v>0</v>
      </c>
      <c r="K9018" t="n">
        <v>0</v>
      </c>
      <c r="L9018" t="n">
        <v>0</v>
      </c>
      <c r="M9018" t="n">
        <v>0</v>
      </c>
      <c r="N9018" t="n">
        <v>0</v>
      </c>
      <c r="O9018" t="n">
        <v>0</v>
      </c>
      <c r="P9018" t="n">
        <v>0</v>
      </c>
      <c r="Q9018" t="n">
        <v>0</v>
      </c>
      <c r="R9018" s="2" t="inlineStr"/>
    </row>
    <row r="9019" ht="15" customHeight="1">
      <c r="A9019" t="inlineStr">
        <is>
          <t>A 7706-2023</t>
        </is>
      </c>
      <c r="B9019" s="1" t="n">
        <v>44972</v>
      </c>
      <c r="C9019" s="1" t="n">
        <v>45810</v>
      </c>
      <c r="D9019" t="inlineStr">
        <is>
          <t>VÄRMLANDS LÄN</t>
        </is>
      </c>
      <c r="E9019" t="inlineStr">
        <is>
          <t>GRUMS</t>
        </is>
      </c>
      <c r="G9019" t="n">
        <v>4.6</v>
      </c>
      <c r="H9019" t="n">
        <v>0</v>
      </c>
      <c r="I9019" t="n">
        <v>0</v>
      </c>
      <c r="J9019" t="n">
        <v>0</v>
      </c>
      <c r="K9019" t="n">
        <v>0</v>
      </c>
      <c r="L9019" t="n">
        <v>0</v>
      </c>
      <c r="M9019" t="n">
        <v>0</v>
      </c>
      <c r="N9019" t="n">
        <v>0</v>
      </c>
      <c r="O9019" t="n">
        <v>0</v>
      </c>
      <c r="P9019" t="n">
        <v>0</v>
      </c>
      <c r="Q9019" t="n">
        <v>0</v>
      </c>
      <c r="R9019" s="2" t="inlineStr"/>
    </row>
    <row r="9020" ht="15" customHeight="1">
      <c r="A9020" t="inlineStr">
        <is>
          <t>A 8557-2023</t>
        </is>
      </c>
      <c r="B9020" s="1" t="n">
        <v>44972</v>
      </c>
      <c r="C9020" s="1" t="n">
        <v>45810</v>
      </c>
      <c r="D9020" t="inlineStr">
        <is>
          <t>VÄRMLANDS LÄN</t>
        </is>
      </c>
      <c r="E9020" t="inlineStr">
        <is>
          <t>KRISTINEHAMN</t>
        </is>
      </c>
      <c r="G9020" t="n">
        <v>4.7</v>
      </c>
      <c r="H9020" t="n">
        <v>0</v>
      </c>
      <c r="I9020" t="n">
        <v>0</v>
      </c>
      <c r="J9020" t="n">
        <v>0</v>
      </c>
      <c r="K9020" t="n">
        <v>0</v>
      </c>
      <c r="L9020" t="n">
        <v>0</v>
      </c>
      <c r="M9020" t="n">
        <v>0</v>
      </c>
      <c r="N9020" t="n">
        <v>0</v>
      </c>
      <c r="O9020" t="n">
        <v>0</v>
      </c>
      <c r="P9020" t="n">
        <v>0</v>
      </c>
      <c r="Q9020" t="n">
        <v>0</v>
      </c>
      <c r="R9020" s="2" t="inlineStr"/>
    </row>
    <row r="9021" ht="15" customHeight="1">
      <c r="A9021" t="inlineStr">
        <is>
          <t>A 7665-2023</t>
        </is>
      </c>
      <c r="B9021" s="1" t="n">
        <v>44972</v>
      </c>
      <c r="C9021" s="1" t="n">
        <v>45810</v>
      </c>
      <c r="D9021" t="inlineStr">
        <is>
          <t>VÄRMLANDS LÄN</t>
        </is>
      </c>
      <c r="E9021" t="inlineStr">
        <is>
          <t>SUNNE</t>
        </is>
      </c>
      <c r="G9021" t="n">
        <v>2.9</v>
      </c>
      <c r="H9021" t="n">
        <v>0</v>
      </c>
      <c r="I9021" t="n">
        <v>0</v>
      </c>
      <c r="J9021" t="n">
        <v>0</v>
      </c>
      <c r="K9021" t="n">
        <v>0</v>
      </c>
      <c r="L9021" t="n">
        <v>0</v>
      </c>
      <c r="M9021" t="n">
        <v>0</v>
      </c>
      <c r="N9021" t="n">
        <v>0</v>
      </c>
      <c r="O9021" t="n">
        <v>0</v>
      </c>
      <c r="P9021" t="n">
        <v>0</v>
      </c>
      <c r="Q9021" t="n">
        <v>0</v>
      </c>
      <c r="R9021" s="2" t="inlineStr"/>
    </row>
    <row r="9022" ht="15" customHeight="1">
      <c r="A9022" t="inlineStr">
        <is>
          <t>A 8741-2023</t>
        </is>
      </c>
      <c r="B9022" s="1" t="n">
        <v>44972</v>
      </c>
      <c r="C9022" s="1" t="n">
        <v>45810</v>
      </c>
      <c r="D9022" t="inlineStr">
        <is>
          <t>VÄRMLANDS LÄN</t>
        </is>
      </c>
      <c r="E9022" t="inlineStr">
        <is>
          <t>ARVIKA</t>
        </is>
      </c>
      <c r="G9022" t="n">
        <v>2</v>
      </c>
      <c r="H9022" t="n">
        <v>0</v>
      </c>
      <c r="I9022" t="n">
        <v>0</v>
      </c>
      <c r="J9022" t="n">
        <v>0</v>
      </c>
      <c r="K9022" t="n">
        <v>0</v>
      </c>
      <c r="L9022" t="n">
        <v>0</v>
      </c>
      <c r="M9022" t="n">
        <v>0</v>
      </c>
      <c r="N9022" t="n">
        <v>0</v>
      </c>
      <c r="O9022" t="n">
        <v>0</v>
      </c>
      <c r="P9022" t="n">
        <v>0</v>
      </c>
      <c r="Q9022" t="n">
        <v>0</v>
      </c>
      <c r="R9022" s="2" t="inlineStr"/>
    </row>
    <row r="9023" ht="15" customHeight="1">
      <c r="A9023" t="inlineStr">
        <is>
          <t>A 7687-2023</t>
        </is>
      </c>
      <c r="B9023" s="1" t="n">
        <v>44972</v>
      </c>
      <c r="C9023" s="1" t="n">
        <v>45810</v>
      </c>
      <c r="D9023" t="inlineStr">
        <is>
          <t>VÄRMLANDS LÄN</t>
        </is>
      </c>
      <c r="E9023" t="inlineStr">
        <is>
          <t>MUNKFORS</t>
        </is>
      </c>
      <c r="G9023" t="n">
        <v>0.4</v>
      </c>
      <c r="H9023" t="n">
        <v>0</v>
      </c>
      <c r="I9023" t="n">
        <v>0</v>
      </c>
      <c r="J9023" t="n">
        <v>0</v>
      </c>
      <c r="K9023" t="n">
        <v>0</v>
      </c>
      <c r="L9023" t="n">
        <v>0</v>
      </c>
      <c r="M9023" t="n">
        <v>0</v>
      </c>
      <c r="N9023" t="n">
        <v>0</v>
      </c>
      <c r="O9023" t="n">
        <v>0</v>
      </c>
      <c r="P9023" t="n">
        <v>0</v>
      </c>
      <c r="Q9023" t="n">
        <v>0</v>
      </c>
      <c r="R9023" s="2" t="inlineStr"/>
    </row>
    <row r="9024" ht="15" customHeight="1">
      <c r="A9024" t="inlineStr">
        <is>
          <t>A 7658-2023</t>
        </is>
      </c>
      <c r="B9024" s="1" t="n">
        <v>44972</v>
      </c>
      <c r="C9024" s="1" t="n">
        <v>45810</v>
      </c>
      <c r="D9024" t="inlineStr">
        <is>
          <t>VÄRMLANDS LÄN</t>
        </is>
      </c>
      <c r="E9024" t="inlineStr">
        <is>
          <t>SUNNE</t>
        </is>
      </c>
      <c r="G9024" t="n">
        <v>2.8</v>
      </c>
      <c r="H9024" t="n">
        <v>0</v>
      </c>
      <c r="I9024" t="n">
        <v>0</v>
      </c>
      <c r="J9024" t="n">
        <v>0</v>
      </c>
      <c r="K9024" t="n">
        <v>0</v>
      </c>
      <c r="L9024" t="n">
        <v>0</v>
      </c>
      <c r="M9024" t="n">
        <v>0</v>
      </c>
      <c r="N9024" t="n">
        <v>0</v>
      </c>
      <c r="O9024" t="n">
        <v>0</v>
      </c>
      <c r="P9024" t="n">
        <v>0</v>
      </c>
      <c r="Q9024" t="n">
        <v>0</v>
      </c>
      <c r="R9024" s="2" t="inlineStr"/>
    </row>
    <row r="9025" ht="15" customHeight="1">
      <c r="A9025" t="inlineStr">
        <is>
          <t>A 7685-2023</t>
        </is>
      </c>
      <c r="B9025" s="1" t="n">
        <v>44972</v>
      </c>
      <c r="C9025" s="1" t="n">
        <v>45810</v>
      </c>
      <c r="D9025" t="inlineStr">
        <is>
          <t>VÄRMLANDS LÄN</t>
        </is>
      </c>
      <c r="E9025" t="inlineStr">
        <is>
          <t>ARVIKA</t>
        </is>
      </c>
      <c r="G9025" t="n">
        <v>0.8</v>
      </c>
      <c r="H9025" t="n">
        <v>0</v>
      </c>
      <c r="I9025" t="n">
        <v>0</v>
      </c>
      <c r="J9025" t="n">
        <v>0</v>
      </c>
      <c r="K9025" t="n">
        <v>0</v>
      </c>
      <c r="L9025" t="n">
        <v>0</v>
      </c>
      <c r="M9025" t="n">
        <v>0</v>
      </c>
      <c r="N9025" t="n">
        <v>0</v>
      </c>
      <c r="O9025" t="n">
        <v>0</v>
      </c>
      <c r="P9025" t="n">
        <v>0</v>
      </c>
      <c r="Q9025" t="n">
        <v>0</v>
      </c>
      <c r="R9025" s="2" t="inlineStr"/>
    </row>
    <row r="9026" ht="15" customHeight="1">
      <c r="A9026" t="inlineStr">
        <is>
          <t>A 7690-2023</t>
        </is>
      </c>
      <c r="B9026" s="1" t="n">
        <v>44972</v>
      </c>
      <c r="C9026" s="1" t="n">
        <v>45810</v>
      </c>
      <c r="D9026" t="inlineStr">
        <is>
          <t>VÄRMLANDS LÄN</t>
        </is>
      </c>
      <c r="E9026" t="inlineStr">
        <is>
          <t>FORSHAGA</t>
        </is>
      </c>
      <c r="G9026" t="n">
        <v>2.1</v>
      </c>
      <c r="H9026" t="n">
        <v>0</v>
      </c>
      <c r="I9026" t="n">
        <v>0</v>
      </c>
      <c r="J9026" t="n">
        <v>0</v>
      </c>
      <c r="K9026" t="n">
        <v>0</v>
      </c>
      <c r="L9026" t="n">
        <v>0</v>
      </c>
      <c r="M9026" t="n">
        <v>0</v>
      </c>
      <c r="N9026" t="n">
        <v>0</v>
      </c>
      <c r="O9026" t="n">
        <v>0</v>
      </c>
      <c r="P9026" t="n">
        <v>0</v>
      </c>
      <c r="Q9026" t="n">
        <v>0</v>
      </c>
      <c r="R9026" s="2" t="inlineStr"/>
    </row>
    <row r="9027" ht="15" customHeight="1">
      <c r="A9027" t="inlineStr">
        <is>
          <t>A 7697-2023</t>
        </is>
      </c>
      <c r="B9027" s="1" t="n">
        <v>44972</v>
      </c>
      <c r="C9027" s="1" t="n">
        <v>45810</v>
      </c>
      <c r="D9027" t="inlineStr">
        <is>
          <t>VÄRMLANDS LÄN</t>
        </is>
      </c>
      <c r="E9027" t="inlineStr">
        <is>
          <t>FORSHAGA</t>
        </is>
      </c>
      <c r="G9027" t="n">
        <v>5.5</v>
      </c>
      <c r="H9027" t="n">
        <v>0</v>
      </c>
      <c r="I9027" t="n">
        <v>0</v>
      </c>
      <c r="J9027" t="n">
        <v>0</v>
      </c>
      <c r="K9027" t="n">
        <v>0</v>
      </c>
      <c r="L9027" t="n">
        <v>0</v>
      </c>
      <c r="M9027" t="n">
        <v>0</v>
      </c>
      <c r="N9027" t="n">
        <v>0</v>
      </c>
      <c r="O9027" t="n">
        <v>0</v>
      </c>
      <c r="P9027" t="n">
        <v>0</v>
      </c>
      <c r="Q9027" t="n">
        <v>0</v>
      </c>
      <c r="R9027" s="2" t="inlineStr"/>
    </row>
    <row r="9028" ht="15" customHeight="1">
      <c r="A9028" t="inlineStr">
        <is>
          <t>A 7745-2023</t>
        </is>
      </c>
      <c r="B9028" s="1" t="n">
        <v>44973</v>
      </c>
      <c r="C9028" s="1" t="n">
        <v>45810</v>
      </c>
      <c r="D9028" t="inlineStr">
        <is>
          <t>VÄRMLANDS LÄN</t>
        </is>
      </c>
      <c r="E9028" t="inlineStr">
        <is>
          <t>TORSBY</t>
        </is>
      </c>
      <c r="G9028" t="n">
        <v>3.3</v>
      </c>
      <c r="H9028" t="n">
        <v>0</v>
      </c>
      <c r="I9028" t="n">
        <v>0</v>
      </c>
      <c r="J9028" t="n">
        <v>0</v>
      </c>
      <c r="K9028" t="n">
        <v>0</v>
      </c>
      <c r="L9028" t="n">
        <v>0</v>
      </c>
      <c r="M9028" t="n">
        <v>0</v>
      </c>
      <c r="N9028" t="n">
        <v>0</v>
      </c>
      <c r="O9028" t="n">
        <v>0</v>
      </c>
      <c r="P9028" t="n">
        <v>0</v>
      </c>
      <c r="Q9028" t="n">
        <v>0</v>
      </c>
      <c r="R9028" s="2" t="inlineStr"/>
    </row>
    <row r="9029" ht="15" customHeight="1">
      <c r="A9029" t="inlineStr">
        <is>
          <t>A 7854-2023</t>
        </is>
      </c>
      <c r="B9029" s="1" t="n">
        <v>44973</v>
      </c>
      <c r="C9029" s="1" t="n">
        <v>45810</v>
      </c>
      <c r="D9029" t="inlineStr">
        <is>
          <t>VÄRMLANDS LÄN</t>
        </is>
      </c>
      <c r="E9029" t="inlineStr">
        <is>
          <t>ÅRJÄNG</t>
        </is>
      </c>
      <c r="G9029" t="n">
        <v>3.2</v>
      </c>
      <c r="H9029" t="n">
        <v>0</v>
      </c>
      <c r="I9029" t="n">
        <v>0</v>
      </c>
      <c r="J9029" t="n">
        <v>0</v>
      </c>
      <c r="K9029" t="n">
        <v>0</v>
      </c>
      <c r="L9029" t="n">
        <v>0</v>
      </c>
      <c r="M9029" t="n">
        <v>0</v>
      </c>
      <c r="N9029" t="n">
        <v>0</v>
      </c>
      <c r="O9029" t="n">
        <v>0</v>
      </c>
      <c r="P9029" t="n">
        <v>0</v>
      </c>
      <c r="Q9029" t="n">
        <v>0</v>
      </c>
      <c r="R9029" s="2" t="inlineStr"/>
    </row>
    <row r="9030" ht="15" customHeight="1">
      <c r="A9030" t="inlineStr">
        <is>
          <t>A 7753-2023</t>
        </is>
      </c>
      <c r="B9030" s="1" t="n">
        <v>44973</v>
      </c>
      <c r="C9030" s="1" t="n">
        <v>45810</v>
      </c>
      <c r="D9030" t="inlineStr">
        <is>
          <t>VÄRMLANDS LÄN</t>
        </is>
      </c>
      <c r="E9030" t="inlineStr">
        <is>
          <t>TORSBY</t>
        </is>
      </c>
      <c r="G9030" t="n">
        <v>2.7</v>
      </c>
      <c r="H9030" t="n">
        <v>0</v>
      </c>
      <c r="I9030" t="n">
        <v>0</v>
      </c>
      <c r="J9030" t="n">
        <v>0</v>
      </c>
      <c r="K9030" t="n">
        <v>0</v>
      </c>
      <c r="L9030" t="n">
        <v>0</v>
      </c>
      <c r="M9030" t="n">
        <v>0</v>
      </c>
      <c r="N9030" t="n">
        <v>0</v>
      </c>
      <c r="O9030" t="n">
        <v>0</v>
      </c>
      <c r="P9030" t="n">
        <v>0</v>
      </c>
      <c r="Q9030" t="n">
        <v>0</v>
      </c>
      <c r="R9030" s="2" t="inlineStr"/>
    </row>
    <row r="9031" ht="15" customHeight="1">
      <c r="A9031" t="inlineStr">
        <is>
          <t>A 7855-2023</t>
        </is>
      </c>
      <c r="B9031" s="1" t="n">
        <v>44973</v>
      </c>
      <c r="C9031" s="1" t="n">
        <v>45810</v>
      </c>
      <c r="D9031" t="inlineStr">
        <is>
          <t>VÄRMLANDS LÄN</t>
        </is>
      </c>
      <c r="E9031" t="inlineStr">
        <is>
          <t>ARVIKA</t>
        </is>
      </c>
      <c r="G9031" t="n">
        <v>2.5</v>
      </c>
      <c r="H9031" t="n">
        <v>0</v>
      </c>
      <c r="I9031" t="n">
        <v>0</v>
      </c>
      <c r="J9031" t="n">
        <v>0</v>
      </c>
      <c r="K9031" t="n">
        <v>0</v>
      </c>
      <c r="L9031" t="n">
        <v>0</v>
      </c>
      <c r="M9031" t="n">
        <v>0</v>
      </c>
      <c r="N9031" t="n">
        <v>0</v>
      </c>
      <c r="O9031" t="n">
        <v>0</v>
      </c>
      <c r="P9031" t="n">
        <v>0</v>
      </c>
      <c r="Q9031" t="n">
        <v>0</v>
      </c>
      <c r="R9031" s="2" t="inlineStr"/>
    </row>
    <row r="9032" ht="15" customHeight="1">
      <c r="A9032" t="inlineStr">
        <is>
          <t>A 7840-2023</t>
        </is>
      </c>
      <c r="B9032" s="1" t="n">
        <v>44973</v>
      </c>
      <c r="C9032" s="1" t="n">
        <v>45810</v>
      </c>
      <c r="D9032" t="inlineStr">
        <is>
          <t>VÄRMLANDS LÄN</t>
        </is>
      </c>
      <c r="E9032" t="inlineStr">
        <is>
          <t>KARLSTAD</t>
        </is>
      </c>
      <c r="G9032" t="n">
        <v>2.4</v>
      </c>
      <c r="H9032" t="n">
        <v>0</v>
      </c>
      <c r="I9032" t="n">
        <v>0</v>
      </c>
      <c r="J9032" t="n">
        <v>0</v>
      </c>
      <c r="K9032" t="n">
        <v>0</v>
      </c>
      <c r="L9032" t="n">
        <v>0</v>
      </c>
      <c r="M9032" t="n">
        <v>0</v>
      </c>
      <c r="N9032" t="n">
        <v>0</v>
      </c>
      <c r="O9032" t="n">
        <v>0</v>
      </c>
      <c r="P9032" t="n">
        <v>0</v>
      </c>
      <c r="Q9032" t="n">
        <v>0</v>
      </c>
      <c r="R9032" s="2" t="inlineStr"/>
    </row>
    <row r="9033" ht="15" customHeight="1">
      <c r="A9033" t="inlineStr">
        <is>
          <t>A 7866-2023</t>
        </is>
      </c>
      <c r="B9033" s="1" t="n">
        <v>44973</v>
      </c>
      <c r="C9033" s="1" t="n">
        <v>45810</v>
      </c>
      <c r="D9033" t="inlineStr">
        <is>
          <t>VÄRMLANDS LÄN</t>
        </is>
      </c>
      <c r="E9033" t="inlineStr">
        <is>
          <t>KARLSTAD</t>
        </is>
      </c>
      <c r="G9033" t="n">
        <v>15.8</v>
      </c>
      <c r="H9033" t="n">
        <v>0</v>
      </c>
      <c r="I9033" t="n">
        <v>0</v>
      </c>
      <c r="J9033" t="n">
        <v>0</v>
      </c>
      <c r="K9033" t="n">
        <v>0</v>
      </c>
      <c r="L9033" t="n">
        <v>0</v>
      </c>
      <c r="M9033" t="n">
        <v>0</v>
      </c>
      <c r="N9033" t="n">
        <v>0</v>
      </c>
      <c r="O9033" t="n">
        <v>0</v>
      </c>
      <c r="P9033" t="n">
        <v>0</v>
      </c>
      <c r="Q9033" t="n">
        <v>0</v>
      </c>
      <c r="R9033" s="2" t="inlineStr"/>
    </row>
    <row r="9034" ht="15" customHeight="1">
      <c r="A9034" t="inlineStr">
        <is>
          <t>A 7919-2023</t>
        </is>
      </c>
      <c r="B9034" s="1" t="n">
        <v>44973</v>
      </c>
      <c r="C9034" s="1" t="n">
        <v>45810</v>
      </c>
      <c r="D9034" t="inlineStr">
        <is>
          <t>VÄRMLANDS LÄN</t>
        </is>
      </c>
      <c r="E9034" t="inlineStr">
        <is>
          <t>FORSHAGA</t>
        </is>
      </c>
      <c r="G9034" t="n">
        <v>0.6</v>
      </c>
      <c r="H9034" t="n">
        <v>0</v>
      </c>
      <c r="I9034" t="n">
        <v>0</v>
      </c>
      <c r="J9034" t="n">
        <v>0</v>
      </c>
      <c r="K9034" t="n">
        <v>0</v>
      </c>
      <c r="L9034" t="n">
        <v>0</v>
      </c>
      <c r="M9034" t="n">
        <v>0</v>
      </c>
      <c r="N9034" t="n">
        <v>0</v>
      </c>
      <c r="O9034" t="n">
        <v>0</v>
      </c>
      <c r="P9034" t="n">
        <v>0</v>
      </c>
      <c r="Q9034" t="n">
        <v>0</v>
      </c>
      <c r="R9034" s="2" t="inlineStr"/>
    </row>
    <row r="9035" ht="15" customHeight="1">
      <c r="A9035" t="inlineStr">
        <is>
          <t>A 7877-2023</t>
        </is>
      </c>
      <c r="B9035" s="1" t="n">
        <v>44973</v>
      </c>
      <c r="C9035" s="1" t="n">
        <v>45810</v>
      </c>
      <c r="D9035" t="inlineStr">
        <is>
          <t>VÄRMLANDS LÄN</t>
        </is>
      </c>
      <c r="E9035" t="inlineStr">
        <is>
          <t>ARVIKA</t>
        </is>
      </c>
      <c r="F9035" t="inlineStr">
        <is>
          <t>Bergvik skog väst AB</t>
        </is>
      </c>
      <c r="G9035" t="n">
        <v>1.9</v>
      </c>
      <c r="H9035" t="n">
        <v>0</v>
      </c>
      <c r="I9035" t="n">
        <v>0</v>
      </c>
      <c r="J9035" t="n">
        <v>0</v>
      </c>
      <c r="K9035" t="n">
        <v>0</v>
      </c>
      <c r="L9035" t="n">
        <v>0</v>
      </c>
      <c r="M9035" t="n">
        <v>0</v>
      </c>
      <c r="N9035" t="n">
        <v>0</v>
      </c>
      <c r="O9035" t="n">
        <v>0</v>
      </c>
      <c r="P9035" t="n">
        <v>0</v>
      </c>
      <c r="Q9035" t="n">
        <v>0</v>
      </c>
      <c r="R9035" s="2" t="inlineStr"/>
    </row>
    <row r="9036" ht="15" customHeight="1">
      <c r="A9036" t="inlineStr">
        <is>
          <t>A 7892-2023</t>
        </is>
      </c>
      <c r="B9036" s="1" t="n">
        <v>44973</v>
      </c>
      <c r="C9036" s="1" t="n">
        <v>45810</v>
      </c>
      <c r="D9036" t="inlineStr">
        <is>
          <t>VÄRMLANDS LÄN</t>
        </is>
      </c>
      <c r="E9036" t="inlineStr">
        <is>
          <t>KARLSTAD</t>
        </is>
      </c>
      <c r="G9036" t="n">
        <v>5</v>
      </c>
      <c r="H9036" t="n">
        <v>0</v>
      </c>
      <c r="I9036" t="n">
        <v>0</v>
      </c>
      <c r="J9036" t="n">
        <v>0</v>
      </c>
      <c r="K9036" t="n">
        <v>0</v>
      </c>
      <c r="L9036" t="n">
        <v>0</v>
      </c>
      <c r="M9036" t="n">
        <v>0</v>
      </c>
      <c r="N9036" t="n">
        <v>0</v>
      </c>
      <c r="O9036" t="n">
        <v>0</v>
      </c>
      <c r="P9036" t="n">
        <v>0</v>
      </c>
      <c r="Q9036" t="n">
        <v>0</v>
      </c>
      <c r="R9036" s="2" t="inlineStr"/>
    </row>
    <row r="9037" ht="15" customHeight="1">
      <c r="A9037" t="inlineStr">
        <is>
          <t>A 8016-2023</t>
        </is>
      </c>
      <c r="B9037" s="1" t="n">
        <v>44973</v>
      </c>
      <c r="C9037" s="1" t="n">
        <v>45810</v>
      </c>
      <c r="D9037" t="inlineStr">
        <is>
          <t>VÄRMLANDS LÄN</t>
        </is>
      </c>
      <c r="E9037" t="inlineStr">
        <is>
          <t>TORSBY</t>
        </is>
      </c>
      <c r="G9037" t="n">
        <v>0.7</v>
      </c>
      <c r="H9037" t="n">
        <v>0</v>
      </c>
      <c r="I9037" t="n">
        <v>0</v>
      </c>
      <c r="J9037" t="n">
        <v>0</v>
      </c>
      <c r="K9037" t="n">
        <v>0</v>
      </c>
      <c r="L9037" t="n">
        <v>0</v>
      </c>
      <c r="M9037" t="n">
        <v>0</v>
      </c>
      <c r="N9037" t="n">
        <v>0</v>
      </c>
      <c r="O9037" t="n">
        <v>0</v>
      </c>
      <c r="P9037" t="n">
        <v>0</v>
      </c>
      <c r="Q9037" t="n">
        <v>0</v>
      </c>
      <c r="R9037" s="2" t="inlineStr"/>
    </row>
    <row r="9038" ht="15" customHeight="1">
      <c r="A9038" t="inlineStr">
        <is>
          <t>A 8910-2023</t>
        </is>
      </c>
      <c r="B9038" s="1" t="n">
        <v>44973</v>
      </c>
      <c r="C9038" s="1" t="n">
        <v>45810</v>
      </c>
      <c r="D9038" t="inlineStr">
        <is>
          <t>VÄRMLANDS LÄN</t>
        </is>
      </c>
      <c r="E9038" t="inlineStr">
        <is>
          <t>TORSBY</t>
        </is>
      </c>
      <c r="G9038" t="n">
        <v>3.8</v>
      </c>
      <c r="H9038" t="n">
        <v>0</v>
      </c>
      <c r="I9038" t="n">
        <v>0</v>
      </c>
      <c r="J9038" t="n">
        <v>0</v>
      </c>
      <c r="K9038" t="n">
        <v>0</v>
      </c>
      <c r="L9038" t="n">
        <v>0</v>
      </c>
      <c r="M9038" t="n">
        <v>0</v>
      </c>
      <c r="N9038" t="n">
        <v>0</v>
      </c>
      <c r="O9038" t="n">
        <v>0</v>
      </c>
      <c r="P9038" t="n">
        <v>0</v>
      </c>
      <c r="Q9038" t="n">
        <v>0</v>
      </c>
      <c r="R9038" s="2" t="inlineStr"/>
    </row>
    <row r="9039" ht="15" customHeight="1">
      <c r="A9039" t="inlineStr">
        <is>
          <t>A 8012-2023</t>
        </is>
      </c>
      <c r="B9039" s="1" t="n">
        <v>44973</v>
      </c>
      <c r="C9039" s="1" t="n">
        <v>45810</v>
      </c>
      <c r="D9039" t="inlineStr">
        <is>
          <t>VÄRMLANDS LÄN</t>
        </is>
      </c>
      <c r="E9039" t="inlineStr">
        <is>
          <t>TORSBY</t>
        </is>
      </c>
      <c r="G9039" t="n">
        <v>2.4</v>
      </c>
      <c r="H9039" t="n">
        <v>0</v>
      </c>
      <c r="I9039" t="n">
        <v>0</v>
      </c>
      <c r="J9039" t="n">
        <v>0</v>
      </c>
      <c r="K9039" t="n">
        <v>0</v>
      </c>
      <c r="L9039" t="n">
        <v>0</v>
      </c>
      <c r="M9039" t="n">
        <v>0</v>
      </c>
      <c r="N9039" t="n">
        <v>0</v>
      </c>
      <c r="O9039" t="n">
        <v>0</v>
      </c>
      <c r="P9039" t="n">
        <v>0</v>
      </c>
      <c r="Q9039" t="n">
        <v>0</v>
      </c>
      <c r="R9039" s="2" t="inlineStr"/>
    </row>
    <row r="9040" ht="15" customHeight="1">
      <c r="A9040" t="inlineStr">
        <is>
          <t>A 8828-2023</t>
        </is>
      </c>
      <c r="B9040" s="1" t="n">
        <v>44973</v>
      </c>
      <c r="C9040" s="1" t="n">
        <v>45810</v>
      </c>
      <c r="D9040" t="inlineStr">
        <is>
          <t>VÄRMLANDS LÄN</t>
        </is>
      </c>
      <c r="E9040" t="inlineStr">
        <is>
          <t>ÅRJÄNG</t>
        </is>
      </c>
      <c r="G9040" t="n">
        <v>1.4</v>
      </c>
      <c r="H9040" t="n">
        <v>0</v>
      </c>
      <c r="I9040" t="n">
        <v>0</v>
      </c>
      <c r="J9040" t="n">
        <v>0</v>
      </c>
      <c r="K9040" t="n">
        <v>0</v>
      </c>
      <c r="L9040" t="n">
        <v>0</v>
      </c>
      <c r="M9040" t="n">
        <v>0</v>
      </c>
      <c r="N9040" t="n">
        <v>0</v>
      </c>
      <c r="O9040" t="n">
        <v>0</v>
      </c>
      <c r="P9040" t="n">
        <v>0</v>
      </c>
      <c r="Q9040" t="n">
        <v>0</v>
      </c>
      <c r="R9040" s="2" t="inlineStr"/>
    </row>
    <row r="9041" ht="15" customHeight="1">
      <c r="A9041" t="inlineStr">
        <is>
          <t>A 8909-2023</t>
        </is>
      </c>
      <c r="B9041" s="1" t="n">
        <v>44973</v>
      </c>
      <c r="C9041" s="1" t="n">
        <v>45810</v>
      </c>
      <c r="D9041" t="inlineStr">
        <is>
          <t>VÄRMLANDS LÄN</t>
        </is>
      </c>
      <c r="E9041" t="inlineStr">
        <is>
          <t>SÄFFLE</t>
        </is>
      </c>
      <c r="G9041" t="n">
        <v>4.2</v>
      </c>
      <c r="H9041" t="n">
        <v>0</v>
      </c>
      <c r="I9041" t="n">
        <v>0</v>
      </c>
      <c r="J9041" t="n">
        <v>0</v>
      </c>
      <c r="K9041" t="n">
        <v>0</v>
      </c>
      <c r="L9041" t="n">
        <v>0</v>
      </c>
      <c r="M9041" t="n">
        <v>0</v>
      </c>
      <c r="N9041" t="n">
        <v>0</v>
      </c>
      <c r="O9041" t="n">
        <v>0</v>
      </c>
      <c r="P9041" t="n">
        <v>0</v>
      </c>
      <c r="Q9041" t="n">
        <v>0</v>
      </c>
      <c r="R9041" s="2" t="inlineStr"/>
    </row>
    <row r="9042" ht="15" customHeight="1">
      <c r="A9042" t="inlineStr">
        <is>
          <t>A 8101-2023</t>
        </is>
      </c>
      <c r="B9042" s="1" t="n">
        <v>44974</v>
      </c>
      <c r="C9042" s="1" t="n">
        <v>45810</v>
      </c>
      <c r="D9042" t="inlineStr">
        <is>
          <t>VÄRMLANDS LÄN</t>
        </is>
      </c>
      <c r="E9042" t="inlineStr">
        <is>
          <t>ÅRJÄNG</t>
        </is>
      </c>
      <c r="G9042" t="n">
        <v>1.3</v>
      </c>
      <c r="H9042" t="n">
        <v>0</v>
      </c>
      <c r="I9042" t="n">
        <v>0</v>
      </c>
      <c r="J9042" t="n">
        <v>0</v>
      </c>
      <c r="K9042" t="n">
        <v>0</v>
      </c>
      <c r="L9042" t="n">
        <v>0</v>
      </c>
      <c r="M9042" t="n">
        <v>0</v>
      </c>
      <c r="N9042" t="n">
        <v>0</v>
      </c>
      <c r="O9042" t="n">
        <v>0</v>
      </c>
      <c r="P9042" t="n">
        <v>0</v>
      </c>
      <c r="Q9042" t="n">
        <v>0</v>
      </c>
      <c r="R9042" s="2" t="inlineStr"/>
    </row>
    <row r="9043" ht="15" customHeight="1">
      <c r="A9043" t="inlineStr">
        <is>
          <t>A 8109-2023</t>
        </is>
      </c>
      <c r="B9043" s="1" t="n">
        <v>44974</v>
      </c>
      <c r="C9043" s="1" t="n">
        <v>45810</v>
      </c>
      <c r="D9043" t="inlineStr">
        <is>
          <t>VÄRMLANDS LÄN</t>
        </is>
      </c>
      <c r="E9043" t="inlineStr">
        <is>
          <t>ARVIKA</t>
        </is>
      </c>
      <c r="G9043" t="n">
        <v>13.8</v>
      </c>
      <c r="H9043" t="n">
        <v>0</v>
      </c>
      <c r="I9043" t="n">
        <v>0</v>
      </c>
      <c r="J9043" t="n">
        <v>0</v>
      </c>
      <c r="K9043" t="n">
        <v>0</v>
      </c>
      <c r="L9043" t="n">
        <v>0</v>
      </c>
      <c r="M9043" t="n">
        <v>0</v>
      </c>
      <c r="N9043" t="n">
        <v>0</v>
      </c>
      <c r="O9043" t="n">
        <v>0</v>
      </c>
      <c r="P9043" t="n">
        <v>0</v>
      </c>
      <c r="Q9043" t="n">
        <v>0</v>
      </c>
      <c r="R9043" s="2" t="inlineStr"/>
    </row>
    <row r="9044" ht="15" customHeight="1">
      <c r="A9044" t="inlineStr">
        <is>
          <t>A 8115-2023</t>
        </is>
      </c>
      <c r="B9044" s="1" t="n">
        <v>44974</v>
      </c>
      <c r="C9044" s="1" t="n">
        <v>45810</v>
      </c>
      <c r="D9044" t="inlineStr">
        <is>
          <t>VÄRMLANDS LÄN</t>
        </is>
      </c>
      <c r="E9044" t="inlineStr">
        <is>
          <t>ÅRJÄNG</t>
        </is>
      </c>
      <c r="G9044" t="n">
        <v>2.6</v>
      </c>
      <c r="H9044" t="n">
        <v>0</v>
      </c>
      <c r="I9044" t="n">
        <v>0</v>
      </c>
      <c r="J9044" t="n">
        <v>0</v>
      </c>
      <c r="K9044" t="n">
        <v>0</v>
      </c>
      <c r="L9044" t="n">
        <v>0</v>
      </c>
      <c r="M9044" t="n">
        <v>0</v>
      </c>
      <c r="N9044" t="n">
        <v>0</v>
      </c>
      <c r="O9044" t="n">
        <v>0</v>
      </c>
      <c r="P9044" t="n">
        <v>0</v>
      </c>
      <c r="Q9044" t="n">
        <v>0</v>
      </c>
      <c r="R9044" s="2" t="inlineStr"/>
    </row>
    <row r="9045" ht="15" customHeight="1">
      <c r="A9045" t="inlineStr">
        <is>
          <t>A 8173-2023</t>
        </is>
      </c>
      <c r="B9045" s="1" t="n">
        <v>44974</v>
      </c>
      <c r="C9045" s="1" t="n">
        <v>45810</v>
      </c>
      <c r="D9045" t="inlineStr">
        <is>
          <t>VÄRMLANDS LÄN</t>
        </is>
      </c>
      <c r="E9045" t="inlineStr">
        <is>
          <t>KRISTINEHAMN</t>
        </is>
      </c>
      <c r="G9045" t="n">
        <v>4</v>
      </c>
      <c r="H9045" t="n">
        <v>0</v>
      </c>
      <c r="I9045" t="n">
        <v>0</v>
      </c>
      <c r="J9045" t="n">
        <v>0</v>
      </c>
      <c r="K9045" t="n">
        <v>0</v>
      </c>
      <c r="L9045" t="n">
        <v>0</v>
      </c>
      <c r="M9045" t="n">
        <v>0</v>
      </c>
      <c r="N9045" t="n">
        <v>0</v>
      </c>
      <c r="O9045" t="n">
        <v>0</v>
      </c>
      <c r="P9045" t="n">
        <v>0</v>
      </c>
      <c r="Q9045" t="n">
        <v>0</v>
      </c>
      <c r="R9045" s="2" t="inlineStr"/>
    </row>
    <row r="9046" ht="15" customHeight="1">
      <c r="A9046" t="inlineStr">
        <is>
          <t>A 8083-2023</t>
        </is>
      </c>
      <c r="B9046" s="1" t="n">
        <v>44974</v>
      </c>
      <c r="C9046" s="1" t="n">
        <v>45810</v>
      </c>
      <c r="D9046" t="inlineStr">
        <is>
          <t>VÄRMLANDS LÄN</t>
        </is>
      </c>
      <c r="E9046" t="inlineStr">
        <is>
          <t>ARVIKA</t>
        </is>
      </c>
      <c r="G9046" t="n">
        <v>0.9</v>
      </c>
      <c r="H9046" t="n">
        <v>0</v>
      </c>
      <c r="I9046" t="n">
        <v>0</v>
      </c>
      <c r="J9046" t="n">
        <v>0</v>
      </c>
      <c r="K9046" t="n">
        <v>0</v>
      </c>
      <c r="L9046" t="n">
        <v>0</v>
      </c>
      <c r="M9046" t="n">
        <v>0</v>
      </c>
      <c r="N9046" t="n">
        <v>0</v>
      </c>
      <c r="O9046" t="n">
        <v>0</v>
      </c>
      <c r="P9046" t="n">
        <v>0</v>
      </c>
      <c r="Q9046" t="n">
        <v>0</v>
      </c>
      <c r="R9046" s="2" t="inlineStr"/>
    </row>
    <row r="9047" ht="15" customHeight="1">
      <c r="A9047" t="inlineStr">
        <is>
          <t>A 8108-2023</t>
        </is>
      </c>
      <c r="B9047" s="1" t="n">
        <v>44974</v>
      </c>
      <c r="C9047" s="1" t="n">
        <v>45810</v>
      </c>
      <c r="D9047" t="inlineStr">
        <is>
          <t>VÄRMLANDS LÄN</t>
        </is>
      </c>
      <c r="E9047" t="inlineStr">
        <is>
          <t>ÅRJÄNG</t>
        </is>
      </c>
      <c r="G9047" t="n">
        <v>1.6</v>
      </c>
      <c r="H9047" t="n">
        <v>0</v>
      </c>
      <c r="I9047" t="n">
        <v>0</v>
      </c>
      <c r="J9047" t="n">
        <v>0</v>
      </c>
      <c r="K9047" t="n">
        <v>0</v>
      </c>
      <c r="L9047" t="n">
        <v>0</v>
      </c>
      <c r="M9047" t="n">
        <v>0</v>
      </c>
      <c r="N9047" t="n">
        <v>0</v>
      </c>
      <c r="O9047" t="n">
        <v>0</v>
      </c>
      <c r="P9047" t="n">
        <v>0</v>
      </c>
      <c r="Q9047" t="n">
        <v>0</v>
      </c>
      <c r="R9047" s="2" t="inlineStr"/>
    </row>
    <row r="9048" ht="15" customHeight="1">
      <c r="A9048" t="inlineStr">
        <is>
          <t>A 8195-2023</t>
        </is>
      </c>
      <c r="B9048" s="1" t="n">
        <v>44974</v>
      </c>
      <c r="C9048" s="1" t="n">
        <v>45810</v>
      </c>
      <c r="D9048" t="inlineStr">
        <is>
          <t>VÄRMLANDS LÄN</t>
        </is>
      </c>
      <c r="E9048" t="inlineStr">
        <is>
          <t>KARLSTAD</t>
        </is>
      </c>
      <c r="G9048" t="n">
        <v>2.8</v>
      </c>
      <c r="H9048" t="n">
        <v>0</v>
      </c>
      <c r="I9048" t="n">
        <v>0</v>
      </c>
      <c r="J9048" t="n">
        <v>0</v>
      </c>
      <c r="K9048" t="n">
        <v>0</v>
      </c>
      <c r="L9048" t="n">
        <v>0</v>
      </c>
      <c r="M9048" t="n">
        <v>0</v>
      </c>
      <c r="N9048" t="n">
        <v>0</v>
      </c>
      <c r="O9048" t="n">
        <v>0</v>
      </c>
      <c r="P9048" t="n">
        <v>0</v>
      </c>
      <c r="Q9048" t="n">
        <v>0</v>
      </c>
      <c r="R9048" s="2" t="inlineStr"/>
    </row>
    <row r="9049" ht="15" customHeight="1">
      <c r="A9049" t="inlineStr">
        <is>
          <t>A 8301-2023</t>
        </is>
      </c>
      <c r="B9049" s="1" t="n">
        <v>44974</v>
      </c>
      <c r="C9049" s="1" t="n">
        <v>45810</v>
      </c>
      <c r="D9049" t="inlineStr">
        <is>
          <t>VÄRMLANDS LÄN</t>
        </is>
      </c>
      <c r="E9049" t="inlineStr">
        <is>
          <t>FILIPSTAD</t>
        </is>
      </c>
      <c r="G9049" t="n">
        <v>4.1</v>
      </c>
      <c r="H9049" t="n">
        <v>0</v>
      </c>
      <c r="I9049" t="n">
        <v>0</v>
      </c>
      <c r="J9049" t="n">
        <v>0</v>
      </c>
      <c r="K9049" t="n">
        <v>0</v>
      </c>
      <c r="L9049" t="n">
        <v>0</v>
      </c>
      <c r="M9049" t="n">
        <v>0</v>
      </c>
      <c r="N9049" t="n">
        <v>0</v>
      </c>
      <c r="O9049" t="n">
        <v>0</v>
      </c>
      <c r="P9049" t="n">
        <v>0</v>
      </c>
      <c r="Q9049" t="n">
        <v>0</v>
      </c>
      <c r="R9049" s="2" t="inlineStr"/>
    </row>
    <row r="9050" ht="15" customHeight="1">
      <c r="A9050" t="inlineStr">
        <is>
          <t>A 8284-2023</t>
        </is>
      </c>
      <c r="B9050" s="1" t="n">
        <v>44974</v>
      </c>
      <c r="C9050" s="1" t="n">
        <v>45810</v>
      </c>
      <c r="D9050" t="inlineStr">
        <is>
          <t>VÄRMLANDS LÄN</t>
        </is>
      </c>
      <c r="E9050" t="inlineStr">
        <is>
          <t>TORSBY</t>
        </is>
      </c>
      <c r="G9050" t="n">
        <v>1.9</v>
      </c>
      <c r="H9050" t="n">
        <v>0</v>
      </c>
      <c r="I9050" t="n">
        <v>0</v>
      </c>
      <c r="J9050" t="n">
        <v>0</v>
      </c>
      <c r="K9050" t="n">
        <v>0</v>
      </c>
      <c r="L9050" t="n">
        <v>0</v>
      </c>
      <c r="M9050" t="n">
        <v>0</v>
      </c>
      <c r="N9050" t="n">
        <v>0</v>
      </c>
      <c r="O9050" t="n">
        <v>0</v>
      </c>
      <c r="P9050" t="n">
        <v>0</v>
      </c>
      <c r="Q9050" t="n">
        <v>0</v>
      </c>
      <c r="R9050" s="2" t="inlineStr"/>
    </row>
    <row r="9051" ht="15" customHeight="1">
      <c r="A9051" t="inlineStr">
        <is>
          <t>A 8281-2023</t>
        </is>
      </c>
      <c r="B9051" s="1" t="n">
        <v>44974</v>
      </c>
      <c r="C9051" s="1" t="n">
        <v>45810</v>
      </c>
      <c r="D9051" t="inlineStr">
        <is>
          <t>VÄRMLANDS LÄN</t>
        </is>
      </c>
      <c r="E9051" t="inlineStr">
        <is>
          <t>TORSBY</t>
        </is>
      </c>
      <c r="G9051" t="n">
        <v>1.9</v>
      </c>
      <c r="H9051" t="n">
        <v>0</v>
      </c>
      <c r="I9051" t="n">
        <v>0</v>
      </c>
      <c r="J9051" t="n">
        <v>0</v>
      </c>
      <c r="K9051" t="n">
        <v>0</v>
      </c>
      <c r="L9051" t="n">
        <v>0</v>
      </c>
      <c r="M9051" t="n">
        <v>0</v>
      </c>
      <c r="N9051" t="n">
        <v>0</v>
      </c>
      <c r="O9051" t="n">
        <v>0</v>
      </c>
      <c r="P9051" t="n">
        <v>0</v>
      </c>
      <c r="Q9051" t="n">
        <v>0</v>
      </c>
      <c r="R9051" s="2" t="inlineStr"/>
    </row>
    <row r="9052" ht="15" customHeight="1">
      <c r="A9052" t="inlineStr">
        <is>
          <t>A 8285-2023</t>
        </is>
      </c>
      <c r="B9052" s="1" t="n">
        <v>44974</v>
      </c>
      <c r="C9052" s="1" t="n">
        <v>45810</v>
      </c>
      <c r="D9052" t="inlineStr">
        <is>
          <t>VÄRMLANDS LÄN</t>
        </is>
      </c>
      <c r="E9052" t="inlineStr">
        <is>
          <t>SUNNE</t>
        </is>
      </c>
      <c r="G9052" t="n">
        <v>1.7</v>
      </c>
      <c r="H9052" t="n">
        <v>0</v>
      </c>
      <c r="I9052" t="n">
        <v>0</v>
      </c>
      <c r="J9052" t="n">
        <v>0</v>
      </c>
      <c r="K9052" t="n">
        <v>0</v>
      </c>
      <c r="L9052" t="n">
        <v>0</v>
      </c>
      <c r="M9052" t="n">
        <v>0</v>
      </c>
      <c r="N9052" t="n">
        <v>0</v>
      </c>
      <c r="O9052" t="n">
        <v>0</v>
      </c>
      <c r="P9052" t="n">
        <v>0</v>
      </c>
      <c r="Q9052" t="n">
        <v>0</v>
      </c>
      <c r="R9052" s="2" t="inlineStr"/>
    </row>
    <row r="9053" ht="15" customHeight="1">
      <c r="A9053" t="inlineStr">
        <is>
          <t>A 8287-2023</t>
        </is>
      </c>
      <c r="B9053" s="1" t="n">
        <v>44974</v>
      </c>
      <c r="C9053" s="1" t="n">
        <v>45810</v>
      </c>
      <c r="D9053" t="inlineStr">
        <is>
          <t>VÄRMLANDS LÄN</t>
        </is>
      </c>
      <c r="E9053" t="inlineStr">
        <is>
          <t>TORSBY</t>
        </is>
      </c>
      <c r="G9053" t="n">
        <v>2.9</v>
      </c>
      <c r="H9053" t="n">
        <v>0</v>
      </c>
      <c r="I9053" t="n">
        <v>0</v>
      </c>
      <c r="J9053" t="n">
        <v>0</v>
      </c>
      <c r="K9053" t="n">
        <v>0</v>
      </c>
      <c r="L9053" t="n">
        <v>0</v>
      </c>
      <c r="M9053" t="n">
        <v>0</v>
      </c>
      <c r="N9053" t="n">
        <v>0</v>
      </c>
      <c r="O9053" t="n">
        <v>0</v>
      </c>
      <c r="P9053" t="n">
        <v>0</v>
      </c>
      <c r="Q9053" t="n">
        <v>0</v>
      </c>
      <c r="R9053" s="2" t="inlineStr"/>
    </row>
    <row r="9054" ht="15" customHeight="1">
      <c r="A9054" t="inlineStr">
        <is>
          <t>A 8931-2023</t>
        </is>
      </c>
      <c r="B9054" s="1" t="n">
        <v>44974</v>
      </c>
      <c r="C9054" s="1" t="n">
        <v>45810</v>
      </c>
      <c r="D9054" t="inlineStr">
        <is>
          <t>VÄRMLANDS LÄN</t>
        </is>
      </c>
      <c r="E9054" t="inlineStr">
        <is>
          <t>TORSBY</t>
        </is>
      </c>
      <c r="G9054" t="n">
        <v>5</v>
      </c>
      <c r="H9054" t="n">
        <v>0</v>
      </c>
      <c r="I9054" t="n">
        <v>0</v>
      </c>
      <c r="J9054" t="n">
        <v>0</v>
      </c>
      <c r="K9054" t="n">
        <v>0</v>
      </c>
      <c r="L9054" t="n">
        <v>0</v>
      </c>
      <c r="M9054" t="n">
        <v>0</v>
      </c>
      <c r="N9054" t="n">
        <v>0</v>
      </c>
      <c r="O9054" t="n">
        <v>0</v>
      </c>
      <c r="P9054" t="n">
        <v>0</v>
      </c>
      <c r="Q9054" t="n">
        <v>0</v>
      </c>
      <c r="R9054" s="2" t="inlineStr"/>
    </row>
    <row r="9055" ht="15" customHeight="1">
      <c r="A9055" t="inlineStr">
        <is>
          <t>A 8928-2023</t>
        </is>
      </c>
      <c r="B9055" s="1" t="n">
        <v>44974</v>
      </c>
      <c r="C9055" s="1" t="n">
        <v>45810</v>
      </c>
      <c r="D9055" t="inlineStr">
        <is>
          <t>VÄRMLANDS LÄN</t>
        </is>
      </c>
      <c r="E9055" t="inlineStr">
        <is>
          <t>TORSBY</t>
        </is>
      </c>
      <c r="G9055" t="n">
        <v>2.5</v>
      </c>
      <c r="H9055" t="n">
        <v>0</v>
      </c>
      <c r="I9055" t="n">
        <v>0</v>
      </c>
      <c r="J9055" t="n">
        <v>0</v>
      </c>
      <c r="K9055" t="n">
        <v>0</v>
      </c>
      <c r="L9055" t="n">
        <v>0</v>
      </c>
      <c r="M9055" t="n">
        <v>0</v>
      </c>
      <c r="N9055" t="n">
        <v>0</v>
      </c>
      <c r="O9055" t="n">
        <v>0</v>
      </c>
      <c r="P9055" t="n">
        <v>0</v>
      </c>
      <c r="Q9055" t="n">
        <v>0</v>
      </c>
      <c r="R9055" s="2" t="inlineStr"/>
    </row>
    <row r="9056" ht="15" customHeight="1">
      <c r="A9056" t="inlineStr">
        <is>
          <t>A 8946-2023</t>
        </is>
      </c>
      <c r="B9056" s="1" t="n">
        <v>44974</v>
      </c>
      <c r="C9056" s="1" t="n">
        <v>45810</v>
      </c>
      <c r="D9056" t="inlineStr">
        <is>
          <t>VÄRMLANDS LÄN</t>
        </is>
      </c>
      <c r="E9056" t="inlineStr">
        <is>
          <t>ARVIKA</t>
        </is>
      </c>
      <c r="G9056" t="n">
        <v>11.2</v>
      </c>
      <c r="H9056" t="n">
        <v>0</v>
      </c>
      <c r="I9056" t="n">
        <v>0</v>
      </c>
      <c r="J9056" t="n">
        <v>0</v>
      </c>
      <c r="K9056" t="n">
        <v>0</v>
      </c>
      <c r="L9056" t="n">
        <v>0</v>
      </c>
      <c r="M9056" t="n">
        <v>0</v>
      </c>
      <c r="N9056" t="n">
        <v>0</v>
      </c>
      <c r="O9056" t="n">
        <v>0</v>
      </c>
      <c r="P9056" t="n">
        <v>0</v>
      </c>
      <c r="Q9056" t="n">
        <v>0</v>
      </c>
      <c r="R9056" s="2" t="inlineStr"/>
    </row>
    <row r="9057" ht="15" customHeight="1">
      <c r="A9057" t="inlineStr">
        <is>
          <t>A 9152-2023</t>
        </is>
      </c>
      <c r="B9057" s="1" t="n">
        <v>44976</v>
      </c>
      <c r="C9057" s="1" t="n">
        <v>45810</v>
      </c>
      <c r="D9057" t="inlineStr">
        <is>
          <t>VÄRMLANDS LÄN</t>
        </is>
      </c>
      <c r="E9057" t="inlineStr">
        <is>
          <t>SÄFFLE</t>
        </is>
      </c>
      <c r="G9057" t="n">
        <v>4.5</v>
      </c>
      <c r="H9057" t="n">
        <v>0</v>
      </c>
      <c r="I9057" t="n">
        <v>0</v>
      </c>
      <c r="J9057" t="n">
        <v>0</v>
      </c>
      <c r="K9057" t="n">
        <v>0</v>
      </c>
      <c r="L9057" t="n">
        <v>0</v>
      </c>
      <c r="M9057" t="n">
        <v>0</v>
      </c>
      <c r="N9057" t="n">
        <v>0</v>
      </c>
      <c r="O9057" t="n">
        <v>0</v>
      </c>
      <c r="P9057" t="n">
        <v>0</v>
      </c>
      <c r="Q9057" t="n">
        <v>0</v>
      </c>
      <c r="R9057" s="2" t="inlineStr"/>
    </row>
    <row r="9058" ht="15" customHeight="1">
      <c r="A9058" t="inlineStr">
        <is>
          <t>A 8451-2023</t>
        </is>
      </c>
      <c r="B9058" s="1" t="n">
        <v>44977</v>
      </c>
      <c r="C9058" s="1" t="n">
        <v>45810</v>
      </c>
      <c r="D9058" t="inlineStr">
        <is>
          <t>VÄRMLANDS LÄN</t>
        </is>
      </c>
      <c r="E9058" t="inlineStr">
        <is>
          <t>SÄFFLE</t>
        </is>
      </c>
      <c r="G9058" t="n">
        <v>5.3</v>
      </c>
      <c r="H9058" t="n">
        <v>0</v>
      </c>
      <c r="I9058" t="n">
        <v>0</v>
      </c>
      <c r="J9058" t="n">
        <v>0</v>
      </c>
      <c r="K9058" t="n">
        <v>0</v>
      </c>
      <c r="L9058" t="n">
        <v>0</v>
      </c>
      <c r="M9058" t="n">
        <v>0</v>
      </c>
      <c r="N9058" t="n">
        <v>0</v>
      </c>
      <c r="O9058" t="n">
        <v>0</v>
      </c>
      <c r="P9058" t="n">
        <v>0</v>
      </c>
      <c r="Q9058" t="n">
        <v>0</v>
      </c>
      <c r="R9058" s="2" t="inlineStr"/>
    </row>
    <row r="9059" ht="15" customHeight="1">
      <c r="A9059" t="inlineStr">
        <is>
          <t>A 8354-2023</t>
        </is>
      </c>
      <c r="B9059" s="1" t="n">
        <v>44977</v>
      </c>
      <c r="C9059" s="1" t="n">
        <v>45810</v>
      </c>
      <c r="D9059" t="inlineStr">
        <is>
          <t>VÄRMLANDS LÄN</t>
        </is>
      </c>
      <c r="E9059" t="inlineStr">
        <is>
          <t>HAGFORS</t>
        </is>
      </c>
      <c r="F9059" t="inlineStr">
        <is>
          <t>Bergvik skog väst AB</t>
        </is>
      </c>
      <c r="G9059" t="n">
        <v>3.1</v>
      </c>
      <c r="H9059" t="n">
        <v>0</v>
      </c>
      <c r="I9059" t="n">
        <v>0</v>
      </c>
      <c r="J9059" t="n">
        <v>0</v>
      </c>
      <c r="K9059" t="n">
        <v>0</v>
      </c>
      <c r="L9059" t="n">
        <v>0</v>
      </c>
      <c r="M9059" t="n">
        <v>0</v>
      </c>
      <c r="N9059" t="n">
        <v>0</v>
      </c>
      <c r="O9059" t="n">
        <v>0</v>
      </c>
      <c r="P9059" t="n">
        <v>0</v>
      </c>
      <c r="Q9059" t="n">
        <v>0</v>
      </c>
      <c r="R9059" s="2" t="inlineStr"/>
    </row>
    <row r="9060" ht="15" customHeight="1">
      <c r="A9060" t="inlineStr">
        <is>
          <t>A 8447-2023</t>
        </is>
      </c>
      <c r="B9060" s="1" t="n">
        <v>44977</v>
      </c>
      <c r="C9060" s="1" t="n">
        <v>45810</v>
      </c>
      <c r="D9060" t="inlineStr">
        <is>
          <t>VÄRMLANDS LÄN</t>
        </is>
      </c>
      <c r="E9060" t="inlineStr">
        <is>
          <t>TORSBY</t>
        </is>
      </c>
      <c r="G9060" t="n">
        <v>1.7</v>
      </c>
      <c r="H9060" t="n">
        <v>0</v>
      </c>
      <c r="I9060" t="n">
        <v>0</v>
      </c>
      <c r="J9060" t="n">
        <v>0</v>
      </c>
      <c r="K9060" t="n">
        <v>0</v>
      </c>
      <c r="L9060" t="n">
        <v>0</v>
      </c>
      <c r="M9060" t="n">
        <v>0</v>
      </c>
      <c r="N9060" t="n">
        <v>0</v>
      </c>
      <c r="O9060" t="n">
        <v>0</v>
      </c>
      <c r="P9060" t="n">
        <v>0</v>
      </c>
      <c r="Q9060" t="n">
        <v>0</v>
      </c>
      <c r="R9060" s="2" t="inlineStr"/>
    </row>
    <row r="9061" ht="15" customHeight="1">
      <c r="A9061" t="inlineStr">
        <is>
          <t>A 8358-2023</t>
        </is>
      </c>
      <c r="B9061" s="1" t="n">
        <v>44977</v>
      </c>
      <c r="C9061" s="1" t="n">
        <v>45810</v>
      </c>
      <c r="D9061" t="inlineStr">
        <is>
          <t>VÄRMLANDS LÄN</t>
        </is>
      </c>
      <c r="E9061" t="inlineStr">
        <is>
          <t>STORFORS</t>
        </is>
      </c>
      <c r="G9061" t="n">
        <v>2.8</v>
      </c>
      <c r="H9061" t="n">
        <v>0</v>
      </c>
      <c r="I9061" t="n">
        <v>0</v>
      </c>
      <c r="J9061" t="n">
        <v>0</v>
      </c>
      <c r="K9061" t="n">
        <v>0</v>
      </c>
      <c r="L9061" t="n">
        <v>0</v>
      </c>
      <c r="M9061" t="n">
        <v>0</v>
      </c>
      <c r="N9061" t="n">
        <v>0</v>
      </c>
      <c r="O9061" t="n">
        <v>0</v>
      </c>
      <c r="P9061" t="n">
        <v>0</v>
      </c>
      <c r="Q9061" t="n">
        <v>0</v>
      </c>
      <c r="R9061" s="2" t="inlineStr"/>
    </row>
    <row r="9062" ht="15" customHeight="1">
      <c r="A9062" t="inlineStr">
        <is>
          <t>A 8370-2023</t>
        </is>
      </c>
      <c r="B9062" s="1" t="n">
        <v>44977</v>
      </c>
      <c r="C9062" s="1" t="n">
        <v>45810</v>
      </c>
      <c r="D9062" t="inlineStr">
        <is>
          <t>VÄRMLANDS LÄN</t>
        </is>
      </c>
      <c r="E9062" t="inlineStr">
        <is>
          <t>GRUMS</t>
        </is>
      </c>
      <c r="G9062" t="n">
        <v>0.9</v>
      </c>
      <c r="H9062" t="n">
        <v>0</v>
      </c>
      <c r="I9062" t="n">
        <v>0</v>
      </c>
      <c r="J9062" t="n">
        <v>0</v>
      </c>
      <c r="K9062" t="n">
        <v>0</v>
      </c>
      <c r="L9062" t="n">
        <v>0</v>
      </c>
      <c r="M9062" t="n">
        <v>0</v>
      </c>
      <c r="N9062" t="n">
        <v>0</v>
      </c>
      <c r="O9062" t="n">
        <v>0</v>
      </c>
      <c r="P9062" t="n">
        <v>0</v>
      </c>
      <c r="Q9062" t="n">
        <v>0</v>
      </c>
      <c r="R9062" s="2" t="inlineStr"/>
    </row>
    <row r="9063" ht="15" customHeight="1">
      <c r="A9063" t="inlineStr">
        <is>
          <t>A 8394-2023</t>
        </is>
      </c>
      <c r="B9063" s="1" t="n">
        <v>44977</v>
      </c>
      <c r="C9063" s="1" t="n">
        <v>45810</v>
      </c>
      <c r="D9063" t="inlineStr">
        <is>
          <t>VÄRMLANDS LÄN</t>
        </is>
      </c>
      <c r="E9063" t="inlineStr">
        <is>
          <t>EDA</t>
        </is>
      </c>
      <c r="G9063" t="n">
        <v>0.5</v>
      </c>
      <c r="H9063" t="n">
        <v>0</v>
      </c>
      <c r="I9063" t="n">
        <v>0</v>
      </c>
      <c r="J9063" t="n">
        <v>0</v>
      </c>
      <c r="K9063" t="n">
        <v>0</v>
      </c>
      <c r="L9063" t="n">
        <v>0</v>
      </c>
      <c r="M9063" t="n">
        <v>0</v>
      </c>
      <c r="N9063" t="n">
        <v>0</v>
      </c>
      <c r="O9063" t="n">
        <v>0</v>
      </c>
      <c r="P9063" t="n">
        <v>0</v>
      </c>
      <c r="Q9063" t="n">
        <v>0</v>
      </c>
      <c r="R9063" s="2" t="inlineStr"/>
    </row>
    <row r="9064" ht="15" customHeight="1">
      <c r="A9064" t="inlineStr">
        <is>
          <t>A 8448-2023</t>
        </is>
      </c>
      <c r="B9064" s="1" t="n">
        <v>44977</v>
      </c>
      <c r="C9064" s="1" t="n">
        <v>45810</v>
      </c>
      <c r="D9064" t="inlineStr">
        <is>
          <t>VÄRMLANDS LÄN</t>
        </is>
      </c>
      <c r="E9064" t="inlineStr">
        <is>
          <t>STORFORS</t>
        </is>
      </c>
      <c r="F9064" t="inlineStr">
        <is>
          <t>Bergvik skog väst AB</t>
        </is>
      </c>
      <c r="G9064" t="n">
        <v>2.9</v>
      </c>
      <c r="H9064" t="n">
        <v>0</v>
      </c>
      <c r="I9064" t="n">
        <v>0</v>
      </c>
      <c r="J9064" t="n">
        <v>0</v>
      </c>
      <c r="K9064" t="n">
        <v>0</v>
      </c>
      <c r="L9064" t="n">
        <v>0</v>
      </c>
      <c r="M9064" t="n">
        <v>0</v>
      </c>
      <c r="N9064" t="n">
        <v>0</v>
      </c>
      <c r="O9064" t="n">
        <v>0</v>
      </c>
      <c r="P9064" t="n">
        <v>0</v>
      </c>
      <c r="Q9064" t="n">
        <v>0</v>
      </c>
      <c r="R9064" s="2" t="inlineStr"/>
    </row>
    <row r="9065" ht="15" customHeight="1">
      <c r="A9065" t="inlineStr">
        <is>
          <t>A 8614-2023</t>
        </is>
      </c>
      <c r="B9065" s="1" t="n">
        <v>44977</v>
      </c>
      <c r="C9065" s="1" t="n">
        <v>45810</v>
      </c>
      <c r="D9065" t="inlineStr">
        <is>
          <t>VÄRMLANDS LÄN</t>
        </is>
      </c>
      <c r="E9065" t="inlineStr">
        <is>
          <t>ÅRJÄNG</t>
        </is>
      </c>
      <c r="G9065" t="n">
        <v>3.8</v>
      </c>
      <c r="H9065" t="n">
        <v>0</v>
      </c>
      <c r="I9065" t="n">
        <v>0</v>
      </c>
      <c r="J9065" t="n">
        <v>0</v>
      </c>
      <c r="K9065" t="n">
        <v>0</v>
      </c>
      <c r="L9065" t="n">
        <v>0</v>
      </c>
      <c r="M9065" t="n">
        <v>0</v>
      </c>
      <c r="N9065" t="n">
        <v>0</v>
      </c>
      <c r="O9065" t="n">
        <v>0</v>
      </c>
      <c r="P9065" t="n">
        <v>0</v>
      </c>
      <c r="Q9065" t="n">
        <v>0</v>
      </c>
      <c r="R9065" s="2" t="inlineStr"/>
    </row>
    <row r="9066" ht="15" customHeight="1">
      <c r="A9066" t="inlineStr">
        <is>
          <t>A 8512-2023</t>
        </is>
      </c>
      <c r="B9066" s="1" t="n">
        <v>44977</v>
      </c>
      <c r="C9066" s="1" t="n">
        <v>45810</v>
      </c>
      <c r="D9066" t="inlineStr">
        <is>
          <t>VÄRMLANDS LÄN</t>
        </is>
      </c>
      <c r="E9066" t="inlineStr">
        <is>
          <t>ARVIKA</t>
        </is>
      </c>
      <c r="G9066" t="n">
        <v>2.5</v>
      </c>
      <c r="H9066" t="n">
        <v>0</v>
      </c>
      <c r="I9066" t="n">
        <v>0</v>
      </c>
      <c r="J9066" t="n">
        <v>0</v>
      </c>
      <c r="K9066" t="n">
        <v>0</v>
      </c>
      <c r="L9066" t="n">
        <v>0</v>
      </c>
      <c r="M9066" t="n">
        <v>0</v>
      </c>
      <c r="N9066" t="n">
        <v>0</v>
      </c>
      <c r="O9066" t="n">
        <v>0</v>
      </c>
      <c r="P9066" t="n">
        <v>0</v>
      </c>
      <c r="Q9066" t="n">
        <v>0</v>
      </c>
      <c r="R9066" s="2" t="inlineStr"/>
    </row>
    <row r="9067" ht="15" customHeight="1">
      <c r="A9067" t="inlineStr">
        <is>
          <t>A 8581-2023</t>
        </is>
      </c>
      <c r="B9067" s="1" t="n">
        <v>44977</v>
      </c>
      <c r="C9067" s="1" t="n">
        <v>45810</v>
      </c>
      <c r="D9067" t="inlineStr">
        <is>
          <t>VÄRMLANDS LÄN</t>
        </is>
      </c>
      <c r="E9067" t="inlineStr">
        <is>
          <t>KRISTINEHAMN</t>
        </is>
      </c>
      <c r="G9067" t="n">
        <v>0.5</v>
      </c>
      <c r="H9067" t="n">
        <v>0</v>
      </c>
      <c r="I9067" t="n">
        <v>0</v>
      </c>
      <c r="J9067" t="n">
        <v>0</v>
      </c>
      <c r="K9067" t="n">
        <v>0</v>
      </c>
      <c r="L9067" t="n">
        <v>0</v>
      </c>
      <c r="M9067" t="n">
        <v>0</v>
      </c>
      <c r="N9067" t="n">
        <v>0</v>
      </c>
      <c r="O9067" t="n">
        <v>0</v>
      </c>
      <c r="P9067" t="n">
        <v>0</v>
      </c>
      <c r="Q9067" t="n">
        <v>0</v>
      </c>
      <c r="R9067" s="2" t="inlineStr"/>
    </row>
    <row r="9068" ht="15" customHeight="1">
      <c r="A9068" t="inlineStr">
        <is>
          <t>A 9453-2023</t>
        </is>
      </c>
      <c r="B9068" s="1" t="n">
        <v>44977</v>
      </c>
      <c r="C9068" s="1" t="n">
        <v>45810</v>
      </c>
      <c r="D9068" t="inlineStr">
        <is>
          <t>VÄRMLANDS LÄN</t>
        </is>
      </c>
      <c r="E9068" t="inlineStr">
        <is>
          <t>TORSBY</t>
        </is>
      </c>
      <c r="F9068" t="inlineStr">
        <is>
          <t>Kyrkan</t>
        </is>
      </c>
      <c r="G9068" t="n">
        <v>1.2</v>
      </c>
      <c r="H9068" t="n">
        <v>0</v>
      </c>
      <c r="I9068" t="n">
        <v>0</v>
      </c>
      <c r="J9068" t="n">
        <v>0</v>
      </c>
      <c r="K9068" t="n">
        <v>0</v>
      </c>
      <c r="L9068" t="n">
        <v>0</v>
      </c>
      <c r="M9068" t="n">
        <v>0</v>
      </c>
      <c r="N9068" t="n">
        <v>0</v>
      </c>
      <c r="O9068" t="n">
        <v>0</v>
      </c>
      <c r="P9068" t="n">
        <v>0</v>
      </c>
      <c r="Q9068" t="n">
        <v>0</v>
      </c>
      <c r="R9068" s="2" t="inlineStr"/>
    </row>
    <row r="9069" ht="15" customHeight="1">
      <c r="A9069" t="inlineStr">
        <is>
          <t>A 9227-2023</t>
        </is>
      </c>
      <c r="B9069" s="1" t="n">
        <v>44977</v>
      </c>
      <c r="C9069" s="1" t="n">
        <v>45810</v>
      </c>
      <c r="D9069" t="inlineStr">
        <is>
          <t>VÄRMLANDS LÄN</t>
        </is>
      </c>
      <c r="E9069" t="inlineStr">
        <is>
          <t>SÄFFLE</t>
        </is>
      </c>
      <c r="G9069" t="n">
        <v>1.9</v>
      </c>
      <c r="H9069" t="n">
        <v>0</v>
      </c>
      <c r="I9069" t="n">
        <v>0</v>
      </c>
      <c r="J9069" t="n">
        <v>0</v>
      </c>
      <c r="K9069" t="n">
        <v>0</v>
      </c>
      <c r="L9069" t="n">
        <v>0</v>
      </c>
      <c r="M9069" t="n">
        <v>0</v>
      </c>
      <c r="N9069" t="n">
        <v>0</v>
      </c>
      <c r="O9069" t="n">
        <v>0</v>
      </c>
      <c r="P9069" t="n">
        <v>0</v>
      </c>
      <c r="Q9069" t="n">
        <v>0</v>
      </c>
      <c r="R9069" s="2" t="inlineStr"/>
    </row>
    <row r="9070" ht="15" customHeight="1">
      <c r="A9070" t="inlineStr">
        <is>
          <t>A 8786-2023</t>
        </is>
      </c>
      <c r="B9070" s="1" t="n">
        <v>44978</v>
      </c>
      <c r="C9070" s="1" t="n">
        <v>45810</v>
      </c>
      <c r="D9070" t="inlineStr">
        <is>
          <t>VÄRMLANDS LÄN</t>
        </is>
      </c>
      <c r="E9070" t="inlineStr">
        <is>
          <t>ARVIKA</t>
        </is>
      </c>
      <c r="G9070" t="n">
        <v>0.2</v>
      </c>
      <c r="H9070" t="n">
        <v>0</v>
      </c>
      <c r="I9070" t="n">
        <v>0</v>
      </c>
      <c r="J9070" t="n">
        <v>0</v>
      </c>
      <c r="K9070" t="n">
        <v>0</v>
      </c>
      <c r="L9070" t="n">
        <v>0</v>
      </c>
      <c r="M9070" t="n">
        <v>0</v>
      </c>
      <c r="N9070" t="n">
        <v>0</v>
      </c>
      <c r="O9070" t="n">
        <v>0</v>
      </c>
      <c r="P9070" t="n">
        <v>0</v>
      </c>
      <c r="Q9070" t="n">
        <v>0</v>
      </c>
      <c r="R9070" s="2" t="inlineStr"/>
    </row>
    <row r="9071" ht="15" customHeight="1">
      <c r="A9071" t="inlineStr">
        <is>
          <t>A 8795-2023</t>
        </is>
      </c>
      <c r="B9071" s="1" t="n">
        <v>44978</v>
      </c>
      <c r="C9071" s="1" t="n">
        <v>45810</v>
      </c>
      <c r="D9071" t="inlineStr">
        <is>
          <t>VÄRMLANDS LÄN</t>
        </is>
      </c>
      <c r="E9071" t="inlineStr">
        <is>
          <t>ARVIKA</t>
        </is>
      </c>
      <c r="G9071" t="n">
        <v>0.3</v>
      </c>
      <c r="H9071" t="n">
        <v>0</v>
      </c>
      <c r="I9071" t="n">
        <v>0</v>
      </c>
      <c r="J9071" t="n">
        <v>0</v>
      </c>
      <c r="K9071" t="n">
        <v>0</v>
      </c>
      <c r="L9071" t="n">
        <v>0</v>
      </c>
      <c r="M9071" t="n">
        <v>0</v>
      </c>
      <c r="N9071" t="n">
        <v>0</v>
      </c>
      <c r="O9071" t="n">
        <v>0</v>
      </c>
      <c r="P9071" t="n">
        <v>0</v>
      </c>
      <c r="Q9071" t="n">
        <v>0</v>
      </c>
      <c r="R9071" s="2" t="inlineStr"/>
    </row>
    <row r="9072" ht="15" customHeight="1">
      <c r="A9072" t="inlineStr">
        <is>
          <t>A 8819-2023</t>
        </is>
      </c>
      <c r="B9072" s="1" t="n">
        <v>44978</v>
      </c>
      <c r="C9072" s="1" t="n">
        <v>45810</v>
      </c>
      <c r="D9072" t="inlineStr">
        <is>
          <t>VÄRMLANDS LÄN</t>
        </is>
      </c>
      <c r="E9072" t="inlineStr">
        <is>
          <t>TORSBY</t>
        </is>
      </c>
      <c r="G9072" t="n">
        <v>5.7</v>
      </c>
      <c r="H9072" t="n">
        <v>0</v>
      </c>
      <c r="I9072" t="n">
        <v>0</v>
      </c>
      <c r="J9072" t="n">
        <v>0</v>
      </c>
      <c r="K9072" t="n">
        <v>0</v>
      </c>
      <c r="L9072" t="n">
        <v>0</v>
      </c>
      <c r="M9072" t="n">
        <v>0</v>
      </c>
      <c r="N9072" t="n">
        <v>0</v>
      </c>
      <c r="O9072" t="n">
        <v>0</v>
      </c>
      <c r="P9072" t="n">
        <v>0</v>
      </c>
      <c r="Q9072" t="n">
        <v>0</v>
      </c>
      <c r="R9072" s="2" t="inlineStr"/>
    </row>
    <row r="9073" ht="15" customHeight="1">
      <c r="A9073" t="inlineStr">
        <is>
          <t>A 8692-2023</t>
        </is>
      </c>
      <c r="B9073" s="1" t="n">
        <v>44978</v>
      </c>
      <c r="C9073" s="1" t="n">
        <v>45810</v>
      </c>
      <c r="D9073" t="inlineStr">
        <is>
          <t>VÄRMLANDS LÄN</t>
        </is>
      </c>
      <c r="E9073" t="inlineStr">
        <is>
          <t>SUNNE</t>
        </is>
      </c>
      <c r="G9073" t="n">
        <v>1.6</v>
      </c>
      <c r="H9073" t="n">
        <v>0</v>
      </c>
      <c r="I9073" t="n">
        <v>0</v>
      </c>
      <c r="J9073" t="n">
        <v>0</v>
      </c>
      <c r="K9073" t="n">
        <v>0</v>
      </c>
      <c r="L9073" t="n">
        <v>0</v>
      </c>
      <c r="M9073" t="n">
        <v>0</v>
      </c>
      <c r="N9073" t="n">
        <v>0</v>
      </c>
      <c r="O9073" t="n">
        <v>0</v>
      </c>
      <c r="P9073" t="n">
        <v>0</v>
      </c>
      <c r="Q9073" t="n">
        <v>0</v>
      </c>
      <c r="R9073" s="2" t="inlineStr"/>
    </row>
    <row r="9074" ht="15" customHeight="1">
      <c r="A9074" t="inlineStr">
        <is>
          <t>A 8831-2023</t>
        </is>
      </c>
      <c r="B9074" s="1" t="n">
        <v>44978</v>
      </c>
      <c r="C9074" s="1" t="n">
        <v>45810</v>
      </c>
      <c r="D9074" t="inlineStr">
        <is>
          <t>VÄRMLANDS LÄN</t>
        </is>
      </c>
      <c r="E9074" t="inlineStr">
        <is>
          <t>HAGFORS</t>
        </is>
      </c>
      <c r="F9074" t="inlineStr">
        <is>
          <t>Bergvik skog väst AB</t>
        </is>
      </c>
      <c r="G9074" t="n">
        <v>1.8</v>
      </c>
      <c r="H9074" t="n">
        <v>0</v>
      </c>
      <c r="I9074" t="n">
        <v>0</v>
      </c>
      <c r="J9074" t="n">
        <v>0</v>
      </c>
      <c r="K9074" t="n">
        <v>0</v>
      </c>
      <c r="L9074" t="n">
        <v>0</v>
      </c>
      <c r="M9074" t="n">
        <v>0</v>
      </c>
      <c r="N9074" t="n">
        <v>0</v>
      </c>
      <c r="O9074" t="n">
        <v>0</v>
      </c>
      <c r="P9074" t="n">
        <v>0</v>
      </c>
      <c r="Q9074" t="n">
        <v>0</v>
      </c>
      <c r="R9074" s="2" t="inlineStr"/>
    </row>
    <row r="9075" ht="15" customHeight="1">
      <c r="A9075" t="inlineStr">
        <is>
          <t>A 8838-2023</t>
        </is>
      </c>
      <c r="B9075" s="1" t="n">
        <v>44978</v>
      </c>
      <c r="C9075" s="1" t="n">
        <v>45810</v>
      </c>
      <c r="D9075" t="inlineStr">
        <is>
          <t>VÄRMLANDS LÄN</t>
        </is>
      </c>
      <c r="E9075" t="inlineStr">
        <is>
          <t>ÅRJÄNG</t>
        </is>
      </c>
      <c r="G9075" t="n">
        <v>7</v>
      </c>
      <c r="H9075" t="n">
        <v>0</v>
      </c>
      <c r="I9075" t="n">
        <v>0</v>
      </c>
      <c r="J9075" t="n">
        <v>0</v>
      </c>
      <c r="K9075" t="n">
        <v>0</v>
      </c>
      <c r="L9075" t="n">
        <v>0</v>
      </c>
      <c r="M9075" t="n">
        <v>0</v>
      </c>
      <c r="N9075" t="n">
        <v>0</v>
      </c>
      <c r="O9075" t="n">
        <v>0</v>
      </c>
      <c r="P9075" t="n">
        <v>0</v>
      </c>
      <c r="Q9075" t="n">
        <v>0</v>
      </c>
      <c r="R9075" s="2" t="inlineStr"/>
    </row>
    <row r="9076" ht="15" customHeight="1">
      <c r="A9076" t="inlineStr">
        <is>
          <t>A 8854-2023</t>
        </is>
      </c>
      <c r="B9076" s="1" t="n">
        <v>44978</v>
      </c>
      <c r="C9076" s="1" t="n">
        <v>45810</v>
      </c>
      <c r="D9076" t="inlineStr">
        <is>
          <t>VÄRMLANDS LÄN</t>
        </is>
      </c>
      <c r="E9076" t="inlineStr">
        <is>
          <t>ARVIKA</t>
        </is>
      </c>
      <c r="F9076" t="inlineStr">
        <is>
          <t>Kyrkan</t>
        </is>
      </c>
      <c r="G9076" t="n">
        <v>1.1</v>
      </c>
      <c r="H9076" t="n">
        <v>0</v>
      </c>
      <c r="I9076" t="n">
        <v>0</v>
      </c>
      <c r="J9076" t="n">
        <v>0</v>
      </c>
      <c r="K9076" t="n">
        <v>0</v>
      </c>
      <c r="L9076" t="n">
        <v>0</v>
      </c>
      <c r="M9076" t="n">
        <v>0</v>
      </c>
      <c r="N9076" t="n">
        <v>0</v>
      </c>
      <c r="O9076" t="n">
        <v>0</v>
      </c>
      <c r="P9076" t="n">
        <v>0</v>
      </c>
      <c r="Q9076" t="n">
        <v>0</v>
      </c>
      <c r="R9076" s="2" t="inlineStr"/>
    </row>
    <row r="9077" ht="15" customHeight="1">
      <c r="A9077" t="inlineStr">
        <is>
          <t>A 8758-2023</t>
        </is>
      </c>
      <c r="B9077" s="1" t="n">
        <v>44978</v>
      </c>
      <c r="C9077" s="1" t="n">
        <v>45810</v>
      </c>
      <c r="D9077" t="inlineStr">
        <is>
          <t>VÄRMLANDS LÄN</t>
        </is>
      </c>
      <c r="E9077" t="inlineStr">
        <is>
          <t>KRISTINEHAMN</t>
        </is>
      </c>
      <c r="G9077" t="n">
        <v>1.3</v>
      </c>
      <c r="H9077" t="n">
        <v>0</v>
      </c>
      <c r="I9077" t="n">
        <v>0</v>
      </c>
      <c r="J9077" t="n">
        <v>0</v>
      </c>
      <c r="K9077" t="n">
        <v>0</v>
      </c>
      <c r="L9077" t="n">
        <v>0</v>
      </c>
      <c r="M9077" t="n">
        <v>0</v>
      </c>
      <c r="N9077" t="n">
        <v>0</v>
      </c>
      <c r="O9077" t="n">
        <v>0</v>
      </c>
      <c r="P9077" t="n">
        <v>0</v>
      </c>
      <c r="Q9077" t="n">
        <v>0</v>
      </c>
      <c r="R9077" s="2" t="inlineStr"/>
    </row>
    <row r="9078" ht="15" customHeight="1">
      <c r="A9078" t="inlineStr">
        <is>
          <t>A 8788-2023</t>
        </is>
      </c>
      <c r="B9078" s="1" t="n">
        <v>44978</v>
      </c>
      <c r="C9078" s="1" t="n">
        <v>45810</v>
      </c>
      <c r="D9078" t="inlineStr">
        <is>
          <t>VÄRMLANDS LÄN</t>
        </is>
      </c>
      <c r="E9078" t="inlineStr">
        <is>
          <t>FILIPSTAD</t>
        </is>
      </c>
      <c r="F9078" t="inlineStr">
        <is>
          <t>Bergvik skog väst AB</t>
        </is>
      </c>
      <c r="G9078" t="n">
        <v>2</v>
      </c>
      <c r="H9078" t="n">
        <v>0</v>
      </c>
      <c r="I9078" t="n">
        <v>0</v>
      </c>
      <c r="J9078" t="n">
        <v>0</v>
      </c>
      <c r="K9078" t="n">
        <v>0</v>
      </c>
      <c r="L9078" t="n">
        <v>0</v>
      </c>
      <c r="M9078" t="n">
        <v>0</v>
      </c>
      <c r="N9078" t="n">
        <v>0</v>
      </c>
      <c r="O9078" t="n">
        <v>0</v>
      </c>
      <c r="P9078" t="n">
        <v>0</v>
      </c>
      <c r="Q9078" t="n">
        <v>0</v>
      </c>
      <c r="R9078" s="2" t="inlineStr"/>
    </row>
    <row r="9079" ht="15" customHeight="1">
      <c r="A9079" t="inlineStr">
        <is>
          <t>A 8702-2023</t>
        </is>
      </c>
      <c r="B9079" s="1" t="n">
        <v>44978</v>
      </c>
      <c r="C9079" s="1" t="n">
        <v>45810</v>
      </c>
      <c r="D9079" t="inlineStr">
        <is>
          <t>VÄRMLANDS LÄN</t>
        </is>
      </c>
      <c r="E9079" t="inlineStr">
        <is>
          <t>ARVIKA</t>
        </is>
      </c>
      <c r="G9079" t="n">
        <v>1.2</v>
      </c>
      <c r="H9079" t="n">
        <v>0</v>
      </c>
      <c r="I9079" t="n">
        <v>0</v>
      </c>
      <c r="J9079" t="n">
        <v>0</v>
      </c>
      <c r="K9079" t="n">
        <v>0</v>
      </c>
      <c r="L9079" t="n">
        <v>0</v>
      </c>
      <c r="M9079" t="n">
        <v>0</v>
      </c>
      <c r="N9079" t="n">
        <v>0</v>
      </c>
      <c r="O9079" t="n">
        <v>0</v>
      </c>
      <c r="P9079" t="n">
        <v>0</v>
      </c>
      <c r="Q9079" t="n">
        <v>0</v>
      </c>
      <c r="R9079" s="2" t="inlineStr"/>
    </row>
    <row r="9080" ht="15" customHeight="1">
      <c r="A9080" t="inlineStr">
        <is>
          <t>A 8736-2023</t>
        </is>
      </c>
      <c r="B9080" s="1" t="n">
        <v>44978</v>
      </c>
      <c r="C9080" s="1" t="n">
        <v>45810</v>
      </c>
      <c r="D9080" t="inlineStr">
        <is>
          <t>VÄRMLANDS LÄN</t>
        </is>
      </c>
      <c r="E9080" t="inlineStr">
        <is>
          <t>ÅRJÄNG</t>
        </is>
      </c>
      <c r="G9080" t="n">
        <v>0.9</v>
      </c>
      <c r="H9080" t="n">
        <v>0</v>
      </c>
      <c r="I9080" t="n">
        <v>0</v>
      </c>
      <c r="J9080" t="n">
        <v>0</v>
      </c>
      <c r="K9080" t="n">
        <v>0</v>
      </c>
      <c r="L9080" t="n">
        <v>0</v>
      </c>
      <c r="M9080" t="n">
        <v>0</v>
      </c>
      <c r="N9080" t="n">
        <v>0</v>
      </c>
      <c r="O9080" t="n">
        <v>0</v>
      </c>
      <c r="P9080" t="n">
        <v>0</v>
      </c>
      <c r="Q9080" t="n">
        <v>0</v>
      </c>
      <c r="R9080" s="2" t="inlineStr"/>
    </row>
    <row r="9081" ht="15" customHeight="1">
      <c r="A9081" t="inlineStr">
        <is>
          <t>A 8776-2023</t>
        </is>
      </c>
      <c r="B9081" s="1" t="n">
        <v>44978</v>
      </c>
      <c r="C9081" s="1" t="n">
        <v>45810</v>
      </c>
      <c r="D9081" t="inlineStr">
        <is>
          <t>VÄRMLANDS LÄN</t>
        </is>
      </c>
      <c r="E9081" t="inlineStr">
        <is>
          <t>ÅRJÄNG</t>
        </is>
      </c>
      <c r="G9081" t="n">
        <v>1.5</v>
      </c>
      <c r="H9081" t="n">
        <v>0</v>
      </c>
      <c r="I9081" t="n">
        <v>0</v>
      </c>
      <c r="J9081" t="n">
        <v>0</v>
      </c>
      <c r="K9081" t="n">
        <v>0</v>
      </c>
      <c r="L9081" t="n">
        <v>0</v>
      </c>
      <c r="M9081" t="n">
        <v>0</v>
      </c>
      <c r="N9081" t="n">
        <v>0</v>
      </c>
      <c r="O9081" t="n">
        <v>0</v>
      </c>
      <c r="P9081" t="n">
        <v>0</v>
      </c>
      <c r="Q9081" t="n">
        <v>0</v>
      </c>
      <c r="R9081" s="2" t="inlineStr"/>
    </row>
    <row r="9082" ht="15" customHeight="1">
      <c r="A9082" t="inlineStr">
        <is>
          <t>A 8780-2023</t>
        </is>
      </c>
      <c r="B9082" s="1" t="n">
        <v>44978</v>
      </c>
      <c r="C9082" s="1" t="n">
        <v>45810</v>
      </c>
      <c r="D9082" t="inlineStr">
        <is>
          <t>VÄRMLANDS LÄN</t>
        </is>
      </c>
      <c r="E9082" t="inlineStr">
        <is>
          <t>ARVIKA</t>
        </is>
      </c>
      <c r="G9082" t="n">
        <v>0.3</v>
      </c>
      <c r="H9082" t="n">
        <v>0</v>
      </c>
      <c r="I9082" t="n">
        <v>0</v>
      </c>
      <c r="J9082" t="n">
        <v>0</v>
      </c>
      <c r="K9082" t="n">
        <v>0</v>
      </c>
      <c r="L9082" t="n">
        <v>0</v>
      </c>
      <c r="M9082" t="n">
        <v>0</v>
      </c>
      <c r="N9082" t="n">
        <v>0</v>
      </c>
      <c r="O9082" t="n">
        <v>0</v>
      </c>
      <c r="P9082" t="n">
        <v>0</v>
      </c>
      <c r="Q9082" t="n">
        <v>0</v>
      </c>
      <c r="R9082" s="2" t="inlineStr"/>
    </row>
    <row r="9083" ht="15" customHeight="1">
      <c r="A9083" t="inlineStr">
        <is>
          <t>A 8784-2023</t>
        </is>
      </c>
      <c r="B9083" s="1" t="n">
        <v>44978</v>
      </c>
      <c r="C9083" s="1" t="n">
        <v>45810</v>
      </c>
      <c r="D9083" t="inlineStr">
        <is>
          <t>VÄRMLANDS LÄN</t>
        </is>
      </c>
      <c r="E9083" t="inlineStr">
        <is>
          <t>ARVIKA</t>
        </is>
      </c>
      <c r="G9083" t="n">
        <v>0.3</v>
      </c>
      <c r="H9083" t="n">
        <v>0</v>
      </c>
      <c r="I9083" t="n">
        <v>0</v>
      </c>
      <c r="J9083" t="n">
        <v>0</v>
      </c>
      <c r="K9083" t="n">
        <v>0</v>
      </c>
      <c r="L9083" t="n">
        <v>0</v>
      </c>
      <c r="M9083" t="n">
        <v>0</v>
      </c>
      <c r="N9083" t="n">
        <v>0</v>
      </c>
      <c r="O9083" t="n">
        <v>0</v>
      </c>
      <c r="P9083" t="n">
        <v>0</v>
      </c>
      <c r="Q9083" t="n">
        <v>0</v>
      </c>
      <c r="R9083" s="2" t="inlineStr"/>
    </row>
    <row r="9084" ht="15" customHeight="1">
      <c r="A9084" t="inlineStr">
        <is>
          <t>A 8789-2023</t>
        </is>
      </c>
      <c r="B9084" s="1" t="n">
        <v>44978</v>
      </c>
      <c r="C9084" s="1" t="n">
        <v>45810</v>
      </c>
      <c r="D9084" t="inlineStr">
        <is>
          <t>VÄRMLANDS LÄN</t>
        </is>
      </c>
      <c r="E9084" t="inlineStr">
        <is>
          <t>ARVIKA</t>
        </is>
      </c>
      <c r="G9084" t="n">
        <v>0.4</v>
      </c>
      <c r="H9084" t="n">
        <v>0</v>
      </c>
      <c r="I9084" t="n">
        <v>0</v>
      </c>
      <c r="J9084" t="n">
        <v>0</v>
      </c>
      <c r="K9084" t="n">
        <v>0</v>
      </c>
      <c r="L9084" t="n">
        <v>0</v>
      </c>
      <c r="M9084" t="n">
        <v>0</v>
      </c>
      <c r="N9084" t="n">
        <v>0</v>
      </c>
      <c r="O9084" t="n">
        <v>0</v>
      </c>
      <c r="P9084" t="n">
        <v>0</v>
      </c>
      <c r="Q9084" t="n">
        <v>0</v>
      </c>
      <c r="R9084" s="2" t="inlineStr"/>
    </row>
    <row r="9085" ht="15" customHeight="1">
      <c r="A9085" t="inlineStr">
        <is>
          <t>A 8885-2023</t>
        </is>
      </c>
      <c r="B9085" s="1" t="n">
        <v>44979</v>
      </c>
      <c r="C9085" s="1" t="n">
        <v>45810</v>
      </c>
      <c r="D9085" t="inlineStr">
        <is>
          <t>VÄRMLANDS LÄN</t>
        </is>
      </c>
      <c r="E9085" t="inlineStr">
        <is>
          <t>EDA</t>
        </is>
      </c>
      <c r="G9085" t="n">
        <v>2.2</v>
      </c>
      <c r="H9085" t="n">
        <v>0</v>
      </c>
      <c r="I9085" t="n">
        <v>0</v>
      </c>
      <c r="J9085" t="n">
        <v>0</v>
      </c>
      <c r="K9085" t="n">
        <v>0</v>
      </c>
      <c r="L9085" t="n">
        <v>0</v>
      </c>
      <c r="M9085" t="n">
        <v>0</v>
      </c>
      <c r="N9085" t="n">
        <v>0</v>
      </c>
      <c r="O9085" t="n">
        <v>0</v>
      </c>
      <c r="P9085" t="n">
        <v>0</v>
      </c>
      <c r="Q9085" t="n">
        <v>0</v>
      </c>
      <c r="R9085" s="2" t="inlineStr"/>
    </row>
    <row r="9086" ht="15" customHeight="1">
      <c r="A9086" t="inlineStr">
        <is>
          <t>A 9004-2023</t>
        </is>
      </c>
      <c r="B9086" s="1" t="n">
        <v>44979</v>
      </c>
      <c r="C9086" s="1" t="n">
        <v>45810</v>
      </c>
      <c r="D9086" t="inlineStr">
        <is>
          <t>VÄRMLANDS LÄN</t>
        </is>
      </c>
      <c r="E9086" t="inlineStr">
        <is>
          <t>SUNNE</t>
        </is>
      </c>
      <c r="G9086" t="n">
        <v>1.4</v>
      </c>
      <c r="H9086" t="n">
        <v>0</v>
      </c>
      <c r="I9086" t="n">
        <v>0</v>
      </c>
      <c r="J9086" t="n">
        <v>0</v>
      </c>
      <c r="K9086" t="n">
        <v>0</v>
      </c>
      <c r="L9086" t="n">
        <v>0</v>
      </c>
      <c r="M9086" t="n">
        <v>0</v>
      </c>
      <c r="N9086" t="n">
        <v>0</v>
      </c>
      <c r="O9086" t="n">
        <v>0</v>
      </c>
      <c r="P9086" t="n">
        <v>0</v>
      </c>
      <c r="Q9086" t="n">
        <v>0</v>
      </c>
      <c r="R9086" s="2" t="inlineStr"/>
    </row>
    <row r="9087" ht="15" customHeight="1">
      <c r="A9087" t="inlineStr">
        <is>
          <t>A 8941-2023</t>
        </is>
      </c>
      <c r="B9087" s="1" t="n">
        <v>44979</v>
      </c>
      <c r="C9087" s="1" t="n">
        <v>45810</v>
      </c>
      <c r="D9087" t="inlineStr">
        <is>
          <t>VÄRMLANDS LÄN</t>
        </is>
      </c>
      <c r="E9087" t="inlineStr">
        <is>
          <t>SUNNE</t>
        </is>
      </c>
      <c r="G9087" t="n">
        <v>2.8</v>
      </c>
      <c r="H9087" t="n">
        <v>0</v>
      </c>
      <c r="I9087" t="n">
        <v>0</v>
      </c>
      <c r="J9087" t="n">
        <v>0</v>
      </c>
      <c r="K9087" t="n">
        <v>0</v>
      </c>
      <c r="L9087" t="n">
        <v>0</v>
      </c>
      <c r="M9087" t="n">
        <v>0</v>
      </c>
      <c r="N9087" t="n">
        <v>0</v>
      </c>
      <c r="O9087" t="n">
        <v>0</v>
      </c>
      <c r="P9087" t="n">
        <v>0</v>
      </c>
      <c r="Q9087" t="n">
        <v>0</v>
      </c>
      <c r="R9087" s="2" t="inlineStr"/>
    </row>
    <row r="9088" ht="15" customHeight="1">
      <c r="A9088" t="inlineStr">
        <is>
          <t>A 8966-2023</t>
        </is>
      </c>
      <c r="B9088" s="1" t="n">
        <v>44979</v>
      </c>
      <c r="C9088" s="1" t="n">
        <v>45810</v>
      </c>
      <c r="D9088" t="inlineStr">
        <is>
          <t>VÄRMLANDS LÄN</t>
        </is>
      </c>
      <c r="E9088" t="inlineStr">
        <is>
          <t>EDA</t>
        </is>
      </c>
      <c r="G9088" t="n">
        <v>0.7</v>
      </c>
      <c r="H9088" t="n">
        <v>0</v>
      </c>
      <c r="I9088" t="n">
        <v>0</v>
      </c>
      <c r="J9088" t="n">
        <v>0</v>
      </c>
      <c r="K9088" t="n">
        <v>0</v>
      </c>
      <c r="L9088" t="n">
        <v>0</v>
      </c>
      <c r="M9088" t="n">
        <v>0</v>
      </c>
      <c r="N9088" t="n">
        <v>0</v>
      </c>
      <c r="O9088" t="n">
        <v>0</v>
      </c>
      <c r="P9088" t="n">
        <v>0</v>
      </c>
      <c r="Q9088" t="n">
        <v>0</v>
      </c>
      <c r="R9088" s="2" t="inlineStr"/>
    </row>
    <row r="9089" ht="15" customHeight="1">
      <c r="A9089" t="inlineStr">
        <is>
          <t>A 8892-2023</t>
        </is>
      </c>
      <c r="B9089" s="1" t="n">
        <v>44979</v>
      </c>
      <c r="C9089" s="1" t="n">
        <v>45810</v>
      </c>
      <c r="D9089" t="inlineStr">
        <is>
          <t>VÄRMLANDS LÄN</t>
        </is>
      </c>
      <c r="E9089" t="inlineStr">
        <is>
          <t>KARLSTAD</t>
        </is>
      </c>
      <c r="F9089" t="inlineStr">
        <is>
          <t>Kyrkan</t>
        </is>
      </c>
      <c r="G9089" t="n">
        <v>1.7</v>
      </c>
      <c r="H9089" t="n">
        <v>0</v>
      </c>
      <c r="I9089" t="n">
        <v>0</v>
      </c>
      <c r="J9089" t="n">
        <v>0</v>
      </c>
      <c r="K9089" t="n">
        <v>0</v>
      </c>
      <c r="L9089" t="n">
        <v>0</v>
      </c>
      <c r="M9089" t="n">
        <v>0</v>
      </c>
      <c r="N9089" t="n">
        <v>0</v>
      </c>
      <c r="O9089" t="n">
        <v>0</v>
      </c>
      <c r="P9089" t="n">
        <v>0</v>
      </c>
      <c r="Q9089" t="n">
        <v>0</v>
      </c>
      <c r="R9089" s="2" t="inlineStr"/>
    </row>
    <row r="9090" ht="15" customHeight="1">
      <c r="A9090" t="inlineStr">
        <is>
          <t>A 8884-2023</t>
        </is>
      </c>
      <c r="B9090" s="1" t="n">
        <v>44979</v>
      </c>
      <c r="C9090" s="1" t="n">
        <v>45810</v>
      </c>
      <c r="D9090" t="inlineStr">
        <is>
          <t>VÄRMLANDS LÄN</t>
        </is>
      </c>
      <c r="E9090" t="inlineStr">
        <is>
          <t>EDA</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8926-2023</t>
        </is>
      </c>
      <c r="B9091" s="1" t="n">
        <v>44979</v>
      </c>
      <c r="C9091" s="1" t="n">
        <v>45810</v>
      </c>
      <c r="D9091" t="inlineStr">
        <is>
          <t>VÄRMLANDS LÄN</t>
        </is>
      </c>
      <c r="E9091" t="inlineStr">
        <is>
          <t>ÅRJÄNG</t>
        </is>
      </c>
      <c r="G9091" t="n">
        <v>4.7</v>
      </c>
      <c r="H9091" t="n">
        <v>0</v>
      </c>
      <c r="I9091" t="n">
        <v>0</v>
      </c>
      <c r="J9091" t="n">
        <v>0</v>
      </c>
      <c r="K9091" t="n">
        <v>0</v>
      </c>
      <c r="L9091" t="n">
        <v>0</v>
      </c>
      <c r="M9091" t="n">
        <v>0</v>
      </c>
      <c r="N9091" t="n">
        <v>0</v>
      </c>
      <c r="O9091" t="n">
        <v>0</v>
      </c>
      <c r="P9091" t="n">
        <v>0</v>
      </c>
      <c r="Q9091" t="n">
        <v>0</v>
      </c>
      <c r="R9091" s="2" t="inlineStr"/>
    </row>
    <row r="9092" ht="15" customHeight="1">
      <c r="A9092" t="inlineStr">
        <is>
          <t>A 8967-2023</t>
        </is>
      </c>
      <c r="B9092" s="1" t="n">
        <v>44979</v>
      </c>
      <c r="C9092" s="1" t="n">
        <v>45810</v>
      </c>
      <c r="D9092" t="inlineStr">
        <is>
          <t>VÄRMLANDS LÄN</t>
        </is>
      </c>
      <c r="E9092" t="inlineStr">
        <is>
          <t>EDA</t>
        </is>
      </c>
      <c r="G9092" t="n">
        <v>1.4</v>
      </c>
      <c r="H9092" t="n">
        <v>0</v>
      </c>
      <c r="I9092" t="n">
        <v>0</v>
      </c>
      <c r="J9092" t="n">
        <v>0</v>
      </c>
      <c r="K9092" t="n">
        <v>0</v>
      </c>
      <c r="L9092" t="n">
        <v>0</v>
      </c>
      <c r="M9092" t="n">
        <v>0</v>
      </c>
      <c r="N9092" t="n">
        <v>0</v>
      </c>
      <c r="O9092" t="n">
        <v>0</v>
      </c>
      <c r="P9092" t="n">
        <v>0</v>
      </c>
      <c r="Q9092" t="n">
        <v>0</v>
      </c>
      <c r="R9092" s="2" t="inlineStr"/>
    </row>
    <row r="9093" ht="15" customHeight="1">
      <c r="A9093" t="inlineStr">
        <is>
          <t>A 8948-2023</t>
        </is>
      </c>
      <c r="B9093" s="1" t="n">
        <v>44979</v>
      </c>
      <c r="C9093" s="1" t="n">
        <v>45810</v>
      </c>
      <c r="D9093" t="inlineStr">
        <is>
          <t>VÄRMLANDS LÄN</t>
        </is>
      </c>
      <c r="E9093" t="inlineStr">
        <is>
          <t>SUNNE</t>
        </is>
      </c>
      <c r="G9093" t="n">
        <v>3.1</v>
      </c>
      <c r="H9093" t="n">
        <v>0</v>
      </c>
      <c r="I9093" t="n">
        <v>0</v>
      </c>
      <c r="J9093" t="n">
        <v>0</v>
      </c>
      <c r="K9093" t="n">
        <v>0</v>
      </c>
      <c r="L9093" t="n">
        <v>0</v>
      </c>
      <c r="M9093" t="n">
        <v>0</v>
      </c>
      <c r="N9093" t="n">
        <v>0</v>
      </c>
      <c r="O9093" t="n">
        <v>0</v>
      </c>
      <c r="P9093" t="n">
        <v>0</v>
      </c>
      <c r="Q9093" t="n">
        <v>0</v>
      </c>
      <c r="R9093" s="2" t="inlineStr"/>
    </row>
    <row r="9094" ht="15" customHeight="1">
      <c r="A9094" t="inlineStr">
        <is>
          <t>A 9016-2023</t>
        </is>
      </c>
      <c r="B9094" s="1" t="n">
        <v>44979</v>
      </c>
      <c r="C9094" s="1" t="n">
        <v>45810</v>
      </c>
      <c r="D9094" t="inlineStr">
        <is>
          <t>VÄRMLANDS LÄN</t>
        </is>
      </c>
      <c r="E9094" t="inlineStr">
        <is>
          <t>ARVIKA</t>
        </is>
      </c>
      <c r="G9094" t="n">
        <v>4.3</v>
      </c>
      <c r="H9094" t="n">
        <v>0</v>
      </c>
      <c r="I9094" t="n">
        <v>0</v>
      </c>
      <c r="J9094" t="n">
        <v>0</v>
      </c>
      <c r="K9094" t="n">
        <v>0</v>
      </c>
      <c r="L9094" t="n">
        <v>0</v>
      </c>
      <c r="M9094" t="n">
        <v>0</v>
      </c>
      <c r="N9094" t="n">
        <v>0</v>
      </c>
      <c r="O9094" t="n">
        <v>0</v>
      </c>
      <c r="P9094" t="n">
        <v>0</v>
      </c>
      <c r="Q9094" t="n">
        <v>0</v>
      </c>
      <c r="R9094" s="2" t="inlineStr"/>
    </row>
    <row r="9095" ht="15" customHeight="1">
      <c r="A9095" t="inlineStr">
        <is>
          <t>A 9067-2023</t>
        </is>
      </c>
      <c r="B9095" s="1" t="n">
        <v>44979</v>
      </c>
      <c r="C9095" s="1" t="n">
        <v>45810</v>
      </c>
      <c r="D9095" t="inlineStr">
        <is>
          <t>VÄRMLANDS LÄN</t>
        </is>
      </c>
      <c r="E9095" t="inlineStr">
        <is>
          <t>TORSBY</t>
        </is>
      </c>
      <c r="G9095" t="n">
        <v>0.5</v>
      </c>
      <c r="H9095" t="n">
        <v>0</v>
      </c>
      <c r="I9095" t="n">
        <v>0</v>
      </c>
      <c r="J9095" t="n">
        <v>0</v>
      </c>
      <c r="K9095" t="n">
        <v>0</v>
      </c>
      <c r="L9095" t="n">
        <v>0</v>
      </c>
      <c r="M9095" t="n">
        <v>0</v>
      </c>
      <c r="N9095" t="n">
        <v>0</v>
      </c>
      <c r="O9095" t="n">
        <v>0</v>
      </c>
      <c r="P9095" t="n">
        <v>0</v>
      </c>
      <c r="Q9095" t="n">
        <v>0</v>
      </c>
      <c r="R9095" s="2" t="inlineStr"/>
    </row>
    <row r="9096" ht="15" customHeight="1">
      <c r="A9096" t="inlineStr">
        <is>
          <t>A 9014-2023</t>
        </is>
      </c>
      <c r="B9096" s="1" t="n">
        <v>44979</v>
      </c>
      <c r="C9096" s="1" t="n">
        <v>45810</v>
      </c>
      <c r="D9096" t="inlineStr">
        <is>
          <t>VÄRMLANDS LÄN</t>
        </is>
      </c>
      <c r="E9096" t="inlineStr">
        <is>
          <t>ARVIKA</t>
        </is>
      </c>
      <c r="G9096" t="n">
        <v>3.6</v>
      </c>
      <c r="H9096" t="n">
        <v>0</v>
      </c>
      <c r="I9096" t="n">
        <v>0</v>
      </c>
      <c r="J9096" t="n">
        <v>0</v>
      </c>
      <c r="K9096" t="n">
        <v>0</v>
      </c>
      <c r="L9096" t="n">
        <v>0</v>
      </c>
      <c r="M9096" t="n">
        <v>0</v>
      </c>
      <c r="N9096" t="n">
        <v>0</v>
      </c>
      <c r="O9096" t="n">
        <v>0</v>
      </c>
      <c r="P9096" t="n">
        <v>0</v>
      </c>
      <c r="Q9096" t="n">
        <v>0</v>
      </c>
      <c r="R9096" s="2" t="inlineStr"/>
    </row>
    <row r="9097" ht="15" customHeight="1">
      <c r="A9097" t="inlineStr">
        <is>
          <t>A 9076-2023</t>
        </is>
      </c>
      <c r="B9097" s="1" t="n">
        <v>44979</v>
      </c>
      <c r="C9097" s="1" t="n">
        <v>45810</v>
      </c>
      <c r="D9097" t="inlineStr">
        <is>
          <t>VÄRMLANDS LÄN</t>
        </is>
      </c>
      <c r="E9097" t="inlineStr">
        <is>
          <t>SUNNE</t>
        </is>
      </c>
      <c r="G9097" t="n">
        <v>2.3</v>
      </c>
      <c r="H9097" t="n">
        <v>0</v>
      </c>
      <c r="I9097" t="n">
        <v>0</v>
      </c>
      <c r="J9097" t="n">
        <v>0</v>
      </c>
      <c r="K9097" t="n">
        <v>0</v>
      </c>
      <c r="L9097" t="n">
        <v>0</v>
      </c>
      <c r="M9097" t="n">
        <v>0</v>
      </c>
      <c r="N9097" t="n">
        <v>0</v>
      </c>
      <c r="O9097" t="n">
        <v>0</v>
      </c>
      <c r="P9097" t="n">
        <v>0</v>
      </c>
      <c r="Q9097" t="n">
        <v>0</v>
      </c>
      <c r="R9097" s="2" t="inlineStr"/>
    </row>
    <row r="9098" ht="15" customHeight="1">
      <c r="A9098" t="inlineStr">
        <is>
          <t>A 9056-2023</t>
        </is>
      </c>
      <c r="B9098" s="1" t="n">
        <v>44979</v>
      </c>
      <c r="C9098" s="1" t="n">
        <v>45810</v>
      </c>
      <c r="D9098" t="inlineStr">
        <is>
          <t>VÄRMLANDS LÄN</t>
        </is>
      </c>
      <c r="E9098" t="inlineStr">
        <is>
          <t>TORSBY</t>
        </is>
      </c>
      <c r="G9098" t="n">
        <v>2.2</v>
      </c>
      <c r="H9098" t="n">
        <v>0</v>
      </c>
      <c r="I9098" t="n">
        <v>0</v>
      </c>
      <c r="J9098" t="n">
        <v>0</v>
      </c>
      <c r="K9098" t="n">
        <v>0</v>
      </c>
      <c r="L9098" t="n">
        <v>0</v>
      </c>
      <c r="M9098" t="n">
        <v>0</v>
      </c>
      <c r="N9098" t="n">
        <v>0</v>
      </c>
      <c r="O9098" t="n">
        <v>0</v>
      </c>
      <c r="P9098" t="n">
        <v>0</v>
      </c>
      <c r="Q9098" t="n">
        <v>0</v>
      </c>
      <c r="R9098" s="2" t="inlineStr"/>
    </row>
    <row r="9099" ht="15" customHeight="1">
      <c r="A9099" t="inlineStr">
        <is>
          <t>A 9061-2023</t>
        </is>
      </c>
      <c r="B9099" s="1" t="n">
        <v>44979</v>
      </c>
      <c r="C9099" s="1" t="n">
        <v>45810</v>
      </c>
      <c r="D9099" t="inlineStr">
        <is>
          <t>VÄRMLANDS LÄN</t>
        </is>
      </c>
      <c r="E9099" t="inlineStr">
        <is>
          <t>ARVIKA</t>
        </is>
      </c>
      <c r="G9099" t="n">
        <v>2.3</v>
      </c>
      <c r="H9099" t="n">
        <v>0</v>
      </c>
      <c r="I9099" t="n">
        <v>0</v>
      </c>
      <c r="J9099" t="n">
        <v>0</v>
      </c>
      <c r="K9099" t="n">
        <v>0</v>
      </c>
      <c r="L9099" t="n">
        <v>0</v>
      </c>
      <c r="M9099" t="n">
        <v>0</v>
      </c>
      <c r="N9099" t="n">
        <v>0</v>
      </c>
      <c r="O9099" t="n">
        <v>0</v>
      </c>
      <c r="P9099" t="n">
        <v>0</v>
      </c>
      <c r="Q9099" t="n">
        <v>0</v>
      </c>
      <c r="R9099" s="2" t="inlineStr"/>
    </row>
    <row r="9100" ht="15" customHeight="1">
      <c r="A9100" t="inlineStr">
        <is>
          <t>A 10027-2023</t>
        </is>
      </c>
      <c r="B9100" s="1" t="n">
        <v>44979</v>
      </c>
      <c r="C9100" s="1" t="n">
        <v>45810</v>
      </c>
      <c r="D9100" t="inlineStr">
        <is>
          <t>VÄRMLANDS LÄN</t>
        </is>
      </c>
      <c r="E9100" t="inlineStr">
        <is>
          <t>TORSBY</t>
        </is>
      </c>
      <c r="G9100" t="n">
        <v>2.2</v>
      </c>
      <c r="H9100" t="n">
        <v>0</v>
      </c>
      <c r="I9100" t="n">
        <v>0</v>
      </c>
      <c r="J9100" t="n">
        <v>0</v>
      </c>
      <c r="K9100" t="n">
        <v>0</v>
      </c>
      <c r="L9100" t="n">
        <v>0</v>
      </c>
      <c r="M9100" t="n">
        <v>0</v>
      </c>
      <c r="N9100" t="n">
        <v>0</v>
      </c>
      <c r="O9100" t="n">
        <v>0</v>
      </c>
      <c r="P9100" t="n">
        <v>0</v>
      </c>
      <c r="Q9100" t="n">
        <v>0</v>
      </c>
      <c r="R9100" s="2" t="inlineStr"/>
    </row>
    <row r="9101" ht="15" customHeight="1">
      <c r="A9101" t="inlineStr">
        <is>
          <t>A 10033-2023</t>
        </is>
      </c>
      <c r="B9101" s="1" t="n">
        <v>44979</v>
      </c>
      <c r="C9101" s="1" t="n">
        <v>45810</v>
      </c>
      <c r="D9101" t="inlineStr">
        <is>
          <t>VÄRMLANDS LÄN</t>
        </is>
      </c>
      <c r="E9101" t="inlineStr">
        <is>
          <t>TORSBY</t>
        </is>
      </c>
      <c r="G9101" t="n">
        <v>1.2</v>
      </c>
      <c r="H9101" t="n">
        <v>0</v>
      </c>
      <c r="I9101" t="n">
        <v>0</v>
      </c>
      <c r="J9101" t="n">
        <v>0</v>
      </c>
      <c r="K9101" t="n">
        <v>0</v>
      </c>
      <c r="L9101" t="n">
        <v>0</v>
      </c>
      <c r="M9101" t="n">
        <v>0</v>
      </c>
      <c r="N9101" t="n">
        <v>0</v>
      </c>
      <c r="O9101" t="n">
        <v>0</v>
      </c>
      <c r="P9101" t="n">
        <v>0</v>
      </c>
      <c r="Q9101" t="n">
        <v>0</v>
      </c>
      <c r="R9101" s="2" t="inlineStr"/>
    </row>
    <row r="9102" ht="15" customHeight="1">
      <c r="A9102" t="inlineStr">
        <is>
          <t>A 10024-2023</t>
        </is>
      </c>
      <c r="B9102" s="1" t="n">
        <v>44979</v>
      </c>
      <c r="C9102" s="1" t="n">
        <v>45810</v>
      </c>
      <c r="D9102" t="inlineStr">
        <is>
          <t>VÄRMLANDS LÄN</t>
        </is>
      </c>
      <c r="E9102" t="inlineStr">
        <is>
          <t>TORSBY</t>
        </is>
      </c>
      <c r="G9102" t="n">
        <v>2.5</v>
      </c>
      <c r="H9102" t="n">
        <v>0</v>
      </c>
      <c r="I9102" t="n">
        <v>0</v>
      </c>
      <c r="J9102" t="n">
        <v>0</v>
      </c>
      <c r="K9102" t="n">
        <v>0</v>
      </c>
      <c r="L9102" t="n">
        <v>0</v>
      </c>
      <c r="M9102" t="n">
        <v>0</v>
      </c>
      <c r="N9102" t="n">
        <v>0</v>
      </c>
      <c r="O9102" t="n">
        <v>0</v>
      </c>
      <c r="P9102" t="n">
        <v>0</v>
      </c>
      <c r="Q9102" t="n">
        <v>0</v>
      </c>
      <c r="R9102" s="2" t="inlineStr"/>
    </row>
    <row r="9103" ht="15" customHeight="1">
      <c r="A9103" t="inlineStr">
        <is>
          <t>A 9133-2023</t>
        </is>
      </c>
      <c r="B9103" s="1" t="n">
        <v>44980</v>
      </c>
      <c r="C9103" s="1" t="n">
        <v>45810</v>
      </c>
      <c r="D9103" t="inlineStr">
        <is>
          <t>VÄRMLANDS LÄN</t>
        </is>
      </c>
      <c r="E9103" t="inlineStr">
        <is>
          <t>SUNNE</t>
        </is>
      </c>
      <c r="G9103" t="n">
        <v>1</v>
      </c>
      <c r="H9103" t="n">
        <v>0</v>
      </c>
      <c r="I9103" t="n">
        <v>0</v>
      </c>
      <c r="J9103" t="n">
        <v>0</v>
      </c>
      <c r="K9103" t="n">
        <v>0</v>
      </c>
      <c r="L9103" t="n">
        <v>0</v>
      </c>
      <c r="M9103" t="n">
        <v>0</v>
      </c>
      <c r="N9103" t="n">
        <v>0</v>
      </c>
      <c r="O9103" t="n">
        <v>0</v>
      </c>
      <c r="P9103" t="n">
        <v>0</v>
      </c>
      <c r="Q9103" t="n">
        <v>0</v>
      </c>
      <c r="R9103" s="2" t="inlineStr"/>
    </row>
    <row r="9104" ht="15" customHeight="1">
      <c r="A9104" t="inlineStr">
        <is>
          <t>A 9183-2023</t>
        </is>
      </c>
      <c r="B9104" s="1" t="n">
        <v>44980</v>
      </c>
      <c r="C9104" s="1" t="n">
        <v>45810</v>
      </c>
      <c r="D9104" t="inlineStr">
        <is>
          <t>VÄRMLANDS LÄN</t>
        </is>
      </c>
      <c r="E9104" t="inlineStr">
        <is>
          <t>EDA</t>
        </is>
      </c>
      <c r="G9104" t="n">
        <v>2.4</v>
      </c>
      <c r="H9104" t="n">
        <v>0</v>
      </c>
      <c r="I9104" t="n">
        <v>0</v>
      </c>
      <c r="J9104" t="n">
        <v>0</v>
      </c>
      <c r="K9104" t="n">
        <v>0</v>
      </c>
      <c r="L9104" t="n">
        <v>0</v>
      </c>
      <c r="M9104" t="n">
        <v>0</v>
      </c>
      <c r="N9104" t="n">
        <v>0</v>
      </c>
      <c r="O9104" t="n">
        <v>0</v>
      </c>
      <c r="P9104" t="n">
        <v>0</v>
      </c>
      <c r="Q9104" t="n">
        <v>0</v>
      </c>
      <c r="R9104" s="2" t="inlineStr"/>
    </row>
    <row r="9105" ht="15" customHeight="1">
      <c r="A9105" t="inlineStr">
        <is>
          <t>A 9212-2023</t>
        </is>
      </c>
      <c r="B9105" s="1" t="n">
        <v>44980</v>
      </c>
      <c r="C9105" s="1" t="n">
        <v>45810</v>
      </c>
      <c r="D9105" t="inlineStr">
        <is>
          <t>VÄRMLANDS LÄN</t>
        </is>
      </c>
      <c r="E9105" t="inlineStr">
        <is>
          <t>SÄFFLE</t>
        </is>
      </c>
      <c r="G9105" t="n">
        <v>1.9</v>
      </c>
      <c r="H9105" t="n">
        <v>0</v>
      </c>
      <c r="I9105" t="n">
        <v>0</v>
      </c>
      <c r="J9105" t="n">
        <v>0</v>
      </c>
      <c r="K9105" t="n">
        <v>0</v>
      </c>
      <c r="L9105" t="n">
        <v>0</v>
      </c>
      <c r="M9105" t="n">
        <v>0</v>
      </c>
      <c r="N9105" t="n">
        <v>0</v>
      </c>
      <c r="O9105" t="n">
        <v>0</v>
      </c>
      <c r="P9105" t="n">
        <v>0</v>
      </c>
      <c r="Q9105" t="n">
        <v>0</v>
      </c>
      <c r="R9105" s="2" t="inlineStr"/>
    </row>
    <row r="9106" ht="15" customHeight="1">
      <c r="A9106" t="inlineStr">
        <is>
          <t>A 9217-2023</t>
        </is>
      </c>
      <c r="B9106" s="1" t="n">
        <v>44980</v>
      </c>
      <c r="C9106" s="1" t="n">
        <v>45810</v>
      </c>
      <c r="D9106" t="inlineStr">
        <is>
          <t>VÄRMLANDS LÄN</t>
        </is>
      </c>
      <c r="E9106" t="inlineStr">
        <is>
          <t>ARVIKA</t>
        </is>
      </c>
      <c r="F9106" t="inlineStr">
        <is>
          <t>Bergvik skog väst AB</t>
        </is>
      </c>
      <c r="G9106" t="n">
        <v>1</v>
      </c>
      <c r="H9106" t="n">
        <v>0</v>
      </c>
      <c r="I9106" t="n">
        <v>0</v>
      </c>
      <c r="J9106" t="n">
        <v>0</v>
      </c>
      <c r="K9106" t="n">
        <v>0</v>
      </c>
      <c r="L9106" t="n">
        <v>0</v>
      </c>
      <c r="M9106" t="n">
        <v>0</v>
      </c>
      <c r="N9106" t="n">
        <v>0</v>
      </c>
      <c r="O9106" t="n">
        <v>0</v>
      </c>
      <c r="P9106" t="n">
        <v>0</v>
      </c>
      <c r="Q9106" t="n">
        <v>0</v>
      </c>
      <c r="R9106" s="2" t="inlineStr"/>
    </row>
    <row r="9107" ht="15" customHeight="1">
      <c r="A9107" t="inlineStr">
        <is>
          <t>A 9177-2023</t>
        </is>
      </c>
      <c r="B9107" s="1" t="n">
        <v>44980</v>
      </c>
      <c r="C9107" s="1" t="n">
        <v>45810</v>
      </c>
      <c r="D9107" t="inlineStr">
        <is>
          <t>VÄRMLANDS LÄN</t>
        </is>
      </c>
      <c r="E9107" t="inlineStr">
        <is>
          <t>EDA</t>
        </is>
      </c>
      <c r="G9107" t="n">
        <v>3.7</v>
      </c>
      <c r="H9107" t="n">
        <v>0</v>
      </c>
      <c r="I9107" t="n">
        <v>0</v>
      </c>
      <c r="J9107" t="n">
        <v>0</v>
      </c>
      <c r="K9107" t="n">
        <v>0</v>
      </c>
      <c r="L9107" t="n">
        <v>0</v>
      </c>
      <c r="M9107" t="n">
        <v>0</v>
      </c>
      <c r="N9107" t="n">
        <v>0</v>
      </c>
      <c r="O9107" t="n">
        <v>0</v>
      </c>
      <c r="P9107" t="n">
        <v>0</v>
      </c>
      <c r="Q9107" t="n">
        <v>0</v>
      </c>
      <c r="R9107" s="2" t="inlineStr"/>
    </row>
    <row r="9108" ht="15" customHeight="1">
      <c r="A9108" t="inlineStr">
        <is>
          <t>A 9190-2023</t>
        </is>
      </c>
      <c r="B9108" s="1" t="n">
        <v>44980</v>
      </c>
      <c r="C9108" s="1" t="n">
        <v>45810</v>
      </c>
      <c r="D9108" t="inlineStr">
        <is>
          <t>VÄRMLANDS LÄN</t>
        </is>
      </c>
      <c r="E9108" t="inlineStr">
        <is>
          <t>ARVIKA</t>
        </is>
      </c>
      <c r="F9108" t="inlineStr">
        <is>
          <t>Bergvik skog väst AB</t>
        </is>
      </c>
      <c r="G9108" t="n">
        <v>8.300000000000001</v>
      </c>
      <c r="H9108" t="n">
        <v>0</v>
      </c>
      <c r="I9108" t="n">
        <v>0</v>
      </c>
      <c r="J9108" t="n">
        <v>0</v>
      </c>
      <c r="K9108" t="n">
        <v>0</v>
      </c>
      <c r="L9108" t="n">
        <v>0</v>
      </c>
      <c r="M9108" t="n">
        <v>0</v>
      </c>
      <c r="N9108" t="n">
        <v>0</v>
      </c>
      <c r="O9108" t="n">
        <v>0</v>
      </c>
      <c r="P9108" t="n">
        <v>0</v>
      </c>
      <c r="Q9108" t="n">
        <v>0</v>
      </c>
      <c r="R9108" s="2" t="inlineStr"/>
    </row>
    <row r="9109" ht="15" customHeight="1">
      <c r="A9109" t="inlineStr">
        <is>
          <t>A 9236-2023</t>
        </is>
      </c>
      <c r="B9109" s="1" t="n">
        <v>44980</v>
      </c>
      <c r="C9109" s="1" t="n">
        <v>45810</v>
      </c>
      <c r="D9109" t="inlineStr">
        <is>
          <t>VÄRMLANDS LÄN</t>
        </is>
      </c>
      <c r="E9109" t="inlineStr">
        <is>
          <t>ARVIKA</t>
        </is>
      </c>
      <c r="G9109" t="n">
        <v>1.1</v>
      </c>
      <c r="H9109" t="n">
        <v>0</v>
      </c>
      <c r="I9109" t="n">
        <v>0</v>
      </c>
      <c r="J9109" t="n">
        <v>0</v>
      </c>
      <c r="K9109" t="n">
        <v>0</v>
      </c>
      <c r="L9109" t="n">
        <v>0</v>
      </c>
      <c r="M9109" t="n">
        <v>0</v>
      </c>
      <c r="N9109" t="n">
        <v>0</v>
      </c>
      <c r="O9109" t="n">
        <v>0</v>
      </c>
      <c r="P9109" t="n">
        <v>0</v>
      </c>
      <c r="Q9109" t="n">
        <v>0</v>
      </c>
      <c r="R9109" s="2" t="inlineStr"/>
    </row>
    <row r="9110" ht="15" customHeight="1">
      <c r="A9110" t="inlineStr">
        <is>
          <t>A 9173-2023</t>
        </is>
      </c>
      <c r="B9110" s="1" t="n">
        <v>44980</v>
      </c>
      <c r="C9110" s="1" t="n">
        <v>45810</v>
      </c>
      <c r="D9110" t="inlineStr">
        <is>
          <t>VÄRMLANDS LÄN</t>
        </is>
      </c>
      <c r="E9110" t="inlineStr">
        <is>
          <t>SUNNE</t>
        </is>
      </c>
      <c r="G9110" t="n">
        <v>0.7</v>
      </c>
      <c r="H9110" t="n">
        <v>0</v>
      </c>
      <c r="I9110" t="n">
        <v>0</v>
      </c>
      <c r="J9110" t="n">
        <v>0</v>
      </c>
      <c r="K9110" t="n">
        <v>0</v>
      </c>
      <c r="L9110" t="n">
        <v>0</v>
      </c>
      <c r="M9110" t="n">
        <v>0</v>
      </c>
      <c r="N9110" t="n">
        <v>0</v>
      </c>
      <c r="O9110" t="n">
        <v>0</v>
      </c>
      <c r="P9110" t="n">
        <v>0</v>
      </c>
      <c r="Q9110" t="n">
        <v>0</v>
      </c>
      <c r="R9110" s="2" t="inlineStr"/>
    </row>
    <row r="9111" ht="15" customHeight="1">
      <c r="A9111" t="inlineStr">
        <is>
          <t>A 9216-2023</t>
        </is>
      </c>
      <c r="B9111" s="1" t="n">
        <v>44980</v>
      </c>
      <c r="C9111" s="1" t="n">
        <v>45810</v>
      </c>
      <c r="D9111" t="inlineStr">
        <is>
          <t>VÄRMLANDS LÄN</t>
        </is>
      </c>
      <c r="E9111" t="inlineStr">
        <is>
          <t>ARVIKA</t>
        </is>
      </c>
      <c r="F9111" t="inlineStr">
        <is>
          <t>Bergvik skog väst AB</t>
        </is>
      </c>
      <c r="G9111" t="n">
        <v>9</v>
      </c>
      <c r="H9111" t="n">
        <v>0</v>
      </c>
      <c r="I9111" t="n">
        <v>0</v>
      </c>
      <c r="J9111" t="n">
        <v>0</v>
      </c>
      <c r="K9111" t="n">
        <v>0</v>
      </c>
      <c r="L9111" t="n">
        <v>0</v>
      </c>
      <c r="M9111" t="n">
        <v>0</v>
      </c>
      <c r="N9111" t="n">
        <v>0</v>
      </c>
      <c r="O9111" t="n">
        <v>0</v>
      </c>
      <c r="P9111" t="n">
        <v>0</v>
      </c>
      <c r="Q9111" t="n">
        <v>0</v>
      </c>
      <c r="R9111" s="2" t="inlineStr"/>
    </row>
    <row r="9112" ht="15" customHeight="1">
      <c r="A9112" t="inlineStr">
        <is>
          <t>A 9327-2023</t>
        </is>
      </c>
      <c r="B9112" s="1" t="n">
        <v>44980</v>
      </c>
      <c r="C9112" s="1" t="n">
        <v>45810</v>
      </c>
      <c r="D9112" t="inlineStr">
        <is>
          <t>VÄRMLANDS LÄN</t>
        </is>
      </c>
      <c r="E9112" t="inlineStr">
        <is>
          <t>TORSBY</t>
        </is>
      </c>
      <c r="G9112" t="n">
        <v>6</v>
      </c>
      <c r="H9112" t="n">
        <v>0</v>
      </c>
      <c r="I9112" t="n">
        <v>0</v>
      </c>
      <c r="J9112" t="n">
        <v>0</v>
      </c>
      <c r="K9112" t="n">
        <v>0</v>
      </c>
      <c r="L9112" t="n">
        <v>0</v>
      </c>
      <c r="M9112" t="n">
        <v>0</v>
      </c>
      <c r="N9112" t="n">
        <v>0</v>
      </c>
      <c r="O9112" t="n">
        <v>0</v>
      </c>
      <c r="P9112" t="n">
        <v>0</v>
      </c>
      <c r="Q9112" t="n">
        <v>0</v>
      </c>
      <c r="R9112" s="2" t="inlineStr"/>
    </row>
    <row r="9113" ht="15" customHeight="1">
      <c r="A9113" t="inlineStr">
        <is>
          <t>A 9270-2023</t>
        </is>
      </c>
      <c r="B9113" s="1" t="n">
        <v>44980</v>
      </c>
      <c r="C9113" s="1" t="n">
        <v>45810</v>
      </c>
      <c r="D9113" t="inlineStr">
        <is>
          <t>VÄRMLANDS LÄN</t>
        </is>
      </c>
      <c r="E9113" t="inlineStr">
        <is>
          <t>FILIPSTAD</t>
        </is>
      </c>
      <c r="F9113" t="inlineStr">
        <is>
          <t>Bergvik skog väst AB</t>
        </is>
      </c>
      <c r="G9113" t="n">
        <v>1.4</v>
      </c>
      <c r="H9113" t="n">
        <v>0</v>
      </c>
      <c r="I9113" t="n">
        <v>0</v>
      </c>
      <c r="J9113" t="n">
        <v>0</v>
      </c>
      <c r="K9113" t="n">
        <v>0</v>
      </c>
      <c r="L9113" t="n">
        <v>0</v>
      </c>
      <c r="M9113" t="n">
        <v>0</v>
      </c>
      <c r="N9113" t="n">
        <v>0</v>
      </c>
      <c r="O9113" t="n">
        <v>0</v>
      </c>
      <c r="P9113" t="n">
        <v>0</v>
      </c>
      <c r="Q9113" t="n">
        <v>0</v>
      </c>
      <c r="R9113" s="2" t="inlineStr"/>
    </row>
    <row r="9114" ht="15" customHeight="1">
      <c r="A9114" t="inlineStr">
        <is>
          <t>A 9285-2023</t>
        </is>
      </c>
      <c r="B9114" s="1" t="n">
        <v>44980</v>
      </c>
      <c r="C9114" s="1" t="n">
        <v>45810</v>
      </c>
      <c r="D9114" t="inlineStr">
        <is>
          <t>VÄRMLANDS LÄN</t>
        </is>
      </c>
      <c r="E9114" t="inlineStr">
        <is>
          <t>ARVIKA</t>
        </is>
      </c>
      <c r="G9114" t="n">
        <v>1.9</v>
      </c>
      <c r="H9114" t="n">
        <v>0</v>
      </c>
      <c r="I9114" t="n">
        <v>0</v>
      </c>
      <c r="J9114" t="n">
        <v>0</v>
      </c>
      <c r="K9114" t="n">
        <v>0</v>
      </c>
      <c r="L9114" t="n">
        <v>0</v>
      </c>
      <c r="M9114" t="n">
        <v>0</v>
      </c>
      <c r="N9114" t="n">
        <v>0</v>
      </c>
      <c r="O9114" t="n">
        <v>0</v>
      </c>
      <c r="P9114" t="n">
        <v>0</v>
      </c>
      <c r="Q9114" t="n">
        <v>0</v>
      </c>
      <c r="R9114" s="2" t="inlineStr"/>
    </row>
    <row r="9115" ht="15" customHeight="1">
      <c r="A9115" t="inlineStr">
        <is>
          <t>A 9161-2023</t>
        </is>
      </c>
      <c r="B9115" s="1" t="n">
        <v>44980</v>
      </c>
      <c r="C9115" s="1" t="n">
        <v>45810</v>
      </c>
      <c r="D9115" t="inlineStr">
        <is>
          <t>VÄRMLANDS LÄN</t>
        </is>
      </c>
      <c r="E9115" t="inlineStr">
        <is>
          <t>ARVIKA</t>
        </is>
      </c>
      <c r="G9115" t="n">
        <v>3.8</v>
      </c>
      <c r="H9115" t="n">
        <v>0</v>
      </c>
      <c r="I9115" t="n">
        <v>0</v>
      </c>
      <c r="J9115" t="n">
        <v>0</v>
      </c>
      <c r="K9115" t="n">
        <v>0</v>
      </c>
      <c r="L9115" t="n">
        <v>0</v>
      </c>
      <c r="M9115" t="n">
        <v>0</v>
      </c>
      <c r="N9115" t="n">
        <v>0</v>
      </c>
      <c r="O9115" t="n">
        <v>0</v>
      </c>
      <c r="P9115" t="n">
        <v>0</v>
      </c>
      <c r="Q9115" t="n">
        <v>0</v>
      </c>
      <c r="R9115" s="2" t="inlineStr"/>
    </row>
    <row r="9116" ht="15" customHeight="1">
      <c r="A9116" t="inlineStr">
        <is>
          <t>A 9210-2023</t>
        </is>
      </c>
      <c r="B9116" s="1" t="n">
        <v>44980</v>
      </c>
      <c r="C9116" s="1" t="n">
        <v>45810</v>
      </c>
      <c r="D9116" t="inlineStr">
        <is>
          <t>VÄRMLANDS LÄN</t>
        </is>
      </c>
      <c r="E9116" t="inlineStr">
        <is>
          <t>SÄFFLE</t>
        </is>
      </c>
      <c r="G9116" t="n">
        <v>4.8</v>
      </c>
      <c r="H9116" t="n">
        <v>0</v>
      </c>
      <c r="I9116" t="n">
        <v>0</v>
      </c>
      <c r="J9116" t="n">
        <v>0</v>
      </c>
      <c r="K9116" t="n">
        <v>0</v>
      </c>
      <c r="L9116" t="n">
        <v>0</v>
      </c>
      <c r="M9116" t="n">
        <v>0</v>
      </c>
      <c r="N9116" t="n">
        <v>0</v>
      </c>
      <c r="O9116" t="n">
        <v>0</v>
      </c>
      <c r="P9116" t="n">
        <v>0</v>
      </c>
      <c r="Q9116" t="n">
        <v>0</v>
      </c>
      <c r="R9116" s="2" t="inlineStr"/>
    </row>
    <row r="9117" ht="15" customHeight="1">
      <c r="A9117" t="inlineStr">
        <is>
          <t>A 9300-2023</t>
        </is>
      </c>
      <c r="B9117" s="1" t="n">
        <v>44980</v>
      </c>
      <c r="C9117" s="1" t="n">
        <v>45810</v>
      </c>
      <c r="D9117" t="inlineStr">
        <is>
          <t>VÄRMLANDS LÄN</t>
        </is>
      </c>
      <c r="E9117" t="inlineStr">
        <is>
          <t>HAGFORS</t>
        </is>
      </c>
      <c r="F9117" t="inlineStr">
        <is>
          <t>Kyrkan</t>
        </is>
      </c>
      <c r="G9117" t="n">
        <v>7.8</v>
      </c>
      <c r="H9117" t="n">
        <v>0</v>
      </c>
      <c r="I9117" t="n">
        <v>0</v>
      </c>
      <c r="J9117" t="n">
        <v>0</v>
      </c>
      <c r="K9117" t="n">
        <v>0</v>
      </c>
      <c r="L9117" t="n">
        <v>0</v>
      </c>
      <c r="M9117" t="n">
        <v>0</v>
      </c>
      <c r="N9117" t="n">
        <v>0</v>
      </c>
      <c r="O9117" t="n">
        <v>0</v>
      </c>
      <c r="P9117" t="n">
        <v>0</v>
      </c>
      <c r="Q9117" t="n">
        <v>0</v>
      </c>
      <c r="R9117" s="2" t="inlineStr"/>
    </row>
    <row r="9118" ht="15" customHeight="1">
      <c r="A9118" t="inlineStr">
        <is>
          <t>A 10231-2023</t>
        </is>
      </c>
      <c r="B9118" s="1" t="n">
        <v>44980</v>
      </c>
      <c r="C9118" s="1" t="n">
        <v>45810</v>
      </c>
      <c r="D9118" t="inlineStr">
        <is>
          <t>VÄRMLANDS LÄN</t>
        </is>
      </c>
      <c r="E9118" t="inlineStr">
        <is>
          <t>SUNNE</t>
        </is>
      </c>
      <c r="G9118" t="n">
        <v>2.2</v>
      </c>
      <c r="H9118" t="n">
        <v>0</v>
      </c>
      <c r="I9118" t="n">
        <v>0</v>
      </c>
      <c r="J9118" t="n">
        <v>0</v>
      </c>
      <c r="K9118" t="n">
        <v>0</v>
      </c>
      <c r="L9118" t="n">
        <v>0</v>
      </c>
      <c r="M9118" t="n">
        <v>0</v>
      </c>
      <c r="N9118" t="n">
        <v>0</v>
      </c>
      <c r="O9118" t="n">
        <v>0</v>
      </c>
      <c r="P9118" t="n">
        <v>0</v>
      </c>
      <c r="Q9118" t="n">
        <v>0</v>
      </c>
      <c r="R9118" s="2" t="inlineStr"/>
    </row>
    <row r="9119" ht="15" customHeight="1">
      <c r="A9119" t="inlineStr">
        <is>
          <t>A 10240-2023</t>
        </is>
      </c>
      <c r="B9119" s="1" t="n">
        <v>44980</v>
      </c>
      <c r="C9119" s="1" t="n">
        <v>45810</v>
      </c>
      <c r="D9119" t="inlineStr">
        <is>
          <t>VÄRMLANDS LÄN</t>
        </is>
      </c>
      <c r="E9119" t="inlineStr">
        <is>
          <t>SÄFFLE</t>
        </is>
      </c>
      <c r="G9119" t="n">
        <v>4.9</v>
      </c>
      <c r="H9119" t="n">
        <v>0</v>
      </c>
      <c r="I9119" t="n">
        <v>0</v>
      </c>
      <c r="J9119" t="n">
        <v>0</v>
      </c>
      <c r="K9119" t="n">
        <v>0</v>
      </c>
      <c r="L9119" t="n">
        <v>0</v>
      </c>
      <c r="M9119" t="n">
        <v>0</v>
      </c>
      <c r="N9119" t="n">
        <v>0</v>
      </c>
      <c r="O9119" t="n">
        <v>0</v>
      </c>
      <c r="P9119" t="n">
        <v>0</v>
      </c>
      <c r="Q9119" t="n">
        <v>0</v>
      </c>
      <c r="R9119" s="2" t="inlineStr"/>
    </row>
    <row r="9120" ht="15" customHeight="1">
      <c r="A9120" t="inlineStr">
        <is>
          <t>A 10349-2023</t>
        </is>
      </c>
      <c r="B9120" s="1" t="n">
        <v>44980</v>
      </c>
      <c r="C9120" s="1" t="n">
        <v>45810</v>
      </c>
      <c r="D9120" t="inlineStr">
        <is>
          <t>VÄRMLANDS LÄN</t>
        </is>
      </c>
      <c r="E9120" t="inlineStr">
        <is>
          <t>SÄFFLE</t>
        </is>
      </c>
      <c r="G9120" t="n">
        <v>6.6</v>
      </c>
      <c r="H9120" t="n">
        <v>0</v>
      </c>
      <c r="I9120" t="n">
        <v>0</v>
      </c>
      <c r="J9120" t="n">
        <v>0</v>
      </c>
      <c r="K9120" t="n">
        <v>0</v>
      </c>
      <c r="L9120" t="n">
        <v>0</v>
      </c>
      <c r="M9120" t="n">
        <v>0</v>
      </c>
      <c r="N9120" t="n">
        <v>0</v>
      </c>
      <c r="O9120" t="n">
        <v>0</v>
      </c>
      <c r="P9120" t="n">
        <v>0</v>
      </c>
      <c r="Q9120" t="n">
        <v>0</v>
      </c>
      <c r="R9120" s="2" t="inlineStr"/>
    </row>
    <row r="9121" ht="15" customHeight="1">
      <c r="A9121" t="inlineStr">
        <is>
          <t>A 10126-2023</t>
        </is>
      </c>
      <c r="B9121" s="1" t="n">
        <v>44980</v>
      </c>
      <c r="C9121" s="1" t="n">
        <v>45810</v>
      </c>
      <c r="D9121" t="inlineStr">
        <is>
          <t>VÄRMLANDS LÄN</t>
        </is>
      </c>
      <c r="E9121" t="inlineStr">
        <is>
          <t>ÅRJÄNG</t>
        </is>
      </c>
      <c r="G9121" t="n">
        <v>2</v>
      </c>
      <c r="H9121" t="n">
        <v>0</v>
      </c>
      <c r="I9121" t="n">
        <v>0</v>
      </c>
      <c r="J9121" t="n">
        <v>0</v>
      </c>
      <c r="K9121" t="n">
        <v>0</v>
      </c>
      <c r="L9121" t="n">
        <v>0</v>
      </c>
      <c r="M9121" t="n">
        <v>0</v>
      </c>
      <c r="N9121" t="n">
        <v>0</v>
      </c>
      <c r="O9121" t="n">
        <v>0</v>
      </c>
      <c r="P9121" t="n">
        <v>0</v>
      </c>
      <c r="Q9121" t="n">
        <v>0</v>
      </c>
      <c r="R9121" s="2" t="inlineStr"/>
    </row>
    <row r="9122" ht="15" customHeight="1">
      <c r="A9122" t="inlineStr">
        <is>
          <t>A 9388-2023</t>
        </is>
      </c>
      <c r="B9122" s="1" t="n">
        <v>44981</v>
      </c>
      <c r="C9122" s="1" t="n">
        <v>45810</v>
      </c>
      <c r="D9122" t="inlineStr">
        <is>
          <t>VÄRMLANDS LÄN</t>
        </is>
      </c>
      <c r="E9122" t="inlineStr">
        <is>
          <t>FILIPSTAD</t>
        </is>
      </c>
      <c r="F9122" t="inlineStr">
        <is>
          <t>Bergvik skog väst AB</t>
        </is>
      </c>
      <c r="G9122" t="n">
        <v>16.6</v>
      </c>
      <c r="H9122" t="n">
        <v>0</v>
      </c>
      <c r="I9122" t="n">
        <v>0</v>
      </c>
      <c r="J9122" t="n">
        <v>0</v>
      </c>
      <c r="K9122" t="n">
        <v>0</v>
      </c>
      <c r="L9122" t="n">
        <v>0</v>
      </c>
      <c r="M9122" t="n">
        <v>0</v>
      </c>
      <c r="N9122" t="n">
        <v>0</v>
      </c>
      <c r="O9122" t="n">
        <v>0</v>
      </c>
      <c r="P9122" t="n">
        <v>0</v>
      </c>
      <c r="Q9122" t="n">
        <v>0</v>
      </c>
      <c r="R9122" s="2" t="inlineStr"/>
    </row>
    <row r="9123" ht="15" customHeight="1">
      <c r="A9123" t="inlineStr">
        <is>
          <t>A 9392-2023</t>
        </is>
      </c>
      <c r="B9123" s="1" t="n">
        <v>44981</v>
      </c>
      <c r="C9123" s="1" t="n">
        <v>45810</v>
      </c>
      <c r="D9123" t="inlineStr">
        <is>
          <t>VÄRMLANDS LÄN</t>
        </is>
      </c>
      <c r="E9123" t="inlineStr">
        <is>
          <t>ARVIKA</t>
        </is>
      </c>
      <c r="G9123" t="n">
        <v>1.5</v>
      </c>
      <c r="H9123" t="n">
        <v>0</v>
      </c>
      <c r="I9123" t="n">
        <v>0</v>
      </c>
      <c r="J9123" t="n">
        <v>0</v>
      </c>
      <c r="K9123" t="n">
        <v>0</v>
      </c>
      <c r="L9123" t="n">
        <v>0</v>
      </c>
      <c r="M9123" t="n">
        <v>0</v>
      </c>
      <c r="N9123" t="n">
        <v>0</v>
      </c>
      <c r="O9123" t="n">
        <v>0</v>
      </c>
      <c r="P9123" t="n">
        <v>0</v>
      </c>
      <c r="Q9123" t="n">
        <v>0</v>
      </c>
      <c r="R9123" s="2" t="inlineStr"/>
    </row>
    <row r="9124" ht="15" customHeight="1">
      <c r="A9124" t="inlineStr">
        <is>
          <t>A 9403-2023</t>
        </is>
      </c>
      <c r="B9124" s="1" t="n">
        <v>44981</v>
      </c>
      <c r="C9124" s="1" t="n">
        <v>45810</v>
      </c>
      <c r="D9124" t="inlineStr">
        <is>
          <t>VÄRMLANDS LÄN</t>
        </is>
      </c>
      <c r="E9124" t="inlineStr">
        <is>
          <t>ARVIKA</t>
        </is>
      </c>
      <c r="G9124" t="n">
        <v>2.1</v>
      </c>
      <c r="H9124" t="n">
        <v>0</v>
      </c>
      <c r="I9124" t="n">
        <v>0</v>
      </c>
      <c r="J9124" t="n">
        <v>0</v>
      </c>
      <c r="K9124" t="n">
        <v>0</v>
      </c>
      <c r="L9124" t="n">
        <v>0</v>
      </c>
      <c r="M9124" t="n">
        <v>0</v>
      </c>
      <c r="N9124" t="n">
        <v>0</v>
      </c>
      <c r="O9124" t="n">
        <v>0</v>
      </c>
      <c r="P9124" t="n">
        <v>0</v>
      </c>
      <c r="Q9124" t="n">
        <v>0</v>
      </c>
      <c r="R9124" s="2" t="inlineStr"/>
    </row>
    <row r="9125" ht="15" customHeight="1">
      <c r="A9125" t="inlineStr">
        <is>
          <t>A 9433-2023</t>
        </is>
      </c>
      <c r="B9125" s="1" t="n">
        <v>44981</v>
      </c>
      <c r="C9125" s="1" t="n">
        <v>45810</v>
      </c>
      <c r="D9125" t="inlineStr">
        <is>
          <t>VÄRMLANDS LÄN</t>
        </is>
      </c>
      <c r="E9125" t="inlineStr">
        <is>
          <t>SUNNE</t>
        </is>
      </c>
      <c r="G9125" t="n">
        <v>6.2</v>
      </c>
      <c r="H9125" t="n">
        <v>0</v>
      </c>
      <c r="I9125" t="n">
        <v>0</v>
      </c>
      <c r="J9125" t="n">
        <v>0</v>
      </c>
      <c r="K9125" t="n">
        <v>0</v>
      </c>
      <c r="L9125" t="n">
        <v>0</v>
      </c>
      <c r="M9125" t="n">
        <v>0</v>
      </c>
      <c r="N9125" t="n">
        <v>0</v>
      </c>
      <c r="O9125" t="n">
        <v>0</v>
      </c>
      <c r="P9125" t="n">
        <v>0</v>
      </c>
      <c r="Q9125" t="n">
        <v>0</v>
      </c>
      <c r="R9125" s="2" t="inlineStr"/>
    </row>
    <row r="9126" ht="15" customHeight="1">
      <c r="A9126" t="inlineStr">
        <is>
          <t>A 9438-2023</t>
        </is>
      </c>
      <c r="B9126" s="1" t="n">
        <v>44981</v>
      </c>
      <c r="C9126" s="1" t="n">
        <v>45810</v>
      </c>
      <c r="D9126" t="inlineStr">
        <is>
          <t>VÄRMLANDS LÄN</t>
        </is>
      </c>
      <c r="E9126" t="inlineStr">
        <is>
          <t>SUNNE</t>
        </is>
      </c>
      <c r="G9126" t="n">
        <v>3.3</v>
      </c>
      <c r="H9126" t="n">
        <v>0</v>
      </c>
      <c r="I9126" t="n">
        <v>0</v>
      </c>
      <c r="J9126" t="n">
        <v>0</v>
      </c>
      <c r="K9126" t="n">
        <v>0</v>
      </c>
      <c r="L9126" t="n">
        <v>0</v>
      </c>
      <c r="M9126" t="n">
        <v>0</v>
      </c>
      <c r="N9126" t="n">
        <v>0</v>
      </c>
      <c r="O9126" t="n">
        <v>0</v>
      </c>
      <c r="P9126" t="n">
        <v>0</v>
      </c>
      <c r="Q9126" t="n">
        <v>0</v>
      </c>
      <c r="R9126" s="2" t="inlineStr"/>
    </row>
    <row r="9127" ht="15" customHeight="1">
      <c r="A9127" t="inlineStr">
        <is>
          <t>A 9396-2023</t>
        </is>
      </c>
      <c r="B9127" s="1" t="n">
        <v>44981</v>
      </c>
      <c r="C9127" s="1" t="n">
        <v>45810</v>
      </c>
      <c r="D9127" t="inlineStr">
        <is>
          <t>VÄRMLANDS LÄN</t>
        </is>
      </c>
      <c r="E9127" t="inlineStr">
        <is>
          <t>ARVIKA</t>
        </is>
      </c>
      <c r="G9127" t="n">
        <v>20.5</v>
      </c>
      <c r="H9127" t="n">
        <v>0</v>
      </c>
      <c r="I9127" t="n">
        <v>0</v>
      </c>
      <c r="J9127" t="n">
        <v>0</v>
      </c>
      <c r="K9127" t="n">
        <v>0</v>
      </c>
      <c r="L9127" t="n">
        <v>0</v>
      </c>
      <c r="M9127" t="n">
        <v>0</v>
      </c>
      <c r="N9127" t="n">
        <v>0</v>
      </c>
      <c r="O9127" t="n">
        <v>0</v>
      </c>
      <c r="P9127" t="n">
        <v>0</v>
      </c>
      <c r="Q9127" t="n">
        <v>0</v>
      </c>
      <c r="R9127" s="2" t="inlineStr"/>
    </row>
    <row r="9128" ht="15" customHeight="1">
      <c r="A9128" t="inlineStr">
        <is>
          <t>A 9406-2023</t>
        </is>
      </c>
      <c r="B9128" s="1" t="n">
        <v>44981</v>
      </c>
      <c r="C9128" s="1" t="n">
        <v>45810</v>
      </c>
      <c r="D9128" t="inlineStr">
        <is>
          <t>VÄRMLANDS LÄN</t>
        </is>
      </c>
      <c r="E9128" t="inlineStr">
        <is>
          <t>ARVIKA</t>
        </is>
      </c>
      <c r="G9128" t="n">
        <v>2.5</v>
      </c>
      <c r="H9128" t="n">
        <v>0</v>
      </c>
      <c r="I9128" t="n">
        <v>0</v>
      </c>
      <c r="J9128" t="n">
        <v>0</v>
      </c>
      <c r="K9128" t="n">
        <v>0</v>
      </c>
      <c r="L9128" t="n">
        <v>0</v>
      </c>
      <c r="M9128" t="n">
        <v>0</v>
      </c>
      <c r="N9128" t="n">
        <v>0</v>
      </c>
      <c r="O9128" t="n">
        <v>0</v>
      </c>
      <c r="P9128" t="n">
        <v>0</v>
      </c>
      <c r="Q9128" t="n">
        <v>0</v>
      </c>
      <c r="R9128" s="2" t="inlineStr"/>
    </row>
    <row r="9129" ht="15" customHeight="1">
      <c r="A9129" t="inlineStr">
        <is>
          <t>A 9414-2023</t>
        </is>
      </c>
      <c r="B9129" s="1" t="n">
        <v>44981</v>
      </c>
      <c r="C9129" s="1" t="n">
        <v>45810</v>
      </c>
      <c r="D9129" t="inlineStr">
        <is>
          <t>VÄRMLANDS LÄN</t>
        </is>
      </c>
      <c r="E9129" t="inlineStr">
        <is>
          <t>ARVIKA</t>
        </is>
      </c>
      <c r="G9129" t="n">
        <v>2.4</v>
      </c>
      <c r="H9129" t="n">
        <v>0</v>
      </c>
      <c r="I9129" t="n">
        <v>0</v>
      </c>
      <c r="J9129" t="n">
        <v>0</v>
      </c>
      <c r="K9129" t="n">
        <v>0</v>
      </c>
      <c r="L9129" t="n">
        <v>0</v>
      </c>
      <c r="M9129" t="n">
        <v>0</v>
      </c>
      <c r="N9129" t="n">
        <v>0</v>
      </c>
      <c r="O9129" t="n">
        <v>0</v>
      </c>
      <c r="P9129" t="n">
        <v>0</v>
      </c>
      <c r="Q9129" t="n">
        <v>0</v>
      </c>
      <c r="R9129" s="2" t="inlineStr"/>
    </row>
    <row r="9130" ht="15" customHeight="1">
      <c r="A9130" t="inlineStr">
        <is>
          <t>A 9470-2023</t>
        </is>
      </c>
      <c r="B9130" s="1" t="n">
        <v>44981</v>
      </c>
      <c r="C9130" s="1" t="n">
        <v>45810</v>
      </c>
      <c r="D9130" t="inlineStr">
        <is>
          <t>VÄRMLANDS LÄN</t>
        </is>
      </c>
      <c r="E9130" t="inlineStr">
        <is>
          <t>KARLSTAD</t>
        </is>
      </c>
      <c r="F9130" t="inlineStr">
        <is>
          <t>Kyrkan</t>
        </is>
      </c>
      <c r="G9130" t="n">
        <v>9.800000000000001</v>
      </c>
      <c r="H9130" t="n">
        <v>0</v>
      </c>
      <c r="I9130" t="n">
        <v>0</v>
      </c>
      <c r="J9130" t="n">
        <v>0</v>
      </c>
      <c r="K9130" t="n">
        <v>0</v>
      </c>
      <c r="L9130" t="n">
        <v>0</v>
      </c>
      <c r="M9130" t="n">
        <v>0</v>
      </c>
      <c r="N9130" t="n">
        <v>0</v>
      </c>
      <c r="O9130" t="n">
        <v>0</v>
      </c>
      <c r="P9130" t="n">
        <v>0</v>
      </c>
      <c r="Q9130" t="n">
        <v>0</v>
      </c>
      <c r="R9130" s="2" t="inlineStr"/>
    </row>
    <row r="9131" ht="15" customHeight="1">
      <c r="A9131" t="inlineStr">
        <is>
          <t>A 9430-2023</t>
        </is>
      </c>
      <c r="B9131" s="1" t="n">
        <v>44981</v>
      </c>
      <c r="C9131" s="1" t="n">
        <v>45810</v>
      </c>
      <c r="D9131" t="inlineStr">
        <is>
          <t>VÄRMLANDS LÄN</t>
        </is>
      </c>
      <c r="E9131" t="inlineStr">
        <is>
          <t>SUNNE</t>
        </is>
      </c>
      <c r="G9131" t="n">
        <v>1.5</v>
      </c>
      <c r="H9131" t="n">
        <v>0</v>
      </c>
      <c r="I9131" t="n">
        <v>0</v>
      </c>
      <c r="J9131" t="n">
        <v>0</v>
      </c>
      <c r="K9131" t="n">
        <v>0</v>
      </c>
      <c r="L9131" t="n">
        <v>0</v>
      </c>
      <c r="M9131" t="n">
        <v>0</v>
      </c>
      <c r="N9131" t="n">
        <v>0</v>
      </c>
      <c r="O9131" t="n">
        <v>0</v>
      </c>
      <c r="P9131" t="n">
        <v>0</v>
      </c>
      <c r="Q9131" t="n">
        <v>0</v>
      </c>
      <c r="R9131" s="2" t="inlineStr"/>
    </row>
    <row r="9132" ht="15" customHeight="1">
      <c r="A9132" t="inlineStr">
        <is>
          <t>A 9440-2023</t>
        </is>
      </c>
      <c r="B9132" s="1" t="n">
        <v>44981</v>
      </c>
      <c r="C9132" s="1" t="n">
        <v>45810</v>
      </c>
      <c r="D9132" t="inlineStr">
        <is>
          <t>VÄRMLANDS LÄN</t>
        </is>
      </c>
      <c r="E9132" t="inlineStr">
        <is>
          <t>SUNNE</t>
        </is>
      </c>
      <c r="G9132" t="n">
        <v>4.7</v>
      </c>
      <c r="H9132" t="n">
        <v>0</v>
      </c>
      <c r="I9132" t="n">
        <v>0</v>
      </c>
      <c r="J9132" t="n">
        <v>0</v>
      </c>
      <c r="K9132" t="n">
        <v>0</v>
      </c>
      <c r="L9132" t="n">
        <v>0</v>
      </c>
      <c r="M9132" t="n">
        <v>0</v>
      </c>
      <c r="N9132" t="n">
        <v>0</v>
      </c>
      <c r="O9132" t="n">
        <v>0</v>
      </c>
      <c r="P9132" t="n">
        <v>0</v>
      </c>
      <c r="Q9132" t="n">
        <v>0</v>
      </c>
      <c r="R9132" s="2" t="inlineStr"/>
    </row>
    <row r="9133" ht="15" customHeight="1">
      <c r="A9133" t="inlineStr">
        <is>
          <t>A 9452-2023</t>
        </is>
      </c>
      <c r="B9133" s="1" t="n">
        <v>44981</v>
      </c>
      <c r="C9133" s="1" t="n">
        <v>45810</v>
      </c>
      <c r="D9133" t="inlineStr">
        <is>
          <t>VÄRMLANDS LÄN</t>
        </is>
      </c>
      <c r="E9133" t="inlineStr">
        <is>
          <t>SUNNE</t>
        </is>
      </c>
      <c r="G9133" t="n">
        <v>8.1</v>
      </c>
      <c r="H9133" t="n">
        <v>0</v>
      </c>
      <c r="I9133" t="n">
        <v>0</v>
      </c>
      <c r="J9133" t="n">
        <v>0</v>
      </c>
      <c r="K9133" t="n">
        <v>0</v>
      </c>
      <c r="L9133" t="n">
        <v>0</v>
      </c>
      <c r="M9133" t="n">
        <v>0</v>
      </c>
      <c r="N9133" t="n">
        <v>0</v>
      </c>
      <c r="O9133" t="n">
        <v>0</v>
      </c>
      <c r="P9133" t="n">
        <v>0</v>
      </c>
      <c r="Q9133" t="n">
        <v>0</v>
      </c>
      <c r="R9133" s="2" t="inlineStr"/>
    </row>
    <row r="9134" ht="15" customHeight="1">
      <c r="A9134" t="inlineStr">
        <is>
          <t>A 9370-2023</t>
        </is>
      </c>
      <c r="B9134" s="1" t="n">
        <v>44981</v>
      </c>
      <c r="C9134" s="1" t="n">
        <v>45810</v>
      </c>
      <c r="D9134" t="inlineStr">
        <is>
          <t>VÄRMLANDS LÄN</t>
        </is>
      </c>
      <c r="E9134" t="inlineStr">
        <is>
          <t>FILIPSTAD</t>
        </is>
      </c>
      <c r="F9134" t="inlineStr">
        <is>
          <t>Bergvik skog väst AB</t>
        </is>
      </c>
      <c r="G9134" t="n">
        <v>8.1</v>
      </c>
      <c r="H9134" t="n">
        <v>0</v>
      </c>
      <c r="I9134" t="n">
        <v>0</v>
      </c>
      <c r="J9134" t="n">
        <v>0</v>
      </c>
      <c r="K9134" t="n">
        <v>0</v>
      </c>
      <c r="L9134" t="n">
        <v>0</v>
      </c>
      <c r="M9134" t="n">
        <v>0</v>
      </c>
      <c r="N9134" t="n">
        <v>0</v>
      </c>
      <c r="O9134" t="n">
        <v>0</v>
      </c>
      <c r="P9134" t="n">
        <v>0</v>
      </c>
      <c r="Q9134" t="n">
        <v>0</v>
      </c>
      <c r="R9134" s="2" t="inlineStr"/>
    </row>
    <row r="9135" ht="15" customHeight="1">
      <c r="A9135" t="inlineStr">
        <is>
          <t>A 9400-2023</t>
        </is>
      </c>
      <c r="B9135" s="1" t="n">
        <v>44981</v>
      </c>
      <c r="C9135" s="1" t="n">
        <v>45810</v>
      </c>
      <c r="D9135" t="inlineStr">
        <is>
          <t>VÄRMLANDS LÄN</t>
        </is>
      </c>
      <c r="E9135" t="inlineStr">
        <is>
          <t>SUNNE</t>
        </is>
      </c>
      <c r="G9135" t="n">
        <v>3.5</v>
      </c>
      <c r="H9135" t="n">
        <v>0</v>
      </c>
      <c r="I9135" t="n">
        <v>0</v>
      </c>
      <c r="J9135" t="n">
        <v>0</v>
      </c>
      <c r="K9135" t="n">
        <v>0</v>
      </c>
      <c r="L9135" t="n">
        <v>0</v>
      </c>
      <c r="M9135" t="n">
        <v>0</v>
      </c>
      <c r="N9135" t="n">
        <v>0</v>
      </c>
      <c r="O9135" t="n">
        <v>0</v>
      </c>
      <c r="P9135" t="n">
        <v>0</v>
      </c>
      <c r="Q9135" t="n">
        <v>0</v>
      </c>
      <c r="R9135" s="2" t="inlineStr"/>
    </row>
    <row r="9136" ht="15" customHeight="1">
      <c r="A9136" t="inlineStr">
        <is>
          <t>A 9413-2023</t>
        </is>
      </c>
      <c r="B9136" s="1" t="n">
        <v>44981</v>
      </c>
      <c r="C9136" s="1" t="n">
        <v>45810</v>
      </c>
      <c r="D9136" t="inlineStr">
        <is>
          <t>VÄRMLANDS LÄN</t>
        </is>
      </c>
      <c r="E9136" t="inlineStr">
        <is>
          <t>ARVIKA</t>
        </is>
      </c>
      <c r="G9136" t="n">
        <v>4.4</v>
      </c>
      <c r="H9136" t="n">
        <v>0</v>
      </c>
      <c r="I9136" t="n">
        <v>0</v>
      </c>
      <c r="J9136" t="n">
        <v>0</v>
      </c>
      <c r="K9136" t="n">
        <v>0</v>
      </c>
      <c r="L9136" t="n">
        <v>0</v>
      </c>
      <c r="M9136" t="n">
        <v>0</v>
      </c>
      <c r="N9136" t="n">
        <v>0</v>
      </c>
      <c r="O9136" t="n">
        <v>0</v>
      </c>
      <c r="P9136" t="n">
        <v>0</v>
      </c>
      <c r="Q9136" t="n">
        <v>0</v>
      </c>
      <c r="R9136" s="2" t="inlineStr"/>
    </row>
    <row r="9137" ht="15" customHeight="1">
      <c r="A9137" t="inlineStr">
        <is>
          <t>A 9489-2023</t>
        </is>
      </c>
      <c r="B9137" s="1" t="n">
        <v>44981</v>
      </c>
      <c r="C9137" s="1" t="n">
        <v>45810</v>
      </c>
      <c r="D9137" t="inlineStr">
        <is>
          <t>VÄRMLANDS LÄN</t>
        </is>
      </c>
      <c r="E9137" t="inlineStr">
        <is>
          <t>ÅRJÄNG</t>
        </is>
      </c>
      <c r="G9137" t="n">
        <v>0.8</v>
      </c>
      <c r="H9137" t="n">
        <v>0</v>
      </c>
      <c r="I9137" t="n">
        <v>0</v>
      </c>
      <c r="J9137" t="n">
        <v>0</v>
      </c>
      <c r="K9137" t="n">
        <v>0</v>
      </c>
      <c r="L9137" t="n">
        <v>0</v>
      </c>
      <c r="M9137" t="n">
        <v>0</v>
      </c>
      <c r="N9137" t="n">
        <v>0</v>
      </c>
      <c r="O9137" t="n">
        <v>0</v>
      </c>
      <c r="P9137" t="n">
        <v>0</v>
      </c>
      <c r="Q9137" t="n">
        <v>0</v>
      </c>
      <c r="R9137" s="2" t="inlineStr"/>
    </row>
    <row r="9138" ht="15" customHeight="1">
      <c r="A9138" t="inlineStr">
        <is>
          <t>A 10479-2023</t>
        </is>
      </c>
      <c r="B9138" s="1" t="n">
        <v>44981</v>
      </c>
      <c r="C9138" s="1" t="n">
        <v>45810</v>
      </c>
      <c r="D9138" t="inlineStr">
        <is>
          <t>VÄRMLANDS LÄN</t>
        </is>
      </c>
      <c r="E9138" t="inlineStr">
        <is>
          <t>TORSBY</t>
        </is>
      </c>
      <c r="G9138" t="n">
        <v>4</v>
      </c>
      <c r="H9138" t="n">
        <v>0</v>
      </c>
      <c r="I9138" t="n">
        <v>0</v>
      </c>
      <c r="J9138" t="n">
        <v>0</v>
      </c>
      <c r="K9138" t="n">
        <v>0</v>
      </c>
      <c r="L9138" t="n">
        <v>0</v>
      </c>
      <c r="M9138" t="n">
        <v>0</v>
      </c>
      <c r="N9138" t="n">
        <v>0</v>
      </c>
      <c r="O9138" t="n">
        <v>0</v>
      </c>
      <c r="P9138" t="n">
        <v>0</v>
      </c>
      <c r="Q9138" t="n">
        <v>0</v>
      </c>
      <c r="R9138" s="2" t="inlineStr"/>
    </row>
    <row r="9139" ht="15" customHeight="1">
      <c r="A9139" t="inlineStr">
        <is>
          <t>A 10473-2023</t>
        </is>
      </c>
      <c r="B9139" s="1" t="n">
        <v>44981</v>
      </c>
      <c r="C9139" s="1" t="n">
        <v>45810</v>
      </c>
      <c r="D9139" t="inlineStr">
        <is>
          <t>VÄRMLANDS LÄN</t>
        </is>
      </c>
      <c r="E9139" t="inlineStr">
        <is>
          <t>TORSBY</t>
        </is>
      </c>
      <c r="G9139" t="n">
        <v>0.5</v>
      </c>
      <c r="H9139" t="n">
        <v>0</v>
      </c>
      <c r="I9139" t="n">
        <v>0</v>
      </c>
      <c r="J9139" t="n">
        <v>0</v>
      </c>
      <c r="K9139" t="n">
        <v>0</v>
      </c>
      <c r="L9139" t="n">
        <v>0</v>
      </c>
      <c r="M9139" t="n">
        <v>0</v>
      </c>
      <c r="N9139" t="n">
        <v>0</v>
      </c>
      <c r="O9139" t="n">
        <v>0</v>
      </c>
      <c r="P9139" t="n">
        <v>0</v>
      </c>
      <c r="Q9139" t="n">
        <v>0</v>
      </c>
      <c r="R9139" s="2" t="inlineStr"/>
    </row>
    <row r="9140" ht="15" customHeight="1">
      <c r="A9140" t="inlineStr">
        <is>
          <t>A 10491-2023</t>
        </is>
      </c>
      <c r="B9140" s="1" t="n">
        <v>44981</v>
      </c>
      <c r="C9140" s="1" t="n">
        <v>45810</v>
      </c>
      <c r="D9140" t="inlineStr">
        <is>
          <t>VÄRMLANDS LÄN</t>
        </is>
      </c>
      <c r="E9140" t="inlineStr">
        <is>
          <t>GRUMS</t>
        </is>
      </c>
      <c r="F9140" t="inlineStr">
        <is>
          <t>Kommuner</t>
        </is>
      </c>
      <c r="G9140" t="n">
        <v>7.3</v>
      </c>
      <c r="H9140" t="n">
        <v>0</v>
      </c>
      <c r="I9140" t="n">
        <v>0</v>
      </c>
      <c r="J9140" t="n">
        <v>0</v>
      </c>
      <c r="K9140" t="n">
        <v>0</v>
      </c>
      <c r="L9140" t="n">
        <v>0</v>
      </c>
      <c r="M9140" t="n">
        <v>0</v>
      </c>
      <c r="N9140" t="n">
        <v>0</v>
      </c>
      <c r="O9140" t="n">
        <v>0</v>
      </c>
      <c r="P9140" t="n">
        <v>0</v>
      </c>
      <c r="Q9140" t="n">
        <v>0</v>
      </c>
      <c r="R9140" s="2" t="inlineStr"/>
    </row>
    <row r="9141" ht="15" customHeight="1">
      <c r="A9141" t="inlineStr">
        <is>
          <t>A 10471-2023</t>
        </is>
      </c>
      <c r="B9141" s="1" t="n">
        <v>44981</v>
      </c>
      <c r="C9141" s="1" t="n">
        <v>45810</v>
      </c>
      <c r="D9141" t="inlineStr">
        <is>
          <t>VÄRMLANDS LÄN</t>
        </is>
      </c>
      <c r="E9141" t="inlineStr">
        <is>
          <t>TORSBY</t>
        </is>
      </c>
      <c r="G9141" t="n">
        <v>1.6</v>
      </c>
      <c r="H9141" t="n">
        <v>0</v>
      </c>
      <c r="I9141" t="n">
        <v>0</v>
      </c>
      <c r="J9141" t="n">
        <v>0</v>
      </c>
      <c r="K9141" t="n">
        <v>0</v>
      </c>
      <c r="L9141" t="n">
        <v>0</v>
      </c>
      <c r="M9141" t="n">
        <v>0</v>
      </c>
      <c r="N9141" t="n">
        <v>0</v>
      </c>
      <c r="O9141" t="n">
        <v>0</v>
      </c>
      <c r="P9141" t="n">
        <v>0</v>
      </c>
      <c r="Q9141" t="n">
        <v>0</v>
      </c>
      <c r="R9141" s="2" t="inlineStr"/>
    </row>
    <row r="9142" ht="15" customHeight="1">
      <c r="A9142" t="inlineStr">
        <is>
          <t>A 9567-2023</t>
        </is>
      </c>
      <c r="B9142" s="1" t="n">
        <v>44982</v>
      </c>
      <c r="C9142" s="1" t="n">
        <v>45810</v>
      </c>
      <c r="D9142" t="inlineStr">
        <is>
          <t>VÄRMLANDS LÄN</t>
        </is>
      </c>
      <c r="E9142" t="inlineStr">
        <is>
          <t>SÄFFLE</t>
        </is>
      </c>
      <c r="G9142" t="n">
        <v>6.4</v>
      </c>
      <c r="H9142" t="n">
        <v>0</v>
      </c>
      <c r="I9142" t="n">
        <v>0</v>
      </c>
      <c r="J9142" t="n">
        <v>0</v>
      </c>
      <c r="K9142" t="n">
        <v>0</v>
      </c>
      <c r="L9142" t="n">
        <v>0</v>
      </c>
      <c r="M9142" t="n">
        <v>0</v>
      </c>
      <c r="N9142" t="n">
        <v>0</v>
      </c>
      <c r="O9142" t="n">
        <v>0</v>
      </c>
      <c r="P9142" t="n">
        <v>0</v>
      </c>
      <c r="Q9142" t="n">
        <v>0</v>
      </c>
      <c r="R9142" s="2" t="inlineStr"/>
    </row>
    <row r="9143" ht="15" customHeight="1">
      <c r="A9143" t="inlineStr">
        <is>
          <t>A 9571-2023</t>
        </is>
      </c>
      <c r="B9143" s="1" t="n">
        <v>44982</v>
      </c>
      <c r="C9143" s="1" t="n">
        <v>45810</v>
      </c>
      <c r="D9143" t="inlineStr">
        <is>
          <t>VÄRMLANDS LÄN</t>
        </is>
      </c>
      <c r="E9143" t="inlineStr">
        <is>
          <t>KARLSTAD</t>
        </is>
      </c>
      <c r="G9143" t="n">
        <v>0.9</v>
      </c>
      <c r="H9143" t="n">
        <v>0</v>
      </c>
      <c r="I9143" t="n">
        <v>0</v>
      </c>
      <c r="J9143" t="n">
        <v>0</v>
      </c>
      <c r="K9143" t="n">
        <v>0</v>
      </c>
      <c r="L9143" t="n">
        <v>0</v>
      </c>
      <c r="M9143" t="n">
        <v>0</v>
      </c>
      <c r="N9143" t="n">
        <v>0</v>
      </c>
      <c r="O9143" t="n">
        <v>0</v>
      </c>
      <c r="P9143" t="n">
        <v>0</v>
      </c>
      <c r="Q9143" t="n">
        <v>0</v>
      </c>
      <c r="R9143" s="2" t="inlineStr"/>
    </row>
    <row r="9144" ht="15" customHeight="1">
      <c r="A9144" t="inlineStr">
        <is>
          <t>A 9575-2023</t>
        </is>
      </c>
      <c r="B9144" s="1" t="n">
        <v>44982</v>
      </c>
      <c r="C9144" s="1" t="n">
        <v>45810</v>
      </c>
      <c r="D9144" t="inlineStr">
        <is>
          <t>VÄRMLANDS LÄN</t>
        </is>
      </c>
      <c r="E9144" t="inlineStr">
        <is>
          <t>TORSBY</t>
        </is>
      </c>
      <c r="F9144" t="inlineStr">
        <is>
          <t>Övriga statliga verk och myndigheter</t>
        </is>
      </c>
      <c r="G9144" t="n">
        <v>3.5</v>
      </c>
      <c r="H9144" t="n">
        <v>0</v>
      </c>
      <c r="I9144" t="n">
        <v>0</v>
      </c>
      <c r="J9144" t="n">
        <v>0</v>
      </c>
      <c r="K9144" t="n">
        <v>0</v>
      </c>
      <c r="L9144" t="n">
        <v>0</v>
      </c>
      <c r="M9144" t="n">
        <v>0</v>
      </c>
      <c r="N9144" t="n">
        <v>0</v>
      </c>
      <c r="O9144" t="n">
        <v>0</v>
      </c>
      <c r="P9144" t="n">
        <v>0</v>
      </c>
      <c r="Q9144" t="n">
        <v>0</v>
      </c>
      <c r="R9144" s="2" t="inlineStr"/>
    </row>
    <row r="9145" ht="15" customHeight="1">
      <c r="A9145" t="inlineStr">
        <is>
          <t>A 9574-2023</t>
        </is>
      </c>
      <c r="B9145" s="1" t="n">
        <v>44982</v>
      </c>
      <c r="C9145" s="1" t="n">
        <v>45810</v>
      </c>
      <c r="D9145" t="inlineStr">
        <is>
          <t>VÄRMLANDS LÄN</t>
        </is>
      </c>
      <c r="E9145" t="inlineStr">
        <is>
          <t>TORSBY</t>
        </is>
      </c>
      <c r="F9145" t="inlineStr">
        <is>
          <t>Övriga statliga verk och myndigheter</t>
        </is>
      </c>
      <c r="G9145" t="n">
        <v>6.2</v>
      </c>
      <c r="H9145" t="n">
        <v>0</v>
      </c>
      <c r="I9145" t="n">
        <v>0</v>
      </c>
      <c r="J9145" t="n">
        <v>0</v>
      </c>
      <c r="K9145" t="n">
        <v>0</v>
      </c>
      <c r="L9145" t="n">
        <v>0</v>
      </c>
      <c r="M9145" t="n">
        <v>0</v>
      </c>
      <c r="N9145" t="n">
        <v>0</v>
      </c>
      <c r="O9145" t="n">
        <v>0</v>
      </c>
      <c r="P9145" t="n">
        <v>0</v>
      </c>
      <c r="Q9145" t="n">
        <v>0</v>
      </c>
      <c r="R9145" s="2" t="inlineStr"/>
    </row>
    <row r="9146" ht="15" customHeight="1">
      <c r="A9146" t="inlineStr">
        <is>
          <t>A 9578-2023</t>
        </is>
      </c>
      <c r="B9146" s="1" t="n">
        <v>44982</v>
      </c>
      <c r="C9146" s="1" t="n">
        <v>45810</v>
      </c>
      <c r="D9146" t="inlineStr">
        <is>
          <t>VÄRMLANDS LÄN</t>
        </is>
      </c>
      <c r="E9146" t="inlineStr">
        <is>
          <t>TORSBY</t>
        </is>
      </c>
      <c r="G9146" t="n">
        <v>5.7</v>
      </c>
      <c r="H9146" t="n">
        <v>0</v>
      </c>
      <c r="I9146" t="n">
        <v>0</v>
      </c>
      <c r="J9146" t="n">
        <v>0</v>
      </c>
      <c r="K9146" t="n">
        <v>0</v>
      </c>
      <c r="L9146" t="n">
        <v>0</v>
      </c>
      <c r="M9146" t="n">
        <v>0</v>
      </c>
      <c r="N9146" t="n">
        <v>0</v>
      </c>
      <c r="O9146" t="n">
        <v>0</v>
      </c>
      <c r="P9146" t="n">
        <v>0</v>
      </c>
      <c r="Q9146" t="n">
        <v>0</v>
      </c>
      <c r="R9146" s="2" t="inlineStr"/>
    </row>
    <row r="9147" ht="15" customHeight="1">
      <c r="A9147" t="inlineStr">
        <is>
          <t>A 9689-2023</t>
        </is>
      </c>
      <c r="B9147" s="1" t="n">
        <v>44984</v>
      </c>
      <c r="C9147" s="1" t="n">
        <v>45810</v>
      </c>
      <c r="D9147" t="inlineStr">
        <is>
          <t>VÄRMLANDS LÄN</t>
        </is>
      </c>
      <c r="E9147" t="inlineStr">
        <is>
          <t>ÅRJÄNG</t>
        </is>
      </c>
      <c r="G9147" t="n">
        <v>1.7</v>
      </c>
      <c r="H9147" t="n">
        <v>0</v>
      </c>
      <c r="I9147" t="n">
        <v>0</v>
      </c>
      <c r="J9147" t="n">
        <v>0</v>
      </c>
      <c r="K9147" t="n">
        <v>0</v>
      </c>
      <c r="L9147" t="n">
        <v>0</v>
      </c>
      <c r="M9147" t="n">
        <v>0</v>
      </c>
      <c r="N9147" t="n">
        <v>0</v>
      </c>
      <c r="O9147" t="n">
        <v>0</v>
      </c>
      <c r="P9147" t="n">
        <v>0</v>
      </c>
      <c r="Q9147" t="n">
        <v>0</v>
      </c>
      <c r="R9147" s="2" t="inlineStr"/>
    </row>
    <row r="9148" ht="15" customHeight="1">
      <c r="A9148" t="inlineStr">
        <is>
          <t>A 9634-2023</t>
        </is>
      </c>
      <c r="B9148" s="1" t="n">
        <v>44984</v>
      </c>
      <c r="C9148" s="1" t="n">
        <v>45810</v>
      </c>
      <c r="D9148" t="inlineStr">
        <is>
          <t>VÄRMLANDS LÄN</t>
        </is>
      </c>
      <c r="E9148" t="inlineStr">
        <is>
          <t>ÅRJÄNG</t>
        </is>
      </c>
      <c r="G9148" t="n">
        <v>6.8</v>
      </c>
      <c r="H9148" t="n">
        <v>0</v>
      </c>
      <c r="I9148" t="n">
        <v>0</v>
      </c>
      <c r="J9148" t="n">
        <v>0</v>
      </c>
      <c r="K9148" t="n">
        <v>0</v>
      </c>
      <c r="L9148" t="n">
        <v>0</v>
      </c>
      <c r="M9148" t="n">
        <v>0</v>
      </c>
      <c r="N9148" t="n">
        <v>0</v>
      </c>
      <c r="O9148" t="n">
        <v>0</v>
      </c>
      <c r="P9148" t="n">
        <v>0</v>
      </c>
      <c r="Q9148" t="n">
        <v>0</v>
      </c>
      <c r="R9148" s="2" t="inlineStr"/>
    </row>
    <row r="9149" ht="15" customHeight="1">
      <c r="A9149" t="inlineStr">
        <is>
          <t>A 9795-2023</t>
        </is>
      </c>
      <c r="B9149" s="1" t="n">
        <v>44984</v>
      </c>
      <c r="C9149" s="1" t="n">
        <v>45810</v>
      </c>
      <c r="D9149" t="inlineStr">
        <is>
          <t>VÄRMLANDS LÄN</t>
        </is>
      </c>
      <c r="E9149" t="inlineStr">
        <is>
          <t>HAGFORS</t>
        </is>
      </c>
      <c r="G9149" t="n">
        <v>3</v>
      </c>
      <c r="H9149" t="n">
        <v>0</v>
      </c>
      <c r="I9149" t="n">
        <v>0</v>
      </c>
      <c r="J9149" t="n">
        <v>0</v>
      </c>
      <c r="K9149" t="n">
        <v>0</v>
      </c>
      <c r="L9149" t="n">
        <v>0</v>
      </c>
      <c r="M9149" t="n">
        <v>0</v>
      </c>
      <c r="N9149" t="n">
        <v>0</v>
      </c>
      <c r="O9149" t="n">
        <v>0</v>
      </c>
      <c r="P9149" t="n">
        <v>0</v>
      </c>
      <c r="Q9149" t="n">
        <v>0</v>
      </c>
      <c r="R9149" s="2" t="inlineStr"/>
    </row>
    <row r="9150" ht="15" customHeight="1">
      <c r="A9150" t="inlineStr">
        <is>
          <t>A 9783-2023</t>
        </is>
      </c>
      <c r="B9150" s="1" t="n">
        <v>44984</v>
      </c>
      <c r="C9150" s="1" t="n">
        <v>45810</v>
      </c>
      <c r="D9150" t="inlineStr">
        <is>
          <t>VÄRMLANDS LÄN</t>
        </is>
      </c>
      <c r="E9150" t="inlineStr">
        <is>
          <t>KIL</t>
        </is>
      </c>
      <c r="G9150" t="n">
        <v>1.3</v>
      </c>
      <c r="H9150" t="n">
        <v>0</v>
      </c>
      <c r="I9150" t="n">
        <v>0</v>
      </c>
      <c r="J9150" t="n">
        <v>0</v>
      </c>
      <c r="K9150" t="n">
        <v>0</v>
      </c>
      <c r="L9150" t="n">
        <v>0</v>
      </c>
      <c r="M9150" t="n">
        <v>0</v>
      </c>
      <c r="N9150" t="n">
        <v>0</v>
      </c>
      <c r="O9150" t="n">
        <v>0</v>
      </c>
      <c r="P9150" t="n">
        <v>0</v>
      </c>
      <c r="Q9150" t="n">
        <v>0</v>
      </c>
      <c r="R9150" s="2" t="inlineStr"/>
    </row>
    <row r="9151" ht="15" customHeight="1">
      <c r="A9151" t="inlineStr">
        <is>
          <t>A 9840-2023</t>
        </is>
      </c>
      <c r="B9151" s="1" t="n">
        <v>44984</v>
      </c>
      <c r="C9151" s="1" t="n">
        <v>45810</v>
      </c>
      <c r="D9151" t="inlineStr">
        <is>
          <t>VÄRMLANDS LÄN</t>
        </is>
      </c>
      <c r="E9151" t="inlineStr">
        <is>
          <t>SUNNE</t>
        </is>
      </c>
      <c r="G9151" t="n">
        <v>0.8</v>
      </c>
      <c r="H9151" t="n">
        <v>0</v>
      </c>
      <c r="I9151" t="n">
        <v>0</v>
      </c>
      <c r="J9151" t="n">
        <v>0</v>
      </c>
      <c r="K9151" t="n">
        <v>0</v>
      </c>
      <c r="L9151" t="n">
        <v>0</v>
      </c>
      <c r="M9151" t="n">
        <v>0</v>
      </c>
      <c r="N9151" t="n">
        <v>0</v>
      </c>
      <c r="O9151" t="n">
        <v>0</v>
      </c>
      <c r="P9151" t="n">
        <v>0</v>
      </c>
      <c r="Q9151" t="n">
        <v>0</v>
      </c>
      <c r="R9151" s="2" t="inlineStr"/>
    </row>
    <row r="9152" ht="15" customHeight="1">
      <c r="A9152" t="inlineStr">
        <is>
          <t>A 9837-2023</t>
        </is>
      </c>
      <c r="B9152" s="1" t="n">
        <v>44984</v>
      </c>
      <c r="C9152" s="1" t="n">
        <v>45810</v>
      </c>
      <c r="D9152" t="inlineStr">
        <is>
          <t>VÄRMLANDS LÄN</t>
        </is>
      </c>
      <c r="E9152" t="inlineStr">
        <is>
          <t>GRUMS</t>
        </is>
      </c>
      <c r="G9152" t="n">
        <v>0.6</v>
      </c>
      <c r="H9152" t="n">
        <v>0</v>
      </c>
      <c r="I9152" t="n">
        <v>0</v>
      </c>
      <c r="J9152" t="n">
        <v>0</v>
      </c>
      <c r="K9152" t="n">
        <v>0</v>
      </c>
      <c r="L9152" t="n">
        <v>0</v>
      </c>
      <c r="M9152" t="n">
        <v>0</v>
      </c>
      <c r="N9152" t="n">
        <v>0</v>
      </c>
      <c r="O9152" t="n">
        <v>0</v>
      </c>
      <c r="P9152" t="n">
        <v>0</v>
      </c>
      <c r="Q9152" t="n">
        <v>0</v>
      </c>
      <c r="R9152" s="2" t="inlineStr"/>
    </row>
    <row r="9153" ht="15" customHeight="1">
      <c r="A9153" t="inlineStr">
        <is>
          <t>A 10648-2023</t>
        </is>
      </c>
      <c r="B9153" s="1" t="n">
        <v>44984</v>
      </c>
      <c r="C9153" s="1" t="n">
        <v>45810</v>
      </c>
      <c r="D9153" t="inlineStr">
        <is>
          <t>VÄRMLANDS LÄN</t>
        </is>
      </c>
      <c r="E9153" t="inlineStr">
        <is>
          <t>ÅRJÄNG</t>
        </is>
      </c>
      <c r="G9153" t="n">
        <v>0.6</v>
      </c>
      <c r="H9153" t="n">
        <v>0</v>
      </c>
      <c r="I9153" t="n">
        <v>0</v>
      </c>
      <c r="J9153" t="n">
        <v>0</v>
      </c>
      <c r="K9153" t="n">
        <v>0</v>
      </c>
      <c r="L9153" t="n">
        <v>0</v>
      </c>
      <c r="M9153" t="n">
        <v>0</v>
      </c>
      <c r="N9153" t="n">
        <v>0</v>
      </c>
      <c r="O9153" t="n">
        <v>0</v>
      </c>
      <c r="P9153" t="n">
        <v>0</v>
      </c>
      <c r="Q9153" t="n">
        <v>0</v>
      </c>
      <c r="R9153" s="2" t="inlineStr"/>
    </row>
    <row r="9154" ht="15" customHeight="1">
      <c r="A9154" t="inlineStr">
        <is>
          <t>A 10574-2023</t>
        </is>
      </c>
      <c r="B9154" s="1" t="n">
        <v>44984</v>
      </c>
      <c r="C9154" s="1" t="n">
        <v>45810</v>
      </c>
      <c r="D9154" t="inlineStr">
        <is>
          <t>VÄRMLANDS LÄN</t>
        </is>
      </c>
      <c r="E9154" t="inlineStr">
        <is>
          <t>ÅRJÄNG</t>
        </is>
      </c>
      <c r="G9154" t="n">
        <v>1.7</v>
      </c>
      <c r="H9154" t="n">
        <v>0</v>
      </c>
      <c r="I9154" t="n">
        <v>0</v>
      </c>
      <c r="J9154" t="n">
        <v>0</v>
      </c>
      <c r="K9154" t="n">
        <v>0</v>
      </c>
      <c r="L9154" t="n">
        <v>0</v>
      </c>
      <c r="M9154" t="n">
        <v>0</v>
      </c>
      <c r="N9154" t="n">
        <v>0</v>
      </c>
      <c r="O9154" t="n">
        <v>0</v>
      </c>
      <c r="P9154" t="n">
        <v>0</v>
      </c>
      <c r="Q9154" t="n">
        <v>0</v>
      </c>
      <c r="R9154" s="2" t="inlineStr"/>
    </row>
    <row r="9155" ht="15" customHeight="1">
      <c r="A9155" t="inlineStr">
        <is>
          <t>A 10745-2023</t>
        </is>
      </c>
      <c r="B9155" s="1" t="n">
        <v>44984</v>
      </c>
      <c r="C9155" s="1" t="n">
        <v>45810</v>
      </c>
      <c r="D9155" t="inlineStr">
        <is>
          <t>VÄRMLANDS LÄN</t>
        </is>
      </c>
      <c r="E9155" t="inlineStr">
        <is>
          <t>ARVIKA</t>
        </is>
      </c>
      <c r="G9155" t="n">
        <v>6.5</v>
      </c>
      <c r="H9155" t="n">
        <v>0</v>
      </c>
      <c r="I9155" t="n">
        <v>0</v>
      </c>
      <c r="J9155" t="n">
        <v>0</v>
      </c>
      <c r="K9155" t="n">
        <v>0</v>
      </c>
      <c r="L9155" t="n">
        <v>0</v>
      </c>
      <c r="M9155" t="n">
        <v>0</v>
      </c>
      <c r="N9155" t="n">
        <v>0</v>
      </c>
      <c r="O9155" t="n">
        <v>0</v>
      </c>
      <c r="P9155" t="n">
        <v>0</v>
      </c>
      <c r="Q9155" t="n">
        <v>0</v>
      </c>
      <c r="R9155" s="2" t="inlineStr"/>
    </row>
    <row r="9156" ht="15" customHeight="1">
      <c r="A9156" t="inlineStr">
        <is>
          <t>A 9953-2023</t>
        </is>
      </c>
      <c r="B9156" s="1" t="n">
        <v>44985</v>
      </c>
      <c r="C9156" s="1" t="n">
        <v>45810</v>
      </c>
      <c r="D9156" t="inlineStr">
        <is>
          <t>VÄRMLANDS LÄN</t>
        </is>
      </c>
      <c r="E9156" t="inlineStr">
        <is>
          <t>EDA</t>
        </is>
      </c>
      <c r="G9156" t="n">
        <v>0.8</v>
      </c>
      <c r="H9156" t="n">
        <v>0</v>
      </c>
      <c r="I9156" t="n">
        <v>0</v>
      </c>
      <c r="J9156" t="n">
        <v>0</v>
      </c>
      <c r="K9156" t="n">
        <v>0</v>
      </c>
      <c r="L9156" t="n">
        <v>0</v>
      </c>
      <c r="M9156" t="n">
        <v>0</v>
      </c>
      <c r="N9156" t="n">
        <v>0</v>
      </c>
      <c r="O9156" t="n">
        <v>0</v>
      </c>
      <c r="P9156" t="n">
        <v>0</v>
      </c>
      <c r="Q9156" t="n">
        <v>0</v>
      </c>
      <c r="R9156" s="2" t="inlineStr"/>
    </row>
    <row r="9157" ht="15" customHeight="1">
      <c r="A9157" t="inlineStr">
        <is>
          <t>A 9916-2023</t>
        </is>
      </c>
      <c r="B9157" s="1" t="n">
        <v>44985</v>
      </c>
      <c r="C9157" s="1" t="n">
        <v>45810</v>
      </c>
      <c r="D9157" t="inlineStr">
        <is>
          <t>VÄRMLANDS LÄN</t>
        </is>
      </c>
      <c r="E9157" t="inlineStr">
        <is>
          <t>ARVIKA</t>
        </is>
      </c>
      <c r="G9157" t="n">
        <v>10.8</v>
      </c>
      <c r="H9157" t="n">
        <v>0</v>
      </c>
      <c r="I9157" t="n">
        <v>0</v>
      </c>
      <c r="J9157" t="n">
        <v>0</v>
      </c>
      <c r="K9157" t="n">
        <v>0</v>
      </c>
      <c r="L9157" t="n">
        <v>0</v>
      </c>
      <c r="M9157" t="n">
        <v>0</v>
      </c>
      <c r="N9157" t="n">
        <v>0</v>
      </c>
      <c r="O9157" t="n">
        <v>0</v>
      </c>
      <c r="P9157" t="n">
        <v>0</v>
      </c>
      <c r="Q9157" t="n">
        <v>0</v>
      </c>
      <c r="R9157" s="2" t="inlineStr"/>
    </row>
    <row r="9158" ht="15" customHeight="1">
      <c r="A9158" t="inlineStr">
        <is>
          <t>A 9930-2023</t>
        </is>
      </c>
      <c r="B9158" s="1" t="n">
        <v>44985</v>
      </c>
      <c r="C9158" s="1" t="n">
        <v>45810</v>
      </c>
      <c r="D9158" t="inlineStr">
        <is>
          <t>VÄRMLANDS LÄN</t>
        </is>
      </c>
      <c r="E9158" t="inlineStr">
        <is>
          <t>KRISTINEHAMN</t>
        </is>
      </c>
      <c r="G9158" t="n">
        <v>5.4</v>
      </c>
      <c r="H9158" t="n">
        <v>0</v>
      </c>
      <c r="I9158" t="n">
        <v>0</v>
      </c>
      <c r="J9158" t="n">
        <v>0</v>
      </c>
      <c r="K9158" t="n">
        <v>0</v>
      </c>
      <c r="L9158" t="n">
        <v>0</v>
      </c>
      <c r="M9158" t="n">
        <v>0</v>
      </c>
      <c r="N9158" t="n">
        <v>0</v>
      </c>
      <c r="O9158" t="n">
        <v>0</v>
      </c>
      <c r="P9158" t="n">
        <v>0</v>
      </c>
      <c r="Q9158" t="n">
        <v>0</v>
      </c>
      <c r="R9158" s="2" t="inlineStr"/>
    </row>
    <row r="9159" ht="15" customHeight="1">
      <c r="A9159" t="inlineStr">
        <is>
          <t>A 9935-2023</t>
        </is>
      </c>
      <c r="B9159" s="1" t="n">
        <v>44985</v>
      </c>
      <c r="C9159" s="1" t="n">
        <v>45810</v>
      </c>
      <c r="D9159" t="inlineStr">
        <is>
          <t>VÄRMLANDS LÄN</t>
        </is>
      </c>
      <c r="E9159" t="inlineStr">
        <is>
          <t>KRISTINEHAMN</t>
        </is>
      </c>
      <c r="G9159" t="n">
        <v>1.9</v>
      </c>
      <c r="H9159" t="n">
        <v>0</v>
      </c>
      <c r="I9159" t="n">
        <v>0</v>
      </c>
      <c r="J9159" t="n">
        <v>0</v>
      </c>
      <c r="K9159" t="n">
        <v>0</v>
      </c>
      <c r="L9159" t="n">
        <v>0</v>
      </c>
      <c r="M9159" t="n">
        <v>0</v>
      </c>
      <c r="N9159" t="n">
        <v>0</v>
      </c>
      <c r="O9159" t="n">
        <v>0</v>
      </c>
      <c r="P9159" t="n">
        <v>0</v>
      </c>
      <c r="Q9159" t="n">
        <v>0</v>
      </c>
      <c r="R9159" s="2" t="inlineStr"/>
    </row>
    <row r="9160" ht="15" customHeight="1">
      <c r="A9160" t="inlineStr">
        <is>
          <t>A 9900-2023</t>
        </is>
      </c>
      <c r="B9160" s="1" t="n">
        <v>44985</v>
      </c>
      <c r="C9160" s="1" t="n">
        <v>45810</v>
      </c>
      <c r="D9160" t="inlineStr">
        <is>
          <t>VÄRMLANDS LÄN</t>
        </is>
      </c>
      <c r="E9160" t="inlineStr">
        <is>
          <t>SUNNE</t>
        </is>
      </c>
      <c r="G9160" t="n">
        <v>2.4</v>
      </c>
      <c r="H9160" t="n">
        <v>0</v>
      </c>
      <c r="I9160" t="n">
        <v>0</v>
      </c>
      <c r="J9160" t="n">
        <v>0</v>
      </c>
      <c r="K9160" t="n">
        <v>0</v>
      </c>
      <c r="L9160" t="n">
        <v>0</v>
      </c>
      <c r="M9160" t="n">
        <v>0</v>
      </c>
      <c r="N9160" t="n">
        <v>0</v>
      </c>
      <c r="O9160" t="n">
        <v>0</v>
      </c>
      <c r="P9160" t="n">
        <v>0</v>
      </c>
      <c r="Q9160" t="n">
        <v>0</v>
      </c>
      <c r="R9160" s="2" t="inlineStr"/>
    </row>
    <row r="9161" ht="15" customHeight="1">
      <c r="A9161" t="inlineStr">
        <is>
          <t>A 9910-2023</t>
        </is>
      </c>
      <c r="B9161" s="1" t="n">
        <v>44985</v>
      </c>
      <c r="C9161" s="1" t="n">
        <v>45810</v>
      </c>
      <c r="D9161" t="inlineStr">
        <is>
          <t>VÄRMLANDS LÄN</t>
        </is>
      </c>
      <c r="E9161" t="inlineStr">
        <is>
          <t>ÅRJÄNG</t>
        </is>
      </c>
      <c r="G9161" t="n">
        <v>1.8</v>
      </c>
      <c r="H9161" t="n">
        <v>0</v>
      </c>
      <c r="I9161" t="n">
        <v>0</v>
      </c>
      <c r="J9161" t="n">
        <v>0</v>
      </c>
      <c r="K9161" t="n">
        <v>0</v>
      </c>
      <c r="L9161" t="n">
        <v>0</v>
      </c>
      <c r="M9161" t="n">
        <v>0</v>
      </c>
      <c r="N9161" t="n">
        <v>0</v>
      </c>
      <c r="O9161" t="n">
        <v>0</v>
      </c>
      <c r="P9161" t="n">
        <v>0</v>
      </c>
      <c r="Q9161" t="n">
        <v>0</v>
      </c>
      <c r="R9161" s="2" t="inlineStr"/>
    </row>
    <row r="9162" ht="15" customHeight="1">
      <c r="A9162" t="inlineStr">
        <is>
          <t>A 10030-2023</t>
        </is>
      </c>
      <c r="B9162" s="1" t="n">
        <v>44985</v>
      </c>
      <c r="C9162" s="1" t="n">
        <v>45810</v>
      </c>
      <c r="D9162" t="inlineStr">
        <is>
          <t>VÄRMLANDS LÄN</t>
        </is>
      </c>
      <c r="E9162" t="inlineStr">
        <is>
          <t>KRISTINEHAMN</t>
        </is>
      </c>
      <c r="G9162" t="n">
        <v>3.6</v>
      </c>
      <c r="H9162" t="n">
        <v>0</v>
      </c>
      <c r="I9162" t="n">
        <v>0</v>
      </c>
      <c r="J9162" t="n">
        <v>0</v>
      </c>
      <c r="K9162" t="n">
        <v>0</v>
      </c>
      <c r="L9162" t="n">
        <v>0</v>
      </c>
      <c r="M9162" t="n">
        <v>0</v>
      </c>
      <c r="N9162" t="n">
        <v>0</v>
      </c>
      <c r="O9162" t="n">
        <v>0</v>
      </c>
      <c r="P9162" t="n">
        <v>0</v>
      </c>
      <c r="Q9162" t="n">
        <v>0</v>
      </c>
      <c r="R9162" s="2" t="inlineStr"/>
    </row>
    <row r="9163" ht="15" customHeight="1">
      <c r="A9163" t="inlineStr">
        <is>
          <t>A 10028-2023</t>
        </is>
      </c>
      <c r="B9163" s="1" t="n">
        <v>44985</v>
      </c>
      <c r="C9163" s="1" t="n">
        <v>45810</v>
      </c>
      <c r="D9163" t="inlineStr">
        <is>
          <t>VÄRMLANDS LÄN</t>
        </is>
      </c>
      <c r="E9163" t="inlineStr">
        <is>
          <t>SÄFFLE</t>
        </is>
      </c>
      <c r="G9163" t="n">
        <v>3</v>
      </c>
      <c r="H9163" t="n">
        <v>0</v>
      </c>
      <c r="I9163" t="n">
        <v>0</v>
      </c>
      <c r="J9163" t="n">
        <v>0</v>
      </c>
      <c r="K9163" t="n">
        <v>0</v>
      </c>
      <c r="L9163" t="n">
        <v>0</v>
      </c>
      <c r="M9163" t="n">
        <v>0</v>
      </c>
      <c r="N9163" t="n">
        <v>0</v>
      </c>
      <c r="O9163" t="n">
        <v>0</v>
      </c>
      <c r="P9163" t="n">
        <v>0</v>
      </c>
      <c r="Q9163" t="n">
        <v>0</v>
      </c>
      <c r="R9163" s="2" t="inlineStr"/>
    </row>
    <row r="9164" ht="15" customHeight="1">
      <c r="A9164" t="inlineStr">
        <is>
          <t>A 10032-2023</t>
        </is>
      </c>
      <c r="B9164" s="1" t="n">
        <v>44985</v>
      </c>
      <c r="C9164" s="1" t="n">
        <v>45810</v>
      </c>
      <c r="D9164" t="inlineStr">
        <is>
          <t>VÄRMLANDS LÄN</t>
        </is>
      </c>
      <c r="E9164" t="inlineStr">
        <is>
          <t>KRISTINEHAMN</t>
        </is>
      </c>
      <c r="G9164" t="n">
        <v>4.9</v>
      </c>
      <c r="H9164" t="n">
        <v>0</v>
      </c>
      <c r="I9164" t="n">
        <v>0</v>
      </c>
      <c r="J9164" t="n">
        <v>0</v>
      </c>
      <c r="K9164" t="n">
        <v>0</v>
      </c>
      <c r="L9164" t="n">
        <v>0</v>
      </c>
      <c r="M9164" t="n">
        <v>0</v>
      </c>
      <c r="N9164" t="n">
        <v>0</v>
      </c>
      <c r="O9164" t="n">
        <v>0</v>
      </c>
      <c r="P9164" t="n">
        <v>0</v>
      </c>
      <c r="Q9164" t="n">
        <v>0</v>
      </c>
      <c r="R9164" s="2" t="inlineStr"/>
    </row>
    <row r="9165" ht="15" customHeight="1">
      <c r="A9165" t="inlineStr">
        <is>
          <t>A 10888-2023</t>
        </is>
      </c>
      <c r="B9165" s="1" t="n">
        <v>44985</v>
      </c>
      <c r="C9165" s="1" t="n">
        <v>45810</v>
      </c>
      <c r="D9165" t="inlineStr">
        <is>
          <t>VÄRMLANDS LÄN</t>
        </is>
      </c>
      <c r="E9165" t="inlineStr">
        <is>
          <t>TORSBY</t>
        </is>
      </c>
      <c r="G9165" t="n">
        <v>0.5</v>
      </c>
      <c r="H9165" t="n">
        <v>0</v>
      </c>
      <c r="I9165" t="n">
        <v>0</v>
      </c>
      <c r="J9165" t="n">
        <v>0</v>
      </c>
      <c r="K9165" t="n">
        <v>0</v>
      </c>
      <c r="L9165" t="n">
        <v>0</v>
      </c>
      <c r="M9165" t="n">
        <v>0</v>
      </c>
      <c r="N9165" t="n">
        <v>0</v>
      </c>
      <c r="O9165" t="n">
        <v>0</v>
      </c>
      <c r="P9165" t="n">
        <v>0</v>
      </c>
      <c r="Q9165" t="n">
        <v>0</v>
      </c>
      <c r="R9165" s="2" t="inlineStr"/>
    </row>
    <row r="9166" ht="15" customHeight="1">
      <c r="A9166" t="inlineStr">
        <is>
          <t>A 10994-2023</t>
        </is>
      </c>
      <c r="B9166" s="1" t="n">
        <v>44985</v>
      </c>
      <c r="C9166" s="1" t="n">
        <v>45810</v>
      </c>
      <c r="D9166" t="inlineStr">
        <is>
          <t>VÄRMLANDS LÄN</t>
        </is>
      </c>
      <c r="E9166" t="inlineStr">
        <is>
          <t>ARVIKA</t>
        </is>
      </c>
      <c r="G9166" t="n">
        <v>2.1</v>
      </c>
      <c r="H9166" t="n">
        <v>0</v>
      </c>
      <c r="I9166" t="n">
        <v>0</v>
      </c>
      <c r="J9166" t="n">
        <v>0</v>
      </c>
      <c r="K9166" t="n">
        <v>0</v>
      </c>
      <c r="L9166" t="n">
        <v>0</v>
      </c>
      <c r="M9166" t="n">
        <v>0</v>
      </c>
      <c r="N9166" t="n">
        <v>0</v>
      </c>
      <c r="O9166" t="n">
        <v>0</v>
      </c>
      <c r="P9166" t="n">
        <v>0</v>
      </c>
      <c r="Q9166" t="n">
        <v>0</v>
      </c>
      <c r="R9166" s="2" t="inlineStr"/>
    </row>
    <row r="9167" ht="15" customHeight="1">
      <c r="A9167" t="inlineStr">
        <is>
          <t>A 10989-2023</t>
        </is>
      </c>
      <c r="B9167" s="1" t="n">
        <v>44985</v>
      </c>
      <c r="C9167" s="1" t="n">
        <v>45810</v>
      </c>
      <c r="D9167" t="inlineStr">
        <is>
          <t>VÄRMLANDS LÄN</t>
        </is>
      </c>
      <c r="E9167" t="inlineStr">
        <is>
          <t>ARVIKA</t>
        </is>
      </c>
      <c r="G9167" t="n">
        <v>0.6</v>
      </c>
      <c r="H9167" t="n">
        <v>0</v>
      </c>
      <c r="I9167" t="n">
        <v>0</v>
      </c>
      <c r="J9167" t="n">
        <v>0</v>
      </c>
      <c r="K9167" t="n">
        <v>0</v>
      </c>
      <c r="L9167" t="n">
        <v>0</v>
      </c>
      <c r="M9167" t="n">
        <v>0</v>
      </c>
      <c r="N9167" t="n">
        <v>0</v>
      </c>
      <c r="O9167" t="n">
        <v>0</v>
      </c>
      <c r="P9167" t="n">
        <v>0</v>
      </c>
      <c r="Q9167" t="n">
        <v>0</v>
      </c>
      <c r="R9167" s="2" t="inlineStr"/>
    </row>
    <row r="9168" ht="15" customHeight="1">
      <c r="A9168" t="inlineStr">
        <is>
          <t>A 11370-2023</t>
        </is>
      </c>
      <c r="B9168" s="1" t="n">
        <v>44985</v>
      </c>
      <c r="C9168" s="1" t="n">
        <v>45810</v>
      </c>
      <c r="D9168" t="inlineStr">
        <is>
          <t>VÄRMLANDS LÄN</t>
        </is>
      </c>
      <c r="E9168" t="inlineStr">
        <is>
          <t>KARLSTAD</t>
        </is>
      </c>
      <c r="G9168" t="n">
        <v>1.5</v>
      </c>
      <c r="H9168" t="n">
        <v>0</v>
      </c>
      <c r="I9168" t="n">
        <v>0</v>
      </c>
      <c r="J9168" t="n">
        <v>0</v>
      </c>
      <c r="K9168" t="n">
        <v>0</v>
      </c>
      <c r="L9168" t="n">
        <v>0</v>
      </c>
      <c r="M9168" t="n">
        <v>0</v>
      </c>
      <c r="N9168" t="n">
        <v>0</v>
      </c>
      <c r="O9168" t="n">
        <v>0</v>
      </c>
      <c r="P9168" t="n">
        <v>0</v>
      </c>
      <c r="Q9168" t="n">
        <v>0</v>
      </c>
      <c r="R9168" s="2" t="inlineStr"/>
    </row>
    <row r="9169" ht="15" customHeight="1">
      <c r="A9169" t="inlineStr">
        <is>
          <t>A 11359-2023</t>
        </is>
      </c>
      <c r="B9169" s="1" t="n">
        <v>44985</v>
      </c>
      <c r="C9169" s="1" t="n">
        <v>45810</v>
      </c>
      <c r="D9169" t="inlineStr">
        <is>
          <t>VÄRMLANDS LÄN</t>
        </is>
      </c>
      <c r="E9169" t="inlineStr">
        <is>
          <t>KARLSTAD</t>
        </is>
      </c>
      <c r="G9169" t="n">
        <v>3.6</v>
      </c>
      <c r="H9169" t="n">
        <v>0</v>
      </c>
      <c r="I9169" t="n">
        <v>0</v>
      </c>
      <c r="J9169" t="n">
        <v>0</v>
      </c>
      <c r="K9169" t="n">
        <v>0</v>
      </c>
      <c r="L9169" t="n">
        <v>0</v>
      </c>
      <c r="M9169" t="n">
        <v>0</v>
      </c>
      <c r="N9169" t="n">
        <v>0</v>
      </c>
      <c r="O9169" t="n">
        <v>0</v>
      </c>
      <c r="P9169" t="n">
        <v>0</v>
      </c>
      <c r="Q9169" t="n">
        <v>0</v>
      </c>
      <c r="R9169" s="2" t="inlineStr"/>
    </row>
    <row r="9170" ht="15" customHeight="1">
      <c r="A9170" t="inlineStr">
        <is>
          <t>A 11355-2023</t>
        </is>
      </c>
      <c r="B9170" s="1" t="n">
        <v>44985</v>
      </c>
      <c r="C9170" s="1" t="n">
        <v>45810</v>
      </c>
      <c r="D9170" t="inlineStr">
        <is>
          <t>VÄRMLANDS LÄN</t>
        </is>
      </c>
      <c r="E9170" t="inlineStr">
        <is>
          <t>KARLSTAD</t>
        </is>
      </c>
      <c r="G9170" t="n">
        <v>3.8</v>
      </c>
      <c r="H9170" t="n">
        <v>0</v>
      </c>
      <c r="I9170" t="n">
        <v>0</v>
      </c>
      <c r="J9170" t="n">
        <v>0</v>
      </c>
      <c r="K9170" t="n">
        <v>0</v>
      </c>
      <c r="L9170" t="n">
        <v>0</v>
      </c>
      <c r="M9170" t="n">
        <v>0</v>
      </c>
      <c r="N9170" t="n">
        <v>0</v>
      </c>
      <c r="O9170" t="n">
        <v>0</v>
      </c>
      <c r="P9170" t="n">
        <v>0</v>
      </c>
      <c r="Q9170" t="n">
        <v>0</v>
      </c>
      <c r="R9170" s="2" t="inlineStr"/>
    </row>
    <row r="9171" ht="15" customHeight="1">
      <c r="A9171" t="inlineStr">
        <is>
          <t>A 10117-2023</t>
        </is>
      </c>
      <c r="B9171" s="1" t="n">
        <v>44986</v>
      </c>
      <c r="C9171" s="1" t="n">
        <v>45810</v>
      </c>
      <c r="D9171" t="inlineStr">
        <is>
          <t>VÄRMLANDS LÄN</t>
        </is>
      </c>
      <c r="E9171" t="inlineStr">
        <is>
          <t>ÅRJÄNG</t>
        </is>
      </c>
      <c r="G9171" t="n">
        <v>0.7</v>
      </c>
      <c r="H9171" t="n">
        <v>0</v>
      </c>
      <c r="I9171" t="n">
        <v>0</v>
      </c>
      <c r="J9171" t="n">
        <v>0</v>
      </c>
      <c r="K9171" t="n">
        <v>0</v>
      </c>
      <c r="L9171" t="n">
        <v>0</v>
      </c>
      <c r="M9171" t="n">
        <v>0</v>
      </c>
      <c r="N9171" t="n">
        <v>0</v>
      </c>
      <c r="O9171" t="n">
        <v>0</v>
      </c>
      <c r="P9171" t="n">
        <v>0</v>
      </c>
      <c r="Q9171" t="n">
        <v>0</v>
      </c>
      <c r="R9171" s="2" t="inlineStr"/>
    </row>
    <row r="9172" ht="15" customHeight="1">
      <c r="A9172" t="inlineStr">
        <is>
          <t>A 10171-2023</t>
        </is>
      </c>
      <c r="B9172" s="1" t="n">
        <v>44986</v>
      </c>
      <c r="C9172" s="1" t="n">
        <v>45810</v>
      </c>
      <c r="D9172" t="inlineStr">
        <is>
          <t>VÄRMLANDS LÄN</t>
        </is>
      </c>
      <c r="E9172" t="inlineStr">
        <is>
          <t>ÅRJÄNG</t>
        </is>
      </c>
      <c r="G9172" t="n">
        <v>0.7</v>
      </c>
      <c r="H9172" t="n">
        <v>0</v>
      </c>
      <c r="I9172" t="n">
        <v>0</v>
      </c>
      <c r="J9172" t="n">
        <v>0</v>
      </c>
      <c r="K9172" t="n">
        <v>0</v>
      </c>
      <c r="L9172" t="n">
        <v>0</v>
      </c>
      <c r="M9172" t="n">
        <v>0</v>
      </c>
      <c r="N9172" t="n">
        <v>0</v>
      </c>
      <c r="O9172" t="n">
        <v>0</v>
      </c>
      <c r="P9172" t="n">
        <v>0</v>
      </c>
      <c r="Q9172" t="n">
        <v>0</v>
      </c>
      <c r="R9172" s="2" t="inlineStr"/>
    </row>
    <row r="9173" ht="15" customHeight="1">
      <c r="A9173" t="inlineStr">
        <is>
          <t>A 10178-2023</t>
        </is>
      </c>
      <c r="B9173" s="1" t="n">
        <v>44986</v>
      </c>
      <c r="C9173" s="1" t="n">
        <v>45810</v>
      </c>
      <c r="D9173" t="inlineStr">
        <is>
          <t>VÄRMLANDS LÄN</t>
        </is>
      </c>
      <c r="E9173" t="inlineStr">
        <is>
          <t>ARVIKA</t>
        </is>
      </c>
      <c r="F9173" t="inlineStr">
        <is>
          <t>Bergvik skog väst AB</t>
        </is>
      </c>
      <c r="G9173" t="n">
        <v>8.199999999999999</v>
      </c>
      <c r="H9173" t="n">
        <v>0</v>
      </c>
      <c r="I9173" t="n">
        <v>0</v>
      </c>
      <c r="J9173" t="n">
        <v>0</v>
      </c>
      <c r="K9173" t="n">
        <v>0</v>
      </c>
      <c r="L9173" t="n">
        <v>0</v>
      </c>
      <c r="M9173" t="n">
        <v>0</v>
      </c>
      <c r="N9173" t="n">
        <v>0</v>
      </c>
      <c r="O9173" t="n">
        <v>0</v>
      </c>
      <c r="P9173" t="n">
        <v>0</v>
      </c>
      <c r="Q9173" t="n">
        <v>0</v>
      </c>
      <c r="R9173" s="2" t="inlineStr"/>
    </row>
    <row r="9174" ht="15" customHeight="1">
      <c r="A9174" t="inlineStr">
        <is>
          <t>A 10145-2023</t>
        </is>
      </c>
      <c r="B9174" s="1" t="n">
        <v>44986</v>
      </c>
      <c r="C9174" s="1" t="n">
        <v>45810</v>
      </c>
      <c r="D9174" t="inlineStr">
        <is>
          <t>VÄRMLANDS LÄN</t>
        </is>
      </c>
      <c r="E9174" t="inlineStr">
        <is>
          <t>EDA</t>
        </is>
      </c>
      <c r="G9174" t="n">
        <v>2.9</v>
      </c>
      <c r="H9174" t="n">
        <v>0</v>
      </c>
      <c r="I9174" t="n">
        <v>0</v>
      </c>
      <c r="J9174" t="n">
        <v>0</v>
      </c>
      <c r="K9174" t="n">
        <v>0</v>
      </c>
      <c r="L9174" t="n">
        <v>0</v>
      </c>
      <c r="M9174" t="n">
        <v>0</v>
      </c>
      <c r="N9174" t="n">
        <v>0</v>
      </c>
      <c r="O9174" t="n">
        <v>0</v>
      </c>
      <c r="P9174" t="n">
        <v>0</v>
      </c>
      <c r="Q9174" t="n">
        <v>0</v>
      </c>
      <c r="R9174" s="2" t="inlineStr"/>
    </row>
    <row r="9175" ht="15" customHeight="1">
      <c r="A9175" t="inlineStr">
        <is>
          <t>A 10239-2023</t>
        </is>
      </c>
      <c r="B9175" s="1" t="n">
        <v>44986</v>
      </c>
      <c r="C9175" s="1" t="n">
        <v>45810</v>
      </c>
      <c r="D9175" t="inlineStr">
        <is>
          <t>VÄRMLANDS LÄN</t>
        </is>
      </c>
      <c r="E9175" t="inlineStr">
        <is>
          <t>ÅRJÄNG</t>
        </is>
      </c>
      <c r="G9175" t="n">
        <v>5.4</v>
      </c>
      <c r="H9175" t="n">
        <v>0</v>
      </c>
      <c r="I9175" t="n">
        <v>0</v>
      </c>
      <c r="J9175" t="n">
        <v>0</v>
      </c>
      <c r="K9175" t="n">
        <v>0</v>
      </c>
      <c r="L9175" t="n">
        <v>0</v>
      </c>
      <c r="M9175" t="n">
        <v>0</v>
      </c>
      <c r="N9175" t="n">
        <v>0</v>
      </c>
      <c r="O9175" t="n">
        <v>0</v>
      </c>
      <c r="P9175" t="n">
        <v>0</v>
      </c>
      <c r="Q9175" t="n">
        <v>0</v>
      </c>
      <c r="R9175" s="2" t="inlineStr"/>
    </row>
    <row r="9176" ht="15" customHeight="1">
      <c r="A9176" t="inlineStr">
        <is>
          <t>A 10155-2023</t>
        </is>
      </c>
      <c r="B9176" s="1" t="n">
        <v>44986</v>
      </c>
      <c r="C9176" s="1" t="n">
        <v>45810</v>
      </c>
      <c r="D9176" t="inlineStr">
        <is>
          <t>VÄRMLANDS LÄN</t>
        </is>
      </c>
      <c r="E9176" t="inlineStr">
        <is>
          <t>TORSBY</t>
        </is>
      </c>
      <c r="G9176" t="n">
        <v>1.5</v>
      </c>
      <c r="H9176" t="n">
        <v>0</v>
      </c>
      <c r="I9176" t="n">
        <v>0</v>
      </c>
      <c r="J9176" t="n">
        <v>0</v>
      </c>
      <c r="K9176" t="n">
        <v>0</v>
      </c>
      <c r="L9176" t="n">
        <v>0</v>
      </c>
      <c r="M9176" t="n">
        <v>0</v>
      </c>
      <c r="N9176" t="n">
        <v>0</v>
      </c>
      <c r="O9176" t="n">
        <v>0</v>
      </c>
      <c r="P9176" t="n">
        <v>0</v>
      </c>
      <c r="Q9176" t="n">
        <v>0</v>
      </c>
      <c r="R9176" s="2" t="inlineStr"/>
    </row>
    <row r="9177" ht="15" customHeight="1">
      <c r="A9177" t="inlineStr">
        <is>
          <t>A 10180-2023</t>
        </is>
      </c>
      <c r="B9177" s="1" t="n">
        <v>44986</v>
      </c>
      <c r="C9177" s="1" t="n">
        <v>45810</v>
      </c>
      <c r="D9177" t="inlineStr">
        <is>
          <t>VÄRMLANDS LÄN</t>
        </is>
      </c>
      <c r="E9177" t="inlineStr">
        <is>
          <t>ÅRJÄNG</t>
        </is>
      </c>
      <c r="G9177" t="n">
        <v>4.6</v>
      </c>
      <c r="H9177" t="n">
        <v>0</v>
      </c>
      <c r="I9177" t="n">
        <v>0</v>
      </c>
      <c r="J9177" t="n">
        <v>0</v>
      </c>
      <c r="K9177" t="n">
        <v>0</v>
      </c>
      <c r="L9177" t="n">
        <v>0</v>
      </c>
      <c r="M9177" t="n">
        <v>0</v>
      </c>
      <c r="N9177" t="n">
        <v>0</v>
      </c>
      <c r="O9177" t="n">
        <v>0</v>
      </c>
      <c r="P9177" t="n">
        <v>0</v>
      </c>
      <c r="Q9177" t="n">
        <v>0</v>
      </c>
      <c r="R9177" s="2" t="inlineStr"/>
    </row>
    <row r="9178" ht="15" customHeight="1">
      <c r="A9178" t="inlineStr">
        <is>
          <t>A 10218-2023</t>
        </is>
      </c>
      <c r="B9178" s="1" t="n">
        <v>44986</v>
      </c>
      <c r="C9178" s="1" t="n">
        <v>45810</v>
      </c>
      <c r="D9178" t="inlineStr">
        <is>
          <t>VÄRMLANDS LÄN</t>
        </is>
      </c>
      <c r="E9178" t="inlineStr">
        <is>
          <t>TORSBY</t>
        </is>
      </c>
      <c r="G9178" t="n">
        <v>0.6</v>
      </c>
      <c r="H9178" t="n">
        <v>0</v>
      </c>
      <c r="I9178" t="n">
        <v>0</v>
      </c>
      <c r="J9178" t="n">
        <v>0</v>
      </c>
      <c r="K9178" t="n">
        <v>0</v>
      </c>
      <c r="L9178" t="n">
        <v>0</v>
      </c>
      <c r="M9178" t="n">
        <v>0</v>
      </c>
      <c r="N9178" t="n">
        <v>0</v>
      </c>
      <c r="O9178" t="n">
        <v>0</v>
      </c>
      <c r="P9178" t="n">
        <v>0</v>
      </c>
      <c r="Q9178" t="n">
        <v>0</v>
      </c>
      <c r="R9178" s="2" t="inlineStr"/>
    </row>
    <row r="9179" ht="15" customHeight="1">
      <c r="A9179" t="inlineStr">
        <is>
          <t>A 10284-2023</t>
        </is>
      </c>
      <c r="B9179" s="1" t="n">
        <v>44986</v>
      </c>
      <c r="C9179" s="1" t="n">
        <v>45810</v>
      </c>
      <c r="D9179" t="inlineStr">
        <is>
          <t>VÄRMLANDS LÄN</t>
        </is>
      </c>
      <c r="E9179" t="inlineStr">
        <is>
          <t>KARLSTAD</t>
        </is>
      </c>
      <c r="F9179" t="inlineStr">
        <is>
          <t>Kommuner</t>
        </is>
      </c>
      <c r="G9179" t="n">
        <v>0.9</v>
      </c>
      <c r="H9179" t="n">
        <v>0</v>
      </c>
      <c r="I9179" t="n">
        <v>0</v>
      </c>
      <c r="J9179" t="n">
        <v>0</v>
      </c>
      <c r="K9179" t="n">
        <v>0</v>
      </c>
      <c r="L9179" t="n">
        <v>0</v>
      </c>
      <c r="M9179" t="n">
        <v>0</v>
      </c>
      <c r="N9179" t="n">
        <v>0</v>
      </c>
      <c r="O9179" t="n">
        <v>0</v>
      </c>
      <c r="P9179" t="n">
        <v>0</v>
      </c>
      <c r="Q9179" t="n">
        <v>0</v>
      </c>
      <c r="R9179" s="2" t="inlineStr"/>
    </row>
    <row r="9180" ht="15" customHeight="1">
      <c r="A9180" t="inlineStr">
        <is>
          <t>A 10288-2023</t>
        </is>
      </c>
      <c r="B9180" s="1" t="n">
        <v>44986</v>
      </c>
      <c r="C9180" s="1" t="n">
        <v>45810</v>
      </c>
      <c r="D9180" t="inlineStr">
        <is>
          <t>VÄRMLANDS LÄN</t>
        </is>
      </c>
      <c r="E9180" t="inlineStr">
        <is>
          <t>KARLSTAD</t>
        </is>
      </c>
      <c r="F9180" t="inlineStr">
        <is>
          <t>Kommuner</t>
        </is>
      </c>
      <c r="G9180" t="n">
        <v>3.2</v>
      </c>
      <c r="H9180" t="n">
        <v>0</v>
      </c>
      <c r="I9180" t="n">
        <v>0</v>
      </c>
      <c r="J9180" t="n">
        <v>0</v>
      </c>
      <c r="K9180" t="n">
        <v>0</v>
      </c>
      <c r="L9180" t="n">
        <v>0</v>
      </c>
      <c r="M9180" t="n">
        <v>0</v>
      </c>
      <c r="N9180" t="n">
        <v>0</v>
      </c>
      <c r="O9180" t="n">
        <v>0</v>
      </c>
      <c r="P9180" t="n">
        <v>0</v>
      </c>
      <c r="Q9180" t="n">
        <v>0</v>
      </c>
      <c r="R9180" s="2" t="inlineStr"/>
    </row>
    <row r="9181" ht="15" customHeight="1">
      <c r="A9181" t="inlineStr">
        <is>
          <t>A 10281-2023</t>
        </is>
      </c>
      <c r="B9181" s="1" t="n">
        <v>44986</v>
      </c>
      <c r="C9181" s="1" t="n">
        <v>45810</v>
      </c>
      <c r="D9181" t="inlineStr">
        <is>
          <t>VÄRMLANDS LÄN</t>
        </is>
      </c>
      <c r="E9181" t="inlineStr">
        <is>
          <t>SUNNE</t>
        </is>
      </c>
      <c r="G9181" t="n">
        <v>1.9</v>
      </c>
      <c r="H9181" t="n">
        <v>0</v>
      </c>
      <c r="I9181" t="n">
        <v>0</v>
      </c>
      <c r="J9181" t="n">
        <v>0</v>
      </c>
      <c r="K9181" t="n">
        <v>0</v>
      </c>
      <c r="L9181" t="n">
        <v>0</v>
      </c>
      <c r="M9181" t="n">
        <v>0</v>
      </c>
      <c r="N9181" t="n">
        <v>0</v>
      </c>
      <c r="O9181" t="n">
        <v>0</v>
      </c>
      <c r="P9181" t="n">
        <v>0</v>
      </c>
      <c r="Q9181" t="n">
        <v>0</v>
      </c>
      <c r="R9181" s="2" t="inlineStr"/>
    </row>
    <row r="9182" ht="15" customHeight="1">
      <c r="A9182" t="inlineStr">
        <is>
          <t>A 10228-2023</t>
        </is>
      </c>
      <c r="B9182" s="1" t="n">
        <v>44986</v>
      </c>
      <c r="C9182" s="1" t="n">
        <v>45810</v>
      </c>
      <c r="D9182" t="inlineStr">
        <is>
          <t>VÄRMLANDS LÄN</t>
        </is>
      </c>
      <c r="E9182" t="inlineStr">
        <is>
          <t>TORSBY</t>
        </is>
      </c>
      <c r="G9182" t="n">
        <v>5.4</v>
      </c>
      <c r="H9182" t="n">
        <v>0</v>
      </c>
      <c r="I9182" t="n">
        <v>0</v>
      </c>
      <c r="J9182" t="n">
        <v>0</v>
      </c>
      <c r="K9182" t="n">
        <v>0</v>
      </c>
      <c r="L9182" t="n">
        <v>0</v>
      </c>
      <c r="M9182" t="n">
        <v>0</v>
      </c>
      <c r="N9182" t="n">
        <v>0</v>
      </c>
      <c r="O9182" t="n">
        <v>0</v>
      </c>
      <c r="P9182" t="n">
        <v>0</v>
      </c>
      <c r="Q9182" t="n">
        <v>0</v>
      </c>
      <c r="R9182" s="2" t="inlineStr"/>
    </row>
    <row r="9183" ht="15" customHeight="1">
      <c r="A9183" t="inlineStr">
        <is>
          <t>A 10276-2023</t>
        </is>
      </c>
      <c r="B9183" s="1" t="n">
        <v>44986</v>
      </c>
      <c r="C9183" s="1" t="n">
        <v>45810</v>
      </c>
      <c r="D9183" t="inlineStr">
        <is>
          <t>VÄRMLANDS LÄN</t>
        </is>
      </c>
      <c r="E9183" t="inlineStr">
        <is>
          <t>EDA</t>
        </is>
      </c>
      <c r="G9183" t="n">
        <v>6.4</v>
      </c>
      <c r="H9183" t="n">
        <v>0</v>
      </c>
      <c r="I9183" t="n">
        <v>0</v>
      </c>
      <c r="J9183" t="n">
        <v>0</v>
      </c>
      <c r="K9183" t="n">
        <v>0</v>
      </c>
      <c r="L9183" t="n">
        <v>0</v>
      </c>
      <c r="M9183" t="n">
        <v>0</v>
      </c>
      <c r="N9183" t="n">
        <v>0</v>
      </c>
      <c r="O9183" t="n">
        <v>0</v>
      </c>
      <c r="P9183" t="n">
        <v>0</v>
      </c>
      <c r="Q9183" t="n">
        <v>0</v>
      </c>
      <c r="R9183" s="2" t="inlineStr"/>
    </row>
    <row r="9184" ht="15" customHeight="1">
      <c r="A9184" t="inlineStr">
        <is>
          <t>A 10383-2023</t>
        </is>
      </c>
      <c r="B9184" s="1" t="n">
        <v>44987</v>
      </c>
      <c r="C9184" s="1" t="n">
        <v>45810</v>
      </c>
      <c r="D9184" t="inlineStr">
        <is>
          <t>VÄRMLANDS LÄN</t>
        </is>
      </c>
      <c r="E9184" t="inlineStr">
        <is>
          <t>FORSHAGA</t>
        </is>
      </c>
      <c r="G9184" t="n">
        <v>1.3</v>
      </c>
      <c r="H9184" t="n">
        <v>0</v>
      </c>
      <c r="I9184" t="n">
        <v>0</v>
      </c>
      <c r="J9184" t="n">
        <v>0</v>
      </c>
      <c r="K9184" t="n">
        <v>0</v>
      </c>
      <c r="L9184" t="n">
        <v>0</v>
      </c>
      <c r="M9184" t="n">
        <v>0</v>
      </c>
      <c r="N9184" t="n">
        <v>0</v>
      </c>
      <c r="O9184" t="n">
        <v>0</v>
      </c>
      <c r="P9184" t="n">
        <v>0</v>
      </c>
      <c r="Q9184" t="n">
        <v>0</v>
      </c>
      <c r="R9184" s="2" t="inlineStr"/>
    </row>
    <row r="9185" ht="15" customHeight="1">
      <c r="A9185" t="inlineStr">
        <is>
          <t>A 10395-2023</t>
        </is>
      </c>
      <c r="B9185" s="1" t="n">
        <v>44987</v>
      </c>
      <c r="C9185" s="1" t="n">
        <v>45810</v>
      </c>
      <c r="D9185" t="inlineStr">
        <is>
          <t>VÄRMLANDS LÄN</t>
        </is>
      </c>
      <c r="E9185" t="inlineStr">
        <is>
          <t>FILIPSTAD</t>
        </is>
      </c>
      <c r="F9185" t="inlineStr">
        <is>
          <t>Bergvik skog väst AB</t>
        </is>
      </c>
      <c r="G9185" t="n">
        <v>7.4</v>
      </c>
      <c r="H9185" t="n">
        <v>0</v>
      </c>
      <c r="I9185" t="n">
        <v>0</v>
      </c>
      <c r="J9185" t="n">
        <v>0</v>
      </c>
      <c r="K9185" t="n">
        <v>0</v>
      </c>
      <c r="L9185" t="n">
        <v>0</v>
      </c>
      <c r="M9185" t="n">
        <v>0</v>
      </c>
      <c r="N9185" t="n">
        <v>0</v>
      </c>
      <c r="O9185" t="n">
        <v>0</v>
      </c>
      <c r="P9185" t="n">
        <v>0</v>
      </c>
      <c r="Q9185" t="n">
        <v>0</v>
      </c>
      <c r="R9185" s="2" t="inlineStr"/>
    </row>
    <row r="9186" ht="15" customHeight="1">
      <c r="A9186" t="inlineStr">
        <is>
          <t>A 10510-2023</t>
        </is>
      </c>
      <c r="B9186" s="1" t="n">
        <v>44987</v>
      </c>
      <c r="C9186" s="1" t="n">
        <v>45810</v>
      </c>
      <c r="D9186" t="inlineStr">
        <is>
          <t>VÄRMLANDS LÄN</t>
        </is>
      </c>
      <c r="E9186" t="inlineStr">
        <is>
          <t>ÅRJÄNG</t>
        </is>
      </c>
      <c r="G9186" t="n">
        <v>0.5</v>
      </c>
      <c r="H9186" t="n">
        <v>0</v>
      </c>
      <c r="I9186" t="n">
        <v>0</v>
      </c>
      <c r="J9186" t="n">
        <v>0</v>
      </c>
      <c r="K9186" t="n">
        <v>0</v>
      </c>
      <c r="L9186" t="n">
        <v>0</v>
      </c>
      <c r="M9186" t="n">
        <v>0</v>
      </c>
      <c r="N9186" t="n">
        <v>0</v>
      </c>
      <c r="O9186" t="n">
        <v>0</v>
      </c>
      <c r="P9186" t="n">
        <v>0</v>
      </c>
      <c r="Q9186" t="n">
        <v>0</v>
      </c>
      <c r="R9186" s="2" t="inlineStr"/>
    </row>
    <row r="9187" ht="15" customHeight="1">
      <c r="A9187" t="inlineStr">
        <is>
          <t>A 10501-2023</t>
        </is>
      </c>
      <c r="B9187" s="1" t="n">
        <v>44987</v>
      </c>
      <c r="C9187" s="1" t="n">
        <v>45810</v>
      </c>
      <c r="D9187" t="inlineStr">
        <is>
          <t>VÄRMLANDS LÄN</t>
        </is>
      </c>
      <c r="E9187" t="inlineStr">
        <is>
          <t>KRISTINEHAMN</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11176-2023</t>
        </is>
      </c>
      <c r="B9188" s="1" t="n">
        <v>44987</v>
      </c>
      <c r="C9188" s="1" t="n">
        <v>45810</v>
      </c>
      <c r="D9188" t="inlineStr">
        <is>
          <t>VÄRMLANDS LÄN</t>
        </is>
      </c>
      <c r="E9188" t="inlineStr">
        <is>
          <t>ÅRJÄNG</t>
        </is>
      </c>
      <c r="G9188" t="n">
        <v>5.2</v>
      </c>
      <c r="H9188" t="n">
        <v>0</v>
      </c>
      <c r="I9188" t="n">
        <v>0</v>
      </c>
      <c r="J9188" t="n">
        <v>0</v>
      </c>
      <c r="K9188" t="n">
        <v>0</v>
      </c>
      <c r="L9188" t="n">
        <v>0</v>
      </c>
      <c r="M9188" t="n">
        <v>0</v>
      </c>
      <c r="N9188" t="n">
        <v>0</v>
      </c>
      <c r="O9188" t="n">
        <v>0</v>
      </c>
      <c r="P9188" t="n">
        <v>0</v>
      </c>
      <c r="Q9188" t="n">
        <v>0</v>
      </c>
      <c r="R9188" s="2" t="inlineStr"/>
    </row>
    <row r="9189" ht="15" customHeight="1">
      <c r="A9189" t="inlineStr">
        <is>
          <t>A 10588-2023</t>
        </is>
      </c>
      <c r="B9189" s="1" t="n">
        <v>44988</v>
      </c>
      <c r="C9189" s="1" t="n">
        <v>45810</v>
      </c>
      <c r="D9189" t="inlineStr">
        <is>
          <t>VÄRMLANDS LÄN</t>
        </is>
      </c>
      <c r="E9189" t="inlineStr">
        <is>
          <t>MUNKFORS</t>
        </is>
      </c>
      <c r="F9189" t="inlineStr">
        <is>
          <t>Bergvik skog väst AB</t>
        </is>
      </c>
      <c r="G9189" t="n">
        <v>1.8</v>
      </c>
      <c r="H9189" t="n">
        <v>0</v>
      </c>
      <c r="I9189" t="n">
        <v>0</v>
      </c>
      <c r="J9189" t="n">
        <v>0</v>
      </c>
      <c r="K9189" t="n">
        <v>0</v>
      </c>
      <c r="L9189" t="n">
        <v>0</v>
      </c>
      <c r="M9189" t="n">
        <v>0</v>
      </c>
      <c r="N9189" t="n">
        <v>0</v>
      </c>
      <c r="O9189" t="n">
        <v>0</v>
      </c>
      <c r="P9189" t="n">
        <v>0</v>
      </c>
      <c r="Q9189" t="n">
        <v>0</v>
      </c>
      <c r="R9189" s="2" t="inlineStr"/>
    </row>
    <row r="9190" ht="15" customHeight="1">
      <c r="A9190" t="inlineStr">
        <is>
          <t>A 10650-2023</t>
        </is>
      </c>
      <c r="B9190" s="1" t="n">
        <v>44988</v>
      </c>
      <c r="C9190" s="1" t="n">
        <v>45810</v>
      </c>
      <c r="D9190" t="inlineStr">
        <is>
          <t>VÄRMLANDS LÄN</t>
        </is>
      </c>
      <c r="E9190" t="inlineStr">
        <is>
          <t>EDA</t>
        </is>
      </c>
      <c r="F9190" t="inlineStr">
        <is>
          <t>Bergvik skog väst AB</t>
        </is>
      </c>
      <c r="G9190" t="n">
        <v>0.7</v>
      </c>
      <c r="H9190" t="n">
        <v>0</v>
      </c>
      <c r="I9190" t="n">
        <v>0</v>
      </c>
      <c r="J9190" t="n">
        <v>0</v>
      </c>
      <c r="K9190" t="n">
        <v>0</v>
      </c>
      <c r="L9190" t="n">
        <v>0</v>
      </c>
      <c r="M9190" t="n">
        <v>0</v>
      </c>
      <c r="N9190" t="n">
        <v>0</v>
      </c>
      <c r="O9190" t="n">
        <v>0</v>
      </c>
      <c r="P9190" t="n">
        <v>0</v>
      </c>
      <c r="Q9190" t="n">
        <v>0</v>
      </c>
      <c r="R9190" s="2" t="inlineStr"/>
    </row>
    <row r="9191" ht="15" customHeight="1">
      <c r="A9191" t="inlineStr">
        <is>
          <t>A 10662-2023</t>
        </is>
      </c>
      <c r="B9191" s="1" t="n">
        <v>44988</v>
      </c>
      <c r="C9191" s="1" t="n">
        <v>45810</v>
      </c>
      <c r="D9191" t="inlineStr">
        <is>
          <t>VÄRMLANDS LÄN</t>
        </is>
      </c>
      <c r="E9191" t="inlineStr">
        <is>
          <t>TORSBY</t>
        </is>
      </c>
      <c r="G9191" t="n">
        <v>9.9</v>
      </c>
      <c r="H9191" t="n">
        <v>0</v>
      </c>
      <c r="I9191" t="n">
        <v>0</v>
      </c>
      <c r="J9191" t="n">
        <v>0</v>
      </c>
      <c r="K9191" t="n">
        <v>0</v>
      </c>
      <c r="L9191" t="n">
        <v>0</v>
      </c>
      <c r="M9191" t="n">
        <v>0</v>
      </c>
      <c r="N9191" t="n">
        <v>0</v>
      </c>
      <c r="O9191" t="n">
        <v>0</v>
      </c>
      <c r="P9191" t="n">
        <v>0</v>
      </c>
      <c r="Q9191" t="n">
        <v>0</v>
      </c>
      <c r="R9191" s="2" t="inlineStr"/>
    </row>
    <row r="9192" ht="15" customHeight="1">
      <c r="A9192" t="inlineStr">
        <is>
          <t>A 10583-2023</t>
        </is>
      </c>
      <c r="B9192" s="1" t="n">
        <v>44988</v>
      </c>
      <c r="C9192" s="1" t="n">
        <v>45810</v>
      </c>
      <c r="D9192" t="inlineStr">
        <is>
          <t>VÄRMLANDS LÄN</t>
        </is>
      </c>
      <c r="E9192" t="inlineStr">
        <is>
          <t>TORSBY</t>
        </is>
      </c>
      <c r="G9192" t="n">
        <v>3.6</v>
      </c>
      <c r="H9192" t="n">
        <v>0</v>
      </c>
      <c r="I9192" t="n">
        <v>0</v>
      </c>
      <c r="J9192" t="n">
        <v>0</v>
      </c>
      <c r="K9192" t="n">
        <v>0</v>
      </c>
      <c r="L9192" t="n">
        <v>0</v>
      </c>
      <c r="M9192" t="n">
        <v>0</v>
      </c>
      <c r="N9192" t="n">
        <v>0</v>
      </c>
      <c r="O9192" t="n">
        <v>0</v>
      </c>
      <c r="P9192" t="n">
        <v>0</v>
      </c>
      <c r="Q9192" t="n">
        <v>0</v>
      </c>
      <c r="R9192" s="2" t="inlineStr"/>
    </row>
    <row r="9193" ht="15" customHeight="1">
      <c r="A9193" t="inlineStr">
        <is>
          <t>A 10581-2023</t>
        </is>
      </c>
      <c r="B9193" s="1" t="n">
        <v>44988</v>
      </c>
      <c r="C9193" s="1" t="n">
        <v>45810</v>
      </c>
      <c r="D9193" t="inlineStr">
        <is>
          <t>VÄRMLANDS LÄN</t>
        </is>
      </c>
      <c r="E9193" t="inlineStr">
        <is>
          <t>ARVIKA</t>
        </is>
      </c>
      <c r="G9193" t="n">
        <v>0.9</v>
      </c>
      <c r="H9193" t="n">
        <v>0</v>
      </c>
      <c r="I9193" t="n">
        <v>0</v>
      </c>
      <c r="J9193" t="n">
        <v>0</v>
      </c>
      <c r="K9193" t="n">
        <v>0</v>
      </c>
      <c r="L9193" t="n">
        <v>0</v>
      </c>
      <c r="M9193" t="n">
        <v>0</v>
      </c>
      <c r="N9193" t="n">
        <v>0</v>
      </c>
      <c r="O9193" t="n">
        <v>0</v>
      </c>
      <c r="P9193" t="n">
        <v>0</v>
      </c>
      <c r="Q9193" t="n">
        <v>0</v>
      </c>
      <c r="R9193" s="2" t="inlineStr"/>
    </row>
    <row r="9194" ht="15" customHeight="1">
      <c r="A9194" t="inlineStr">
        <is>
          <t>A 10578-2023</t>
        </is>
      </c>
      <c r="B9194" s="1" t="n">
        <v>44988</v>
      </c>
      <c r="C9194" s="1" t="n">
        <v>45810</v>
      </c>
      <c r="D9194" t="inlineStr">
        <is>
          <t>VÄRMLANDS LÄN</t>
        </is>
      </c>
      <c r="E9194" t="inlineStr">
        <is>
          <t>ARVIKA</t>
        </is>
      </c>
      <c r="G9194" t="n">
        <v>2.7</v>
      </c>
      <c r="H9194" t="n">
        <v>0</v>
      </c>
      <c r="I9194" t="n">
        <v>0</v>
      </c>
      <c r="J9194" t="n">
        <v>0</v>
      </c>
      <c r="K9194" t="n">
        <v>0</v>
      </c>
      <c r="L9194" t="n">
        <v>0</v>
      </c>
      <c r="M9194" t="n">
        <v>0</v>
      </c>
      <c r="N9194" t="n">
        <v>0</v>
      </c>
      <c r="O9194" t="n">
        <v>0</v>
      </c>
      <c r="P9194" t="n">
        <v>0</v>
      </c>
      <c r="Q9194" t="n">
        <v>0</v>
      </c>
      <c r="R9194" s="2" t="inlineStr"/>
    </row>
    <row r="9195" ht="15" customHeight="1">
      <c r="A9195" t="inlineStr">
        <is>
          <t>A 10644-2023</t>
        </is>
      </c>
      <c r="B9195" s="1" t="n">
        <v>44988</v>
      </c>
      <c r="C9195" s="1" t="n">
        <v>45810</v>
      </c>
      <c r="D9195" t="inlineStr">
        <is>
          <t>VÄRMLANDS LÄN</t>
        </is>
      </c>
      <c r="E9195" t="inlineStr">
        <is>
          <t>EDA</t>
        </is>
      </c>
      <c r="F9195" t="inlineStr">
        <is>
          <t>Bergvik skog väst AB</t>
        </is>
      </c>
      <c r="G9195" t="n">
        <v>2.5</v>
      </c>
      <c r="H9195" t="n">
        <v>0</v>
      </c>
      <c r="I9195" t="n">
        <v>0</v>
      </c>
      <c r="J9195" t="n">
        <v>0</v>
      </c>
      <c r="K9195" t="n">
        <v>0</v>
      </c>
      <c r="L9195" t="n">
        <v>0</v>
      </c>
      <c r="M9195" t="n">
        <v>0</v>
      </c>
      <c r="N9195" t="n">
        <v>0</v>
      </c>
      <c r="O9195" t="n">
        <v>0</v>
      </c>
      <c r="P9195" t="n">
        <v>0</v>
      </c>
      <c r="Q9195" t="n">
        <v>0</v>
      </c>
      <c r="R9195" s="2" t="inlineStr"/>
    </row>
    <row r="9196" ht="15" customHeight="1">
      <c r="A9196" t="inlineStr">
        <is>
          <t>A 10666-2023</t>
        </is>
      </c>
      <c r="B9196" s="1" t="n">
        <v>44988</v>
      </c>
      <c r="C9196" s="1" t="n">
        <v>45810</v>
      </c>
      <c r="D9196" t="inlineStr">
        <is>
          <t>VÄRMLANDS LÄN</t>
        </is>
      </c>
      <c r="E9196" t="inlineStr">
        <is>
          <t>TORSBY</t>
        </is>
      </c>
      <c r="G9196" t="n">
        <v>7.8</v>
      </c>
      <c r="H9196" t="n">
        <v>0</v>
      </c>
      <c r="I9196" t="n">
        <v>0</v>
      </c>
      <c r="J9196" t="n">
        <v>0</v>
      </c>
      <c r="K9196" t="n">
        <v>0</v>
      </c>
      <c r="L9196" t="n">
        <v>0</v>
      </c>
      <c r="M9196" t="n">
        <v>0</v>
      </c>
      <c r="N9196" t="n">
        <v>0</v>
      </c>
      <c r="O9196" t="n">
        <v>0</v>
      </c>
      <c r="P9196" t="n">
        <v>0</v>
      </c>
      <c r="Q9196" t="n">
        <v>0</v>
      </c>
      <c r="R9196" s="2" t="inlineStr"/>
    </row>
    <row r="9197" ht="15" customHeight="1">
      <c r="A9197" t="inlineStr">
        <is>
          <t>A 10698-2023</t>
        </is>
      </c>
      <c r="B9197" s="1" t="n">
        <v>44988</v>
      </c>
      <c r="C9197" s="1" t="n">
        <v>45810</v>
      </c>
      <c r="D9197" t="inlineStr">
        <is>
          <t>VÄRMLANDS LÄN</t>
        </is>
      </c>
      <c r="E9197" t="inlineStr">
        <is>
          <t>TORSBY</t>
        </is>
      </c>
      <c r="G9197" t="n">
        <v>2</v>
      </c>
      <c r="H9197" t="n">
        <v>0</v>
      </c>
      <c r="I9197" t="n">
        <v>0</v>
      </c>
      <c r="J9197" t="n">
        <v>0</v>
      </c>
      <c r="K9197" t="n">
        <v>0</v>
      </c>
      <c r="L9197" t="n">
        <v>0</v>
      </c>
      <c r="M9197" t="n">
        <v>0</v>
      </c>
      <c r="N9197" t="n">
        <v>0</v>
      </c>
      <c r="O9197" t="n">
        <v>0</v>
      </c>
      <c r="P9197" t="n">
        <v>0</v>
      </c>
      <c r="Q9197" t="n">
        <v>0</v>
      </c>
      <c r="R9197" s="2" t="inlineStr"/>
    </row>
    <row r="9198" ht="15" customHeight="1">
      <c r="A9198" t="inlineStr">
        <is>
          <t>A 10703-2023</t>
        </is>
      </c>
      <c r="B9198" s="1" t="n">
        <v>44988</v>
      </c>
      <c r="C9198" s="1" t="n">
        <v>45810</v>
      </c>
      <c r="D9198" t="inlineStr">
        <is>
          <t>VÄRMLANDS LÄN</t>
        </is>
      </c>
      <c r="E9198" t="inlineStr">
        <is>
          <t>HAGFORS</t>
        </is>
      </c>
      <c r="F9198" t="inlineStr">
        <is>
          <t>Bergvik skog väst AB</t>
        </is>
      </c>
      <c r="G9198" t="n">
        <v>4.1</v>
      </c>
      <c r="H9198" t="n">
        <v>0</v>
      </c>
      <c r="I9198" t="n">
        <v>0</v>
      </c>
      <c r="J9198" t="n">
        <v>0</v>
      </c>
      <c r="K9198" t="n">
        <v>0</v>
      </c>
      <c r="L9198" t="n">
        <v>0</v>
      </c>
      <c r="M9198" t="n">
        <v>0</v>
      </c>
      <c r="N9198" t="n">
        <v>0</v>
      </c>
      <c r="O9198" t="n">
        <v>0</v>
      </c>
      <c r="P9198" t="n">
        <v>0</v>
      </c>
      <c r="Q9198" t="n">
        <v>0</v>
      </c>
      <c r="R9198" s="2" t="inlineStr"/>
    </row>
    <row r="9199" ht="15" customHeight="1">
      <c r="A9199" t="inlineStr">
        <is>
          <t>A 10715-2023</t>
        </is>
      </c>
      <c r="B9199" s="1" t="n">
        <v>44988</v>
      </c>
      <c r="C9199" s="1" t="n">
        <v>45810</v>
      </c>
      <c r="D9199" t="inlineStr">
        <is>
          <t>VÄRMLANDS LÄN</t>
        </is>
      </c>
      <c r="E9199" t="inlineStr">
        <is>
          <t>ARVIKA</t>
        </is>
      </c>
      <c r="G9199" t="n">
        <v>1.3</v>
      </c>
      <c r="H9199" t="n">
        <v>0</v>
      </c>
      <c r="I9199" t="n">
        <v>0</v>
      </c>
      <c r="J9199" t="n">
        <v>0</v>
      </c>
      <c r="K9199" t="n">
        <v>0</v>
      </c>
      <c r="L9199" t="n">
        <v>0</v>
      </c>
      <c r="M9199" t="n">
        <v>0</v>
      </c>
      <c r="N9199" t="n">
        <v>0</v>
      </c>
      <c r="O9199" t="n">
        <v>0</v>
      </c>
      <c r="P9199" t="n">
        <v>0</v>
      </c>
      <c r="Q9199" t="n">
        <v>0</v>
      </c>
      <c r="R9199" s="2" t="inlineStr"/>
    </row>
    <row r="9200" ht="15" customHeight="1">
      <c r="A9200" t="inlineStr">
        <is>
          <t>A 10752-2023</t>
        </is>
      </c>
      <c r="B9200" s="1" t="n">
        <v>44988</v>
      </c>
      <c r="C9200" s="1" t="n">
        <v>45810</v>
      </c>
      <c r="D9200" t="inlineStr">
        <is>
          <t>VÄRMLANDS LÄN</t>
        </is>
      </c>
      <c r="E9200" t="inlineStr">
        <is>
          <t>SÄFFLE</t>
        </is>
      </c>
      <c r="G9200" t="n">
        <v>0.7</v>
      </c>
      <c r="H9200" t="n">
        <v>0</v>
      </c>
      <c r="I9200" t="n">
        <v>0</v>
      </c>
      <c r="J9200" t="n">
        <v>0</v>
      </c>
      <c r="K9200" t="n">
        <v>0</v>
      </c>
      <c r="L9200" t="n">
        <v>0</v>
      </c>
      <c r="M9200" t="n">
        <v>0</v>
      </c>
      <c r="N9200" t="n">
        <v>0</v>
      </c>
      <c r="O9200" t="n">
        <v>0</v>
      </c>
      <c r="P9200" t="n">
        <v>0</v>
      </c>
      <c r="Q9200" t="n">
        <v>0</v>
      </c>
      <c r="R9200" s="2" t="inlineStr"/>
    </row>
    <row r="9201" ht="15" customHeight="1">
      <c r="A9201" t="inlineStr">
        <is>
          <t>A 10813-2023</t>
        </is>
      </c>
      <c r="B9201" s="1" t="n">
        <v>44990</v>
      </c>
      <c r="C9201" s="1" t="n">
        <v>45810</v>
      </c>
      <c r="D9201" t="inlineStr">
        <is>
          <t>VÄRMLANDS LÄN</t>
        </is>
      </c>
      <c r="E9201" t="inlineStr">
        <is>
          <t>ARVIKA</t>
        </is>
      </c>
      <c r="G9201" t="n">
        <v>0.6</v>
      </c>
      <c r="H9201" t="n">
        <v>0</v>
      </c>
      <c r="I9201" t="n">
        <v>0</v>
      </c>
      <c r="J9201" t="n">
        <v>0</v>
      </c>
      <c r="K9201" t="n">
        <v>0</v>
      </c>
      <c r="L9201" t="n">
        <v>0</v>
      </c>
      <c r="M9201" t="n">
        <v>0</v>
      </c>
      <c r="N9201" t="n">
        <v>0</v>
      </c>
      <c r="O9201" t="n">
        <v>0</v>
      </c>
      <c r="P9201" t="n">
        <v>0</v>
      </c>
      <c r="Q9201" t="n">
        <v>0</v>
      </c>
      <c r="R9201" s="2" t="inlineStr"/>
    </row>
    <row r="9202" ht="15" customHeight="1">
      <c r="A9202" t="inlineStr">
        <is>
          <t>A 10872-2023</t>
        </is>
      </c>
      <c r="B9202" s="1" t="n">
        <v>44991</v>
      </c>
      <c r="C9202" s="1" t="n">
        <v>45810</v>
      </c>
      <c r="D9202" t="inlineStr">
        <is>
          <t>VÄRMLANDS LÄN</t>
        </is>
      </c>
      <c r="E9202" t="inlineStr">
        <is>
          <t>ÅRJÄNG</t>
        </is>
      </c>
      <c r="G9202" t="n">
        <v>2.8</v>
      </c>
      <c r="H9202" t="n">
        <v>0</v>
      </c>
      <c r="I9202" t="n">
        <v>0</v>
      </c>
      <c r="J9202" t="n">
        <v>0</v>
      </c>
      <c r="K9202" t="n">
        <v>0</v>
      </c>
      <c r="L9202" t="n">
        <v>0</v>
      </c>
      <c r="M9202" t="n">
        <v>0</v>
      </c>
      <c r="N9202" t="n">
        <v>0</v>
      </c>
      <c r="O9202" t="n">
        <v>0</v>
      </c>
      <c r="P9202" t="n">
        <v>0</v>
      </c>
      <c r="Q9202" t="n">
        <v>0</v>
      </c>
      <c r="R9202" s="2" t="inlineStr"/>
    </row>
    <row r="9203" ht="15" customHeight="1">
      <c r="A9203" t="inlineStr">
        <is>
          <t>A 10910-2023</t>
        </is>
      </c>
      <c r="B9203" s="1" t="n">
        <v>44991</v>
      </c>
      <c r="C9203" s="1" t="n">
        <v>45810</v>
      </c>
      <c r="D9203" t="inlineStr">
        <is>
          <t>VÄRMLANDS LÄN</t>
        </is>
      </c>
      <c r="E9203" t="inlineStr">
        <is>
          <t>KIL</t>
        </is>
      </c>
      <c r="G9203" t="n">
        <v>1.6</v>
      </c>
      <c r="H9203" t="n">
        <v>0</v>
      </c>
      <c r="I9203" t="n">
        <v>0</v>
      </c>
      <c r="J9203" t="n">
        <v>0</v>
      </c>
      <c r="K9203" t="n">
        <v>0</v>
      </c>
      <c r="L9203" t="n">
        <v>0</v>
      </c>
      <c r="M9203" t="n">
        <v>0</v>
      </c>
      <c r="N9203" t="n">
        <v>0</v>
      </c>
      <c r="O9203" t="n">
        <v>0</v>
      </c>
      <c r="P9203" t="n">
        <v>0</v>
      </c>
      <c r="Q9203" t="n">
        <v>0</v>
      </c>
      <c r="R9203" s="2" t="inlineStr"/>
    </row>
    <row r="9204" ht="15" customHeight="1">
      <c r="A9204" t="inlineStr">
        <is>
          <t>A 10961-2023</t>
        </is>
      </c>
      <c r="B9204" s="1" t="n">
        <v>44991</v>
      </c>
      <c r="C9204" s="1" t="n">
        <v>45810</v>
      </c>
      <c r="D9204" t="inlineStr">
        <is>
          <t>VÄRMLANDS LÄN</t>
        </is>
      </c>
      <c r="E9204" t="inlineStr">
        <is>
          <t>ARVIKA</t>
        </is>
      </c>
      <c r="G9204" t="n">
        <v>1.1</v>
      </c>
      <c r="H9204" t="n">
        <v>0</v>
      </c>
      <c r="I9204" t="n">
        <v>0</v>
      </c>
      <c r="J9204" t="n">
        <v>0</v>
      </c>
      <c r="K9204" t="n">
        <v>0</v>
      </c>
      <c r="L9204" t="n">
        <v>0</v>
      </c>
      <c r="M9204" t="n">
        <v>0</v>
      </c>
      <c r="N9204" t="n">
        <v>0</v>
      </c>
      <c r="O9204" t="n">
        <v>0</v>
      </c>
      <c r="P9204" t="n">
        <v>0</v>
      </c>
      <c r="Q9204" t="n">
        <v>0</v>
      </c>
      <c r="R9204" s="2" t="inlineStr"/>
    </row>
    <row r="9205" ht="15" customHeight="1">
      <c r="A9205" t="inlineStr">
        <is>
          <t>A 10845-2023</t>
        </is>
      </c>
      <c r="B9205" s="1" t="n">
        <v>44991</v>
      </c>
      <c r="C9205" s="1" t="n">
        <v>45810</v>
      </c>
      <c r="D9205" t="inlineStr">
        <is>
          <t>VÄRMLANDS LÄN</t>
        </is>
      </c>
      <c r="E9205" t="inlineStr">
        <is>
          <t>ARVIKA</t>
        </is>
      </c>
      <c r="F9205" t="inlineStr">
        <is>
          <t>Bergvik skog väst AB</t>
        </is>
      </c>
      <c r="G9205" t="n">
        <v>0.7</v>
      </c>
      <c r="H9205" t="n">
        <v>0</v>
      </c>
      <c r="I9205" t="n">
        <v>0</v>
      </c>
      <c r="J9205" t="n">
        <v>0</v>
      </c>
      <c r="K9205" t="n">
        <v>0</v>
      </c>
      <c r="L9205" t="n">
        <v>0</v>
      </c>
      <c r="M9205" t="n">
        <v>0</v>
      </c>
      <c r="N9205" t="n">
        <v>0</v>
      </c>
      <c r="O9205" t="n">
        <v>0</v>
      </c>
      <c r="P9205" t="n">
        <v>0</v>
      </c>
      <c r="Q9205" t="n">
        <v>0</v>
      </c>
      <c r="R9205" s="2" t="inlineStr"/>
    </row>
    <row r="9206" ht="15" customHeight="1">
      <c r="A9206" t="inlineStr">
        <is>
          <t>A 11026-2023</t>
        </is>
      </c>
      <c r="B9206" s="1" t="n">
        <v>44991</v>
      </c>
      <c r="C9206" s="1" t="n">
        <v>45810</v>
      </c>
      <c r="D9206" t="inlineStr">
        <is>
          <t>VÄRMLANDS LÄN</t>
        </is>
      </c>
      <c r="E9206" t="inlineStr">
        <is>
          <t>ÅRJÄNG</t>
        </is>
      </c>
      <c r="G9206" t="n">
        <v>1.3</v>
      </c>
      <c r="H9206" t="n">
        <v>0</v>
      </c>
      <c r="I9206" t="n">
        <v>0</v>
      </c>
      <c r="J9206" t="n">
        <v>0</v>
      </c>
      <c r="K9206" t="n">
        <v>0</v>
      </c>
      <c r="L9206" t="n">
        <v>0</v>
      </c>
      <c r="M9206" t="n">
        <v>0</v>
      </c>
      <c r="N9206" t="n">
        <v>0</v>
      </c>
      <c r="O9206" t="n">
        <v>0</v>
      </c>
      <c r="P9206" t="n">
        <v>0</v>
      </c>
      <c r="Q9206" t="n">
        <v>0</v>
      </c>
      <c r="R9206" s="2" t="inlineStr"/>
    </row>
    <row r="9207" ht="15" customHeight="1">
      <c r="A9207" t="inlineStr">
        <is>
          <t>A 10902-2023</t>
        </is>
      </c>
      <c r="B9207" s="1" t="n">
        <v>44991</v>
      </c>
      <c r="C9207" s="1" t="n">
        <v>45810</v>
      </c>
      <c r="D9207" t="inlineStr">
        <is>
          <t>VÄRMLANDS LÄN</t>
        </is>
      </c>
      <c r="E9207" t="inlineStr">
        <is>
          <t>EDA</t>
        </is>
      </c>
      <c r="F9207" t="inlineStr">
        <is>
          <t>Bergvik skog väst AB</t>
        </is>
      </c>
      <c r="G9207" t="n">
        <v>0.6</v>
      </c>
      <c r="H9207" t="n">
        <v>0</v>
      </c>
      <c r="I9207" t="n">
        <v>0</v>
      </c>
      <c r="J9207" t="n">
        <v>0</v>
      </c>
      <c r="K9207" t="n">
        <v>0</v>
      </c>
      <c r="L9207" t="n">
        <v>0</v>
      </c>
      <c r="M9207" t="n">
        <v>0</v>
      </c>
      <c r="N9207" t="n">
        <v>0</v>
      </c>
      <c r="O9207" t="n">
        <v>0</v>
      </c>
      <c r="P9207" t="n">
        <v>0</v>
      </c>
      <c r="Q9207" t="n">
        <v>0</v>
      </c>
      <c r="R9207" s="2" t="inlineStr"/>
    </row>
    <row r="9208" ht="15" customHeight="1">
      <c r="A9208" t="inlineStr">
        <is>
          <t>A 10847-2023</t>
        </is>
      </c>
      <c r="B9208" s="1" t="n">
        <v>44991</v>
      </c>
      <c r="C9208" s="1" t="n">
        <v>45810</v>
      </c>
      <c r="D9208" t="inlineStr">
        <is>
          <t>VÄRMLANDS LÄN</t>
        </is>
      </c>
      <c r="E9208" t="inlineStr">
        <is>
          <t>HAGFORS</t>
        </is>
      </c>
      <c r="G9208" t="n">
        <v>0.7</v>
      </c>
      <c r="H9208" t="n">
        <v>0</v>
      </c>
      <c r="I9208" t="n">
        <v>0</v>
      </c>
      <c r="J9208" t="n">
        <v>0</v>
      </c>
      <c r="K9208" t="n">
        <v>0</v>
      </c>
      <c r="L9208" t="n">
        <v>0</v>
      </c>
      <c r="M9208" t="n">
        <v>0</v>
      </c>
      <c r="N9208" t="n">
        <v>0</v>
      </c>
      <c r="O9208" t="n">
        <v>0</v>
      </c>
      <c r="P9208" t="n">
        <v>0</v>
      </c>
      <c r="Q9208" t="n">
        <v>0</v>
      </c>
      <c r="R9208" s="2" t="inlineStr"/>
    </row>
    <row r="9209" ht="15" customHeight="1">
      <c r="A9209" t="inlineStr">
        <is>
          <t>A 10873-2023</t>
        </is>
      </c>
      <c r="B9209" s="1" t="n">
        <v>44991</v>
      </c>
      <c r="C9209" s="1" t="n">
        <v>45810</v>
      </c>
      <c r="D9209" t="inlineStr">
        <is>
          <t>VÄRMLANDS LÄN</t>
        </is>
      </c>
      <c r="E9209" t="inlineStr">
        <is>
          <t>ÅRJÄNG</t>
        </is>
      </c>
      <c r="G9209" t="n">
        <v>2</v>
      </c>
      <c r="H9209" t="n">
        <v>0</v>
      </c>
      <c r="I9209" t="n">
        <v>0</v>
      </c>
      <c r="J9209" t="n">
        <v>0</v>
      </c>
      <c r="K9209" t="n">
        <v>0</v>
      </c>
      <c r="L9209" t="n">
        <v>0</v>
      </c>
      <c r="M9209" t="n">
        <v>0</v>
      </c>
      <c r="N9209" t="n">
        <v>0</v>
      </c>
      <c r="O9209" t="n">
        <v>0</v>
      </c>
      <c r="P9209" t="n">
        <v>0</v>
      </c>
      <c r="Q9209" t="n">
        <v>0</v>
      </c>
      <c r="R9209" s="2" t="inlineStr"/>
    </row>
    <row r="9210" ht="15" customHeight="1">
      <c r="A9210" t="inlineStr">
        <is>
          <t>A 10878-2023</t>
        </is>
      </c>
      <c r="B9210" s="1" t="n">
        <v>44991</v>
      </c>
      <c r="C9210" s="1" t="n">
        <v>45810</v>
      </c>
      <c r="D9210" t="inlineStr">
        <is>
          <t>VÄRMLANDS LÄN</t>
        </is>
      </c>
      <c r="E9210" t="inlineStr">
        <is>
          <t>EDA</t>
        </is>
      </c>
      <c r="G9210" t="n">
        <v>1.5</v>
      </c>
      <c r="H9210" t="n">
        <v>0</v>
      </c>
      <c r="I9210" t="n">
        <v>0</v>
      </c>
      <c r="J9210" t="n">
        <v>0</v>
      </c>
      <c r="K9210" t="n">
        <v>0</v>
      </c>
      <c r="L9210" t="n">
        <v>0</v>
      </c>
      <c r="M9210" t="n">
        <v>0</v>
      </c>
      <c r="N9210" t="n">
        <v>0</v>
      </c>
      <c r="O9210" t="n">
        <v>0</v>
      </c>
      <c r="P9210" t="n">
        <v>0</v>
      </c>
      <c r="Q9210" t="n">
        <v>0</v>
      </c>
      <c r="R9210" s="2" t="inlineStr"/>
    </row>
    <row r="9211" ht="15" customHeight="1">
      <c r="A9211" t="inlineStr">
        <is>
          <t>A 10900-2023</t>
        </is>
      </c>
      <c r="B9211" s="1" t="n">
        <v>44991</v>
      </c>
      <c r="C9211" s="1" t="n">
        <v>45810</v>
      </c>
      <c r="D9211" t="inlineStr">
        <is>
          <t>VÄRMLANDS LÄN</t>
        </is>
      </c>
      <c r="E9211" t="inlineStr">
        <is>
          <t>KRISTINEHAMN</t>
        </is>
      </c>
      <c r="G9211" t="n">
        <v>2.1</v>
      </c>
      <c r="H9211" t="n">
        <v>0</v>
      </c>
      <c r="I9211" t="n">
        <v>0</v>
      </c>
      <c r="J9211" t="n">
        <v>0</v>
      </c>
      <c r="K9211" t="n">
        <v>0</v>
      </c>
      <c r="L9211" t="n">
        <v>0</v>
      </c>
      <c r="M9211" t="n">
        <v>0</v>
      </c>
      <c r="N9211" t="n">
        <v>0</v>
      </c>
      <c r="O9211" t="n">
        <v>0</v>
      </c>
      <c r="P9211" t="n">
        <v>0</v>
      </c>
      <c r="Q9211" t="n">
        <v>0</v>
      </c>
      <c r="R9211" s="2" t="inlineStr"/>
    </row>
    <row r="9212" ht="15" customHeight="1">
      <c r="A9212" t="inlineStr">
        <is>
          <t>A 10964-2023</t>
        </is>
      </c>
      <c r="B9212" s="1" t="n">
        <v>44991</v>
      </c>
      <c r="C9212" s="1" t="n">
        <v>45810</v>
      </c>
      <c r="D9212" t="inlineStr">
        <is>
          <t>VÄRMLANDS LÄN</t>
        </is>
      </c>
      <c r="E9212" t="inlineStr">
        <is>
          <t>FORSHAGA</t>
        </is>
      </c>
      <c r="G9212" t="n">
        <v>1</v>
      </c>
      <c r="H9212" t="n">
        <v>0</v>
      </c>
      <c r="I9212" t="n">
        <v>0</v>
      </c>
      <c r="J9212" t="n">
        <v>0</v>
      </c>
      <c r="K9212" t="n">
        <v>0</v>
      </c>
      <c r="L9212" t="n">
        <v>0</v>
      </c>
      <c r="M9212" t="n">
        <v>0</v>
      </c>
      <c r="N9212" t="n">
        <v>0</v>
      </c>
      <c r="O9212" t="n">
        <v>0</v>
      </c>
      <c r="P9212" t="n">
        <v>0</v>
      </c>
      <c r="Q9212" t="n">
        <v>0</v>
      </c>
      <c r="R9212" s="2" t="inlineStr"/>
    </row>
    <row r="9213" ht="15" customHeight="1">
      <c r="A9213" t="inlineStr">
        <is>
          <t>A 10975-2023</t>
        </is>
      </c>
      <c r="B9213" s="1" t="n">
        <v>44991</v>
      </c>
      <c r="C9213" s="1" t="n">
        <v>45810</v>
      </c>
      <c r="D9213" t="inlineStr">
        <is>
          <t>VÄRMLANDS LÄN</t>
        </is>
      </c>
      <c r="E9213" t="inlineStr">
        <is>
          <t>STORFORS</t>
        </is>
      </c>
      <c r="F9213" t="inlineStr">
        <is>
          <t>Bergvik skog väst AB</t>
        </is>
      </c>
      <c r="G9213" t="n">
        <v>23.1</v>
      </c>
      <c r="H9213" t="n">
        <v>0</v>
      </c>
      <c r="I9213" t="n">
        <v>0</v>
      </c>
      <c r="J9213" t="n">
        <v>0</v>
      </c>
      <c r="K9213" t="n">
        <v>0</v>
      </c>
      <c r="L9213" t="n">
        <v>0</v>
      </c>
      <c r="M9213" t="n">
        <v>0</v>
      </c>
      <c r="N9213" t="n">
        <v>0</v>
      </c>
      <c r="O9213" t="n">
        <v>0</v>
      </c>
      <c r="P9213" t="n">
        <v>0</v>
      </c>
      <c r="Q9213" t="n">
        <v>0</v>
      </c>
      <c r="R9213" s="2" t="inlineStr"/>
    </row>
    <row r="9214" ht="15" customHeight="1">
      <c r="A9214" t="inlineStr">
        <is>
          <t>A 11020-2023</t>
        </is>
      </c>
      <c r="B9214" s="1" t="n">
        <v>44991</v>
      </c>
      <c r="C9214" s="1" t="n">
        <v>45810</v>
      </c>
      <c r="D9214" t="inlineStr">
        <is>
          <t>VÄRMLANDS LÄN</t>
        </is>
      </c>
      <c r="E9214" t="inlineStr">
        <is>
          <t>KRISTINEHAMN</t>
        </is>
      </c>
      <c r="G9214" t="n">
        <v>1.9</v>
      </c>
      <c r="H9214" t="n">
        <v>0</v>
      </c>
      <c r="I9214" t="n">
        <v>0</v>
      </c>
      <c r="J9214" t="n">
        <v>0</v>
      </c>
      <c r="K9214" t="n">
        <v>0</v>
      </c>
      <c r="L9214" t="n">
        <v>0</v>
      </c>
      <c r="M9214" t="n">
        <v>0</v>
      </c>
      <c r="N9214" t="n">
        <v>0</v>
      </c>
      <c r="O9214" t="n">
        <v>0</v>
      </c>
      <c r="P9214" t="n">
        <v>0</v>
      </c>
      <c r="Q9214" t="n">
        <v>0</v>
      </c>
      <c r="R9214" s="2" t="inlineStr"/>
    </row>
    <row r="9215" ht="15" customHeight="1">
      <c r="A9215" t="inlineStr">
        <is>
          <t>A 11013-2023</t>
        </is>
      </c>
      <c r="B9215" s="1" t="n">
        <v>44991</v>
      </c>
      <c r="C9215" s="1" t="n">
        <v>45810</v>
      </c>
      <c r="D9215" t="inlineStr">
        <is>
          <t>VÄRMLANDS LÄN</t>
        </is>
      </c>
      <c r="E9215" t="inlineStr">
        <is>
          <t>HAGFORS</t>
        </is>
      </c>
      <c r="G9215" t="n">
        <v>5.1</v>
      </c>
      <c r="H9215" t="n">
        <v>0</v>
      </c>
      <c r="I9215" t="n">
        <v>0</v>
      </c>
      <c r="J9215" t="n">
        <v>0</v>
      </c>
      <c r="K9215" t="n">
        <v>0</v>
      </c>
      <c r="L9215" t="n">
        <v>0</v>
      </c>
      <c r="M9215" t="n">
        <v>0</v>
      </c>
      <c r="N9215" t="n">
        <v>0</v>
      </c>
      <c r="O9215" t="n">
        <v>0</v>
      </c>
      <c r="P9215" t="n">
        <v>0</v>
      </c>
      <c r="Q9215" t="n">
        <v>0</v>
      </c>
      <c r="R9215" s="2" t="inlineStr"/>
    </row>
    <row r="9216" ht="15" customHeight="1">
      <c r="A9216" t="inlineStr">
        <is>
          <t>A 10960-2023</t>
        </is>
      </c>
      <c r="B9216" s="1" t="n">
        <v>44991</v>
      </c>
      <c r="C9216" s="1" t="n">
        <v>45810</v>
      </c>
      <c r="D9216" t="inlineStr">
        <is>
          <t>VÄRMLANDS LÄN</t>
        </is>
      </c>
      <c r="E9216" t="inlineStr">
        <is>
          <t>FORSHAGA</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11091-2023</t>
        </is>
      </c>
      <c r="B9217" s="1" t="n">
        <v>44992</v>
      </c>
      <c r="C9217" s="1" t="n">
        <v>45810</v>
      </c>
      <c r="D9217" t="inlineStr">
        <is>
          <t>VÄRMLANDS LÄN</t>
        </is>
      </c>
      <c r="E9217" t="inlineStr">
        <is>
          <t>ARVIKA</t>
        </is>
      </c>
      <c r="G9217" t="n">
        <v>9.800000000000001</v>
      </c>
      <c r="H9217" t="n">
        <v>0</v>
      </c>
      <c r="I9217" t="n">
        <v>0</v>
      </c>
      <c r="J9217" t="n">
        <v>0</v>
      </c>
      <c r="K9217" t="n">
        <v>0</v>
      </c>
      <c r="L9217" t="n">
        <v>0</v>
      </c>
      <c r="M9217" t="n">
        <v>0</v>
      </c>
      <c r="N9217" t="n">
        <v>0</v>
      </c>
      <c r="O9217" t="n">
        <v>0</v>
      </c>
      <c r="P9217" t="n">
        <v>0</v>
      </c>
      <c r="Q9217" t="n">
        <v>0</v>
      </c>
      <c r="R9217" s="2" t="inlineStr"/>
    </row>
    <row r="9218" ht="15" customHeight="1">
      <c r="A9218" t="inlineStr">
        <is>
          <t>A 11129-2023</t>
        </is>
      </c>
      <c r="B9218" s="1" t="n">
        <v>44992</v>
      </c>
      <c r="C9218" s="1" t="n">
        <v>45810</v>
      </c>
      <c r="D9218" t="inlineStr">
        <is>
          <t>VÄRMLANDS LÄN</t>
        </is>
      </c>
      <c r="E9218" t="inlineStr">
        <is>
          <t>FILIPSTAD</t>
        </is>
      </c>
      <c r="F9218" t="inlineStr">
        <is>
          <t>Bergvik skog väst AB</t>
        </is>
      </c>
      <c r="G9218" t="n">
        <v>29</v>
      </c>
      <c r="H9218" t="n">
        <v>0</v>
      </c>
      <c r="I9218" t="n">
        <v>0</v>
      </c>
      <c r="J9218" t="n">
        <v>0</v>
      </c>
      <c r="K9218" t="n">
        <v>0</v>
      </c>
      <c r="L9218" t="n">
        <v>0</v>
      </c>
      <c r="M9218" t="n">
        <v>0</v>
      </c>
      <c r="N9218" t="n">
        <v>0</v>
      </c>
      <c r="O9218" t="n">
        <v>0</v>
      </c>
      <c r="P9218" t="n">
        <v>0</v>
      </c>
      <c r="Q9218" t="n">
        <v>0</v>
      </c>
      <c r="R9218" s="2" t="inlineStr"/>
    </row>
    <row r="9219" ht="15" customHeight="1">
      <c r="A9219" t="inlineStr">
        <is>
          <t>A 11174-2023</t>
        </is>
      </c>
      <c r="B9219" s="1" t="n">
        <v>44992</v>
      </c>
      <c r="C9219" s="1" t="n">
        <v>45810</v>
      </c>
      <c r="D9219" t="inlineStr">
        <is>
          <t>VÄRMLANDS LÄN</t>
        </is>
      </c>
      <c r="E9219" t="inlineStr">
        <is>
          <t>ARVIKA</t>
        </is>
      </c>
      <c r="G9219" t="n">
        <v>1</v>
      </c>
      <c r="H9219" t="n">
        <v>0</v>
      </c>
      <c r="I9219" t="n">
        <v>0</v>
      </c>
      <c r="J9219" t="n">
        <v>0</v>
      </c>
      <c r="K9219" t="n">
        <v>0</v>
      </c>
      <c r="L9219" t="n">
        <v>0</v>
      </c>
      <c r="M9219" t="n">
        <v>0</v>
      </c>
      <c r="N9219" t="n">
        <v>0</v>
      </c>
      <c r="O9219" t="n">
        <v>0</v>
      </c>
      <c r="P9219" t="n">
        <v>0</v>
      </c>
      <c r="Q9219" t="n">
        <v>0</v>
      </c>
      <c r="R9219" s="2" t="inlineStr"/>
    </row>
    <row r="9220" ht="15" customHeight="1">
      <c r="A9220" t="inlineStr">
        <is>
          <t>A 11184-2023</t>
        </is>
      </c>
      <c r="B9220" s="1" t="n">
        <v>44992</v>
      </c>
      <c r="C9220" s="1" t="n">
        <v>45810</v>
      </c>
      <c r="D9220" t="inlineStr">
        <is>
          <t>VÄRMLANDS LÄN</t>
        </is>
      </c>
      <c r="E9220" t="inlineStr">
        <is>
          <t>KRISTINEHAMN</t>
        </is>
      </c>
      <c r="G9220" t="n">
        <v>3.2</v>
      </c>
      <c r="H9220" t="n">
        <v>0</v>
      </c>
      <c r="I9220" t="n">
        <v>0</v>
      </c>
      <c r="J9220" t="n">
        <v>0</v>
      </c>
      <c r="K9220" t="n">
        <v>0</v>
      </c>
      <c r="L9220" t="n">
        <v>0</v>
      </c>
      <c r="M9220" t="n">
        <v>0</v>
      </c>
      <c r="N9220" t="n">
        <v>0</v>
      </c>
      <c r="O9220" t="n">
        <v>0</v>
      </c>
      <c r="P9220" t="n">
        <v>0</v>
      </c>
      <c r="Q9220" t="n">
        <v>0</v>
      </c>
      <c r="R9220" s="2" t="inlineStr"/>
    </row>
    <row r="9221" ht="15" customHeight="1">
      <c r="A9221" t="inlineStr">
        <is>
          <t>A 11610-2023</t>
        </is>
      </c>
      <c r="B9221" s="1" t="n">
        <v>44992</v>
      </c>
      <c r="C9221" s="1" t="n">
        <v>45810</v>
      </c>
      <c r="D9221" t="inlineStr">
        <is>
          <t>VÄRMLANDS LÄN</t>
        </is>
      </c>
      <c r="E9221" t="inlineStr">
        <is>
          <t>ÅRJÄNG</t>
        </is>
      </c>
      <c r="F9221" t="inlineStr">
        <is>
          <t>Övriga Aktiebolag</t>
        </is>
      </c>
      <c r="G9221" t="n">
        <v>3.2</v>
      </c>
      <c r="H9221" t="n">
        <v>0</v>
      </c>
      <c r="I9221" t="n">
        <v>0</v>
      </c>
      <c r="J9221" t="n">
        <v>0</v>
      </c>
      <c r="K9221" t="n">
        <v>0</v>
      </c>
      <c r="L9221" t="n">
        <v>0</v>
      </c>
      <c r="M9221" t="n">
        <v>0</v>
      </c>
      <c r="N9221" t="n">
        <v>0</v>
      </c>
      <c r="O9221" t="n">
        <v>0</v>
      </c>
      <c r="P9221" t="n">
        <v>0</v>
      </c>
      <c r="Q9221" t="n">
        <v>0</v>
      </c>
      <c r="R9221" s="2" t="inlineStr"/>
    </row>
    <row r="9222" ht="15" customHeight="1">
      <c r="A9222" t="inlineStr">
        <is>
          <t>A 11364-2023</t>
        </is>
      </c>
      <c r="B9222" s="1" t="n">
        <v>44993</v>
      </c>
      <c r="C9222" s="1" t="n">
        <v>45810</v>
      </c>
      <c r="D9222" t="inlineStr">
        <is>
          <t>VÄRMLANDS LÄN</t>
        </is>
      </c>
      <c r="E9222" t="inlineStr">
        <is>
          <t>TORSBY</t>
        </is>
      </c>
      <c r="G9222" t="n">
        <v>31.9</v>
      </c>
      <c r="H9222" t="n">
        <v>0</v>
      </c>
      <c r="I9222" t="n">
        <v>0</v>
      </c>
      <c r="J9222" t="n">
        <v>0</v>
      </c>
      <c r="K9222" t="n">
        <v>0</v>
      </c>
      <c r="L9222" t="n">
        <v>0</v>
      </c>
      <c r="M9222" t="n">
        <v>0</v>
      </c>
      <c r="N9222" t="n">
        <v>0</v>
      </c>
      <c r="O9222" t="n">
        <v>0</v>
      </c>
      <c r="P9222" t="n">
        <v>0</v>
      </c>
      <c r="Q9222" t="n">
        <v>0</v>
      </c>
      <c r="R9222" s="2" t="inlineStr"/>
    </row>
    <row r="9223" ht="15" customHeight="1">
      <c r="A9223" t="inlineStr">
        <is>
          <t>A 11381-2023</t>
        </is>
      </c>
      <c r="B9223" s="1" t="n">
        <v>44993</v>
      </c>
      <c r="C9223" s="1" t="n">
        <v>45810</v>
      </c>
      <c r="D9223" t="inlineStr">
        <is>
          <t>VÄRMLANDS LÄN</t>
        </is>
      </c>
      <c r="E9223" t="inlineStr">
        <is>
          <t>SÄFFLE</t>
        </is>
      </c>
      <c r="G9223" t="n">
        <v>2.9</v>
      </c>
      <c r="H9223" t="n">
        <v>0</v>
      </c>
      <c r="I9223" t="n">
        <v>0</v>
      </c>
      <c r="J9223" t="n">
        <v>0</v>
      </c>
      <c r="K9223" t="n">
        <v>0</v>
      </c>
      <c r="L9223" t="n">
        <v>0</v>
      </c>
      <c r="M9223" t="n">
        <v>0</v>
      </c>
      <c r="N9223" t="n">
        <v>0</v>
      </c>
      <c r="O9223" t="n">
        <v>0</v>
      </c>
      <c r="P9223" t="n">
        <v>0</v>
      </c>
      <c r="Q9223" t="n">
        <v>0</v>
      </c>
      <c r="R9223" s="2" t="inlineStr"/>
    </row>
    <row r="9224" ht="15" customHeight="1">
      <c r="A9224" t="inlineStr">
        <is>
          <t>A 11365-2023</t>
        </is>
      </c>
      <c r="B9224" s="1" t="n">
        <v>44993</v>
      </c>
      <c r="C9224" s="1" t="n">
        <v>45810</v>
      </c>
      <c r="D9224" t="inlineStr">
        <is>
          <t>VÄRMLANDS LÄN</t>
        </is>
      </c>
      <c r="E9224" t="inlineStr">
        <is>
          <t>SÄFFLE</t>
        </is>
      </c>
      <c r="G9224" t="n">
        <v>1.7</v>
      </c>
      <c r="H9224" t="n">
        <v>0</v>
      </c>
      <c r="I9224" t="n">
        <v>0</v>
      </c>
      <c r="J9224" t="n">
        <v>0</v>
      </c>
      <c r="K9224" t="n">
        <v>0</v>
      </c>
      <c r="L9224" t="n">
        <v>0</v>
      </c>
      <c r="M9224" t="n">
        <v>0</v>
      </c>
      <c r="N9224" t="n">
        <v>0</v>
      </c>
      <c r="O9224" t="n">
        <v>0</v>
      </c>
      <c r="P9224" t="n">
        <v>0</v>
      </c>
      <c r="Q9224" t="n">
        <v>0</v>
      </c>
      <c r="R9224" s="2" t="inlineStr"/>
    </row>
    <row r="9225" ht="15" customHeight="1">
      <c r="A9225" t="inlineStr">
        <is>
          <t>A 11428-2023</t>
        </is>
      </c>
      <c r="B9225" s="1" t="n">
        <v>44993</v>
      </c>
      <c r="C9225" s="1" t="n">
        <v>45810</v>
      </c>
      <c r="D9225" t="inlineStr">
        <is>
          <t>VÄRMLANDS LÄN</t>
        </is>
      </c>
      <c r="E9225" t="inlineStr">
        <is>
          <t>SUNNE</t>
        </is>
      </c>
      <c r="G9225" t="n">
        <v>2.1</v>
      </c>
      <c r="H9225" t="n">
        <v>0</v>
      </c>
      <c r="I9225" t="n">
        <v>0</v>
      </c>
      <c r="J9225" t="n">
        <v>0</v>
      </c>
      <c r="K9225" t="n">
        <v>0</v>
      </c>
      <c r="L9225" t="n">
        <v>0</v>
      </c>
      <c r="M9225" t="n">
        <v>0</v>
      </c>
      <c r="N9225" t="n">
        <v>0</v>
      </c>
      <c r="O9225" t="n">
        <v>0</v>
      </c>
      <c r="P9225" t="n">
        <v>0</v>
      </c>
      <c r="Q9225" t="n">
        <v>0</v>
      </c>
      <c r="R9225" s="2" t="inlineStr"/>
    </row>
    <row r="9226" ht="15" customHeight="1">
      <c r="A9226" t="inlineStr">
        <is>
          <t>A 11368-2023</t>
        </is>
      </c>
      <c r="B9226" s="1" t="n">
        <v>44993</v>
      </c>
      <c r="C9226" s="1" t="n">
        <v>45810</v>
      </c>
      <c r="D9226" t="inlineStr">
        <is>
          <t>VÄRMLANDS LÄN</t>
        </is>
      </c>
      <c r="E9226" t="inlineStr">
        <is>
          <t>KIL</t>
        </is>
      </c>
      <c r="G9226" t="n">
        <v>11.9</v>
      </c>
      <c r="H9226" t="n">
        <v>0</v>
      </c>
      <c r="I9226" t="n">
        <v>0</v>
      </c>
      <c r="J9226" t="n">
        <v>0</v>
      </c>
      <c r="K9226" t="n">
        <v>0</v>
      </c>
      <c r="L9226" t="n">
        <v>0</v>
      </c>
      <c r="M9226" t="n">
        <v>0</v>
      </c>
      <c r="N9226" t="n">
        <v>0</v>
      </c>
      <c r="O9226" t="n">
        <v>0</v>
      </c>
      <c r="P9226" t="n">
        <v>0</v>
      </c>
      <c r="Q9226" t="n">
        <v>0</v>
      </c>
      <c r="R9226" s="2" t="inlineStr"/>
    </row>
    <row r="9227" ht="15" customHeight="1">
      <c r="A9227" t="inlineStr">
        <is>
          <t>A 11366-2023</t>
        </is>
      </c>
      <c r="B9227" s="1" t="n">
        <v>44993</v>
      </c>
      <c r="C9227" s="1" t="n">
        <v>45810</v>
      </c>
      <c r="D9227" t="inlineStr">
        <is>
          <t>VÄRMLANDS LÄN</t>
        </is>
      </c>
      <c r="E9227" t="inlineStr">
        <is>
          <t>TORSBY</t>
        </is>
      </c>
      <c r="G9227" t="n">
        <v>13</v>
      </c>
      <c r="H9227" t="n">
        <v>0</v>
      </c>
      <c r="I9227" t="n">
        <v>0</v>
      </c>
      <c r="J9227" t="n">
        <v>0</v>
      </c>
      <c r="K9227" t="n">
        <v>0</v>
      </c>
      <c r="L9227" t="n">
        <v>0</v>
      </c>
      <c r="M9227" t="n">
        <v>0</v>
      </c>
      <c r="N9227" t="n">
        <v>0</v>
      </c>
      <c r="O9227" t="n">
        <v>0</v>
      </c>
      <c r="P9227" t="n">
        <v>0</v>
      </c>
      <c r="Q9227" t="n">
        <v>0</v>
      </c>
      <c r="R9227" s="2" t="inlineStr"/>
    </row>
    <row r="9228" ht="15" customHeight="1">
      <c r="A9228" t="inlineStr">
        <is>
          <t>A 11378-2023</t>
        </is>
      </c>
      <c r="B9228" s="1" t="n">
        <v>44993</v>
      </c>
      <c r="C9228" s="1" t="n">
        <v>45810</v>
      </c>
      <c r="D9228" t="inlineStr">
        <is>
          <t>VÄRMLANDS LÄN</t>
        </is>
      </c>
      <c r="E9228" t="inlineStr">
        <is>
          <t>GRUMS</t>
        </is>
      </c>
      <c r="G9228" t="n">
        <v>2.3</v>
      </c>
      <c r="H9228" t="n">
        <v>0</v>
      </c>
      <c r="I9228" t="n">
        <v>0</v>
      </c>
      <c r="J9228" t="n">
        <v>0</v>
      </c>
      <c r="K9228" t="n">
        <v>0</v>
      </c>
      <c r="L9228" t="n">
        <v>0</v>
      </c>
      <c r="M9228" t="n">
        <v>0</v>
      </c>
      <c r="N9228" t="n">
        <v>0</v>
      </c>
      <c r="O9228" t="n">
        <v>0</v>
      </c>
      <c r="P9228" t="n">
        <v>0</v>
      </c>
      <c r="Q9228" t="n">
        <v>0</v>
      </c>
      <c r="R9228" s="2" t="inlineStr"/>
    </row>
    <row r="9229" ht="15" customHeight="1">
      <c r="A9229" t="inlineStr">
        <is>
          <t>A 11475-2023</t>
        </is>
      </c>
      <c r="B9229" s="1" t="n">
        <v>44993</v>
      </c>
      <c r="C9229" s="1" t="n">
        <v>45810</v>
      </c>
      <c r="D9229" t="inlineStr">
        <is>
          <t>VÄRMLANDS LÄN</t>
        </is>
      </c>
      <c r="E9229" t="inlineStr">
        <is>
          <t>SÄFFLE</t>
        </is>
      </c>
      <c r="G9229" t="n">
        <v>7.6</v>
      </c>
      <c r="H9229" t="n">
        <v>0</v>
      </c>
      <c r="I9229" t="n">
        <v>0</v>
      </c>
      <c r="J9229" t="n">
        <v>0</v>
      </c>
      <c r="K9229" t="n">
        <v>0</v>
      </c>
      <c r="L9229" t="n">
        <v>0</v>
      </c>
      <c r="M9229" t="n">
        <v>0</v>
      </c>
      <c r="N9229" t="n">
        <v>0</v>
      </c>
      <c r="O9229" t="n">
        <v>0</v>
      </c>
      <c r="P9229" t="n">
        <v>0</v>
      </c>
      <c r="Q9229" t="n">
        <v>0</v>
      </c>
      <c r="R9229" s="2" t="inlineStr"/>
    </row>
    <row r="9230" ht="15" customHeight="1">
      <c r="A9230" t="inlineStr">
        <is>
          <t>A 11793-2023</t>
        </is>
      </c>
      <c r="B9230" s="1" t="n">
        <v>44993</v>
      </c>
      <c r="C9230" s="1" t="n">
        <v>45810</v>
      </c>
      <c r="D9230" t="inlineStr">
        <is>
          <t>VÄRMLANDS LÄN</t>
        </is>
      </c>
      <c r="E9230" t="inlineStr">
        <is>
          <t>ÅRJÄNG</t>
        </is>
      </c>
      <c r="G9230" t="n">
        <v>1.7</v>
      </c>
      <c r="H9230" t="n">
        <v>0</v>
      </c>
      <c r="I9230" t="n">
        <v>0</v>
      </c>
      <c r="J9230" t="n">
        <v>0</v>
      </c>
      <c r="K9230" t="n">
        <v>0</v>
      </c>
      <c r="L9230" t="n">
        <v>0</v>
      </c>
      <c r="M9230" t="n">
        <v>0</v>
      </c>
      <c r="N9230" t="n">
        <v>0</v>
      </c>
      <c r="O9230" t="n">
        <v>0</v>
      </c>
      <c r="P9230" t="n">
        <v>0</v>
      </c>
      <c r="Q9230" t="n">
        <v>0</v>
      </c>
      <c r="R9230" s="2" t="inlineStr"/>
    </row>
    <row r="9231" ht="15" customHeight="1">
      <c r="A9231" t="inlineStr">
        <is>
          <t>A 11866-2023</t>
        </is>
      </c>
      <c r="B9231" s="1" t="n">
        <v>44993</v>
      </c>
      <c r="C9231" s="1" t="n">
        <v>45810</v>
      </c>
      <c r="D9231" t="inlineStr">
        <is>
          <t>VÄRMLANDS LÄN</t>
        </is>
      </c>
      <c r="E9231" t="inlineStr">
        <is>
          <t>FILIPSTAD</t>
        </is>
      </c>
      <c r="G9231" t="n">
        <v>4.5</v>
      </c>
      <c r="H9231" t="n">
        <v>0</v>
      </c>
      <c r="I9231" t="n">
        <v>0</v>
      </c>
      <c r="J9231" t="n">
        <v>0</v>
      </c>
      <c r="K9231" t="n">
        <v>0</v>
      </c>
      <c r="L9231" t="n">
        <v>0</v>
      </c>
      <c r="M9231" t="n">
        <v>0</v>
      </c>
      <c r="N9231" t="n">
        <v>0</v>
      </c>
      <c r="O9231" t="n">
        <v>0</v>
      </c>
      <c r="P9231" t="n">
        <v>0</v>
      </c>
      <c r="Q9231" t="n">
        <v>0</v>
      </c>
      <c r="R9231" s="2" t="inlineStr"/>
    </row>
    <row r="9232" ht="15" customHeight="1">
      <c r="A9232" t="inlineStr">
        <is>
          <t>A 11680-2023</t>
        </is>
      </c>
      <c r="B9232" s="1" t="n">
        <v>44994</v>
      </c>
      <c r="C9232" s="1" t="n">
        <v>45810</v>
      </c>
      <c r="D9232" t="inlineStr">
        <is>
          <t>VÄRMLANDS LÄN</t>
        </is>
      </c>
      <c r="E9232" t="inlineStr">
        <is>
          <t>FILIPSTAD</t>
        </is>
      </c>
      <c r="F9232" t="inlineStr">
        <is>
          <t>Bergvik skog väst AB</t>
        </is>
      </c>
      <c r="G9232" t="n">
        <v>3.2</v>
      </c>
      <c r="H9232" t="n">
        <v>0</v>
      </c>
      <c r="I9232" t="n">
        <v>0</v>
      </c>
      <c r="J9232" t="n">
        <v>0</v>
      </c>
      <c r="K9232" t="n">
        <v>0</v>
      </c>
      <c r="L9232" t="n">
        <v>0</v>
      </c>
      <c r="M9232" t="n">
        <v>0</v>
      </c>
      <c r="N9232" t="n">
        <v>0</v>
      </c>
      <c r="O9232" t="n">
        <v>0</v>
      </c>
      <c r="P9232" t="n">
        <v>0</v>
      </c>
      <c r="Q9232" t="n">
        <v>0</v>
      </c>
      <c r="R9232" s="2" t="inlineStr"/>
    </row>
    <row r="9233" ht="15" customHeight="1">
      <c r="A9233" t="inlineStr">
        <is>
          <t>A 11569-2023</t>
        </is>
      </c>
      <c r="B9233" s="1" t="n">
        <v>44994</v>
      </c>
      <c r="C9233" s="1" t="n">
        <v>45810</v>
      </c>
      <c r="D9233" t="inlineStr">
        <is>
          <t>VÄRMLANDS LÄN</t>
        </is>
      </c>
      <c r="E9233" t="inlineStr">
        <is>
          <t>ARVIKA</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11640-2023</t>
        </is>
      </c>
      <c r="B9234" s="1" t="n">
        <v>44994</v>
      </c>
      <c r="C9234" s="1" t="n">
        <v>45810</v>
      </c>
      <c r="D9234" t="inlineStr">
        <is>
          <t>VÄRMLANDS LÄN</t>
        </is>
      </c>
      <c r="E9234" t="inlineStr">
        <is>
          <t>SUNNE</t>
        </is>
      </c>
      <c r="G9234" t="n">
        <v>3.1</v>
      </c>
      <c r="H9234" t="n">
        <v>0</v>
      </c>
      <c r="I9234" t="n">
        <v>0</v>
      </c>
      <c r="J9234" t="n">
        <v>0</v>
      </c>
      <c r="K9234" t="n">
        <v>0</v>
      </c>
      <c r="L9234" t="n">
        <v>0</v>
      </c>
      <c r="M9234" t="n">
        <v>0</v>
      </c>
      <c r="N9234" t="n">
        <v>0</v>
      </c>
      <c r="O9234" t="n">
        <v>0</v>
      </c>
      <c r="P9234" t="n">
        <v>0</v>
      </c>
      <c r="Q9234" t="n">
        <v>0</v>
      </c>
      <c r="R9234" s="2" t="inlineStr"/>
    </row>
    <row r="9235" ht="15" customHeight="1">
      <c r="A9235" t="inlineStr">
        <is>
          <t>A 11684-2023</t>
        </is>
      </c>
      <c r="B9235" s="1" t="n">
        <v>44994</v>
      </c>
      <c r="C9235" s="1" t="n">
        <v>45810</v>
      </c>
      <c r="D9235" t="inlineStr">
        <is>
          <t>VÄRMLANDS LÄN</t>
        </is>
      </c>
      <c r="E9235" t="inlineStr">
        <is>
          <t>ARVIKA</t>
        </is>
      </c>
      <c r="F9235" t="inlineStr">
        <is>
          <t>Bergvik skog väst AB</t>
        </is>
      </c>
      <c r="G9235" t="n">
        <v>7.2</v>
      </c>
      <c r="H9235" t="n">
        <v>0</v>
      </c>
      <c r="I9235" t="n">
        <v>0</v>
      </c>
      <c r="J9235" t="n">
        <v>0</v>
      </c>
      <c r="K9235" t="n">
        <v>0</v>
      </c>
      <c r="L9235" t="n">
        <v>0</v>
      </c>
      <c r="M9235" t="n">
        <v>0</v>
      </c>
      <c r="N9235" t="n">
        <v>0</v>
      </c>
      <c r="O9235" t="n">
        <v>0</v>
      </c>
      <c r="P9235" t="n">
        <v>0</v>
      </c>
      <c r="Q9235" t="n">
        <v>0</v>
      </c>
      <c r="R9235" s="2" t="inlineStr"/>
    </row>
    <row r="9236" ht="15" customHeight="1">
      <c r="A9236" t="inlineStr">
        <is>
          <t>A 11713-2023</t>
        </is>
      </c>
      <c r="B9236" s="1" t="n">
        <v>44994</v>
      </c>
      <c r="C9236" s="1" t="n">
        <v>45810</v>
      </c>
      <c r="D9236" t="inlineStr">
        <is>
          <t>VÄRMLANDS LÄN</t>
        </is>
      </c>
      <c r="E9236" t="inlineStr">
        <is>
          <t>ARVIKA</t>
        </is>
      </c>
      <c r="G9236" t="n">
        <v>0.9</v>
      </c>
      <c r="H9236" t="n">
        <v>0</v>
      </c>
      <c r="I9236" t="n">
        <v>0</v>
      </c>
      <c r="J9236" t="n">
        <v>0</v>
      </c>
      <c r="K9236" t="n">
        <v>0</v>
      </c>
      <c r="L9236" t="n">
        <v>0</v>
      </c>
      <c r="M9236" t="n">
        <v>0</v>
      </c>
      <c r="N9236" t="n">
        <v>0</v>
      </c>
      <c r="O9236" t="n">
        <v>0</v>
      </c>
      <c r="P9236" t="n">
        <v>0</v>
      </c>
      <c r="Q9236" t="n">
        <v>0</v>
      </c>
      <c r="R9236" s="2" t="inlineStr"/>
    </row>
    <row r="9237" ht="15" customHeight="1">
      <c r="A9237" t="inlineStr">
        <is>
          <t>A 11616-2023</t>
        </is>
      </c>
      <c r="B9237" s="1" t="n">
        <v>44994</v>
      </c>
      <c r="C9237" s="1" t="n">
        <v>45810</v>
      </c>
      <c r="D9237" t="inlineStr">
        <is>
          <t>VÄRMLANDS LÄN</t>
        </is>
      </c>
      <c r="E9237" t="inlineStr">
        <is>
          <t>KARLSTAD</t>
        </is>
      </c>
      <c r="F9237" t="inlineStr">
        <is>
          <t>Kommuner</t>
        </is>
      </c>
      <c r="G9237" t="n">
        <v>2.6</v>
      </c>
      <c r="H9237" t="n">
        <v>0</v>
      </c>
      <c r="I9237" t="n">
        <v>0</v>
      </c>
      <c r="J9237" t="n">
        <v>0</v>
      </c>
      <c r="K9237" t="n">
        <v>0</v>
      </c>
      <c r="L9237" t="n">
        <v>0</v>
      </c>
      <c r="M9237" t="n">
        <v>0</v>
      </c>
      <c r="N9237" t="n">
        <v>0</v>
      </c>
      <c r="O9237" t="n">
        <v>0</v>
      </c>
      <c r="P9237" t="n">
        <v>0</v>
      </c>
      <c r="Q9237" t="n">
        <v>0</v>
      </c>
      <c r="R9237" s="2" t="inlineStr"/>
    </row>
    <row r="9238" ht="15" customHeight="1">
      <c r="A9238" t="inlineStr">
        <is>
          <t>A 11620-2023</t>
        </is>
      </c>
      <c r="B9238" s="1" t="n">
        <v>44994</v>
      </c>
      <c r="C9238" s="1" t="n">
        <v>45810</v>
      </c>
      <c r="D9238" t="inlineStr">
        <is>
          <t>VÄRMLANDS LÄN</t>
        </is>
      </c>
      <c r="E9238" t="inlineStr">
        <is>
          <t>KARLSTAD</t>
        </is>
      </c>
      <c r="F9238" t="inlineStr">
        <is>
          <t>Kommuner</t>
        </is>
      </c>
      <c r="G9238" t="n">
        <v>1.7</v>
      </c>
      <c r="H9238" t="n">
        <v>0</v>
      </c>
      <c r="I9238" t="n">
        <v>0</v>
      </c>
      <c r="J9238" t="n">
        <v>0</v>
      </c>
      <c r="K9238" t="n">
        <v>0</v>
      </c>
      <c r="L9238" t="n">
        <v>0</v>
      </c>
      <c r="M9238" t="n">
        <v>0</v>
      </c>
      <c r="N9238" t="n">
        <v>0</v>
      </c>
      <c r="O9238" t="n">
        <v>0</v>
      </c>
      <c r="P9238" t="n">
        <v>0</v>
      </c>
      <c r="Q9238" t="n">
        <v>0</v>
      </c>
      <c r="R9238" s="2" t="inlineStr"/>
    </row>
    <row r="9239" ht="15" customHeight="1">
      <c r="A9239" t="inlineStr">
        <is>
          <t>A 11626-2023</t>
        </is>
      </c>
      <c r="B9239" s="1" t="n">
        <v>44994</v>
      </c>
      <c r="C9239" s="1" t="n">
        <v>45810</v>
      </c>
      <c r="D9239" t="inlineStr">
        <is>
          <t>VÄRMLANDS LÄN</t>
        </is>
      </c>
      <c r="E9239" t="inlineStr">
        <is>
          <t>SÄFFLE</t>
        </is>
      </c>
      <c r="G9239" t="n">
        <v>1</v>
      </c>
      <c r="H9239" t="n">
        <v>0</v>
      </c>
      <c r="I9239" t="n">
        <v>0</v>
      </c>
      <c r="J9239" t="n">
        <v>0</v>
      </c>
      <c r="K9239" t="n">
        <v>0</v>
      </c>
      <c r="L9239" t="n">
        <v>0</v>
      </c>
      <c r="M9239" t="n">
        <v>0</v>
      </c>
      <c r="N9239" t="n">
        <v>0</v>
      </c>
      <c r="O9239" t="n">
        <v>0</v>
      </c>
      <c r="P9239" t="n">
        <v>0</v>
      </c>
      <c r="Q9239" t="n">
        <v>0</v>
      </c>
      <c r="R9239" s="2" t="inlineStr"/>
    </row>
    <row r="9240" ht="15" customHeight="1">
      <c r="A9240" t="inlineStr">
        <is>
          <t>A 11633-2023</t>
        </is>
      </c>
      <c r="B9240" s="1" t="n">
        <v>44994</v>
      </c>
      <c r="C9240" s="1" t="n">
        <v>45810</v>
      </c>
      <c r="D9240" t="inlineStr">
        <is>
          <t>VÄRMLANDS LÄN</t>
        </is>
      </c>
      <c r="E9240" t="inlineStr">
        <is>
          <t>SÄFFLE</t>
        </is>
      </c>
      <c r="G9240" t="n">
        <v>0.5</v>
      </c>
      <c r="H9240" t="n">
        <v>0</v>
      </c>
      <c r="I9240" t="n">
        <v>0</v>
      </c>
      <c r="J9240" t="n">
        <v>0</v>
      </c>
      <c r="K9240" t="n">
        <v>0</v>
      </c>
      <c r="L9240" t="n">
        <v>0</v>
      </c>
      <c r="M9240" t="n">
        <v>0</v>
      </c>
      <c r="N9240" t="n">
        <v>0</v>
      </c>
      <c r="O9240" t="n">
        <v>0</v>
      </c>
      <c r="P9240" t="n">
        <v>0</v>
      </c>
      <c r="Q9240" t="n">
        <v>0</v>
      </c>
      <c r="R9240" s="2" t="inlineStr"/>
    </row>
    <row r="9241" ht="15" customHeight="1">
      <c r="A9241" t="inlineStr">
        <is>
          <t>A 11617-2023</t>
        </is>
      </c>
      <c r="B9241" s="1" t="n">
        <v>44994</v>
      </c>
      <c r="C9241" s="1" t="n">
        <v>45810</v>
      </c>
      <c r="D9241" t="inlineStr">
        <is>
          <t>VÄRMLANDS LÄN</t>
        </is>
      </c>
      <c r="E9241" t="inlineStr">
        <is>
          <t>KARLSTAD</t>
        </is>
      </c>
      <c r="F9241" t="inlineStr">
        <is>
          <t>Kommuner</t>
        </is>
      </c>
      <c r="G9241" t="n">
        <v>2.9</v>
      </c>
      <c r="H9241" t="n">
        <v>0</v>
      </c>
      <c r="I9241" t="n">
        <v>0</v>
      </c>
      <c r="J9241" t="n">
        <v>0</v>
      </c>
      <c r="K9241" t="n">
        <v>0</v>
      </c>
      <c r="L9241" t="n">
        <v>0</v>
      </c>
      <c r="M9241" t="n">
        <v>0</v>
      </c>
      <c r="N9241" t="n">
        <v>0</v>
      </c>
      <c r="O9241" t="n">
        <v>0</v>
      </c>
      <c r="P9241" t="n">
        <v>0</v>
      </c>
      <c r="Q9241" t="n">
        <v>0</v>
      </c>
      <c r="R9241" s="2" t="inlineStr"/>
    </row>
    <row r="9242" ht="15" customHeight="1">
      <c r="A9242" t="inlineStr">
        <is>
          <t>A 11621-2023</t>
        </is>
      </c>
      <c r="B9242" s="1" t="n">
        <v>44994</v>
      </c>
      <c r="C9242" s="1" t="n">
        <v>45810</v>
      </c>
      <c r="D9242" t="inlineStr">
        <is>
          <t>VÄRMLANDS LÄN</t>
        </is>
      </c>
      <c r="E9242" t="inlineStr">
        <is>
          <t>KARLSTAD</t>
        </is>
      </c>
      <c r="F9242" t="inlineStr">
        <is>
          <t>Kommuner</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11745-2023</t>
        </is>
      </c>
      <c r="B9243" s="1" t="n">
        <v>44994</v>
      </c>
      <c r="C9243" s="1" t="n">
        <v>45810</v>
      </c>
      <c r="D9243" t="inlineStr">
        <is>
          <t>VÄRMLANDS LÄN</t>
        </is>
      </c>
      <c r="E9243" t="inlineStr">
        <is>
          <t>FILIPSTAD</t>
        </is>
      </c>
      <c r="F9243" t="inlineStr">
        <is>
          <t>Bergvik skog väst AB</t>
        </is>
      </c>
      <c r="G9243" t="n">
        <v>1.4</v>
      </c>
      <c r="H9243" t="n">
        <v>0</v>
      </c>
      <c r="I9243" t="n">
        <v>0</v>
      </c>
      <c r="J9243" t="n">
        <v>0</v>
      </c>
      <c r="K9243" t="n">
        <v>0</v>
      </c>
      <c r="L9243" t="n">
        <v>0</v>
      </c>
      <c r="M9243" t="n">
        <v>0</v>
      </c>
      <c r="N9243" t="n">
        <v>0</v>
      </c>
      <c r="O9243" t="n">
        <v>0</v>
      </c>
      <c r="P9243" t="n">
        <v>0</v>
      </c>
      <c r="Q9243" t="n">
        <v>0</v>
      </c>
      <c r="R9243" s="2" t="inlineStr"/>
    </row>
    <row r="9244" ht="15" customHeight="1">
      <c r="A9244" t="inlineStr">
        <is>
          <t>A 11784-2023</t>
        </is>
      </c>
      <c r="B9244" s="1" t="n">
        <v>44994</v>
      </c>
      <c r="C9244" s="1" t="n">
        <v>45810</v>
      </c>
      <c r="D9244" t="inlineStr">
        <is>
          <t>VÄRMLANDS LÄN</t>
        </is>
      </c>
      <c r="E9244" t="inlineStr">
        <is>
          <t>KRISTINEHAMN</t>
        </is>
      </c>
      <c r="F9244" t="inlineStr">
        <is>
          <t>Sveaskog</t>
        </is>
      </c>
      <c r="G9244" t="n">
        <v>0.8</v>
      </c>
      <c r="H9244" t="n">
        <v>0</v>
      </c>
      <c r="I9244" t="n">
        <v>0</v>
      </c>
      <c r="J9244" t="n">
        <v>0</v>
      </c>
      <c r="K9244" t="n">
        <v>0</v>
      </c>
      <c r="L9244" t="n">
        <v>0</v>
      </c>
      <c r="M9244" t="n">
        <v>0</v>
      </c>
      <c r="N9244" t="n">
        <v>0</v>
      </c>
      <c r="O9244" t="n">
        <v>0</v>
      </c>
      <c r="P9244" t="n">
        <v>0</v>
      </c>
      <c r="Q9244" t="n">
        <v>0</v>
      </c>
      <c r="R9244" s="2" t="inlineStr"/>
    </row>
    <row r="9245" ht="15" customHeight="1">
      <c r="A9245" t="inlineStr">
        <is>
          <t>A 11767-2023</t>
        </is>
      </c>
      <c r="B9245" s="1" t="n">
        <v>44994</v>
      </c>
      <c r="C9245" s="1" t="n">
        <v>45810</v>
      </c>
      <c r="D9245" t="inlineStr">
        <is>
          <t>VÄRMLANDS LÄN</t>
        </is>
      </c>
      <c r="E9245" t="inlineStr">
        <is>
          <t>HAGFORS</t>
        </is>
      </c>
      <c r="F9245" t="inlineStr">
        <is>
          <t>Bergvik skog väst AB</t>
        </is>
      </c>
      <c r="G9245" t="n">
        <v>4.6</v>
      </c>
      <c r="H9245" t="n">
        <v>0</v>
      </c>
      <c r="I9245" t="n">
        <v>0</v>
      </c>
      <c r="J9245" t="n">
        <v>0</v>
      </c>
      <c r="K9245" t="n">
        <v>0</v>
      </c>
      <c r="L9245" t="n">
        <v>0</v>
      </c>
      <c r="M9245" t="n">
        <v>0</v>
      </c>
      <c r="N9245" t="n">
        <v>0</v>
      </c>
      <c r="O9245" t="n">
        <v>0</v>
      </c>
      <c r="P9245" t="n">
        <v>0</v>
      </c>
      <c r="Q9245" t="n">
        <v>0</v>
      </c>
      <c r="R9245" s="2" t="inlineStr"/>
    </row>
    <row r="9246" ht="15" customHeight="1">
      <c r="A9246" t="inlineStr">
        <is>
          <t>A 11763-2023</t>
        </is>
      </c>
      <c r="B9246" s="1" t="n">
        <v>44994</v>
      </c>
      <c r="C9246" s="1" t="n">
        <v>45810</v>
      </c>
      <c r="D9246" t="inlineStr">
        <is>
          <t>VÄRMLANDS LÄN</t>
        </is>
      </c>
      <c r="E9246" t="inlineStr">
        <is>
          <t>ARVIKA</t>
        </is>
      </c>
      <c r="G9246" t="n">
        <v>1.8</v>
      </c>
      <c r="H9246" t="n">
        <v>0</v>
      </c>
      <c r="I9246" t="n">
        <v>0</v>
      </c>
      <c r="J9246" t="n">
        <v>0</v>
      </c>
      <c r="K9246" t="n">
        <v>0</v>
      </c>
      <c r="L9246" t="n">
        <v>0</v>
      </c>
      <c r="M9246" t="n">
        <v>0</v>
      </c>
      <c r="N9246" t="n">
        <v>0</v>
      </c>
      <c r="O9246" t="n">
        <v>0</v>
      </c>
      <c r="P9246" t="n">
        <v>0</v>
      </c>
      <c r="Q9246" t="n">
        <v>0</v>
      </c>
      <c r="R9246" s="2" t="inlineStr"/>
    </row>
    <row r="9247" ht="15" customHeight="1">
      <c r="A9247" t="inlineStr">
        <is>
          <t>A 11667-2023</t>
        </is>
      </c>
      <c r="B9247" s="1" t="n">
        <v>44994</v>
      </c>
      <c r="C9247" s="1" t="n">
        <v>45810</v>
      </c>
      <c r="D9247" t="inlineStr">
        <is>
          <t>VÄRMLANDS LÄN</t>
        </is>
      </c>
      <c r="E9247" t="inlineStr">
        <is>
          <t>HAGFORS</t>
        </is>
      </c>
      <c r="F9247" t="inlineStr">
        <is>
          <t>Bergvik skog väst AB</t>
        </is>
      </c>
      <c r="G9247" t="n">
        <v>3.7</v>
      </c>
      <c r="H9247" t="n">
        <v>0</v>
      </c>
      <c r="I9247" t="n">
        <v>0</v>
      </c>
      <c r="J9247" t="n">
        <v>0</v>
      </c>
      <c r="K9247" t="n">
        <v>0</v>
      </c>
      <c r="L9247" t="n">
        <v>0</v>
      </c>
      <c r="M9247" t="n">
        <v>0</v>
      </c>
      <c r="N9247" t="n">
        <v>0</v>
      </c>
      <c r="O9247" t="n">
        <v>0</v>
      </c>
      <c r="P9247" t="n">
        <v>0</v>
      </c>
      <c r="Q9247" t="n">
        <v>0</v>
      </c>
      <c r="R9247" s="2" t="inlineStr"/>
    </row>
    <row r="9248" ht="15" customHeight="1">
      <c r="A9248" t="inlineStr">
        <is>
          <t>A 11783-2023</t>
        </is>
      </c>
      <c r="B9248" s="1" t="n">
        <v>44994</v>
      </c>
      <c r="C9248" s="1" t="n">
        <v>45810</v>
      </c>
      <c r="D9248" t="inlineStr">
        <is>
          <t>VÄRMLANDS LÄN</t>
        </is>
      </c>
      <c r="E9248" t="inlineStr">
        <is>
          <t>KRISTINEHAMN</t>
        </is>
      </c>
      <c r="F9248" t="inlineStr">
        <is>
          <t>Sveaskog</t>
        </is>
      </c>
      <c r="G9248" t="n">
        <v>3.4</v>
      </c>
      <c r="H9248" t="n">
        <v>0</v>
      </c>
      <c r="I9248" t="n">
        <v>0</v>
      </c>
      <c r="J9248" t="n">
        <v>0</v>
      </c>
      <c r="K9248" t="n">
        <v>0</v>
      </c>
      <c r="L9248" t="n">
        <v>0</v>
      </c>
      <c r="M9248" t="n">
        <v>0</v>
      </c>
      <c r="N9248" t="n">
        <v>0</v>
      </c>
      <c r="O9248" t="n">
        <v>0</v>
      </c>
      <c r="P9248" t="n">
        <v>0</v>
      </c>
      <c r="Q9248" t="n">
        <v>0</v>
      </c>
      <c r="R9248" s="2" t="inlineStr"/>
    </row>
    <row r="9249" ht="15" customHeight="1">
      <c r="A9249" t="inlineStr">
        <is>
          <t>A 11851-2023</t>
        </is>
      </c>
      <c r="B9249" s="1" t="n">
        <v>44995</v>
      </c>
      <c r="C9249" s="1" t="n">
        <v>45810</v>
      </c>
      <c r="D9249" t="inlineStr">
        <is>
          <t>VÄRMLANDS LÄN</t>
        </is>
      </c>
      <c r="E9249" t="inlineStr">
        <is>
          <t>STORFORS</t>
        </is>
      </c>
      <c r="G9249" t="n">
        <v>4.4</v>
      </c>
      <c r="H9249" t="n">
        <v>0</v>
      </c>
      <c r="I9249" t="n">
        <v>0</v>
      </c>
      <c r="J9249" t="n">
        <v>0</v>
      </c>
      <c r="K9249" t="n">
        <v>0</v>
      </c>
      <c r="L9249" t="n">
        <v>0</v>
      </c>
      <c r="M9249" t="n">
        <v>0</v>
      </c>
      <c r="N9249" t="n">
        <v>0</v>
      </c>
      <c r="O9249" t="n">
        <v>0</v>
      </c>
      <c r="P9249" t="n">
        <v>0</v>
      </c>
      <c r="Q9249" t="n">
        <v>0</v>
      </c>
      <c r="R9249" s="2" t="inlineStr"/>
    </row>
    <row r="9250" ht="15" customHeight="1">
      <c r="A9250" t="inlineStr">
        <is>
          <t>A 11929-2023</t>
        </is>
      </c>
      <c r="B9250" s="1" t="n">
        <v>44995</v>
      </c>
      <c r="C9250" s="1" t="n">
        <v>45810</v>
      </c>
      <c r="D9250" t="inlineStr">
        <is>
          <t>VÄRMLANDS LÄN</t>
        </is>
      </c>
      <c r="E9250" t="inlineStr">
        <is>
          <t>KIL</t>
        </is>
      </c>
      <c r="G9250" t="n">
        <v>2.5</v>
      </c>
      <c r="H9250" t="n">
        <v>0</v>
      </c>
      <c r="I9250" t="n">
        <v>0</v>
      </c>
      <c r="J9250" t="n">
        <v>0</v>
      </c>
      <c r="K9250" t="n">
        <v>0</v>
      </c>
      <c r="L9250" t="n">
        <v>0</v>
      </c>
      <c r="M9250" t="n">
        <v>0</v>
      </c>
      <c r="N9250" t="n">
        <v>0</v>
      </c>
      <c r="O9250" t="n">
        <v>0</v>
      </c>
      <c r="P9250" t="n">
        <v>0</v>
      </c>
      <c r="Q9250" t="n">
        <v>0</v>
      </c>
      <c r="R9250" s="2" t="inlineStr"/>
    </row>
    <row r="9251" ht="15" customHeight="1">
      <c r="A9251" t="inlineStr">
        <is>
          <t>A 11912-2023</t>
        </is>
      </c>
      <c r="B9251" s="1" t="n">
        <v>44995</v>
      </c>
      <c r="C9251" s="1" t="n">
        <v>45810</v>
      </c>
      <c r="D9251" t="inlineStr">
        <is>
          <t>VÄRMLANDS LÄN</t>
        </is>
      </c>
      <c r="E9251" t="inlineStr">
        <is>
          <t>SUNNE</t>
        </is>
      </c>
      <c r="F9251" t="inlineStr">
        <is>
          <t>Bergvik skog väst AB</t>
        </is>
      </c>
      <c r="G9251" t="n">
        <v>4.4</v>
      </c>
      <c r="H9251" t="n">
        <v>0</v>
      </c>
      <c r="I9251" t="n">
        <v>0</v>
      </c>
      <c r="J9251" t="n">
        <v>0</v>
      </c>
      <c r="K9251" t="n">
        <v>0</v>
      </c>
      <c r="L9251" t="n">
        <v>0</v>
      </c>
      <c r="M9251" t="n">
        <v>0</v>
      </c>
      <c r="N9251" t="n">
        <v>0</v>
      </c>
      <c r="O9251" t="n">
        <v>0</v>
      </c>
      <c r="P9251" t="n">
        <v>0</v>
      </c>
      <c r="Q9251" t="n">
        <v>0</v>
      </c>
      <c r="R9251" s="2" t="inlineStr"/>
    </row>
    <row r="9252" ht="15" customHeight="1">
      <c r="A9252" t="inlineStr">
        <is>
          <t>A 11888-2023</t>
        </is>
      </c>
      <c r="B9252" s="1" t="n">
        <v>44995</v>
      </c>
      <c r="C9252" s="1" t="n">
        <v>45810</v>
      </c>
      <c r="D9252" t="inlineStr">
        <is>
          <t>VÄRMLANDS LÄN</t>
        </is>
      </c>
      <c r="E9252" t="inlineStr">
        <is>
          <t>ARVIKA</t>
        </is>
      </c>
      <c r="F9252" t="inlineStr">
        <is>
          <t>Bergvik skog väst AB</t>
        </is>
      </c>
      <c r="G9252" t="n">
        <v>5.3</v>
      </c>
      <c r="H9252" t="n">
        <v>0</v>
      </c>
      <c r="I9252" t="n">
        <v>0</v>
      </c>
      <c r="J9252" t="n">
        <v>0</v>
      </c>
      <c r="K9252" t="n">
        <v>0</v>
      </c>
      <c r="L9252" t="n">
        <v>0</v>
      </c>
      <c r="M9252" t="n">
        <v>0</v>
      </c>
      <c r="N9252" t="n">
        <v>0</v>
      </c>
      <c r="O9252" t="n">
        <v>0</v>
      </c>
      <c r="P9252" t="n">
        <v>0</v>
      </c>
      <c r="Q9252" t="n">
        <v>0</v>
      </c>
      <c r="R9252" s="2" t="inlineStr"/>
    </row>
    <row r="9253" ht="15" customHeight="1">
      <c r="A9253" t="inlineStr">
        <is>
          <t>A 11996-2023</t>
        </is>
      </c>
      <c r="B9253" s="1" t="n">
        <v>44995</v>
      </c>
      <c r="C9253" s="1" t="n">
        <v>45810</v>
      </c>
      <c r="D9253" t="inlineStr">
        <is>
          <t>VÄRMLANDS LÄN</t>
        </is>
      </c>
      <c r="E9253" t="inlineStr">
        <is>
          <t>MUNKFORS</t>
        </is>
      </c>
      <c r="F9253" t="inlineStr">
        <is>
          <t>Bergvik skog väst AB</t>
        </is>
      </c>
      <c r="G9253" t="n">
        <v>3.6</v>
      </c>
      <c r="H9253" t="n">
        <v>0</v>
      </c>
      <c r="I9253" t="n">
        <v>0</v>
      </c>
      <c r="J9253" t="n">
        <v>0</v>
      </c>
      <c r="K9253" t="n">
        <v>0</v>
      </c>
      <c r="L9253" t="n">
        <v>0</v>
      </c>
      <c r="M9253" t="n">
        <v>0</v>
      </c>
      <c r="N9253" t="n">
        <v>0</v>
      </c>
      <c r="O9253" t="n">
        <v>0</v>
      </c>
      <c r="P9253" t="n">
        <v>0</v>
      </c>
      <c r="Q9253" t="n">
        <v>0</v>
      </c>
      <c r="R9253" s="2" t="inlineStr"/>
    </row>
    <row r="9254" ht="15" customHeight="1">
      <c r="A9254" t="inlineStr">
        <is>
          <t>A 11909-2023</t>
        </is>
      </c>
      <c r="B9254" s="1" t="n">
        <v>44995</v>
      </c>
      <c r="C9254" s="1" t="n">
        <v>45810</v>
      </c>
      <c r="D9254" t="inlineStr">
        <is>
          <t>VÄRMLANDS LÄN</t>
        </is>
      </c>
      <c r="E9254" t="inlineStr">
        <is>
          <t>SUNNE</t>
        </is>
      </c>
      <c r="G9254" t="n">
        <v>1.4</v>
      </c>
      <c r="H9254" t="n">
        <v>0</v>
      </c>
      <c r="I9254" t="n">
        <v>0</v>
      </c>
      <c r="J9254" t="n">
        <v>0</v>
      </c>
      <c r="K9254" t="n">
        <v>0</v>
      </c>
      <c r="L9254" t="n">
        <v>0</v>
      </c>
      <c r="M9254" t="n">
        <v>0</v>
      </c>
      <c r="N9254" t="n">
        <v>0</v>
      </c>
      <c r="O9254" t="n">
        <v>0</v>
      </c>
      <c r="P9254" t="n">
        <v>0</v>
      </c>
      <c r="Q9254" t="n">
        <v>0</v>
      </c>
      <c r="R9254" s="2" t="inlineStr"/>
    </row>
    <row r="9255" ht="15" customHeight="1">
      <c r="A9255" t="inlineStr">
        <is>
          <t>A 12006-2023</t>
        </is>
      </c>
      <c r="B9255" s="1" t="n">
        <v>44995</v>
      </c>
      <c r="C9255" s="1" t="n">
        <v>45810</v>
      </c>
      <c r="D9255" t="inlineStr">
        <is>
          <t>VÄRMLANDS LÄN</t>
        </is>
      </c>
      <c r="E9255" t="inlineStr">
        <is>
          <t>ÅRJÄNG</t>
        </is>
      </c>
      <c r="G9255" t="n">
        <v>0.9</v>
      </c>
      <c r="H9255" t="n">
        <v>0</v>
      </c>
      <c r="I9255" t="n">
        <v>0</v>
      </c>
      <c r="J9255" t="n">
        <v>0</v>
      </c>
      <c r="K9255" t="n">
        <v>0</v>
      </c>
      <c r="L9255" t="n">
        <v>0</v>
      </c>
      <c r="M9255" t="n">
        <v>0</v>
      </c>
      <c r="N9255" t="n">
        <v>0</v>
      </c>
      <c r="O9255" t="n">
        <v>0</v>
      </c>
      <c r="P9255" t="n">
        <v>0</v>
      </c>
      <c r="Q9255" t="n">
        <v>0</v>
      </c>
      <c r="R9255" s="2" t="inlineStr"/>
    </row>
    <row r="9256" ht="15" customHeight="1">
      <c r="A9256" t="inlineStr">
        <is>
          <t>A 12020-2023</t>
        </is>
      </c>
      <c r="B9256" s="1" t="n">
        <v>44995</v>
      </c>
      <c r="C9256" s="1" t="n">
        <v>45810</v>
      </c>
      <c r="D9256" t="inlineStr">
        <is>
          <t>VÄRMLANDS LÄN</t>
        </is>
      </c>
      <c r="E9256" t="inlineStr">
        <is>
          <t>ARVIKA</t>
        </is>
      </c>
      <c r="G9256" t="n">
        <v>2.1</v>
      </c>
      <c r="H9256" t="n">
        <v>0</v>
      </c>
      <c r="I9256" t="n">
        <v>0</v>
      </c>
      <c r="J9256" t="n">
        <v>0</v>
      </c>
      <c r="K9256" t="n">
        <v>0</v>
      </c>
      <c r="L9256" t="n">
        <v>0</v>
      </c>
      <c r="M9256" t="n">
        <v>0</v>
      </c>
      <c r="N9256" t="n">
        <v>0</v>
      </c>
      <c r="O9256" t="n">
        <v>0</v>
      </c>
      <c r="P9256" t="n">
        <v>0</v>
      </c>
      <c r="Q9256" t="n">
        <v>0</v>
      </c>
      <c r="R9256" s="2" t="inlineStr"/>
    </row>
    <row r="9257" ht="15" customHeight="1">
      <c r="A9257" t="inlineStr">
        <is>
          <t>A 12029-2023</t>
        </is>
      </c>
      <c r="B9257" s="1" t="n">
        <v>44995</v>
      </c>
      <c r="C9257" s="1" t="n">
        <v>45810</v>
      </c>
      <c r="D9257" t="inlineStr">
        <is>
          <t>VÄRMLANDS LÄN</t>
        </is>
      </c>
      <c r="E9257" t="inlineStr">
        <is>
          <t>KARLSTAD</t>
        </is>
      </c>
      <c r="G9257" t="n">
        <v>0.4</v>
      </c>
      <c r="H9257" t="n">
        <v>0</v>
      </c>
      <c r="I9257" t="n">
        <v>0</v>
      </c>
      <c r="J9257" t="n">
        <v>0</v>
      </c>
      <c r="K9257" t="n">
        <v>0</v>
      </c>
      <c r="L9257" t="n">
        <v>0</v>
      </c>
      <c r="M9257" t="n">
        <v>0</v>
      </c>
      <c r="N9257" t="n">
        <v>0</v>
      </c>
      <c r="O9257" t="n">
        <v>0</v>
      </c>
      <c r="P9257" t="n">
        <v>0</v>
      </c>
      <c r="Q9257" t="n">
        <v>0</v>
      </c>
      <c r="R9257" s="2" t="inlineStr"/>
    </row>
    <row r="9258" ht="15" customHeight="1">
      <c r="A9258" t="inlineStr">
        <is>
          <t>A 12009-2023</t>
        </is>
      </c>
      <c r="B9258" s="1" t="n">
        <v>44995</v>
      </c>
      <c r="C9258" s="1" t="n">
        <v>45810</v>
      </c>
      <c r="D9258" t="inlineStr">
        <is>
          <t>VÄRMLANDS LÄN</t>
        </is>
      </c>
      <c r="E9258" t="inlineStr">
        <is>
          <t>ÅRJÄNG</t>
        </is>
      </c>
      <c r="G9258" t="n">
        <v>4.8</v>
      </c>
      <c r="H9258" t="n">
        <v>0</v>
      </c>
      <c r="I9258" t="n">
        <v>0</v>
      </c>
      <c r="J9258" t="n">
        <v>0</v>
      </c>
      <c r="K9258" t="n">
        <v>0</v>
      </c>
      <c r="L9258" t="n">
        <v>0</v>
      </c>
      <c r="M9258" t="n">
        <v>0</v>
      </c>
      <c r="N9258" t="n">
        <v>0</v>
      </c>
      <c r="O9258" t="n">
        <v>0</v>
      </c>
      <c r="P9258" t="n">
        <v>0</v>
      </c>
      <c r="Q9258" t="n">
        <v>0</v>
      </c>
      <c r="R9258" s="2" t="inlineStr"/>
    </row>
    <row r="9259" ht="15" customHeight="1">
      <c r="A9259" t="inlineStr">
        <is>
          <t>A 12028-2023</t>
        </is>
      </c>
      <c r="B9259" s="1" t="n">
        <v>44995</v>
      </c>
      <c r="C9259" s="1" t="n">
        <v>45810</v>
      </c>
      <c r="D9259" t="inlineStr">
        <is>
          <t>VÄRMLANDS LÄN</t>
        </is>
      </c>
      <c r="E9259" t="inlineStr">
        <is>
          <t>SUNNE</t>
        </is>
      </c>
      <c r="G9259" t="n">
        <v>3.3</v>
      </c>
      <c r="H9259" t="n">
        <v>0</v>
      </c>
      <c r="I9259" t="n">
        <v>0</v>
      </c>
      <c r="J9259" t="n">
        <v>0</v>
      </c>
      <c r="K9259" t="n">
        <v>0</v>
      </c>
      <c r="L9259" t="n">
        <v>0</v>
      </c>
      <c r="M9259" t="n">
        <v>0</v>
      </c>
      <c r="N9259" t="n">
        <v>0</v>
      </c>
      <c r="O9259" t="n">
        <v>0</v>
      </c>
      <c r="P9259" t="n">
        <v>0</v>
      </c>
      <c r="Q9259" t="n">
        <v>0</v>
      </c>
      <c r="R9259" s="2" t="inlineStr"/>
    </row>
    <row r="9260" ht="15" customHeight="1">
      <c r="A9260" t="inlineStr">
        <is>
          <t>A 12097-2023</t>
        </is>
      </c>
      <c r="B9260" s="1" t="n">
        <v>44995</v>
      </c>
      <c r="C9260" s="1" t="n">
        <v>45810</v>
      </c>
      <c r="D9260" t="inlineStr">
        <is>
          <t>VÄRMLANDS LÄN</t>
        </is>
      </c>
      <c r="E9260" t="inlineStr">
        <is>
          <t>SUNNE</t>
        </is>
      </c>
      <c r="G9260" t="n">
        <v>2.1</v>
      </c>
      <c r="H9260" t="n">
        <v>0</v>
      </c>
      <c r="I9260" t="n">
        <v>0</v>
      </c>
      <c r="J9260" t="n">
        <v>0</v>
      </c>
      <c r="K9260" t="n">
        <v>0</v>
      </c>
      <c r="L9260" t="n">
        <v>0</v>
      </c>
      <c r="M9260" t="n">
        <v>0</v>
      </c>
      <c r="N9260" t="n">
        <v>0</v>
      </c>
      <c r="O9260" t="n">
        <v>0</v>
      </c>
      <c r="P9260" t="n">
        <v>0</v>
      </c>
      <c r="Q9260" t="n">
        <v>0</v>
      </c>
      <c r="R9260" s="2" t="inlineStr"/>
    </row>
    <row r="9261" ht="15" customHeight="1">
      <c r="A9261" t="inlineStr">
        <is>
          <t>A 12082-2023</t>
        </is>
      </c>
      <c r="B9261" s="1" t="n">
        <v>44997</v>
      </c>
      <c r="C9261" s="1" t="n">
        <v>45810</v>
      </c>
      <c r="D9261" t="inlineStr">
        <is>
          <t>VÄRMLANDS LÄN</t>
        </is>
      </c>
      <c r="E9261" t="inlineStr">
        <is>
          <t>ÅRJÄNG</t>
        </is>
      </c>
      <c r="G9261" t="n">
        <v>1.3</v>
      </c>
      <c r="H9261" t="n">
        <v>0</v>
      </c>
      <c r="I9261" t="n">
        <v>0</v>
      </c>
      <c r="J9261" t="n">
        <v>0</v>
      </c>
      <c r="K9261" t="n">
        <v>0</v>
      </c>
      <c r="L9261" t="n">
        <v>0</v>
      </c>
      <c r="M9261" t="n">
        <v>0</v>
      </c>
      <c r="N9261" t="n">
        <v>0</v>
      </c>
      <c r="O9261" t="n">
        <v>0</v>
      </c>
      <c r="P9261" t="n">
        <v>0</v>
      </c>
      <c r="Q9261" t="n">
        <v>0</v>
      </c>
      <c r="R9261" s="2" t="inlineStr"/>
    </row>
    <row r="9262" ht="15" customHeight="1">
      <c r="A9262" t="inlineStr">
        <is>
          <t>A 12113-2023</t>
        </is>
      </c>
      <c r="B9262" s="1" t="n">
        <v>44998</v>
      </c>
      <c r="C9262" s="1" t="n">
        <v>45810</v>
      </c>
      <c r="D9262" t="inlineStr">
        <is>
          <t>VÄRMLANDS LÄN</t>
        </is>
      </c>
      <c r="E9262" t="inlineStr">
        <is>
          <t>EDA</t>
        </is>
      </c>
      <c r="G9262" t="n">
        <v>2.9</v>
      </c>
      <c r="H9262" t="n">
        <v>0</v>
      </c>
      <c r="I9262" t="n">
        <v>0</v>
      </c>
      <c r="J9262" t="n">
        <v>0</v>
      </c>
      <c r="K9262" t="n">
        <v>0</v>
      </c>
      <c r="L9262" t="n">
        <v>0</v>
      </c>
      <c r="M9262" t="n">
        <v>0</v>
      </c>
      <c r="N9262" t="n">
        <v>0</v>
      </c>
      <c r="O9262" t="n">
        <v>0</v>
      </c>
      <c r="P9262" t="n">
        <v>0</v>
      </c>
      <c r="Q9262" t="n">
        <v>0</v>
      </c>
      <c r="R9262" s="2" t="inlineStr"/>
    </row>
    <row r="9263" ht="15" customHeight="1">
      <c r="A9263" t="inlineStr">
        <is>
          <t>A 12118-2023</t>
        </is>
      </c>
      <c r="B9263" s="1" t="n">
        <v>44998</v>
      </c>
      <c r="C9263" s="1" t="n">
        <v>45810</v>
      </c>
      <c r="D9263" t="inlineStr">
        <is>
          <t>VÄRMLANDS LÄN</t>
        </is>
      </c>
      <c r="E9263" t="inlineStr">
        <is>
          <t>EDA</t>
        </is>
      </c>
      <c r="G9263" t="n">
        <v>3.9</v>
      </c>
      <c r="H9263" t="n">
        <v>0</v>
      </c>
      <c r="I9263" t="n">
        <v>0</v>
      </c>
      <c r="J9263" t="n">
        <v>0</v>
      </c>
      <c r="K9263" t="n">
        <v>0</v>
      </c>
      <c r="L9263" t="n">
        <v>0</v>
      </c>
      <c r="M9263" t="n">
        <v>0</v>
      </c>
      <c r="N9263" t="n">
        <v>0</v>
      </c>
      <c r="O9263" t="n">
        <v>0</v>
      </c>
      <c r="P9263" t="n">
        <v>0</v>
      </c>
      <c r="Q9263" t="n">
        <v>0</v>
      </c>
      <c r="R9263" s="2" t="inlineStr"/>
    </row>
    <row r="9264" ht="15" customHeight="1">
      <c r="A9264" t="inlineStr">
        <is>
          <t>A 12128-2023</t>
        </is>
      </c>
      <c r="B9264" s="1" t="n">
        <v>44998</v>
      </c>
      <c r="C9264" s="1" t="n">
        <v>45810</v>
      </c>
      <c r="D9264" t="inlineStr">
        <is>
          <t>VÄRMLANDS LÄN</t>
        </is>
      </c>
      <c r="E9264" t="inlineStr">
        <is>
          <t>KRISTINEHAMN</t>
        </is>
      </c>
      <c r="F9264" t="inlineStr">
        <is>
          <t>Naturvårdsverket</t>
        </is>
      </c>
      <c r="G9264" t="n">
        <v>2.8</v>
      </c>
      <c r="H9264" t="n">
        <v>0</v>
      </c>
      <c r="I9264" t="n">
        <v>0</v>
      </c>
      <c r="J9264" t="n">
        <v>0</v>
      </c>
      <c r="K9264" t="n">
        <v>0</v>
      </c>
      <c r="L9264" t="n">
        <v>0</v>
      </c>
      <c r="M9264" t="n">
        <v>0</v>
      </c>
      <c r="N9264" t="n">
        <v>0</v>
      </c>
      <c r="O9264" t="n">
        <v>0</v>
      </c>
      <c r="P9264" t="n">
        <v>0</v>
      </c>
      <c r="Q9264" t="n">
        <v>0</v>
      </c>
      <c r="R9264" s="2" t="inlineStr"/>
    </row>
    <row r="9265" ht="15" customHeight="1">
      <c r="A9265" t="inlineStr">
        <is>
          <t>A 12141-2023</t>
        </is>
      </c>
      <c r="B9265" s="1" t="n">
        <v>44998</v>
      </c>
      <c r="C9265" s="1" t="n">
        <v>45810</v>
      </c>
      <c r="D9265" t="inlineStr">
        <is>
          <t>VÄRMLANDS LÄN</t>
        </is>
      </c>
      <c r="E9265" t="inlineStr">
        <is>
          <t>EDA</t>
        </is>
      </c>
      <c r="G9265" t="n">
        <v>0.6</v>
      </c>
      <c r="H9265" t="n">
        <v>0</v>
      </c>
      <c r="I9265" t="n">
        <v>0</v>
      </c>
      <c r="J9265" t="n">
        <v>0</v>
      </c>
      <c r="K9265" t="n">
        <v>0</v>
      </c>
      <c r="L9265" t="n">
        <v>0</v>
      </c>
      <c r="M9265" t="n">
        <v>0</v>
      </c>
      <c r="N9265" t="n">
        <v>0</v>
      </c>
      <c r="O9265" t="n">
        <v>0</v>
      </c>
      <c r="P9265" t="n">
        <v>0</v>
      </c>
      <c r="Q9265" t="n">
        <v>0</v>
      </c>
      <c r="R9265" s="2" t="inlineStr"/>
    </row>
    <row r="9266" ht="15" customHeight="1">
      <c r="A9266" t="inlineStr">
        <is>
          <t>A 12271-2023</t>
        </is>
      </c>
      <c r="B9266" s="1" t="n">
        <v>44998</v>
      </c>
      <c r="C9266" s="1" t="n">
        <v>45810</v>
      </c>
      <c r="D9266" t="inlineStr">
        <is>
          <t>VÄRMLANDS LÄN</t>
        </is>
      </c>
      <c r="E9266" t="inlineStr">
        <is>
          <t>ARVIKA</t>
        </is>
      </c>
      <c r="G9266" t="n">
        <v>3</v>
      </c>
      <c r="H9266" t="n">
        <v>0</v>
      </c>
      <c r="I9266" t="n">
        <v>0</v>
      </c>
      <c r="J9266" t="n">
        <v>0</v>
      </c>
      <c r="K9266" t="n">
        <v>0</v>
      </c>
      <c r="L9266" t="n">
        <v>0</v>
      </c>
      <c r="M9266" t="n">
        <v>0</v>
      </c>
      <c r="N9266" t="n">
        <v>0</v>
      </c>
      <c r="O9266" t="n">
        <v>0</v>
      </c>
      <c r="P9266" t="n">
        <v>0</v>
      </c>
      <c r="Q9266" t="n">
        <v>0</v>
      </c>
      <c r="R9266" s="2" t="inlineStr"/>
    </row>
    <row r="9267" ht="15" customHeight="1">
      <c r="A9267" t="inlineStr">
        <is>
          <t>A 12350-2023</t>
        </is>
      </c>
      <c r="B9267" s="1" t="n">
        <v>44998</v>
      </c>
      <c r="C9267" s="1" t="n">
        <v>45810</v>
      </c>
      <c r="D9267" t="inlineStr">
        <is>
          <t>VÄRMLANDS LÄN</t>
        </is>
      </c>
      <c r="E9267" t="inlineStr">
        <is>
          <t>GRUMS</t>
        </is>
      </c>
      <c r="F9267" t="inlineStr">
        <is>
          <t>Bergvik skog väst AB</t>
        </is>
      </c>
      <c r="G9267" t="n">
        <v>1.4</v>
      </c>
      <c r="H9267" t="n">
        <v>0</v>
      </c>
      <c r="I9267" t="n">
        <v>0</v>
      </c>
      <c r="J9267" t="n">
        <v>0</v>
      </c>
      <c r="K9267" t="n">
        <v>0</v>
      </c>
      <c r="L9267" t="n">
        <v>0</v>
      </c>
      <c r="M9267" t="n">
        <v>0</v>
      </c>
      <c r="N9267" t="n">
        <v>0</v>
      </c>
      <c r="O9267" t="n">
        <v>0</v>
      </c>
      <c r="P9267" t="n">
        <v>0</v>
      </c>
      <c r="Q9267" t="n">
        <v>0</v>
      </c>
      <c r="R9267" s="2" t="inlineStr"/>
    </row>
    <row r="9268" ht="15" customHeight="1">
      <c r="A9268" t="inlineStr">
        <is>
          <t>A 12119-2023</t>
        </is>
      </c>
      <c r="B9268" s="1" t="n">
        <v>44998</v>
      </c>
      <c r="C9268" s="1" t="n">
        <v>45810</v>
      </c>
      <c r="D9268" t="inlineStr">
        <is>
          <t>VÄRMLANDS LÄN</t>
        </is>
      </c>
      <c r="E9268" t="inlineStr">
        <is>
          <t>SUNNE</t>
        </is>
      </c>
      <c r="G9268" t="n">
        <v>1.5</v>
      </c>
      <c r="H9268" t="n">
        <v>0</v>
      </c>
      <c r="I9268" t="n">
        <v>0</v>
      </c>
      <c r="J9268" t="n">
        <v>0</v>
      </c>
      <c r="K9268" t="n">
        <v>0</v>
      </c>
      <c r="L9268" t="n">
        <v>0</v>
      </c>
      <c r="M9268" t="n">
        <v>0</v>
      </c>
      <c r="N9268" t="n">
        <v>0</v>
      </c>
      <c r="O9268" t="n">
        <v>0</v>
      </c>
      <c r="P9268" t="n">
        <v>0</v>
      </c>
      <c r="Q9268" t="n">
        <v>0</v>
      </c>
      <c r="R9268" s="2" t="inlineStr"/>
    </row>
    <row r="9269" ht="15" customHeight="1">
      <c r="A9269" t="inlineStr">
        <is>
          <t>A 12134-2023</t>
        </is>
      </c>
      <c r="B9269" s="1" t="n">
        <v>44998</v>
      </c>
      <c r="C9269" s="1" t="n">
        <v>45810</v>
      </c>
      <c r="D9269" t="inlineStr">
        <is>
          <t>VÄRMLANDS LÄN</t>
        </is>
      </c>
      <c r="E9269" t="inlineStr">
        <is>
          <t>SÄFFLE</t>
        </is>
      </c>
      <c r="G9269" t="n">
        <v>11.1</v>
      </c>
      <c r="H9269" t="n">
        <v>0</v>
      </c>
      <c r="I9269" t="n">
        <v>0</v>
      </c>
      <c r="J9269" t="n">
        <v>0</v>
      </c>
      <c r="K9269" t="n">
        <v>0</v>
      </c>
      <c r="L9269" t="n">
        <v>0</v>
      </c>
      <c r="M9269" t="n">
        <v>0</v>
      </c>
      <c r="N9269" t="n">
        <v>0</v>
      </c>
      <c r="O9269" t="n">
        <v>0</v>
      </c>
      <c r="P9269" t="n">
        <v>0</v>
      </c>
      <c r="Q9269" t="n">
        <v>0</v>
      </c>
      <c r="R9269" s="2" t="inlineStr"/>
    </row>
    <row r="9270" ht="15" customHeight="1">
      <c r="A9270" t="inlineStr">
        <is>
          <t>A 12111-2023</t>
        </is>
      </c>
      <c r="B9270" s="1" t="n">
        <v>44998</v>
      </c>
      <c r="C9270" s="1" t="n">
        <v>45810</v>
      </c>
      <c r="D9270" t="inlineStr">
        <is>
          <t>VÄRMLANDS LÄN</t>
        </is>
      </c>
      <c r="E9270" t="inlineStr">
        <is>
          <t>EDA</t>
        </is>
      </c>
      <c r="G9270" t="n">
        <v>13.6</v>
      </c>
      <c r="H9270" t="n">
        <v>0</v>
      </c>
      <c r="I9270" t="n">
        <v>0</v>
      </c>
      <c r="J9270" t="n">
        <v>0</v>
      </c>
      <c r="K9270" t="n">
        <v>0</v>
      </c>
      <c r="L9270" t="n">
        <v>0</v>
      </c>
      <c r="M9270" t="n">
        <v>0</v>
      </c>
      <c r="N9270" t="n">
        <v>0</v>
      </c>
      <c r="O9270" t="n">
        <v>0</v>
      </c>
      <c r="P9270" t="n">
        <v>0</v>
      </c>
      <c r="Q9270" t="n">
        <v>0</v>
      </c>
      <c r="R9270" s="2" t="inlineStr"/>
    </row>
    <row r="9271" ht="15" customHeight="1">
      <c r="A9271" t="inlineStr">
        <is>
          <t>A 12110-2023</t>
        </is>
      </c>
      <c r="B9271" s="1" t="n">
        <v>44998</v>
      </c>
      <c r="C9271" s="1" t="n">
        <v>45810</v>
      </c>
      <c r="D9271" t="inlineStr">
        <is>
          <t>VÄRMLANDS LÄN</t>
        </is>
      </c>
      <c r="E9271" t="inlineStr">
        <is>
          <t>KARLSTAD</t>
        </is>
      </c>
      <c r="G9271" t="n">
        <v>1.9</v>
      </c>
      <c r="H9271" t="n">
        <v>0</v>
      </c>
      <c r="I9271" t="n">
        <v>0</v>
      </c>
      <c r="J9271" t="n">
        <v>0</v>
      </c>
      <c r="K9271" t="n">
        <v>0</v>
      </c>
      <c r="L9271" t="n">
        <v>0</v>
      </c>
      <c r="M9271" t="n">
        <v>0</v>
      </c>
      <c r="N9271" t="n">
        <v>0</v>
      </c>
      <c r="O9271" t="n">
        <v>0</v>
      </c>
      <c r="P9271" t="n">
        <v>0</v>
      </c>
      <c r="Q9271" t="n">
        <v>0</v>
      </c>
      <c r="R9271" s="2" t="inlineStr"/>
    </row>
    <row r="9272" ht="15" customHeight="1">
      <c r="A9272" t="inlineStr">
        <is>
          <t>A 12194-2023</t>
        </is>
      </c>
      <c r="B9272" s="1" t="n">
        <v>44998</v>
      </c>
      <c r="C9272" s="1" t="n">
        <v>45810</v>
      </c>
      <c r="D9272" t="inlineStr">
        <is>
          <t>VÄRMLANDS LÄN</t>
        </is>
      </c>
      <c r="E9272" t="inlineStr">
        <is>
          <t>HAGFORS</t>
        </is>
      </c>
      <c r="G9272" t="n">
        <v>2.3</v>
      </c>
      <c r="H9272" t="n">
        <v>0</v>
      </c>
      <c r="I9272" t="n">
        <v>0</v>
      </c>
      <c r="J9272" t="n">
        <v>0</v>
      </c>
      <c r="K9272" t="n">
        <v>0</v>
      </c>
      <c r="L9272" t="n">
        <v>0</v>
      </c>
      <c r="M9272" t="n">
        <v>0</v>
      </c>
      <c r="N9272" t="n">
        <v>0</v>
      </c>
      <c r="O9272" t="n">
        <v>0</v>
      </c>
      <c r="P9272" t="n">
        <v>0</v>
      </c>
      <c r="Q9272" t="n">
        <v>0</v>
      </c>
      <c r="R9272" s="2" t="inlineStr"/>
    </row>
    <row r="9273" ht="15" customHeight="1">
      <c r="A9273" t="inlineStr">
        <is>
          <t>A 12206-2023</t>
        </is>
      </c>
      <c r="B9273" s="1" t="n">
        <v>44998</v>
      </c>
      <c r="C9273" s="1" t="n">
        <v>45810</v>
      </c>
      <c r="D9273" t="inlineStr">
        <is>
          <t>VÄRMLANDS LÄN</t>
        </is>
      </c>
      <c r="E9273" t="inlineStr">
        <is>
          <t>HAGFORS</t>
        </is>
      </c>
      <c r="F9273" t="inlineStr">
        <is>
          <t>Bergvik skog väst AB</t>
        </is>
      </c>
      <c r="G9273" t="n">
        <v>14.2</v>
      </c>
      <c r="H9273" t="n">
        <v>0</v>
      </c>
      <c r="I9273" t="n">
        <v>0</v>
      </c>
      <c r="J9273" t="n">
        <v>0</v>
      </c>
      <c r="K9273" t="n">
        <v>0</v>
      </c>
      <c r="L9273" t="n">
        <v>0</v>
      </c>
      <c r="M9273" t="n">
        <v>0</v>
      </c>
      <c r="N9273" t="n">
        <v>0</v>
      </c>
      <c r="O9273" t="n">
        <v>0</v>
      </c>
      <c r="P9273" t="n">
        <v>0</v>
      </c>
      <c r="Q9273" t="n">
        <v>0</v>
      </c>
      <c r="R9273" s="2" t="inlineStr"/>
    </row>
    <row r="9274" ht="15" customHeight="1">
      <c r="A9274" t="inlineStr">
        <is>
          <t>A 12275-2023</t>
        </is>
      </c>
      <c r="B9274" s="1" t="n">
        <v>44998</v>
      </c>
      <c r="C9274" s="1" t="n">
        <v>45810</v>
      </c>
      <c r="D9274" t="inlineStr">
        <is>
          <t>VÄRMLANDS LÄN</t>
        </is>
      </c>
      <c r="E9274" t="inlineStr">
        <is>
          <t>ÅRJÄNG</t>
        </is>
      </c>
      <c r="G9274" t="n">
        <v>2.6</v>
      </c>
      <c r="H9274" t="n">
        <v>0</v>
      </c>
      <c r="I9274" t="n">
        <v>0</v>
      </c>
      <c r="J9274" t="n">
        <v>0</v>
      </c>
      <c r="K9274" t="n">
        <v>0</v>
      </c>
      <c r="L9274" t="n">
        <v>0</v>
      </c>
      <c r="M9274" t="n">
        <v>0</v>
      </c>
      <c r="N9274" t="n">
        <v>0</v>
      </c>
      <c r="O9274" t="n">
        <v>0</v>
      </c>
      <c r="P9274" t="n">
        <v>0</v>
      </c>
      <c r="Q9274" t="n">
        <v>0</v>
      </c>
      <c r="R9274" s="2" t="inlineStr"/>
    </row>
    <row r="9275" ht="15" customHeight="1">
      <c r="A9275" t="inlineStr">
        <is>
          <t>A 12416-2023</t>
        </is>
      </c>
      <c r="B9275" s="1" t="n">
        <v>44998</v>
      </c>
      <c r="C9275" s="1" t="n">
        <v>45810</v>
      </c>
      <c r="D9275" t="inlineStr">
        <is>
          <t>VÄRMLANDS LÄN</t>
        </is>
      </c>
      <c r="E9275" t="inlineStr">
        <is>
          <t>GRUMS</t>
        </is>
      </c>
      <c r="F9275" t="inlineStr">
        <is>
          <t>Bergvik skog väst AB</t>
        </is>
      </c>
      <c r="G9275" t="n">
        <v>2</v>
      </c>
      <c r="H9275" t="n">
        <v>0</v>
      </c>
      <c r="I9275" t="n">
        <v>0</v>
      </c>
      <c r="J9275" t="n">
        <v>0</v>
      </c>
      <c r="K9275" t="n">
        <v>0</v>
      </c>
      <c r="L9275" t="n">
        <v>0</v>
      </c>
      <c r="M9275" t="n">
        <v>0</v>
      </c>
      <c r="N9275" t="n">
        <v>0</v>
      </c>
      <c r="O9275" t="n">
        <v>0</v>
      </c>
      <c r="P9275" t="n">
        <v>0</v>
      </c>
      <c r="Q9275" t="n">
        <v>0</v>
      </c>
      <c r="R9275" s="2" t="inlineStr"/>
    </row>
    <row r="9276" ht="15" customHeight="1">
      <c r="A9276" t="inlineStr">
        <is>
          <t>A 12257-2023</t>
        </is>
      </c>
      <c r="B9276" s="1" t="n">
        <v>44998</v>
      </c>
      <c r="C9276" s="1" t="n">
        <v>45810</v>
      </c>
      <c r="D9276" t="inlineStr">
        <is>
          <t>VÄRMLANDS LÄN</t>
        </is>
      </c>
      <c r="E9276" t="inlineStr">
        <is>
          <t>SÄFFLE</t>
        </is>
      </c>
      <c r="G9276" t="n">
        <v>2.5</v>
      </c>
      <c r="H9276" t="n">
        <v>0</v>
      </c>
      <c r="I9276" t="n">
        <v>0</v>
      </c>
      <c r="J9276" t="n">
        <v>0</v>
      </c>
      <c r="K9276" t="n">
        <v>0</v>
      </c>
      <c r="L9276" t="n">
        <v>0</v>
      </c>
      <c r="M9276" t="n">
        <v>0</v>
      </c>
      <c r="N9276" t="n">
        <v>0</v>
      </c>
      <c r="O9276" t="n">
        <v>0</v>
      </c>
      <c r="P9276" t="n">
        <v>0</v>
      </c>
      <c r="Q9276" t="n">
        <v>0</v>
      </c>
      <c r="R9276" s="2" t="inlineStr"/>
    </row>
    <row r="9277" ht="15" customHeight="1">
      <c r="A9277" t="inlineStr">
        <is>
          <t>A 12160-2023</t>
        </is>
      </c>
      <c r="B9277" s="1" t="n">
        <v>44998</v>
      </c>
      <c r="C9277" s="1" t="n">
        <v>45810</v>
      </c>
      <c r="D9277" t="inlineStr">
        <is>
          <t>VÄRMLANDS LÄN</t>
        </is>
      </c>
      <c r="E9277" t="inlineStr">
        <is>
          <t>FILIPSTAD</t>
        </is>
      </c>
      <c r="F9277" t="inlineStr">
        <is>
          <t>Bergvik skog väst AB</t>
        </is>
      </c>
      <c r="G9277" t="n">
        <v>11.2</v>
      </c>
      <c r="H9277" t="n">
        <v>0</v>
      </c>
      <c r="I9277" t="n">
        <v>0</v>
      </c>
      <c r="J9277" t="n">
        <v>0</v>
      </c>
      <c r="K9277" t="n">
        <v>0</v>
      </c>
      <c r="L9277" t="n">
        <v>0</v>
      </c>
      <c r="M9277" t="n">
        <v>0</v>
      </c>
      <c r="N9277" t="n">
        <v>0</v>
      </c>
      <c r="O9277" t="n">
        <v>0</v>
      </c>
      <c r="P9277" t="n">
        <v>0</v>
      </c>
      <c r="Q9277" t="n">
        <v>0</v>
      </c>
      <c r="R9277" s="2" t="inlineStr"/>
    </row>
    <row r="9278" ht="15" customHeight="1">
      <c r="A9278" t="inlineStr">
        <is>
          <t>A 12209-2023</t>
        </is>
      </c>
      <c r="B9278" s="1" t="n">
        <v>44998</v>
      </c>
      <c r="C9278" s="1" t="n">
        <v>45810</v>
      </c>
      <c r="D9278" t="inlineStr">
        <is>
          <t>VÄRMLANDS LÄN</t>
        </is>
      </c>
      <c r="E9278" t="inlineStr">
        <is>
          <t>ÅRJÄNG</t>
        </is>
      </c>
      <c r="G9278" t="n">
        <v>1.5</v>
      </c>
      <c r="H9278" t="n">
        <v>0</v>
      </c>
      <c r="I9278" t="n">
        <v>0</v>
      </c>
      <c r="J9278" t="n">
        <v>0</v>
      </c>
      <c r="K9278" t="n">
        <v>0</v>
      </c>
      <c r="L9278" t="n">
        <v>0</v>
      </c>
      <c r="M9278" t="n">
        <v>0</v>
      </c>
      <c r="N9278" t="n">
        <v>0</v>
      </c>
      <c r="O9278" t="n">
        <v>0</v>
      </c>
      <c r="P9278" t="n">
        <v>0</v>
      </c>
      <c r="Q9278" t="n">
        <v>0</v>
      </c>
      <c r="R9278" s="2" t="inlineStr"/>
    </row>
    <row r="9279" ht="15" customHeight="1">
      <c r="A9279" t="inlineStr">
        <is>
          <t>A 12229-2023</t>
        </is>
      </c>
      <c r="B9279" s="1" t="n">
        <v>44998</v>
      </c>
      <c r="C9279" s="1" t="n">
        <v>45810</v>
      </c>
      <c r="D9279" t="inlineStr">
        <is>
          <t>VÄRMLANDS LÄN</t>
        </is>
      </c>
      <c r="E9279" t="inlineStr">
        <is>
          <t>EDA</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12237-2023</t>
        </is>
      </c>
      <c r="B9280" s="1" t="n">
        <v>44998</v>
      </c>
      <c r="C9280" s="1" t="n">
        <v>45810</v>
      </c>
      <c r="D9280" t="inlineStr">
        <is>
          <t>VÄRMLANDS LÄN</t>
        </is>
      </c>
      <c r="E9280" t="inlineStr">
        <is>
          <t>SUNNE</t>
        </is>
      </c>
      <c r="G9280" t="n">
        <v>1.3</v>
      </c>
      <c r="H9280" t="n">
        <v>0</v>
      </c>
      <c r="I9280" t="n">
        <v>0</v>
      </c>
      <c r="J9280" t="n">
        <v>0</v>
      </c>
      <c r="K9280" t="n">
        <v>0</v>
      </c>
      <c r="L9280" t="n">
        <v>0</v>
      </c>
      <c r="M9280" t="n">
        <v>0</v>
      </c>
      <c r="N9280" t="n">
        <v>0</v>
      </c>
      <c r="O9280" t="n">
        <v>0</v>
      </c>
      <c r="P9280" t="n">
        <v>0</v>
      </c>
      <c r="Q9280" t="n">
        <v>0</v>
      </c>
      <c r="R9280" s="2" t="inlineStr"/>
    </row>
    <row r="9281" ht="15" customHeight="1">
      <c r="A9281" t="inlineStr">
        <is>
          <t>A 12255-2023</t>
        </is>
      </c>
      <c r="B9281" s="1" t="n">
        <v>44998</v>
      </c>
      <c r="C9281" s="1" t="n">
        <v>45810</v>
      </c>
      <c r="D9281" t="inlineStr">
        <is>
          <t>VÄRMLANDS LÄN</t>
        </is>
      </c>
      <c r="E9281" t="inlineStr">
        <is>
          <t>KARLSTAD</t>
        </is>
      </c>
      <c r="G9281" t="n">
        <v>0.9</v>
      </c>
      <c r="H9281" t="n">
        <v>0</v>
      </c>
      <c r="I9281" t="n">
        <v>0</v>
      </c>
      <c r="J9281" t="n">
        <v>0</v>
      </c>
      <c r="K9281" t="n">
        <v>0</v>
      </c>
      <c r="L9281" t="n">
        <v>0</v>
      </c>
      <c r="M9281" t="n">
        <v>0</v>
      </c>
      <c r="N9281" t="n">
        <v>0</v>
      </c>
      <c r="O9281" t="n">
        <v>0</v>
      </c>
      <c r="P9281" t="n">
        <v>0</v>
      </c>
      <c r="Q9281" t="n">
        <v>0</v>
      </c>
      <c r="R9281" s="2" t="inlineStr"/>
    </row>
    <row r="9282" ht="15" customHeight="1">
      <c r="A9282" t="inlineStr">
        <is>
          <t>A 12289-2023</t>
        </is>
      </c>
      <c r="B9282" s="1" t="n">
        <v>44998</v>
      </c>
      <c r="C9282" s="1" t="n">
        <v>45810</v>
      </c>
      <c r="D9282" t="inlineStr">
        <is>
          <t>VÄRMLANDS LÄN</t>
        </is>
      </c>
      <c r="E9282" t="inlineStr">
        <is>
          <t>ÅRJÄNG</t>
        </is>
      </c>
      <c r="G9282" t="n">
        <v>1.6</v>
      </c>
      <c r="H9282" t="n">
        <v>0</v>
      </c>
      <c r="I9282" t="n">
        <v>0</v>
      </c>
      <c r="J9282" t="n">
        <v>0</v>
      </c>
      <c r="K9282" t="n">
        <v>0</v>
      </c>
      <c r="L9282" t="n">
        <v>0</v>
      </c>
      <c r="M9282" t="n">
        <v>0</v>
      </c>
      <c r="N9282" t="n">
        <v>0</v>
      </c>
      <c r="O9282" t="n">
        <v>0</v>
      </c>
      <c r="P9282" t="n">
        <v>0</v>
      </c>
      <c r="Q9282" t="n">
        <v>0</v>
      </c>
      <c r="R9282" s="2" t="inlineStr"/>
    </row>
    <row r="9283" ht="15" customHeight="1">
      <c r="A9283" t="inlineStr">
        <is>
          <t>A 12397-2023</t>
        </is>
      </c>
      <c r="B9283" s="1" t="n">
        <v>44999</v>
      </c>
      <c r="C9283" s="1" t="n">
        <v>45810</v>
      </c>
      <c r="D9283" t="inlineStr">
        <is>
          <t>VÄRMLANDS LÄN</t>
        </is>
      </c>
      <c r="E9283" t="inlineStr">
        <is>
          <t>KRISTINEHAMN</t>
        </is>
      </c>
      <c r="F9283" t="inlineStr">
        <is>
          <t>Kyrkan</t>
        </is>
      </c>
      <c r="G9283" t="n">
        <v>0.9</v>
      </c>
      <c r="H9283" t="n">
        <v>0</v>
      </c>
      <c r="I9283" t="n">
        <v>0</v>
      </c>
      <c r="J9283" t="n">
        <v>0</v>
      </c>
      <c r="K9283" t="n">
        <v>0</v>
      </c>
      <c r="L9283" t="n">
        <v>0</v>
      </c>
      <c r="M9283" t="n">
        <v>0</v>
      </c>
      <c r="N9283" t="n">
        <v>0</v>
      </c>
      <c r="O9283" t="n">
        <v>0</v>
      </c>
      <c r="P9283" t="n">
        <v>0</v>
      </c>
      <c r="Q9283" t="n">
        <v>0</v>
      </c>
      <c r="R9283" s="2" t="inlineStr"/>
    </row>
    <row r="9284" ht="15" customHeight="1">
      <c r="A9284" t="inlineStr">
        <is>
          <t>A 12326-2023</t>
        </is>
      </c>
      <c r="B9284" s="1" t="n">
        <v>44999</v>
      </c>
      <c r="C9284" s="1" t="n">
        <v>45810</v>
      </c>
      <c r="D9284" t="inlineStr">
        <is>
          <t>VÄRMLANDS LÄN</t>
        </is>
      </c>
      <c r="E9284" t="inlineStr">
        <is>
          <t>SÄFFLE</t>
        </is>
      </c>
      <c r="G9284" t="n">
        <v>4.3</v>
      </c>
      <c r="H9284" t="n">
        <v>0</v>
      </c>
      <c r="I9284" t="n">
        <v>0</v>
      </c>
      <c r="J9284" t="n">
        <v>0</v>
      </c>
      <c r="K9284" t="n">
        <v>0</v>
      </c>
      <c r="L9284" t="n">
        <v>0</v>
      </c>
      <c r="M9284" t="n">
        <v>0</v>
      </c>
      <c r="N9284" t="n">
        <v>0</v>
      </c>
      <c r="O9284" t="n">
        <v>0</v>
      </c>
      <c r="P9284" t="n">
        <v>0</v>
      </c>
      <c r="Q9284" t="n">
        <v>0</v>
      </c>
      <c r="R9284" s="2" t="inlineStr"/>
    </row>
    <row r="9285" ht="15" customHeight="1">
      <c r="A9285" t="inlineStr">
        <is>
          <t>A 12385-2023</t>
        </is>
      </c>
      <c r="B9285" s="1" t="n">
        <v>44999</v>
      </c>
      <c r="C9285" s="1" t="n">
        <v>45810</v>
      </c>
      <c r="D9285" t="inlineStr">
        <is>
          <t>VÄRMLANDS LÄN</t>
        </is>
      </c>
      <c r="E9285" t="inlineStr">
        <is>
          <t>EDA</t>
        </is>
      </c>
      <c r="G9285" t="n">
        <v>3.9</v>
      </c>
      <c r="H9285" t="n">
        <v>0</v>
      </c>
      <c r="I9285" t="n">
        <v>0</v>
      </c>
      <c r="J9285" t="n">
        <v>0</v>
      </c>
      <c r="K9285" t="n">
        <v>0</v>
      </c>
      <c r="L9285" t="n">
        <v>0</v>
      </c>
      <c r="M9285" t="n">
        <v>0</v>
      </c>
      <c r="N9285" t="n">
        <v>0</v>
      </c>
      <c r="O9285" t="n">
        <v>0</v>
      </c>
      <c r="P9285" t="n">
        <v>0</v>
      </c>
      <c r="Q9285" t="n">
        <v>0</v>
      </c>
      <c r="R9285" s="2" t="inlineStr"/>
    </row>
    <row r="9286" ht="15" customHeight="1">
      <c r="A9286" t="inlineStr">
        <is>
          <t>A 12395-2023</t>
        </is>
      </c>
      <c r="B9286" s="1" t="n">
        <v>44999</v>
      </c>
      <c r="C9286" s="1" t="n">
        <v>45810</v>
      </c>
      <c r="D9286" t="inlineStr">
        <is>
          <t>VÄRMLANDS LÄN</t>
        </is>
      </c>
      <c r="E9286" t="inlineStr">
        <is>
          <t>SÄFFLE</t>
        </is>
      </c>
      <c r="F9286" t="inlineStr">
        <is>
          <t>Bergvik skog väst AB</t>
        </is>
      </c>
      <c r="G9286" t="n">
        <v>6.8</v>
      </c>
      <c r="H9286" t="n">
        <v>0</v>
      </c>
      <c r="I9286" t="n">
        <v>0</v>
      </c>
      <c r="J9286" t="n">
        <v>0</v>
      </c>
      <c r="K9286" t="n">
        <v>0</v>
      </c>
      <c r="L9286" t="n">
        <v>0</v>
      </c>
      <c r="M9286" t="n">
        <v>0</v>
      </c>
      <c r="N9286" t="n">
        <v>0</v>
      </c>
      <c r="O9286" t="n">
        <v>0</v>
      </c>
      <c r="P9286" t="n">
        <v>0</v>
      </c>
      <c r="Q9286" t="n">
        <v>0</v>
      </c>
      <c r="R9286" s="2" t="inlineStr"/>
    </row>
    <row r="9287" ht="15" customHeight="1">
      <c r="A9287" t="inlineStr">
        <is>
          <t>A 12465-2023</t>
        </is>
      </c>
      <c r="B9287" s="1" t="n">
        <v>44999</v>
      </c>
      <c r="C9287" s="1" t="n">
        <v>45810</v>
      </c>
      <c r="D9287" t="inlineStr">
        <is>
          <t>VÄRMLANDS LÄN</t>
        </is>
      </c>
      <c r="E9287" t="inlineStr">
        <is>
          <t>STORFORS</t>
        </is>
      </c>
      <c r="F9287" t="inlineStr">
        <is>
          <t>Bergvik skog väst AB</t>
        </is>
      </c>
      <c r="G9287" t="n">
        <v>2.3</v>
      </c>
      <c r="H9287" t="n">
        <v>0</v>
      </c>
      <c r="I9287" t="n">
        <v>0</v>
      </c>
      <c r="J9287" t="n">
        <v>0</v>
      </c>
      <c r="K9287" t="n">
        <v>0</v>
      </c>
      <c r="L9287" t="n">
        <v>0</v>
      </c>
      <c r="M9287" t="n">
        <v>0</v>
      </c>
      <c r="N9287" t="n">
        <v>0</v>
      </c>
      <c r="O9287" t="n">
        <v>0</v>
      </c>
      <c r="P9287" t="n">
        <v>0</v>
      </c>
      <c r="Q9287" t="n">
        <v>0</v>
      </c>
      <c r="R9287" s="2" t="inlineStr"/>
    </row>
    <row r="9288" ht="15" customHeight="1">
      <c r="A9288" t="inlineStr">
        <is>
          <t>A 12481-2023</t>
        </is>
      </c>
      <c r="B9288" s="1" t="n">
        <v>44999</v>
      </c>
      <c r="C9288" s="1" t="n">
        <v>45810</v>
      </c>
      <c r="D9288" t="inlineStr">
        <is>
          <t>VÄRMLANDS LÄN</t>
        </is>
      </c>
      <c r="E9288" t="inlineStr">
        <is>
          <t>ARVIKA</t>
        </is>
      </c>
      <c r="F9288" t="inlineStr">
        <is>
          <t>Bergvik skog väst AB</t>
        </is>
      </c>
      <c r="G9288" t="n">
        <v>1.5</v>
      </c>
      <c r="H9288" t="n">
        <v>0</v>
      </c>
      <c r="I9288" t="n">
        <v>0</v>
      </c>
      <c r="J9288" t="n">
        <v>0</v>
      </c>
      <c r="K9288" t="n">
        <v>0</v>
      </c>
      <c r="L9288" t="n">
        <v>0</v>
      </c>
      <c r="M9288" t="n">
        <v>0</v>
      </c>
      <c r="N9288" t="n">
        <v>0</v>
      </c>
      <c r="O9288" t="n">
        <v>0</v>
      </c>
      <c r="P9288" t="n">
        <v>0</v>
      </c>
      <c r="Q9288" t="n">
        <v>0</v>
      </c>
      <c r="R9288" s="2" t="inlineStr"/>
    </row>
    <row r="9289" ht="15" customHeight="1">
      <c r="A9289" t="inlineStr">
        <is>
          <t>A 12441-2023</t>
        </is>
      </c>
      <c r="B9289" s="1" t="n">
        <v>44999</v>
      </c>
      <c r="C9289" s="1" t="n">
        <v>45810</v>
      </c>
      <c r="D9289" t="inlineStr">
        <is>
          <t>VÄRMLANDS LÄN</t>
        </is>
      </c>
      <c r="E9289" t="inlineStr">
        <is>
          <t>TORSBY</t>
        </is>
      </c>
      <c r="G9289" t="n">
        <v>2.9</v>
      </c>
      <c r="H9289" t="n">
        <v>0</v>
      </c>
      <c r="I9289" t="n">
        <v>0</v>
      </c>
      <c r="J9289" t="n">
        <v>0</v>
      </c>
      <c r="K9289" t="n">
        <v>0</v>
      </c>
      <c r="L9289" t="n">
        <v>0</v>
      </c>
      <c r="M9289" t="n">
        <v>0</v>
      </c>
      <c r="N9289" t="n">
        <v>0</v>
      </c>
      <c r="O9289" t="n">
        <v>0</v>
      </c>
      <c r="P9289" t="n">
        <v>0</v>
      </c>
      <c r="Q9289" t="n">
        <v>0</v>
      </c>
      <c r="R9289" s="2" t="inlineStr"/>
    </row>
    <row r="9290" ht="15" customHeight="1">
      <c r="A9290" t="inlineStr">
        <is>
          <t>A 12453-2023</t>
        </is>
      </c>
      <c r="B9290" s="1" t="n">
        <v>44999</v>
      </c>
      <c r="C9290" s="1" t="n">
        <v>45810</v>
      </c>
      <c r="D9290" t="inlineStr">
        <is>
          <t>VÄRMLANDS LÄN</t>
        </is>
      </c>
      <c r="E9290" t="inlineStr">
        <is>
          <t>TORSBY</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12458-2023</t>
        </is>
      </c>
      <c r="B9291" s="1" t="n">
        <v>44999</v>
      </c>
      <c r="C9291" s="1" t="n">
        <v>45810</v>
      </c>
      <c r="D9291" t="inlineStr">
        <is>
          <t>VÄRMLANDS LÄN</t>
        </is>
      </c>
      <c r="E9291" t="inlineStr">
        <is>
          <t>TORSBY</t>
        </is>
      </c>
      <c r="G9291" t="n">
        <v>2.7</v>
      </c>
      <c r="H9291" t="n">
        <v>0</v>
      </c>
      <c r="I9291" t="n">
        <v>0</v>
      </c>
      <c r="J9291" t="n">
        <v>0</v>
      </c>
      <c r="K9291" t="n">
        <v>0</v>
      </c>
      <c r="L9291" t="n">
        <v>0</v>
      </c>
      <c r="M9291" t="n">
        <v>0</v>
      </c>
      <c r="N9291" t="n">
        <v>0</v>
      </c>
      <c r="O9291" t="n">
        <v>0</v>
      </c>
      <c r="P9291" t="n">
        <v>0</v>
      </c>
      <c r="Q9291" t="n">
        <v>0</v>
      </c>
      <c r="R9291" s="2" t="inlineStr"/>
    </row>
    <row r="9292" ht="15" customHeight="1">
      <c r="A9292" t="inlineStr">
        <is>
          <t>A 12455-2023</t>
        </is>
      </c>
      <c r="B9292" s="1" t="n">
        <v>44999</v>
      </c>
      <c r="C9292" s="1" t="n">
        <v>45810</v>
      </c>
      <c r="D9292" t="inlineStr">
        <is>
          <t>VÄRMLANDS LÄN</t>
        </is>
      </c>
      <c r="E9292" t="inlineStr">
        <is>
          <t>STORFORS</t>
        </is>
      </c>
      <c r="F9292" t="inlineStr">
        <is>
          <t>Bergvik skog väst AB</t>
        </is>
      </c>
      <c r="G9292" t="n">
        <v>0.9</v>
      </c>
      <c r="H9292" t="n">
        <v>0</v>
      </c>
      <c r="I9292" t="n">
        <v>0</v>
      </c>
      <c r="J9292" t="n">
        <v>0</v>
      </c>
      <c r="K9292" t="n">
        <v>0</v>
      </c>
      <c r="L9292" t="n">
        <v>0</v>
      </c>
      <c r="M9292" t="n">
        <v>0</v>
      </c>
      <c r="N9292" t="n">
        <v>0</v>
      </c>
      <c r="O9292" t="n">
        <v>0</v>
      </c>
      <c r="P9292" t="n">
        <v>0</v>
      </c>
      <c r="Q9292" t="n">
        <v>0</v>
      </c>
      <c r="R9292" s="2" t="inlineStr"/>
    </row>
    <row r="9293" ht="15" customHeight="1">
      <c r="A9293" t="inlineStr">
        <is>
          <t>A 12460-2023</t>
        </is>
      </c>
      <c r="B9293" s="1" t="n">
        <v>44999</v>
      </c>
      <c r="C9293" s="1" t="n">
        <v>45810</v>
      </c>
      <c r="D9293" t="inlineStr">
        <is>
          <t>VÄRMLANDS LÄN</t>
        </is>
      </c>
      <c r="E9293" t="inlineStr">
        <is>
          <t>KRISTINEHAMN</t>
        </is>
      </c>
      <c r="F9293" t="inlineStr">
        <is>
          <t>Naturvårdsverket</t>
        </is>
      </c>
      <c r="G9293" t="n">
        <v>1.7</v>
      </c>
      <c r="H9293" t="n">
        <v>0</v>
      </c>
      <c r="I9293" t="n">
        <v>0</v>
      </c>
      <c r="J9293" t="n">
        <v>0</v>
      </c>
      <c r="K9293" t="n">
        <v>0</v>
      </c>
      <c r="L9293" t="n">
        <v>0</v>
      </c>
      <c r="M9293" t="n">
        <v>0</v>
      </c>
      <c r="N9293" t="n">
        <v>0</v>
      </c>
      <c r="O9293" t="n">
        <v>0</v>
      </c>
      <c r="P9293" t="n">
        <v>0</v>
      </c>
      <c r="Q9293" t="n">
        <v>0</v>
      </c>
      <c r="R9293" s="2" t="inlineStr"/>
    </row>
    <row r="9294" ht="15" customHeight="1">
      <c r="A9294" t="inlineStr">
        <is>
          <t>A 12467-2023</t>
        </is>
      </c>
      <c r="B9294" s="1" t="n">
        <v>44999</v>
      </c>
      <c r="C9294" s="1" t="n">
        <v>45810</v>
      </c>
      <c r="D9294" t="inlineStr">
        <is>
          <t>VÄRMLANDS LÄN</t>
        </is>
      </c>
      <c r="E9294" t="inlineStr">
        <is>
          <t>TORSBY</t>
        </is>
      </c>
      <c r="G9294" t="n">
        <v>1.7</v>
      </c>
      <c r="H9294" t="n">
        <v>0</v>
      </c>
      <c r="I9294" t="n">
        <v>0</v>
      </c>
      <c r="J9294" t="n">
        <v>0</v>
      </c>
      <c r="K9294" t="n">
        <v>0</v>
      </c>
      <c r="L9294" t="n">
        <v>0</v>
      </c>
      <c r="M9294" t="n">
        <v>0</v>
      </c>
      <c r="N9294" t="n">
        <v>0</v>
      </c>
      <c r="O9294" t="n">
        <v>0</v>
      </c>
      <c r="P9294" t="n">
        <v>0</v>
      </c>
      <c r="Q9294" t="n">
        <v>0</v>
      </c>
      <c r="R9294" s="2" t="inlineStr"/>
    </row>
    <row r="9295" ht="15" customHeight="1">
      <c r="A9295" t="inlineStr">
        <is>
          <t>A 12475-2023</t>
        </is>
      </c>
      <c r="B9295" s="1" t="n">
        <v>44999</v>
      </c>
      <c r="C9295" s="1" t="n">
        <v>45810</v>
      </c>
      <c r="D9295" t="inlineStr">
        <is>
          <t>VÄRMLANDS LÄN</t>
        </is>
      </c>
      <c r="E9295" t="inlineStr">
        <is>
          <t>KARLSTAD</t>
        </is>
      </c>
      <c r="G9295" t="n">
        <v>2.2</v>
      </c>
      <c r="H9295" t="n">
        <v>0</v>
      </c>
      <c r="I9295" t="n">
        <v>0</v>
      </c>
      <c r="J9295" t="n">
        <v>0</v>
      </c>
      <c r="K9295" t="n">
        <v>0</v>
      </c>
      <c r="L9295" t="n">
        <v>0</v>
      </c>
      <c r="M9295" t="n">
        <v>0</v>
      </c>
      <c r="N9295" t="n">
        <v>0</v>
      </c>
      <c r="O9295" t="n">
        <v>0</v>
      </c>
      <c r="P9295" t="n">
        <v>0</v>
      </c>
      <c r="Q9295" t="n">
        <v>0</v>
      </c>
      <c r="R9295" s="2" t="inlineStr"/>
    </row>
    <row r="9296" ht="15" customHeight="1">
      <c r="A9296" t="inlineStr">
        <is>
          <t>A 12573-2023</t>
        </is>
      </c>
      <c r="B9296" s="1" t="n">
        <v>45000</v>
      </c>
      <c r="C9296" s="1" t="n">
        <v>45810</v>
      </c>
      <c r="D9296" t="inlineStr">
        <is>
          <t>VÄRMLANDS LÄN</t>
        </is>
      </c>
      <c r="E9296" t="inlineStr">
        <is>
          <t>KRISTINEHAMN</t>
        </is>
      </c>
      <c r="G9296" t="n">
        <v>0.9</v>
      </c>
      <c r="H9296" t="n">
        <v>0</v>
      </c>
      <c r="I9296" t="n">
        <v>0</v>
      </c>
      <c r="J9296" t="n">
        <v>0</v>
      </c>
      <c r="K9296" t="n">
        <v>0</v>
      </c>
      <c r="L9296" t="n">
        <v>0</v>
      </c>
      <c r="M9296" t="n">
        <v>0</v>
      </c>
      <c r="N9296" t="n">
        <v>0</v>
      </c>
      <c r="O9296" t="n">
        <v>0</v>
      </c>
      <c r="P9296" t="n">
        <v>0</v>
      </c>
      <c r="Q9296" t="n">
        <v>0</v>
      </c>
      <c r="R9296" s="2" t="inlineStr"/>
    </row>
    <row r="9297" ht="15" customHeight="1">
      <c r="A9297" t="inlineStr">
        <is>
          <t>A 12635-2023</t>
        </is>
      </c>
      <c r="B9297" s="1" t="n">
        <v>45000</v>
      </c>
      <c r="C9297" s="1" t="n">
        <v>45810</v>
      </c>
      <c r="D9297" t="inlineStr">
        <is>
          <t>VÄRMLANDS LÄN</t>
        </is>
      </c>
      <c r="E9297" t="inlineStr">
        <is>
          <t>HAGFORS</t>
        </is>
      </c>
      <c r="G9297" t="n">
        <v>18.8</v>
      </c>
      <c r="H9297" t="n">
        <v>0</v>
      </c>
      <c r="I9297" t="n">
        <v>0</v>
      </c>
      <c r="J9297" t="n">
        <v>0</v>
      </c>
      <c r="K9297" t="n">
        <v>0</v>
      </c>
      <c r="L9297" t="n">
        <v>0</v>
      </c>
      <c r="M9297" t="n">
        <v>0</v>
      </c>
      <c r="N9297" t="n">
        <v>0</v>
      </c>
      <c r="O9297" t="n">
        <v>0</v>
      </c>
      <c r="P9297" t="n">
        <v>0</v>
      </c>
      <c r="Q9297" t="n">
        <v>0</v>
      </c>
      <c r="R9297" s="2" t="inlineStr"/>
    </row>
    <row r="9298" ht="15" customHeight="1">
      <c r="A9298" t="inlineStr">
        <is>
          <t>A 12681-2023</t>
        </is>
      </c>
      <c r="B9298" s="1" t="n">
        <v>45000</v>
      </c>
      <c r="C9298" s="1" t="n">
        <v>45810</v>
      </c>
      <c r="D9298" t="inlineStr">
        <is>
          <t>VÄRMLANDS LÄN</t>
        </is>
      </c>
      <c r="E9298" t="inlineStr">
        <is>
          <t>ARVIKA</t>
        </is>
      </c>
      <c r="F9298" t="inlineStr">
        <is>
          <t>Bergvik skog väst AB</t>
        </is>
      </c>
      <c r="G9298" t="n">
        <v>2.8</v>
      </c>
      <c r="H9298" t="n">
        <v>0</v>
      </c>
      <c r="I9298" t="n">
        <v>0</v>
      </c>
      <c r="J9298" t="n">
        <v>0</v>
      </c>
      <c r="K9298" t="n">
        <v>0</v>
      </c>
      <c r="L9298" t="n">
        <v>0</v>
      </c>
      <c r="M9298" t="n">
        <v>0</v>
      </c>
      <c r="N9298" t="n">
        <v>0</v>
      </c>
      <c r="O9298" t="n">
        <v>0</v>
      </c>
      <c r="P9298" t="n">
        <v>0</v>
      </c>
      <c r="Q9298" t="n">
        <v>0</v>
      </c>
      <c r="R9298" s="2" t="inlineStr"/>
    </row>
    <row r="9299" ht="15" customHeight="1">
      <c r="A9299" t="inlineStr">
        <is>
          <t>A 12689-2023</t>
        </is>
      </c>
      <c r="B9299" s="1" t="n">
        <v>45000</v>
      </c>
      <c r="C9299" s="1" t="n">
        <v>45810</v>
      </c>
      <c r="D9299" t="inlineStr">
        <is>
          <t>VÄRMLANDS LÄN</t>
        </is>
      </c>
      <c r="E9299" t="inlineStr">
        <is>
          <t>TORSBY</t>
        </is>
      </c>
      <c r="G9299" t="n">
        <v>4.7</v>
      </c>
      <c r="H9299" t="n">
        <v>0</v>
      </c>
      <c r="I9299" t="n">
        <v>0</v>
      </c>
      <c r="J9299" t="n">
        <v>0</v>
      </c>
      <c r="K9299" t="n">
        <v>0</v>
      </c>
      <c r="L9299" t="n">
        <v>0</v>
      </c>
      <c r="M9299" t="n">
        <v>0</v>
      </c>
      <c r="N9299" t="n">
        <v>0</v>
      </c>
      <c r="O9299" t="n">
        <v>0</v>
      </c>
      <c r="P9299" t="n">
        <v>0</v>
      </c>
      <c r="Q9299" t="n">
        <v>0</v>
      </c>
      <c r="R9299" s="2" t="inlineStr"/>
    </row>
    <row r="9300" ht="15" customHeight="1">
      <c r="A9300" t="inlineStr">
        <is>
          <t>A 12712-2023</t>
        </is>
      </c>
      <c r="B9300" s="1" t="n">
        <v>45000</v>
      </c>
      <c r="C9300" s="1" t="n">
        <v>45810</v>
      </c>
      <c r="D9300" t="inlineStr">
        <is>
          <t>VÄRMLANDS LÄN</t>
        </is>
      </c>
      <c r="E9300" t="inlineStr">
        <is>
          <t>EDA</t>
        </is>
      </c>
      <c r="G9300" t="n">
        <v>0.8</v>
      </c>
      <c r="H9300" t="n">
        <v>0</v>
      </c>
      <c r="I9300" t="n">
        <v>0</v>
      </c>
      <c r="J9300" t="n">
        <v>0</v>
      </c>
      <c r="K9300" t="n">
        <v>0</v>
      </c>
      <c r="L9300" t="n">
        <v>0</v>
      </c>
      <c r="M9300" t="n">
        <v>0</v>
      </c>
      <c r="N9300" t="n">
        <v>0</v>
      </c>
      <c r="O9300" t="n">
        <v>0</v>
      </c>
      <c r="P9300" t="n">
        <v>0</v>
      </c>
      <c r="Q9300" t="n">
        <v>0</v>
      </c>
      <c r="R9300" s="2" t="inlineStr"/>
    </row>
    <row r="9301" ht="15" customHeight="1">
      <c r="A9301" t="inlineStr">
        <is>
          <t>A 12566-2023</t>
        </is>
      </c>
      <c r="B9301" s="1" t="n">
        <v>45000</v>
      </c>
      <c r="C9301" s="1" t="n">
        <v>45810</v>
      </c>
      <c r="D9301" t="inlineStr">
        <is>
          <t>VÄRMLANDS LÄN</t>
        </is>
      </c>
      <c r="E9301" t="inlineStr">
        <is>
          <t>FILIPSTAD</t>
        </is>
      </c>
      <c r="F9301" t="inlineStr">
        <is>
          <t>Bergvik skog väst AB</t>
        </is>
      </c>
      <c r="G9301" t="n">
        <v>15.1</v>
      </c>
      <c r="H9301" t="n">
        <v>0</v>
      </c>
      <c r="I9301" t="n">
        <v>0</v>
      </c>
      <c r="J9301" t="n">
        <v>0</v>
      </c>
      <c r="K9301" t="n">
        <v>0</v>
      </c>
      <c r="L9301" t="n">
        <v>0</v>
      </c>
      <c r="M9301" t="n">
        <v>0</v>
      </c>
      <c r="N9301" t="n">
        <v>0</v>
      </c>
      <c r="O9301" t="n">
        <v>0</v>
      </c>
      <c r="P9301" t="n">
        <v>0</v>
      </c>
      <c r="Q9301" t="n">
        <v>0</v>
      </c>
      <c r="R9301" s="2" t="inlineStr"/>
    </row>
    <row r="9302" ht="15" customHeight="1">
      <c r="A9302" t="inlineStr">
        <is>
          <t>A 12563-2023</t>
        </is>
      </c>
      <c r="B9302" s="1" t="n">
        <v>45000</v>
      </c>
      <c r="C9302" s="1" t="n">
        <v>45810</v>
      </c>
      <c r="D9302" t="inlineStr">
        <is>
          <t>VÄRMLANDS LÄN</t>
        </is>
      </c>
      <c r="E9302" t="inlineStr">
        <is>
          <t>MUNKFORS</t>
        </is>
      </c>
      <c r="F9302" t="inlineStr">
        <is>
          <t>Bergvik skog väst AB</t>
        </is>
      </c>
      <c r="G9302" t="n">
        <v>1.3</v>
      </c>
      <c r="H9302" t="n">
        <v>0</v>
      </c>
      <c r="I9302" t="n">
        <v>0</v>
      </c>
      <c r="J9302" t="n">
        <v>0</v>
      </c>
      <c r="K9302" t="n">
        <v>0</v>
      </c>
      <c r="L9302" t="n">
        <v>0</v>
      </c>
      <c r="M9302" t="n">
        <v>0</v>
      </c>
      <c r="N9302" t="n">
        <v>0</v>
      </c>
      <c r="O9302" t="n">
        <v>0</v>
      </c>
      <c r="P9302" t="n">
        <v>0</v>
      </c>
      <c r="Q9302" t="n">
        <v>0</v>
      </c>
      <c r="R9302" s="2" t="inlineStr"/>
    </row>
    <row r="9303" ht="15" customHeight="1">
      <c r="A9303" t="inlineStr">
        <is>
          <t>A 12588-2023</t>
        </is>
      </c>
      <c r="B9303" s="1" t="n">
        <v>45000</v>
      </c>
      <c r="C9303" s="1" t="n">
        <v>45810</v>
      </c>
      <c r="D9303" t="inlineStr">
        <is>
          <t>VÄRMLANDS LÄN</t>
        </is>
      </c>
      <c r="E9303" t="inlineStr">
        <is>
          <t>MUNKFORS</t>
        </is>
      </c>
      <c r="F9303" t="inlineStr">
        <is>
          <t>Bergvik skog väst AB</t>
        </is>
      </c>
      <c r="G9303" t="n">
        <v>2.5</v>
      </c>
      <c r="H9303" t="n">
        <v>0</v>
      </c>
      <c r="I9303" t="n">
        <v>0</v>
      </c>
      <c r="J9303" t="n">
        <v>0</v>
      </c>
      <c r="K9303" t="n">
        <v>0</v>
      </c>
      <c r="L9303" t="n">
        <v>0</v>
      </c>
      <c r="M9303" t="n">
        <v>0</v>
      </c>
      <c r="N9303" t="n">
        <v>0</v>
      </c>
      <c r="O9303" t="n">
        <v>0</v>
      </c>
      <c r="P9303" t="n">
        <v>0</v>
      </c>
      <c r="Q9303" t="n">
        <v>0</v>
      </c>
      <c r="R9303" s="2" t="inlineStr"/>
    </row>
    <row r="9304" ht="15" customHeight="1">
      <c r="A9304" t="inlineStr">
        <is>
          <t>A 12645-2023</t>
        </is>
      </c>
      <c r="B9304" s="1" t="n">
        <v>45000</v>
      </c>
      <c r="C9304" s="1" t="n">
        <v>45810</v>
      </c>
      <c r="D9304" t="inlineStr">
        <is>
          <t>VÄRMLANDS LÄN</t>
        </is>
      </c>
      <c r="E9304" t="inlineStr">
        <is>
          <t>HAGFORS</t>
        </is>
      </c>
      <c r="G9304" t="n">
        <v>6</v>
      </c>
      <c r="H9304" t="n">
        <v>0</v>
      </c>
      <c r="I9304" t="n">
        <v>0</v>
      </c>
      <c r="J9304" t="n">
        <v>0</v>
      </c>
      <c r="K9304" t="n">
        <v>0</v>
      </c>
      <c r="L9304" t="n">
        <v>0</v>
      </c>
      <c r="M9304" t="n">
        <v>0</v>
      </c>
      <c r="N9304" t="n">
        <v>0</v>
      </c>
      <c r="O9304" t="n">
        <v>0</v>
      </c>
      <c r="P9304" t="n">
        <v>0</v>
      </c>
      <c r="Q9304" t="n">
        <v>0</v>
      </c>
      <c r="R9304" s="2" t="inlineStr"/>
    </row>
    <row r="9305" ht="15" customHeight="1">
      <c r="A9305" t="inlineStr">
        <is>
          <t>A 12568-2023</t>
        </is>
      </c>
      <c r="B9305" s="1" t="n">
        <v>45000</v>
      </c>
      <c r="C9305" s="1" t="n">
        <v>45810</v>
      </c>
      <c r="D9305" t="inlineStr">
        <is>
          <t>VÄRMLANDS LÄN</t>
        </is>
      </c>
      <c r="E9305" t="inlineStr">
        <is>
          <t>KRISTINEHAMN</t>
        </is>
      </c>
      <c r="G9305" t="n">
        <v>0.6</v>
      </c>
      <c r="H9305" t="n">
        <v>0</v>
      </c>
      <c r="I9305" t="n">
        <v>0</v>
      </c>
      <c r="J9305" t="n">
        <v>0</v>
      </c>
      <c r="K9305" t="n">
        <v>0</v>
      </c>
      <c r="L9305" t="n">
        <v>0</v>
      </c>
      <c r="M9305" t="n">
        <v>0</v>
      </c>
      <c r="N9305" t="n">
        <v>0</v>
      </c>
      <c r="O9305" t="n">
        <v>0</v>
      </c>
      <c r="P9305" t="n">
        <v>0</v>
      </c>
      <c r="Q9305" t="n">
        <v>0</v>
      </c>
      <c r="R9305" s="2" t="inlineStr"/>
    </row>
    <row r="9306" ht="15" customHeight="1">
      <c r="A9306" t="inlineStr">
        <is>
          <t>A 12637-2023</t>
        </is>
      </c>
      <c r="B9306" s="1" t="n">
        <v>45000</v>
      </c>
      <c r="C9306" s="1" t="n">
        <v>45810</v>
      </c>
      <c r="D9306" t="inlineStr">
        <is>
          <t>VÄRMLANDS LÄN</t>
        </is>
      </c>
      <c r="E9306" t="inlineStr">
        <is>
          <t>TORSBY</t>
        </is>
      </c>
      <c r="G9306" t="n">
        <v>2.3</v>
      </c>
      <c r="H9306" t="n">
        <v>0</v>
      </c>
      <c r="I9306" t="n">
        <v>0</v>
      </c>
      <c r="J9306" t="n">
        <v>0</v>
      </c>
      <c r="K9306" t="n">
        <v>0</v>
      </c>
      <c r="L9306" t="n">
        <v>0</v>
      </c>
      <c r="M9306" t="n">
        <v>0</v>
      </c>
      <c r="N9306" t="n">
        <v>0</v>
      </c>
      <c r="O9306" t="n">
        <v>0</v>
      </c>
      <c r="P9306" t="n">
        <v>0</v>
      </c>
      <c r="Q9306" t="n">
        <v>0</v>
      </c>
      <c r="R9306" s="2" t="inlineStr"/>
    </row>
    <row r="9307" ht="15" customHeight="1">
      <c r="A9307" t="inlineStr">
        <is>
          <t>A 12670-2023</t>
        </is>
      </c>
      <c r="B9307" s="1" t="n">
        <v>45000</v>
      </c>
      <c r="C9307" s="1" t="n">
        <v>45810</v>
      </c>
      <c r="D9307" t="inlineStr">
        <is>
          <t>VÄRMLANDS LÄN</t>
        </is>
      </c>
      <c r="E9307" t="inlineStr">
        <is>
          <t>TORSBY</t>
        </is>
      </c>
      <c r="G9307" t="n">
        <v>3.7</v>
      </c>
      <c r="H9307" t="n">
        <v>0</v>
      </c>
      <c r="I9307" t="n">
        <v>0</v>
      </c>
      <c r="J9307" t="n">
        <v>0</v>
      </c>
      <c r="K9307" t="n">
        <v>0</v>
      </c>
      <c r="L9307" t="n">
        <v>0</v>
      </c>
      <c r="M9307" t="n">
        <v>0</v>
      </c>
      <c r="N9307" t="n">
        <v>0</v>
      </c>
      <c r="O9307" t="n">
        <v>0</v>
      </c>
      <c r="P9307" t="n">
        <v>0</v>
      </c>
      <c r="Q9307" t="n">
        <v>0</v>
      </c>
      <c r="R9307" s="2" t="inlineStr"/>
    </row>
    <row r="9308" ht="15" customHeight="1">
      <c r="A9308" t="inlineStr">
        <is>
          <t>A 12798-2023</t>
        </is>
      </c>
      <c r="B9308" s="1" t="n">
        <v>45000</v>
      </c>
      <c r="C9308" s="1" t="n">
        <v>45810</v>
      </c>
      <c r="D9308" t="inlineStr">
        <is>
          <t>VÄRMLANDS LÄN</t>
        </is>
      </c>
      <c r="E9308" t="inlineStr">
        <is>
          <t>SÄFFLE</t>
        </is>
      </c>
      <c r="G9308" t="n">
        <v>1.9</v>
      </c>
      <c r="H9308" t="n">
        <v>0</v>
      </c>
      <c r="I9308" t="n">
        <v>0</v>
      </c>
      <c r="J9308" t="n">
        <v>0</v>
      </c>
      <c r="K9308" t="n">
        <v>0</v>
      </c>
      <c r="L9308" t="n">
        <v>0</v>
      </c>
      <c r="M9308" t="n">
        <v>0</v>
      </c>
      <c r="N9308" t="n">
        <v>0</v>
      </c>
      <c r="O9308" t="n">
        <v>0</v>
      </c>
      <c r="P9308" t="n">
        <v>0</v>
      </c>
      <c r="Q9308" t="n">
        <v>0</v>
      </c>
      <c r="R9308" s="2" t="inlineStr"/>
    </row>
    <row r="9309" ht="15" customHeight="1">
      <c r="A9309" t="inlineStr">
        <is>
          <t>A 12826-2023</t>
        </is>
      </c>
      <c r="B9309" s="1" t="n">
        <v>45000</v>
      </c>
      <c r="C9309" s="1" t="n">
        <v>45810</v>
      </c>
      <c r="D9309" t="inlineStr">
        <is>
          <t>VÄRMLANDS LÄN</t>
        </is>
      </c>
      <c r="E9309" t="inlineStr">
        <is>
          <t>ARVIKA</t>
        </is>
      </c>
      <c r="G9309" t="n">
        <v>7</v>
      </c>
      <c r="H9309" t="n">
        <v>0</v>
      </c>
      <c r="I9309" t="n">
        <v>0</v>
      </c>
      <c r="J9309" t="n">
        <v>0</v>
      </c>
      <c r="K9309" t="n">
        <v>0</v>
      </c>
      <c r="L9309" t="n">
        <v>0</v>
      </c>
      <c r="M9309" t="n">
        <v>0</v>
      </c>
      <c r="N9309" t="n">
        <v>0</v>
      </c>
      <c r="O9309" t="n">
        <v>0</v>
      </c>
      <c r="P9309" t="n">
        <v>0</v>
      </c>
      <c r="Q9309" t="n">
        <v>0</v>
      </c>
      <c r="R9309" s="2" t="inlineStr"/>
    </row>
    <row r="9310" ht="15" customHeight="1">
      <c r="A9310" t="inlineStr">
        <is>
          <t>A 12824-2023</t>
        </is>
      </c>
      <c r="B9310" s="1" t="n">
        <v>45000</v>
      </c>
      <c r="C9310" s="1" t="n">
        <v>45810</v>
      </c>
      <c r="D9310" t="inlineStr">
        <is>
          <t>VÄRMLANDS LÄN</t>
        </is>
      </c>
      <c r="E9310" t="inlineStr">
        <is>
          <t>EDA</t>
        </is>
      </c>
      <c r="G9310" t="n">
        <v>1.4</v>
      </c>
      <c r="H9310" t="n">
        <v>0</v>
      </c>
      <c r="I9310" t="n">
        <v>0</v>
      </c>
      <c r="J9310" t="n">
        <v>0</v>
      </c>
      <c r="K9310" t="n">
        <v>0</v>
      </c>
      <c r="L9310" t="n">
        <v>0</v>
      </c>
      <c r="M9310" t="n">
        <v>0</v>
      </c>
      <c r="N9310" t="n">
        <v>0</v>
      </c>
      <c r="O9310" t="n">
        <v>0</v>
      </c>
      <c r="P9310" t="n">
        <v>0</v>
      </c>
      <c r="Q9310" t="n">
        <v>0</v>
      </c>
      <c r="R9310" s="2" t="inlineStr"/>
    </row>
    <row r="9311" ht="15" customHeight="1">
      <c r="A9311" t="inlineStr">
        <is>
          <t>A 12933-2023</t>
        </is>
      </c>
      <c r="B9311" s="1" t="n">
        <v>45001</v>
      </c>
      <c r="C9311" s="1" t="n">
        <v>45810</v>
      </c>
      <c r="D9311" t="inlineStr">
        <is>
          <t>VÄRMLANDS LÄN</t>
        </is>
      </c>
      <c r="E9311" t="inlineStr">
        <is>
          <t>TORSBY</t>
        </is>
      </c>
      <c r="G9311" t="n">
        <v>7.1</v>
      </c>
      <c r="H9311" t="n">
        <v>0</v>
      </c>
      <c r="I9311" t="n">
        <v>0</v>
      </c>
      <c r="J9311" t="n">
        <v>0</v>
      </c>
      <c r="K9311" t="n">
        <v>0</v>
      </c>
      <c r="L9311" t="n">
        <v>0</v>
      </c>
      <c r="M9311" t="n">
        <v>0</v>
      </c>
      <c r="N9311" t="n">
        <v>0</v>
      </c>
      <c r="O9311" t="n">
        <v>0</v>
      </c>
      <c r="P9311" t="n">
        <v>0</v>
      </c>
      <c r="Q9311" t="n">
        <v>0</v>
      </c>
      <c r="R9311" s="2" t="inlineStr"/>
    </row>
    <row r="9312" ht="15" customHeight="1">
      <c r="A9312" t="inlineStr">
        <is>
          <t>A 13101-2023</t>
        </is>
      </c>
      <c r="B9312" s="1" t="n">
        <v>45001</v>
      </c>
      <c r="C9312" s="1" t="n">
        <v>45810</v>
      </c>
      <c r="D9312" t="inlineStr">
        <is>
          <t>VÄRMLANDS LÄN</t>
        </is>
      </c>
      <c r="E9312" t="inlineStr">
        <is>
          <t>ARVIKA</t>
        </is>
      </c>
      <c r="G9312" t="n">
        <v>13.2</v>
      </c>
      <c r="H9312" t="n">
        <v>0</v>
      </c>
      <c r="I9312" t="n">
        <v>0</v>
      </c>
      <c r="J9312" t="n">
        <v>0</v>
      </c>
      <c r="K9312" t="n">
        <v>0</v>
      </c>
      <c r="L9312" t="n">
        <v>0</v>
      </c>
      <c r="M9312" t="n">
        <v>0</v>
      </c>
      <c r="N9312" t="n">
        <v>0</v>
      </c>
      <c r="O9312" t="n">
        <v>0</v>
      </c>
      <c r="P9312" t="n">
        <v>0</v>
      </c>
      <c r="Q9312" t="n">
        <v>0</v>
      </c>
      <c r="R9312" s="2" t="inlineStr"/>
    </row>
    <row r="9313" ht="15" customHeight="1">
      <c r="A9313" t="inlineStr">
        <is>
          <t>A 13074-2023</t>
        </is>
      </c>
      <c r="B9313" s="1" t="n">
        <v>45001</v>
      </c>
      <c r="C9313" s="1" t="n">
        <v>45810</v>
      </c>
      <c r="D9313" t="inlineStr">
        <is>
          <t>VÄRMLANDS LÄN</t>
        </is>
      </c>
      <c r="E9313" t="inlineStr">
        <is>
          <t>ARVIKA</t>
        </is>
      </c>
      <c r="G9313" t="n">
        <v>21.1</v>
      </c>
      <c r="H9313" t="n">
        <v>0</v>
      </c>
      <c r="I9313" t="n">
        <v>0</v>
      </c>
      <c r="J9313" t="n">
        <v>0</v>
      </c>
      <c r="K9313" t="n">
        <v>0</v>
      </c>
      <c r="L9313" t="n">
        <v>0</v>
      </c>
      <c r="M9313" t="n">
        <v>0</v>
      </c>
      <c r="N9313" t="n">
        <v>0</v>
      </c>
      <c r="O9313" t="n">
        <v>0</v>
      </c>
      <c r="P9313" t="n">
        <v>0</v>
      </c>
      <c r="Q9313" t="n">
        <v>0</v>
      </c>
      <c r="R9313" s="2" t="inlineStr"/>
    </row>
    <row r="9314" ht="15" customHeight="1">
      <c r="A9314" t="inlineStr">
        <is>
          <t>A 13054-2023</t>
        </is>
      </c>
      <c r="B9314" s="1" t="n">
        <v>45001</v>
      </c>
      <c r="C9314" s="1" t="n">
        <v>45810</v>
      </c>
      <c r="D9314" t="inlineStr">
        <is>
          <t>VÄRMLANDS LÄN</t>
        </is>
      </c>
      <c r="E9314" t="inlineStr">
        <is>
          <t>TORSBY</t>
        </is>
      </c>
      <c r="G9314" t="n">
        <v>1.9</v>
      </c>
      <c r="H9314" t="n">
        <v>0</v>
      </c>
      <c r="I9314" t="n">
        <v>0</v>
      </c>
      <c r="J9314" t="n">
        <v>0</v>
      </c>
      <c r="K9314" t="n">
        <v>0</v>
      </c>
      <c r="L9314" t="n">
        <v>0</v>
      </c>
      <c r="M9314" t="n">
        <v>0</v>
      </c>
      <c r="N9314" t="n">
        <v>0</v>
      </c>
      <c r="O9314" t="n">
        <v>0</v>
      </c>
      <c r="P9314" t="n">
        <v>0</v>
      </c>
      <c r="Q9314" t="n">
        <v>0</v>
      </c>
      <c r="R9314" s="2" t="inlineStr"/>
    </row>
    <row r="9315" ht="15" customHeight="1">
      <c r="A9315" t="inlineStr">
        <is>
          <t>A 13048-2023</t>
        </is>
      </c>
      <c r="B9315" s="1" t="n">
        <v>45001</v>
      </c>
      <c r="C9315" s="1" t="n">
        <v>45810</v>
      </c>
      <c r="D9315" t="inlineStr">
        <is>
          <t>VÄRMLANDS LÄN</t>
        </is>
      </c>
      <c r="E9315" t="inlineStr">
        <is>
          <t>TORSBY</t>
        </is>
      </c>
      <c r="G9315" t="n">
        <v>1.3</v>
      </c>
      <c r="H9315" t="n">
        <v>0</v>
      </c>
      <c r="I9315" t="n">
        <v>0</v>
      </c>
      <c r="J9315" t="n">
        <v>0</v>
      </c>
      <c r="K9315" t="n">
        <v>0</v>
      </c>
      <c r="L9315" t="n">
        <v>0</v>
      </c>
      <c r="M9315" t="n">
        <v>0</v>
      </c>
      <c r="N9315" t="n">
        <v>0</v>
      </c>
      <c r="O9315" t="n">
        <v>0</v>
      </c>
      <c r="P9315" t="n">
        <v>0</v>
      </c>
      <c r="Q9315" t="n">
        <v>0</v>
      </c>
      <c r="R9315" s="2" t="inlineStr"/>
    </row>
    <row r="9316" ht="15" customHeight="1">
      <c r="A9316" t="inlineStr">
        <is>
          <t>A 12968-2023</t>
        </is>
      </c>
      <c r="B9316" s="1" t="n">
        <v>45001</v>
      </c>
      <c r="C9316" s="1" t="n">
        <v>45810</v>
      </c>
      <c r="D9316" t="inlineStr">
        <is>
          <t>VÄRMLANDS LÄN</t>
        </is>
      </c>
      <c r="E9316" t="inlineStr">
        <is>
          <t>TORSBY</t>
        </is>
      </c>
      <c r="G9316" t="n">
        <v>4.2</v>
      </c>
      <c r="H9316" t="n">
        <v>0</v>
      </c>
      <c r="I9316" t="n">
        <v>0</v>
      </c>
      <c r="J9316" t="n">
        <v>0</v>
      </c>
      <c r="K9316" t="n">
        <v>0</v>
      </c>
      <c r="L9316" t="n">
        <v>0</v>
      </c>
      <c r="M9316" t="n">
        <v>0</v>
      </c>
      <c r="N9316" t="n">
        <v>0</v>
      </c>
      <c r="O9316" t="n">
        <v>0</v>
      </c>
      <c r="P9316" t="n">
        <v>0</v>
      </c>
      <c r="Q9316" t="n">
        <v>0</v>
      </c>
      <c r="R9316" s="2" t="inlineStr"/>
    </row>
    <row r="9317" ht="15" customHeight="1">
      <c r="A9317" t="inlineStr">
        <is>
          <t>A 13139-2023</t>
        </is>
      </c>
      <c r="B9317" s="1" t="n">
        <v>45001</v>
      </c>
      <c r="C9317" s="1" t="n">
        <v>45810</v>
      </c>
      <c r="D9317" t="inlineStr">
        <is>
          <t>VÄRMLANDS LÄN</t>
        </is>
      </c>
      <c r="E9317" t="inlineStr">
        <is>
          <t>ARVIKA</t>
        </is>
      </c>
      <c r="G9317" t="n">
        <v>3.4</v>
      </c>
      <c r="H9317" t="n">
        <v>0</v>
      </c>
      <c r="I9317" t="n">
        <v>0</v>
      </c>
      <c r="J9317" t="n">
        <v>0</v>
      </c>
      <c r="K9317" t="n">
        <v>0</v>
      </c>
      <c r="L9317" t="n">
        <v>0</v>
      </c>
      <c r="M9317" t="n">
        <v>0</v>
      </c>
      <c r="N9317" t="n">
        <v>0</v>
      </c>
      <c r="O9317" t="n">
        <v>0</v>
      </c>
      <c r="P9317" t="n">
        <v>0</v>
      </c>
      <c r="Q9317" t="n">
        <v>0</v>
      </c>
      <c r="R9317" s="2" t="inlineStr"/>
    </row>
    <row r="9318" ht="15" customHeight="1">
      <c r="A9318" t="inlineStr">
        <is>
          <t>A 13021-2023</t>
        </is>
      </c>
      <c r="B9318" s="1" t="n">
        <v>45002</v>
      </c>
      <c r="C9318" s="1" t="n">
        <v>45810</v>
      </c>
      <c r="D9318" t="inlineStr">
        <is>
          <t>VÄRMLANDS LÄN</t>
        </is>
      </c>
      <c r="E9318" t="inlineStr">
        <is>
          <t>KRISTINEHAMN</t>
        </is>
      </c>
      <c r="G9318" t="n">
        <v>4</v>
      </c>
      <c r="H9318" t="n">
        <v>0</v>
      </c>
      <c r="I9318" t="n">
        <v>0</v>
      </c>
      <c r="J9318" t="n">
        <v>0</v>
      </c>
      <c r="K9318" t="n">
        <v>0</v>
      </c>
      <c r="L9318" t="n">
        <v>0</v>
      </c>
      <c r="M9318" t="n">
        <v>0</v>
      </c>
      <c r="N9318" t="n">
        <v>0</v>
      </c>
      <c r="O9318" t="n">
        <v>0</v>
      </c>
      <c r="P9318" t="n">
        <v>0</v>
      </c>
      <c r="Q9318" t="n">
        <v>0</v>
      </c>
      <c r="R9318" s="2" t="inlineStr"/>
    </row>
    <row r="9319" ht="15" customHeight="1">
      <c r="A9319" t="inlineStr">
        <is>
          <t>A 13055-2023</t>
        </is>
      </c>
      <c r="B9319" s="1" t="n">
        <v>45002</v>
      </c>
      <c r="C9319" s="1" t="n">
        <v>45810</v>
      </c>
      <c r="D9319" t="inlineStr">
        <is>
          <t>VÄRMLANDS LÄN</t>
        </is>
      </c>
      <c r="E9319" t="inlineStr">
        <is>
          <t>GRUMS</t>
        </is>
      </c>
      <c r="G9319" t="n">
        <v>4.3</v>
      </c>
      <c r="H9319" t="n">
        <v>0</v>
      </c>
      <c r="I9319" t="n">
        <v>0</v>
      </c>
      <c r="J9319" t="n">
        <v>0</v>
      </c>
      <c r="K9319" t="n">
        <v>0</v>
      </c>
      <c r="L9319" t="n">
        <v>0</v>
      </c>
      <c r="M9319" t="n">
        <v>0</v>
      </c>
      <c r="N9319" t="n">
        <v>0</v>
      </c>
      <c r="O9319" t="n">
        <v>0</v>
      </c>
      <c r="P9319" t="n">
        <v>0</v>
      </c>
      <c r="Q9319" t="n">
        <v>0</v>
      </c>
      <c r="R9319" s="2" t="inlineStr"/>
    </row>
    <row r="9320" ht="15" customHeight="1">
      <c r="A9320" t="inlineStr">
        <is>
          <t>A 13118-2023</t>
        </is>
      </c>
      <c r="B9320" s="1" t="n">
        <v>45002</v>
      </c>
      <c r="C9320" s="1" t="n">
        <v>45810</v>
      </c>
      <c r="D9320" t="inlineStr">
        <is>
          <t>VÄRMLANDS LÄN</t>
        </is>
      </c>
      <c r="E9320" t="inlineStr">
        <is>
          <t>KARLSTAD</t>
        </is>
      </c>
      <c r="G9320" t="n">
        <v>4.5</v>
      </c>
      <c r="H9320" t="n">
        <v>0</v>
      </c>
      <c r="I9320" t="n">
        <v>0</v>
      </c>
      <c r="J9320" t="n">
        <v>0</v>
      </c>
      <c r="K9320" t="n">
        <v>0</v>
      </c>
      <c r="L9320" t="n">
        <v>0</v>
      </c>
      <c r="M9320" t="n">
        <v>0</v>
      </c>
      <c r="N9320" t="n">
        <v>0</v>
      </c>
      <c r="O9320" t="n">
        <v>0</v>
      </c>
      <c r="P9320" t="n">
        <v>0</v>
      </c>
      <c r="Q9320" t="n">
        <v>0</v>
      </c>
      <c r="R9320" s="2" t="inlineStr"/>
    </row>
    <row r="9321" ht="15" customHeight="1">
      <c r="A9321" t="inlineStr">
        <is>
          <t>A 13051-2023</t>
        </is>
      </c>
      <c r="B9321" s="1" t="n">
        <v>45002</v>
      </c>
      <c r="C9321" s="1" t="n">
        <v>45810</v>
      </c>
      <c r="D9321" t="inlineStr">
        <is>
          <t>VÄRMLANDS LÄN</t>
        </is>
      </c>
      <c r="E9321" t="inlineStr">
        <is>
          <t>ÅRJÄNG</t>
        </is>
      </c>
      <c r="G9321" t="n">
        <v>4.5</v>
      </c>
      <c r="H9321" t="n">
        <v>0</v>
      </c>
      <c r="I9321" t="n">
        <v>0</v>
      </c>
      <c r="J9321" t="n">
        <v>0</v>
      </c>
      <c r="K9321" t="n">
        <v>0</v>
      </c>
      <c r="L9321" t="n">
        <v>0</v>
      </c>
      <c r="M9321" t="n">
        <v>0</v>
      </c>
      <c r="N9321" t="n">
        <v>0</v>
      </c>
      <c r="O9321" t="n">
        <v>0</v>
      </c>
      <c r="P9321" t="n">
        <v>0</v>
      </c>
      <c r="Q9321" t="n">
        <v>0</v>
      </c>
      <c r="R9321" s="2" t="inlineStr"/>
    </row>
    <row r="9322" ht="15" customHeight="1">
      <c r="A9322" t="inlineStr">
        <is>
          <t>A 13147-2023</t>
        </is>
      </c>
      <c r="B9322" s="1" t="n">
        <v>45002</v>
      </c>
      <c r="C9322" s="1" t="n">
        <v>45810</v>
      </c>
      <c r="D9322" t="inlineStr">
        <is>
          <t>VÄRMLANDS LÄN</t>
        </is>
      </c>
      <c r="E9322" t="inlineStr">
        <is>
          <t>FORSHAGA</t>
        </is>
      </c>
      <c r="F9322" t="inlineStr">
        <is>
          <t>Bergvik skog väst AB</t>
        </is>
      </c>
      <c r="G9322" t="n">
        <v>3.9</v>
      </c>
      <c r="H9322" t="n">
        <v>0</v>
      </c>
      <c r="I9322" t="n">
        <v>0</v>
      </c>
      <c r="J9322" t="n">
        <v>0</v>
      </c>
      <c r="K9322" t="n">
        <v>0</v>
      </c>
      <c r="L9322" t="n">
        <v>0</v>
      </c>
      <c r="M9322" t="n">
        <v>0</v>
      </c>
      <c r="N9322" t="n">
        <v>0</v>
      </c>
      <c r="O9322" t="n">
        <v>0</v>
      </c>
      <c r="P9322" t="n">
        <v>0</v>
      </c>
      <c r="Q9322" t="n">
        <v>0</v>
      </c>
      <c r="R9322" s="2" t="inlineStr"/>
    </row>
    <row r="9323" ht="15" customHeight="1">
      <c r="A9323" t="inlineStr">
        <is>
          <t>A 13158-2023</t>
        </is>
      </c>
      <c r="B9323" s="1" t="n">
        <v>45002</v>
      </c>
      <c r="C9323" s="1" t="n">
        <v>45810</v>
      </c>
      <c r="D9323" t="inlineStr">
        <is>
          <t>VÄRMLANDS LÄN</t>
        </is>
      </c>
      <c r="E9323" t="inlineStr">
        <is>
          <t>SUNNE</t>
        </is>
      </c>
      <c r="F9323" t="inlineStr">
        <is>
          <t>Bergvik skog väst AB</t>
        </is>
      </c>
      <c r="G9323" t="n">
        <v>0.7</v>
      </c>
      <c r="H9323" t="n">
        <v>0</v>
      </c>
      <c r="I9323" t="n">
        <v>0</v>
      </c>
      <c r="J9323" t="n">
        <v>0</v>
      </c>
      <c r="K9323" t="n">
        <v>0</v>
      </c>
      <c r="L9323" t="n">
        <v>0</v>
      </c>
      <c r="M9323" t="n">
        <v>0</v>
      </c>
      <c r="N9323" t="n">
        <v>0</v>
      </c>
      <c r="O9323" t="n">
        <v>0</v>
      </c>
      <c r="P9323" t="n">
        <v>0</v>
      </c>
      <c r="Q9323" t="n">
        <v>0</v>
      </c>
      <c r="R9323" s="2" t="inlineStr"/>
    </row>
    <row r="9324" ht="15" customHeight="1">
      <c r="A9324" t="inlineStr">
        <is>
          <t>A 13121-2023</t>
        </is>
      </c>
      <c r="B9324" s="1" t="n">
        <v>45002</v>
      </c>
      <c r="C9324" s="1" t="n">
        <v>45810</v>
      </c>
      <c r="D9324" t="inlineStr">
        <is>
          <t>VÄRMLANDS LÄN</t>
        </is>
      </c>
      <c r="E9324" t="inlineStr">
        <is>
          <t>GRUMS</t>
        </is>
      </c>
      <c r="G9324" t="n">
        <v>0.6</v>
      </c>
      <c r="H9324" t="n">
        <v>0</v>
      </c>
      <c r="I9324" t="n">
        <v>0</v>
      </c>
      <c r="J9324" t="n">
        <v>0</v>
      </c>
      <c r="K9324" t="n">
        <v>0</v>
      </c>
      <c r="L9324" t="n">
        <v>0</v>
      </c>
      <c r="M9324" t="n">
        <v>0</v>
      </c>
      <c r="N9324" t="n">
        <v>0</v>
      </c>
      <c r="O9324" t="n">
        <v>0</v>
      </c>
      <c r="P9324" t="n">
        <v>0</v>
      </c>
      <c r="Q9324" t="n">
        <v>0</v>
      </c>
      <c r="R9324" s="2" t="inlineStr"/>
    </row>
    <row r="9325" ht="15" customHeight="1">
      <c r="A9325" t="inlineStr">
        <is>
          <t>A 13133-2023</t>
        </is>
      </c>
      <c r="B9325" s="1" t="n">
        <v>45002</v>
      </c>
      <c r="C9325" s="1" t="n">
        <v>45810</v>
      </c>
      <c r="D9325" t="inlineStr">
        <is>
          <t>VÄRMLANDS LÄN</t>
        </is>
      </c>
      <c r="E9325" t="inlineStr">
        <is>
          <t>ARVIKA</t>
        </is>
      </c>
      <c r="G9325" t="n">
        <v>0.9</v>
      </c>
      <c r="H9325" t="n">
        <v>0</v>
      </c>
      <c r="I9325" t="n">
        <v>0</v>
      </c>
      <c r="J9325" t="n">
        <v>0</v>
      </c>
      <c r="K9325" t="n">
        <v>0</v>
      </c>
      <c r="L9325" t="n">
        <v>0</v>
      </c>
      <c r="M9325" t="n">
        <v>0</v>
      </c>
      <c r="N9325" t="n">
        <v>0</v>
      </c>
      <c r="O9325" t="n">
        <v>0</v>
      </c>
      <c r="P9325" t="n">
        <v>0</v>
      </c>
      <c r="Q9325" t="n">
        <v>0</v>
      </c>
      <c r="R9325" s="2" t="inlineStr"/>
    </row>
    <row r="9326" ht="15" customHeight="1">
      <c r="A9326" t="inlineStr">
        <is>
          <t>A 13164-2023</t>
        </is>
      </c>
      <c r="B9326" s="1" t="n">
        <v>45002</v>
      </c>
      <c r="C9326" s="1" t="n">
        <v>45810</v>
      </c>
      <c r="D9326" t="inlineStr">
        <is>
          <t>VÄRMLANDS LÄN</t>
        </is>
      </c>
      <c r="E9326" t="inlineStr">
        <is>
          <t>MUNKFORS</t>
        </is>
      </c>
      <c r="F9326" t="inlineStr">
        <is>
          <t>Bergvik skog väst AB</t>
        </is>
      </c>
      <c r="G9326" t="n">
        <v>15.1</v>
      </c>
      <c r="H9326" t="n">
        <v>0</v>
      </c>
      <c r="I9326" t="n">
        <v>0</v>
      </c>
      <c r="J9326" t="n">
        <v>0</v>
      </c>
      <c r="K9326" t="n">
        <v>0</v>
      </c>
      <c r="L9326" t="n">
        <v>0</v>
      </c>
      <c r="M9326" t="n">
        <v>0</v>
      </c>
      <c r="N9326" t="n">
        <v>0</v>
      </c>
      <c r="O9326" t="n">
        <v>0</v>
      </c>
      <c r="P9326" t="n">
        <v>0</v>
      </c>
      <c r="Q9326" t="n">
        <v>0</v>
      </c>
      <c r="R9326" s="2" t="inlineStr"/>
    </row>
    <row r="9327" ht="15" customHeight="1">
      <c r="A9327" t="inlineStr">
        <is>
          <t>A 13208-2023</t>
        </is>
      </c>
      <c r="B9327" s="1" t="n">
        <v>45002</v>
      </c>
      <c r="C9327" s="1" t="n">
        <v>45810</v>
      </c>
      <c r="D9327" t="inlineStr">
        <is>
          <t>VÄRMLANDS LÄN</t>
        </is>
      </c>
      <c r="E9327" t="inlineStr">
        <is>
          <t>FORSHAGA</t>
        </is>
      </c>
      <c r="G9327" t="n">
        <v>1.5</v>
      </c>
      <c r="H9327" t="n">
        <v>0</v>
      </c>
      <c r="I9327" t="n">
        <v>0</v>
      </c>
      <c r="J9327" t="n">
        <v>0</v>
      </c>
      <c r="K9327" t="n">
        <v>0</v>
      </c>
      <c r="L9327" t="n">
        <v>0</v>
      </c>
      <c r="M9327" t="n">
        <v>0</v>
      </c>
      <c r="N9327" t="n">
        <v>0</v>
      </c>
      <c r="O9327" t="n">
        <v>0</v>
      </c>
      <c r="P9327" t="n">
        <v>0</v>
      </c>
      <c r="Q9327" t="n">
        <v>0</v>
      </c>
      <c r="R9327" s="2" t="inlineStr"/>
    </row>
    <row r="9328" ht="15" customHeight="1">
      <c r="A9328" t="inlineStr">
        <is>
          <t>A 13184-2023</t>
        </is>
      </c>
      <c r="B9328" s="1" t="n">
        <v>45002</v>
      </c>
      <c r="C9328" s="1" t="n">
        <v>45810</v>
      </c>
      <c r="D9328" t="inlineStr">
        <is>
          <t>VÄRMLANDS LÄN</t>
        </is>
      </c>
      <c r="E9328" t="inlineStr">
        <is>
          <t>FORSHAGA</t>
        </is>
      </c>
      <c r="F9328" t="inlineStr">
        <is>
          <t>Bergvik skog väst AB</t>
        </is>
      </c>
      <c r="G9328" t="n">
        <v>1.2</v>
      </c>
      <c r="H9328" t="n">
        <v>0</v>
      </c>
      <c r="I9328" t="n">
        <v>0</v>
      </c>
      <c r="J9328" t="n">
        <v>0</v>
      </c>
      <c r="K9328" t="n">
        <v>0</v>
      </c>
      <c r="L9328" t="n">
        <v>0</v>
      </c>
      <c r="M9328" t="n">
        <v>0</v>
      </c>
      <c r="N9328" t="n">
        <v>0</v>
      </c>
      <c r="O9328" t="n">
        <v>0</v>
      </c>
      <c r="P9328" t="n">
        <v>0</v>
      </c>
      <c r="Q9328" t="n">
        <v>0</v>
      </c>
      <c r="R9328" s="2" t="inlineStr"/>
    </row>
    <row r="9329" ht="15" customHeight="1">
      <c r="A9329" t="inlineStr">
        <is>
          <t>A 13188-2023</t>
        </is>
      </c>
      <c r="B9329" s="1" t="n">
        <v>45002</v>
      </c>
      <c r="C9329" s="1" t="n">
        <v>45810</v>
      </c>
      <c r="D9329" t="inlineStr">
        <is>
          <t>VÄRMLANDS LÄN</t>
        </is>
      </c>
      <c r="E9329" t="inlineStr">
        <is>
          <t>ARVIKA</t>
        </is>
      </c>
      <c r="G9329" t="n">
        <v>1.6</v>
      </c>
      <c r="H9329" t="n">
        <v>0</v>
      </c>
      <c r="I9329" t="n">
        <v>0</v>
      </c>
      <c r="J9329" t="n">
        <v>0</v>
      </c>
      <c r="K9329" t="n">
        <v>0</v>
      </c>
      <c r="L9329" t="n">
        <v>0</v>
      </c>
      <c r="M9329" t="n">
        <v>0</v>
      </c>
      <c r="N9329" t="n">
        <v>0</v>
      </c>
      <c r="O9329" t="n">
        <v>0</v>
      </c>
      <c r="P9329" t="n">
        <v>0</v>
      </c>
      <c r="Q9329" t="n">
        <v>0</v>
      </c>
      <c r="R9329" s="2" t="inlineStr"/>
    </row>
    <row r="9330" ht="15" customHeight="1">
      <c r="A9330" t="inlineStr">
        <is>
          <t>A 13192-2023</t>
        </is>
      </c>
      <c r="B9330" s="1" t="n">
        <v>45002</v>
      </c>
      <c r="C9330" s="1" t="n">
        <v>45810</v>
      </c>
      <c r="D9330" t="inlineStr">
        <is>
          <t>VÄRMLANDS LÄN</t>
        </is>
      </c>
      <c r="E9330" t="inlineStr">
        <is>
          <t>SUNNE</t>
        </is>
      </c>
      <c r="G9330" t="n">
        <v>0.7</v>
      </c>
      <c r="H9330" t="n">
        <v>0</v>
      </c>
      <c r="I9330" t="n">
        <v>0</v>
      </c>
      <c r="J9330" t="n">
        <v>0</v>
      </c>
      <c r="K9330" t="n">
        <v>0</v>
      </c>
      <c r="L9330" t="n">
        <v>0</v>
      </c>
      <c r="M9330" t="n">
        <v>0</v>
      </c>
      <c r="N9330" t="n">
        <v>0</v>
      </c>
      <c r="O9330" t="n">
        <v>0</v>
      </c>
      <c r="P9330" t="n">
        <v>0</v>
      </c>
      <c r="Q9330" t="n">
        <v>0</v>
      </c>
      <c r="R9330" s="2" t="inlineStr"/>
    </row>
    <row r="9331" ht="15" customHeight="1">
      <c r="A9331" t="inlineStr">
        <is>
          <t>A 13196-2023</t>
        </is>
      </c>
      <c r="B9331" s="1" t="n">
        <v>45002</v>
      </c>
      <c r="C9331" s="1" t="n">
        <v>45810</v>
      </c>
      <c r="D9331" t="inlineStr">
        <is>
          <t>VÄRMLANDS LÄN</t>
        </is>
      </c>
      <c r="E9331" t="inlineStr">
        <is>
          <t>ÅRJÄNG</t>
        </is>
      </c>
      <c r="F9331" t="inlineStr">
        <is>
          <t>Kyrkan</t>
        </is>
      </c>
      <c r="G9331" t="n">
        <v>4.5</v>
      </c>
      <c r="H9331" t="n">
        <v>0</v>
      </c>
      <c r="I9331" t="n">
        <v>0</v>
      </c>
      <c r="J9331" t="n">
        <v>0</v>
      </c>
      <c r="K9331" t="n">
        <v>0</v>
      </c>
      <c r="L9331" t="n">
        <v>0</v>
      </c>
      <c r="M9331" t="n">
        <v>0</v>
      </c>
      <c r="N9331" t="n">
        <v>0</v>
      </c>
      <c r="O9331" t="n">
        <v>0</v>
      </c>
      <c r="P9331" t="n">
        <v>0</v>
      </c>
      <c r="Q9331" t="n">
        <v>0</v>
      </c>
      <c r="R9331" s="2" t="inlineStr"/>
    </row>
    <row r="9332" ht="15" customHeight="1">
      <c r="A9332" t="inlineStr">
        <is>
          <t>A 13198-2023</t>
        </is>
      </c>
      <c r="B9332" s="1" t="n">
        <v>45002</v>
      </c>
      <c r="C9332" s="1" t="n">
        <v>45810</v>
      </c>
      <c r="D9332" t="inlineStr">
        <is>
          <t>VÄRMLANDS LÄN</t>
        </is>
      </c>
      <c r="E9332" t="inlineStr">
        <is>
          <t>SUNNE</t>
        </is>
      </c>
      <c r="G9332" t="n">
        <v>0.9</v>
      </c>
      <c r="H9332" t="n">
        <v>0</v>
      </c>
      <c r="I9332" t="n">
        <v>0</v>
      </c>
      <c r="J9332" t="n">
        <v>0</v>
      </c>
      <c r="K9332" t="n">
        <v>0</v>
      </c>
      <c r="L9332" t="n">
        <v>0</v>
      </c>
      <c r="M9332" t="n">
        <v>0</v>
      </c>
      <c r="N9332" t="n">
        <v>0</v>
      </c>
      <c r="O9332" t="n">
        <v>0</v>
      </c>
      <c r="P9332" t="n">
        <v>0</v>
      </c>
      <c r="Q9332" t="n">
        <v>0</v>
      </c>
      <c r="R9332" s="2" t="inlineStr"/>
    </row>
    <row r="9333" ht="15" customHeight="1">
      <c r="A9333" t="inlineStr">
        <is>
          <t>A 13274-2023</t>
        </is>
      </c>
      <c r="B9333" s="1" t="n">
        <v>45003</v>
      </c>
      <c r="C9333" s="1" t="n">
        <v>45810</v>
      </c>
      <c r="D9333" t="inlineStr">
        <is>
          <t>VÄRMLANDS LÄN</t>
        </is>
      </c>
      <c r="E9333" t="inlineStr">
        <is>
          <t>STORFORS</t>
        </is>
      </c>
      <c r="G9333" t="n">
        <v>5</v>
      </c>
      <c r="H9333" t="n">
        <v>0</v>
      </c>
      <c r="I9333" t="n">
        <v>0</v>
      </c>
      <c r="J9333" t="n">
        <v>0</v>
      </c>
      <c r="K9333" t="n">
        <v>0</v>
      </c>
      <c r="L9333" t="n">
        <v>0</v>
      </c>
      <c r="M9333" t="n">
        <v>0</v>
      </c>
      <c r="N9333" t="n">
        <v>0</v>
      </c>
      <c r="O9333" t="n">
        <v>0</v>
      </c>
      <c r="P9333" t="n">
        <v>0</v>
      </c>
      <c r="Q9333" t="n">
        <v>0</v>
      </c>
      <c r="R9333" s="2" t="inlineStr"/>
    </row>
    <row r="9334" ht="15" customHeight="1">
      <c r="A9334" t="inlineStr">
        <is>
          <t>A 13294-2023</t>
        </is>
      </c>
      <c r="B9334" s="1" t="n">
        <v>45005</v>
      </c>
      <c r="C9334" s="1" t="n">
        <v>45810</v>
      </c>
      <c r="D9334" t="inlineStr">
        <is>
          <t>VÄRMLANDS LÄN</t>
        </is>
      </c>
      <c r="E9334" t="inlineStr">
        <is>
          <t>KRISTINEHAMN</t>
        </is>
      </c>
      <c r="G9334" t="n">
        <v>0.8</v>
      </c>
      <c r="H9334" t="n">
        <v>0</v>
      </c>
      <c r="I9334" t="n">
        <v>0</v>
      </c>
      <c r="J9334" t="n">
        <v>0</v>
      </c>
      <c r="K9334" t="n">
        <v>0</v>
      </c>
      <c r="L9334" t="n">
        <v>0</v>
      </c>
      <c r="M9334" t="n">
        <v>0</v>
      </c>
      <c r="N9334" t="n">
        <v>0</v>
      </c>
      <c r="O9334" t="n">
        <v>0</v>
      </c>
      <c r="P9334" t="n">
        <v>0</v>
      </c>
      <c r="Q9334" t="n">
        <v>0</v>
      </c>
      <c r="R9334" s="2" t="inlineStr"/>
    </row>
    <row r="9335" ht="15" customHeight="1">
      <c r="A9335" t="inlineStr">
        <is>
          <t>A 13309-2023</t>
        </is>
      </c>
      <c r="B9335" s="1" t="n">
        <v>45005</v>
      </c>
      <c r="C9335" s="1" t="n">
        <v>45810</v>
      </c>
      <c r="D9335" t="inlineStr">
        <is>
          <t>VÄRMLANDS LÄN</t>
        </is>
      </c>
      <c r="E9335" t="inlineStr">
        <is>
          <t>SÄFFLE</t>
        </is>
      </c>
      <c r="G9335" t="n">
        <v>3.5</v>
      </c>
      <c r="H9335" t="n">
        <v>0</v>
      </c>
      <c r="I9335" t="n">
        <v>0</v>
      </c>
      <c r="J9335" t="n">
        <v>0</v>
      </c>
      <c r="K9335" t="n">
        <v>0</v>
      </c>
      <c r="L9335" t="n">
        <v>0</v>
      </c>
      <c r="M9335" t="n">
        <v>0</v>
      </c>
      <c r="N9335" t="n">
        <v>0</v>
      </c>
      <c r="O9335" t="n">
        <v>0</v>
      </c>
      <c r="P9335" t="n">
        <v>0</v>
      </c>
      <c r="Q9335" t="n">
        <v>0</v>
      </c>
      <c r="R9335" s="2" t="inlineStr"/>
    </row>
    <row r="9336" ht="15" customHeight="1">
      <c r="A9336" t="inlineStr">
        <is>
          <t>A 13300-2023</t>
        </is>
      </c>
      <c r="B9336" s="1" t="n">
        <v>45005</v>
      </c>
      <c r="C9336" s="1" t="n">
        <v>45810</v>
      </c>
      <c r="D9336" t="inlineStr">
        <is>
          <t>VÄRMLANDS LÄN</t>
        </is>
      </c>
      <c r="E9336" t="inlineStr">
        <is>
          <t>HAGFORS</t>
        </is>
      </c>
      <c r="F9336" t="inlineStr">
        <is>
          <t>Bergvik skog väst AB</t>
        </is>
      </c>
      <c r="G9336" t="n">
        <v>3.9</v>
      </c>
      <c r="H9336" t="n">
        <v>0</v>
      </c>
      <c r="I9336" t="n">
        <v>0</v>
      </c>
      <c r="J9336" t="n">
        <v>0</v>
      </c>
      <c r="K9336" t="n">
        <v>0</v>
      </c>
      <c r="L9336" t="n">
        <v>0</v>
      </c>
      <c r="M9336" t="n">
        <v>0</v>
      </c>
      <c r="N9336" t="n">
        <v>0</v>
      </c>
      <c r="O9336" t="n">
        <v>0</v>
      </c>
      <c r="P9336" t="n">
        <v>0</v>
      </c>
      <c r="Q9336" t="n">
        <v>0</v>
      </c>
      <c r="R9336" s="2" t="inlineStr"/>
    </row>
    <row r="9337" ht="15" customHeight="1">
      <c r="A9337" t="inlineStr">
        <is>
          <t>A 13321-2023</t>
        </is>
      </c>
      <c r="B9337" s="1" t="n">
        <v>45005</v>
      </c>
      <c r="C9337" s="1" t="n">
        <v>45810</v>
      </c>
      <c r="D9337" t="inlineStr">
        <is>
          <t>VÄRMLANDS LÄN</t>
        </is>
      </c>
      <c r="E9337" t="inlineStr">
        <is>
          <t>SÄFFLE</t>
        </is>
      </c>
      <c r="F9337" t="inlineStr">
        <is>
          <t>Kommuner</t>
        </is>
      </c>
      <c r="G9337" t="n">
        <v>3.5</v>
      </c>
      <c r="H9337" t="n">
        <v>0</v>
      </c>
      <c r="I9337" t="n">
        <v>0</v>
      </c>
      <c r="J9337" t="n">
        <v>0</v>
      </c>
      <c r="K9337" t="n">
        <v>0</v>
      </c>
      <c r="L9337" t="n">
        <v>0</v>
      </c>
      <c r="M9337" t="n">
        <v>0</v>
      </c>
      <c r="N9337" t="n">
        <v>0</v>
      </c>
      <c r="O9337" t="n">
        <v>0</v>
      </c>
      <c r="P9337" t="n">
        <v>0</v>
      </c>
      <c r="Q9337" t="n">
        <v>0</v>
      </c>
      <c r="R9337" s="2" t="inlineStr"/>
    </row>
    <row r="9338" ht="15" customHeight="1">
      <c r="A9338" t="inlineStr">
        <is>
          <t>A 13326-2023</t>
        </is>
      </c>
      <c r="B9338" s="1" t="n">
        <v>45005</v>
      </c>
      <c r="C9338" s="1" t="n">
        <v>45810</v>
      </c>
      <c r="D9338" t="inlineStr">
        <is>
          <t>VÄRMLANDS LÄN</t>
        </is>
      </c>
      <c r="E9338" t="inlineStr">
        <is>
          <t>SUNNE</t>
        </is>
      </c>
      <c r="G9338" t="n">
        <v>1.5</v>
      </c>
      <c r="H9338" t="n">
        <v>0</v>
      </c>
      <c r="I9338" t="n">
        <v>0</v>
      </c>
      <c r="J9338" t="n">
        <v>0</v>
      </c>
      <c r="K9338" t="n">
        <v>0</v>
      </c>
      <c r="L9338" t="n">
        <v>0</v>
      </c>
      <c r="M9338" t="n">
        <v>0</v>
      </c>
      <c r="N9338" t="n">
        <v>0</v>
      </c>
      <c r="O9338" t="n">
        <v>0</v>
      </c>
      <c r="P9338" t="n">
        <v>0</v>
      </c>
      <c r="Q9338" t="n">
        <v>0</v>
      </c>
      <c r="R9338" s="2" t="inlineStr"/>
    </row>
    <row r="9339" ht="15" customHeight="1">
      <c r="A9339" t="inlineStr">
        <is>
          <t>A 13341-2023</t>
        </is>
      </c>
      <c r="B9339" s="1" t="n">
        <v>45005</v>
      </c>
      <c r="C9339" s="1" t="n">
        <v>45810</v>
      </c>
      <c r="D9339" t="inlineStr">
        <is>
          <t>VÄRMLANDS LÄN</t>
        </is>
      </c>
      <c r="E9339" t="inlineStr">
        <is>
          <t>ARVIKA</t>
        </is>
      </c>
      <c r="G9339" t="n">
        <v>3.4</v>
      </c>
      <c r="H9339" t="n">
        <v>0</v>
      </c>
      <c r="I9339" t="n">
        <v>0</v>
      </c>
      <c r="J9339" t="n">
        <v>0</v>
      </c>
      <c r="K9339" t="n">
        <v>0</v>
      </c>
      <c r="L9339" t="n">
        <v>0</v>
      </c>
      <c r="M9339" t="n">
        <v>0</v>
      </c>
      <c r="N9339" t="n">
        <v>0</v>
      </c>
      <c r="O9339" t="n">
        <v>0</v>
      </c>
      <c r="P9339" t="n">
        <v>0</v>
      </c>
      <c r="Q9339" t="n">
        <v>0</v>
      </c>
      <c r="R9339" s="2" t="inlineStr"/>
    </row>
    <row r="9340" ht="15" customHeight="1">
      <c r="A9340" t="inlineStr">
        <is>
          <t>A 13325-2023</t>
        </is>
      </c>
      <c r="B9340" s="1" t="n">
        <v>45005</v>
      </c>
      <c r="C9340" s="1" t="n">
        <v>45810</v>
      </c>
      <c r="D9340" t="inlineStr">
        <is>
          <t>VÄRMLANDS LÄN</t>
        </is>
      </c>
      <c r="E9340" t="inlineStr">
        <is>
          <t>KARLSTAD</t>
        </is>
      </c>
      <c r="G9340" t="n">
        <v>2.9</v>
      </c>
      <c r="H9340" t="n">
        <v>0</v>
      </c>
      <c r="I9340" t="n">
        <v>0</v>
      </c>
      <c r="J9340" t="n">
        <v>0</v>
      </c>
      <c r="K9340" t="n">
        <v>0</v>
      </c>
      <c r="L9340" t="n">
        <v>0</v>
      </c>
      <c r="M9340" t="n">
        <v>0</v>
      </c>
      <c r="N9340" t="n">
        <v>0</v>
      </c>
      <c r="O9340" t="n">
        <v>0</v>
      </c>
      <c r="P9340" t="n">
        <v>0</v>
      </c>
      <c r="Q9340" t="n">
        <v>0</v>
      </c>
      <c r="R9340" s="2" t="inlineStr"/>
    </row>
    <row r="9341" ht="15" customHeight="1">
      <c r="A9341" t="inlineStr">
        <is>
          <t>A 13455-2023</t>
        </is>
      </c>
      <c r="B9341" s="1" t="n">
        <v>45005</v>
      </c>
      <c r="C9341" s="1" t="n">
        <v>45810</v>
      </c>
      <c r="D9341" t="inlineStr">
        <is>
          <t>VÄRMLANDS LÄN</t>
        </is>
      </c>
      <c r="E9341" t="inlineStr">
        <is>
          <t>ÅRJÄNG</t>
        </is>
      </c>
      <c r="G9341" t="n">
        <v>1.7</v>
      </c>
      <c r="H9341" t="n">
        <v>0</v>
      </c>
      <c r="I9341" t="n">
        <v>0</v>
      </c>
      <c r="J9341" t="n">
        <v>0</v>
      </c>
      <c r="K9341" t="n">
        <v>0</v>
      </c>
      <c r="L9341" t="n">
        <v>0</v>
      </c>
      <c r="M9341" t="n">
        <v>0</v>
      </c>
      <c r="N9341" t="n">
        <v>0</v>
      </c>
      <c r="O9341" t="n">
        <v>0</v>
      </c>
      <c r="P9341" t="n">
        <v>0</v>
      </c>
      <c r="Q9341" t="n">
        <v>0</v>
      </c>
      <c r="R9341" s="2" t="inlineStr"/>
    </row>
    <row r="9342" ht="15" customHeight="1">
      <c r="A9342" t="inlineStr">
        <is>
          <t>A 13791-2023</t>
        </is>
      </c>
      <c r="B9342" s="1" t="n">
        <v>45005</v>
      </c>
      <c r="C9342" s="1" t="n">
        <v>45810</v>
      </c>
      <c r="D9342" t="inlineStr">
        <is>
          <t>VÄRMLANDS LÄN</t>
        </is>
      </c>
      <c r="E9342" t="inlineStr">
        <is>
          <t>TORSBY</t>
        </is>
      </c>
      <c r="G9342" t="n">
        <v>3.5</v>
      </c>
      <c r="H9342" t="n">
        <v>0</v>
      </c>
      <c r="I9342" t="n">
        <v>0</v>
      </c>
      <c r="J9342" t="n">
        <v>0</v>
      </c>
      <c r="K9342" t="n">
        <v>0</v>
      </c>
      <c r="L9342" t="n">
        <v>0</v>
      </c>
      <c r="M9342" t="n">
        <v>0</v>
      </c>
      <c r="N9342" t="n">
        <v>0</v>
      </c>
      <c r="O9342" t="n">
        <v>0</v>
      </c>
      <c r="P9342" t="n">
        <v>0</v>
      </c>
      <c r="Q9342" t="n">
        <v>0</v>
      </c>
      <c r="R9342" s="2" t="inlineStr"/>
    </row>
    <row r="9343" ht="15" customHeight="1">
      <c r="A9343" t="inlineStr">
        <is>
          <t>A 13561-2023</t>
        </is>
      </c>
      <c r="B9343" s="1" t="n">
        <v>45006</v>
      </c>
      <c r="C9343" s="1" t="n">
        <v>45810</v>
      </c>
      <c r="D9343" t="inlineStr">
        <is>
          <t>VÄRMLANDS LÄN</t>
        </is>
      </c>
      <c r="E9343" t="inlineStr">
        <is>
          <t>TORSBY</t>
        </is>
      </c>
      <c r="G9343" t="n">
        <v>4.2</v>
      </c>
      <c r="H9343" t="n">
        <v>0</v>
      </c>
      <c r="I9343" t="n">
        <v>0</v>
      </c>
      <c r="J9343" t="n">
        <v>0</v>
      </c>
      <c r="K9343" t="n">
        <v>0</v>
      </c>
      <c r="L9343" t="n">
        <v>0</v>
      </c>
      <c r="M9343" t="n">
        <v>0</v>
      </c>
      <c r="N9343" t="n">
        <v>0</v>
      </c>
      <c r="O9343" t="n">
        <v>0</v>
      </c>
      <c r="P9343" t="n">
        <v>0</v>
      </c>
      <c r="Q9343" t="n">
        <v>0</v>
      </c>
      <c r="R9343" s="2" t="inlineStr"/>
    </row>
    <row r="9344" ht="15" customHeight="1">
      <c r="A9344" t="inlineStr">
        <is>
          <t>A 13587-2023</t>
        </is>
      </c>
      <c r="B9344" s="1" t="n">
        <v>45006</v>
      </c>
      <c r="C9344" s="1" t="n">
        <v>45810</v>
      </c>
      <c r="D9344" t="inlineStr">
        <is>
          <t>VÄRMLANDS LÄN</t>
        </is>
      </c>
      <c r="E9344" t="inlineStr">
        <is>
          <t>ÅRJÄNG</t>
        </is>
      </c>
      <c r="G9344" t="n">
        <v>7.9</v>
      </c>
      <c r="H9344" t="n">
        <v>0</v>
      </c>
      <c r="I9344" t="n">
        <v>0</v>
      </c>
      <c r="J9344" t="n">
        <v>0</v>
      </c>
      <c r="K9344" t="n">
        <v>0</v>
      </c>
      <c r="L9344" t="n">
        <v>0</v>
      </c>
      <c r="M9344" t="n">
        <v>0</v>
      </c>
      <c r="N9344" t="n">
        <v>0</v>
      </c>
      <c r="O9344" t="n">
        <v>0</v>
      </c>
      <c r="P9344" t="n">
        <v>0</v>
      </c>
      <c r="Q9344" t="n">
        <v>0</v>
      </c>
      <c r="R9344" s="2" t="inlineStr"/>
    </row>
    <row r="9345" ht="15" customHeight="1">
      <c r="A9345" t="inlineStr">
        <is>
          <t>A 13657-2023</t>
        </is>
      </c>
      <c r="B9345" s="1" t="n">
        <v>45006</v>
      </c>
      <c r="C9345" s="1" t="n">
        <v>45810</v>
      </c>
      <c r="D9345" t="inlineStr">
        <is>
          <t>VÄRMLANDS LÄN</t>
        </is>
      </c>
      <c r="E9345" t="inlineStr">
        <is>
          <t>HAGFORS</t>
        </is>
      </c>
      <c r="G9345" t="n">
        <v>4.5</v>
      </c>
      <c r="H9345" t="n">
        <v>0</v>
      </c>
      <c r="I9345" t="n">
        <v>0</v>
      </c>
      <c r="J9345" t="n">
        <v>0</v>
      </c>
      <c r="K9345" t="n">
        <v>0</v>
      </c>
      <c r="L9345" t="n">
        <v>0</v>
      </c>
      <c r="M9345" t="n">
        <v>0</v>
      </c>
      <c r="N9345" t="n">
        <v>0</v>
      </c>
      <c r="O9345" t="n">
        <v>0</v>
      </c>
      <c r="P9345" t="n">
        <v>0</v>
      </c>
      <c r="Q9345" t="n">
        <v>0</v>
      </c>
      <c r="R9345" s="2" t="inlineStr"/>
    </row>
    <row r="9346" ht="15" customHeight="1">
      <c r="A9346" t="inlineStr">
        <is>
          <t>A 13586-2023</t>
        </is>
      </c>
      <c r="B9346" s="1" t="n">
        <v>45006</v>
      </c>
      <c r="C9346" s="1" t="n">
        <v>45810</v>
      </c>
      <c r="D9346" t="inlineStr">
        <is>
          <t>VÄRMLANDS LÄN</t>
        </is>
      </c>
      <c r="E9346" t="inlineStr">
        <is>
          <t>TORSBY</t>
        </is>
      </c>
      <c r="F9346" t="inlineStr">
        <is>
          <t>Kommuner</t>
        </is>
      </c>
      <c r="G9346" t="n">
        <v>0.7</v>
      </c>
      <c r="H9346" t="n">
        <v>0</v>
      </c>
      <c r="I9346" t="n">
        <v>0</v>
      </c>
      <c r="J9346" t="n">
        <v>0</v>
      </c>
      <c r="K9346" t="n">
        <v>0</v>
      </c>
      <c r="L9346" t="n">
        <v>0</v>
      </c>
      <c r="M9346" t="n">
        <v>0</v>
      </c>
      <c r="N9346" t="n">
        <v>0</v>
      </c>
      <c r="O9346" t="n">
        <v>0</v>
      </c>
      <c r="P9346" t="n">
        <v>0</v>
      </c>
      <c r="Q9346" t="n">
        <v>0</v>
      </c>
      <c r="R9346" s="2" t="inlineStr"/>
    </row>
    <row r="9347" ht="15" customHeight="1">
      <c r="A9347" t="inlineStr">
        <is>
          <t>A 13620-2023</t>
        </is>
      </c>
      <c r="B9347" s="1" t="n">
        <v>45006</v>
      </c>
      <c r="C9347" s="1" t="n">
        <v>45810</v>
      </c>
      <c r="D9347" t="inlineStr">
        <is>
          <t>VÄRMLANDS LÄN</t>
        </is>
      </c>
      <c r="E9347" t="inlineStr">
        <is>
          <t>ÅRJÄNG</t>
        </is>
      </c>
      <c r="G9347" t="n">
        <v>0.8</v>
      </c>
      <c r="H9347" t="n">
        <v>0</v>
      </c>
      <c r="I9347" t="n">
        <v>0</v>
      </c>
      <c r="J9347" t="n">
        <v>0</v>
      </c>
      <c r="K9347" t="n">
        <v>0</v>
      </c>
      <c r="L9347" t="n">
        <v>0</v>
      </c>
      <c r="M9347" t="n">
        <v>0</v>
      </c>
      <c r="N9347" t="n">
        <v>0</v>
      </c>
      <c r="O9347" t="n">
        <v>0</v>
      </c>
      <c r="P9347" t="n">
        <v>0</v>
      </c>
      <c r="Q9347" t="n">
        <v>0</v>
      </c>
      <c r="R9347" s="2" t="inlineStr"/>
    </row>
    <row r="9348" ht="15" customHeight="1">
      <c r="A9348" t="inlineStr">
        <is>
          <t>A 13650-2023</t>
        </is>
      </c>
      <c r="B9348" s="1" t="n">
        <v>45006</v>
      </c>
      <c r="C9348" s="1" t="n">
        <v>45810</v>
      </c>
      <c r="D9348" t="inlineStr">
        <is>
          <t>VÄRMLANDS LÄN</t>
        </is>
      </c>
      <c r="E9348" t="inlineStr">
        <is>
          <t>SÄFFLE</t>
        </is>
      </c>
      <c r="G9348" t="n">
        <v>3.1</v>
      </c>
      <c r="H9348" t="n">
        <v>0</v>
      </c>
      <c r="I9348" t="n">
        <v>0</v>
      </c>
      <c r="J9348" t="n">
        <v>0</v>
      </c>
      <c r="K9348" t="n">
        <v>0</v>
      </c>
      <c r="L9348" t="n">
        <v>0</v>
      </c>
      <c r="M9348" t="n">
        <v>0</v>
      </c>
      <c r="N9348" t="n">
        <v>0</v>
      </c>
      <c r="O9348" t="n">
        <v>0</v>
      </c>
      <c r="P9348" t="n">
        <v>0</v>
      </c>
      <c r="Q9348" t="n">
        <v>0</v>
      </c>
      <c r="R9348" s="2" t="inlineStr"/>
    </row>
    <row r="9349" ht="15" customHeight="1">
      <c r="A9349" t="inlineStr">
        <is>
          <t>A 13538-2023</t>
        </is>
      </c>
      <c r="B9349" s="1" t="n">
        <v>45006</v>
      </c>
      <c r="C9349" s="1" t="n">
        <v>45810</v>
      </c>
      <c r="D9349" t="inlineStr">
        <is>
          <t>VÄRMLANDS LÄN</t>
        </is>
      </c>
      <c r="E9349" t="inlineStr">
        <is>
          <t>KRISTINEHAMN</t>
        </is>
      </c>
      <c r="G9349" t="n">
        <v>1.5</v>
      </c>
      <c r="H9349" t="n">
        <v>0</v>
      </c>
      <c r="I9349" t="n">
        <v>0</v>
      </c>
      <c r="J9349" t="n">
        <v>0</v>
      </c>
      <c r="K9349" t="n">
        <v>0</v>
      </c>
      <c r="L9349" t="n">
        <v>0</v>
      </c>
      <c r="M9349" t="n">
        <v>0</v>
      </c>
      <c r="N9349" t="n">
        <v>0</v>
      </c>
      <c r="O9349" t="n">
        <v>0</v>
      </c>
      <c r="P9349" t="n">
        <v>0</v>
      </c>
      <c r="Q9349" t="n">
        <v>0</v>
      </c>
      <c r="R9349" s="2" t="inlineStr"/>
    </row>
    <row r="9350" ht="15" customHeight="1">
      <c r="A9350" t="inlineStr">
        <is>
          <t>A 13542-2023</t>
        </is>
      </c>
      <c r="B9350" s="1" t="n">
        <v>45006</v>
      </c>
      <c r="C9350" s="1" t="n">
        <v>45810</v>
      </c>
      <c r="D9350" t="inlineStr">
        <is>
          <t>VÄRMLANDS LÄN</t>
        </is>
      </c>
      <c r="E9350" t="inlineStr">
        <is>
          <t>KRISTINEHAMN</t>
        </is>
      </c>
      <c r="G9350" t="n">
        <v>1.9</v>
      </c>
      <c r="H9350" t="n">
        <v>0</v>
      </c>
      <c r="I9350" t="n">
        <v>0</v>
      </c>
      <c r="J9350" t="n">
        <v>0</v>
      </c>
      <c r="K9350" t="n">
        <v>0</v>
      </c>
      <c r="L9350" t="n">
        <v>0</v>
      </c>
      <c r="M9350" t="n">
        <v>0</v>
      </c>
      <c r="N9350" t="n">
        <v>0</v>
      </c>
      <c r="O9350" t="n">
        <v>0</v>
      </c>
      <c r="P9350" t="n">
        <v>0</v>
      </c>
      <c r="Q9350" t="n">
        <v>0</v>
      </c>
      <c r="R9350" s="2" t="inlineStr"/>
    </row>
    <row r="9351" ht="15" customHeight="1">
      <c r="A9351" t="inlineStr">
        <is>
          <t>A 13623-2023</t>
        </is>
      </c>
      <c r="B9351" s="1" t="n">
        <v>45006</v>
      </c>
      <c r="C9351" s="1" t="n">
        <v>45810</v>
      </c>
      <c r="D9351" t="inlineStr">
        <is>
          <t>VÄRMLANDS LÄN</t>
        </is>
      </c>
      <c r="E9351" t="inlineStr">
        <is>
          <t>FILIPSTAD</t>
        </is>
      </c>
      <c r="G9351" t="n">
        <v>2.1</v>
      </c>
      <c r="H9351" t="n">
        <v>0</v>
      </c>
      <c r="I9351" t="n">
        <v>0</v>
      </c>
      <c r="J9351" t="n">
        <v>0</v>
      </c>
      <c r="K9351" t="n">
        <v>0</v>
      </c>
      <c r="L9351" t="n">
        <v>0</v>
      </c>
      <c r="M9351" t="n">
        <v>0</v>
      </c>
      <c r="N9351" t="n">
        <v>0</v>
      </c>
      <c r="O9351" t="n">
        <v>0</v>
      </c>
      <c r="P9351" t="n">
        <v>0</v>
      </c>
      <c r="Q9351" t="n">
        <v>0</v>
      </c>
      <c r="R9351" s="2" t="inlineStr"/>
    </row>
    <row r="9352" ht="15" customHeight="1">
      <c r="A9352" t="inlineStr">
        <is>
          <t>A 13728-2023</t>
        </is>
      </c>
      <c r="B9352" s="1" t="n">
        <v>45007</v>
      </c>
      <c r="C9352" s="1" t="n">
        <v>45810</v>
      </c>
      <c r="D9352" t="inlineStr">
        <is>
          <t>VÄRMLANDS LÄN</t>
        </is>
      </c>
      <c r="E9352" t="inlineStr">
        <is>
          <t>SUNNE</t>
        </is>
      </c>
      <c r="G9352" t="n">
        <v>3.7</v>
      </c>
      <c r="H9352" t="n">
        <v>0</v>
      </c>
      <c r="I9352" t="n">
        <v>0</v>
      </c>
      <c r="J9352" t="n">
        <v>0</v>
      </c>
      <c r="K9352" t="n">
        <v>0</v>
      </c>
      <c r="L9352" t="n">
        <v>0</v>
      </c>
      <c r="M9352" t="n">
        <v>0</v>
      </c>
      <c r="N9352" t="n">
        <v>0</v>
      </c>
      <c r="O9352" t="n">
        <v>0</v>
      </c>
      <c r="P9352" t="n">
        <v>0</v>
      </c>
      <c r="Q9352" t="n">
        <v>0</v>
      </c>
      <c r="R9352" s="2" t="inlineStr"/>
    </row>
    <row r="9353" ht="15" customHeight="1">
      <c r="A9353" t="inlineStr">
        <is>
          <t>A 13759-2023</t>
        </is>
      </c>
      <c r="B9353" s="1" t="n">
        <v>45007</v>
      </c>
      <c r="C9353" s="1" t="n">
        <v>45810</v>
      </c>
      <c r="D9353" t="inlineStr">
        <is>
          <t>VÄRMLANDS LÄN</t>
        </is>
      </c>
      <c r="E9353" t="inlineStr">
        <is>
          <t>SUNNE</t>
        </is>
      </c>
      <c r="G9353" t="n">
        <v>0.8</v>
      </c>
      <c r="H9353" t="n">
        <v>0</v>
      </c>
      <c r="I9353" t="n">
        <v>0</v>
      </c>
      <c r="J9353" t="n">
        <v>0</v>
      </c>
      <c r="K9353" t="n">
        <v>0</v>
      </c>
      <c r="L9353" t="n">
        <v>0</v>
      </c>
      <c r="M9353" t="n">
        <v>0</v>
      </c>
      <c r="N9353" t="n">
        <v>0</v>
      </c>
      <c r="O9353" t="n">
        <v>0</v>
      </c>
      <c r="P9353" t="n">
        <v>0</v>
      </c>
      <c r="Q9353" t="n">
        <v>0</v>
      </c>
      <c r="R9353" s="2" t="inlineStr"/>
    </row>
    <row r="9354" ht="15" customHeight="1">
      <c r="A9354" t="inlineStr">
        <is>
          <t>A 13795-2023</t>
        </is>
      </c>
      <c r="B9354" s="1" t="n">
        <v>45007</v>
      </c>
      <c r="C9354" s="1" t="n">
        <v>45810</v>
      </c>
      <c r="D9354" t="inlineStr">
        <is>
          <t>VÄRMLANDS LÄN</t>
        </is>
      </c>
      <c r="E9354" t="inlineStr">
        <is>
          <t>STORFORS</t>
        </is>
      </c>
      <c r="F9354" t="inlineStr">
        <is>
          <t>Kyrkan</t>
        </is>
      </c>
      <c r="G9354" t="n">
        <v>0.8</v>
      </c>
      <c r="H9354" t="n">
        <v>0</v>
      </c>
      <c r="I9354" t="n">
        <v>0</v>
      </c>
      <c r="J9354" t="n">
        <v>0</v>
      </c>
      <c r="K9354" t="n">
        <v>0</v>
      </c>
      <c r="L9354" t="n">
        <v>0</v>
      </c>
      <c r="M9354" t="n">
        <v>0</v>
      </c>
      <c r="N9354" t="n">
        <v>0</v>
      </c>
      <c r="O9354" t="n">
        <v>0</v>
      </c>
      <c r="P9354" t="n">
        <v>0</v>
      </c>
      <c r="Q9354" t="n">
        <v>0</v>
      </c>
      <c r="R9354" s="2" t="inlineStr"/>
    </row>
    <row r="9355" ht="15" customHeight="1">
      <c r="A9355" t="inlineStr">
        <is>
          <t>A 13753-2023</t>
        </is>
      </c>
      <c r="B9355" s="1" t="n">
        <v>45007</v>
      </c>
      <c r="C9355" s="1" t="n">
        <v>45810</v>
      </c>
      <c r="D9355" t="inlineStr">
        <is>
          <t>VÄRMLANDS LÄN</t>
        </is>
      </c>
      <c r="E9355" t="inlineStr">
        <is>
          <t>ARVIKA</t>
        </is>
      </c>
      <c r="G9355" t="n">
        <v>2</v>
      </c>
      <c r="H9355" t="n">
        <v>0</v>
      </c>
      <c r="I9355" t="n">
        <v>0</v>
      </c>
      <c r="J9355" t="n">
        <v>0</v>
      </c>
      <c r="K9355" t="n">
        <v>0</v>
      </c>
      <c r="L9355" t="n">
        <v>0</v>
      </c>
      <c r="M9355" t="n">
        <v>0</v>
      </c>
      <c r="N9355" t="n">
        <v>0</v>
      </c>
      <c r="O9355" t="n">
        <v>0</v>
      </c>
      <c r="P9355" t="n">
        <v>0</v>
      </c>
      <c r="Q9355" t="n">
        <v>0</v>
      </c>
      <c r="R9355" s="2" t="inlineStr"/>
    </row>
    <row r="9356" ht="15" customHeight="1">
      <c r="A9356" t="inlineStr">
        <is>
          <t>A 13785-2023</t>
        </is>
      </c>
      <c r="B9356" s="1" t="n">
        <v>45007</v>
      </c>
      <c r="C9356" s="1" t="n">
        <v>45810</v>
      </c>
      <c r="D9356" t="inlineStr">
        <is>
          <t>VÄRMLANDS LÄN</t>
        </is>
      </c>
      <c r="E9356" t="inlineStr">
        <is>
          <t>TORSBY</t>
        </is>
      </c>
      <c r="G9356" t="n">
        <v>6.5</v>
      </c>
      <c r="H9356" t="n">
        <v>0</v>
      </c>
      <c r="I9356" t="n">
        <v>0</v>
      </c>
      <c r="J9356" t="n">
        <v>0</v>
      </c>
      <c r="K9356" t="n">
        <v>0</v>
      </c>
      <c r="L9356" t="n">
        <v>0</v>
      </c>
      <c r="M9356" t="n">
        <v>0</v>
      </c>
      <c r="N9356" t="n">
        <v>0</v>
      </c>
      <c r="O9356" t="n">
        <v>0</v>
      </c>
      <c r="P9356" t="n">
        <v>0</v>
      </c>
      <c r="Q9356" t="n">
        <v>0</v>
      </c>
      <c r="R9356" s="2" t="inlineStr"/>
    </row>
    <row r="9357" ht="15" customHeight="1">
      <c r="A9357" t="inlineStr">
        <is>
          <t>A 13723-2023</t>
        </is>
      </c>
      <c r="B9357" s="1" t="n">
        <v>45007</v>
      </c>
      <c r="C9357" s="1" t="n">
        <v>45810</v>
      </c>
      <c r="D9357" t="inlineStr">
        <is>
          <t>VÄRMLANDS LÄN</t>
        </is>
      </c>
      <c r="E9357" t="inlineStr">
        <is>
          <t>TORSBY</t>
        </is>
      </c>
      <c r="G9357" t="n">
        <v>2.2</v>
      </c>
      <c r="H9357" t="n">
        <v>0</v>
      </c>
      <c r="I9357" t="n">
        <v>0</v>
      </c>
      <c r="J9357" t="n">
        <v>0</v>
      </c>
      <c r="K9357" t="n">
        <v>0</v>
      </c>
      <c r="L9357" t="n">
        <v>0</v>
      </c>
      <c r="M9357" t="n">
        <v>0</v>
      </c>
      <c r="N9357" t="n">
        <v>0</v>
      </c>
      <c r="O9357" t="n">
        <v>0</v>
      </c>
      <c r="P9357" t="n">
        <v>0</v>
      </c>
      <c r="Q9357" t="n">
        <v>0</v>
      </c>
      <c r="R9357" s="2" t="inlineStr"/>
    </row>
    <row r="9358" ht="15" customHeight="1">
      <c r="A9358" t="inlineStr">
        <is>
          <t>A 13789-2023</t>
        </is>
      </c>
      <c r="B9358" s="1" t="n">
        <v>45007</v>
      </c>
      <c r="C9358" s="1" t="n">
        <v>45810</v>
      </c>
      <c r="D9358" t="inlineStr">
        <is>
          <t>VÄRMLANDS LÄN</t>
        </is>
      </c>
      <c r="E9358" t="inlineStr">
        <is>
          <t>SUNNE</t>
        </is>
      </c>
      <c r="G9358" t="n">
        <v>9.1</v>
      </c>
      <c r="H9358" t="n">
        <v>0</v>
      </c>
      <c r="I9358" t="n">
        <v>0</v>
      </c>
      <c r="J9358" t="n">
        <v>0</v>
      </c>
      <c r="K9358" t="n">
        <v>0</v>
      </c>
      <c r="L9358" t="n">
        <v>0</v>
      </c>
      <c r="M9358" t="n">
        <v>0</v>
      </c>
      <c r="N9358" t="n">
        <v>0</v>
      </c>
      <c r="O9358" t="n">
        <v>0</v>
      </c>
      <c r="P9358" t="n">
        <v>0</v>
      </c>
      <c r="Q9358" t="n">
        <v>0</v>
      </c>
      <c r="R9358" s="2" t="inlineStr"/>
    </row>
    <row r="9359" ht="15" customHeight="1">
      <c r="A9359" t="inlineStr">
        <is>
          <t>A 13809-2023</t>
        </is>
      </c>
      <c r="B9359" s="1" t="n">
        <v>45007</v>
      </c>
      <c r="C9359" s="1" t="n">
        <v>45810</v>
      </c>
      <c r="D9359" t="inlineStr">
        <is>
          <t>VÄRMLANDS LÄN</t>
        </is>
      </c>
      <c r="E9359" t="inlineStr">
        <is>
          <t>ARVIKA</t>
        </is>
      </c>
      <c r="G9359" t="n">
        <v>8.699999999999999</v>
      </c>
      <c r="H9359" t="n">
        <v>0</v>
      </c>
      <c r="I9359" t="n">
        <v>0</v>
      </c>
      <c r="J9359" t="n">
        <v>0</v>
      </c>
      <c r="K9359" t="n">
        <v>0</v>
      </c>
      <c r="L9359" t="n">
        <v>0</v>
      </c>
      <c r="M9359" t="n">
        <v>0</v>
      </c>
      <c r="N9359" t="n">
        <v>0</v>
      </c>
      <c r="O9359" t="n">
        <v>0</v>
      </c>
      <c r="P9359" t="n">
        <v>0</v>
      </c>
      <c r="Q9359" t="n">
        <v>0</v>
      </c>
      <c r="R9359" s="2" t="inlineStr"/>
    </row>
    <row r="9360" ht="15" customHeight="1">
      <c r="A9360" t="inlineStr">
        <is>
          <t>A 13813-2023</t>
        </is>
      </c>
      <c r="B9360" s="1" t="n">
        <v>45007</v>
      </c>
      <c r="C9360" s="1" t="n">
        <v>45810</v>
      </c>
      <c r="D9360" t="inlineStr">
        <is>
          <t>VÄRMLANDS LÄN</t>
        </is>
      </c>
      <c r="E9360" t="inlineStr">
        <is>
          <t>ARVIKA</t>
        </is>
      </c>
      <c r="G9360" t="n">
        <v>16.4</v>
      </c>
      <c r="H9360" t="n">
        <v>0</v>
      </c>
      <c r="I9360" t="n">
        <v>0</v>
      </c>
      <c r="J9360" t="n">
        <v>0</v>
      </c>
      <c r="K9360" t="n">
        <v>0</v>
      </c>
      <c r="L9360" t="n">
        <v>0</v>
      </c>
      <c r="M9360" t="n">
        <v>0</v>
      </c>
      <c r="N9360" t="n">
        <v>0</v>
      </c>
      <c r="O9360" t="n">
        <v>0</v>
      </c>
      <c r="P9360" t="n">
        <v>0</v>
      </c>
      <c r="Q9360" t="n">
        <v>0</v>
      </c>
      <c r="R9360" s="2" t="inlineStr"/>
    </row>
    <row r="9361" ht="15" customHeight="1">
      <c r="A9361" t="inlineStr">
        <is>
          <t>A 13859-2023</t>
        </is>
      </c>
      <c r="B9361" s="1" t="n">
        <v>45007</v>
      </c>
      <c r="C9361" s="1" t="n">
        <v>45810</v>
      </c>
      <c r="D9361" t="inlineStr">
        <is>
          <t>VÄRMLANDS LÄN</t>
        </is>
      </c>
      <c r="E9361" t="inlineStr">
        <is>
          <t>ÅRJÄNG</t>
        </is>
      </c>
      <c r="G9361" t="n">
        <v>3</v>
      </c>
      <c r="H9361" t="n">
        <v>0</v>
      </c>
      <c r="I9361" t="n">
        <v>0</v>
      </c>
      <c r="J9361" t="n">
        <v>0</v>
      </c>
      <c r="K9361" t="n">
        <v>0</v>
      </c>
      <c r="L9361" t="n">
        <v>0</v>
      </c>
      <c r="M9361" t="n">
        <v>0</v>
      </c>
      <c r="N9361" t="n">
        <v>0</v>
      </c>
      <c r="O9361" t="n">
        <v>0</v>
      </c>
      <c r="P9361" t="n">
        <v>0</v>
      </c>
      <c r="Q9361" t="n">
        <v>0</v>
      </c>
      <c r="R9361" s="2" t="inlineStr"/>
    </row>
    <row r="9362" ht="15" customHeight="1">
      <c r="A9362" t="inlineStr">
        <is>
          <t>A 13874-2023</t>
        </is>
      </c>
      <c r="B9362" s="1" t="n">
        <v>45007</v>
      </c>
      <c r="C9362" s="1" t="n">
        <v>45810</v>
      </c>
      <c r="D9362" t="inlineStr">
        <is>
          <t>VÄRMLANDS LÄN</t>
        </is>
      </c>
      <c r="E9362" t="inlineStr">
        <is>
          <t>STORFORS</t>
        </is>
      </c>
      <c r="F9362" t="inlineStr">
        <is>
          <t>Kyrkan</t>
        </is>
      </c>
      <c r="G9362" t="n">
        <v>12.3</v>
      </c>
      <c r="H9362" t="n">
        <v>0</v>
      </c>
      <c r="I9362" t="n">
        <v>0</v>
      </c>
      <c r="J9362" t="n">
        <v>0</v>
      </c>
      <c r="K9362" t="n">
        <v>0</v>
      </c>
      <c r="L9362" t="n">
        <v>0</v>
      </c>
      <c r="M9362" t="n">
        <v>0</v>
      </c>
      <c r="N9362" t="n">
        <v>0</v>
      </c>
      <c r="O9362" t="n">
        <v>0</v>
      </c>
      <c r="P9362" t="n">
        <v>0</v>
      </c>
      <c r="Q9362" t="n">
        <v>0</v>
      </c>
      <c r="R9362" s="2" t="inlineStr"/>
    </row>
    <row r="9363" ht="15" customHeight="1">
      <c r="A9363" t="inlineStr">
        <is>
          <t>A 13881-2023</t>
        </is>
      </c>
      <c r="B9363" s="1" t="n">
        <v>45007</v>
      </c>
      <c r="C9363" s="1" t="n">
        <v>45810</v>
      </c>
      <c r="D9363" t="inlineStr">
        <is>
          <t>VÄRMLANDS LÄN</t>
        </is>
      </c>
      <c r="E9363" t="inlineStr">
        <is>
          <t>GRUMS</t>
        </is>
      </c>
      <c r="G9363" t="n">
        <v>2.8</v>
      </c>
      <c r="H9363" t="n">
        <v>0</v>
      </c>
      <c r="I9363" t="n">
        <v>0</v>
      </c>
      <c r="J9363" t="n">
        <v>0</v>
      </c>
      <c r="K9363" t="n">
        <v>0</v>
      </c>
      <c r="L9363" t="n">
        <v>0</v>
      </c>
      <c r="M9363" t="n">
        <v>0</v>
      </c>
      <c r="N9363" t="n">
        <v>0</v>
      </c>
      <c r="O9363" t="n">
        <v>0</v>
      </c>
      <c r="P9363" t="n">
        <v>0</v>
      </c>
      <c r="Q9363" t="n">
        <v>0</v>
      </c>
      <c r="R9363" s="2" t="inlineStr"/>
    </row>
    <row r="9364" ht="15" customHeight="1">
      <c r="A9364" t="inlineStr">
        <is>
          <t>A 14006-2023</t>
        </is>
      </c>
      <c r="B9364" s="1" t="n">
        <v>45007</v>
      </c>
      <c r="C9364" s="1" t="n">
        <v>45810</v>
      </c>
      <c r="D9364" t="inlineStr">
        <is>
          <t>VÄRMLANDS LÄN</t>
        </is>
      </c>
      <c r="E9364" t="inlineStr">
        <is>
          <t>SUNNE</t>
        </is>
      </c>
      <c r="G9364" t="n">
        <v>1.9</v>
      </c>
      <c r="H9364" t="n">
        <v>0</v>
      </c>
      <c r="I9364" t="n">
        <v>0</v>
      </c>
      <c r="J9364" t="n">
        <v>0</v>
      </c>
      <c r="K9364" t="n">
        <v>0</v>
      </c>
      <c r="L9364" t="n">
        <v>0</v>
      </c>
      <c r="M9364" t="n">
        <v>0</v>
      </c>
      <c r="N9364" t="n">
        <v>0</v>
      </c>
      <c r="O9364" t="n">
        <v>0</v>
      </c>
      <c r="P9364" t="n">
        <v>0</v>
      </c>
      <c r="Q9364" t="n">
        <v>0</v>
      </c>
      <c r="R9364" s="2" t="inlineStr"/>
    </row>
    <row r="9365" ht="15" customHeight="1">
      <c r="A9365" t="inlineStr">
        <is>
          <t>A 13863-2023</t>
        </is>
      </c>
      <c r="B9365" s="1" t="n">
        <v>45007</v>
      </c>
      <c r="C9365" s="1" t="n">
        <v>45810</v>
      </c>
      <c r="D9365" t="inlineStr">
        <is>
          <t>VÄRMLANDS LÄN</t>
        </is>
      </c>
      <c r="E9365" t="inlineStr">
        <is>
          <t>KARLSTAD</t>
        </is>
      </c>
      <c r="G9365" t="n">
        <v>0.8</v>
      </c>
      <c r="H9365" t="n">
        <v>0</v>
      </c>
      <c r="I9365" t="n">
        <v>0</v>
      </c>
      <c r="J9365" t="n">
        <v>0</v>
      </c>
      <c r="K9365" t="n">
        <v>0</v>
      </c>
      <c r="L9365" t="n">
        <v>0</v>
      </c>
      <c r="M9365" t="n">
        <v>0</v>
      </c>
      <c r="N9365" t="n">
        <v>0</v>
      </c>
      <c r="O9365" t="n">
        <v>0</v>
      </c>
      <c r="P9365" t="n">
        <v>0</v>
      </c>
      <c r="Q9365" t="n">
        <v>0</v>
      </c>
      <c r="R9365" s="2" t="inlineStr"/>
    </row>
    <row r="9366" ht="15" customHeight="1">
      <c r="A9366" t="inlineStr">
        <is>
          <t>A 13942-2023</t>
        </is>
      </c>
      <c r="B9366" s="1" t="n">
        <v>45007</v>
      </c>
      <c r="C9366" s="1" t="n">
        <v>45810</v>
      </c>
      <c r="D9366" t="inlineStr">
        <is>
          <t>VÄRMLANDS LÄN</t>
        </is>
      </c>
      <c r="E9366" t="inlineStr">
        <is>
          <t>ARVIKA</t>
        </is>
      </c>
      <c r="G9366" t="n">
        <v>1.8</v>
      </c>
      <c r="H9366" t="n">
        <v>0</v>
      </c>
      <c r="I9366" t="n">
        <v>0</v>
      </c>
      <c r="J9366" t="n">
        <v>0</v>
      </c>
      <c r="K9366" t="n">
        <v>0</v>
      </c>
      <c r="L9366" t="n">
        <v>0</v>
      </c>
      <c r="M9366" t="n">
        <v>0</v>
      </c>
      <c r="N9366" t="n">
        <v>0</v>
      </c>
      <c r="O9366" t="n">
        <v>0</v>
      </c>
      <c r="P9366" t="n">
        <v>0</v>
      </c>
      <c r="Q9366" t="n">
        <v>0</v>
      </c>
      <c r="R9366" s="2" t="inlineStr"/>
    </row>
    <row r="9367" ht="15" customHeight="1">
      <c r="A9367" t="inlineStr">
        <is>
          <t>A 13956-2023</t>
        </is>
      </c>
      <c r="B9367" s="1" t="n">
        <v>45007</v>
      </c>
      <c r="C9367" s="1" t="n">
        <v>45810</v>
      </c>
      <c r="D9367" t="inlineStr">
        <is>
          <t>VÄRMLANDS LÄN</t>
        </is>
      </c>
      <c r="E9367" t="inlineStr">
        <is>
          <t>ARVIKA</t>
        </is>
      </c>
      <c r="G9367" t="n">
        <v>2</v>
      </c>
      <c r="H9367" t="n">
        <v>0</v>
      </c>
      <c r="I9367" t="n">
        <v>0</v>
      </c>
      <c r="J9367" t="n">
        <v>0</v>
      </c>
      <c r="K9367" t="n">
        <v>0</v>
      </c>
      <c r="L9367" t="n">
        <v>0</v>
      </c>
      <c r="M9367" t="n">
        <v>0</v>
      </c>
      <c r="N9367" t="n">
        <v>0</v>
      </c>
      <c r="O9367" t="n">
        <v>0</v>
      </c>
      <c r="P9367" t="n">
        <v>0</v>
      </c>
      <c r="Q9367" t="n">
        <v>0</v>
      </c>
      <c r="R9367" s="2" t="inlineStr"/>
    </row>
    <row r="9368" ht="15" customHeight="1">
      <c r="A9368" t="inlineStr">
        <is>
          <t>A 13907-2023</t>
        </is>
      </c>
      <c r="B9368" s="1" t="n">
        <v>45008</v>
      </c>
      <c r="C9368" s="1" t="n">
        <v>45810</v>
      </c>
      <c r="D9368" t="inlineStr">
        <is>
          <t>VÄRMLANDS LÄN</t>
        </is>
      </c>
      <c r="E9368" t="inlineStr">
        <is>
          <t>EDA</t>
        </is>
      </c>
      <c r="F9368" t="inlineStr">
        <is>
          <t>Bergvik skog väst AB</t>
        </is>
      </c>
      <c r="G9368" t="n">
        <v>12.4</v>
      </c>
      <c r="H9368" t="n">
        <v>0</v>
      </c>
      <c r="I9368" t="n">
        <v>0</v>
      </c>
      <c r="J9368" t="n">
        <v>0</v>
      </c>
      <c r="K9368" t="n">
        <v>0</v>
      </c>
      <c r="L9368" t="n">
        <v>0</v>
      </c>
      <c r="M9368" t="n">
        <v>0</v>
      </c>
      <c r="N9368" t="n">
        <v>0</v>
      </c>
      <c r="O9368" t="n">
        <v>0</v>
      </c>
      <c r="P9368" t="n">
        <v>0</v>
      </c>
      <c r="Q9368" t="n">
        <v>0</v>
      </c>
      <c r="R9368" s="2" t="inlineStr"/>
    </row>
    <row r="9369" ht="15" customHeight="1">
      <c r="A9369" t="inlineStr">
        <is>
          <t>A 14130-2023</t>
        </is>
      </c>
      <c r="B9369" s="1" t="n">
        <v>45009</v>
      </c>
      <c r="C9369" s="1" t="n">
        <v>45810</v>
      </c>
      <c r="D9369" t="inlineStr">
        <is>
          <t>VÄRMLANDS LÄN</t>
        </is>
      </c>
      <c r="E9369" t="inlineStr">
        <is>
          <t>SÄFFLE</t>
        </is>
      </c>
      <c r="G9369" t="n">
        <v>4.2</v>
      </c>
      <c r="H9369" t="n">
        <v>0</v>
      </c>
      <c r="I9369" t="n">
        <v>0</v>
      </c>
      <c r="J9369" t="n">
        <v>0</v>
      </c>
      <c r="K9369" t="n">
        <v>0</v>
      </c>
      <c r="L9369" t="n">
        <v>0</v>
      </c>
      <c r="M9369" t="n">
        <v>0</v>
      </c>
      <c r="N9369" t="n">
        <v>0</v>
      </c>
      <c r="O9369" t="n">
        <v>0</v>
      </c>
      <c r="P9369" t="n">
        <v>0</v>
      </c>
      <c r="Q9369" t="n">
        <v>0</v>
      </c>
      <c r="R9369" s="2" t="inlineStr"/>
    </row>
    <row r="9370" ht="15" customHeight="1">
      <c r="A9370" t="inlineStr">
        <is>
          <t>A 14111-2023</t>
        </is>
      </c>
      <c r="B9370" s="1" t="n">
        <v>45009</v>
      </c>
      <c r="C9370" s="1" t="n">
        <v>45810</v>
      </c>
      <c r="D9370" t="inlineStr">
        <is>
          <t>VÄRMLANDS LÄN</t>
        </is>
      </c>
      <c r="E9370" t="inlineStr">
        <is>
          <t>ARVIKA</t>
        </is>
      </c>
      <c r="G9370" t="n">
        <v>0.6</v>
      </c>
      <c r="H9370" t="n">
        <v>0</v>
      </c>
      <c r="I9370" t="n">
        <v>0</v>
      </c>
      <c r="J9370" t="n">
        <v>0</v>
      </c>
      <c r="K9370" t="n">
        <v>0</v>
      </c>
      <c r="L9370" t="n">
        <v>0</v>
      </c>
      <c r="M9370" t="n">
        <v>0</v>
      </c>
      <c r="N9370" t="n">
        <v>0</v>
      </c>
      <c r="O9370" t="n">
        <v>0</v>
      </c>
      <c r="P9370" t="n">
        <v>0</v>
      </c>
      <c r="Q9370" t="n">
        <v>0</v>
      </c>
      <c r="R9370" s="2" t="inlineStr"/>
    </row>
    <row r="9371" ht="15" customHeight="1">
      <c r="A9371" t="inlineStr">
        <is>
          <t>A 14204-2023</t>
        </is>
      </c>
      <c r="B9371" s="1" t="n">
        <v>45009</v>
      </c>
      <c r="C9371" s="1" t="n">
        <v>45810</v>
      </c>
      <c r="D9371" t="inlineStr">
        <is>
          <t>VÄRMLANDS LÄN</t>
        </is>
      </c>
      <c r="E9371" t="inlineStr">
        <is>
          <t>FILIPSTAD</t>
        </is>
      </c>
      <c r="G9371" t="n">
        <v>3.4</v>
      </c>
      <c r="H9371" t="n">
        <v>0</v>
      </c>
      <c r="I9371" t="n">
        <v>0</v>
      </c>
      <c r="J9371" t="n">
        <v>0</v>
      </c>
      <c r="K9371" t="n">
        <v>0</v>
      </c>
      <c r="L9371" t="n">
        <v>0</v>
      </c>
      <c r="M9371" t="n">
        <v>0</v>
      </c>
      <c r="N9371" t="n">
        <v>0</v>
      </c>
      <c r="O9371" t="n">
        <v>0</v>
      </c>
      <c r="P9371" t="n">
        <v>0</v>
      </c>
      <c r="Q9371" t="n">
        <v>0</v>
      </c>
      <c r="R9371" s="2" t="inlineStr"/>
    </row>
    <row r="9372" ht="15" customHeight="1">
      <c r="A9372" t="inlineStr">
        <is>
          <t>A 14225-2023</t>
        </is>
      </c>
      <c r="B9372" s="1" t="n">
        <v>45009</v>
      </c>
      <c r="C9372" s="1" t="n">
        <v>45810</v>
      </c>
      <c r="D9372" t="inlineStr">
        <is>
          <t>VÄRMLANDS LÄN</t>
        </is>
      </c>
      <c r="E9372" t="inlineStr">
        <is>
          <t>ARVIKA</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14252-2023</t>
        </is>
      </c>
      <c r="B9373" s="1" t="n">
        <v>45009</v>
      </c>
      <c r="C9373" s="1" t="n">
        <v>45810</v>
      </c>
      <c r="D9373" t="inlineStr">
        <is>
          <t>VÄRMLANDS LÄN</t>
        </is>
      </c>
      <c r="E9373" t="inlineStr">
        <is>
          <t>SUNNE</t>
        </is>
      </c>
      <c r="G9373" t="n">
        <v>0.6</v>
      </c>
      <c r="H9373" t="n">
        <v>0</v>
      </c>
      <c r="I9373" t="n">
        <v>0</v>
      </c>
      <c r="J9373" t="n">
        <v>0</v>
      </c>
      <c r="K9373" t="n">
        <v>0</v>
      </c>
      <c r="L9373" t="n">
        <v>0</v>
      </c>
      <c r="M9373" t="n">
        <v>0</v>
      </c>
      <c r="N9373" t="n">
        <v>0</v>
      </c>
      <c r="O9373" t="n">
        <v>0</v>
      </c>
      <c r="P9373" t="n">
        <v>0</v>
      </c>
      <c r="Q9373" t="n">
        <v>0</v>
      </c>
      <c r="R9373" s="2" t="inlineStr"/>
    </row>
    <row r="9374" ht="15" customHeight="1">
      <c r="A9374" t="inlineStr">
        <is>
          <t>A 14293-2023</t>
        </is>
      </c>
      <c r="B9374" s="1" t="n">
        <v>45011</v>
      </c>
      <c r="C9374" s="1" t="n">
        <v>45810</v>
      </c>
      <c r="D9374" t="inlineStr">
        <is>
          <t>VÄRMLANDS LÄN</t>
        </is>
      </c>
      <c r="E9374" t="inlineStr">
        <is>
          <t>TORSBY</t>
        </is>
      </c>
      <c r="G9374" t="n">
        <v>2.4</v>
      </c>
      <c r="H9374" t="n">
        <v>0</v>
      </c>
      <c r="I9374" t="n">
        <v>0</v>
      </c>
      <c r="J9374" t="n">
        <v>0</v>
      </c>
      <c r="K9374" t="n">
        <v>0</v>
      </c>
      <c r="L9374" t="n">
        <v>0</v>
      </c>
      <c r="M9374" t="n">
        <v>0</v>
      </c>
      <c r="N9374" t="n">
        <v>0</v>
      </c>
      <c r="O9374" t="n">
        <v>0</v>
      </c>
      <c r="P9374" t="n">
        <v>0</v>
      </c>
      <c r="Q9374" t="n">
        <v>0</v>
      </c>
      <c r="R9374" s="2" t="inlineStr"/>
    </row>
    <row r="9375" ht="15" customHeight="1">
      <c r="A9375" t="inlineStr">
        <is>
          <t>A 14306-2023</t>
        </is>
      </c>
      <c r="B9375" s="1" t="n">
        <v>45011</v>
      </c>
      <c r="C9375" s="1" t="n">
        <v>45810</v>
      </c>
      <c r="D9375" t="inlineStr">
        <is>
          <t>VÄRMLANDS LÄN</t>
        </is>
      </c>
      <c r="E9375" t="inlineStr">
        <is>
          <t>GRUMS</t>
        </is>
      </c>
      <c r="G9375" t="n">
        <v>4.3</v>
      </c>
      <c r="H9375" t="n">
        <v>0</v>
      </c>
      <c r="I9375" t="n">
        <v>0</v>
      </c>
      <c r="J9375" t="n">
        <v>0</v>
      </c>
      <c r="K9375" t="n">
        <v>0</v>
      </c>
      <c r="L9375" t="n">
        <v>0</v>
      </c>
      <c r="M9375" t="n">
        <v>0</v>
      </c>
      <c r="N9375" t="n">
        <v>0</v>
      </c>
      <c r="O9375" t="n">
        <v>0</v>
      </c>
      <c r="P9375" t="n">
        <v>0</v>
      </c>
      <c r="Q9375" t="n">
        <v>0</v>
      </c>
      <c r="R9375" s="2" t="inlineStr"/>
    </row>
    <row r="9376" ht="15" customHeight="1">
      <c r="A9376" t="inlineStr">
        <is>
          <t>A 14304-2023</t>
        </is>
      </c>
      <c r="B9376" s="1" t="n">
        <v>45011</v>
      </c>
      <c r="C9376" s="1" t="n">
        <v>45810</v>
      </c>
      <c r="D9376" t="inlineStr">
        <is>
          <t>VÄRMLANDS LÄN</t>
        </is>
      </c>
      <c r="E9376" t="inlineStr">
        <is>
          <t>TORSBY</t>
        </is>
      </c>
      <c r="G9376" t="n">
        <v>0.8</v>
      </c>
      <c r="H9376" t="n">
        <v>0</v>
      </c>
      <c r="I9376" t="n">
        <v>0</v>
      </c>
      <c r="J9376" t="n">
        <v>0</v>
      </c>
      <c r="K9376" t="n">
        <v>0</v>
      </c>
      <c r="L9376" t="n">
        <v>0</v>
      </c>
      <c r="M9376" t="n">
        <v>0</v>
      </c>
      <c r="N9376" t="n">
        <v>0</v>
      </c>
      <c r="O9376" t="n">
        <v>0</v>
      </c>
      <c r="P9376" t="n">
        <v>0</v>
      </c>
      <c r="Q9376" t="n">
        <v>0</v>
      </c>
      <c r="R9376" s="2" t="inlineStr"/>
    </row>
    <row r="9377" ht="15" customHeight="1">
      <c r="A9377" t="inlineStr">
        <is>
          <t>A 14303-2023</t>
        </is>
      </c>
      <c r="B9377" s="1" t="n">
        <v>45011</v>
      </c>
      <c r="C9377" s="1" t="n">
        <v>45810</v>
      </c>
      <c r="D9377" t="inlineStr">
        <is>
          <t>VÄRMLANDS LÄN</t>
        </is>
      </c>
      <c r="E9377" t="inlineStr">
        <is>
          <t>TORSBY</t>
        </is>
      </c>
      <c r="G9377" t="n">
        <v>1</v>
      </c>
      <c r="H9377" t="n">
        <v>0</v>
      </c>
      <c r="I9377" t="n">
        <v>0</v>
      </c>
      <c r="J9377" t="n">
        <v>0</v>
      </c>
      <c r="K9377" t="n">
        <v>0</v>
      </c>
      <c r="L9377" t="n">
        <v>0</v>
      </c>
      <c r="M9377" t="n">
        <v>0</v>
      </c>
      <c r="N9377" t="n">
        <v>0</v>
      </c>
      <c r="O9377" t="n">
        <v>0</v>
      </c>
      <c r="P9377" t="n">
        <v>0</v>
      </c>
      <c r="Q9377" t="n">
        <v>0</v>
      </c>
      <c r="R9377" s="2" t="inlineStr"/>
    </row>
    <row r="9378" ht="15" customHeight="1">
      <c r="A9378" t="inlineStr">
        <is>
          <t>A 14292-2023</t>
        </is>
      </c>
      <c r="B9378" s="1" t="n">
        <v>45011</v>
      </c>
      <c r="C9378" s="1" t="n">
        <v>45810</v>
      </c>
      <c r="D9378" t="inlineStr">
        <is>
          <t>VÄRMLANDS LÄN</t>
        </is>
      </c>
      <c r="E9378" t="inlineStr">
        <is>
          <t>TORSBY</t>
        </is>
      </c>
      <c r="G9378" t="n">
        <v>1.6</v>
      </c>
      <c r="H9378" t="n">
        <v>0</v>
      </c>
      <c r="I9378" t="n">
        <v>0</v>
      </c>
      <c r="J9378" t="n">
        <v>0</v>
      </c>
      <c r="K9378" t="n">
        <v>0</v>
      </c>
      <c r="L9378" t="n">
        <v>0</v>
      </c>
      <c r="M9378" t="n">
        <v>0</v>
      </c>
      <c r="N9378" t="n">
        <v>0</v>
      </c>
      <c r="O9378" t="n">
        <v>0</v>
      </c>
      <c r="P9378" t="n">
        <v>0</v>
      </c>
      <c r="Q9378" t="n">
        <v>0</v>
      </c>
      <c r="R9378" s="2" t="inlineStr"/>
    </row>
    <row r="9379" ht="15" customHeight="1">
      <c r="A9379" t="inlineStr">
        <is>
          <t>A 14406-2023</t>
        </is>
      </c>
      <c r="B9379" s="1" t="n">
        <v>45012</v>
      </c>
      <c r="C9379" s="1" t="n">
        <v>45810</v>
      </c>
      <c r="D9379" t="inlineStr">
        <is>
          <t>VÄRMLANDS LÄN</t>
        </is>
      </c>
      <c r="E9379" t="inlineStr">
        <is>
          <t>ÅRJÄNG</t>
        </is>
      </c>
      <c r="G9379" t="n">
        <v>5.3</v>
      </c>
      <c r="H9379" t="n">
        <v>0</v>
      </c>
      <c r="I9379" t="n">
        <v>0</v>
      </c>
      <c r="J9379" t="n">
        <v>0</v>
      </c>
      <c r="K9379" t="n">
        <v>0</v>
      </c>
      <c r="L9379" t="n">
        <v>0</v>
      </c>
      <c r="M9379" t="n">
        <v>0</v>
      </c>
      <c r="N9379" t="n">
        <v>0</v>
      </c>
      <c r="O9379" t="n">
        <v>0</v>
      </c>
      <c r="P9379" t="n">
        <v>0</v>
      </c>
      <c r="Q9379" t="n">
        <v>0</v>
      </c>
      <c r="R9379" s="2" t="inlineStr"/>
    </row>
    <row r="9380" ht="15" customHeight="1">
      <c r="A9380" t="inlineStr">
        <is>
          <t>A 14455-2023</t>
        </is>
      </c>
      <c r="B9380" s="1" t="n">
        <v>45012</v>
      </c>
      <c r="C9380" s="1" t="n">
        <v>45810</v>
      </c>
      <c r="D9380" t="inlineStr">
        <is>
          <t>VÄRMLANDS LÄN</t>
        </is>
      </c>
      <c r="E9380" t="inlineStr">
        <is>
          <t>ARVIKA</t>
        </is>
      </c>
      <c r="G9380" t="n">
        <v>1.7</v>
      </c>
      <c r="H9380" t="n">
        <v>0</v>
      </c>
      <c r="I9380" t="n">
        <v>0</v>
      </c>
      <c r="J9380" t="n">
        <v>0</v>
      </c>
      <c r="K9380" t="n">
        <v>0</v>
      </c>
      <c r="L9380" t="n">
        <v>0</v>
      </c>
      <c r="M9380" t="n">
        <v>0</v>
      </c>
      <c r="N9380" t="n">
        <v>0</v>
      </c>
      <c r="O9380" t="n">
        <v>0</v>
      </c>
      <c r="P9380" t="n">
        <v>0</v>
      </c>
      <c r="Q9380" t="n">
        <v>0</v>
      </c>
      <c r="R9380" s="2" t="inlineStr"/>
    </row>
    <row r="9381" ht="15" customHeight="1">
      <c r="A9381" t="inlineStr">
        <is>
          <t>A 14459-2023</t>
        </is>
      </c>
      <c r="B9381" s="1" t="n">
        <v>45012</v>
      </c>
      <c r="C9381" s="1" t="n">
        <v>45810</v>
      </c>
      <c r="D9381" t="inlineStr">
        <is>
          <t>VÄRMLANDS LÄN</t>
        </is>
      </c>
      <c r="E9381" t="inlineStr">
        <is>
          <t>FILIPSTAD</t>
        </is>
      </c>
      <c r="G9381" t="n">
        <v>2.3</v>
      </c>
      <c r="H9381" t="n">
        <v>0</v>
      </c>
      <c r="I9381" t="n">
        <v>0</v>
      </c>
      <c r="J9381" t="n">
        <v>0</v>
      </c>
      <c r="K9381" t="n">
        <v>0</v>
      </c>
      <c r="L9381" t="n">
        <v>0</v>
      </c>
      <c r="M9381" t="n">
        <v>0</v>
      </c>
      <c r="N9381" t="n">
        <v>0</v>
      </c>
      <c r="O9381" t="n">
        <v>0</v>
      </c>
      <c r="P9381" t="n">
        <v>0</v>
      </c>
      <c r="Q9381" t="n">
        <v>0</v>
      </c>
      <c r="R9381" s="2" t="inlineStr"/>
    </row>
    <row r="9382" ht="15" customHeight="1">
      <c r="A9382" t="inlineStr">
        <is>
          <t>A 14465-2023</t>
        </is>
      </c>
      <c r="B9382" s="1" t="n">
        <v>45012</v>
      </c>
      <c r="C9382" s="1" t="n">
        <v>45810</v>
      </c>
      <c r="D9382" t="inlineStr">
        <is>
          <t>VÄRMLANDS LÄN</t>
        </is>
      </c>
      <c r="E9382" t="inlineStr">
        <is>
          <t>SÄFFLE</t>
        </is>
      </c>
      <c r="G9382" t="n">
        <v>1.4</v>
      </c>
      <c r="H9382" t="n">
        <v>0</v>
      </c>
      <c r="I9382" t="n">
        <v>0</v>
      </c>
      <c r="J9382" t="n">
        <v>0</v>
      </c>
      <c r="K9382" t="n">
        <v>0</v>
      </c>
      <c r="L9382" t="n">
        <v>0</v>
      </c>
      <c r="M9382" t="n">
        <v>0</v>
      </c>
      <c r="N9382" t="n">
        <v>0</v>
      </c>
      <c r="O9382" t="n">
        <v>0</v>
      </c>
      <c r="P9382" t="n">
        <v>0</v>
      </c>
      <c r="Q9382" t="n">
        <v>0</v>
      </c>
      <c r="R9382" s="2" t="inlineStr"/>
    </row>
    <row r="9383" ht="15" customHeight="1">
      <c r="A9383" t="inlineStr">
        <is>
          <t>A 14340-2023</t>
        </is>
      </c>
      <c r="B9383" s="1" t="n">
        <v>45012</v>
      </c>
      <c r="C9383" s="1" t="n">
        <v>45810</v>
      </c>
      <c r="D9383" t="inlineStr">
        <is>
          <t>VÄRMLANDS LÄN</t>
        </is>
      </c>
      <c r="E9383" t="inlineStr">
        <is>
          <t>ÅRJÄNG</t>
        </is>
      </c>
      <c r="G9383" t="n">
        <v>3.1</v>
      </c>
      <c r="H9383" t="n">
        <v>0</v>
      </c>
      <c r="I9383" t="n">
        <v>0</v>
      </c>
      <c r="J9383" t="n">
        <v>0</v>
      </c>
      <c r="K9383" t="n">
        <v>0</v>
      </c>
      <c r="L9383" t="n">
        <v>0</v>
      </c>
      <c r="M9383" t="n">
        <v>0</v>
      </c>
      <c r="N9383" t="n">
        <v>0</v>
      </c>
      <c r="O9383" t="n">
        <v>0</v>
      </c>
      <c r="P9383" t="n">
        <v>0</v>
      </c>
      <c r="Q9383" t="n">
        <v>0</v>
      </c>
      <c r="R9383" s="2" t="inlineStr"/>
    </row>
    <row r="9384" ht="15" customHeight="1">
      <c r="A9384" t="inlineStr">
        <is>
          <t>A 14320-2023</t>
        </is>
      </c>
      <c r="B9384" s="1" t="n">
        <v>45012</v>
      </c>
      <c r="C9384" s="1" t="n">
        <v>45810</v>
      </c>
      <c r="D9384" t="inlineStr">
        <is>
          <t>VÄRMLANDS LÄN</t>
        </is>
      </c>
      <c r="E9384" t="inlineStr">
        <is>
          <t>KARLSTAD</t>
        </is>
      </c>
      <c r="G9384" t="n">
        <v>1.1</v>
      </c>
      <c r="H9384" t="n">
        <v>0</v>
      </c>
      <c r="I9384" t="n">
        <v>0</v>
      </c>
      <c r="J9384" t="n">
        <v>0</v>
      </c>
      <c r="K9384" t="n">
        <v>0</v>
      </c>
      <c r="L9384" t="n">
        <v>0</v>
      </c>
      <c r="M9384" t="n">
        <v>0</v>
      </c>
      <c r="N9384" t="n">
        <v>0</v>
      </c>
      <c r="O9384" t="n">
        <v>0</v>
      </c>
      <c r="P9384" t="n">
        <v>0</v>
      </c>
      <c r="Q9384" t="n">
        <v>0</v>
      </c>
      <c r="R9384" s="2" t="inlineStr"/>
    </row>
    <row r="9385" ht="15" customHeight="1">
      <c r="A9385" t="inlineStr">
        <is>
          <t>A 14378-2023</t>
        </is>
      </c>
      <c r="B9385" s="1" t="n">
        <v>45012</v>
      </c>
      <c r="C9385" s="1" t="n">
        <v>45810</v>
      </c>
      <c r="D9385" t="inlineStr">
        <is>
          <t>VÄRMLANDS LÄN</t>
        </is>
      </c>
      <c r="E9385" t="inlineStr">
        <is>
          <t>FORSHAGA</t>
        </is>
      </c>
      <c r="G9385" t="n">
        <v>0.7</v>
      </c>
      <c r="H9385" t="n">
        <v>0</v>
      </c>
      <c r="I9385" t="n">
        <v>0</v>
      </c>
      <c r="J9385" t="n">
        <v>0</v>
      </c>
      <c r="K9385" t="n">
        <v>0</v>
      </c>
      <c r="L9385" t="n">
        <v>0</v>
      </c>
      <c r="M9385" t="n">
        <v>0</v>
      </c>
      <c r="N9385" t="n">
        <v>0</v>
      </c>
      <c r="O9385" t="n">
        <v>0</v>
      </c>
      <c r="P9385" t="n">
        <v>0</v>
      </c>
      <c r="Q9385" t="n">
        <v>0</v>
      </c>
      <c r="R9385" s="2" t="inlineStr"/>
    </row>
    <row r="9386" ht="15" customHeight="1">
      <c r="A9386" t="inlineStr">
        <is>
          <t>A 14382-2023</t>
        </is>
      </c>
      <c r="B9386" s="1" t="n">
        <v>45012</v>
      </c>
      <c r="C9386" s="1" t="n">
        <v>45810</v>
      </c>
      <c r="D9386" t="inlineStr">
        <is>
          <t>VÄRMLANDS LÄN</t>
        </is>
      </c>
      <c r="E9386" t="inlineStr">
        <is>
          <t>FORSHAGA</t>
        </is>
      </c>
      <c r="F9386" t="inlineStr">
        <is>
          <t>Bergvik skog väst AB</t>
        </is>
      </c>
      <c r="G9386" t="n">
        <v>2</v>
      </c>
      <c r="H9386" t="n">
        <v>0</v>
      </c>
      <c r="I9386" t="n">
        <v>0</v>
      </c>
      <c r="J9386" t="n">
        <v>0</v>
      </c>
      <c r="K9386" t="n">
        <v>0</v>
      </c>
      <c r="L9386" t="n">
        <v>0</v>
      </c>
      <c r="M9386" t="n">
        <v>0</v>
      </c>
      <c r="N9386" t="n">
        <v>0</v>
      </c>
      <c r="O9386" t="n">
        <v>0</v>
      </c>
      <c r="P9386" t="n">
        <v>0</v>
      </c>
      <c r="Q9386" t="n">
        <v>0</v>
      </c>
      <c r="R9386" s="2" t="inlineStr"/>
    </row>
    <row r="9387" ht="15" customHeight="1">
      <c r="A9387" t="inlineStr">
        <is>
          <t>A 14428-2023</t>
        </is>
      </c>
      <c r="B9387" s="1" t="n">
        <v>45012</v>
      </c>
      <c r="C9387" s="1" t="n">
        <v>45810</v>
      </c>
      <c r="D9387" t="inlineStr">
        <is>
          <t>VÄRMLANDS LÄN</t>
        </is>
      </c>
      <c r="E9387" t="inlineStr">
        <is>
          <t>SÄFFLE</t>
        </is>
      </c>
      <c r="G9387" t="n">
        <v>0.6</v>
      </c>
      <c r="H9387" t="n">
        <v>0</v>
      </c>
      <c r="I9387" t="n">
        <v>0</v>
      </c>
      <c r="J9387" t="n">
        <v>0</v>
      </c>
      <c r="K9387" t="n">
        <v>0</v>
      </c>
      <c r="L9387" t="n">
        <v>0</v>
      </c>
      <c r="M9387" t="n">
        <v>0</v>
      </c>
      <c r="N9387" t="n">
        <v>0</v>
      </c>
      <c r="O9387" t="n">
        <v>0</v>
      </c>
      <c r="P9387" t="n">
        <v>0</v>
      </c>
      <c r="Q9387" t="n">
        <v>0</v>
      </c>
      <c r="R9387" s="2" t="inlineStr"/>
    </row>
    <row r="9388" ht="15" customHeight="1">
      <c r="A9388" t="inlineStr">
        <is>
          <t>A 14457-2023</t>
        </is>
      </c>
      <c r="B9388" s="1" t="n">
        <v>45012</v>
      </c>
      <c r="C9388" s="1" t="n">
        <v>45810</v>
      </c>
      <c r="D9388" t="inlineStr">
        <is>
          <t>VÄRMLANDS LÄN</t>
        </is>
      </c>
      <c r="E9388" t="inlineStr">
        <is>
          <t>ARVIKA</t>
        </is>
      </c>
      <c r="G9388" t="n">
        <v>1.2</v>
      </c>
      <c r="H9388" t="n">
        <v>0</v>
      </c>
      <c r="I9388" t="n">
        <v>0</v>
      </c>
      <c r="J9388" t="n">
        <v>0</v>
      </c>
      <c r="K9388" t="n">
        <v>0</v>
      </c>
      <c r="L9388" t="n">
        <v>0</v>
      </c>
      <c r="M9388" t="n">
        <v>0</v>
      </c>
      <c r="N9388" t="n">
        <v>0</v>
      </c>
      <c r="O9388" t="n">
        <v>0</v>
      </c>
      <c r="P9388" t="n">
        <v>0</v>
      </c>
      <c r="Q9388" t="n">
        <v>0</v>
      </c>
      <c r="R9388" s="2" t="inlineStr"/>
    </row>
    <row r="9389" ht="15" customHeight="1">
      <c r="A9389" t="inlineStr">
        <is>
          <t>A 14467-2023</t>
        </is>
      </c>
      <c r="B9389" s="1" t="n">
        <v>45012</v>
      </c>
      <c r="C9389" s="1" t="n">
        <v>45810</v>
      </c>
      <c r="D9389" t="inlineStr">
        <is>
          <t>VÄRMLANDS LÄN</t>
        </is>
      </c>
      <c r="E9389" t="inlineStr">
        <is>
          <t>ARVIKA</t>
        </is>
      </c>
      <c r="G9389" t="n">
        <v>7.4</v>
      </c>
      <c r="H9389" t="n">
        <v>0</v>
      </c>
      <c r="I9389" t="n">
        <v>0</v>
      </c>
      <c r="J9389" t="n">
        <v>0</v>
      </c>
      <c r="K9389" t="n">
        <v>0</v>
      </c>
      <c r="L9389" t="n">
        <v>0</v>
      </c>
      <c r="M9389" t="n">
        <v>0</v>
      </c>
      <c r="N9389" t="n">
        <v>0</v>
      </c>
      <c r="O9389" t="n">
        <v>0</v>
      </c>
      <c r="P9389" t="n">
        <v>0</v>
      </c>
      <c r="Q9389" t="n">
        <v>0</v>
      </c>
      <c r="R9389" s="2" t="inlineStr"/>
    </row>
    <row r="9390" ht="15" customHeight="1">
      <c r="A9390" t="inlineStr">
        <is>
          <t>A 14488-2023</t>
        </is>
      </c>
      <c r="B9390" s="1" t="n">
        <v>45012</v>
      </c>
      <c r="C9390" s="1" t="n">
        <v>45810</v>
      </c>
      <c r="D9390" t="inlineStr">
        <is>
          <t>VÄRMLANDS LÄN</t>
        </is>
      </c>
      <c r="E9390" t="inlineStr">
        <is>
          <t>ARVIKA</t>
        </is>
      </c>
      <c r="F9390" t="inlineStr">
        <is>
          <t>Bergvik skog väst AB</t>
        </is>
      </c>
      <c r="G9390" t="n">
        <v>13.5</v>
      </c>
      <c r="H9390" t="n">
        <v>0</v>
      </c>
      <c r="I9390" t="n">
        <v>0</v>
      </c>
      <c r="J9390" t="n">
        <v>0</v>
      </c>
      <c r="K9390" t="n">
        <v>0</v>
      </c>
      <c r="L9390" t="n">
        <v>0</v>
      </c>
      <c r="M9390" t="n">
        <v>0</v>
      </c>
      <c r="N9390" t="n">
        <v>0</v>
      </c>
      <c r="O9390" t="n">
        <v>0</v>
      </c>
      <c r="P9390" t="n">
        <v>0</v>
      </c>
      <c r="Q9390" t="n">
        <v>0</v>
      </c>
      <c r="R9390" s="2" t="inlineStr"/>
    </row>
    <row r="9391" ht="15" customHeight="1">
      <c r="A9391" t="inlineStr">
        <is>
          <t>A 14644-2023</t>
        </is>
      </c>
      <c r="B9391" s="1" t="n">
        <v>45012</v>
      </c>
      <c r="C9391" s="1" t="n">
        <v>45810</v>
      </c>
      <c r="D9391" t="inlineStr">
        <is>
          <t>VÄRMLANDS LÄN</t>
        </is>
      </c>
      <c r="E9391" t="inlineStr">
        <is>
          <t>SÄFFLE</t>
        </is>
      </c>
      <c r="G9391" t="n">
        <v>1.3</v>
      </c>
      <c r="H9391" t="n">
        <v>0</v>
      </c>
      <c r="I9391" t="n">
        <v>0</v>
      </c>
      <c r="J9391" t="n">
        <v>0</v>
      </c>
      <c r="K9391" t="n">
        <v>0</v>
      </c>
      <c r="L9391" t="n">
        <v>0</v>
      </c>
      <c r="M9391" t="n">
        <v>0</v>
      </c>
      <c r="N9391" t="n">
        <v>0</v>
      </c>
      <c r="O9391" t="n">
        <v>0</v>
      </c>
      <c r="P9391" t="n">
        <v>0</v>
      </c>
      <c r="Q9391" t="n">
        <v>0</v>
      </c>
      <c r="R9391" s="2" t="inlineStr"/>
    </row>
    <row r="9392" ht="15" customHeight="1">
      <c r="A9392" t="inlineStr">
        <is>
          <t>A 14492-2023</t>
        </is>
      </c>
      <c r="B9392" s="1" t="n">
        <v>45012</v>
      </c>
      <c r="C9392" s="1" t="n">
        <v>45810</v>
      </c>
      <c r="D9392" t="inlineStr">
        <is>
          <t>VÄRMLANDS LÄN</t>
        </is>
      </c>
      <c r="E9392" t="inlineStr">
        <is>
          <t>SUNNE</t>
        </is>
      </c>
      <c r="G9392" t="n">
        <v>0.9</v>
      </c>
      <c r="H9392" t="n">
        <v>0</v>
      </c>
      <c r="I9392" t="n">
        <v>0</v>
      </c>
      <c r="J9392" t="n">
        <v>0</v>
      </c>
      <c r="K9392" t="n">
        <v>0</v>
      </c>
      <c r="L9392" t="n">
        <v>0</v>
      </c>
      <c r="M9392" t="n">
        <v>0</v>
      </c>
      <c r="N9392" t="n">
        <v>0</v>
      </c>
      <c r="O9392" t="n">
        <v>0</v>
      </c>
      <c r="P9392" t="n">
        <v>0</v>
      </c>
      <c r="Q9392" t="n">
        <v>0</v>
      </c>
      <c r="R9392" s="2" t="inlineStr"/>
    </row>
    <row r="9393" ht="15" customHeight="1">
      <c r="A9393" t="inlineStr">
        <is>
          <t>A 14466-2023</t>
        </is>
      </c>
      <c r="B9393" s="1" t="n">
        <v>45012</v>
      </c>
      <c r="C9393" s="1" t="n">
        <v>45810</v>
      </c>
      <c r="D9393" t="inlineStr">
        <is>
          <t>VÄRMLANDS LÄN</t>
        </is>
      </c>
      <c r="E9393" t="inlineStr">
        <is>
          <t>ARVIKA</t>
        </is>
      </c>
      <c r="G9393" t="n">
        <v>1.1</v>
      </c>
      <c r="H9393" t="n">
        <v>0</v>
      </c>
      <c r="I9393" t="n">
        <v>0</v>
      </c>
      <c r="J9393" t="n">
        <v>0</v>
      </c>
      <c r="K9393" t="n">
        <v>0</v>
      </c>
      <c r="L9393" t="n">
        <v>0</v>
      </c>
      <c r="M9393" t="n">
        <v>0</v>
      </c>
      <c r="N9393" t="n">
        <v>0</v>
      </c>
      <c r="O9393" t="n">
        <v>0</v>
      </c>
      <c r="P9393" t="n">
        <v>0</v>
      </c>
      <c r="Q9393" t="n">
        <v>0</v>
      </c>
      <c r="R9393" s="2" t="inlineStr"/>
    </row>
    <row r="9394" ht="15" customHeight="1">
      <c r="A9394" t="inlineStr">
        <is>
          <t>A 14643-2023</t>
        </is>
      </c>
      <c r="B9394" s="1" t="n">
        <v>45012</v>
      </c>
      <c r="C9394" s="1" t="n">
        <v>45810</v>
      </c>
      <c r="D9394" t="inlineStr">
        <is>
          <t>VÄRMLANDS LÄN</t>
        </is>
      </c>
      <c r="E9394" t="inlineStr">
        <is>
          <t>SÄFFLE</t>
        </is>
      </c>
      <c r="G9394" t="n">
        <v>2.4</v>
      </c>
      <c r="H9394" t="n">
        <v>0</v>
      </c>
      <c r="I9394" t="n">
        <v>0</v>
      </c>
      <c r="J9394" t="n">
        <v>0</v>
      </c>
      <c r="K9394" t="n">
        <v>0</v>
      </c>
      <c r="L9394" t="n">
        <v>0</v>
      </c>
      <c r="M9394" t="n">
        <v>0</v>
      </c>
      <c r="N9394" t="n">
        <v>0</v>
      </c>
      <c r="O9394" t="n">
        <v>0</v>
      </c>
      <c r="P9394" t="n">
        <v>0</v>
      </c>
      <c r="Q9394" t="n">
        <v>0</v>
      </c>
      <c r="R9394" s="2" t="inlineStr"/>
    </row>
    <row r="9395" ht="15" customHeight="1">
      <c r="A9395" t="inlineStr">
        <is>
          <t>A 14564-2023</t>
        </is>
      </c>
      <c r="B9395" s="1" t="n">
        <v>45013</v>
      </c>
      <c r="C9395" s="1" t="n">
        <v>45810</v>
      </c>
      <c r="D9395" t="inlineStr">
        <is>
          <t>VÄRMLANDS LÄN</t>
        </is>
      </c>
      <c r="E9395" t="inlineStr">
        <is>
          <t>SUNNE</t>
        </is>
      </c>
      <c r="G9395" t="n">
        <v>1.5</v>
      </c>
      <c r="H9395" t="n">
        <v>0</v>
      </c>
      <c r="I9395" t="n">
        <v>0</v>
      </c>
      <c r="J9395" t="n">
        <v>0</v>
      </c>
      <c r="K9395" t="n">
        <v>0</v>
      </c>
      <c r="L9395" t="n">
        <v>0</v>
      </c>
      <c r="M9395" t="n">
        <v>0</v>
      </c>
      <c r="N9395" t="n">
        <v>0</v>
      </c>
      <c r="O9395" t="n">
        <v>0</v>
      </c>
      <c r="P9395" t="n">
        <v>0</v>
      </c>
      <c r="Q9395" t="n">
        <v>0</v>
      </c>
      <c r="R9395" s="2" t="inlineStr"/>
    </row>
    <row r="9396" ht="15" customHeight="1">
      <c r="A9396" t="inlineStr">
        <is>
          <t>A 14592-2023</t>
        </is>
      </c>
      <c r="B9396" s="1" t="n">
        <v>45013</v>
      </c>
      <c r="C9396" s="1" t="n">
        <v>45810</v>
      </c>
      <c r="D9396" t="inlineStr">
        <is>
          <t>VÄRMLANDS LÄN</t>
        </is>
      </c>
      <c r="E9396" t="inlineStr">
        <is>
          <t>TORSBY</t>
        </is>
      </c>
      <c r="G9396" t="n">
        <v>0.9</v>
      </c>
      <c r="H9396" t="n">
        <v>0</v>
      </c>
      <c r="I9396" t="n">
        <v>0</v>
      </c>
      <c r="J9396" t="n">
        <v>0</v>
      </c>
      <c r="K9396" t="n">
        <v>0</v>
      </c>
      <c r="L9396" t="n">
        <v>0</v>
      </c>
      <c r="M9396" t="n">
        <v>0</v>
      </c>
      <c r="N9396" t="n">
        <v>0</v>
      </c>
      <c r="O9396" t="n">
        <v>0</v>
      </c>
      <c r="P9396" t="n">
        <v>0</v>
      </c>
      <c r="Q9396" t="n">
        <v>0</v>
      </c>
      <c r="R9396" s="2" t="inlineStr"/>
    </row>
    <row r="9397" ht="15" customHeight="1">
      <c r="A9397" t="inlineStr">
        <is>
          <t>A 14551-2023</t>
        </is>
      </c>
      <c r="B9397" s="1" t="n">
        <v>45013</v>
      </c>
      <c r="C9397" s="1" t="n">
        <v>45810</v>
      </c>
      <c r="D9397" t="inlineStr">
        <is>
          <t>VÄRMLANDS LÄN</t>
        </is>
      </c>
      <c r="E9397" t="inlineStr">
        <is>
          <t>ARVIKA</t>
        </is>
      </c>
      <c r="G9397" t="n">
        <v>0.6</v>
      </c>
      <c r="H9397" t="n">
        <v>0</v>
      </c>
      <c r="I9397" t="n">
        <v>0</v>
      </c>
      <c r="J9397" t="n">
        <v>0</v>
      </c>
      <c r="K9397" t="n">
        <v>0</v>
      </c>
      <c r="L9397" t="n">
        <v>0</v>
      </c>
      <c r="M9397" t="n">
        <v>0</v>
      </c>
      <c r="N9397" t="n">
        <v>0</v>
      </c>
      <c r="O9397" t="n">
        <v>0</v>
      </c>
      <c r="P9397" t="n">
        <v>0</v>
      </c>
      <c r="Q9397" t="n">
        <v>0</v>
      </c>
      <c r="R9397" s="2" t="inlineStr"/>
    </row>
    <row r="9398" ht="15" customHeight="1">
      <c r="A9398" t="inlineStr">
        <is>
          <t>A 14555-2023</t>
        </is>
      </c>
      <c r="B9398" s="1" t="n">
        <v>45013</v>
      </c>
      <c r="C9398" s="1" t="n">
        <v>45810</v>
      </c>
      <c r="D9398" t="inlineStr">
        <is>
          <t>VÄRMLANDS LÄN</t>
        </is>
      </c>
      <c r="E9398" t="inlineStr">
        <is>
          <t>ARVIKA</t>
        </is>
      </c>
      <c r="G9398" t="n">
        <v>0.6</v>
      </c>
      <c r="H9398" t="n">
        <v>0</v>
      </c>
      <c r="I9398" t="n">
        <v>0</v>
      </c>
      <c r="J9398" t="n">
        <v>0</v>
      </c>
      <c r="K9398" t="n">
        <v>0</v>
      </c>
      <c r="L9398" t="n">
        <v>0</v>
      </c>
      <c r="M9398" t="n">
        <v>0</v>
      </c>
      <c r="N9398" t="n">
        <v>0</v>
      </c>
      <c r="O9398" t="n">
        <v>0</v>
      </c>
      <c r="P9398" t="n">
        <v>0</v>
      </c>
      <c r="Q9398" t="n">
        <v>0</v>
      </c>
      <c r="R9398" s="2" t="inlineStr"/>
    </row>
    <row r="9399" ht="15" customHeight="1">
      <c r="A9399" t="inlineStr">
        <is>
          <t>A 14580-2023</t>
        </is>
      </c>
      <c r="B9399" s="1" t="n">
        <v>45013</v>
      </c>
      <c r="C9399" s="1" t="n">
        <v>45810</v>
      </c>
      <c r="D9399" t="inlineStr">
        <is>
          <t>VÄRMLANDS LÄN</t>
        </is>
      </c>
      <c r="E9399" t="inlineStr">
        <is>
          <t>KARLSTAD</t>
        </is>
      </c>
      <c r="G9399" t="n">
        <v>1.6</v>
      </c>
      <c r="H9399" t="n">
        <v>0</v>
      </c>
      <c r="I9399" t="n">
        <v>0</v>
      </c>
      <c r="J9399" t="n">
        <v>0</v>
      </c>
      <c r="K9399" t="n">
        <v>0</v>
      </c>
      <c r="L9399" t="n">
        <v>0</v>
      </c>
      <c r="M9399" t="n">
        <v>0</v>
      </c>
      <c r="N9399" t="n">
        <v>0</v>
      </c>
      <c r="O9399" t="n">
        <v>0</v>
      </c>
      <c r="P9399" t="n">
        <v>0</v>
      </c>
      <c r="Q9399" t="n">
        <v>0</v>
      </c>
      <c r="R9399" s="2" t="inlineStr"/>
    </row>
    <row r="9400" ht="15" customHeight="1">
      <c r="A9400" t="inlineStr">
        <is>
          <t>A 14581-2023</t>
        </is>
      </c>
      <c r="B9400" s="1" t="n">
        <v>45013</v>
      </c>
      <c r="C9400" s="1" t="n">
        <v>45810</v>
      </c>
      <c r="D9400" t="inlineStr">
        <is>
          <t>VÄRMLANDS LÄN</t>
        </is>
      </c>
      <c r="E9400" t="inlineStr">
        <is>
          <t>TORSBY</t>
        </is>
      </c>
      <c r="G9400" t="n">
        <v>3</v>
      </c>
      <c r="H9400" t="n">
        <v>0</v>
      </c>
      <c r="I9400" t="n">
        <v>0</v>
      </c>
      <c r="J9400" t="n">
        <v>0</v>
      </c>
      <c r="K9400" t="n">
        <v>0</v>
      </c>
      <c r="L9400" t="n">
        <v>0</v>
      </c>
      <c r="M9400" t="n">
        <v>0</v>
      </c>
      <c r="N9400" t="n">
        <v>0</v>
      </c>
      <c r="O9400" t="n">
        <v>0</v>
      </c>
      <c r="P9400" t="n">
        <v>0</v>
      </c>
      <c r="Q9400" t="n">
        <v>0</v>
      </c>
      <c r="R9400" s="2" t="inlineStr"/>
    </row>
    <row r="9401" ht="15" customHeight="1">
      <c r="A9401" t="inlineStr">
        <is>
          <t>A 14589-2023</t>
        </is>
      </c>
      <c r="B9401" s="1" t="n">
        <v>45013</v>
      </c>
      <c r="C9401" s="1" t="n">
        <v>45810</v>
      </c>
      <c r="D9401" t="inlineStr">
        <is>
          <t>VÄRMLANDS LÄN</t>
        </is>
      </c>
      <c r="E9401" t="inlineStr">
        <is>
          <t>HAGFORS</t>
        </is>
      </c>
      <c r="F9401" t="inlineStr">
        <is>
          <t>Bergvik skog väst AB</t>
        </is>
      </c>
      <c r="G9401" t="n">
        <v>14.4</v>
      </c>
      <c r="H9401" t="n">
        <v>0</v>
      </c>
      <c r="I9401" t="n">
        <v>0</v>
      </c>
      <c r="J9401" t="n">
        <v>0</v>
      </c>
      <c r="K9401" t="n">
        <v>0</v>
      </c>
      <c r="L9401" t="n">
        <v>0</v>
      </c>
      <c r="M9401" t="n">
        <v>0</v>
      </c>
      <c r="N9401" t="n">
        <v>0</v>
      </c>
      <c r="O9401" t="n">
        <v>0</v>
      </c>
      <c r="P9401" t="n">
        <v>0</v>
      </c>
      <c r="Q9401" t="n">
        <v>0</v>
      </c>
      <c r="R9401" s="2" t="inlineStr"/>
    </row>
    <row r="9402" ht="15" customHeight="1">
      <c r="A9402" t="inlineStr">
        <is>
          <t>A 14607-2023</t>
        </is>
      </c>
      <c r="B9402" s="1" t="n">
        <v>45013</v>
      </c>
      <c r="C9402" s="1" t="n">
        <v>45810</v>
      </c>
      <c r="D9402" t="inlineStr">
        <is>
          <t>VÄRMLANDS LÄN</t>
        </is>
      </c>
      <c r="E9402" t="inlineStr">
        <is>
          <t>SÄFFLE</t>
        </is>
      </c>
      <c r="G9402" t="n">
        <v>2.3</v>
      </c>
      <c r="H9402" t="n">
        <v>0</v>
      </c>
      <c r="I9402" t="n">
        <v>0</v>
      </c>
      <c r="J9402" t="n">
        <v>0</v>
      </c>
      <c r="K9402" t="n">
        <v>0</v>
      </c>
      <c r="L9402" t="n">
        <v>0</v>
      </c>
      <c r="M9402" t="n">
        <v>0</v>
      </c>
      <c r="N9402" t="n">
        <v>0</v>
      </c>
      <c r="O9402" t="n">
        <v>0</v>
      </c>
      <c r="P9402" t="n">
        <v>0</v>
      </c>
      <c r="Q9402" t="n">
        <v>0</v>
      </c>
      <c r="R9402" s="2" t="inlineStr"/>
    </row>
    <row r="9403" ht="15" customHeight="1">
      <c r="A9403" t="inlineStr">
        <is>
          <t>A 14582-2023</t>
        </is>
      </c>
      <c r="B9403" s="1" t="n">
        <v>45013</v>
      </c>
      <c r="C9403" s="1" t="n">
        <v>45810</v>
      </c>
      <c r="D9403" t="inlineStr">
        <is>
          <t>VÄRMLANDS LÄN</t>
        </is>
      </c>
      <c r="E9403" t="inlineStr">
        <is>
          <t>KARLSTAD</t>
        </is>
      </c>
      <c r="G9403" t="n">
        <v>1.3</v>
      </c>
      <c r="H9403" t="n">
        <v>0</v>
      </c>
      <c r="I9403" t="n">
        <v>0</v>
      </c>
      <c r="J9403" t="n">
        <v>0</v>
      </c>
      <c r="K9403" t="n">
        <v>0</v>
      </c>
      <c r="L9403" t="n">
        <v>0</v>
      </c>
      <c r="M9403" t="n">
        <v>0</v>
      </c>
      <c r="N9403" t="n">
        <v>0</v>
      </c>
      <c r="O9403" t="n">
        <v>0</v>
      </c>
      <c r="P9403" t="n">
        <v>0</v>
      </c>
      <c r="Q9403" t="n">
        <v>0</v>
      </c>
      <c r="R9403" s="2" t="inlineStr"/>
    </row>
    <row r="9404" ht="15" customHeight="1">
      <c r="A9404" t="inlineStr">
        <is>
          <t>A 14608-2023</t>
        </is>
      </c>
      <c r="B9404" s="1" t="n">
        <v>45013</v>
      </c>
      <c r="C9404" s="1" t="n">
        <v>45810</v>
      </c>
      <c r="D9404" t="inlineStr">
        <is>
          <t>VÄRMLANDS LÄN</t>
        </is>
      </c>
      <c r="E9404" t="inlineStr">
        <is>
          <t>FILIPSTAD</t>
        </is>
      </c>
      <c r="F9404" t="inlineStr">
        <is>
          <t>Bergvik skog väst AB</t>
        </is>
      </c>
      <c r="G9404" t="n">
        <v>5.4</v>
      </c>
      <c r="H9404" t="n">
        <v>0</v>
      </c>
      <c r="I9404" t="n">
        <v>0</v>
      </c>
      <c r="J9404" t="n">
        <v>0</v>
      </c>
      <c r="K9404" t="n">
        <v>0</v>
      </c>
      <c r="L9404" t="n">
        <v>0</v>
      </c>
      <c r="M9404" t="n">
        <v>0</v>
      </c>
      <c r="N9404" t="n">
        <v>0</v>
      </c>
      <c r="O9404" t="n">
        <v>0</v>
      </c>
      <c r="P9404" t="n">
        <v>0</v>
      </c>
      <c r="Q9404" t="n">
        <v>0</v>
      </c>
      <c r="R9404" s="2" t="inlineStr"/>
    </row>
    <row r="9405" ht="15" customHeight="1">
      <c r="A9405" t="inlineStr">
        <is>
          <t>A 14735-2023</t>
        </is>
      </c>
      <c r="B9405" s="1" t="n">
        <v>45013</v>
      </c>
      <c r="C9405" s="1" t="n">
        <v>45810</v>
      </c>
      <c r="D9405" t="inlineStr">
        <is>
          <t>VÄRMLANDS LÄN</t>
        </is>
      </c>
      <c r="E9405" t="inlineStr">
        <is>
          <t>ARVIKA</t>
        </is>
      </c>
      <c r="G9405" t="n">
        <v>3</v>
      </c>
      <c r="H9405" t="n">
        <v>0</v>
      </c>
      <c r="I9405" t="n">
        <v>0</v>
      </c>
      <c r="J9405" t="n">
        <v>0</v>
      </c>
      <c r="K9405" t="n">
        <v>0</v>
      </c>
      <c r="L9405" t="n">
        <v>0</v>
      </c>
      <c r="M9405" t="n">
        <v>0</v>
      </c>
      <c r="N9405" t="n">
        <v>0</v>
      </c>
      <c r="O9405" t="n">
        <v>0</v>
      </c>
      <c r="P9405" t="n">
        <v>0</v>
      </c>
      <c r="Q9405" t="n">
        <v>0</v>
      </c>
      <c r="R9405" s="2" t="inlineStr"/>
    </row>
    <row r="9406" ht="15" customHeight="1">
      <c r="A9406" t="inlineStr">
        <is>
          <t>A 14745-2023</t>
        </is>
      </c>
      <c r="B9406" s="1" t="n">
        <v>45013</v>
      </c>
      <c r="C9406" s="1" t="n">
        <v>45810</v>
      </c>
      <c r="D9406" t="inlineStr">
        <is>
          <t>VÄRMLANDS LÄN</t>
        </is>
      </c>
      <c r="E9406" t="inlineStr">
        <is>
          <t>ARVIKA</t>
        </is>
      </c>
      <c r="G9406" t="n">
        <v>1.1</v>
      </c>
      <c r="H9406" t="n">
        <v>0</v>
      </c>
      <c r="I9406" t="n">
        <v>0</v>
      </c>
      <c r="J9406" t="n">
        <v>0</v>
      </c>
      <c r="K9406" t="n">
        <v>0</v>
      </c>
      <c r="L9406" t="n">
        <v>0</v>
      </c>
      <c r="M9406" t="n">
        <v>0</v>
      </c>
      <c r="N9406" t="n">
        <v>0</v>
      </c>
      <c r="O9406" t="n">
        <v>0</v>
      </c>
      <c r="P9406" t="n">
        <v>0</v>
      </c>
      <c r="Q9406" t="n">
        <v>0</v>
      </c>
      <c r="R9406" s="2" t="inlineStr"/>
    </row>
    <row r="9407" ht="15" customHeight="1">
      <c r="A9407" t="inlineStr">
        <is>
          <t>A 14624-2023</t>
        </is>
      </c>
      <c r="B9407" s="1" t="n">
        <v>45013</v>
      </c>
      <c r="C9407" s="1" t="n">
        <v>45810</v>
      </c>
      <c r="D9407" t="inlineStr">
        <is>
          <t>VÄRMLANDS LÄN</t>
        </is>
      </c>
      <c r="E9407" t="inlineStr">
        <is>
          <t>TORSBY</t>
        </is>
      </c>
      <c r="G9407" t="n">
        <v>2.4</v>
      </c>
      <c r="H9407" t="n">
        <v>0</v>
      </c>
      <c r="I9407" t="n">
        <v>0</v>
      </c>
      <c r="J9407" t="n">
        <v>0</v>
      </c>
      <c r="K9407" t="n">
        <v>0</v>
      </c>
      <c r="L9407" t="n">
        <v>0</v>
      </c>
      <c r="M9407" t="n">
        <v>0</v>
      </c>
      <c r="N9407" t="n">
        <v>0</v>
      </c>
      <c r="O9407" t="n">
        <v>0</v>
      </c>
      <c r="P9407" t="n">
        <v>0</v>
      </c>
      <c r="Q9407" t="n">
        <v>0</v>
      </c>
      <c r="R9407" s="2" t="inlineStr"/>
    </row>
    <row r="9408" ht="15" customHeight="1">
      <c r="A9408" t="inlineStr">
        <is>
          <t>A 14726-2023</t>
        </is>
      </c>
      <c r="B9408" s="1" t="n">
        <v>45014</v>
      </c>
      <c r="C9408" s="1" t="n">
        <v>45810</v>
      </c>
      <c r="D9408" t="inlineStr">
        <is>
          <t>VÄRMLANDS LÄN</t>
        </is>
      </c>
      <c r="E9408" t="inlineStr">
        <is>
          <t>FILIPSTAD</t>
        </is>
      </c>
      <c r="F9408" t="inlineStr">
        <is>
          <t>Bergvik skog väst AB</t>
        </is>
      </c>
      <c r="G9408" t="n">
        <v>8.800000000000001</v>
      </c>
      <c r="H9408" t="n">
        <v>0</v>
      </c>
      <c r="I9408" t="n">
        <v>0</v>
      </c>
      <c r="J9408" t="n">
        <v>0</v>
      </c>
      <c r="K9408" t="n">
        <v>0</v>
      </c>
      <c r="L9408" t="n">
        <v>0</v>
      </c>
      <c r="M9408" t="n">
        <v>0</v>
      </c>
      <c r="N9408" t="n">
        <v>0</v>
      </c>
      <c r="O9408" t="n">
        <v>0</v>
      </c>
      <c r="P9408" t="n">
        <v>0</v>
      </c>
      <c r="Q9408" t="n">
        <v>0</v>
      </c>
      <c r="R9408" s="2" t="inlineStr"/>
    </row>
    <row r="9409" ht="15" customHeight="1">
      <c r="A9409" t="inlineStr">
        <is>
          <t>A 14741-2023</t>
        </is>
      </c>
      <c r="B9409" s="1" t="n">
        <v>45014</v>
      </c>
      <c r="C9409" s="1" t="n">
        <v>45810</v>
      </c>
      <c r="D9409" t="inlineStr">
        <is>
          <t>VÄRMLANDS LÄN</t>
        </is>
      </c>
      <c r="E9409" t="inlineStr">
        <is>
          <t>SUNNE</t>
        </is>
      </c>
      <c r="G9409" t="n">
        <v>1.4</v>
      </c>
      <c r="H9409" t="n">
        <v>0</v>
      </c>
      <c r="I9409" t="n">
        <v>0</v>
      </c>
      <c r="J9409" t="n">
        <v>0</v>
      </c>
      <c r="K9409" t="n">
        <v>0</v>
      </c>
      <c r="L9409" t="n">
        <v>0</v>
      </c>
      <c r="M9409" t="n">
        <v>0</v>
      </c>
      <c r="N9409" t="n">
        <v>0</v>
      </c>
      <c r="O9409" t="n">
        <v>0</v>
      </c>
      <c r="P9409" t="n">
        <v>0</v>
      </c>
      <c r="Q9409" t="n">
        <v>0</v>
      </c>
      <c r="R9409" s="2" t="inlineStr"/>
    </row>
    <row r="9410" ht="15" customHeight="1">
      <c r="A9410" t="inlineStr">
        <is>
          <t>A 14709-2023</t>
        </is>
      </c>
      <c r="B9410" s="1" t="n">
        <v>45014</v>
      </c>
      <c r="C9410" s="1" t="n">
        <v>45810</v>
      </c>
      <c r="D9410" t="inlineStr">
        <is>
          <t>VÄRMLANDS LÄN</t>
        </is>
      </c>
      <c r="E9410" t="inlineStr">
        <is>
          <t>TORSBY</t>
        </is>
      </c>
      <c r="G9410" t="n">
        <v>2.7</v>
      </c>
      <c r="H9410" t="n">
        <v>0</v>
      </c>
      <c r="I9410" t="n">
        <v>0</v>
      </c>
      <c r="J9410" t="n">
        <v>0</v>
      </c>
      <c r="K9410" t="n">
        <v>0</v>
      </c>
      <c r="L9410" t="n">
        <v>0</v>
      </c>
      <c r="M9410" t="n">
        <v>0</v>
      </c>
      <c r="N9410" t="n">
        <v>0</v>
      </c>
      <c r="O9410" t="n">
        <v>0</v>
      </c>
      <c r="P9410" t="n">
        <v>0</v>
      </c>
      <c r="Q9410" t="n">
        <v>0</v>
      </c>
      <c r="R9410" s="2" t="inlineStr"/>
    </row>
    <row r="9411" ht="15" customHeight="1">
      <c r="A9411" t="inlineStr">
        <is>
          <t>A 14772-2023</t>
        </is>
      </c>
      <c r="B9411" s="1" t="n">
        <v>45014</v>
      </c>
      <c r="C9411" s="1" t="n">
        <v>45810</v>
      </c>
      <c r="D9411" t="inlineStr">
        <is>
          <t>VÄRMLANDS LÄN</t>
        </is>
      </c>
      <c r="E9411" t="inlineStr">
        <is>
          <t>ARVIKA</t>
        </is>
      </c>
      <c r="G9411" t="n">
        <v>0.7</v>
      </c>
      <c r="H9411" t="n">
        <v>0</v>
      </c>
      <c r="I9411" t="n">
        <v>0</v>
      </c>
      <c r="J9411" t="n">
        <v>0</v>
      </c>
      <c r="K9411" t="n">
        <v>0</v>
      </c>
      <c r="L9411" t="n">
        <v>0</v>
      </c>
      <c r="M9411" t="n">
        <v>0</v>
      </c>
      <c r="N9411" t="n">
        <v>0</v>
      </c>
      <c r="O9411" t="n">
        <v>0</v>
      </c>
      <c r="P9411" t="n">
        <v>0</v>
      </c>
      <c r="Q9411" t="n">
        <v>0</v>
      </c>
      <c r="R9411" s="2" t="inlineStr"/>
    </row>
    <row r="9412" ht="15" customHeight="1">
      <c r="A9412" t="inlineStr">
        <is>
          <t>A 14740-2023</t>
        </is>
      </c>
      <c r="B9412" s="1" t="n">
        <v>45014</v>
      </c>
      <c r="C9412" s="1" t="n">
        <v>45810</v>
      </c>
      <c r="D9412" t="inlineStr">
        <is>
          <t>VÄRMLANDS LÄN</t>
        </is>
      </c>
      <c r="E9412" t="inlineStr">
        <is>
          <t>SUNNE</t>
        </is>
      </c>
      <c r="G9412" t="n">
        <v>6.8</v>
      </c>
      <c r="H9412" t="n">
        <v>0</v>
      </c>
      <c r="I9412" t="n">
        <v>0</v>
      </c>
      <c r="J9412" t="n">
        <v>0</v>
      </c>
      <c r="K9412" t="n">
        <v>0</v>
      </c>
      <c r="L9412" t="n">
        <v>0</v>
      </c>
      <c r="M9412" t="n">
        <v>0</v>
      </c>
      <c r="N9412" t="n">
        <v>0</v>
      </c>
      <c r="O9412" t="n">
        <v>0</v>
      </c>
      <c r="P9412" t="n">
        <v>0</v>
      </c>
      <c r="Q9412" t="n">
        <v>0</v>
      </c>
      <c r="R9412" s="2" t="inlineStr"/>
    </row>
    <row r="9413" ht="15" customHeight="1">
      <c r="A9413" t="inlineStr">
        <is>
          <t>A 14945-2023</t>
        </is>
      </c>
      <c r="B9413" s="1" t="n">
        <v>45014</v>
      </c>
      <c r="C9413" s="1" t="n">
        <v>45810</v>
      </c>
      <c r="D9413" t="inlineStr">
        <is>
          <t>VÄRMLANDS LÄN</t>
        </is>
      </c>
      <c r="E9413" t="inlineStr">
        <is>
          <t>TORSBY</t>
        </is>
      </c>
      <c r="G9413" t="n">
        <v>6.5</v>
      </c>
      <c r="H9413" t="n">
        <v>0</v>
      </c>
      <c r="I9413" t="n">
        <v>0</v>
      </c>
      <c r="J9413" t="n">
        <v>0</v>
      </c>
      <c r="K9413" t="n">
        <v>0</v>
      </c>
      <c r="L9413" t="n">
        <v>0</v>
      </c>
      <c r="M9413" t="n">
        <v>0</v>
      </c>
      <c r="N9413" t="n">
        <v>0</v>
      </c>
      <c r="O9413" t="n">
        <v>0</v>
      </c>
      <c r="P9413" t="n">
        <v>0</v>
      </c>
      <c r="Q9413" t="n">
        <v>0</v>
      </c>
      <c r="R9413" s="2" t="inlineStr"/>
    </row>
    <row r="9414" ht="15" customHeight="1">
      <c r="A9414" t="inlineStr">
        <is>
          <t>A 14840-2023</t>
        </is>
      </c>
      <c r="B9414" s="1" t="n">
        <v>45014</v>
      </c>
      <c r="C9414" s="1" t="n">
        <v>45810</v>
      </c>
      <c r="D9414" t="inlineStr">
        <is>
          <t>VÄRMLANDS LÄN</t>
        </is>
      </c>
      <c r="E9414" t="inlineStr">
        <is>
          <t>FILIPSTAD</t>
        </is>
      </c>
      <c r="F9414" t="inlineStr">
        <is>
          <t>Kyrkan</t>
        </is>
      </c>
      <c r="G9414" t="n">
        <v>4</v>
      </c>
      <c r="H9414" t="n">
        <v>0</v>
      </c>
      <c r="I9414" t="n">
        <v>0</v>
      </c>
      <c r="J9414" t="n">
        <v>0</v>
      </c>
      <c r="K9414" t="n">
        <v>0</v>
      </c>
      <c r="L9414" t="n">
        <v>0</v>
      </c>
      <c r="M9414" t="n">
        <v>0</v>
      </c>
      <c r="N9414" t="n">
        <v>0</v>
      </c>
      <c r="O9414" t="n">
        <v>0</v>
      </c>
      <c r="P9414" t="n">
        <v>0</v>
      </c>
      <c r="Q9414" t="n">
        <v>0</v>
      </c>
      <c r="R9414" s="2" t="inlineStr"/>
    </row>
    <row r="9415" ht="15" customHeight="1">
      <c r="A9415" t="inlineStr">
        <is>
          <t>A 14917-2023</t>
        </is>
      </c>
      <c r="B9415" s="1" t="n">
        <v>45015</v>
      </c>
      <c r="C9415" s="1" t="n">
        <v>45810</v>
      </c>
      <c r="D9415" t="inlineStr">
        <is>
          <t>VÄRMLANDS LÄN</t>
        </is>
      </c>
      <c r="E9415" t="inlineStr">
        <is>
          <t>TORSBY</t>
        </is>
      </c>
      <c r="G9415" t="n">
        <v>2.4</v>
      </c>
      <c r="H9415" t="n">
        <v>0</v>
      </c>
      <c r="I9415" t="n">
        <v>0</v>
      </c>
      <c r="J9415" t="n">
        <v>0</v>
      </c>
      <c r="K9415" t="n">
        <v>0</v>
      </c>
      <c r="L9415" t="n">
        <v>0</v>
      </c>
      <c r="M9415" t="n">
        <v>0</v>
      </c>
      <c r="N9415" t="n">
        <v>0</v>
      </c>
      <c r="O9415" t="n">
        <v>0</v>
      </c>
      <c r="P9415" t="n">
        <v>0</v>
      </c>
      <c r="Q9415" t="n">
        <v>0</v>
      </c>
      <c r="R9415" s="2" t="inlineStr"/>
    </row>
    <row r="9416" ht="15" customHeight="1">
      <c r="A9416" t="inlineStr">
        <is>
          <t>A 14923-2023</t>
        </is>
      </c>
      <c r="B9416" s="1" t="n">
        <v>45015</v>
      </c>
      <c r="C9416" s="1" t="n">
        <v>45810</v>
      </c>
      <c r="D9416" t="inlineStr">
        <is>
          <t>VÄRMLANDS LÄN</t>
        </is>
      </c>
      <c r="E9416" t="inlineStr">
        <is>
          <t>EDA</t>
        </is>
      </c>
      <c r="G9416" t="n">
        <v>4.3</v>
      </c>
      <c r="H9416" t="n">
        <v>0</v>
      </c>
      <c r="I9416" t="n">
        <v>0</v>
      </c>
      <c r="J9416" t="n">
        <v>0</v>
      </c>
      <c r="K9416" t="n">
        <v>0</v>
      </c>
      <c r="L9416" t="n">
        <v>0</v>
      </c>
      <c r="M9416" t="n">
        <v>0</v>
      </c>
      <c r="N9416" t="n">
        <v>0</v>
      </c>
      <c r="O9416" t="n">
        <v>0</v>
      </c>
      <c r="P9416" t="n">
        <v>0</v>
      </c>
      <c r="Q9416" t="n">
        <v>0</v>
      </c>
      <c r="R9416" s="2" t="inlineStr"/>
    </row>
    <row r="9417" ht="15" customHeight="1">
      <c r="A9417" t="inlineStr">
        <is>
          <t>A 14951-2023</t>
        </is>
      </c>
      <c r="B9417" s="1" t="n">
        <v>45015</v>
      </c>
      <c r="C9417" s="1" t="n">
        <v>45810</v>
      </c>
      <c r="D9417" t="inlineStr">
        <is>
          <t>VÄRMLANDS LÄN</t>
        </is>
      </c>
      <c r="E9417" t="inlineStr">
        <is>
          <t>EDA</t>
        </is>
      </c>
      <c r="G9417" t="n">
        <v>0.9</v>
      </c>
      <c r="H9417" t="n">
        <v>0</v>
      </c>
      <c r="I9417" t="n">
        <v>0</v>
      </c>
      <c r="J9417" t="n">
        <v>0</v>
      </c>
      <c r="K9417" t="n">
        <v>0</v>
      </c>
      <c r="L9417" t="n">
        <v>0</v>
      </c>
      <c r="M9417" t="n">
        <v>0</v>
      </c>
      <c r="N9417" t="n">
        <v>0</v>
      </c>
      <c r="O9417" t="n">
        <v>0</v>
      </c>
      <c r="P9417" t="n">
        <v>0</v>
      </c>
      <c r="Q9417" t="n">
        <v>0</v>
      </c>
      <c r="R9417" s="2" t="inlineStr"/>
    </row>
    <row r="9418" ht="15" customHeight="1">
      <c r="A9418" t="inlineStr">
        <is>
          <t>A 14920-2023</t>
        </is>
      </c>
      <c r="B9418" s="1" t="n">
        <v>45015</v>
      </c>
      <c r="C9418" s="1" t="n">
        <v>45810</v>
      </c>
      <c r="D9418" t="inlineStr">
        <is>
          <t>VÄRMLANDS LÄN</t>
        </is>
      </c>
      <c r="E9418" t="inlineStr">
        <is>
          <t>FILIPSTAD</t>
        </is>
      </c>
      <c r="F9418" t="inlineStr">
        <is>
          <t>Bergvik skog väst AB</t>
        </is>
      </c>
      <c r="G9418" t="n">
        <v>9.699999999999999</v>
      </c>
      <c r="H9418" t="n">
        <v>0</v>
      </c>
      <c r="I9418" t="n">
        <v>0</v>
      </c>
      <c r="J9418" t="n">
        <v>0</v>
      </c>
      <c r="K9418" t="n">
        <v>0</v>
      </c>
      <c r="L9418" t="n">
        <v>0</v>
      </c>
      <c r="M9418" t="n">
        <v>0</v>
      </c>
      <c r="N9418" t="n">
        <v>0</v>
      </c>
      <c r="O9418" t="n">
        <v>0</v>
      </c>
      <c r="P9418" t="n">
        <v>0</v>
      </c>
      <c r="Q9418" t="n">
        <v>0</v>
      </c>
      <c r="R9418" s="2" t="inlineStr"/>
    </row>
    <row r="9419" ht="15" customHeight="1">
      <c r="A9419" t="inlineStr">
        <is>
          <t>A 14966-2023</t>
        </is>
      </c>
      <c r="B9419" s="1" t="n">
        <v>45015</v>
      </c>
      <c r="C9419" s="1" t="n">
        <v>45810</v>
      </c>
      <c r="D9419" t="inlineStr">
        <is>
          <t>VÄRMLANDS LÄN</t>
        </is>
      </c>
      <c r="E9419" t="inlineStr">
        <is>
          <t>KARLSTAD</t>
        </is>
      </c>
      <c r="F9419" t="inlineStr">
        <is>
          <t>Bergvik skog väst AB</t>
        </is>
      </c>
      <c r="G9419" t="n">
        <v>1.4</v>
      </c>
      <c r="H9419" t="n">
        <v>0</v>
      </c>
      <c r="I9419" t="n">
        <v>0</v>
      </c>
      <c r="J9419" t="n">
        <v>0</v>
      </c>
      <c r="K9419" t="n">
        <v>0</v>
      </c>
      <c r="L9419" t="n">
        <v>0</v>
      </c>
      <c r="M9419" t="n">
        <v>0</v>
      </c>
      <c r="N9419" t="n">
        <v>0</v>
      </c>
      <c r="O9419" t="n">
        <v>0</v>
      </c>
      <c r="P9419" t="n">
        <v>0</v>
      </c>
      <c r="Q9419" t="n">
        <v>0</v>
      </c>
      <c r="R9419" s="2" t="inlineStr"/>
    </row>
    <row r="9420" ht="15" customHeight="1">
      <c r="A9420" t="inlineStr">
        <is>
          <t>A 14972-2023</t>
        </is>
      </c>
      <c r="B9420" s="1" t="n">
        <v>45015</v>
      </c>
      <c r="C9420" s="1" t="n">
        <v>45810</v>
      </c>
      <c r="D9420" t="inlineStr">
        <is>
          <t>VÄRMLANDS LÄN</t>
        </is>
      </c>
      <c r="E9420" t="inlineStr">
        <is>
          <t>EDA</t>
        </is>
      </c>
      <c r="G9420" t="n">
        <v>13.5</v>
      </c>
      <c r="H9420" t="n">
        <v>0</v>
      </c>
      <c r="I9420" t="n">
        <v>0</v>
      </c>
      <c r="J9420" t="n">
        <v>0</v>
      </c>
      <c r="K9420" t="n">
        <v>0</v>
      </c>
      <c r="L9420" t="n">
        <v>0</v>
      </c>
      <c r="M9420" t="n">
        <v>0</v>
      </c>
      <c r="N9420" t="n">
        <v>0</v>
      </c>
      <c r="O9420" t="n">
        <v>0</v>
      </c>
      <c r="P9420" t="n">
        <v>0</v>
      </c>
      <c r="Q9420" t="n">
        <v>0</v>
      </c>
      <c r="R9420" s="2" t="inlineStr"/>
    </row>
    <row r="9421" ht="15" customHeight="1">
      <c r="A9421" t="inlineStr">
        <is>
          <t>A 15003-2023</t>
        </is>
      </c>
      <c r="B9421" s="1" t="n">
        <v>45015</v>
      </c>
      <c r="C9421" s="1" t="n">
        <v>45810</v>
      </c>
      <c r="D9421" t="inlineStr">
        <is>
          <t>VÄRMLANDS LÄN</t>
        </is>
      </c>
      <c r="E9421" t="inlineStr">
        <is>
          <t>FILIPSTAD</t>
        </is>
      </c>
      <c r="F9421" t="inlineStr">
        <is>
          <t>Bergvik skog väst AB</t>
        </is>
      </c>
      <c r="G9421" t="n">
        <v>10.4</v>
      </c>
      <c r="H9421" t="n">
        <v>0</v>
      </c>
      <c r="I9421" t="n">
        <v>0</v>
      </c>
      <c r="J9421" t="n">
        <v>0</v>
      </c>
      <c r="K9421" t="n">
        <v>0</v>
      </c>
      <c r="L9421" t="n">
        <v>0</v>
      </c>
      <c r="M9421" t="n">
        <v>0</v>
      </c>
      <c r="N9421" t="n">
        <v>0</v>
      </c>
      <c r="O9421" t="n">
        <v>0</v>
      </c>
      <c r="P9421" t="n">
        <v>0</v>
      </c>
      <c r="Q9421" t="n">
        <v>0</v>
      </c>
      <c r="R9421" s="2" t="inlineStr"/>
    </row>
    <row r="9422" ht="15" customHeight="1">
      <c r="A9422" t="inlineStr">
        <is>
          <t>A 14958-2023</t>
        </is>
      </c>
      <c r="B9422" s="1" t="n">
        <v>45015</v>
      </c>
      <c r="C9422" s="1" t="n">
        <v>45810</v>
      </c>
      <c r="D9422" t="inlineStr">
        <is>
          <t>VÄRMLANDS LÄN</t>
        </is>
      </c>
      <c r="E9422" t="inlineStr">
        <is>
          <t>ÅRJÄNG</t>
        </is>
      </c>
      <c r="G9422" t="n">
        <v>8.800000000000001</v>
      </c>
      <c r="H9422" t="n">
        <v>0</v>
      </c>
      <c r="I9422" t="n">
        <v>0</v>
      </c>
      <c r="J9422" t="n">
        <v>0</v>
      </c>
      <c r="K9422" t="n">
        <v>0</v>
      </c>
      <c r="L9422" t="n">
        <v>0</v>
      </c>
      <c r="M9422" t="n">
        <v>0</v>
      </c>
      <c r="N9422" t="n">
        <v>0</v>
      </c>
      <c r="O9422" t="n">
        <v>0</v>
      </c>
      <c r="P9422" t="n">
        <v>0</v>
      </c>
      <c r="Q9422" t="n">
        <v>0</v>
      </c>
      <c r="R9422" s="2" t="inlineStr"/>
    </row>
    <row r="9423" ht="15" customHeight="1">
      <c r="A9423" t="inlineStr">
        <is>
          <t>A 15067-2023</t>
        </is>
      </c>
      <c r="B9423" s="1" t="n">
        <v>45015</v>
      </c>
      <c r="C9423" s="1" t="n">
        <v>45810</v>
      </c>
      <c r="D9423" t="inlineStr">
        <is>
          <t>VÄRMLANDS LÄN</t>
        </is>
      </c>
      <c r="E9423" t="inlineStr">
        <is>
          <t>SÄFFLE</t>
        </is>
      </c>
      <c r="G9423" t="n">
        <v>5</v>
      </c>
      <c r="H9423" t="n">
        <v>0</v>
      </c>
      <c r="I9423" t="n">
        <v>0</v>
      </c>
      <c r="J9423" t="n">
        <v>0</v>
      </c>
      <c r="K9423" t="n">
        <v>0</v>
      </c>
      <c r="L9423" t="n">
        <v>0</v>
      </c>
      <c r="M9423" t="n">
        <v>0</v>
      </c>
      <c r="N9423" t="n">
        <v>0</v>
      </c>
      <c r="O9423" t="n">
        <v>0</v>
      </c>
      <c r="P9423" t="n">
        <v>0</v>
      </c>
      <c r="Q9423" t="n">
        <v>0</v>
      </c>
      <c r="R9423" s="2" t="inlineStr"/>
    </row>
    <row r="9424" ht="15" customHeight="1">
      <c r="A9424" t="inlineStr">
        <is>
          <t>A 14891-2023</t>
        </is>
      </c>
      <c r="B9424" s="1" t="n">
        <v>45015</v>
      </c>
      <c r="C9424" s="1" t="n">
        <v>45810</v>
      </c>
      <c r="D9424" t="inlineStr">
        <is>
          <t>VÄRMLANDS LÄN</t>
        </is>
      </c>
      <c r="E9424" t="inlineStr">
        <is>
          <t>ARVIKA</t>
        </is>
      </c>
      <c r="G9424" t="n">
        <v>1.6</v>
      </c>
      <c r="H9424" t="n">
        <v>0</v>
      </c>
      <c r="I9424" t="n">
        <v>0</v>
      </c>
      <c r="J9424" t="n">
        <v>0</v>
      </c>
      <c r="K9424" t="n">
        <v>0</v>
      </c>
      <c r="L9424" t="n">
        <v>0</v>
      </c>
      <c r="M9424" t="n">
        <v>0</v>
      </c>
      <c r="N9424" t="n">
        <v>0</v>
      </c>
      <c r="O9424" t="n">
        <v>0</v>
      </c>
      <c r="P9424" t="n">
        <v>0</v>
      </c>
      <c r="Q9424" t="n">
        <v>0</v>
      </c>
      <c r="R9424" s="2" t="inlineStr"/>
    </row>
    <row r="9425" ht="15" customHeight="1">
      <c r="A9425" t="inlineStr">
        <is>
          <t>A 15085-2023</t>
        </is>
      </c>
      <c r="B9425" s="1" t="n">
        <v>45016</v>
      </c>
      <c r="C9425" s="1" t="n">
        <v>45810</v>
      </c>
      <c r="D9425" t="inlineStr">
        <is>
          <t>VÄRMLANDS LÄN</t>
        </is>
      </c>
      <c r="E9425" t="inlineStr">
        <is>
          <t>TORSBY</t>
        </is>
      </c>
      <c r="G9425" t="n">
        <v>2.2</v>
      </c>
      <c r="H9425" t="n">
        <v>0</v>
      </c>
      <c r="I9425" t="n">
        <v>0</v>
      </c>
      <c r="J9425" t="n">
        <v>0</v>
      </c>
      <c r="K9425" t="n">
        <v>0</v>
      </c>
      <c r="L9425" t="n">
        <v>0</v>
      </c>
      <c r="M9425" t="n">
        <v>0</v>
      </c>
      <c r="N9425" t="n">
        <v>0</v>
      </c>
      <c r="O9425" t="n">
        <v>0</v>
      </c>
      <c r="P9425" t="n">
        <v>0</v>
      </c>
      <c r="Q9425" t="n">
        <v>0</v>
      </c>
      <c r="R9425" s="2" t="inlineStr"/>
    </row>
    <row r="9426" ht="15" customHeight="1">
      <c r="A9426" t="inlineStr">
        <is>
          <t>A 15087-2023</t>
        </is>
      </c>
      <c r="B9426" s="1" t="n">
        <v>45016</v>
      </c>
      <c r="C9426" s="1" t="n">
        <v>45810</v>
      </c>
      <c r="D9426" t="inlineStr">
        <is>
          <t>VÄRMLANDS LÄN</t>
        </is>
      </c>
      <c r="E9426" t="inlineStr">
        <is>
          <t>TORSBY</t>
        </is>
      </c>
      <c r="F9426" t="inlineStr">
        <is>
          <t>Bergvik skog väst AB</t>
        </is>
      </c>
      <c r="G9426" t="n">
        <v>11.4</v>
      </c>
      <c r="H9426" t="n">
        <v>0</v>
      </c>
      <c r="I9426" t="n">
        <v>0</v>
      </c>
      <c r="J9426" t="n">
        <v>0</v>
      </c>
      <c r="K9426" t="n">
        <v>0</v>
      </c>
      <c r="L9426" t="n">
        <v>0</v>
      </c>
      <c r="M9426" t="n">
        <v>0</v>
      </c>
      <c r="N9426" t="n">
        <v>0</v>
      </c>
      <c r="O9426" t="n">
        <v>0</v>
      </c>
      <c r="P9426" t="n">
        <v>0</v>
      </c>
      <c r="Q9426" t="n">
        <v>0</v>
      </c>
      <c r="R9426" s="2" t="inlineStr"/>
    </row>
    <row r="9427" ht="15" customHeight="1">
      <c r="A9427" t="inlineStr">
        <is>
          <t>A 15129-2023</t>
        </is>
      </c>
      <c r="B9427" s="1" t="n">
        <v>45016</v>
      </c>
      <c r="C9427" s="1" t="n">
        <v>45810</v>
      </c>
      <c r="D9427" t="inlineStr">
        <is>
          <t>VÄRMLANDS LÄN</t>
        </is>
      </c>
      <c r="E9427" t="inlineStr">
        <is>
          <t>HAGFORS</t>
        </is>
      </c>
      <c r="F9427" t="inlineStr">
        <is>
          <t>Bergvik skog väst AB</t>
        </is>
      </c>
      <c r="G9427" t="n">
        <v>3.6</v>
      </c>
      <c r="H9427" t="n">
        <v>0</v>
      </c>
      <c r="I9427" t="n">
        <v>0</v>
      </c>
      <c r="J9427" t="n">
        <v>0</v>
      </c>
      <c r="K9427" t="n">
        <v>0</v>
      </c>
      <c r="L9427" t="n">
        <v>0</v>
      </c>
      <c r="M9427" t="n">
        <v>0</v>
      </c>
      <c r="N9427" t="n">
        <v>0</v>
      </c>
      <c r="O9427" t="n">
        <v>0</v>
      </c>
      <c r="P9427" t="n">
        <v>0</v>
      </c>
      <c r="Q9427" t="n">
        <v>0</v>
      </c>
      <c r="R9427" s="2" t="inlineStr"/>
    </row>
    <row r="9428" ht="15" customHeight="1">
      <c r="A9428" t="inlineStr">
        <is>
          <t>A 15136-2023</t>
        </is>
      </c>
      <c r="B9428" s="1" t="n">
        <v>45016</v>
      </c>
      <c r="C9428" s="1" t="n">
        <v>45810</v>
      </c>
      <c r="D9428" t="inlineStr">
        <is>
          <t>VÄRMLANDS LÄN</t>
        </is>
      </c>
      <c r="E9428" t="inlineStr">
        <is>
          <t>FILIPSTAD</t>
        </is>
      </c>
      <c r="G9428" t="n">
        <v>0.9</v>
      </c>
      <c r="H9428" t="n">
        <v>0</v>
      </c>
      <c r="I9428" t="n">
        <v>0</v>
      </c>
      <c r="J9428" t="n">
        <v>0</v>
      </c>
      <c r="K9428" t="n">
        <v>0</v>
      </c>
      <c r="L9428" t="n">
        <v>0</v>
      </c>
      <c r="M9428" t="n">
        <v>0</v>
      </c>
      <c r="N9428" t="n">
        <v>0</v>
      </c>
      <c r="O9428" t="n">
        <v>0</v>
      </c>
      <c r="P9428" t="n">
        <v>0</v>
      </c>
      <c r="Q9428" t="n">
        <v>0</v>
      </c>
      <c r="R9428" s="2" t="inlineStr"/>
    </row>
    <row r="9429" ht="15" customHeight="1">
      <c r="A9429" t="inlineStr">
        <is>
          <t>A 15144-2023</t>
        </is>
      </c>
      <c r="B9429" s="1" t="n">
        <v>45016</v>
      </c>
      <c r="C9429" s="1" t="n">
        <v>45810</v>
      </c>
      <c r="D9429" t="inlineStr">
        <is>
          <t>VÄRMLANDS LÄN</t>
        </is>
      </c>
      <c r="E9429" t="inlineStr">
        <is>
          <t>EDA</t>
        </is>
      </c>
      <c r="F9429" t="inlineStr">
        <is>
          <t>Övriga statliga verk och myndigheter</t>
        </is>
      </c>
      <c r="G9429" t="n">
        <v>0.3</v>
      </c>
      <c r="H9429" t="n">
        <v>0</v>
      </c>
      <c r="I9429" t="n">
        <v>0</v>
      </c>
      <c r="J9429" t="n">
        <v>0</v>
      </c>
      <c r="K9429" t="n">
        <v>0</v>
      </c>
      <c r="L9429" t="n">
        <v>0</v>
      </c>
      <c r="M9429" t="n">
        <v>0</v>
      </c>
      <c r="N9429" t="n">
        <v>0</v>
      </c>
      <c r="O9429" t="n">
        <v>0</v>
      </c>
      <c r="P9429" t="n">
        <v>0</v>
      </c>
      <c r="Q9429" t="n">
        <v>0</v>
      </c>
      <c r="R9429" s="2" t="inlineStr"/>
    </row>
    <row r="9430" ht="15" customHeight="1">
      <c r="A9430" t="inlineStr">
        <is>
          <t>A 15164-2023</t>
        </is>
      </c>
      <c r="B9430" s="1" t="n">
        <v>45016</v>
      </c>
      <c r="C9430" s="1" t="n">
        <v>45810</v>
      </c>
      <c r="D9430" t="inlineStr">
        <is>
          <t>VÄRMLANDS LÄN</t>
        </is>
      </c>
      <c r="E9430" t="inlineStr">
        <is>
          <t>ÅRJÄNG</t>
        </is>
      </c>
      <c r="G9430" t="n">
        <v>0.8</v>
      </c>
      <c r="H9430" t="n">
        <v>0</v>
      </c>
      <c r="I9430" t="n">
        <v>0</v>
      </c>
      <c r="J9430" t="n">
        <v>0</v>
      </c>
      <c r="K9430" t="n">
        <v>0</v>
      </c>
      <c r="L9430" t="n">
        <v>0</v>
      </c>
      <c r="M9430" t="n">
        <v>0</v>
      </c>
      <c r="N9430" t="n">
        <v>0</v>
      </c>
      <c r="O9430" t="n">
        <v>0</v>
      </c>
      <c r="P9430" t="n">
        <v>0</v>
      </c>
      <c r="Q9430" t="n">
        <v>0</v>
      </c>
      <c r="R9430" s="2" t="inlineStr"/>
    </row>
    <row r="9431" ht="15" customHeight="1">
      <c r="A9431" t="inlineStr">
        <is>
          <t>A 15298-2023</t>
        </is>
      </c>
      <c r="B9431" s="1" t="n">
        <v>45019</v>
      </c>
      <c r="C9431" s="1" t="n">
        <v>45810</v>
      </c>
      <c r="D9431" t="inlineStr">
        <is>
          <t>VÄRMLANDS LÄN</t>
        </is>
      </c>
      <c r="E9431" t="inlineStr">
        <is>
          <t>SUNNE</t>
        </is>
      </c>
      <c r="F9431" t="inlineStr">
        <is>
          <t>Bergvik skog väst AB</t>
        </is>
      </c>
      <c r="G9431" t="n">
        <v>0.7</v>
      </c>
      <c r="H9431" t="n">
        <v>0</v>
      </c>
      <c r="I9431" t="n">
        <v>0</v>
      </c>
      <c r="J9431" t="n">
        <v>0</v>
      </c>
      <c r="K9431" t="n">
        <v>0</v>
      </c>
      <c r="L9431" t="n">
        <v>0</v>
      </c>
      <c r="M9431" t="n">
        <v>0</v>
      </c>
      <c r="N9431" t="n">
        <v>0</v>
      </c>
      <c r="O9431" t="n">
        <v>0</v>
      </c>
      <c r="P9431" t="n">
        <v>0</v>
      </c>
      <c r="Q9431" t="n">
        <v>0</v>
      </c>
      <c r="R9431" s="2" t="inlineStr"/>
    </row>
    <row r="9432" ht="15" customHeight="1">
      <c r="A9432" t="inlineStr">
        <is>
          <t>A 15342-2023</t>
        </is>
      </c>
      <c r="B9432" s="1" t="n">
        <v>45019</v>
      </c>
      <c r="C9432" s="1" t="n">
        <v>45810</v>
      </c>
      <c r="D9432" t="inlineStr">
        <is>
          <t>VÄRMLANDS LÄN</t>
        </is>
      </c>
      <c r="E9432" t="inlineStr">
        <is>
          <t>HAGFORS</t>
        </is>
      </c>
      <c r="F9432" t="inlineStr">
        <is>
          <t>Bergvik skog väst AB</t>
        </is>
      </c>
      <c r="G9432" t="n">
        <v>9.6</v>
      </c>
      <c r="H9432" t="n">
        <v>0</v>
      </c>
      <c r="I9432" t="n">
        <v>0</v>
      </c>
      <c r="J9432" t="n">
        <v>0</v>
      </c>
      <c r="K9432" t="n">
        <v>0</v>
      </c>
      <c r="L9432" t="n">
        <v>0</v>
      </c>
      <c r="M9432" t="n">
        <v>0</v>
      </c>
      <c r="N9432" t="n">
        <v>0</v>
      </c>
      <c r="O9432" t="n">
        <v>0</v>
      </c>
      <c r="P9432" t="n">
        <v>0</v>
      </c>
      <c r="Q9432" t="n">
        <v>0</v>
      </c>
      <c r="R9432" s="2" t="inlineStr"/>
    </row>
    <row r="9433" ht="15" customHeight="1">
      <c r="A9433" t="inlineStr">
        <is>
          <t>A 15383-2023</t>
        </is>
      </c>
      <c r="B9433" s="1" t="n">
        <v>45019</v>
      </c>
      <c r="C9433" s="1" t="n">
        <v>45810</v>
      </c>
      <c r="D9433" t="inlineStr">
        <is>
          <t>VÄRMLANDS LÄN</t>
        </is>
      </c>
      <c r="E9433" t="inlineStr">
        <is>
          <t>ÅRJÄNG</t>
        </is>
      </c>
      <c r="G9433" t="n">
        <v>1.2</v>
      </c>
      <c r="H9433" t="n">
        <v>0</v>
      </c>
      <c r="I9433" t="n">
        <v>0</v>
      </c>
      <c r="J9433" t="n">
        <v>0</v>
      </c>
      <c r="K9433" t="n">
        <v>0</v>
      </c>
      <c r="L9433" t="n">
        <v>0</v>
      </c>
      <c r="M9433" t="n">
        <v>0</v>
      </c>
      <c r="N9433" t="n">
        <v>0</v>
      </c>
      <c r="O9433" t="n">
        <v>0</v>
      </c>
      <c r="P9433" t="n">
        <v>0</v>
      </c>
      <c r="Q9433" t="n">
        <v>0</v>
      </c>
      <c r="R9433" s="2" t="inlineStr"/>
    </row>
    <row r="9434" ht="15" customHeight="1">
      <c r="A9434" t="inlineStr">
        <is>
          <t>A 15372-2023</t>
        </is>
      </c>
      <c r="B9434" s="1" t="n">
        <v>45019</v>
      </c>
      <c r="C9434" s="1" t="n">
        <v>45810</v>
      </c>
      <c r="D9434" t="inlineStr">
        <is>
          <t>VÄRMLANDS LÄN</t>
        </is>
      </c>
      <c r="E9434" t="inlineStr">
        <is>
          <t>ÅRJÄNG</t>
        </is>
      </c>
      <c r="G9434" t="n">
        <v>1</v>
      </c>
      <c r="H9434" t="n">
        <v>0</v>
      </c>
      <c r="I9434" t="n">
        <v>0</v>
      </c>
      <c r="J9434" t="n">
        <v>0</v>
      </c>
      <c r="K9434" t="n">
        <v>0</v>
      </c>
      <c r="L9434" t="n">
        <v>0</v>
      </c>
      <c r="M9434" t="n">
        <v>0</v>
      </c>
      <c r="N9434" t="n">
        <v>0</v>
      </c>
      <c r="O9434" t="n">
        <v>0</v>
      </c>
      <c r="P9434" t="n">
        <v>0</v>
      </c>
      <c r="Q9434" t="n">
        <v>0</v>
      </c>
      <c r="R9434" s="2" t="inlineStr"/>
    </row>
    <row r="9435" ht="15" customHeight="1">
      <c r="A9435" t="inlineStr">
        <is>
          <t>A 15278-2023</t>
        </is>
      </c>
      <c r="B9435" s="1" t="n">
        <v>45019</v>
      </c>
      <c r="C9435" s="1" t="n">
        <v>45810</v>
      </c>
      <c r="D9435" t="inlineStr">
        <is>
          <t>VÄRMLANDS LÄN</t>
        </is>
      </c>
      <c r="E9435" t="inlineStr">
        <is>
          <t>HAGFORS</t>
        </is>
      </c>
      <c r="F9435" t="inlineStr">
        <is>
          <t>Bergvik skog väst AB</t>
        </is>
      </c>
      <c r="G9435" t="n">
        <v>10.7</v>
      </c>
      <c r="H9435" t="n">
        <v>0</v>
      </c>
      <c r="I9435" t="n">
        <v>0</v>
      </c>
      <c r="J9435" t="n">
        <v>0</v>
      </c>
      <c r="K9435" t="n">
        <v>0</v>
      </c>
      <c r="L9435" t="n">
        <v>0</v>
      </c>
      <c r="M9435" t="n">
        <v>0</v>
      </c>
      <c r="N9435" t="n">
        <v>0</v>
      </c>
      <c r="O9435" t="n">
        <v>0</v>
      </c>
      <c r="P9435" t="n">
        <v>0</v>
      </c>
      <c r="Q9435" t="n">
        <v>0</v>
      </c>
      <c r="R9435" s="2" t="inlineStr"/>
    </row>
    <row r="9436" ht="15" customHeight="1">
      <c r="A9436" t="inlineStr">
        <is>
          <t>A 15370-2023</t>
        </is>
      </c>
      <c r="B9436" s="1" t="n">
        <v>45019</v>
      </c>
      <c r="C9436" s="1" t="n">
        <v>45810</v>
      </c>
      <c r="D9436" t="inlineStr">
        <is>
          <t>VÄRMLANDS LÄN</t>
        </is>
      </c>
      <c r="E9436" t="inlineStr">
        <is>
          <t>ÅRJÄNG</t>
        </is>
      </c>
      <c r="G9436" t="n">
        <v>1.5</v>
      </c>
      <c r="H9436" t="n">
        <v>0</v>
      </c>
      <c r="I9436" t="n">
        <v>0</v>
      </c>
      <c r="J9436" t="n">
        <v>0</v>
      </c>
      <c r="K9436" t="n">
        <v>0</v>
      </c>
      <c r="L9436" t="n">
        <v>0</v>
      </c>
      <c r="M9436" t="n">
        <v>0</v>
      </c>
      <c r="N9436" t="n">
        <v>0</v>
      </c>
      <c r="O9436" t="n">
        <v>0</v>
      </c>
      <c r="P9436" t="n">
        <v>0</v>
      </c>
      <c r="Q9436" t="n">
        <v>0</v>
      </c>
      <c r="R9436" s="2" t="inlineStr"/>
    </row>
    <row r="9437" ht="15" customHeight="1">
      <c r="A9437" t="inlineStr">
        <is>
          <t>A 15413-2023</t>
        </is>
      </c>
      <c r="B9437" s="1" t="n">
        <v>45019</v>
      </c>
      <c r="C9437" s="1" t="n">
        <v>45810</v>
      </c>
      <c r="D9437" t="inlineStr">
        <is>
          <t>VÄRMLANDS LÄN</t>
        </is>
      </c>
      <c r="E9437" t="inlineStr">
        <is>
          <t>TORSBY</t>
        </is>
      </c>
      <c r="G9437" t="n">
        <v>17.1</v>
      </c>
      <c r="H9437" t="n">
        <v>0</v>
      </c>
      <c r="I9437" t="n">
        <v>0</v>
      </c>
      <c r="J9437" t="n">
        <v>0</v>
      </c>
      <c r="K9437" t="n">
        <v>0</v>
      </c>
      <c r="L9437" t="n">
        <v>0</v>
      </c>
      <c r="M9437" t="n">
        <v>0</v>
      </c>
      <c r="N9437" t="n">
        <v>0</v>
      </c>
      <c r="O9437" t="n">
        <v>0</v>
      </c>
      <c r="P9437" t="n">
        <v>0</v>
      </c>
      <c r="Q9437" t="n">
        <v>0</v>
      </c>
      <c r="R9437" s="2" t="inlineStr"/>
    </row>
    <row r="9438" ht="15" customHeight="1">
      <c r="A9438" t="inlineStr">
        <is>
          <t>A 15636-2023</t>
        </is>
      </c>
      <c r="B9438" s="1" t="n">
        <v>45019</v>
      </c>
      <c r="C9438" s="1" t="n">
        <v>45810</v>
      </c>
      <c r="D9438" t="inlineStr">
        <is>
          <t>VÄRMLANDS LÄN</t>
        </is>
      </c>
      <c r="E9438" t="inlineStr">
        <is>
          <t>KARLSTAD</t>
        </is>
      </c>
      <c r="G9438" t="n">
        <v>12</v>
      </c>
      <c r="H9438" t="n">
        <v>0</v>
      </c>
      <c r="I9438" t="n">
        <v>0</v>
      </c>
      <c r="J9438" t="n">
        <v>0</v>
      </c>
      <c r="K9438" t="n">
        <v>0</v>
      </c>
      <c r="L9438" t="n">
        <v>0</v>
      </c>
      <c r="M9438" t="n">
        <v>0</v>
      </c>
      <c r="N9438" t="n">
        <v>0</v>
      </c>
      <c r="O9438" t="n">
        <v>0</v>
      </c>
      <c r="P9438" t="n">
        <v>0</v>
      </c>
      <c r="Q9438" t="n">
        <v>0</v>
      </c>
      <c r="R9438" s="2" t="inlineStr"/>
    </row>
    <row r="9439" ht="15" customHeight="1">
      <c r="A9439" t="inlineStr">
        <is>
          <t>A 15468-2023</t>
        </is>
      </c>
      <c r="B9439" s="1" t="n">
        <v>45020</v>
      </c>
      <c r="C9439" s="1" t="n">
        <v>45810</v>
      </c>
      <c r="D9439" t="inlineStr">
        <is>
          <t>VÄRMLANDS LÄN</t>
        </is>
      </c>
      <c r="E9439" t="inlineStr">
        <is>
          <t>ÅRJÄNG</t>
        </is>
      </c>
      <c r="G9439" t="n">
        <v>2.8</v>
      </c>
      <c r="H9439" t="n">
        <v>0</v>
      </c>
      <c r="I9439" t="n">
        <v>0</v>
      </c>
      <c r="J9439" t="n">
        <v>0</v>
      </c>
      <c r="K9439" t="n">
        <v>0</v>
      </c>
      <c r="L9439" t="n">
        <v>0</v>
      </c>
      <c r="M9439" t="n">
        <v>0</v>
      </c>
      <c r="N9439" t="n">
        <v>0</v>
      </c>
      <c r="O9439" t="n">
        <v>0</v>
      </c>
      <c r="P9439" t="n">
        <v>0</v>
      </c>
      <c r="Q9439" t="n">
        <v>0</v>
      </c>
      <c r="R9439" s="2" t="inlineStr"/>
    </row>
    <row r="9440" ht="15" customHeight="1">
      <c r="A9440" t="inlineStr">
        <is>
          <t>A 15450-2023</t>
        </is>
      </c>
      <c r="B9440" s="1" t="n">
        <v>45020</v>
      </c>
      <c r="C9440" s="1" t="n">
        <v>45810</v>
      </c>
      <c r="D9440" t="inlineStr">
        <is>
          <t>VÄRMLANDS LÄN</t>
        </is>
      </c>
      <c r="E9440" t="inlineStr">
        <is>
          <t>TORSBY</t>
        </is>
      </c>
      <c r="G9440" t="n">
        <v>3.8</v>
      </c>
      <c r="H9440" t="n">
        <v>0</v>
      </c>
      <c r="I9440" t="n">
        <v>0</v>
      </c>
      <c r="J9440" t="n">
        <v>0</v>
      </c>
      <c r="K9440" t="n">
        <v>0</v>
      </c>
      <c r="L9440" t="n">
        <v>0</v>
      </c>
      <c r="M9440" t="n">
        <v>0</v>
      </c>
      <c r="N9440" t="n">
        <v>0</v>
      </c>
      <c r="O9440" t="n">
        <v>0</v>
      </c>
      <c r="P9440" t="n">
        <v>0</v>
      </c>
      <c r="Q9440" t="n">
        <v>0</v>
      </c>
      <c r="R9440" s="2" t="inlineStr"/>
    </row>
    <row r="9441" ht="15" customHeight="1">
      <c r="A9441" t="inlineStr">
        <is>
          <t>A 15491-2023</t>
        </is>
      </c>
      <c r="B9441" s="1" t="n">
        <v>45020</v>
      </c>
      <c r="C9441" s="1" t="n">
        <v>45810</v>
      </c>
      <c r="D9441" t="inlineStr">
        <is>
          <t>VÄRMLANDS LÄN</t>
        </is>
      </c>
      <c r="E9441" t="inlineStr">
        <is>
          <t>HAGFORS</t>
        </is>
      </c>
      <c r="F9441" t="inlineStr">
        <is>
          <t>Bergvik skog väst AB</t>
        </is>
      </c>
      <c r="G9441" t="n">
        <v>14.1</v>
      </c>
      <c r="H9441" t="n">
        <v>0</v>
      </c>
      <c r="I9441" t="n">
        <v>0</v>
      </c>
      <c r="J9441" t="n">
        <v>0</v>
      </c>
      <c r="K9441" t="n">
        <v>0</v>
      </c>
      <c r="L9441" t="n">
        <v>0</v>
      </c>
      <c r="M9441" t="n">
        <v>0</v>
      </c>
      <c r="N9441" t="n">
        <v>0</v>
      </c>
      <c r="O9441" t="n">
        <v>0</v>
      </c>
      <c r="P9441" t="n">
        <v>0</v>
      </c>
      <c r="Q9441" t="n">
        <v>0</v>
      </c>
      <c r="R9441" s="2" t="inlineStr"/>
    </row>
    <row r="9442" ht="15" customHeight="1">
      <c r="A9442" t="inlineStr">
        <is>
          <t>A 15439-2023</t>
        </is>
      </c>
      <c r="B9442" s="1" t="n">
        <v>45020</v>
      </c>
      <c r="C9442" s="1" t="n">
        <v>45810</v>
      </c>
      <c r="D9442" t="inlineStr">
        <is>
          <t>VÄRMLANDS LÄN</t>
        </is>
      </c>
      <c r="E9442" t="inlineStr">
        <is>
          <t>EDA</t>
        </is>
      </c>
      <c r="G9442" t="n">
        <v>1.2</v>
      </c>
      <c r="H9442" t="n">
        <v>0</v>
      </c>
      <c r="I9442" t="n">
        <v>0</v>
      </c>
      <c r="J9442" t="n">
        <v>0</v>
      </c>
      <c r="K9442" t="n">
        <v>0</v>
      </c>
      <c r="L9442" t="n">
        <v>0</v>
      </c>
      <c r="M9442" t="n">
        <v>0</v>
      </c>
      <c r="N9442" t="n">
        <v>0</v>
      </c>
      <c r="O9442" t="n">
        <v>0</v>
      </c>
      <c r="P9442" t="n">
        <v>0</v>
      </c>
      <c r="Q9442" t="n">
        <v>0</v>
      </c>
      <c r="R9442" s="2" t="inlineStr"/>
    </row>
    <row r="9443" ht="15" customHeight="1">
      <c r="A9443" t="inlineStr">
        <is>
          <t>A 15471-2023</t>
        </is>
      </c>
      <c r="B9443" s="1" t="n">
        <v>45020</v>
      </c>
      <c r="C9443" s="1" t="n">
        <v>45810</v>
      </c>
      <c r="D9443" t="inlineStr">
        <is>
          <t>VÄRMLANDS LÄN</t>
        </is>
      </c>
      <c r="E9443" t="inlineStr">
        <is>
          <t>ÅRJÄNG</t>
        </is>
      </c>
      <c r="G9443" t="n">
        <v>5.2</v>
      </c>
      <c r="H9443" t="n">
        <v>0</v>
      </c>
      <c r="I9443" t="n">
        <v>0</v>
      </c>
      <c r="J9443" t="n">
        <v>0</v>
      </c>
      <c r="K9443" t="n">
        <v>0</v>
      </c>
      <c r="L9443" t="n">
        <v>0</v>
      </c>
      <c r="M9443" t="n">
        <v>0</v>
      </c>
      <c r="N9443" t="n">
        <v>0</v>
      </c>
      <c r="O9443" t="n">
        <v>0</v>
      </c>
      <c r="P9443" t="n">
        <v>0</v>
      </c>
      <c r="Q9443" t="n">
        <v>0</v>
      </c>
      <c r="R9443" s="2" t="inlineStr"/>
    </row>
    <row r="9444" ht="15" customHeight="1">
      <c r="A9444" t="inlineStr">
        <is>
          <t>A 15601-2023</t>
        </is>
      </c>
      <c r="B9444" s="1" t="n">
        <v>45020</v>
      </c>
      <c r="C9444" s="1" t="n">
        <v>45810</v>
      </c>
      <c r="D9444" t="inlineStr">
        <is>
          <t>VÄRMLANDS LÄN</t>
        </is>
      </c>
      <c r="E9444" t="inlineStr">
        <is>
          <t>ÅRJÄNG</t>
        </is>
      </c>
      <c r="G9444" t="n">
        <v>6.3</v>
      </c>
      <c r="H9444" t="n">
        <v>0</v>
      </c>
      <c r="I9444" t="n">
        <v>0</v>
      </c>
      <c r="J9444" t="n">
        <v>0</v>
      </c>
      <c r="K9444" t="n">
        <v>0</v>
      </c>
      <c r="L9444" t="n">
        <v>0</v>
      </c>
      <c r="M9444" t="n">
        <v>0</v>
      </c>
      <c r="N9444" t="n">
        <v>0</v>
      </c>
      <c r="O9444" t="n">
        <v>0</v>
      </c>
      <c r="P9444" t="n">
        <v>0</v>
      </c>
      <c r="Q9444" t="n">
        <v>0</v>
      </c>
      <c r="R9444" s="2" t="inlineStr"/>
    </row>
    <row r="9445" ht="15" customHeight="1">
      <c r="A9445" t="inlineStr">
        <is>
          <t>A 15488-2023</t>
        </is>
      </c>
      <c r="B9445" s="1" t="n">
        <v>45020</v>
      </c>
      <c r="C9445" s="1" t="n">
        <v>45810</v>
      </c>
      <c r="D9445" t="inlineStr">
        <is>
          <t>VÄRMLANDS LÄN</t>
        </is>
      </c>
      <c r="E9445" t="inlineStr">
        <is>
          <t>TORSBY</t>
        </is>
      </c>
      <c r="G9445" t="n">
        <v>3.4</v>
      </c>
      <c r="H9445" t="n">
        <v>0</v>
      </c>
      <c r="I9445" t="n">
        <v>0</v>
      </c>
      <c r="J9445" t="n">
        <v>0</v>
      </c>
      <c r="K9445" t="n">
        <v>0</v>
      </c>
      <c r="L9445" t="n">
        <v>0</v>
      </c>
      <c r="M9445" t="n">
        <v>0</v>
      </c>
      <c r="N9445" t="n">
        <v>0</v>
      </c>
      <c r="O9445" t="n">
        <v>0</v>
      </c>
      <c r="P9445" t="n">
        <v>0</v>
      </c>
      <c r="Q9445" t="n">
        <v>0</v>
      </c>
      <c r="R9445" s="2" t="inlineStr"/>
    </row>
    <row r="9446" ht="15" customHeight="1">
      <c r="A9446" t="inlineStr">
        <is>
          <t>A 15497-2023</t>
        </is>
      </c>
      <c r="B9446" s="1" t="n">
        <v>45020</v>
      </c>
      <c r="C9446" s="1" t="n">
        <v>45810</v>
      </c>
      <c r="D9446" t="inlineStr">
        <is>
          <t>VÄRMLANDS LÄN</t>
        </is>
      </c>
      <c r="E9446" t="inlineStr">
        <is>
          <t>ÅRJÄNG</t>
        </is>
      </c>
      <c r="G9446" t="n">
        <v>10</v>
      </c>
      <c r="H9446" t="n">
        <v>0</v>
      </c>
      <c r="I9446" t="n">
        <v>0</v>
      </c>
      <c r="J9446" t="n">
        <v>0</v>
      </c>
      <c r="K9446" t="n">
        <v>0</v>
      </c>
      <c r="L9446" t="n">
        <v>0</v>
      </c>
      <c r="M9446" t="n">
        <v>0</v>
      </c>
      <c r="N9446" t="n">
        <v>0</v>
      </c>
      <c r="O9446" t="n">
        <v>0</v>
      </c>
      <c r="P9446" t="n">
        <v>0</v>
      </c>
      <c r="Q9446" t="n">
        <v>0</v>
      </c>
      <c r="R9446" s="2" t="inlineStr"/>
    </row>
    <row r="9447" ht="15" customHeight="1">
      <c r="A9447" t="inlineStr">
        <is>
          <t>A 15513-2023</t>
        </is>
      </c>
      <c r="B9447" s="1" t="n">
        <v>45020</v>
      </c>
      <c r="C9447" s="1" t="n">
        <v>45810</v>
      </c>
      <c r="D9447" t="inlineStr">
        <is>
          <t>VÄRMLANDS LÄN</t>
        </is>
      </c>
      <c r="E9447" t="inlineStr">
        <is>
          <t>HAGFORS</t>
        </is>
      </c>
      <c r="F9447" t="inlineStr">
        <is>
          <t>Bergvik skog väst AB</t>
        </is>
      </c>
      <c r="G9447" t="n">
        <v>5.2</v>
      </c>
      <c r="H9447" t="n">
        <v>0</v>
      </c>
      <c r="I9447" t="n">
        <v>0</v>
      </c>
      <c r="J9447" t="n">
        <v>0</v>
      </c>
      <c r="K9447" t="n">
        <v>0</v>
      </c>
      <c r="L9447" t="n">
        <v>0</v>
      </c>
      <c r="M9447" t="n">
        <v>0</v>
      </c>
      <c r="N9447" t="n">
        <v>0</v>
      </c>
      <c r="O9447" t="n">
        <v>0</v>
      </c>
      <c r="P9447" t="n">
        <v>0</v>
      </c>
      <c r="Q9447" t="n">
        <v>0</v>
      </c>
      <c r="R9447" s="2" t="inlineStr"/>
    </row>
    <row r="9448" ht="15" customHeight="1">
      <c r="A9448" t="inlineStr">
        <is>
          <t>A 15563-2023</t>
        </is>
      </c>
      <c r="B9448" s="1" t="n">
        <v>45020</v>
      </c>
      <c r="C9448" s="1" t="n">
        <v>45810</v>
      </c>
      <c r="D9448" t="inlineStr">
        <is>
          <t>VÄRMLANDS LÄN</t>
        </is>
      </c>
      <c r="E9448" t="inlineStr">
        <is>
          <t>HAGFORS</t>
        </is>
      </c>
      <c r="F9448" t="inlineStr">
        <is>
          <t>Bergvik skog väst AB</t>
        </is>
      </c>
      <c r="G9448" t="n">
        <v>6.4</v>
      </c>
      <c r="H9448" t="n">
        <v>0</v>
      </c>
      <c r="I9448" t="n">
        <v>0</v>
      </c>
      <c r="J9448" t="n">
        <v>0</v>
      </c>
      <c r="K9448" t="n">
        <v>0</v>
      </c>
      <c r="L9448" t="n">
        <v>0</v>
      </c>
      <c r="M9448" t="n">
        <v>0</v>
      </c>
      <c r="N9448" t="n">
        <v>0</v>
      </c>
      <c r="O9448" t="n">
        <v>0</v>
      </c>
      <c r="P9448" t="n">
        <v>0</v>
      </c>
      <c r="Q9448" t="n">
        <v>0</v>
      </c>
      <c r="R9448" s="2" t="inlineStr"/>
    </row>
    <row r="9449" ht="15" customHeight="1">
      <c r="A9449" t="inlineStr">
        <is>
          <t>A 15586-2023</t>
        </is>
      </c>
      <c r="B9449" s="1" t="n">
        <v>45020</v>
      </c>
      <c r="C9449" s="1" t="n">
        <v>45810</v>
      </c>
      <c r="D9449" t="inlineStr">
        <is>
          <t>VÄRMLANDS LÄN</t>
        </is>
      </c>
      <c r="E9449" t="inlineStr">
        <is>
          <t>SUNNE</t>
        </is>
      </c>
      <c r="G9449" t="n">
        <v>3.6</v>
      </c>
      <c r="H9449" t="n">
        <v>0</v>
      </c>
      <c r="I9449" t="n">
        <v>0</v>
      </c>
      <c r="J9449" t="n">
        <v>0</v>
      </c>
      <c r="K9449" t="n">
        <v>0</v>
      </c>
      <c r="L9449" t="n">
        <v>0</v>
      </c>
      <c r="M9449" t="n">
        <v>0</v>
      </c>
      <c r="N9449" t="n">
        <v>0</v>
      </c>
      <c r="O9449" t="n">
        <v>0</v>
      </c>
      <c r="P9449" t="n">
        <v>0</v>
      </c>
      <c r="Q9449" t="n">
        <v>0</v>
      </c>
      <c r="R9449" s="2" t="inlineStr"/>
    </row>
    <row r="9450" ht="15" customHeight="1">
      <c r="A9450" t="inlineStr">
        <is>
          <t>A 15616-2023</t>
        </is>
      </c>
      <c r="B9450" s="1" t="n">
        <v>45020</v>
      </c>
      <c r="C9450" s="1" t="n">
        <v>45810</v>
      </c>
      <c r="D9450" t="inlineStr">
        <is>
          <t>VÄRMLANDS LÄN</t>
        </is>
      </c>
      <c r="E9450" t="inlineStr">
        <is>
          <t>ÅRJÄNG</t>
        </is>
      </c>
      <c r="G9450" t="n">
        <v>0.8</v>
      </c>
      <c r="H9450" t="n">
        <v>0</v>
      </c>
      <c r="I9450" t="n">
        <v>0</v>
      </c>
      <c r="J9450" t="n">
        <v>0</v>
      </c>
      <c r="K9450" t="n">
        <v>0</v>
      </c>
      <c r="L9450" t="n">
        <v>0</v>
      </c>
      <c r="M9450" t="n">
        <v>0</v>
      </c>
      <c r="N9450" t="n">
        <v>0</v>
      </c>
      <c r="O9450" t="n">
        <v>0</v>
      </c>
      <c r="P9450" t="n">
        <v>0</v>
      </c>
      <c r="Q9450" t="n">
        <v>0</v>
      </c>
      <c r="R9450" s="2" t="inlineStr"/>
    </row>
    <row r="9451" ht="15" customHeight="1">
      <c r="A9451" t="inlineStr">
        <is>
          <t>A 15733-2023</t>
        </is>
      </c>
      <c r="B9451" s="1" t="n">
        <v>45020</v>
      </c>
      <c r="C9451" s="1" t="n">
        <v>45810</v>
      </c>
      <c r="D9451" t="inlineStr">
        <is>
          <t>VÄRMLANDS LÄN</t>
        </is>
      </c>
      <c r="E9451" t="inlineStr">
        <is>
          <t>KARLSTAD</t>
        </is>
      </c>
      <c r="G9451" t="n">
        <v>1.8</v>
      </c>
      <c r="H9451" t="n">
        <v>0</v>
      </c>
      <c r="I9451" t="n">
        <v>0</v>
      </c>
      <c r="J9451" t="n">
        <v>0</v>
      </c>
      <c r="K9451" t="n">
        <v>0</v>
      </c>
      <c r="L9451" t="n">
        <v>0</v>
      </c>
      <c r="M9451" t="n">
        <v>0</v>
      </c>
      <c r="N9451" t="n">
        <v>0</v>
      </c>
      <c r="O9451" t="n">
        <v>0</v>
      </c>
      <c r="P9451" t="n">
        <v>0</v>
      </c>
      <c r="Q9451" t="n">
        <v>0</v>
      </c>
      <c r="R9451" s="2" t="inlineStr"/>
    </row>
    <row r="9452" ht="15" customHeight="1">
      <c r="A9452" t="inlineStr">
        <is>
          <t>A 15725-2023</t>
        </is>
      </c>
      <c r="B9452" s="1" t="n">
        <v>45020</v>
      </c>
      <c r="C9452" s="1" t="n">
        <v>45810</v>
      </c>
      <c r="D9452" t="inlineStr">
        <is>
          <t>VÄRMLANDS LÄN</t>
        </is>
      </c>
      <c r="E9452" t="inlineStr">
        <is>
          <t>KARLSTAD</t>
        </is>
      </c>
      <c r="G9452" t="n">
        <v>5.2</v>
      </c>
      <c r="H9452" t="n">
        <v>0</v>
      </c>
      <c r="I9452" t="n">
        <v>0</v>
      </c>
      <c r="J9452" t="n">
        <v>0</v>
      </c>
      <c r="K9452" t="n">
        <v>0</v>
      </c>
      <c r="L9452" t="n">
        <v>0</v>
      </c>
      <c r="M9452" t="n">
        <v>0</v>
      </c>
      <c r="N9452" t="n">
        <v>0</v>
      </c>
      <c r="O9452" t="n">
        <v>0</v>
      </c>
      <c r="P9452" t="n">
        <v>0</v>
      </c>
      <c r="Q9452" t="n">
        <v>0</v>
      </c>
      <c r="R9452" s="2" t="inlineStr"/>
    </row>
    <row r="9453" ht="15" customHeight="1">
      <c r="A9453" t="inlineStr">
        <is>
          <t>A 15635-2023</t>
        </is>
      </c>
      <c r="B9453" s="1" t="n">
        <v>45021</v>
      </c>
      <c r="C9453" s="1" t="n">
        <v>45810</v>
      </c>
      <c r="D9453" t="inlineStr">
        <is>
          <t>VÄRMLANDS LÄN</t>
        </is>
      </c>
      <c r="E9453" t="inlineStr">
        <is>
          <t>ÅRJÄNG</t>
        </is>
      </c>
      <c r="G9453" t="n">
        <v>3.4</v>
      </c>
      <c r="H9453" t="n">
        <v>0</v>
      </c>
      <c r="I9453" t="n">
        <v>0</v>
      </c>
      <c r="J9453" t="n">
        <v>0</v>
      </c>
      <c r="K9453" t="n">
        <v>0</v>
      </c>
      <c r="L9453" t="n">
        <v>0</v>
      </c>
      <c r="M9453" t="n">
        <v>0</v>
      </c>
      <c r="N9453" t="n">
        <v>0</v>
      </c>
      <c r="O9453" t="n">
        <v>0</v>
      </c>
      <c r="P9453" t="n">
        <v>0</v>
      </c>
      <c r="Q9453" t="n">
        <v>0</v>
      </c>
      <c r="R9453" s="2" t="inlineStr"/>
    </row>
    <row r="9454" ht="15" customHeight="1">
      <c r="A9454" t="inlineStr">
        <is>
          <t>A 15686-2023</t>
        </is>
      </c>
      <c r="B9454" s="1" t="n">
        <v>45021</v>
      </c>
      <c r="C9454" s="1" t="n">
        <v>45810</v>
      </c>
      <c r="D9454" t="inlineStr">
        <is>
          <t>VÄRMLANDS LÄN</t>
        </is>
      </c>
      <c r="E9454" t="inlineStr">
        <is>
          <t>ÅRJÄNG</t>
        </is>
      </c>
      <c r="G9454" t="n">
        <v>1.9</v>
      </c>
      <c r="H9454" t="n">
        <v>0</v>
      </c>
      <c r="I9454" t="n">
        <v>0</v>
      </c>
      <c r="J9454" t="n">
        <v>0</v>
      </c>
      <c r="K9454" t="n">
        <v>0</v>
      </c>
      <c r="L9454" t="n">
        <v>0</v>
      </c>
      <c r="M9454" t="n">
        <v>0</v>
      </c>
      <c r="N9454" t="n">
        <v>0</v>
      </c>
      <c r="O9454" t="n">
        <v>0</v>
      </c>
      <c r="P9454" t="n">
        <v>0</v>
      </c>
      <c r="Q9454" t="n">
        <v>0</v>
      </c>
      <c r="R9454" s="2" t="inlineStr"/>
    </row>
    <row r="9455" ht="15" customHeight="1">
      <c r="A9455" t="inlineStr">
        <is>
          <t>A 15730-2023</t>
        </is>
      </c>
      <c r="B9455" s="1" t="n">
        <v>45021</v>
      </c>
      <c r="C9455" s="1" t="n">
        <v>45810</v>
      </c>
      <c r="D9455" t="inlineStr">
        <is>
          <t>VÄRMLANDS LÄN</t>
        </is>
      </c>
      <c r="E9455" t="inlineStr">
        <is>
          <t>ÅRJÄNG</t>
        </is>
      </c>
      <c r="G9455" t="n">
        <v>1</v>
      </c>
      <c r="H9455" t="n">
        <v>0</v>
      </c>
      <c r="I9455" t="n">
        <v>0</v>
      </c>
      <c r="J9455" t="n">
        <v>0</v>
      </c>
      <c r="K9455" t="n">
        <v>0</v>
      </c>
      <c r="L9455" t="n">
        <v>0</v>
      </c>
      <c r="M9455" t="n">
        <v>0</v>
      </c>
      <c r="N9455" t="n">
        <v>0</v>
      </c>
      <c r="O9455" t="n">
        <v>0</v>
      </c>
      <c r="P9455" t="n">
        <v>0</v>
      </c>
      <c r="Q9455" t="n">
        <v>0</v>
      </c>
      <c r="R9455" s="2" t="inlineStr"/>
    </row>
    <row r="9456" ht="15" customHeight="1">
      <c r="A9456" t="inlineStr">
        <is>
          <t>A 15641-2023</t>
        </is>
      </c>
      <c r="B9456" s="1" t="n">
        <v>45021</v>
      </c>
      <c r="C9456" s="1" t="n">
        <v>45810</v>
      </c>
      <c r="D9456" t="inlineStr">
        <is>
          <t>VÄRMLANDS LÄN</t>
        </is>
      </c>
      <c r="E9456" t="inlineStr">
        <is>
          <t>EDA</t>
        </is>
      </c>
      <c r="F9456" t="inlineStr">
        <is>
          <t>Övriga statliga verk och myndigheter</t>
        </is>
      </c>
      <c r="G9456" t="n">
        <v>2</v>
      </c>
      <c r="H9456" t="n">
        <v>0</v>
      </c>
      <c r="I9456" t="n">
        <v>0</v>
      </c>
      <c r="J9456" t="n">
        <v>0</v>
      </c>
      <c r="K9456" t="n">
        <v>0</v>
      </c>
      <c r="L9456" t="n">
        <v>0</v>
      </c>
      <c r="M9456" t="n">
        <v>0</v>
      </c>
      <c r="N9456" t="n">
        <v>0</v>
      </c>
      <c r="O9456" t="n">
        <v>0</v>
      </c>
      <c r="P9456" t="n">
        <v>0</v>
      </c>
      <c r="Q9456" t="n">
        <v>0</v>
      </c>
      <c r="R9456" s="2" t="inlineStr"/>
    </row>
    <row r="9457" ht="15" customHeight="1">
      <c r="A9457" t="inlineStr">
        <is>
          <t>A 15714-2023</t>
        </is>
      </c>
      <c r="B9457" s="1" t="n">
        <v>45021</v>
      </c>
      <c r="C9457" s="1" t="n">
        <v>45810</v>
      </c>
      <c r="D9457" t="inlineStr">
        <is>
          <t>VÄRMLANDS LÄN</t>
        </is>
      </c>
      <c r="E9457" t="inlineStr">
        <is>
          <t>ÅRJÄNG</t>
        </is>
      </c>
      <c r="G9457" t="n">
        <v>0.8</v>
      </c>
      <c r="H9457" t="n">
        <v>0</v>
      </c>
      <c r="I9457" t="n">
        <v>0</v>
      </c>
      <c r="J9457" t="n">
        <v>0</v>
      </c>
      <c r="K9457" t="n">
        <v>0</v>
      </c>
      <c r="L9457" t="n">
        <v>0</v>
      </c>
      <c r="M9457" t="n">
        <v>0</v>
      </c>
      <c r="N9457" t="n">
        <v>0</v>
      </c>
      <c r="O9457" t="n">
        <v>0</v>
      </c>
      <c r="P9457" t="n">
        <v>0</v>
      </c>
      <c r="Q9457" t="n">
        <v>0</v>
      </c>
      <c r="R9457" s="2" t="inlineStr"/>
    </row>
    <row r="9458" ht="15" customHeight="1">
      <c r="A9458" t="inlineStr">
        <is>
          <t>A 15755-2023</t>
        </is>
      </c>
      <c r="B9458" s="1" t="n">
        <v>45021</v>
      </c>
      <c r="C9458" s="1" t="n">
        <v>45810</v>
      </c>
      <c r="D9458" t="inlineStr">
        <is>
          <t>VÄRMLANDS LÄN</t>
        </is>
      </c>
      <c r="E9458" t="inlineStr">
        <is>
          <t>SUNNE</t>
        </is>
      </c>
      <c r="G9458" t="n">
        <v>6.1</v>
      </c>
      <c r="H9458" t="n">
        <v>0</v>
      </c>
      <c r="I9458" t="n">
        <v>0</v>
      </c>
      <c r="J9458" t="n">
        <v>0</v>
      </c>
      <c r="K9458" t="n">
        <v>0</v>
      </c>
      <c r="L9458" t="n">
        <v>0</v>
      </c>
      <c r="M9458" t="n">
        <v>0</v>
      </c>
      <c r="N9458" t="n">
        <v>0</v>
      </c>
      <c r="O9458" t="n">
        <v>0</v>
      </c>
      <c r="P9458" t="n">
        <v>0</v>
      </c>
      <c r="Q9458" t="n">
        <v>0</v>
      </c>
      <c r="R9458" s="2" t="inlineStr"/>
    </row>
    <row r="9459" ht="15" customHeight="1">
      <c r="A9459" t="inlineStr">
        <is>
          <t>A 15778-2023</t>
        </is>
      </c>
      <c r="B9459" s="1" t="n">
        <v>45021</v>
      </c>
      <c r="C9459" s="1" t="n">
        <v>45810</v>
      </c>
      <c r="D9459" t="inlineStr">
        <is>
          <t>VÄRMLANDS LÄN</t>
        </is>
      </c>
      <c r="E9459" t="inlineStr">
        <is>
          <t>EDA</t>
        </is>
      </c>
      <c r="G9459" t="n">
        <v>0.7</v>
      </c>
      <c r="H9459" t="n">
        <v>0</v>
      </c>
      <c r="I9459" t="n">
        <v>0</v>
      </c>
      <c r="J9459" t="n">
        <v>0</v>
      </c>
      <c r="K9459" t="n">
        <v>0</v>
      </c>
      <c r="L9459" t="n">
        <v>0</v>
      </c>
      <c r="M9459" t="n">
        <v>0</v>
      </c>
      <c r="N9459" t="n">
        <v>0</v>
      </c>
      <c r="O9459" t="n">
        <v>0</v>
      </c>
      <c r="P9459" t="n">
        <v>0</v>
      </c>
      <c r="Q9459" t="n">
        <v>0</v>
      </c>
      <c r="R9459" s="2" t="inlineStr"/>
    </row>
    <row r="9460" ht="15" customHeight="1">
      <c r="A9460" t="inlineStr">
        <is>
          <t>A 15760-2023</t>
        </is>
      </c>
      <c r="B9460" s="1" t="n">
        <v>45021</v>
      </c>
      <c r="C9460" s="1" t="n">
        <v>45810</v>
      </c>
      <c r="D9460" t="inlineStr">
        <is>
          <t>VÄRMLANDS LÄN</t>
        </is>
      </c>
      <c r="E9460" t="inlineStr">
        <is>
          <t>EDA</t>
        </is>
      </c>
      <c r="G9460" t="n">
        <v>0.7</v>
      </c>
      <c r="H9460" t="n">
        <v>0</v>
      </c>
      <c r="I9460" t="n">
        <v>0</v>
      </c>
      <c r="J9460" t="n">
        <v>0</v>
      </c>
      <c r="K9460" t="n">
        <v>0</v>
      </c>
      <c r="L9460" t="n">
        <v>0</v>
      </c>
      <c r="M9460" t="n">
        <v>0</v>
      </c>
      <c r="N9460" t="n">
        <v>0</v>
      </c>
      <c r="O9460" t="n">
        <v>0</v>
      </c>
      <c r="P9460" t="n">
        <v>0</v>
      </c>
      <c r="Q9460" t="n">
        <v>0</v>
      </c>
      <c r="R9460" s="2" t="inlineStr"/>
    </row>
    <row r="9461" ht="15" customHeight="1">
      <c r="A9461" t="inlineStr">
        <is>
          <t>A 15773-2023</t>
        </is>
      </c>
      <c r="B9461" s="1" t="n">
        <v>45021</v>
      </c>
      <c r="C9461" s="1" t="n">
        <v>45810</v>
      </c>
      <c r="D9461" t="inlineStr">
        <is>
          <t>VÄRMLANDS LÄN</t>
        </is>
      </c>
      <c r="E9461" t="inlineStr">
        <is>
          <t>TORSBY</t>
        </is>
      </c>
      <c r="G9461" t="n">
        <v>2.5</v>
      </c>
      <c r="H9461" t="n">
        <v>0</v>
      </c>
      <c r="I9461" t="n">
        <v>0</v>
      </c>
      <c r="J9461" t="n">
        <v>0</v>
      </c>
      <c r="K9461" t="n">
        <v>0</v>
      </c>
      <c r="L9461" t="n">
        <v>0</v>
      </c>
      <c r="M9461" t="n">
        <v>0</v>
      </c>
      <c r="N9461" t="n">
        <v>0</v>
      </c>
      <c r="O9461" t="n">
        <v>0</v>
      </c>
      <c r="P9461" t="n">
        <v>0</v>
      </c>
      <c r="Q9461" t="n">
        <v>0</v>
      </c>
      <c r="R9461" s="2" t="inlineStr"/>
    </row>
    <row r="9462" ht="15" customHeight="1">
      <c r="A9462" t="inlineStr">
        <is>
          <t>A 15780-2023</t>
        </is>
      </c>
      <c r="B9462" s="1" t="n">
        <v>45021</v>
      </c>
      <c r="C9462" s="1" t="n">
        <v>45810</v>
      </c>
      <c r="D9462" t="inlineStr">
        <is>
          <t>VÄRMLANDS LÄN</t>
        </is>
      </c>
      <c r="E9462" t="inlineStr">
        <is>
          <t>SÄFFLE</t>
        </is>
      </c>
      <c r="G9462" t="n">
        <v>6.3</v>
      </c>
      <c r="H9462" t="n">
        <v>0</v>
      </c>
      <c r="I9462" t="n">
        <v>0</v>
      </c>
      <c r="J9462" t="n">
        <v>0</v>
      </c>
      <c r="K9462" t="n">
        <v>0</v>
      </c>
      <c r="L9462" t="n">
        <v>0</v>
      </c>
      <c r="M9462" t="n">
        <v>0</v>
      </c>
      <c r="N9462" t="n">
        <v>0</v>
      </c>
      <c r="O9462" t="n">
        <v>0</v>
      </c>
      <c r="P9462" t="n">
        <v>0</v>
      </c>
      <c r="Q9462" t="n">
        <v>0</v>
      </c>
      <c r="R9462" s="2" t="inlineStr"/>
    </row>
    <row r="9463" ht="15" customHeight="1">
      <c r="A9463" t="inlineStr">
        <is>
          <t>A 15791-2023</t>
        </is>
      </c>
      <c r="B9463" s="1" t="n">
        <v>45021</v>
      </c>
      <c r="C9463" s="1" t="n">
        <v>45810</v>
      </c>
      <c r="D9463" t="inlineStr">
        <is>
          <t>VÄRMLANDS LÄN</t>
        </is>
      </c>
      <c r="E9463" t="inlineStr">
        <is>
          <t>STORFORS</t>
        </is>
      </c>
      <c r="G9463" t="n">
        <v>3</v>
      </c>
      <c r="H9463" t="n">
        <v>0</v>
      </c>
      <c r="I9463" t="n">
        <v>0</v>
      </c>
      <c r="J9463" t="n">
        <v>0</v>
      </c>
      <c r="K9463" t="n">
        <v>0</v>
      </c>
      <c r="L9463" t="n">
        <v>0</v>
      </c>
      <c r="M9463" t="n">
        <v>0</v>
      </c>
      <c r="N9463" t="n">
        <v>0</v>
      </c>
      <c r="O9463" t="n">
        <v>0</v>
      </c>
      <c r="P9463" t="n">
        <v>0</v>
      </c>
      <c r="Q9463" t="n">
        <v>0</v>
      </c>
      <c r="R9463" s="2" t="inlineStr"/>
    </row>
    <row r="9464" ht="15" customHeight="1">
      <c r="A9464" t="inlineStr">
        <is>
          <t>A 16093-2023</t>
        </is>
      </c>
      <c r="B9464" s="1" t="n">
        <v>45021</v>
      </c>
      <c r="C9464" s="1" t="n">
        <v>45810</v>
      </c>
      <c r="D9464" t="inlineStr">
        <is>
          <t>VÄRMLANDS LÄN</t>
        </is>
      </c>
      <c r="E9464" t="inlineStr">
        <is>
          <t>TORSBY</t>
        </is>
      </c>
      <c r="F9464" t="inlineStr">
        <is>
          <t>Övriga statliga verk och myndigheter</t>
        </is>
      </c>
      <c r="G9464" t="n">
        <v>11.5</v>
      </c>
      <c r="H9464" t="n">
        <v>0</v>
      </c>
      <c r="I9464" t="n">
        <v>0</v>
      </c>
      <c r="J9464" t="n">
        <v>0</v>
      </c>
      <c r="K9464" t="n">
        <v>0</v>
      </c>
      <c r="L9464" t="n">
        <v>0</v>
      </c>
      <c r="M9464" t="n">
        <v>0</v>
      </c>
      <c r="N9464" t="n">
        <v>0</v>
      </c>
      <c r="O9464" t="n">
        <v>0</v>
      </c>
      <c r="P9464" t="n">
        <v>0</v>
      </c>
      <c r="Q9464" t="n">
        <v>0</v>
      </c>
      <c r="R9464" s="2" t="inlineStr"/>
    </row>
    <row r="9465" ht="15" customHeight="1">
      <c r="A9465" t="inlineStr">
        <is>
          <t>A 15718-2023</t>
        </is>
      </c>
      <c r="B9465" s="1" t="n">
        <v>45021</v>
      </c>
      <c r="C9465" s="1" t="n">
        <v>45810</v>
      </c>
      <c r="D9465" t="inlineStr">
        <is>
          <t>VÄRMLANDS LÄN</t>
        </is>
      </c>
      <c r="E9465" t="inlineStr">
        <is>
          <t>ÅRJÄNG</t>
        </is>
      </c>
      <c r="G9465" t="n">
        <v>2.9</v>
      </c>
      <c r="H9465" t="n">
        <v>0</v>
      </c>
      <c r="I9465" t="n">
        <v>0</v>
      </c>
      <c r="J9465" t="n">
        <v>0</v>
      </c>
      <c r="K9465" t="n">
        <v>0</v>
      </c>
      <c r="L9465" t="n">
        <v>0</v>
      </c>
      <c r="M9465" t="n">
        <v>0</v>
      </c>
      <c r="N9465" t="n">
        <v>0</v>
      </c>
      <c r="O9465" t="n">
        <v>0</v>
      </c>
      <c r="P9465" t="n">
        <v>0</v>
      </c>
      <c r="Q9465" t="n">
        <v>0</v>
      </c>
      <c r="R9465" s="2" t="inlineStr"/>
    </row>
    <row r="9466" ht="15" customHeight="1">
      <c r="A9466" t="inlineStr">
        <is>
          <t>A 15762-2023</t>
        </is>
      </c>
      <c r="B9466" s="1" t="n">
        <v>45021</v>
      </c>
      <c r="C9466" s="1" t="n">
        <v>45810</v>
      </c>
      <c r="D9466" t="inlineStr">
        <is>
          <t>VÄRMLANDS LÄN</t>
        </is>
      </c>
      <c r="E9466" t="inlineStr">
        <is>
          <t>EDA</t>
        </is>
      </c>
      <c r="G9466" t="n">
        <v>5.3</v>
      </c>
      <c r="H9466" t="n">
        <v>0</v>
      </c>
      <c r="I9466" t="n">
        <v>0</v>
      </c>
      <c r="J9466" t="n">
        <v>0</v>
      </c>
      <c r="K9466" t="n">
        <v>0</v>
      </c>
      <c r="L9466" t="n">
        <v>0</v>
      </c>
      <c r="M9466" t="n">
        <v>0</v>
      </c>
      <c r="N9466" t="n">
        <v>0</v>
      </c>
      <c r="O9466" t="n">
        <v>0</v>
      </c>
      <c r="P9466" t="n">
        <v>0</v>
      </c>
      <c r="Q9466" t="n">
        <v>0</v>
      </c>
      <c r="R9466" s="2" t="inlineStr"/>
    </row>
    <row r="9467" ht="15" customHeight="1">
      <c r="A9467" t="inlineStr">
        <is>
          <t>A 15917-2023</t>
        </is>
      </c>
      <c r="B9467" s="1" t="n">
        <v>45022</v>
      </c>
      <c r="C9467" s="1" t="n">
        <v>45810</v>
      </c>
      <c r="D9467" t="inlineStr">
        <is>
          <t>VÄRMLANDS LÄN</t>
        </is>
      </c>
      <c r="E9467" t="inlineStr">
        <is>
          <t>ARVIKA</t>
        </is>
      </c>
      <c r="G9467" t="n">
        <v>18</v>
      </c>
      <c r="H9467" t="n">
        <v>0</v>
      </c>
      <c r="I9467" t="n">
        <v>0</v>
      </c>
      <c r="J9467" t="n">
        <v>0</v>
      </c>
      <c r="K9467" t="n">
        <v>0</v>
      </c>
      <c r="L9467" t="n">
        <v>0</v>
      </c>
      <c r="M9467" t="n">
        <v>0</v>
      </c>
      <c r="N9467" t="n">
        <v>0</v>
      </c>
      <c r="O9467" t="n">
        <v>0</v>
      </c>
      <c r="P9467" t="n">
        <v>0</v>
      </c>
      <c r="Q9467" t="n">
        <v>0</v>
      </c>
      <c r="R9467" s="2" t="inlineStr"/>
    </row>
    <row r="9468" ht="15" customHeight="1">
      <c r="A9468" t="inlineStr">
        <is>
          <t>A 15860-2023</t>
        </is>
      </c>
      <c r="B9468" s="1" t="n">
        <v>45022</v>
      </c>
      <c r="C9468" s="1" t="n">
        <v>45810</v>
      </c>
      <c r="D9468" t="inlineStr">
        <is>
          <t>VÄRMLANDS LÄN</t>
        </is>
      </c>
      <c r="E9468" t="inlineStr">
        <is>
          <t>KRISTINEHAMN</t>
        </is>
      </c>
      <c r="G9468" t="n">
        <v>1.4</v>
      </c>
      <c r="H9468" t="n">
        <v>0</v>
      </c>
      <c r="I9468" t="n">
        <v>0</v>
      </c>
      <c r="J9468" t="n">
        <v>0</v>
      </c>
      <c r="K9468" t="n">
        <v>0</v>
      </c>
      <c r="L9468" t="n">
        <v>0</v>
      </c>
      <c r="M9468" t="n">
        <v>0</v>
      </c>
      <c r="N9468" t="n">
        <v>0</v>
      </c>
      <c r="O9468" t="n">
        <v>0</v>
      </c>
      <c r="P9468" t="n">
        <v>0</v>
      </c>
      <c r="Q9468" t="n">
        <v>0</v>
      </c>
      <c r="R9468" s="2" t="inlineStr"/>
    </row>
    <row r="9469" ht="15" customHeight="1">
      <c r="A9469" t="inlineStr">
        <is>
          <t>A 15844-2023</t>
        </is>
      </c>
      <c r="B9469" s="1" t="n">
        <v>45022</v>
      </c>
      <c r="C9469" s="1" t="n">
        <v>45810</v>
      </c>
      <c r="D9469" t="inlineStr">
        <is>
          <t>VÄRMLANDS LÄN</t>
        </is>
      </c>
      <c r="E9469" t="inlineStr">
        <is>
          <t>ARVIKA</t>
        </is>
      </c>
      <c r="G9469" t="n">
        <v>3.1</v>
      </c>
      <c r="H9469" t="n">
        <v>0</v>
      </c>
      <c r="I9469" t="n">
        <v>0</v>
      </c>
      <c r="J9469" t="n">
        <v>0</v>
      </c>
      <c r="K9469" t="n">
        <v>0</v>
      </c>
      <c r="L9469" t="n">
        <v>0</v>
      </c>
      <c r="M9469" t="n">
        <v>0</v>
      </c>
      <c r="N9469" t="n">
        <v>0</v>
      </c>
      <c r="O9469" t="n">
        <v>0</v>
      </c>
      <c r="P9469" t="n">
        <v>0</v>
      </c>
      <c r="Q9469" t="n">
        <v>0</v>
      </c>
      <c r="R9469" s="2" t="inlineStr"/>
    </row>
    <row r="9470" ht="15" customHeight="1">
      <c r="A9470" t="inlineStr">
        <is>
          <t>A 16121-2023</t>
        </is>
      </c>
      <c r="B9470" s="1" t="n">
        <v>45022</v>
      </c>
      <c r="C9470" s="1" t="n">
        <v>45810</v>
      </c>
      <c r="D9470" t="inlineStr">
        <is>
          <t>VÄRMLANDS LÄN</t>
        </is>
      </c>
      <c r="E9470" t="inlineStr">
        <is>
          <t>TORSBY</t>
        </is>
      </c>
      <c r="G9470" t="n">
        <v>2.7</v>
      </c>
      <c r="H9470" t="n">
        <v>0</v>
      </c>
      <c r="I9470" t="n">
        <v>0</v>
      </c>
      <c r="J9470" t="n">
        <v>0</v>
      </c>
      <c r="K9470" t="n">
        <v>0</v>
      </c>
      <c r="L9470" t="n">
        <v>0</v>
      </c>
      <c r="M9470" t="n">
        <v>0</v>
      </c>
      <c r="N9470" t="n">
        <v>0</v>
      </c>
      <c r="O9470" t="n">
        <v>0</v>
      </c>
      <c r="P9470" t="n">
        <v>0</v>
      </c>
      <c r="Q9470" t="n">
        <v>0</v>
      </c>
      <c r="R9470" s="2" t="inlineStr"/>
    </row>
    <row r="9471" ht="15" customHeight="1">
      <c r="A9471" t="inlineStr">
        <is>
          <t>A 15963-2023</t>
        </is>
      </c>
      <c r="B9471" s="1" t="n">
        <v>45022</v>
      </c>
      <c r="C9471" s="1" t="n">
        <v>45810</v>
      </c>
      <c r="D9471" t="inlineStr">
        <is>
          <t>VÄRMLANDS LÄN</t>
        </is>
      </c>
      <c r="E9471" t="inlineStr">
        <is>
          <t>EDA</t>
        </is>
      </c>
      <c r="G9471" t="n">
        <v>2.1</v>
      </c>
      <c r="H9471" t="n">
        <v>0</v>
      </c>
      <c r="I9471" t="n">
        <v>0</v>
      </c>
      <c r="J9471" t="n">
        <v>0</v>
      </c>
      <c r="K9471" t="n">
        <v>0</v>
      </c>
      <c r="L9471" t="n">
        <v>0</v>
      </c>
      <c r="M9471" t="n">
        <v>0</v>
      </c>
      <c r="N9471" t="n">
        <v>0</v>
      </c>
      <c r="O9471" t="n">
        <v>0</v>
      </c>
      <c r="P9471" t="n">
        <v>0</v>
      </c>
      <c r="Q9471" t="n">
        <v>0</v>
      </c>
      <c r="R9471" s="2" t="inlineStr"/>
    </row>
    <row r="9472" ht="15" customHeight="1">
      <c r="A9472" t="inlineStr">
        <is>
          <t>A 16416-2023</t>
        </is>
      </c>
      <c r="B9472" s="1" t="n">
        <v>45022</v>
      </c>
      <c r="C9472" s="1" t="n">
        <v>45810</v>
      </c>
      <c r="D9472" t="inlineStr">
        <is>
          <t>VÄRMLANDS LÄN</t>
        </is>
      </c>
      <c r="E9472" t="inlineStr">
        <is>
          <t>TORSBY</t>
        </is>
      </c>
      <c r="G9472" t="n">
        <v>2.6</v>
      </c>
      <c r="H9472" t="n">
        <v>0</v>
      </c>
      <c r="I9472" t="n">
        <v>0</v>
      </c>
      <c r="J9472" t="n">
        <v>0</v>
      </c>
      <c r="K9472" t="n">
        <v>0</v>
      </c>
      <c r="L9472" t="n">
        <v>0</v>
      </c>
      <c r="M9472" t="n">
        <v>0</v>
      </c>
      <c r="N9472" t="n">
        <v>0</v>
      </c>
      <c r="O9472" t="n">
        <v>0</v>
      </c>
      <c r="P9472" t="n">
        <v>0</v>
      </c>
      <c r="Q9472" t="n">
        <v>0</v>
      </c>
      <c r="R9472" s="2" t="inlineStr"/>
    </row>
    <row r="9473" ht="15" customHeight="1">
      <c r="A9473" t="inlineStr">
        <is>
          <t>A 16433-2023</t>
        </is>
      </c>
      <c r="B9473" s="1" t="n">
        <v>45022</v>
      </c>
      <c r="C9473" s="1" t="n">
        <v>45810</v>
      </c>
      <c r="D9473" t="inlineStr">
        <is>
          <t>VÄRMLANDS LÄN</t>
        </is>
      </c>
      <c r="E9473" t="inlineStr">
        <is>
          <t>TORSBY</t>
        </is>
      </c>
      <c r="G9473" t="n">
        <v>2</v>
      </c>
      <c r="H9473" t="n">
        <v>0</v>
      </c>
      <c r="I9473" t="n">
        <v>0</v>
      </c>
      <c r="J9473" t="n">
        <v>0</v>
      </c>
      <c r="K9473" t="n">
        <v>0</v>
      </c>
      <c r="L9473" t="n">
        <v>0</v>
      </c>
      <c r="M9473" t="n">
        <v>0</v>
      </c>
      <c r="N9473" t="n">
        <v>0</v>
      </c>
      <c r="O9473" t="n">
        <v>0</v>
      </c>
      <c r="P9473" t="n">
        <v>0</v>
      </c>
      <c r="Q9473" t="n">
        <v>0</v>
      </c>
      <c r="R9473" s="2" t="inlineStr"/>
    </row>
    <row r="9474" ht="15" customHeight="1">
      <c r="A9474" t="inlineStr">
        <is>
          <t>A 16427-2023</t>
        </is>
      </c>
      <c r="B9474" s="1" t="n">
        <v>45022</v>
      </c>
      <c r="C9474" s="1" t="n">
        <v>45810</v>
      </c>
      <c r="D9474" t="inlineStr">
        <is>
          <t>VÄRMLANDS LÄN</t>
        </is>
      </c>
      <c r="E9474" t="inlineStr">
        <is>
          <t>TORSBY</t>
        </is>
      </c>
      <c r="G9474" t="n">
        <v>1.2</v>
      </c>
      <c r="H9474" t="n">
        <v>0</v>
      </c>
      <c r="I9474" t="n">
        <v>0</v>
      </c>
      <c r="J9474" t="n">
        <v>0</v>
      </c>
      <c r="K9474" t="n">
        <v>0</v>
      </c>
      <c r="L9474" t="n">
        <v>0</v>
      </c>
      <c r="M9474" t="n">
        <v>0</v>
      </c>
      <c r="N9474" t="n">
        <v>0</v>
      </c>
      <c r="O9474" t="n">
        <v>0</v>
      </c>
      <c r="P9474" t="n">
        <v>0</v>
      </c>
      <c r="Q9474" t="n">
        <v>0</v>
      </c>
      <c r="R9474" s="2" t="inlineStr"/>
    </row>
    <row r="9475" ht="15" customHeight="1">
      <c r="A9475" t="inlineStr">
        <is>
          <t>A 15989-2023</t>
        </is>
      </c>
      <c r="B9475" s="1" t="n">
        <v>45023</v>
      </c>
      <c r="C9475" s="1" t="n">
        <v>45810</v>
      </c>
      <c r="D9475" t="inlineStr">
        <is>
          <t>VÄRMLANDS LÄN</t>
        </is>
      </c>
      <c r="E9475" t="inlineStr">
        <is>
          <t>FILIPSTAD</t>
        </is>
      </c>
      <c r="G9475" t="n">
        <v>10.5</v>
      </c>
      <c r="H9475" t="n">
        <v>0</v>
      </c>
      <c r="I9475" t="n">
        <v>0</v>
      </c>
      <c r="J9475" t="n">
        <v>0</v>
      </c>
      <c r="K9475" t="n">
        <v>0</v>
      </c>
      <c r="L9475" t="n">
        <v>0</v>
      </c>
      <c r="M9475" t="n">
        <v>0</v>
      </c>
      <c r="N9475" t="n">
        <v>0</v>
      </c>
      <c r="O9475" t="n">
        <v>0</v>
      </c>
      <c r="P9475" t="n">
        <v>0</v>
      </c>
      <c r="Q9475" t="n">
        <v>0</v>
      </c>
      <c r="R9475" s="2" t="inlineStr"/>
    </row>
    <row r="9476" ht="15" customHeight="1">
      <c r="A9476" t="inlineStr">
        <is>
          <t>A 15992-2023</t>
        </is>
      </c>
      <c r="B9476" s="1" t="n">
        <v>45023</v>
      </c>
      <c r="C9476" s="1" t="n">
        <v>45810</v>
      </c>
      <c r="D9476" t="inlineStr">
        <is>
          <t>VÄRMLANDS LÄN</t>
        </is>
      </c>
      <c r="E9476" t="inlineStr">
        <is>
          <t>TORSBY</t>
        </is>
      </c>
      <c r="G9476" t="n">
        <v>5.4</v>
      </c>
      <c r="H9476" t="n">
        <v>0</v>
      </c>
      <c r="I9476" t="n">
        <v>0</v>
      </c>
      <c r="J9476" t="n">
        <v>0</v>
      </c>
      <c r="K9476" t="n">
        <v>0</v>
      </c>
      <c r="L9476" t="n">
        <v>0</v>
      </c>
      <c r="M9476" t="n">
        <v>0</v>
      </c>
      <c r="N9476" t="n">
        <v>0</v>
      </c>
      <c r="O9476" t="n">
        <v>0</v>
      </c>
      <c r="P9476" t="n">
        <v>0</v>
      </c>
      <c r="Q9476" t="n">
        <v>0</v>
      </c>
      <c r="R9476" s="2" t="inlineStr"/>
    </row>
    <row r="9477" ht="15" customHeight="1">
      <c r="A9477" t="inlineStr">
        <is>
          <t>A 16450-2023</t>
        </is>
      </c>
      <c r="B9477" s="1" t="n">
        <v>45025</v>
      </c>
      <c r="C9477" s="1" t="n">
        <v>45810</v>
      </c>
      <c r="D9477" t="inlineStr">
        <is>
          <t>VÄRMLANDS LÄN</t>
        </is>
      </c>
      <c r="E9477" t="inlineStr">
        <is>
          <t>SÄFFLE</t>
        </is>
      </c>
      <c r="G9477" t="n">
        <v>3.1</v>
      </c>
      <c r="H9477" t="n">
        <v>0</v>
      </c>
      <c r="I9477" t="n">
        <v>0</v>
      </c>
      <c r="J9477" t="n">
        <v>0</v>
      </c>
      <c r="K9477" t="n">
        <v>0</v>
      </c>
      <c r="L9477" t="n">
        <v>0</v>
      </c>
      <c r="M9477" t="n">
        <v>0</v>
      </c>
      <c r="N9477" t="n">
        <v>0</v>
      </c>
      <c r="O9477" t="n">
        <v>0</v>
      </c>
      <c r="P9477" t="n">
        <v>0</v>
      </c>
      <c r="Q9477" t="n">
        <v>0</v>
      </c>
      <c r="R9477" s="2" t="inlineStr"/>
    </row>
    <row r="9478" ht="15" customHeight="1">
      <c r="A9478" t="inlineStr">
        <is>
          <t>A 16015-2023</t>
        </is>
      </c>
      <c r="B9478" s="1" t="n">
        <v>45026</v>
      </c>
      <c r="C9478" s="1" t="n">
        <v>45810</v>
      </c>
      <c r="D9478" t="inlineStr">
        <is>
          <t>VÄRMLANDS LÄN</t>
        </is>
      </c>
      <c r="E9478" t="inlineStr">
        <is>
          <t>SUNNE</t>
        </is>
      </c>
      <c r="G9478" t="n">
        <v>4.9</v>
      </c>
      <c r="H9478" t="n">
        <v>0</v>
      </c>
      <c r="I9478" t="n">
        <v>0</v>
      </c>
      <c r="J9478" t="n">
        <v>0</v>
      </c>
      <c r="K9478" t="n">
        <v>0</v>
      </c>
      <c r="L9478" t="n">
        <v>0</v>
      </c>
      <c r="M9478" t="n">
        <v>0</v>
      </c>
      <c r="N9478" t="n">
        <v>0</v>
      </c>
      <c r="O9478" t="n">
        <v>0</v>
      </c>
      <c r="P9478" t="n">
        <v>0</v>
      </c>
      <c r="Q9478" t="n">
        <v>0</v>
      </c>
      <c r="R9478" s="2" t="inlineStr"/>
    </row>
    <row r="9479" ht="15" customHeight="1">
      <c r="A9479" t="inlineStr">
        <is>
          <t>A 16014-2023</t>
        </is>
      </c>
      <c r="B9479" s="1" t="n">
        <v>45026</v>
      </c>
      <c r="C9479" s="1" t="n">
        <v>45810</v>
      </c>
      <c r="D9479" t="inlineStr">
        <is>
          <t>VÄRMLANDS LÄN</t>
        </is>
      </c>
      <c r="E9479" t="inlineStr">
        <is>
          <t>SUNNE</t>
        </is>
      </c>
      <c r="G9479" t="n">
        <v>1.5</v>
      </c>
      <c r="H9479" t="n">
        <v>0</v>
      </c>
      <c r="I9479" t="n">
        <v>0</v>
      </c>
      <c r="J9479" t="n">
        <v>0</v>
      </c>
      <c r="K9479" t="n">
        <v>0</v>
      </c>
      <c r="L9479" t="n">
        <v>0</v>
      </c>
      <c r="M9479" t="n">
        <v>0</v>
      </c>
      <c r="N9479" t="n">
        <v>0</v>
      </c>
      <c r="O9479" t="n">
        <v>0</v>
      </c>
      <c r="P9479" t="n">
        <v>0</v>
      </c>
      <c r="Q9479" t="n">
        <v>0</v>
      </c>
      <c r="R9479" s="2" t="inlineStr"/>
    </row>
    <row r="9480" ht="15" customHeight="1">
      <c r="A9480" t="inlineStr">
        <is>
          <t>A 16044-2023</t>
        </is>
      </c>
      <c r="B9480" s="1" t="n">
        <v>45027</v>
      </c>
      <c r="C9480" s="1" t="n">
        <v>45810</v>
      </c>
      <c r="D9480" t="inlineStr">
        <is>
          <t>VÄRMLANDS LÄN</t>
        </is>
      </c>
      <c r="E9480" t="inlineStr">
        <is>
          <t>TORSBY</t>
        </is>
      </c>
      <c r="G9480" t="n">
        <v>4.3</v>
      </c>
      <c r="H9480" t="n">
        <v>0</v>
      </c>
      <c r="I9480" t="n">
        <v>0</v>
      </c>
      <c r="J9480" t="n">
        <v>0</v>
      </c>
      <c r="K9480" t="n">
        <v>0</v>
      </c>
      <c r="L9480" t="n">
        <v>0</v>
      </c>
      <c r="M9480" t="n">
        <v>0</v>
      </c>
      <c r="N9480" t="n">
        <v>0</v>
      </c>
      <c r="O9480" t="n">
        <v>0</v>
      </c>
      <c r="P9480" t="n">
        <v>0</v>
      </c>
      <c r="Q9480" t="n">
        <v>0</v>
      </c>
      <c r="R9480" s="2" t="inlineStr"/>
    </row>
    <row r="9481" ht="15" customHeight="1">
      <c r="A9481" t="inlineStr">
        <is>
          <t>A 16090-2023</t>
        </is>
      </c>
      <c r="B9481" s="1" t="n">
        <v>45027</v>
      </c>
      <c r="C9481" s="1" t="n">
        <v>45810</v>
      </c>
      <c r="D9481" t="inlineStr">
        <is>
          <t>VÄRMLANDS LÄN</t>
        </is>
      </c>
      <c r="E9481" t="inlineStr">
        <is>
          <t>ÅRJÄNG</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16157-2023</t>
        </is>
      </c>
      <c r="B9482" s="1" t="n">
        <v>45027</v>
      </c>
      <c r="C9482" s="1" t="n">
        <v>45810</v>
      </c>
      <c r="D9482" t="inlineStr">
        <is>
          <t>VÄRMLANDS LÄN</t>
        </is>
      </c>
      <c r="E9482" t="inlineStr">
        <is>
          <t>ARVIKA</t>
        </is>
      </c>
      <c r="G9482" t="n">
        <v>4.8</v>
      </c>
      <c r="H9482" t="n">
        <v>0</v>
      </c>
      <c r="I9482" t="n">
        <v>0</v>
      </c>
      <c r="J9482" t="n">
        <v>0</v>
      </c>
      <c r="K9482" t="n">
        <v>0</v>
      </c>
      <c r="L9482" t="n">
        <v>0</v>
      </c>
      <c r="M9482" t="n">
        <v>0</v>
      </c>
      <c r="N9482" t="n">
        <v>0</v>
      </c>
      <c r="O9482" t="n">
        <v>0</v>
      </c>
      <c r="P9482" t="n">
        <v>0</v>
      </c>
      <c r="Q9482" t="n">
        <v>0</v>
      </c>
      <c r="R9482" s="2" t="inlineStr"/>
    </row>
    <row r="9483" ht="15" customHeight="1">
      <c r="A9483" t="inlineStr">
        <is>
          <t>A 16312-2023</t>
        </is>
      </c>
      <c r="B9483" s="1" t="n">
        <v>45028</v>
      </c>
      <c r="C9483" s="1" t="n">
        <v>45810</v>
      </c>
      <c r="D9483" t="inlineStr">
        <is>
          <t>VÄRMLANDS LÄN</t>
        </is>
      </c>
      <c r="E9483" t="inlineStr">
        <is>
          <t>KARLSTAD</t>
        </is>
      </c>
      <c r="G9483" t="n">
        <v>4</v>
      </c>
      <c r="H9483" t="n">
        <v>0</v>
      </c>
      <c r="I9483" t="n">
        <v>0</v>
      </c>
      <c r="J9483" t="n">
        <v>0</v>
      </c>
      <c r="K9483" t="n">
        <v>0</v>
      </c>
      <c r="L9483" t="n">
        <v>0</v>
      </c>
      <c r="M9483" t="n">
        <v>0</v>
      </c>
      <c r="N9483" t="n">
        <v>0</v>
      </c>
      <c r="O9483" t="n">
        <v>0</v>
      </c>
      <c r="P9483" t="n">
        <v>0</v>
      </c>
      <c r="Q9483" t="n">
        <v>0</v>
      </c>
      <c r="R9483" s="2" t="inlineStr"/>
    </row>
    <row r="9484" ht="15" customHeight="1">
      <c r="A9484" t="inlineStr">
        <is>
          <t>A 16329-2023</t>
        </is>
      </c>
      <c r="B9484" s="1" t="n">
        <v>45028</v>
      </c>
      <c r="C9484" s="1" t="n">
        <v>45810</v>
      </c>
      <c r="D9484" t="inlineStr">
        <is>
          <t>VÄRMLANDS LÄN</t>
        </is>
      </c>
      <c r="E9484" t="inlineStr">
        <is>
          <t>SUNNE</t>
        </is>
      </c>
      <c r="G9484" t="n">
        <v>8.1</v>
      </c>
      <c r="H9484" t="n">
        <v>0</v>
      </c>
      <c r="I9484" t="n">
        <v>0</v>
      </c>
      <c r="J9484" t="n">
        <v>0</v>
      </c>
      <c r="K9484" t="n">
        <v>0</v>
      </c>
      <c r="L9484" t="n">
        <v>0</v>
      </c>
      <c r="M9484" t="n">
        <v>0</v>
      </c>
      <c r="N9484" t="n">
        <v>0</v>
      </c>
      <c r="O9484" t="n">
        <v>0</v>
      </c>
      <c r="P9484" t="n">
        <v>0</v>
      </c>
      <c r="Q9484" t="n">
        <v>0</v>
      </c>
      <c r="R9484" s="2" t="inlineStr"/>
    </row>
    <row r="9485" ht="15" customHeight="1">
      <c r="A9485" t="inlineStr">
        <is>
          <t>A 16350-2023</t>
        </is>
      </c>
      <c r="B9485" s="1" t="n">
        <v>45028</v>
      </c>
      <c r="C9485" s="1" t="n">
        <v>45810</v>
      </c>
      <c r="D9485" t="inlineStr">
        <is>
          <t>VÄRMLANDS LÄN</t>
        </is>
      </c>
      <c r="E9485" t="inlineStr">
        <is>
          <t>HAGFORS</t>
        </is>
      </c>
      <c r="F9485" t="inlineStr">
        <is>
          <t>Bergvik skog väst AB</t>
        </is>
      </c>
      <c r="G9485" t="n">
        <v>1</v>
      </c>
      <c r="H9485" t="n">
        <v>0</v>
      </c>
      <c r="I9485" t="n">
        <v>0</v>
      </c>
      <c r="J9485" t="n">
        <v>0</v>
      </c>
      <c r="K9485" t="n">
        <v>0</v>
      </c>
      <c r="L9485" t="n">
        <v>0</v>
      </c>
      <c r="M9485" t="n">
        <v>0</v>
      </c>
      <c r="N9485" t="n">
        <v>0</v>
      </c>
      <c r="O9485" t="n">
        <v>0</v>
      </c>
      <c r="P9485" t="n">
        <v>0</v>
      </c>
      <c r="Q9485" t="n">
        <v>0</v>
      </c>
      <c r="R9485" s="2" t="inlineStr"/>
    </row>
    <row r="9486" ht="15" customHeight="1">
      <c r="A9486" t="inlineStr">
        <is>
          <t>A 16316-2023</t>
        </is>
      </c>
      <c r="B9486" s="1" t="n">
        <v>45028</v>
      </c>
      <c r="C9486" s="1" t="n">
        <v>45810</v>
      </c>
      <c r="D9486" t="inlineStr">
        <is>
          <t>VÄRMLANDS LÄN</t>
        </is>
      </c>
      <c r="E9486" t="inlineStr">
        <is>
          <t>SUNNE</t>
        </is>
      </c>
      <c r="G9486" t="n">
        <v>2.9</v>
      </c>
      <c r="H9486" t="n">
        <v>0</v>
      </c>
      <c r="I9486" t="n">
        <v>0</v>
      </c>
      <c r="J9486" t="n">
        <v>0</v>
      </c>
      <c r="K9486" t="n">
        <v>0</v>
      </c>
      <c r="L9486" t="n">
        <v>0</v>
      </c>
      <c r="M9486" t="n">
        <v>0</v>
      </c>
      <c r="N9486" t="n">
        <v>0</v>
      </c>
      <c r="O9486" t="n">
        <v>0</v>
      </c>
      <c r="P9486" t="n">
        <v>0</v>
      </c>
      <c r="Q9486" t="n">
        <v>0</v>
      </c>
      <c r="R9486" s="2" t="inlineStr"/>
    </row>
    <row r="9487" ht="15" customHeight="1">
      <c r="A9487" t="inlineStr">
        <is>
          <t>A 16335-2023</t>
        </is>
      </c>
      <c r="B9487" s="1" t="n">
        <v>45028</v>
      </c>
      <c r="C9487" s="1" t="n">
        <v>45810</v>
      </c>
      <c r="D9487" t="inlineStr">
        <is>
          <t>VÄRMLANDS LÄN</t>
        </is>
      </c>
      <c r="E9487" t="inlineStr">
        <is>
          <t>FILIPSTAD</t>
        </is>
      </c>
      <c r="F9487" t="inlineStr">
        <is>
          <t>Bergvik skog väst AB</t>
        </is>
      </c>
      <c r="G9487" t="n">
        <v>15.1</v>
      </c>
      <c r="H9487" t="n">
        <v>0</v>
      </c>
      <c r="I9487" t="n">
        <v>0</v>
      </c>
      <c r="J9487" t="n">
        <v>0</v>
      </c>
      <c r="K9487" t="n">
        <v>0</v>
      </c>
      <c r="L9487" t="n">
        <v>0</v>
      </c>
      <c r="M9487" t="n">
        <v>0</v>
      </c>
      <c r="N9487" t="n">
        <v>0</v>
      </c>
      <c r="O9487" t="n">
        <v>0</v>
      </c>
      <c r="P9487" t="n">
        <v>0</v>
      </c>
      <c r="Q9487" t="n">
        <v>0</v>
      </c>
      <c r="R9487" s="2" t="inlineStr"/>
    </row>
    <row r="9488" ht="15" customHeight="1">
      <c r="A9488" t="inlineStr">
        <is>
          <t>A 16309-2023</t>
        </is>
      </c>
      <c r="B9488" s="1" t="n">
        <v>45028</v>
      </c>
      <c r="C9488" s="1" t="n">
        <v>45810</v>
      </c>
      <c r="D9488" t="inlineStr">
        <is>
          <t>VÄRMLANDS LÄN</t>
        </is>
      </c>
      <c r="E9488" t="inlineStr">
        <is>
          <t>TORSBY</t>
        </is>
      </c>
      <c r="G9488" t="n">
        <v>2.1</v>
      </c>
      <c r="H9488" t="n">
        <v>0</v>
      </c>
      <c r="I9488" t="n">
        <v>0</v>
      </c>
      <c r="J9488" t="n">
        <v>0</v>
      </c>
      <c r="K9488" t="n">
        <v>0</v>
      </c>
      <c r="L9488" t="n">
        <v>0</v>
      </c>
      <c r="M9488" t="n">
        <v>0</v>
      </c>
      <c r="N9488" t="n">
        <v>0</v>
      </c>
      <c r="O9488" t="n">
        <v>0</v>
      </c>
      <c r="P9488" t="n">
        <v>0</v>
      </c>
      <c r="Q9488" t="n">
        <v>0</v>
      </c>
      <c r="R9488" s="2" t="inlineStr"/>
    </row>
    <row r="9489" ht="15" customHeight="1">
      <c r="A9489" t="inlineStr">
        <is>
          <t>A 16313-2023</t>
        </is>
      </c>
      <c r="B9489" s="1" t="n">
        <v>45028</v>
      </c>
      <c r="C9489" s="1" t="n">
        <v>45810</v>
      </c>
      <c r="D9489" t="inlineStr">
        <is>
          <t>VÄRMLANDS LÄN</t>
        </is>
      </c>
      <c r="E9489" t="inlineStr">
        <is>
          <t>TORSBY</t>
        </is>
      </c>
      <c r="G9489" t="n">
        <v>2.1</v>
      </c>
      <c r="H9489" t="n">
        <v>0</v>
      </c>
      <c r="I9489" t="n">
        <v>0</v>
      </c>
      <c r="J9489" t="n">
        <v>0</v>
      </c>
      <c r="K9489" t="n">
        <v>0</v>
      </c>
      <c r="L9489" t="n">
        <v>0</v>
      </c>
      <c r="M9489" t="n">
        <v>0</v>
      </c>
      <c r="N9489" t="n">
        <v>0</v>
      </c>
      <c r="O9489" t="n">
        <v>0</v>
      </c>
      <c r="P9489" t="n">
        <v>0</v>
      </c>
      <c r="Q9489" t="n">
        <v>0</v>
      </c>
      <c r="R9489" s="2" t="inlineStr"/>
    </row>
    <row r="9490" ht="15" customHeight="1">
      <c r="A9490" t="inlineStr">
        <is>
          <t>A 16319-2023</t>
        </is>
      </c>
      <c r="B9490" s="1" t="n">
        <v>45028</v>
      </c>
      <c r="C9490" s="1" t="n">
        <v>45810</v>
      </c>
      <c r="D9490" t="inlineStr">
        <is>
          <t>VÄRMLANDS LÄN</t>
        </is>
      </c>
      <c r="E9490" t="inlineStr">
        <is>
          <t>HAGFORS</t>
        </is>
      </c>
      <c r="G9490" t="n">
        <v>1.1</v>
      </c>
      <c r="H9490" t="n">
        <v>0</v>
      </c>
      <c r="I9490" t="n">
        <v>0</v>
      </c>
      <c r="J9490" t="n">
        <v>0</v>
      </c>
      <c r="K9490" t="n">
        <v>0</v>
      </c>
      <c r="L9490" t="n">
        <v>0</v>
      </c>
      <c r="M9490" t="n">
        <v>0</v>
      </c>
      <c r="N9490" t="n">
        <v>0</v>
      </c>
      <c r="O9490" t="n">
        <v>0</v>
      </c>
      <c r="P9490" t="n">
        <v>0</v>
      </c>
      <c r="Q9490" t="n">
        <v>0</v>
      </c>
      <c r="R9490" s="2" t="inlineStr"/>
    </row>
    <row r="9491" ht="15" customHeight="1">
      <c r="A9491" t="inlineStr">
        <is>
          <t>A 16317-2023</t>
        </is>
      </c>
      <c r="B9491" s="1" t="n">
        <v>45028</v>
      </c>
      <c r="C9491" s="1" t="n">
        <v>45810</v>
      </c>
      <c r="D9491" t="inlineStr">
        <is>
          <t>VÄRMLANDS LÄN</t>
        </is>
      </c>
      <c r="E9491" t="inlineStr">
        <is>
          <t>TORSBY</t>
        </is>
      </c>
      <c r="G9491" t="n">
        <v>4.7</v>
      </c>
      <c r="H9491" t="n">
        <v>0</v>
      </c>
      <c r="I9491" t="n">
        <v>0</v>
      </c>
      <c r="J9491" t="n">
        <v>0</v>
      </c>
      <c r="K9491" t="n">
        <v>0</v>
      </c>
      <c r="L9491" t="n">
        <v>0</v>
      </c>
      <c r="M9491" t="n">
        <v>0</v>
      </c>
      <c r="N9491" t="n">
        <v>0</v>
      </c>
      <c r="O9491" t="n">
        <v>0</v>
      </c>
      <c r="P9491" t="n">
        <v>0</v>
      </c>
      <c r="Q9491" t="n">
        <v>0</v>
      </c>
      <c r="R9491" s="2" t="inlineStr"/>
    </row>
    <row r="9492" ht="15" customHeight="1">
      <c r="A9492" t="inlineStr">
        <is>
          <t>A 16328-2023</t>
        </is>
      </c>
      <c r="B9492" s="1" t="n">
        <v>45028</v>
      </c>
      <c r="C9492" s="1" t="n">
        <v>45810</v>
      </c>
      <c r="D9492" t="inlineStr">
        <is>
          <t>VÄRMLANDS LÄN</t>
        </is>
      </c>
      <c r="E9492" t="inlineStr">
        <is>
          <t>EDA</t>
        </is>
      </c>
      <c r="G9492" t="n">
        <v>0.8</v>
      </c>
      <c r="H9492" t="n">
        <v>0</v>
      </c>
      <c r="I9492" t="n">
        <v>0</v>
      </c>
      <c r="J9492" t="n">
        <v>0</v>
      </c>
      <c r="K9492" t="n">
        <v>0</v>
      </c>
      <c r="L9492" t="n">
        <v>0</v>
      </c>
      <c r="M9492" t="n">
        <v>0</v>
      </c>
      <c r="N9492" t="n">
        <v>0</v>
      </c>
      <c r="O9492" t="n">
        <v>0</v>
      </c>
      <c r="P9492" t="n">
        <v>0</v>
      </c>
      <c r="Q9492" t="n">
        <v>0</v>
      </c>
      <c r="R9492" s="2" t="inlineStr"/>
    </row>
    <row r="9493" ht="15" customHeight="1">
      <c r="A9493" t="inlineStr">
        <is>
          <t>A 16341-2023</t>
        </is>
      </c>
      <c r="B9493" s="1" t="n">
        <v>45028</v>
      </c>
      <c r="C9493" s="1" t="n">
        <v>45810</v>
      </c>
      <c r="D9493" t="inlineStr">
        <is>
          <t>VÄRMLANDS LÄN</t>
        </is>
      </c>
      <c r="E9493" t="inlineStr">
        <is>
          <t>ARVIKA</t>
        </is>
      </c>
      <c r="G9493" t="n">
        <v>3.6</v>
      </c>
      <c r="H9493" t="n">
        <v>0</v>
      </c>
      <c r="I9493" t="n">
        <v>0</v>
      </c>
      <c r="J9493" t="n">
        <v>0</v>
      </c>
      <c r="K9493" t="n">
        <v>0</v>
      </c>
      <c r="L9493" t="n">
        <v>0</v>
      </c>
      <c r="M9493" t="n">
        <v>0</v>
      </c>
      <c r="N9493" t="n">
        <v>0</v>
      </c>
      <c r="O9493" t="n">
        <v>0</v>
      </c>
      <c r="P9493" t="n">
        <v>0</v>
      </c>
      <c r="Q9493" t="n">
        <v>0</v>
      </c>
      <c r="R9493" s="2" t="inlineStr"/>
    </row>
    <row r="9494" ht="15" customHeight="1">
      <c r="A9494" t="inlineStr">
        <is>
          <t>A 16358-2023</t>
        </is>
      </c>
      <c r="B9494" s="1" t="n">
        <v>45028</v>
      </c>
      <c r="C9494" s="1" t="n">
        <v>45810</v>
      </c>
      <c r="D9494" t="inlineStr">
        <is>
          <t>VÄRMLANDS LÄN</t>
        </is>
      </c>
      <c r="E9494" t="inlineStr">
        <is>
          <t>SUNNE</t>
        </is>
      </c>
      <c r="G9494" t="n">
        <v>0.6</v>
      </c>
      <c r="H9494" t="n">
        <v>0</v>
      </c>
      <c r="I9494" t="n">
        <v>0</v>
      </c>
      <c r="J9494" t="n">
        <v>0</v>
      </c>
      <c r="K9494" t="n">
        <v>0</v>
      </c>
      <c r="L9494" t="n">
        <v>0</v>
      </c>
      <c r="M9494" t="n">
        <v>0</v>
      </c>
      <c r="N9494" t="n">
        <v>0</v>
      </c>
      <c r="O9494" t="n">
        <v>0</v>
      </c>
      <c r="P9494" t="n">
        <v>0</v>
      </c>
      <c r="Q9494" t="n">
        <v>0</v>
      </c>
      <c r="R9494" s="2" t="inlineStr"/>
    </row>
    <row r="9495" ht="15" customHeight="1">
      <c r="A9495" t="inlineStr">
        <is>
          <t>A 16451-2023</t>
        </is>
      </c>
      <c r="B9495" s="1" t="n">
        <v>45029</v>
      </c>
      <c r="C9495" s="1" t="n">
        <v>45810</v>
      </c>
      <c r="D9495" t="inlineStr">
        <is>
          <t>VÄRMLANDS LÄN</t>
        </is>
      </c>
      <c r="E9495" t="inlineStr">
        <is>
          <t>KIL</t>
        </is>
      </c>
      <c r="G9495" t="n">
        <v>2.4</v>
      </c>
      <c r="H9495" t="n">
        <v>0</v>
      </c>
      <c r="I9495" t="n">
        <v>0</v>
      </c>
      <c r="J9495" t="n">
        <v>0</v>
      </c>
      <c r="K9495" t="n">
        <v>0</v>
      </c>
      <c r="L9495" t="n">
        <v>0</v>
      </c>
      <c r="M9495" t="n">
        <v>0</v>
      </c>
      <c r="N9495" t="n">
        <v>0</v>
      </c>
      <c r="O9495" t="n">
        <v>0</v>
      </c>
      <c r="P9495" t="n">
        <v>0</v>
      </c>
      <c r="Q9495" t="n">
        <v>0</v>
      </c>
      <c r="R9495" s="2" t="inlineStr"/>
    </row>
    <row r="9496" ht="15" customHeight="1">
      <c r="A9496" t="inlineStr">
        <is>
          <t>A 16462-2023</t>
        </is>
      </c>
      <c r="B9496" s="1" t="n">
        <v>45029</v>
      </c>
      <c r="C9496" s="1" t="n">
        <v>45810</v>
      </c>
      <c r="D9496" t="inlineStr">
        <is>
          <t>VÄRMLANDS LÄN</t>
        </is>
      </c>
      <c r="E9496" t="inlineStr">
        <is>
          <t>SÄFFLE</t>
        </is>
      </c>
      <c r="G9496" t="n">
        <v>3.2</v>
      </c>
      <c r="H9496" t="n">
        <v>0</v>
      </c>
      <c r="I9496" t="n">
        <v>0</v>
      </c>
      <c r="J9496" t="n">
        <v>0</v>
      </c>
      <c r="K9496" t="n">
        <v>0</v>
      </c>
      <c r="L9496" t="n">
        <v>0</v>
      </c>
      <c r="M9496" t="n">
        <v>0</v>
      </c>
      <c r="N9496" t="n">
        <v>0</v>
      </c>
      <c r="O9496" t="n">
        <v>0</v>
      </c>
      <c r="P9496" t="n">
        <v>0</v>
      </c>
      <c r="Q9496" t="n">
        <v>0</v>
      </c>
      <c r="R9496" s="2" t="inlineStr"/>
    </row>
    <row r="9497" ht="15" customHeight="1">
      <c r="A9497" t="inlineStr">
        <is>
          <t>A 16397-2023</t>
        </is>
      </c>
      <c r="B9497" s="1" t="n">
        <v>45029</v>
      </c>
      <c r="C9497" s="1" t="n">
        <v>45810</v>
      </c>
      <c r="D9497" t="inlineStr">
        <is>
          <t>VÄRMLANDS LÄN</t>
        </is>
      </c>
      <c r="E9497" t="inlineStr">
        <is>
          <t>ARVIKA</t>
        </is>
      </c>
      <c r="G9497" t="n">
        <v>2.2</v>
      </c>
      <c r="H9497" t="n">
        <v>0</v>
      </c>
      <c r="I9497" t="n">
        <v>0</v>
      </c>
      <c r="J9497" t="n">
        <v>0</v>
      </c>
      <c r="K9497" t="n">
        <v>0</v>
      </c>
      <c r="L9497" t="n">
        <v>0</v>
      </c>
      <c r="M9497" t="n">
        <v>0</v>
      </c>
      <c r="N9497" t="n">
        <v>0</v>
      </c>
      <c r="O9497" t="n">
        <v>0</v>
      </c>
      <c r="P9497" t="n">
        <v>0</v>
      </c>
      <c r="Q9497" t="n">
        <v>0</v>
      </c>
      <c r="R9497" s="2" t="inlineStr"/>
    </row>
    <row r="9498" ht="15" customHeight="1">
      <c r="A9498" t="inlineStr">
        <is>
          <t>A 16458-2023</t>
        </is>
      </c>
      <c r="B9498" s="1" t="n">
        <v>45029</v>
      </c>
      <c r="C9498" s="1" t="n">
        <v>45810</v>
      </c>
      <c r="D9498" t="inlineStr">
        <is>
          <t>VÄRMLANDS LÄN</t>
        </is>
      </c>
      <c r="E9498" t="inlineStr">
        <is>
          <t>EDA</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16479-2023</t>
        </is>
      </c>
      <c r="B9499" s="1" t="n">
        <v>45029</v>
      </c>
      <c r="C9499" s="1" t="n">
        <v>45810</v>
      </c>
      <c r="D9499" t="inlineStr">
        <is>
          <t>VÄRMLANDS LÄN</t>
        </is>
      </c>
      <c r="E9499" t="inlineStr">
        <is>
          <t>FILIPSTAD</t>
        </is>
      </c>
      <c r="F9499" t="inlineStr">
        <is>
          <t>Bergvik skog väst AB</t>
        </is>
      </c>
      <c r="G9499" t="n">
        <v>6.1</v>
      </c>
      <c r="H9499" t="n">
        <v>0</v>
      </c>
      <c r="I9499" t="n">
        <v>0</v>
      </c>
      <c r="J9499" t="n">
        <v>0</v>
      </c>
      <c r="K9499" t="n">
        <v>0</v>
      </c>
      <c r="L9499" t="n">
        <v>0</v>
      </c>
      <c r="M9499" t="n">
        <v>0</v>
      </c>
      <c r="N9499" t="n">
        <v>0</v>
      </c>
      <c r="O9499" t="n">
        <v>0</v>
      </c>
      <c r="P9499" t="n">
        <v>0</v>
      </c>
      <c r="Q9499" t="n">
        <v>0</v>
      </c>
      <c r="R9499" s="2" t="inlineStr"/>
    </row>
    <row r="9500" ht="15" customHeight="1">
      <c r="A9500" t="inlineStr">
        <is>
          <t>A 16496-2023</t>
        </is>
      </c>
      <c r="B9500" s="1" t="n">
        <v>45029</v>
      </c>
      <c r="C9500" s="1" t="n">
        <v>45810</v>
      </c>
      <c r="D9500" t="inlineStr">
        <is>
          <t>VÄRMLANDS LÄN</t>
        </is>
      </c>
      <c r="E9500" t="inlineStr">
        <is>
          <t>ARVIKA</t>
        </is>
      </c>
      <c r="F9500" t="inlineStr">
        <is>
          <t>Bergvik skog väst AB</t>
        </is>
      </c>
      <c r="G9500" t="n">
        <v>5.4</v>
      </c>
      <c r="H9500" t="n">
        <v>0</v>
      </c>
      <c r="I9500" t="n">
        <v>0</v>
      </c>
      <c r="J9500" t="n">
        <v>0</v>
      </c>
      <c r="K9500" t="n">
        <v>0</v>
      </c>
      <c r="L9500" t="n">
        <v>0</v>
      </c>
      <c r="M9500" t="n">
        <v>0</v>
      </c>
      <c r="N9500" t="n">
        <v>0</v>
      </c>
      <c r="O9500" t="n">
        <v>0</v>
      </c>
      <c r="P9500" t="n">
        <v>0</v>
      </c>
      <c r="Q9500" t="n">
        <v>0</v>
      </c>
      <c r="R9500" s="2" t="inlineStr"/>
    </row>
    <row r="9501" ht="15" customHeight="1">
      <c r="A9501" t="inlineStr">
        <is>
          <t>A 16455-2023</t>
        </is>
      </c>
      <c r="B9501" s="1" t="n">
        <v>45029</v>
      </c>
      <c r="C9501" s="1" t="n">
        <v>45810</v>
      </c>
      <c r="D9501" t="inlineStr">
        <is>
          <t>VÄRMLANDS LÄN</t>
        </is>
      </c>
      <c r="E9501" t="inlineStr">
        <is>
          <t>ARVIKA</t>
        </is>
      </c>
      <c r="G9501" t="n">
        <v>2</v>
      </c>
      <c r="H9501" t="n">
        <v>0</v>
      </c>
      <c r="I9501" t="n">
        <v>0</v>
      </c>
      <c r="J9501" t="n">
        <v>0</v>
      </c>
      <c r="K9501" t="n">
        <v>0</v>
      </c>
      <c r="L9501" t="n">
        <v>0</v>
      </c>
      <c r="M9501" t="n">
        <v>0</v>
      </c>
      <c r="N9501" t="n">
        <v>0</v>
      </c>
      <c r="O9501" t="n">
        <v>0</v>
      </c>
      <c r="P9501" t="n">
        <v>0</v>
      </c>
      <c r="Q9501" t="n">
        <v>0</v>
      </c>
      <c r="R9501" s="2" t="inlineStr"/>
    </row>
    <row r="9502" ht="15" customHeight="1">
      <c r="A9502" t="inlineStr">
        <is>
          <t>A 16461-2023</t>
        </is>
      </c>
      <c r="B9502" s="1" t="n">
        <v>45029</v>
      </c>
      <c r="C9502" s="1" t="n">
        <v>45810</v>
      </c>
      <c r="D9502" t="inlineStr">
        <is>
          <t>VÄRMLANDS LÄN</t>
        </is>
      </c>
      <c r="E9502" t="inlineStr">
        <is>
          <t>EDA</t>
        </is>
      </c>
      <c r="G9502" t="n">
        <v>2.4</v>
      </c>
      <c r="H9502" t="n">
        <v>0</v>
      </c>
      <c r="I9502" t="n">
        <v>0</v>
      </c>
      <c r="J9502" t="n">
        <v>0</v>
      </c>
      <c r="K9502" t="n">
        <v>0</v>
      </c>
      <c r="L9502" t="n">
        <v>0</v>
      </c>
      <c r="M9502" t="n">
        <v>0</v>
      </c>
      <c r="N9502" t="n">
        <v>0</v>
      </c>
      <c r="O9502" t="n">
        <v>0</v>
      </c>
      <c r="P9502" t="n">
        <v>0</v>
      </c>
      <c r="Q9502" t="n">
        <v>0</v>
      </c>
      <c r="R9502" s="2" t="inlineStr"/>
    </row>
    <row r="9503" ht="15" customHeight="1">
      <c r="A9503" t="inlineStr">
        <is>
          <t>A 16467-2023</t>
        </is>
      </c>
      <c r="B9503" s="1" t="n">
        <v>45029</v>
      </c>
      <c r="C9503" s="1" t="n">
        <v>45810</v>
      </c>
      <c r="D9503" t="inlineStr">
        <is>
          <t>VÄRMLANDS LÄN</t>
        </is>
      </c>
      <c r="E9503" t="inlineStr">
        <is>
          <t>EDA</t>
        </is>
      </c>
      <c r="G9503" t="n">
        <v>2.3</v>
      </c>
      <c r="H9503" t="n">
        <v>0</v>
      </c>
      <c r="I9503" t="n">
        <v>0</v>
      </c>
      <c r="J9503" t="n">
        <v>0</v>
      </c>
      <c r="K9503" t="n">
        <v>0</v>
      </c>
      <c r="L9503" t="n">
        <v>0</v>
      </c>
      <c r="M9503" t="n">
        <v>0</v>
      </c>
      <c r="N9503" t="n">
        <v>0</v>
      </c>
      <c r="O9503" t="n">
        <v>0</v>
      </c>
      <c r="P9503" t="n">
        <v>0</v>
      </c>
      <c r="Q9503" t="n">
        <v>0</v>
      </c>
      <c r="R9503" s="2" t="inlineStr"/>
    </row>
    <row r="9504" ht="15" customHeight="1">
      <c r="A9504" t="inlineStr">
        <is>
          <t>A 16464-2023</t>
        </is>
      </c>
      <c r="B9504" s="1" t="n">
        <v>45029</v>
      </c>
      <c r="C9504" s="1" t="n">
        <v>45810</v>
      </c>
      <c r="D9504" t="inlineStr">
        <is>
          <t>VÄRMLANDS LÄN</t>
        </is>
      </c>
      <c r="E9504" t="inlineStr">
        <is>
          <t>SÄFFLE</t>
        </is>
      </c>
      <c r="G9504" t="n">
        <v>4.6</v>
      </c>
      <c r="H9504" t="n">
        <v>0</v>
      </c>
      <c r="I9504" t="n">
        <v>0</v>
      </c>
      <c r="J9504" t="n">
        <v>0</v>
      </c>
      <c r="K9504" t="n">
        <v>0</v>
      </c>
      <c r="L9504" t="n">
        <v>0</v>
      </c>
      <c r="M9504" t="n">
        <v>0</v>
      </c>
      <c r="N9504" t="n">
        <v>0</v>
      </c>
      <c r="O9504" t="n">
        <v>0</v>
      </c>
      <c r="P9504" t="n">
        <v>0</v>
      </c>
      <c r="Q9504" t="n">
        <v>0</v>
      </c>
      <c r="R9504" s="2" t="inlineStr"/>
    </row>
    <row r="9505" ht="15" customHeight="1">
      <c r="A9505" t="inlineStr">
        <is>
          <t>A 16510-2023</t>
        </is>
      </c>
      <c r="B9505" s="1" t="n">
        <v>45029</v>
      </c>
      <c r="C9505" s="1" t="n">
        <v>45810</v>
      </c>
      <c r="D9505" t="inlineStr">
        <is>
          <t>VÄRMLANDS LÄN</t>
        </is>
      </c>
      <c r="E9505" t="inlineStr">
        <is>
          <t>SUNNE</t>
        </is>
      </c>
      <c r="G9505" t="n">
        <v>2.1</v>
      </c>
      <c r="H9505" t="n">
        <v>0</v>
      </c>
      <c r="I9505" t="n">
        <v>0</v>
      </c>
      <c r="J9505" t="n">
        <v>0</v>
      </c>
      <c r="K9505" t="n">
        <v>0</v>
      </c>
      <c r="L9505" t="n">
        <v>0</v>
      </c>
      <c r="M9505" t="n">
        <v>0</v>
      </c>
      <c r="N9505" t="n">
        <v>0</v>
      </c>
      <c r="O9505" t="n">
        <v>0</v>
      </c>
      <c r="P9505" t="n">
        <v>0</v>
      </c>
      <c r="Q9505" t="n">
        <v>0</v>
      </c>
      <c r="R9505" s="2" t="inlineStr"/>
    </row>
    <row r="9506" ht="15" customHeight="1">
      <c r="A9506" t="inlineStr">
        <is>
          <t>A 16521-2023</t>
        </is>
      </c>
      <c r="B9506" s="1" t="n">
        <v>45029</v>
      </c>
      <c r="C9506" s="1" t="n">
        <v>45810</v>
      </c>
      <c r="D9506" t="inlineStr">
        <is>
          <t>VÄRMLANDS LÄN</t>
        </is>
      </c>
      <c r="E9506" t="inlineStr">
        <is>
          <t>HAGFORS</t>
        </is>
      </c>
      <c r="F9506" t="inlineStr">
        <is>
          <t>Bergvik skog väst AB</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16542-2023</t>
        </is>
      </c>
      <c r="B9507" s="1" t="n">
        <v>45029</v>
      </c>
      <c r="C9507" s="1" t="n">
        <v>45810</v>
      </c>
      <c r="D9507" t="inlineStr">
        <is>
          <t>VÄRMLANDS LÄN</t>
        </is>
      </c>
      <c r="E9507" t="inlineStr">
        <is>
          <t>EDA</t>
        </is>
      </c>
      <c r="G9507" t="n">
        <v>6.6</v>
      </c>
      <c r="H9507" t="n">
        <v>0</v>
      </c>
      <c r="I9507" t="n">
        <v>0</v>
      </c>
      <c r="J9507" t="n">
        <v>0</v>
      </c>
      <c r="K9507" t="n">
        <v>0</v>
      </c>
      <c r="L9507" t="n">
        <v>0</v>
      </c>
      <c r="M9507" t="n">
        <v>0</v>
      </c>
      <c r="N9507" t="n">
        <v>0</v>
      </c>
      <c r="O9507" t="n">
        <v>0</v>
      </c>
      <c r="P9507" t="n">
        <v>0</v>
      </c>
      <c r="Q9507" t="n">
        <v>0</v>
      </c>
      <c r="R9507" s="2" t="inlineStr"/>
    </row>
    <row r="9508" ht="15" customHeight="1">
      <c r="A9508" t="inlineStr">
        <is>
          <t>A 16492-2023</t>
        </is>
      </c>
      <c r="B9508" s="1" t="n">
        <v>45029</v>
      </c>
      <c r="C9508" s="1" t="n">
        <v>45810</v>
      </c>
      <c r="D9508" t="inlineStr">
        <is>
          <t>VÄRMLANDS LÄN</t>
        </is>
      </c>
      <c r="E9508" t="inlineStr">
        <is>
          <t>SUNNE</t>
        </is>
      </c>
      <c r="G9508" t="n">
        <v>2.8</v>
      </c>
      <c r="H9508" t="n">
        <v>0</v>
      </c>
      <c r="I9508" t="n">
        <v>0</v>
      </c>
      <c r="J9508" t="n">
        <v>0</v>
      </c>
      <c r="K9508" t="n">
        <v>0</v>
      </c>
      <c r="L9508" t="n">
        <v>0</v>
      </c>
      <c r="M9508" t="n">
        <v>0</v>
      </c>
      <c r="N9508" t="n">
        <v>0</v>
      </c>
      <c r="O9508" t="n">
        <v>0</v>
      </c>
      <c r="P9508" t="n">
        <v>0</v>
      </c>
      <c r="Q9508" t="n">
        <v>0</v>
      </c>
      <c r="R9508" s="2" t="inlineStr"/>
    </row>
    <row r="9509" ht="15" customHeight="1">
      <c r="A9509" t="inlineStr">
        <is>
          <t>A 16512-2023</t>
        </is>
      </c>
      <c r="B9509" s="1" t="n">
        <v>45029</v>
      </c>
      <c r="C9509" s="1" t="n">
        <v>45810</v>
      </c>
      <c r="D9509" t="inlineStr">
        <is>
          <t>VÄRMLANDS LÄN</t>
        </is>
      </c>
      <c r="E9509" t="inlineStr">
        <is>
          <t>EDA</t>
        </is>
      </c>
      <c r="G9509" t="n">
        <v>1.7</v>
      </c>
      <c r="H9509" t="n">
        <v>0</v>
      </c>
      <c r="I9509" t="n">
        <v>0</v>
      </c>
      <c r="J9509" t="n">
        <v>0</v>
      </c>
      <c r="K9509" t="n">
        <v>0</v>
      </c>
      <c r="L9509" t="n">
        <v>0</v>
      </c>
      <c r="M9509" t="n">
        <v>0</v>
      </c>
      <c r="N9509" t="n">
        <v>0</v>
      </c>
      <c r="O9509" t="n">
        <v>0</v>
      </c>
      <c r="P9509" t="n">
        <v>0</v>
      </c>
      <c r="Q9509" t="n">
        <v>0</v>
      </c>
      <c r="R9509" s="2" t="inlineStr"/>
    </row>
    <row r="9510" ht="15" customHeight="1">
      <c r="A9510" t="inlineStr">
        <is>
          <t>A 16518-2023</t>
        </is>
      </c>
      <c r="B9510" s="1" t="n">
        <v>45029</v>
      </c>
      <c r="C9510" s="1" t="n">
        <v>45810</v>
      </c>
      <c r="D9510" t="inlineStr">
        <is>
          <t>VÄRMLANDS LÄN</t>
        </is>
      </c>
      <c r="E9510" t="inlineStr">
        <is>
          <t>SUNNE</t>
        </is>
      </c>
      <c r="G9510" t="n">
        <v>3</v>
      </c>
      <c r="H9510" t="n">
        <v>0</v>
      </c>
      <c r="I9510" t="n">
        <v>0</v>
      </c>
      <c r="J9510" t="n">
        <v>0</v>
      </c>
      <c r="K9510" t="n">
        <v>0</v>
      </c>
      <c r="L9510" t="n">
        <v>0</v>
      </c>
      <c r="M9510" t="n">
        <v>0</v>
      </c>
      <c r="N9510" t="n">
        <v>0</v>
      </c>
      <c r="O9510" t="n">
        <v>0</v>
      </c>
      <c r="P9510" t="n">
        <v>0</v>
      </c>
      <c r="Q9510" t="n">
        <v>0</v>
      </c>
      <c r="R9510" s="2" t="inlineStr"/>
    </row>
    <row r="9511" ht="15" customHeight="1">
      <c r="A9511" t="inlineStr">
        <is>
          <t>A 16523-2023</t>
        </is>
      </c>
      <c r="B9511" s="1" t="n">
        <v>45029</v>
      </c>
      <c r="C9511" s="1" t="n">
        <v>45810</v>
      </c>
      <c r="D9511" t="inlineStr">
        <is>
          <t>VÄRMLANDS LÄN</t>
        </is>
      </c>
      <c r="E9511" t="inlineStr">
        <is>
          <t>HAGFORS</t>
        </is>
      </c>
      <c r="F9511" t="inlineStr">
        <is>
          <t>Bergvik skog väst AB</t>
        </is>
      </c>
      <c r="G9511" t="n">
        <v>1</v>
      </c>
      <c r="H9511" t="n">
        <v>0</v>
      </c>
      <c r="I9511" t="n">
        <v>0</v>
      </c>
      <c r="J9511" t="n">
        <v>0</v>
      </c>
      <c r="K9511" t="n">
        <v>0</v>
      </c>
      <c r="L9511" t="n">
        <v>0</v>
      </c>
      <c r="M9511" t="n">
        <v>0</v>
      </c>
      <c r="N9511" t="n">
        <v>0</v>
      </c>
      <c r="O9511" t="n">
        <v>0</v>
      </c>
      <c r="P9511" t="n">
        <v>0</v>
      </c>
      <c r="Q9511" t="n">
        <v>0</v>
      </c>
      <c r="R9511" s="2" t="inlineStr"/>
    </row>
    <row r="9512" ht="15" customHeight="1">
      <c r="A9512" t="inlineStr">
        <is>
          <t>A 16514-2023</t>
        </is>
      </c>
      <c r="B9512" s="1" t="n">
        <v>45029</v>
      </c>
      <c r="C9512" s="1" t="n">
        <v>45810</v>
      </c>
      <c r="D9512" t="inlineStr">
        <is>
          <t>VÄRMLANDS LÄN</t>
        </is>
      </c>
      <c r="E9512" t="inlineStr">
        <is>
          <t>EDA</t>
        </is>
      </c>
      <c r="F9512" t="inlineStr">
        <is>
          <t>Övriga Aktiebolag</t>
        </is>
      </c>
      <c r="G9512" t="n">
        <v>2.4</v>
      </c>
      <c r="H9512" t="n">
        <v>0</v>
      </c>
      <c r="I9512" t="n">
        <v>0</v>
      </c>
      <c r="J9512" t="n">
        <v>0</v>
      </c>
      <c r="K9512" t="n">
        <v>0</v>
      </c>
      <c r="L9512" t="n">
        <v>0</v>
      </c>
      <c r="M9512" t="n">
        <v>0</v>
      </c>
      <c r="N9512" t="n">
        <v>0</v>
      </c>
      <c r="O9512" t="n">
        <v>0</v>
      </c>
      <c r="P9512" t="n">
        <v>0</v>
      </c>
      <c r="Q9512" t="n">
        <v>0</v>
      </c>
      <c r="R9512" s="2" t="inlineStr"/>
    </row>
    <row r="9513" ht="15" customHeight="1">
      <c r="A9513" t="inlineStr">
        <is>
          <t>A 16525-2023</t>
        </is>
      </c>
      <c r="B9513" s="1" t="n">
        <v>45029</v>
      </c>
      <c r="C9513" s="1" t="n">
        <v>45810</v>
      </c>
      <c r="D9513" t="inlineStr">
        <is>
          <t>VÄRMLANDS LÄN</t>
        </is>
      </c>
      <c r="E9513" t="inlineStr">
        <is>
          <t>HAGFORS</t>
        </is>
      </c>
      <c r="F9513" t="inlineStr">
        <is>
          <t>Bergvik skog väst AB</t>
        </is>
      </c>
      <c r="G9513" t="n">
        <v>2.8</v>
      </c>
      <c r="H9513" t="n">
        <v>0</v>
      </c>
      <c r="I9513" t="n">
        <v>0</v>
      </c>
      <c r="J9513" t="n">
        <v>0</v>
      </c>
      <c r="K9513" t="n">
        <v>0</v>
      </c>
      <c r="L9513" t="n">
        <v>0</v>
      </c>
      <c r="M9513" t="n">
        <v>0</v>
      </c>
      <c r="N9513" t="n">
        <v>0</v>
      </c>
      <c r="O9513" t="n">
        <v>0</v>
      </c>
      <c r="P9513" t="n">
        <v>0</v>
      </c>
      <c r="Q9513" t="n">
        <v>0</v>
      </c>
      <c r="R9513" s="2" t="inlineStr"/>
    </row>
    <row r="9514" ht="15" customHeight="1">
      <c r="A9514" t="inlineStr">
        <is>
          <t>A 16595-2023</t>
        </is>
      </c>
      <c r="B9514" s="1" t="n">
        <v>45030</v>
      </c>
      <c r="C9514" s="1" t="n">
        <v>45810</v>
      </c>
      <c r="D9514" t="inlineStr">
        <is>
          <t>VÄRMLANDS LÄN</t>
        </is>
      </c>
      <c r="E9514" t="inlineStr">
        <is>
          <t>ARVIKA</t>
        </is>
      </c>
      <c r="G9514" t="n">
        <v>0.9</v>
      </c>
      <c r="H9514" t="n">
        <v>0</v>
      </c>
      <c r="I9514" t="n">
        <v>0</v>
      </c>
      <c r="J9514" t="n">
        <v>0</v>
      </c>
      <c r="K9514" t="n">
        <v>0</v>
      </c>
      <c r="L9514" t="n">
        <v>0</v>
      </c>
      <c r="M9514" t="n">
        <v>0</v>
      </c>
      <c r="N9514" t="n">
        <v>0</v>
      </c>
      <c r="O9514" t="n">
        <v>0</v>
      </c>
      <c r="P9514" t="n">
        <v>0</v>
      </c>
      <c r="Q9514" t="n">
        <v>0</v>
      </c>
      <c r="R9514" s="2" t="inlineStr"/>
    </row>
    <row r="9515" ht="15" customHeight="1">
      <c r="A9515" t="inlineStr">
        <is>
          <t>A 16626-2023</t>
        </is>
      </c>
      <c r="B9515" s="1" t="n">
        <v>45030</v>
      </c>
      <c r="C9515" s="1" t="n">
        <v>45810</v>
      </c>
      <c r="D9515" t="inlineStr">
        <is>
          <t>VÄRMLANDS LÄN</t>
        </is>
      </c>
      <c r="E9515" t="inlineStr">
        <is>
          <t>ARVIKA</t>
        </is>
      </c>
      <c r="F9515" t="inlineStr">
        <is>
          <t>Bergvik skog väst AB</t>
        </is>
      </c>
      <c r="G9515" t="n">
        <v>1.3</v>
      </c>
      <c r="H9515" t="n">
        <v>0</v>
      </c>
      <c r="I9515" t="n">
        <v>0</v>
      </c>
      <c r="J9515" t="n">
        <v>0</v>
      </c>
      <c r="K9515" t="n">
        <v>0</v>
      </c>
      <c r="L9515" t="n">
        <v>0</v>
      </c>
      <c r="M9515" t="n">
        <v>0</v>
      </c>
      <c r="N9515" t="n">
        <v>0</v>
      </c>
      <c r="O9515" t="n">
        <v>0</v>
      </c>
      <c r="P9515" t="n">
        <v>0</v>
      </c>
      <c r="Q9515" t="n">
        <v>0</v>
      </c>
      <c r="R9515" s="2" t="inlineStr"/>
    </row>
    <row r="9516" ht="15" customHeight="1">
      <c r="A9516" t="inlineStr">
        <is>
          <t>A 16636-2023</t>
        </is>
      </c>
      <c r="B9516" s="1" t="n">
        <v>45030</v>
      </c>
      <c r="C9516" s="1" t="n">
        <v>45810</v>
      </c>
      <c r="D9516" t="inlineStr">
        <is>
          <t>VÄRMLANDS LÄN</t>
        </is>
      </c>
      <c r="E9516" t="inlineStr">
        <is>
          <t>ÅRJÄNG</t>
        </is>
      </c>
      <c r="G9516" t="n">
        <v>4.4</v>
      </c>
      <c r="H9516" t="n">
        <v>0</v>
      </c>
      <c r="I9516" t="n">
        <v>0</v>
      </c>
      <c r="J9516" t="n">
        <v>0</v>
      </c>
      <c r="K9516" t="n">
        <v>0</v>
      </c>
      <c r="L9516" t="n">
        <v>0</v>
      </c>
      <c r="M9516" t="n">
        <v>0</v>
      </c>
      <c r="N9516" t="n">
        <v>0</v>
      </c>
      <c r="O9516" t="n">
        <v>0</v>
      </c>
      <c r="P9516" t="n">
        <v>0</v>
      </c>
      <c r="Q9516" t="n">
        <v>0</v>
      </c>
      <c r="R9516" s="2" t="inlineStr"/>
    </row>
    <row r="9517" ht="15" customHeight="1">
      <c r="A9517" t="inlineStr">
        <is>
          <t>A 16650-2023</t>
        </is>
      </c>
      <c r="B9517" s="1" t="n">
        <v>45030</v>
      </c>
      <c r="C9517" s="1" t="n">
        <v>45810</v>
      </c>
      <c r="D9517" t="inlineStr">
        <is>
          <t>VÄRMLANDS LÄN</t>
        </is>
      </c>
      <c r="E9517" t="inlineStr">
        <is>
          <t>ARVIKA</t>
        </is>
      </c>
      <c r="F9517" t="inlineStr">
        <is>
          <t>Bergvik skog väst AB</t>
        </is>
      </c>
      <c r="G9517" t="n">
        <v>4.5</v>
      </c>
      <c r="H9517" t="n">
        <v>0</v>
      </c>
      <c r="I9517" t="n">
        <v>0</v>
      </c>
      <c r="J9517" t="n">
        <v>0</v>
      </c>
      <c r="K9517" t="n">
        <v>0</v>
      </c>
      <c r="L9517" t="n">
        <v>0</v>
      </c>
      <c r="M9517" t="n">
        <v>0</v>
      </c>
      <c r="N9517" t="n">
        <v>0</v>
      </c>
      <c r="O9517" t="n">
        <v>0</v>
      </c>
      <c r="P9517" t="n">
        <v>0</v>
      </c>
      <c r="Q9517" t="n">
        <v>0</v>
      </c>
      <c r="R9517" s="2" t="inlineStr"/>
    </row>
    <row r="9518" ht="15" customHeight="1">
      <c r="A9518" t="inlineStr">
        <is>
          <t>A 16730-2023</t>
        </is>
      </c>
      <c r="B9518" s="1" t="n">
        <v>45030</v>
      </c>
      <c r="C9518" s="1" t="n">
        <v>45810</v>
      </c>
      <c r="D9518" t="inlineStr">
        <is>
          <t>VÄRMLANDS LÄN</t>
        </is>
      </c>
      <c r="E9518" t="inlineStr">
        <is>
          <t>EDA</t>
        </is>
      </c>
      <c r="G9518" t="n">
        <v>2.7</v>
      </c>
      <c r="H9518" t="n">
        <v>0</v>
      </c>
      <c r="I9518" t="n">
        <v>0</v>
      </c>
      <c r="J9518" t="n">
        <v>0</v>
      </c>
      <c r="K9518" t="n">
        <v>0</v>
      </c>
      <c r="L9518" t="n">
        <v>0</v>
      </c>
      <c r="M9518" t="n">
        <v>0</v>
      </c>
      <c r="N9518" t="n">
        <v>0</v>
      </c>
      <c r="O9518" t="n">
        <v>0</v>
      </c>
      <c r="P9518" t="n">
        <v>0</v>
      </c>
      <c r="Q9518" t="n">
        <v>0</v>
      </c>
      <c r="R9518" s="2" t="inlineStr"/>
    </row>
    <row r="9519" ht="15" customHeight="1">
      <c r="A9519" t="inlineStr">
        <is>
          <t>A 16596-2023</t>
        </is>
      </c>
      <c r="B9519" s="1" t="n">
        <v>45030</v>
      </c>
      <c r="C9519" s="1" t="n">
        <v>45810</v>
      </c>
      <c r="D9519" t="inlineStr">
        <is>
          <t>VÄRMLANDS LÄN</t>
        </is>
      </c>
      <c r="E9519" t="inlineStr">
        <is>
          <t>KIL</t>
        </is>
      </c>
      <c r="G9519" t="n">
        <v>4.5</v>
      </c>
      <c r="H9519" t="n">
        <v>0</v>
      </c>
      <c r="I9519" t="n">
        <v>0</v>
      </c>
      <c r="J9519" t="n">
        <v>0</v>
      </c>
      <c r="K9519" t="n">
        <v>0</v>
      </c>
      <c r="L9519" t="n">
        <v>0</v>
      </c>
      <c r="M9519" t="n">
        <v>0</v>
      </c>
      <c r="N9519" t="n">
        <v>0</v>
      </c>
      <c r="O9519" t="n">
        <v>0</v>
      </c>
      <c r="P9519" t="n">
        <v>0</v>
      </c>
      <c r="Q9519" t="n">
        <v>0</v>
      </c>
      <c r="R9519" s="2" t="inlineStr"/>
    </row>
    <row r="9520" ht="15" customHeight="1">
      <c r="A9520" t="inlineStr">
        <is>
          <t>A 16601-2023</t>
        </is>
      </c>
      <c r="B9520" s="1" t="n">
        <v>45030</v>
      </c>
      <c r="C9520" s="1" t="n">
        <v>45810</v>
      </c>
      <c r="D9520" t="inlineStr">
        <is>
          <t>VÄRMLANDS LÄN</t>
        </is>
      </c>
      <c r="E9520" t="inlineStr">
        <is>
          <t>ARVIKA</t>
        </is>
      </c>
      <c r="G9520" t="n">
        <v>1.2</v>
      </c>
      <c r="H9520" t="n">
        <v>0</v>
      </c>
      <c r="I9520" t="n">
        <v>0</v>
      </c>
      <c r="J9520" t="n">
        <v>0</v>
      </c>
      <c r="K9520" t="n">
        <v>0</v>
      </c>
      <c r="L9520" t="n">
        <v>0</v>
      </c>
      <c r="M9520" t="n">
        <v>0</v>
      </c>
      <c r="N9520" t="n">
        <v>0</v>
      </c>
      <c r="O9520" t="n">
        <v>0</v>
      </c>
      <c r="P9520" t="n">
        <v>0</v>
      </c>
      <c r="Q9520" t="n">
        <v>0</v>
      </c>
      <c r="R9520" s="2" t="inlineStr"/>
    </row>
    <row r="9521" ht="15" customHeight="1">
      <c r="A9521" t="inlineStr">
        <is>
          <t>A 16641-2023</t>
        </is>
      </c>
      <c r="B9521" s="1" t="n">
        <v>45030</v>
      </c>
      <c r="C9521" s="1" t="n">
        <v>45810</v>
      </c>
      <c r="D9521" t="inlineStr">
        <is>
          <t>VÄRMLANDS LÄN</t>
        </is>
      </c>
      <c r="E9521" t="inlineStr">
        <is>
          <t>ARVIKA</t>
        </is>
      </c>
      <c r="F9521" t="inlineStr">
        <is>
          <t>Bergvik skog väst AB</t>
        </is>
      </c>
      <c r="G9521" t="n">
        <v>8.9</v>
      </c>
      <c r="H9521" t="n">
        <v>0</v>
      </c>
      <c r="I9521" t="n">
        <v>0</v>
      </c>
      <c r="J9521" t="n">
        <v>0</v>
      </c>
      <c r="K9521" t="n">
        <v>0</v>
      </c>
      <c r="L9521" t="n">
        <v>0</v>
      </c>
      <c r="M9521" t="n">
        <v>0</v>
      </c>
      <c r="N9521" t="n">
        <v>0</v>
      </c>
      <c r="O9521" t="n">
        <v>0</v>
      </c>
      <c r="P9521" t="n">
        <v>0</v>
      </c>
      <c r="Q9521" t="n">
        <v>0</v>
      </c>
      <c r="R9521" s="2" t="inlineStr"/>
    </row>
    <row r="9522" ht="15" customHeight="1">
      <c r="A9522" t="inlineStr">
        <is>
          <t>A 16647-2023</t>
        </is>
      </c>
      <c r="B9522" s="1" t="n">
        <v>45030</v>
      </c>
      <c r="C9522" s="1" t="n">
        <v>45810</v>
      </c>
      <c r="D9522" t="inlineStr">
        <is>
          <t>VÄRMLANDS LÄN</t>
        </is>
      </c>
      <c r="E9522" t="inlineStr">
        <is>
          <t>ARVIKA</t>
        </is>
      </c>
      <c r="F9522" t="inlineStr">
        <is>
          <t>Bergvik skog väst AB</t>
        </is>
      </c>
      <c r="G9522" t="n">
        <v>4.5</v>
      </c>
      <c r="H9522" t="n">
        <v>0</v>
      </c>
      <c r="I9522" t="n">
        <v>0</v>
      </c>
      <c r="J9522" t="n">
        <v>0</v>
      </c>
      <c r="K9522" t="n">
        <v>0</v>
      </c>
      <c r="L9522" t="n">
        <v>0</v>
      </c>
      <c r="M9522" t="n">
        <v>0</v>
      </c>
      <c r="N9522" t="n">
        <v>0</v>
      </c>
      <c r="O9522" t="n">
        <v>0</v>
      </c>
      <c r="P9522" t="n">
        <v>0</v>
      </c>
      <c r="Q9522" t="n">
        <v>0</v>
      </c>
      <c r="R9522" s="2" t="inlineStr"/>
    </row>
    <row r="9523" ht="15" customHeight="1">
      <c r="A9523" t="inlineStr">
        <is>
          <t>A 16674-2023</t>
        </is>
      </c>
      <c r="B9523" s="1" t="n">
        <v>45030</v>
      </c>
      <c r="C9523" s="1" t="n">
        <v>45810</v>
      </c>
      <c r="D9523" t="inlineStr">
        <is>
          <t>VÄRMLANDS LÄN</t>
        </is>
      </c>
      <c r="E9523" t="inlineStr">
        <is>
          <t>ARVIKA</t>
        </is>
      </c>
      <c r="F9523" t="inlineStr">
        <is>
          <t>Bergvik skog väst AB</t>
        </is>
      </c>
      <c r="G9523" t="n">
        <v>0.6</v>
      </c>
      <c r="H9523" t="n">
        <v>0</v>
      </c>
      <c r="I9523" t="n">
        <v>0</v>
      </c>
      <c r="J9523" t="n">
        <v>0</v>
      </c>
      <c r="K9523" t="n">
        <v>0</v>
      </c>
      <c r="L9523" t="n">
        <v>0</v>
      </c>
      <c r="M9523" t="n">
        <v>0</v>
      </c>
      <c r="N9523" t="n">
        <v>0</v>
      </c>
      <c r="O9523" t="n">
        <v>0</v>
      </c>
      <c r="P9523" t="n">
        <v>0</v>
      </c>
      <c r="Q9523" t="n">
        <v>0</v>
      </c>
      <c r="R9523" s="2" t="inlineStr"/>
    </row>
    <row r="9524" ht="15" customHeight="1">
      <c r="A9524" t="inlineStr">
        <is>
          <t>A 16597-2023</t>
        </is>
      </c>
      <c r="B9524" s="1" t="n">
        <v>45030</v>
      </c>
      <c r="C9524" s="1" t="n">
        <v>45810</v>
      </c>
      <c r="D9524" t="inlineStr">
        <is>
          <t>VÄRMLANDS LÄN</t>
        </is>
      </c>
      <c r="E9524" t="inlineStr">
        <is>
          <t>ARVIKA</t>
        </is>
      </c>
      <c r="G9524" t="n">
        <v>1</v>
      </c>
      <c r="H9524" t="n">
        <v>0</v>
      </c>
      <c r="I9524" t="n">
        <v>0</v>
      </c>
      <c r="J9524" t="n">
        <v>0</v>
      </c>
      <c r="K9524" t="n">
        <v>0</v>
      </c>
      <c r="L9524" t="n">
        <v>0</v>
      </c>
      <c r="M9524" t="n">
        <v>0</v>
      </c>
      <c r="N9524" t="n">
        <v>0</v>
      </c>
      <c r="O9524" t="n">
        <v>0</v>
      </c>
      <c r="P9524" t="n">
        <v>0</v>
      </c>
      <c r="Q9524" t="n">
        <v>0</v>
      </c>
      <c r="R9524" s="2" t="inlineStr"/>
    </row>
    <row r="9525" ht="15" customHeight="1">
      <c r="A9525" t="inlineStr">
        <is>
          <t>A 16679-2023</t>
        </is>
      </c>
      <c r="B9525" s="1" t="n">
        <v>45030</v>
      </c>
      <c r="C9525" s="1" t="n">
        <v>45810</v>
      </c>
      <c r="D9525" t="inlineStr">
        <is>
          <t>VÄRMLANDS LÄN</t>
        </is>
      </c>
      <c r="E9525" t="inlineStr">
        <is>
          <t>HAGFORS</t>
        </is>
      </c>
      <c r="F9525" t="inlineStr">
        <is>
          <t>Bergvik skog väst AB</t>
        </is>
      </c>
      <c r="G9525" t="n">
        <v>3.9</v>
      </c>
      <c r="H9525" t="n">
        <v>0</v>
      </c>
      <c r="I9525" t="n">
        <v>0</v>
      </c>
      <c r="J9525" t="n">
        <v>0</v>
      </c>
      <c r="K9525" t="n">
        <v>0</v>
      </c>
      <c r="L9525" t="n">
        <v>0</v>
      </c>
      <c r="M9525" t="n">
        <v>0</v>
      </c>
      <c r="N9525" t="n">
        <v>0</v>
      </c>
      <c r="O9525" t="n">
        <v>0</v>
      </c>
      <c r="P9525" t="n">
        <v>0</v>
      </c>
      <c r="Q9525" t="n">
        <v>0</v>
      </c>
      <c r="R9525" s="2" t="inlineStr"/>
    </row>
    <row r="9526" ht="15" customHeight="1">
      <c r="A9526" t="inlineStr">
        <is>
          <t>A 16724-2023</t>
        </is>
      </c>
      <c r="B9526" s="1" t="n">
        <v>45030</v>
      </c>
      <c r="C9526" s="1" t="n">
        <v>45810</v>
      </c>
      <c r="D9526" t="inlineStr">
        <is>
          <t>VÄRMLANDS LÄN</t>
        </is>
      </c>
      <c r="E9526" t="inlineStr">
        <is>
          <t>HAGFORS</t>
        </is>
      </c>
      <c r="G9526" t="n">
        <v>1.6</v>
      </c>
      <c r="H9526" t="n">
        <v>0</v>
      </c>
      <c r="I9526" t="n">
        <v>0</v>
      </c>
      <c r="J9526" t="n">
        <v>0</v>
      </c>
      <c r="K9526" t="n">
        <v>0</v>
      </c>
      <c r="L9526" t="n">
        <v>0</v>
      </c>
      <c r="M9526" t="n">
        <v>0</v>
      </c>
      <c r="N9526" t="n">
        <v>0</v>
      </c>
      <c r="O9526" t="n">
        <v>0</v>
      </c>
      <c r="P9526" t="n">
        <v>0</v>
      </c>
      <c r="Q9526" t="n">
        <v>0</v>
      </c>
      <c r="R9526" s="2" t="inlineStr"/>
    </row>
    <row r="9527" ht="15" customHeight="1">
      <c r="A9527" t="inlineStr">
        <is>
          <t>A 17015-2023</t>
        </is>
      </c>
      <c r="B9527" s="1" t="n">
        <v>45030</v>
      </c>
      <c r="C9527" s="1" t="n">
        <v>45810</v>
      </c>
      <c r="D9527" t="inlineStr">
        <is>
          <t>VÄRMLANDS LÄN</t>
        </is>
      </c>
      <c r="E9527" t="inlineStr">
        <is>
          <t>ÅRJÄNG</t>
        </is>
      </c>
      <c r="F9527" t="inlineStr">
        <is>
          <t>Övriga Aktiebolag</t>
        </is>
      </c>
      <c r="G9527" t="n">
        <v>13.9</v>
      </c>
      <c r="H9527" t="n">
        <v>0</v>
      </c>
      <c r="I9527" t="n">
        <v>0</v>
      </c>
      <c r="J9527" t="n">
        <v>0</v>
      </c>
      <c r="K9527" t="n">
        <v>0</v>
      </c>
      <c r="L9527" t="n">
        <v>0</v>
      </c>
      <c r="M9527" t="n">
        <v>0</v>
      </c>
      <c r="N9527" t="n">
        <v>0</v>
      </c>
      <c r="O9527" t="n">
        <v>0</v>
      </c>
      <c r="P9527" t="n">
        <v>0</v>
      </c>
      <c r="Q9527" t="n">
        <v>0</v>
      </c>
      <c r="R9527" s="2" t="inlineStr"/>
    </row>
    <row r="9528" ht="15" customHeight="1">
      <c r="A9528" t="inlineStr">
        <is>
          <t>A 16633-2023</t>
        </is>
      </c>
      <c r="B9528" s="1" t="n">
        <v>45030</v>
      </c>
      <c r="C9528" s="1" t="n">
        <v>45810</v>
      </c>
      <c r="D9528" t="inlineStr">
        <is>
          <t>VÄRMLANDS LÄN</t>
        </is>
      </c>
      <c r="E9528" t="inlineStr">
        <is>
          <t>SUNNE</t>
        </is>
      </c>
      <c r="F9528" t="inlineStr">
        <is>
          <t>Övriga statliga verk och myndigheter</t>
        </is>
      </c>
      <c r="G9528" t="n">
        <v>2</v>
      </c>
      <c r="H9528" t="n">
        <v>0</v>
      </c>
      <c r="I9528" t="n">
        <v>0</v>
      </c>
      <c r="J9528" t="n">
        <v>0</v>
      </c>
      <c r="K9528" t="n">
        <v>0</v>
      </c>
      <c r="L9528" t="n">
        <v>0</v>
      </c>
      <c r="M9528" t="n">
        <v>0</v>
      </c>
      <c r="N9528" t="n">
        <v>0</v>
      </c>
      <c r="O9528" t="n">
        <v>0</v>
      </c>
      <c r="P9528" t="n">
        <v>0</v>
      </c>
      <c r="Q9528" t="n">
        <v>0</v>
      </c>
      <c r="R9528" s="2" t="inlineStr"/>
    </row>
    <row r="9529" ht="15" customHeight="1">
      <c r="A9529" t="inlineStr">
        <is>
          <t>A 16657-2023</t>
        </is>
      </c>
      <c r="B9529" s="1" t="n">
        <v>45030</v>
      </c>
      <c r="C9529" s="1" t="n">
        <v>45810</v>
      </c>
      <c r="D9529" t="inlineStr">
        <is>
          <t>VÄRMLANDS LÄN</t>
        </is>
      </c>
      <c r="E9529" t="inlineStr">
        <is>
          <t>SUNNE</t>
        </is>
      </c>
      <c r="F9529" t="inlineStr">
        <is>
          <t>Bergvik skog väst AB</t>
        </is>
      </c>
      <c r="G9529" t="n">
        <v>1.5</v>
      </c>
      <c r="H9529" t="n">
        <v>0</v>
      </c>
      <c r="I9529" t="n">
        <v>0</v>
      </c>
      <c r="J9529" t="n">
        <v>0</v>
      </c>
      <c r="K9529" t="n">
        <v>0</v>
      </c>
      <c r="L9529" t="n">
        <v>0</v>
      </c>
      <c r="M9529" t="n">
        <v>0</v>
      </c>
      <c r="N9529" t="n">
        <v>0</v>
      </c>
      <c r="O9529" t="n">
        <v>0</v>
      </c>
      <c r="P9529" t="n">
        <v>0</v>
      </c>
      <c r="Q9529" t="n">
        <v>0</v>
      </c>
      <c r="R9529" s="2" t="inlineStr"/>
    </row>
    <row r="9530" ht="15" customHeight="1">
      <c r="A9530" t="inlineStr">
        <is>
          <t>A 16809-2023</t>
        </is>
      </c>
      <c r="B9530" s="1" t="n">
        <v>45033</v>
      </c>
      <c r="C9530" s="1" t="n">
        <v>45810</v>
      </c>
      <c r="D9530" t="inlineStr">
        <is>
          <t>VÄRMLANDS LÄN</t>
        </is>
      </c>
      <c r="E9530" t="inlineStr">
        <is>
          <t>ARVIKA</t>
        </is>
      </c>
      <c r="G9530" t="n">
        <v>1</v>
      </c>
      <c r="H9530" t="n">
        <v>0</v>
      </c>
      <c r="I9530" t="n">
        <v>0</v>
      </c>
      <c r="J9530" t="n">
        <v>0</v>
      </c>
      <c r="K9530" t="n">
        <v>0</v>
      </c>
      <c r="L9530" t="n">
        <v>0</v>
      </c>
      <c r="M9530" t="n">
        <v>0</v>
      </c>
      <c r="N9530" t="n">
        <v>0</v>
      </c>
      <c r="O9530" t="n">
        <v>0</v>
      </c>
      <c r="P9530" t="n">
        <v>0</v>
      </c>
      <c r="Q9530" t="n">
        <v>0</v>
      </c>
      <c r="R9530" s="2" t="inlineStr"/>
    </row>
    <row r="9531" ht="15" customHeight="1">
      <c r="A9531" t="inlineStr">
        <is>
          <t>A 16856-2023</t>
        </is>
      </c>
      <c r="B9531" s="1" t="n">
        <v>45033</v>
      </c>
      <c r="C9531" s="1" t="n">
        <v>45810</v>
      </c>
      <c r="D9531" t="inlineStr">
        <is>
          <t>VÄRMLANDS LÄN</t>
        </is>
      </c>
      <c r="E9531" t="inlineStr">
        <is>
          <t>ARVIKA</t>
        </is>
      </c>
      <c r="G9531" t="n">
        <v>2.7</v>
      </c>
      <c r="H9531" t="n">
        <v>0</v>
      </c>
      <c r="I9531" t="n">
        <v>0</v>
      </c>
      <c r="J9531" t="n">
        <v>0</v>
      </c>
      <c r="K9531" t="n">
        <v>0</v>
      </c>
      <c r="L9531" t="n">
        <v>0</v>
      </c>
      <c r="M9531" t="n">
        <v>0</v>
      </c>
      <c r="N9531" t="n">
        <v>0</v>
      </c>
      <c r="O9531" t="n">
        <v>0</v>
      </c>
      <c r="P9531" t="n">
        <v>0</v>
      </c>
      <c r="Q9531" t="n">
        <v>0</v>
      </c>
      <c r="R9531" s="2" t="inlineStr"/>
    </row>
    <row r="9532" ht="15" customHeight="1">
      <c r="A9532" t="inlineStr">
        <is>
          <t>A 16919-2023</t>
        </is>
      </c>
      <c r="B9532" s="1" t="n">
        <v>45033</v>
      </c>
      <c r="C9532" s="1" t="n">
        <v>45810</v>
      </c>
      <c r="D9532" t="inlineStr">
        <is>
          <t>VÄRMLANDS LÄN</t>
        </is>
      </c>
      <c r="E9532" t="inlineStr">
        <is>
          <t>TORSBY</t>
        </is>
      </c>
      <c r="G9532" t="n">
        <v>1.6</v>
      </c>
      <c r="H9532" t="n">
        <v>0</v>
      </c>
      <c r="I9532" t="n">
        <v>0</v>
      </c>
      <c r="J9532" t="n">
        <v>0</v>
      </c>
      <c r="K9532" t="n">
        <v>0</v>
      </c>
      <c r="L9532" t="n">
        <v>0</v>
      </c>
      <c r="M9532" t="n">
        <v>0</v>
      </c>
      <c r="N9532" t="n">
        <v>0</v>
      </c>
      <c r="O9532" t="n">
        <v>0</v>
      </c>
      <c r="P9532" t="n">
        <v>0</v>
      </c>
      <c r="Q9532" t="n">
        <v>0</v>
      </c>
      <c r="R9532" s="2" t="inlineStr"/>
    </row>
    <row r="9533" ht="15" customHeight="1">
      <c r="A9533" t="inlineStr">
        <is>
          <t>A 16925-2023</t>
        </is>
      </c>
      <c r="B9533" s="1" t="n">
        <v>45033</v>
      </c>
      <c r="C9533" s="1" t="n">
        <v>45810</v>
      </c>
      <c r="D9533" t="inlineStr">
        <is>
          <t>VÄRMLANDS LÄN</t>
        </is>
      </c>
      <c r="E9533" t="inlineStr">
        <is>
          <t>HAGFORS</t>
        </is>
      </c>
      <c r="F9533" t="inlineStr">
        <is>
          <t>Bergvik skog väst AB</t>
        </is>
      </c>
      <c r="G9533" t="n">
        <v>8</v>
      </c>
      <c r="H9533" t="n">
        <v>0</v>
      </c>
      <c r="I9533" t="n">
        <v>0</v>
      </c>
      <c r="J9533" t="n">
        <v>0</v>
      </c>
      <c r="K9533" t="n">
        <v>0</v>
      </c>
      <c r="L9533" t="n">
        <v>0</v>
      </c>
      <c r="M9533" t="n">
        <v>0</v>
      </c>
      <c r="N9533" t="n">
        <v>0</v>
      </c>
      <c r="O9533" t="n">
        <v>0</v>
      </c>
      <c r="P9533" t="n">
        <v>0</v>
      </c>
      <c r="Q9533" t="n">
        <v>0</v>
      </c>
      <c r="R9533" s="2" t="inlineStr"/>
    </row>
    <row r="9534" ht="15" customHeight="1">
      <c r="A9534" t="inlineStr">
        <is>
          <t>A 16947-2023</t>
        </is>
      </c>
      <c r="B9534" s="1" t="n">
        <v>45033</v>
      </c>
      <c r="C9534" s="1" t="n">
        <v>45810</v>
      </c>
      <c r="D9534" t="inlineStr">
        <is>
          <t>VÄRMLANDS LÄN</t>
        </is>
      </c>
      <c r="E9534" t="inlineStr">
        <is>
          <t>KRISTINEHAMN</t>
        </is>
      </c>
      <c r="G9534" t="n">
        <v>1.5</v>
      </c>
      <c r="H9534" t="n">
        <v>0</v>
      </c>
      <c r="I9534" t="n">
        <v>0</v>
      </c>
      <c r="J9534" t="n">
        <v>0</v>
      </c>
      <c r="K9534" t="n">
        <v>0</v>
      </c>
      <c r="L9534" t="n">
        <v>0</v>
      </c>
      <c r="M9534" t="n">
        <v>0</v>
      </c>
      <c r="N9534" t="n">
        <v>0</v>
      </c>
      <c r="O9534" t="n">
        <v>0</v>
      </c>
      <c r="P9534" t="n">
        <v>0</v>
      </c>
      <c r="Q9534" t="n">
        <v>0</v>
      </c>
      <c r="R9534" s="2" t="inlineStr"/>
    </row>
    <row r="9535" ht="15" customHeight="1">
      <c r="A9535" t="inlineStr">
        <is>
          <t>A 16814-2023</t>
        </is>
      </c>
      <c r="B9535" s="1" t="n">
        <v>45033</v>
      </c>
      <c r="C9535" s="1" t="n">
        <v>45810</v>
      </c>
      <c r="D9535" t="inlineStr">
        <is>
          <t>VÄRMLANDS LÄN</t>
        </is>
      </c>
      <c r="E9535" t="inlineStr">
        <is>
          <t>HAGFORS</t>
        </is>
      </c>
      <c r="F9535" t="inlineStr">
        <is>
          <t>Bergvik skog väst AB</t>
        </is>
      </c>
      <c r="G9535" t="n">
        <v>2.7</v>
      </c>
      <c r="H9535" t="n">
        <v>0</v>
      </c>
      <c r="I9535" t="n">
        <v>0</v>
      </c>
      <c r="J9535" t="n">
        <v>0</v>
      </c>
      <c r="K9535" t="n">
        <v>0</v>
      </c>
      <c r="L9535" t="n">
        <v>0</v>
      </c>
      <c r="M9535" t="n">
        <v>0</v>
      </c>
      <c r="N9535" t="n">
        <v>0</v>
      </c>
      <c r="O9535" t="n">
        <v>0</v>
      </c>
      <c r="P9535" t="n">
        <v>0</v>
      </c>
      <c r="Q9535" t="n">
        <v>0</v>
      </c>
      <c r="R9535" s="2" t="inlineStr"/>
    </row>
    <row r="9536" ht="15" customHeight="1">
      <c r="A9536" t="inlineStr">
        <is>
          <t>A 16824-2023</t>
        </is>
      </c>
      <c r="B9536" s="1" t="n">
        <v>45033</v>
      </c>
      <c r="C9536" s="1" t="n">
        <v>45810</v>
      </c>
      <c r="D9536" t="inlineStr">
        <is>
          <t>VÄRMLANDS LÄN</t>
        </is>
      </c>
      <c r="E9536" t="inlineStr">
        <is>
          <t>HAGFORS</t>
        </is>
      </c>
      <c r="F9536" t="inlineStr">
        <is>
          <t>Bergvik skog väst AB</t>
        </is>
      </c>
      <c r="G9536" t="n">
        <v>2.1</v>
      </c>
      <c r="H9536" t="n">
        <v>0</v>
      </c>
      <c r="I9536" t="n">
        <v>0</v>
      </c>
      <c r="J9536" t="n">
        <v>0</v>
      </c>
      <c r="K9536" t="n">
        <v>0</v>
      </c>
      <c r="L9536" t="n">
        <v>0</v>
      </c>
      <c r="M9536" t="n">
        <v>0</v>
      </c>
      <c r="N9536" t="n">
        <v>0</v>
      </c>
      <c r="O9536" t="n">
        <v>0</v>
      </c>
      <c r="P9536" t="n">
        <v>0</v>
      </c>
      <c r="Q9536" t="n">
        <v>0</v>
      </c>
      <c r="R9536" s="2" t="inlineStr"/>
    </row>
    <row r="9537" ht="15" customHeight="1">
      <c r="A9537" t="inlineStr">
        <is>
          <t>A 16836-2023</t>
        </is>
      </c>
      <c r="B9537" s="1" t="n">
        <v>45033</v>
      </c>
      <c r="C9537" s="1" t="n">
        <v>45810</v>
      </c>
      <c r="D9537" t="inlineStr">
        <is>
          <t>VÄRMLANDS LÄN</t>
        </is>
      </c>
      <c r="E9537" t="inlineStr">
        <is>
          <t>ARVIKA</t>
        </is>
      </c>
      <c r="F9537" t="inlineStr">
        <is>
          <t>Bergvik skog väst AB</t>
        </is>
      </c>
      <c r="G9537" t="n">
        <v>2.9</v>
      </c>
      <c r="H9537" t="n">
        <v>0</v>
      </c>
      <c r="I9537" t="n">
        <v>0</v>
      </c>
      <c r="J9537" t="n">
        <v>0</v>
      </c>
      <c r="K9537" t="n">
        <v>0</v>
      </c>
      <c r="L9537" t="n">
        <v>0</v>
      </c>
      <c r="M9537" t="n">
        <v>0</v>
      </c>
      <c r="N9537" t="n">
        <v>0</v>
      </c>
      <c r="O9537" t="n">
        <v>0</v>
      </c>
      <c r="P9537" t="n">
        <v>0</v>
      </c>
      <c r="Q9537" t="n">
        <v>0</v>
      </c>
      <c r="R9537" s="2" t="inlineStr"/>
    </row>
    <row r="9538" ht="15" customHeight="1">
      <c r="A9538" t="inlineStr">
        <is>
          <t>A 16857-2023</t>
        </is>
      </c>
      <c r="B9538" s="1" t="n">
        <v>45033</v>
      </c>
      <c r="C9538" s="1" t="n">
        <v>45810</v>
      </c>
      <c r="D9538" t="inlineStr">
        <is>
          <t>VÄRMLANDS LÄN</t>
        </is>
      </c>
      <c r="E9538" t="inlineStr">
        <is>
          <t>SUNNE</t>
        </is>
      </c>
      <c r="G9538" t="n">
        <v>2.2</v>
      </c>
      <c r="H9538" t="n">
        <v>0</v>
      </c>
      <c r="I9538" t="n">
        <v>0</v>
      </c>
      <c r="J9538" t="n">
        <v>0</v>
      </c>
      <c r="K9538" t="n">
        <v>0</v>
      </c>
      <c r="L9538" t="n">
        <v>0</v>
      </c>
      <c r="M9538" t="n">
        <v>0</v>
      </c>
      <c r="N9538" t="n">
        <v>0</v>
      </c>
      <c r="O9538" t="n">
        <v>0</v>
      </c>
      <c r="P9538" t="n">
        <v>0</v>
      </c>
      <c r="Q9538" t="n">
        <v>0</v>
      </c>
      <c r="R9538" s="2" t="inlineStr"/>
    </row>
    <row r="9539" ht="15" customHeight="1">
      <c r="A9539" t="inlineStr">
        <is>
          <t>A 16862-2023</t>
        </is>
      </c>
      <c r="B9539" s="1" t="n">
        <v>45033</v>
      </c>
      <c r="C9539" s="1" t="n">
        <v>45810</v>
      </c>
      <c r="D9539" t="inlineStr">
        <is>
          <t>VÄRMLANDS LÄN</t>
        </is>
      </c>
      <c r="E9539" t="inlineStr">
        <is>
          <t>SÄFFLE</t>
        </is>
      </c>
      <c r="G9539" t="n">
        <v>1</v>
      </c>
      <c r="H9539" t="n">
        <v>0</v>
      </c>
      <c r="I9539" t="n">
        <v>0</v>
      </c>
      <c r="J9539" t="n">
        <v>0</v>
      </c>
      <c r="K9539" t="n">
        <v>0</v>
      </c>
      <c r="L9539" t="n">
        <v>0</v>
      </c>
      <c r="M9539" t="n">
        <v>0</v>
      </c>
      <c r="N9539" t="n">
        <v>0</v>
      </c>
      <c r="O9539" t="n">
        <v>0</v>
      </c>
      <c r="P9539" t="n">
        <v>0</v>
      </c>
      <c r="Q9539" t="n">
        <v>0</v>
      </c>
      <c r="R9539" s="2" t="inlineStr"/>
    </row>
    <row r="9540" ht="15" customHeight="1">
      <c r="A9540" t="inlineStr">
        <is>
          <t>A 16872-2023</t>
        </is>
      </c>
      <c r="B9540" s="1" t="n">
        <v>45033</v>
      </c>
      <c r="C9540" s="1" t="n">
        <v>45810</v>
      </c>
      <c r="D9540" t="inlineStr">
        <is>
          <t>VÄRMLANDS LÄN</t>
        </is>
      </c>
      <c r="E9540" t="inlineStr">
        <is>
          <t>SUNNE</t>
        </is>
      </c>
      <c r="G9540" t="n">
        <v>0.6</v>
      </c>
      <c r="H9540" t="n">
        <v>0</v>
      </c>
      <c r="I9540" t="n">
        <v>0</v>
      </c>
      <c r="J9540" t="n">
        <v>0</v>
      </c>
      <c r="K9540" t="n">
        <v>0</v>
      </c>
      <c r="L9540" t="n">
        <v>0</v>
      </c>
      <c r="M9540" t="n">
        <v>0</v>
      </c>
      <c r="N9540" t="n">
        <v>0</v>
      </c>
      <c r="O9540" t="n">
        <v>0</v>
      </c>
      <c r="P9540" t="n">
        <v>0</v>
      </c>
      <c r="Q9540" t="n">
        <v>0</v>
      </c>
      <c r="R9540" s="2" t="inlineStr"/>
    </row>
    <row r="9541" ht="15" customHeight="1">
      <c r="A9541" t="inlineStr">
        <is>
          <t>A 16899-2023</t>
        </is>
      </c>
      <c r="B9541" s="1" t="n">
        <v>45033</v>
      </c>
      <c r="C9541" s="1" t="n">
        <v>45810</v>
      </c>
      <c r="D9541" t="inlineStr">
        <is>
          <t>VÄRMLANDS LÄN</t>
        </is>
      </c>
      <c r="E9541" t="inlineStr">
        <is>
          <t>SÄFFLE</t>
        </is>
      </c>
      <c r="G9541" t="n">
        <v>1.4</v>
      </c>
      <c r="H9541" t="n">
        <v>0</v>
      </c>
      <c r="I9541" t="n">
        <v>0</v>
      </c>
      <c r="J9541" t="n">
        <v>0</v>
      </c>
      <c r="K9541" t="n">
        <v>0</v>
      </c>
      <c r="L9541" t="n">
        <v>0</v>
      </c>
      <c r="M9541" t="n">
        <v>0</v>
      </c>
      <c r="N9541" t="n">
        <v>0</v>
      </c>
      <c r="O9541" t="n">
        <v>0</v>
      </c>
      <c r="P9541" t="n">
        <v>0</v>
      </c>
      <c r="Q9541" t="n">
        <v>0</v>
      </c>
      <c r="R9541" s="2" t="inlineStr"/>
    </row>
    <row r="9542" ht="15" customHeight="1">
      <c r="A9542" t="inlineStr">
        <is>
          <t>A 16945-2023</t>
        </is>
      </c>
      <c r="B9542" s="1" t="n">
        <v>45033</v>
      </c>
      <c r="C9542" s="1" t="n">
        <v>45810</v>
      </c>
      <c r="D9542" t="inlineStr">
        <is>
          <t>VÄRMLANDS LÄN</t>
        </is>
      </c>
      <c r="E9542" t="inlineStr">
        <is>
          <t>TORSBY</t>
        </is>
      </c>
      <c r="G9542" t="n">
        <v>6.4</v>
      </c>
      <c r="H9542" t="n">
        <v>0</v>
      </c>
      <c r="I9542" t="n">
        <v>0</v>
      </c>
      <c r="J9542" t="n">
        <v>0</v>
      </c>
      <c r="K9542" t="n">
        <v>0</v>
      </c>
      <c r="L9542" t="n">
        <v>0</v>
      </c>
      <c r="M9542" t="n">
        <v>0</v>
      </c>
      <c r="N9542" t="n">
        <v>0</v>
      </c>
      <c r="O9542" t="n">
        <v>0</v>
      </c>
      <c r="P9542" t="n">
        <v>0</v>
      </c>
      <c r="Q9542" t="n">
        <v>0</v>
      </c>
      <c r="R9542" s="2" t="inlineStr"/>
    </row>
    <row r="9543" ht="15" customHeight="1">
      <c r="A9543" t="inlineStr">
        <is>
          <t>A 16969-2023</t>
        </is>
      </c>
      <c r="B9543" s="1" t="n">
        <v>45033</v>
      </c>
      <c r="C9543" s="1" t="n">
        <v>45810</v>
      </c>
      <c r="D9543" t="inlineStr">
        <is>
          <t>VÄRMLANDS LÄN</t>
        </is>
      </c>
      <c r="E9543" t="inlineStr">
        <is>
          <t>HAGFORS</t>
        </is>
      </c>
      <c r="F9543" t="inlineStr">
        <is>
          <t>Bergvik skog väst AB</t>
        </is>
      </c>
      <c r="G9543" t="n">
        <v>17.5</v>
      </c>
      <c r="H9543" t="n">
        <v>0</v>
      </c>
      <c r="I9543" t="n">
        <v>0</v>
      </c>
      <c r="J9543" t="n">
        <v>0</v>
      </c>
      <c r="K9543" t="n">
        <v>0</v>
      </c>
      <c r="L9543" t="n">
        <v>0</v>
      </c>
      <c r="M9543" t="n">
        <v>0</v>
      </c>
      <c r="N9543" t="n">
        <v>0</v>
      </c>
      <c r="O9543" t="n">
        <v>0</v>
      </c>
      <c r="P9543" t="n">
        <v>0</v>
      </c>
      <c r="Q9543" t="n">
        <v>0</v>
      </c>
      <c r="R9543" s="2" t="inlineStr"/>
    </row>
    <row r="9544" ht="15" customHeight="1">
      <c r="A9544" t="inlineStr">
        <is>
          <t>A 16896-2023</t>
        </is>
      </c>
      <c r="B9544" s="1" t="n">
        <v>45033</v>
      </c>
      <c r="C9544" s="1" t="n">
        <v>45810</v>
      </c>
      <c r="D9544" t="inlineStr">
        <is>
          <t>VÄRMLANDS LÄN</t>
        </is>
      </c>
      <c r="E9544" t="inlineStr">
        <is>
          <t>SÄFFLE</t>
        </is>
      </c>
      <c r="G9544" t="n">
        <v>0.6</v>
      </c>
      <c r="H9544" t="n">
        <v>0</v>
      </c>
      <c r="I9544" t="n">
        <v>0</v>
      </c>
      <c r="J9544" t="n">
        <v>0</v>
      </c>
      <c r="K9544" t="n">
        <v>0</v>
      </c>
      <c r="L9544" t="n">
        <v>0</v>
      </c>
      <c r="M9544" t="n">
        <v>0</v>
      </c>
      <c r="N9544" t="n">
        <v>0</v>
      </c>
      <c r="O9544" t="n">
        <v>0</v>
      </c>
      <c r="P9544" t="n">
        <v>0</v>
      </c>
      <c r="Q9544" t="n">
        <v>0</v>
      </c>
      <c r="R9544" s="2" t="inlineStr"/>
    </row>
    <row r="9545" ht="15" customHeight="1">
      <c r="A9545" t="inlineStr">
        <is>
          <t>A 16903-2023</t>
        </is>
      </c>
      <c r="B9545" s="1" t="n">
        <v>45033</v>
      </c>
      <c r="C9545" s="1" t="n">
        <v>45810</v>
      </c>
      <c r="D9545" t="inlineStr">
        <is>
          <t>VÄRMLANDS LÄN</t>
        </is>
      </c>
      <c r="E9545" t="inlineStr">
        <is>
          <t>SÄFFLE</t>
        </is>
      </c>
      <c r="G9545" t="n">
        <v>3.1</v>
      </c>
      <c r="H9545" t="n">
        <v>0</v>
      </c>
      <c r="I9545" t="n">
        <v>0</v>
      </c>
      <c r="J9545" t="n">
        <v>0</v>
      </c>
      <c r="K9545" t="n">
        <v>0</v>
      </c>
      <c r="L9545" t="n">
        <v>0</v>
      </c>
      <c r="M9545" t="n">
        <v>0</v>
      </c>
      <c r="N9545" t="n">
        <v>0</v>
      </c>
      <c r="O9545" t="n">
        <v>0</v>
      </c>
      <c r="P9545" t="n">
        <v>0</v>
      </c>
      <c r="Q9545" t="n">
        <v>0</v>
      </c>
      <c r="R9545" s="2" t="inlineStr"/>
    </row>
    <row r="9546" ht="15" customHeight="1">
      <c r="A9546" t="inlineStr">
        <is>
          <t>A 16851-2023</t>
        </is>
      </c>
      <c r="B9546" s="1" t="n">
        <v>45033</v>
      </c>
      <c r="C9546" s="1" t="n">
        <v>45810</v>
      </c>
      <c r="D9546" t="inlineStr">
        <is>
          <t>VÄRMLANDS LÄN</t>
        </is>
      </c>
      <c r="E9546" t="inlineStr">
        <is>
          <t>SÄFFLE</t>
        </is>
      </c>
      <c r="G9546" t="n">
        <v>3.7</v>
      </c>
      <c r="H9546" t="n">
        <v>0</v>
      </c>
      <c r="I9546" t="n">
        <v>0</v>
      </c>
      <c r="J9546" t="n">
        <v>0</v>
      </c>
      <c r="K9546" t="n">
        <v>0</v>
      </c>
      <c r="L9546" t="n">
        <v>0</v>
      </c>
      <c r="M9546" t="n">
        <v>0</v>
      </c>
      <c r="N9546" t="n">
        <v>0</v>
      </c>
      <c r="O9546" t="n">
        <v>0</v>
      </c>
      <c r="P9546" t="n">
        <v>0</v>
      </c>
      <c r="Q9546" t="n">
        <v>0</v>
      </c>
      <c r="R9546" s="2" t="inlineStr"/>
    </row>
    <row r="9547" ht="15" customHeight="1">
      <c r="A9547" t="inlineStr">
        <is>
          <t>A 16877-2023</t>
        </is>
      </c>
      <c r="B9547" s="1" t="n">
        <v>45033</v>
      </c>
      <c r="C9547" s="1" t="n">
        <v>45810</v>
      </c>
      <c r="D9547" t="inlineStr">
        <is>
          <t>VÄRMLANDS LÄN</t>
        </is>
      </c>
      <c r="E9547" t="inlineStr">
        <is>
          <t>HAGFORS</t>
        </is>
      </c>
      <c r="F9547" t="inlineStr">
        <is>
          <t>Bergvik skog väst AB</t>
        </is>
      </c>
      <c r="G9547" t="n">
        <v>6.7</v>
      </c>
      <c r="H9547" t="n">
        <v>0</v>
      </c>
      <c r="I9547" t="n">
        <v>0</v>
      </c>
      <c r="J9547" t="n">
        <v>0</v>
      </c>
      <c r="K9547" t="n">
        <v>0</v>
      </c>
      <c r="L9547" t="n">
        <v>0</v>
      </c>
      <c r="M9547" t="n">
        <v>0</v>
      </c>
      <c r="N9547" t="n">
        <v>0</v>
      </c>
      <c r="O9547" t="n">
        <v>0</v>
      </c>
      <c r="P9547" t="n">
        <v>0</v>
      </c>
      <c r="Q9547" t="n">
        <v>0</v>
      </c>
      <c r="R9547" s="2" t="inlineStr"/>
    </row>
    <row r="9548" ht="15" customHeight="1">
      <c r="A9548" t="inlineStr">
        <is>
          <t>A 16943-2023</t>
        </is>
      </c>
      <c r="B9548" s="1" t="n">
        <v>45033</v>
      </c>
      <c r="C9548" s="1" t="n">
        <v>45810</v>
      </c>
      <c r="D9548" t="inlineStr">
        <is>
          <t>VÄRMLANDS LÄN</t>
        </is>
      </c>
      <c r="E9548" t="inlineStr">
        <is>
          <t>TORSBY</t>
        </is>
      </c>
      <c r="G9548" t="n">
        <v>2.2</v>
      </c>
      <c r="H9548" t="n">
        <v>0</v>
      </c>
      <c r="I9548" t="n">
        <v>0</v>
      </c>
      <c r="J9548" t="n">
        <v>0</v>
      </c>
      <c r="K9548" t="n">
        <v>0</v>
      </c>
      <c r="L9548" t="n">
        <v>0</v>
      </c>
      <c r="M9548" t="n">
        <v>0</v>
      </c>
      <c r="N9548" t="n">
        <v>0</v>
      </c>
      <c r="O9548" t="n">
        <v>0</v>
      </c>
      <c r="P9548" t="n">
        <v>0</v>
      </c>
      <c r="Q9548" t="n">
        <v>0</v>
      </c>
      <c r="R9548" s="2" t="inlineStr"/>
    </row>
    <row r="9549" ht="15" customHeight="1">
      <c r="A9549" t="inlineStr">
        <is>
          <t>A 16959-2023</t>
        </is>
      </c>
      <c r="B9549" s="1" t="n">
        <v>45033</v>
      </c>
      <c r="C9549" s="1" t="n">
        <v>45810</v>
      </c>
      <c r="D9549" t="inlineStr">
        <is>
          <t>VÄRMLANDS LÄN</t>
        </is>
      </c>
      <c r="E9549" t="inlineStr">
        <is>
          <t>ÅRJÄNG</t>
        </is>
      </c>
      <c r="G9549" t="n">
        <v>3.3</v>
      </c>
      <c r="H9549" t="n">
        <v>0</v>
      </c>
      <c r="I9549" t="n">
        <v>0</v>
      </c>
      <c r="J9549" t="n">
        <v>0</v>
      </c>
      <c r="K9549" t="n">
        <v>0</v>
      </c>
      <c r="L9549" t="n">
        <v>0</v>
      </c>
      <c r="M9549" t="n">
        <v>0</v>
      </c>
      <c r="N9549" t="n">
        <v>0</v>
      </c>
      <c r="O9549" t="n">
        <v>0</v>
      </c>
      <c r="P9549" t="n">
        <v>0</v>
      </c>
      <c r="Q9549" t="n">
        <v>0</v>
      </c>
      <c r="R9549" s="2" t="inlineStr"/>
    </row>
    <row r="9550" ht="15" customHeight="1">
      <c r="A9550" t="inlineStr">
        <is>
          <t>A 17042-2023</t>
        </is>
      </c>
      <c r="B9550" s="1" t="n">
        <v>45034</v>
      </c>
      <c r="C9550" s="1" t="n">
        <v>45810</v>
      </c>
      <c r="D9550" t="inlineStr">
        <is>
          <t>VÄRMLANDS LÄN</t>
        </is>
      </c>
      <c r="E9550" t="inlineStr">
        <is>
          <t>SUNNE</t>
        </is>
      </c>
      <c r="G9550" t="n">
        <v>0.6</v>
      </c>
      <c r="H9550" t="n">
        <v>0</v>
      </c>
      <c r="I9550" t="n">
        <v>0</v>
      </c>
      <c r="J9550" t="n">
        <v>0</v>
      </c>
      <c r="K9550" t="n">
        <v>0</v>
      </c>
      <c r="L9550" t="n">
        <v>0</v>
      </c>
      <c r="M9550" t="n">
        <v>0</v>
      </c>
      <c r="N9550" t="n">
        <v>0</v>
      </c>
      <c r="O9550" t="n">
        <v>0</v>
      </c>
      <c r="P9550" t="n">
        <v>0</v>
      </c>
      <c r="Q9550" t="n">
        <v>0</v>
      </c>
      <c r="R9550" s="2" t="inlineStr"/>
    </row>
    <row r="9551" ht="15" customHeight="1">
      <c r="A9551" t="inlineStr">
        <is>
          <t>A 17030-2023</t>
        </is>
      </c>
      <c r="B9551" s="1" t="n">
        <v>45034</v>
      </c>
      <c r="C9551" s="1" t="n">
        <v>45810</v>
      </c>
      <c r="D9551" t="inlineStr">
        <is>
          <t>VÄRMLANDS LÄN</t>
        </is>
      </c>
      <c r="E9551" t="inlineStr">
        <is>
          <t>SUNNE</t>
        </is>
      </c>
      <c r="G9551" t="n">
        <v>1.7</v>
      </c>
      <c r="H9551" t="n">
        <v>0</v>
      </c>
      <c r="I9551" t="n">
        <v>0</v>
      </c>
      <c r="J9551" t="n">
        <v>0</v>
      </c>
      <c r="K9551" t="n">
        <v>0</v>
      </c>
      <c r="L9551" t="n">
        <v>0</v>
      </c>
      <c r="M9551" t="n">
        <v>0</v>
      </c>
      <c r="N9551" t="n">
        <v>0</v>
      </c>
      <c r="O9551" t="n">
        <v>0</v>
      </c>
      <c r="P9551" t="n">
        <v>0</v>
      </c>
      <c r="Q9551" t="n">
        <v>0</v>
      </c>
      <c r="R9551" s="2" t="inlineStr"/>
    </row>
    <row r="9552" ht="15" customHeight="1">
      <c r="A9552" t="inlineStr">
        <is>
          <t>A 17036-2023</t>
        </is>
      </c>
      <c r="B9552" s="1" t="n">
        <v>45034</v>
      </c>
      <c r="C9552" s="1" t="n">
        <v>45810</v>
      </c>
      <c r="D9552" t="inlineStr">
        <is>
          <t>VÄRMLANDS LÄN</t>
        </is>
      </c>
      <c r="E9552" t="inlineStr">
        <is>
          <t>SUNNE</t>
        </is>
      </c>
      <c r="F9552" t="inlineStr">
        <is>
          <t>Övriga Aktiebolag</t>
        </is>
      </c>
      <c r="G9552" t="n">
        <v>6.5</v>
      </c>
      <c r="H9552" t="n">
        <v>0</v>
      </c>
      <c r="I9552" t="n">
        <v>0</v>
      </c>
      <c r="J9552" t="n">
        <v>0</v>
      </c>
      <c r="K9552" t="n">
        <v>0</v>
      </c>
      <c r="L9552" t="n">
        <v>0</v>
      </c>
      <c r="M9552" t="n">
        <v>0</v>
      </c>
      <c r="N9552" t="n">
        <v>0</v>
      </c>
      <c r="O9552" t="n">
        <v>0</v>
      </c>
      <c r="P9552" t="n">
        <v>0</v>
      </c>
      <c r="Q9552" t="n">
        <v>0</v>
      </c>
      <c r="R9552" s="2" t="inlineStr"/>
    </row>
    <row r="9553" ht="15" customHeight="1">
      <c r="A9553" t="inlineStr">
        <is>
          <t>A 17174-2023</t>
        </is>
      </c>
      <c r="B9553" s="1" t="n">
        <v>45034</v>
      </c>
      <c r="C9553" s="1" t="n">
        <v>45810</v>
      </c>
      <c r="D9553" t="inlineStr">
        <is>
          <t>VÄRMLANDS LÄN</t>
        </is>
      </c>
      <c r="E9553" t="inlineStr">
        <is>
          <t>ÅRJÄNG</t>
        </is>
      </c>
      <c r="G9553" t="n">
        <v>4.9</v>
      </c>
      <c r="H9553" t="n">
        <v>0</v>
      </c>
      <c r="I9553" t="n">
        <v>0</v>
      </c>
      <c r="J9553" t="n">
        <v>0</v>
      </c>
      <c r="K9553" t="n">
        <v>0</v>
      </c>
      <c r="L9553" t="n">
        <v>0</v>
      </c>
      <c r="M9553" t="n">
        <v>0</v>
      </c>
      <c r="N9553" t="n">
        <v>0</v>
      </c>
      <c r="O9553" t="n">
        <v>0</v>
      </c>
      <c r="P9553" t="n">
        <v>0</v>
      </c>
      <c r="Q9553" t="n">
        <v>0</v>
      </c>
      <c r="R9553" s="2" t="inlineStr"/>
    </row>
    <row r="9554" ht="15" customHeight="1">
      <c r="A9554" t="inlineStr">
        <is>
          <t>A 17184-2023</t>
        </is>
      </c>
      <c r="B9554" s="1" t="n">
        <v>45034</v>
      </c>
      <c r="C9554" s="1" t="n">
        <v>45810</v>
      </c>
      <c r="D9554" t="inlineStr">
        <is>
          <t>VÄRMLANDS LÄN</t>
        </is>
      </c>
      <c r="E9554" t="inlineStr">
        <is>
          <t>TORSBY</t>
        </is>
      </c>
      <c r="G9554" t="n">
        <v>1.3</v>
      </c>
      <c r="H9554" t="n">
        <v>0</v>
      </c>
      <c r="I9554" t="n">
        <v>0</v>
      </c>
      <c r="J9554" t="n">
        <v>0</v>
      </c>
      <c r="K9554" t="n">
        <v>0</v>
      </c>
      <c r="L9554" t="n">
        <v>0</v>
      </c>
      <c r="M9554" t="n">
        <v>0</v>
      </c>
      <c r="N9554" t="n">
        <v>0</v>
      </c>
      <c r="O9554" t="n">
        <v>0</v>
      </c>
      <c r="P9554" t="n">
        <v>0</v>
      </c>
      <c r="Q9554" t="n">
        <v>0</v>
      </c>
      <c r="R9554" s="2" t="inlineStr"/>
    </row>
    <row r="9555" ht="15" customHeight="1">
      <c r="A9555" t="inlineStr">
        <is>
          <t>A 17188-2023</t>
        </is>
      </c>
      <c r="B9555" s="1" t="n">
        <v>45034</v>
      </c>
      <c r="C9555" s="1" t="n">
        <v>45810</v>
      </c>
      <c r="D9555" t="inlineStr">
        <is>
          <t>VÄRMLANDS LÄN</t>
        </is>
      </c>
      <c r="E9555" t="inlineStr">
        <is>
          <t>TORSBY</t>
        </is>
      </c>
      <c r="G9555" t="n">
        <v>3.5</v>
      </c>
      <c r="H9555" t="n">
        <v>0</v>
      </c>
      <c r="I9555" t="n">
        <v>0</v>
      </c>
      <c r="J9555" t="n">
        <v>0</v>
      </c>
      <c r="K9555" t="n">
        <v>0</v>
      </c>
      <c r="L9555" t="n">
        <v>0</v>
      </c>
      <c r="M9555" t="n">
        <v>0</v>
      </c>
      <c r="N9555" t="n">
        <v>0</v>
      </c>
      <c r="O9555" t="n">
        <v>0</v>
      </c>
      <c r="P9555" t="n">
        <v>0</v>
      </c>
      <c r="Q9555" t="n">
        <v>0</v>
      </c>
      <c r="R9555" s="2" t="inlineStr"/>
    </row>
    <row r="9556" ht="15" customHeight="1">
      <c r="A9556" t="inlineStr">
        <is>
          <t>A 17477-2023</t>
        </is>
      </c>
      <c r="B9556" s="1" t="n">
        <v>45034</v>
      </c>
      <c r="C9556" s="1" t="n">
        <v>45810</v>
      </c>
      <c r="D9556" t="inlineStr">
        <is>
          <t>VÄRMLANDS LÄN</t>
        </is>
      </c>
      <c r="E9556" t="inlineStr">
        <is>
          <t>KIL</t>
        </is>
      </c>
      <c r="G9556" t="n">
        <v>2.7</v>
      </c>
      <c r="H9556" t="n">
        <v>0</v>
      </c>
      <c r="I9556" t="n">
        <v>0</v>
      </c>
      <c r="J9556" t="n">
        <v>0</v>
      </c>
      <c r="K9556" t="n">
        <v>0</v>
      </c>
      <c r="L9556" t="n">
        <v>0</v>
      </c>
      <c r="M9556" t="n">
        <v>0</v>
      </c>
      <c r="N9556" t="n">
        <v>0</v>
      </c>
      <c r="O9556" t="n">
        <v>0</v>
      </c>
      <c r="P9556" t="n">
        <v>0</v>
      </c>
      <c r="Q9556" t="n">
        <v>0</v>
      </c>
      <c r="R9556" s="2" t="inlineStr"/>
    </row>
    <row r="9557" ht="15" customHeight="1">
      <c r="A9557" t="inlineStr">
        <is>
          <t>A 17554-2023</t>
        </is>
      </c>
      <c r="B9557" s="1" t="n">
        <v>45034</v>
      </c>
      <c r="C9557" s="1" t="n">
        <v>45810</v>
      </c>
      <c r="D9557" t="inlineStr">
        <is>
          <t>VÄRMLANDS LÄN</t>
        </is>
      </c>
      <c r="E9557" t="inlineStr">
        <is>
          <t>TORSBY</t>
        </is>
      </c>
      <c r="G9557" t="n">
        <v>1.5</v>
      </c>
      <c r="H9557" t="n">
        <v>0</v>
      </c>
      <c r="I9557" t="n">
        <v>0</v>
      </c>
      <c r="J9557" t="n">
        <v>0</v>
      </c>
      <c r="K9557" t="n">
        <v>0</v>
      </c>
      <c r="L9557" t="n">
        <v>0</v>
      </c>
      <c r="M9557" t="n">
        <v>0</v>
      </c>
      <c r="N9557" t="n">
        <v>0</v>
      </c>
      <c r="O9557" t="n">
        <v>0</v>
      </c>
      <c r="P9557" t="n">
        <v>0</v>
      </c>
      <c r="Q9557" t="n">
        <v>0</v>
      </c>
      <c r="R9557" s="2" t="inlineStr"/>
    </row>
    <row r="9558" ht="15" customHeight="1">
      <c r="A9558" t="inlineStr">
        <is>
          <t>A 17262-2023</t>
        </is>
      </c>
      <c r="B9558" s="1" t="n">
        <v>45035</v>
      </c>
      <c r="C9558" s="1" t="n">
        <v>45810</v>
      </c>
      <c r="D9558" t="inlineStr">
        <is>
          <t>VÄRMLANDS LÄN</t>
        </is>
      </c>
      <c r="E9558" t="inlineStr">
        <is>
          <t>ARVIKA</t>
        </is>
      </c>
      <c r="G9558" t="n">
        <v>2.6</v>
      </c>
      <c r="H9558" t="n">
        <v>0</v>
      </c>
      <c r="I9558" t="n">
        <v>0</v>
      </c>
      <c r="J9558" t="n">
        <v>0</v>
      </c>
      <c r="K9558" t="n">
        <v>0</v>
      </c>
      <c r="L9558" t="n">
        <v>0</v>
      </c>
      <c r="M9558" t="n">
        <v>0</v>
      </c>
      <c r="N9558" t="n">
        <v>0</v>
      </c>
      <c r="O9558" t="n">
        <v>0</v>
      </c>
      <c r="P9558" t="n">
        <v>0</v>
      </c>
      <c r="Q9558" t="n">
        <v>0</v>
      </c>
      <c r="R9558" s="2" t="inlineStr"/>
    </row>
    <row r="9559" ht="15" customHeight="1">
      <c r="A9559" t="inlineStr">
        <is>
          <t>A 17293-2023</t>
        </is>
      </c>
      <c r="B9559" s="1" t="n">
        <v>45035</v>
      </c>
      <c r="C9559" s="1" t="n">
        <v>45810</v>
      </c>
      <c r="D9559" t="inlineStr">
        <is>
          <t>VÄRMLANDS LÄN</t>
        </is>
      </c>
      <c r="E9559" t="inlineStr">
        <is>
          <t>HAGFORS</t>
        </is>
      </c>
      <c r="F9559" t="inlineStr">
        <is>
          <t>Bergvik skog väst AB</t>
        </is>
      </c>
      <c r="G9559" t="n">
        <v>2</v>
      </c>
      <c r="H9559" t="n">
        <v>0</v>
      </c>
      <c r="I9559" t="n">
        <v>0</v>
      </c>
      <c r="J9559" t="n">
        <v>0</v>
      </c>
      <c r="K9559" t="n">
        <v>0</v>
      </c>
      <c r="L9559" t="n">
        <v>0</v>
      </c>
      <c r="M9559" t="n">
        <v>0</v>
      </c>
      <c r="N9559" t="n">
        <v>0</v>
      </c>
      <c r="O9559" t="n">
        <v>0</v>
      </c>
      <c r="P9559" t="n">
        <v>0</v>
      </c>
      <c r="Q9559" t="n">
        <v>0</v>
      </c>
      <c r="R9559" s="2" t="inlineStr"/>
    </row>
    <row r="9560" ht="15" customHeight="1">
      <c r="A9560" t="inlineStr">
        <is>
          <t>A 17363-2023</t>
        </is>
      </c>
      <c r="B9560" s="1" t="n">
        <v>45035</v>
      </c>
      <c r="C9560" s="1" t="n">
        <v>45810</v>
      </c>
      <c r="D9560" t="inlineStr">
        <is>
          <t>VÄRMLANDS LÄN</t>
        </is>
      </c>
      <c r="E9560" t="inlineStr">
        <is>
          <t>ARVIKA</t>
        </is>
      </c>
      <c r="G9560" t="n">
        <v>19.4</v>
      </c>
      <c r="H9560" t="n">
        <v>0</v>
      </c>
      <c r="I9560" t="n">
        <v>0</v>
      </c>
      <c r="J9560" t="n">
        <v>0</v>
      </c>
      <c r="K9560" t="n">
        <v>0</v>
      </c>
      <c r="L9560" t="n">
        <v>0</v>
      </c>
      <c r="M9560" t="n">
        <v>0</v>
      </c>
      <c r="N9560" t="n">
        <v>0</v>
      </c>
      <c r="O9560" t="n">
        <v>0</v>
      </c>
      <c r="P9560" t="n">
        <v>0</v>
      </c>
      <c r="Q9560" t="n">
        <v>0</v>
      </c>
      <c r="R9560" s="2" t="inlineStr"/>
    </row>
    <row r="9561" ht="15" customHeight="1">
      <c r="A9561" t="inlineStr">
        <is>
          <t>A 17249-2023</t>
        </is>
      </c>
      <c r="B9561" s="1" t="n">
        <v>45035</v>
      </c>
      <c r="C9561" s="1" t="n">
        <v>45810</v>
      </c>
      <c r="D9561" t="inlineStr">
        <is>
          <t>VÄRMLANDS LÄN</t>
        </is>
      </c>
      <c r="E9561" t="inlineStr">
        <is>
          <t>KARLSTAD</t>
        </is>
      </c>
      <c r="G9561" t="n">
        <v>3</v>
      </c>
      <c r="H9561" t="n">
        <v>0</v>
      </c>
      <c r="I9561" t="n">
        <v>0</v>
      </c>
      <c r="J9561" t="n">
        <v>0</v>
      </c>
      <c r="K9561" t="n">
        <v>0</v>
      </c>
      <c r="L9561" t="n">
        <v>0</v>
      </c>
      <c r="M9561" t="n">
        <v>0</v>
      </c>
      <c r="N9561" t="n">
        <v>0</v>
      </c>
      <c r="O9561" t="n">
        <v>0</v>
      </c>
      <c r="P9561" t="n">
        <v>0</v>
      </c>
      <c r="Q9561" t="n">
        <v>0</v>
      </c>
      <c r="R9561" s="2" t="inlineStr"/>
    </row>
    <row r="9562" ht="15" customHeight="1">
      <c r="A9562" t="inlineStr">
        <is>
          <t>A 17300-2023</t>
        </is>
      </c>
      <c r="B9562" s="1" t="n">
        <v>45035</v>
      </c>
      <c r="C9562" s="1" t="n">
        <v>45810</v>
      </c>
      <c r="D9562" t="inlineStr">
        <is>
          <t>VÄRMLANDS LÄN</t>
        </is>
      </c>
      <c r="E9562" t="inlineStr">
        <is>
          <t>TORSBY</t>
        </is>
      </c>
      <c r="G9562" t="n">
        <v>3.5</v>
      </c>
      <c r="H9562" t="n">
        <v>0</v>
      </c>
      <c r="I9562" t="n">
        <v>0</v>
      </c>
      <c r="J9562" t="n">
        <v>0</v>
      </c>
      <c r="K9562" t="n">
        <v>0</v>
      </c>
      <c r="L9562" t="n">
        <v>0</v>
      </c>
      <c r="M9562" t="n">
        <v>0</v>
      </c>
      <c r="N9562" t="n">
        <v>0</v>
      </c>
      <c r="O9562" t="n">
        <v>0</v>
      </c>
      <c r="P9562" t="n">
        <v>0</v>
      </c>
      <c r="Q9562" t="n">
        <v>0</v>
      </c>
      <c r="R9562" s="2" t="inlineStr"/>
    </row>
    <row r="9563" ht="15" customHeight="1">
      <c r="A9563" t="inlineStr">
        <is>
          <t>A 17305-2023</t>
        </is>
      </c>
      <c r="B9563" s="1" t="n">
        <v>45035</v>
      </c>
      <c r="C9563" s="1" t="n">
        <v>45810</v>
      </c>
      <c r="D9563" t="inlineStr">
        <is>
          <t>VÄRMLANDS LÄN</t>
        </is>
      </c>
      <c r="E9563" t="inlineStr">
        <is>
          <t>HAGFORS</t>
        </is>
      </c>
      <c r="F9563" t="inlineStr">
        <is>
          <t>Bergvik skog väst AB</t>
        </is>
      </c>
      <c r="G9563" t="n">
        <v>0.5</v>
      </c>
      <c r="H9563" t="n">
        <v>0</v>
      </c>
      <c r="I9563" t="n">
        <v>0</v>
      </c>
      <c r="J9563" t="n">
        <v>0</v>
      </c>
      <c r="K9563" t="n">
        <v>0</v>
      </c>
      <c r="L9563" t="n">
        <v>0</v>
      </c>
      <c r="M9563" t="n">
        <v>0</v>
      </c>
      <c r="N9563" t="n">
        <v>0</v>
      </c>
      <c r="O9563" t="n">
        <v>0</v>
      </c>
      <c r="P9563" t="n">
        <v>0</v>
      </c>
      <c r="Q9563" t="n">
        <v>0</v>
      </c>
      <c r="R9563" s="2" t="inlineStr"/>
    </row>
    <row r="9564" ht="15" customHeight="1">
      <c r="A9564" t="inlineStr">
        <is>
          <t>A 17357-2023</t>
        </is>
      </c>
      <c r="B9564" s="1" t="n">
        <v>45035</v>
      </c>
      <c r="C9564" s="1" t="n">
        <v>45810</v>
      </c>
      <c r="D9564" t="inlineStr">
        <is>
          <t>VÄRMLANDS LÄN</t>
        </is>
      </c>
      <c r="E9564" t="inlineStr">
        <is>
          <t>STORFORS</t>
        </is>
      </c>
      <c r="F9564" t="inlineStr">
        <is>
          <t>Naturvårdsverket</t>
        </is>
      </c>
      <c r="G9564" t="n">
        <v>5.9</v>
      </c>
      <c r="H9564" t="n">
        <v>0</v>
      </c>
      <c r="I9564" t="n">
        <v>0</v>
      </c>
      <c r="J9564" t="n">
        <v>0</v>
      </c>
      <c r="K9564" t="n">
        <v>0</v>
      </c>
      <c r="L9564" t="n">
        <v>0</v>
      </c>
      <c r="M9564" t="n">
        <v>0</v>
      </c>
      <c r="N9564" t="n">
        <v>0</v>
      </c>
      <c r="O9564" t="n">
        <v>0</v>
      </c>
      <c r="P9564" t="n">
        <v>0</v>
      </c>
      <c r="Q9564" t="n">
        <v>0</v>
      </c>
      <c r="R9564" s="2" t="inlineStr"/>
    </row>
    <row r="9565" ht="15" customHeight="1">
      <c r="A9565" t="inlineStr">
        <is>
          <t>A 17398-2023</t>
        </is>
      </c>
      <c r="B9565" s="1" t="n">
        <v>45035</v>
      </c>
      <c r="C9565" s="1" t="n">
        <v>45810</v>
      </c>
      <c r="D9565" t="inlineStr">
        <is>
          <t>VÄRMLANDS LÄN</t>
        </is>
      </c>
      <c r="E9565" t="inlineStr">
        <is>
          <t>ARVIKA</t>
        </is>
      </c>
      <c r="F9565" t="inlineStr">
        <is>
          <t>Bergvik skog väst AB</t>
        </is>
      </c>
      <c r="G9565" t="n">
        <v>2.6</v>
      </c>
      <c r="H9565" t="n">
        <v>0</v>
      </c>
      <c r="I9565" t="n">
        <v>0</v>
      </c>
      <c r="J9565" t="n">
        <v>0</v>
      </c>
      <c r="K9565" t="n">
        <v>0</v>
      </c>
      <c r="L9565" t="n">
        <v>0</v>
      </c>
      <c r="M9565" t="n">
        <v>0</v>
      </c>
      <c r="N9565" t="n">
        <v>0</v>
      </c>
      <c r="O9565" t="n">
        <v>0</v>
      </c>
      <c r="P9565" t="n">
        <v>0</v>
      </c>
      <c r="Q9565" t="n">
        <v>0</v>
      </c>
      <c r="R9565" s="2" t="inlineStr"/>
    </row>
    <row r="9566" ht="15" customHeight="1">
      <c r="A9566" t="inlineStr">
        <is>
          <t>A 17285-2023</t>
        </is>
      </c>
      <c r="B9566" s="1" t="n">
        <v>45035</v>
      </c>
      <c r="C9566" s="1" t="n">
        <v>45810</v>
      </c>
      <c r="D9566" t="inlineStr">
        <is>
          <t>VÄRMLANDS LÄN</t>
        </is>
      </c>
      <c r="E9566" t="inlineStr">
        <is>
          <t>ARVIKA</t>
        </is>
      </c>
      <c r="G9566" t="n">
        <v>1.1</v>
      </c>
      <c r="H9566" t="n">
        <v>0</v>
      </c>
      <c r="I9566" t="n">
        <v>0</v>
      </c>
      <c r="J9566" t="n">
        <v>0</v>
      </c>
      <c r="K9566" t="n">
        <v>0</v>
      </c>
      <c r="L9566" t="n">
        <v>0</v>
      </c>
      <c r="M9566" t="n">
        <v>0</v>
      </c>
      <c r="N9566" t="n">
        <v>0</v>
      </c>
      <c r="O9566" t="n">
        <v>0</v>
      </c>
      <c r="P9566" t="n">
        <v>0</v>
      </c>
      <c r="Q9566" t="n">
        <v>0</v>
      </c>
      <c r="R9566" s="2" t="inlineStr"/>
    </row>
    <row r="9567" ht="15" customHeight="1">
      <c r="A9567" t="inlineStr">
        <is>
          <t>A 17330-2023</t>
        </is>
      </c>
      <c r="B9567" s="1" t="n">
        <v>45035</v>
      </c>
      <c r="C9567" s="1" t="n">
        <v>45810</v>
      </c>
      <c r="D9567" t="inlineStr">
        <is>
          <t>VÄRMLANDS LÄN</t>
        </is>
      </c>
      <c r="E9567" t="inlineStr">
        <is>
          <t>EDA</t>
        </is>
      </c>
      <c r="G9567" t="n">
        <v>6</v>
      </c>
      <c r="H9567" t="n">
        <v>0</v>
      </c>
      <c r="I9567" t="n">
        <v>0</v>
      </c>
      <c r="J9567" t="n">
        <v>0</v>
      </c>
      <c r="K9567" t="n">
        <v>0</v>
      </c>
      <c r="L9567" t="n">
        <v>0</v>
      </c>
      <c r="M9567" t="n">
        <v>0</v>
      </c>
      <c r="N9567" t="n">
        <v>0</v>
      </c>
      <c r="O9567" t="n">
        <v>0</v>
      </c>
      <c r="P9567" t="n">
        <v>0</v>
      </c>
      <c r="Q9567" t="n">
        <v>0</v>
      </c>
      <c r="R9567" s="2" t="inlineStr"/>
    </row>
    <row r="9568" ht="15" customHeight="1">
      <c r="A9568" t="inlineStr">
        <is>
          <t>A 17354-2023</t>
        </is>
      </c>
      <c r="B9568" s="1" t="n">
        <v>45035</v>
      </c>
      <c r="C9568" s="1" t="n">
        <v>45810</v>
      </c>
      <c r="D9568" t="inlineStr">
        <is>
          <t>VÄRMLANDS LÄN</t>
        </is>
      </c>
      <c r="E9568" t="inlineStr">
        <is>
          <t>KARLSTAD</t>
        </is>
      </c>
      <c r="F9568" t="inlineStr">
        <is>
          <t>Kommuner</t>
        </is>
      </c>
      <c r="G9568" t="n">
        <v>3.1</v>
      </c>
      <c r="H9568" t="n">
        <v>0</v>
      </c>
      <c r="I9568" t="n">
        <v>0</v>
      </c>
      <c r="J9568" t="n">
        <v>0</v>
      </c>
      <c r="K9568" t="n">
        <v>0</v>
      </c>
      <c r="L9568" t="n">
        <v>0</v>
      </c>
      <c r="M9568" t="n">
        <v>0</v>
      </c>
      <c r="N9568" t="n">
        <v>0</v>
      </c>
      <c r="O9568" t="n">
        <v>0</v>
      </c>
      <c r="P9568" t="n">
        <v>0</v>
      </c>
      <c r="Q9568" t="n">
        <v>0</v>
      </c>
      <c r="R9568" s="2" t="inlineStr"/>
    </row>
    <row r="9569" ht="15" customHeight="1">
      <c r="A9569" t="inlineStr">
        <is>
          <t>A 17364-2023</t>
        </is>
      </c>
      <c r="B9569" s="1" t="n">
        <v>45035</v>
      </c>
      <c r="C9569" s="1" t="n">
        <v>45810</v>
      </c>
      <c r="D9569" t="inlineStr">
        <is>
          <t>VÄRMLANDS LÄN</t>
        </is>
      </c>
      <c r="E9569" t="inlineStr">
        <is>
          <t>KARLSTAD</t>
        </is>
      </c>
      <c r="F9569" t="inlineStr">
        <is>
          <t>Kommuner</t>
        </is>
      </c>
      <c r="G9569" t="n">
        <v>0.4</v>
      </c>
      <c r="H9569" t="n">
        <v>0</v>
      </c>
      <c r="I9569" t="n">
        <v>0</v>
      </c>
      <c r="J9569" t="n">
        <v>0</v>
      </c>
      <c r="K9569" t="n">
        <v>0</v>
      </c>
      <c r="L9569" t="n">
        <v>0</v>
      </c>
      <c r="M9569" t="n">
        <v>0</v>
      </c>
      <c r="N9569" t="n">
        <v>0</v>
      </c>
      <c r="O9569" t="n">
        <v>0</v>
      </c>
      <c r="P9569" t="n">
        <v>0</v>
      </c>
      <c r="Q9569" t="n">
        <v>0</v>
      </c>
      <c r="R9569" s="2" t="inlineStr"/>
    </row>
    <row r="9570" ht="15" customHeight="1">
      <c r="A9570" t="inlineStr">
        <is>
          <t>A 17370-2023</t>
        </is>
      </c>
      <c r="B9570" s="1" t="n">
        <v>45035</v>
      </c>
      <c r="C9570" s="1" t="n">
        <v>45810</v>
      </c>
      <c r="D9570" t="inlineStr">
        <is>
          <t>VÄRMLANDS LÄN</t>
        </is>
      </c>
      <c r="E9570" t="inlineStr">
        <is>
          <t>SUNNE</t>
        </is>
      </c>
      <c r="G9570" t="n">
        <v>14.4</v>
      </c>
      <c r="H9570" t="n">
        <v>0</v>
      </c>
      <c r="I9570" t="n">
        <v>0</v>
      </c>
      <c r="J9570" t="n">
        <v>0</v>
      </c>
      <c r="K9570" t="n">
        <v>0</v>
      </c>
      <c r="L9570" t="n">
        <v>0</v>
      </c>
      <c r="M9570" t="n">
        <v>0</v>
      </c>
      <c r="N9570" t="n">
        <v>0</v>
      </c>
      <c r="O9570" t="n">
        <v>0</v>
      </c>
      <c r="P9570" t="n">
        <v>0</v>
      </c>
      <c r="Q9570" t="n">
        <v>0</v>
      </c>
      <c r="R9570" s="2" t="inlineStr"/>
    </row>
    <row r="9571" ht="15" customHeight="1">
      <c r="A9571" t="inlineStr">
        <is>
          <t>A 17252-2023</t>
        </is>
      </c>
      <c r="B9571" s="1" t="n">
        <v>45035</v>
      </c>
      <c r="C9571" s="1" t="n">
        <v>45810</v>
      </c>
      <c r="D9571" t="inlineStr">
        <is>
          <t>VÄRMLANDS LÄN</t>
        </is>
      </c>
      <c r="E9571" t="inlineStr">
        <is>
          <t>SÄFFLE</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17322-2023</t>
        </is>
      </c>
      <c r="B9572" s="1" t="n">
        <v>45035</v>
      </c>
      <c r="C9572" s="1" t="n">
        <v>45810</v>
      </c>
      <c r="D9572" t="inlineStr">
        <is>
          <t>VÄRMLANDS LÄN</t>
        </is>
      </c>
      <c r="E9572" t="inlineStr">
        <is>
          <t>TORSBY</t>
        </is>
      </c>
      <c r="G9572" t="n">
        <v>6.9</v>
      </c>
      <c r="H9572" t="n">
        <v>0</v>
      </c>
      <c r="I9572" t="n">
        <v>0</v>
      </c>
      <c r="J9572" t="n">
        <v>0</v>
      </c>
      <c r="K9572" t="n">
        <v>0</v>
      </c>
      <c r="L9572" t="n">
        <v>0</v>
      </c>
      <c r="M9572" t="n">
        <v>0</v>
      </c>
      <c r="N9572" t="n">
        <v>0</v>
      </c>
      <c r="O9572" t="n">
        <v>0</v>
      </c>
      <c r="P9572" t="n">
        <v>0</v>
      </c>
      <c r="Q9572" t="n">
        <v>0</v>
      </c>
      <c r="R9572" s="2" t="inlineStr"/>
    </row>
    <row r="9573" ht="15" customHeight="1">
      <c r="A9573" t="inlineStr">
        <is>
          <t>A 17328-2023</t>
        </is>
      </c>
      <c r="B9573" s="1" t="n">
        <v>45035</v>
      </c>
      <c r="C9573" s="1" t="n">
        <v>45810</v>
      </c>
      <c r="D9573" t="inlineStr">
        <is>
          <t>VÄRMLANDS LÄN</t>
        </is>
      </c>
      <c r="E9573" t="inlineStr">
        <is>
          <t>TORSBY</t>
        </is>
      </c>
      <c r="G9573" t="n">
        <v>4.6</v>
      </c>
      <c r="H9573" t="n">
        <v>0</v>
      </c>
      <c r="I9573" t="n">
        <v>0</v>
      </c>
      <c r="J9573" t="n">
        <v>0</v>
      </c>
      <c r="K9573" t="n">
        <v>0</v>
      </c>
      <c r="L9573" t="n">
        <v>0</v>
      </c>
      <c r="M9573" t="n">
        <v>0</v>
      </c>
      <c r="N9573" t="n">
        <v>0</v>
      </c>
      <c r="O9573" t="n">
        <v>0</v>
      </c>
      <c r="P9573" t="n">
        <v>0</v>
      </c>
      <c r="Q9573" t="n">
        <v>0</v>
      </c>
      <c r="R9573" s="2" t="inlineStr"/>
    </row>
    <row r="9574" ht="15" customHeight="1">
      <c r="A9574" t="inlineStr">
        <is>
          <t>A 17343-2023</t>
        </is>
      </c>
      <c r="B9574" s="1" t="n">
        <v>45035</v>
      </c>
      <c r="C9574" s="1" t="n">
        <v>45810</v>
      </c>
      <c r="D9574" t="inlineStr">
        <is>
          <t>VÄRMLANDS LÄN</t>
        </is>
      </c>
      <c r="E9574" t="inlineStr">
        <is>
          <t>KRISTINEHAMN</t>
        </is>
      </c>
      <c r="F9574" t="inlineStr">
        <is>
          <t>Naturvårdsverket</t>
        </is>
      </c>
      <c r="G9574" t="n">
        <v>1.4</v>
      </c>
      <c r="H9574" t="n">
        <v>0</v>
      </c>
      <c r="I9574" t="n">
        <v>0</v>
      </c>
      <c r="J9574" t="n">
        <v>0</v>
      </c>
      <c r="K9574" t="n">
        <v>0</v>
      </c>
      <c r="L9574" t="n">
        <v>0</v>
      </c>
      <c r="M9574" t="n">
        <v>0</v>
      </c>
      <c r="N9574" t="n">
        <v>0</v>
      </c>
      <c r="O9574" t="n">
        <v>0</v>
      </c>
      <c r="P9574" t="n">
        <v>0</v>
      </c>
      <c r="Q9574" t="n">
        <v>0</v>
      </c>
      <c r="R9574" s="2" t="inlineStr"/>
    </row>
    <row r="9575" ht="15" customHeight="1">
      <c r="A9575" t="inlineStr">
        <is>
          <t>A 17358-2023</t>
        </is>
      </c>
      <c r="B9575" s="1" t="n">
        <v>45035</v>
      </c>
      <c r="C9575" s="1" t="n">
        <v>45810</v>
      </c>
      <c r="D9575" t="inlineStr">
        <is>
          <t>VÄRMLANDS LÄN</t>
        </is>
      </c>
      <c r="E9575" t="inlineStr">
        <is>
          <t>SUNNE</t>
        </is>
      </c>
      <c r="G9575" t="n">
        <v>2.3</v>
      </c>
      <c r="H9575" t="n">
        <v>0</v>
      </c>
      <c r="I9575" t="n">
        <v>0</v>
      </c>
      <c r="J9575" t="n">
        <v>0</v>
      </c>
      <c r="K9575" t="n">
        <v>0</v>
      </c>
      <c r="L9575" t="n">
        <v>0</v>
      </c>
      <c r="M9575" t="n">
        <v>0</v>
      </c>
      <c r="N9575" t="n">
        <v>0</v>
      </c>
      <c r="O9575" t="n">
        <v>0</v>
      </c>
      <c r="P9575" t="n">
        <v>0</v>
      </c>
      <c r="Q9575" t="n">
        <v>0</v>
      </c>
      <c r="R9575" s="2" t="inlineStr"/>
    </row>
    <row r="9576" ht="15" customHeight="1">
      <c r="A9576" t="inlineStr">
        <is>
          <t>A 17704-2023</t>
        </is>
      </c>
      <c r="B9576" s="1" t="n">
        <v>45035</v>
      </c>
      <c r="C9576" s="1" t="n">
        <v>45810</v>
      </c>
      <c r="D9576" t="inlineStr">
        <is>
          <t>VÄRMLANDS LÄN</t>
        </is>
      </c>
      <c r="E9576" t="inlineStr">
        <is>
          <t>ARVIKA</t>
        </is>
      </c>
      <c r="G9576" t="n">
        <v>2.8</v>
      </c>
      <c r="H9576" t="n">
        <v>0</v>
      </c>
      <c r="I9576" t="n">
        <v>0</v>
      </c>
      <c r="J9576" t="n">
        <v>0</v>
      </c>
      <c r="K9576" t="n">
        <v>0</v>
      </c>
      <c r="L9576" t="n">
        <v>0</v>
      </c>
      <c r="M9576" t="n">
        <v>0</v>
      </c>
      <c r="N9576" t="n">
        <v>0</v>
      </c>
      <c r="O9576" t="n">
        <v>0</v>
      </c>
      <c r="P9576" t="n">
        <v>0</v>
      </c>
      <c r="Q9576" t="n">
        <v>0</v>
      </c>
      <c r="R9576" s="2" t="inlineStr"/>
    </row>
    <row r="9577" ht="15" customHeight="1">
      <c r="A9577" t="inlineStr">
        <is>
          <t>A 17474-2023</t>
        </is>
      </c>
      <c r="B9577" s="1" t="n">
        <v>45036</v>
      </c>
      <c r="C9577" s="1" t="n">
        <v>45810</v>
      </c>
      <c r="D9577" t="inlineStr">
        <is>
          <t>VÄRMLANDS LÄN</t>
        </is>
      </c>
      <c r="E9577" t="inlineStr">
        <is>
          <t>KARLSTAD</t>
        </is>
      </c>
      <c r="G9577" t="n">
        <v>2.9</v>
      </c>
      <c r="H9577" t="n">
        <v>0</v>
      </c>
      <c r="I9577" t="n">
        <v>0</v>
      </c>
      <c r="J9577" t="n">
        <v>0</v>
      </c>
      <c r="K9577" t="n">
        <v>0</v>
      </c>
      <c r="L9577" t="n">
        <v>0</v>
      </c>
      <c r="M9577" t="n">
        <v>0</v>
      </c>
      <c r="N9577" t="n">
        <v>0</v>
      </c>
      <c r="O9577" t="n">
        <v>0</v>
      </c>
      <c r="P9577" t="n">
        <v>0</v>
      </c>
      <c r="Q9577" t="n">
        <v>0</v>
      </c>
      <c r="R9577" s="2" t="inlineStr"/>
    </row>
    <row r="9578" ht="15" customHeight="1">
      <c r="A9578" t="inlineStr">
        <is>
          <t>A 17548-2023</t>
        </is>
      </c>
      <c r="B9578" s="1" t="n">
        <v>45036</v>
      </c>
      <c r="C9578" s="1" t="n">
        <v>45810</v>
      </c>
      <c r="D9578" t="inlineStr">
        <is>
          <t>VÄRMLANDS LÄN</t>
        </is>
      </c>
      <c r="E9578" t="inlineStr">
        <is>
          <t>TORSBY</t>
        </is>
      </c>
      <c r="G9578" t="n">
        <v>1.7</v>
      </c>
      <c r="H9578" t="n">
        <v>0</v>
      </c>
      <c r="I9578" t="n">
        <v>0</v>
      </c>
      <c r="J9578" t="n">
        <v>0</v>
      </c>
      <c r="K9578" t="n">
        <v>0</v>
      </c>
      <c r="L9578" t="n">
        <v>0</v>
      </c>
      <c r="M9578" t="n">
        <v>0</v>
      </c>
      <c r="N9578" t="n">
        <v>0</v>
      </c>
      <c r="O9578" t="n">
        <v>0</v>
      </c>
      <c r="P9578" t="n">
        <v>0</v>
      </c>
      <c r="Q9578" t="n">
        <v>0</v>
      </c>
      <c r="R9578" s="2" t="inlineStr"/>
    </row>
    <row r="9579" ht="15" customHeight="1">
      <c r="A9579" t="inlineStr">
        <is>
          <t>A 17579-2023</t>
        </is>
      </c>
      <c r="B9579" s="1" t="n">
        <v>45036</v>
      </c>
      <c r="C9579" s="1" t="n">
        <v>45810</v>
      </c>
      <c r="D9579" t="inlineStr">
        <is>
          <t>VÄRMLANDS LÄN</t>
        </is>
      </c>
      <c r="E9579" t="inlineStr">
        <is>
          <t>KIL</t>
        </is>
      </c>
      <c r="G9579" t="n">
        <v>8.6</v>
      </c>
      <c r="H9579" t="n">
        <v>0</v>
      </c>
      <c r="I9579" t="n">
        <v>0</v>
      </c>
      <c r="J9579" t="n">
        <v>0</v>
      </c>
      <c r="K9579" t="n">
        <v>0</v>
      </c>
      <c r="L9579" t="n">
        <v>0</v>
      </c>
      <c r="M9579" t="n">
        <v>0</v>
      </c>
      <c r="N9579" t="n">
        <v>0</v>
      </c>
      <c r="O9579" t="n">
        <v>0</v>
      </c>
      <c r="P9579" t="n">
        <v>0</v>
      </c>
      <c r="Q9579" t="n">
        <v>0</v>
      </c>
      <c r="R9579" s="2" t="inlineStr"/>
    </row>
    <row r="9580" ht="15" customHeight="1">
      <c r="A9580" t="inlineStr">
        <is>
          <t>A 17584-2023</t>
        </is>
      </c>
      <c r="B9580" s="1" t="n">
        <v>45036</v>
      </c>
      <c r="C9580" s="1" t="n">
        <v>45810</v>
      </c>
      <c r="D9580" t="inlineStr">
        <is>
          <t>VÄRMLANDS LÄN</t>
        </is>
      </c>
      <c r="E9580" t="inlineStr">
        <is>
          <t>HAGFORS</t>
        </is>
      </c>
      <c r="F9580" t="inlineStr">
        <is>
          <t>Kommuner</t>
        </is>
      </c>
      <c r="G9580" t="n">
        <v>1.4</v>
      </c>
      <c r="H9580" t="n">
        <v>0</v>
      </c>
      <c r="I9580" t="n">
        <v>0</v>
      </c>
      <c r="J9580" t="n">
        <v>0</v>
      </c>
      <c r="K9580" t="n">
        <v>0</v>
      </c>
      <c r="L9580" t="n">
        <v>0</v>
      </c>
      <c r="M9580" t="n">
        <v>0</v>
      </c>
      <c r="N9580" t="n">
        <v>0</v>
      </c>
      <c r="O9580" t="n">
        <v>0</v>
      </c>
      <c r="P9580" t="n">
        <v>0</v>
      </c>
      <c r="Q9580" t="n">
        <v>0</v>
      </c>
      <c r="R9580" s="2" t="inlineStr"/>
    </row>
    <row r="9581" ht="15" customHeight="1">
      <c r="A9581" t="inlineStr">
        <is>
          <t>A 17606-2023</t>
        </is>
      </c>
      <c r="B9581" s="1" t="n">
        <v>45036</v>
      </c>
      <c r="C9581" s="1" t="n">
        <v>45810</v>
      </c>
      <c r="D9581" t="inlineStr">
        <is>
          <t>VÄRMLANDS LÄN</t>
        </is>
      </c>
      <c r="E9581" t="inlineStr">
        <is>
          <t>ÅRJÄNG</t>
        </is>
      </c>
      <c r="G9581" t="n">
        <v>10.7</v>
      </c>
      <c r="H9581" t="n">
        <v>0</v>
      </c>
      <c r="I9581" t="n">
        <v>0</v>
      </c>
      <c r="J9581" t="n">
        <v>0</v>
      </c>
      <c r="K9581" t="n">
        <v>0</v>
      </c>
      <c r="L9581" t="n">
        <v>0</v>
      </c>
      <c r="M9581" t="n">
        <v>0</v>
      </c>
      <c r="N9581" t="n">
        <v>0</v>
      </c>
      <c r="O9581" t="n">
        <v>0</v>
      </c>
      <c r="P9581" t="n">
        <v>0</v>
      </c>
      <c r="Q9581" t="n">
        <v>0</v>
      </c>
      <c r="R9581" s="2" t="inlineStr"/>
    </row>
    <row r="9582" ht="15" customHeight="1">
      <c r="A9582" t="inlineStr">
        <is>
          <t>A 17480-2023</t>
        </is>
      </c>
      <c r="B9582" s="1" t="n">
        <v>45036</v>
      </c>
      <c r="C9582" s="1" t="n">
        <v>45810</v>
      </c>
      <c r="D9582" t="inlineStr">
        <is>
          <t>VÄRMLANDS LÄN</t>
        </is>
      </c>
      <c r="E9582" t="inlineStr">
        <is>
          <t>EDA</t>
        </is>
      </c>
      <c r="G9582" t="n">
        <v>2.4</v>
      </c>
      <c r="H9582" t="n">
        <v>0</v>
      </c>
      <c r="I9582" t="n">
        <v>0</v>
      </c>
      <c r="J9582" t="n">
        <v>0</v>
      </c>
      <c r="K9582" t="n">
        <v>0</v>
      </c>
      <c r="L9582" t="n">
        <v>0</v>
      </c>
      <c r="M9582" t="n">
        <v>0</v>
      </c>
      <c r="N9582" t="n">
        <v>0</v>
      </c>
      <c r="O9582" t="n">
        <v>0</v>
      </c>
      <c r="P9582" t="n">
        <v>0</v>
      </c>
      <c r="Q9582" t="n">
        <v>0</v>
      </c>
      <c r="R9582" s="2" t="inlineStr"/>
    </row>
    <row r="9583" ht="15" customHeight="1">
      <c r="A9583" t="inlineStr">
        <is>
          <t>A 17460-2023</t>
        </is>
      </c>
      <c r="B9583" s="1" t="n">
        <v>45036</v>
      </c>
      <c r="C9583" s="1" t="n">
        <v>45810</v>
      </c>
      <c r="D9583" t="inlineStr">
        <is>
          <t>VÄRMLANDS LÄN</t>
        </is>
      </c>
      <c r="E9583" t="inlineStr">
        <is>
          <t>ARVIKA</t>
        </is>
      </c>
      <c r="G9583" t="n">
        <v>1.9</v>
      </c>
      <c r="H9583" t="n">
        <v>0</v>
      </c>
      <c r="I9583" t="n">
        <v>0</v>
      </c>
      <c r="J9583" t="n">
        <v>0</v>
      </c>
      <c r="K9583" t="n">
        <v>0</v>
      </c>
      <c r="L9583" t="n">
        <v>0</v>
      </c>
      <c r="M9583" t="n">
        <v>0</v>
      </c>
      <c r="N9583" t="n">
        <v>0</v>
      </c>
      <c r="O9583" t="n">
        <v>0</v>
      </c>
      <c r="P9583" t="n">
        <v>0</v>
      </c>
      <c r="Q9583" t="n">
        <v>0</v>
      </c>
      <c r="R9583" s="2" t="inlineStr"/>
    </row>
    <row r="9584" ht="15" customHeight="1">
      <c r="A9584" t="inlineStr">
        <is>
          <t>A 17488-2023</t>
        </is>
      </c>
      <c r="B9584" s="1" t="n">
        <v>45036</v>
      </c>
      <c r="C9584" s="1" t="n">
        <v>45810</v>
      </c>
      <c r="D9584" t="inlineStr">
        <is>
          <t>VÄRMLANDS LÄN</t>
        </is>
      </c>
      <c r="E9584" t="inlineStr">
        <is>
          <t>TORSBY</t>
        </is>
      </c>
      <c r="G9584" t="n">
        <v>15.6</v>
      </c>
      <c r="H9584" t="n">
        <v>0</v>
      </c>
      <c r="I9584" t="n">
        <v>0</v>
      </c>
      <c r="J9584" t="n">
        <v>0</v>
      </c>
      <c r="K9584" t="n">
        <v>0</v>
      </c>
      <c r="L9584" t="n">
        <v>0</v>
      </c>
      <c r="M9584" t="n">
        <v>0</v>
      </c>
      <c r="N9584" t="n">
        <v>0</v>
      </c>
      <c r="O9584" t="n">
        <v>0</v>
      </c>
      <c r="P9584" t="n">
        <v>0</v>
      </c>
      <c r="Q9584" t="n">
        <v>0</v>
      </c>
      <c r="R9584" s="2" t="inlineStr"/>
    </row>
    <row r="9585" ht="15" customHeight="1">
      <c r="A9585" t="inlineStr">
        <is>
          <t>A 17546-2023</t>
        </is>
      </c>
      <c r="B9585" s="1" t="n">
        <v>45036</v>
      </c>
      <c r="C9585" s="1" t="n">
        <v>45810</v>
      </c>
      <c r="D9585" t="inlineStr">
        <is>
          <t>VÄRMLANDS LÄN</t>
        </is>
      </c>
      <c r="E9585" t="inlineStr">
        <is>
          <t>TORSBY</t>
        </is>
      </c>
      <c r="G9585" t="n">
        <v>1.6</v>
      </c>
      <c r="H9585" t="n">
        <v>0</v>
      </c>
      <c r="I9585" t="n">
        <v>0</v>
      </c>
      <c r="J9585" t="n">
        <v>0</v>
      </c>
      <c r="K9585" t="n">
        <v>0</v>
      </c>
      <c r="L9585" t="n">
        <v>0</v>
      </c>
      <c r="M9585" t="n">
        <v>0</v>
      </c>
      <c r="N9585" t="n">
        <v>0</v>
      </c>
      <c r="O9585" t="n">
        <v>0</v>
      </c>
      <c r="P9585" t="n">
        <v>0</v>
      </c>
      <c r="Q9585" t="n">
        <v>0</v>
      </c>
      <c r="R9585" s="2" t="inlineStr"/>
    </row>
    <row r="9586" ht="15" customHeight="1">
      <c r="A9586" t="inlineStr">
        <is>
          <t>A 17582-2023</t>
        </is>
      </c>
      <c r="B9586" s="1" t="n">
        <v>45036</v>
      </c>
      <c r="C9586" s="1" t="n">
        <v>45810</v>
      </c>
      <c r="D9586" t="inlineStr">
        <is>
          <t>VÄRMLANDS LÄN</t>
        </is>
      </c>
      <c r="E9586" t="inlineStr">
        <is>
          <t>KIL</t>
        </is>
      </c>
      <c r="G9586" t="n">
        <v>0.9</v>
      </c>
      <c r="H9586" t="n">
        <v>0</v>
      </c>
      <c r="I9586" t="n">
        <v>0</v>
      </c>
      <c r="J9586" t="n">
        <v>0</v>
      </c>
      <c r="K9586" t="n">
        <v>0</v>
      </c>
      <c r="L9586" t="n">
        <v>0</v>
      </c>
      <c r="M9586" t="n">
        <v>0</v>
      </c>
      <c r="N9586" t="n">
        <v>0</v>
      </c>
      <c r="O9586" t="n">
        <v>0</v>
      </c>
      <c r="P9586" t="n">
        <v>0</v>
      </c>
      <c r="Q9586" t="n">
        <v>0</v>
      </c>
      <c r="R9586" s="2" t="inlineStr"/>
    </row>
    <row r="9587" ht="15" customHeight="1">
      <c r="A9587" t="inlineStr">
        <is>
          <t>A 17628-2023</t>
        </is>
      </c>
      <c r="B9587" s="1" t="n">
        <v>45036</v>
      </c>
      <c r="C9587" s="1" t="n">
        <v>45810</v>
      </c>
      <c r="D9587" t="inlineStr">
        <is>
          <t>VÄRMLANDS LÄN</t>
        </is>
      </c>
      <c r="E9587" t="inlineStr">
        <is>
          <t>FORSHAGA</t>
        </is>
      </c>
      <c r="G9587" t="n">
        <v>6.5</v>
      </c>
      <c r="H9587" t="n">
        <v>0</v>
      </c>
      <c r="I9587" t="n">
        <v>0</v>
      </c>
      <c r="J9587" t="n">
        <v>0</v>
      </c>
      <c r="K9587" t="n">
        <v>0</v>
      </c>
      <c r="L9587" t="n">
        <v>0</v>
      </c>
      <c r="M9587" t="n">
        <v>0</v>
      </c>
      <c r="N9587" t="n">
        <v>0</v>
      </c>
      <c r="O9587" t="n">
        <v>0</v>
      </c>
      <c r="P9587" t="n">
        <v>0</v>
      </c>
      <c r="Q9587" t="n">
        <v>0</v>
      </c>
      <c r="R9587" s="2" t="inlineStr"/>
    </row>
    <row r="9588" ht="15" customHeight="1">
      <c r="A9588" t="inlineStr">
        <is>
          <t>A 17484-2023</t>
        </is>
      </c>
      <c r="B9588" s="1" t="n">
        <v>45036</v>
      </c>
      <c r="C9588" s="1" t="n">
        <v>45810</v>
      </c>
      <c r="D9588" t="inlineStr">
        <is>
          <t>VÄRMLANDS LÄN</t>
        </is>
      </c>
      <c r="E9588" t="inlineStr">
        <is>
          <t>ARVIKA</t>
        </is>
      </c>
      <c r="G9588" t="n">
        <v>5.9</v>
      </c>
      <c r="H9588" t="n">
        <v>0</v>
      </c>
      <c r="I9588" t="n">
        <v>0</v>
      </c>
      <c r="J9588" t="n">
        <v>0</v>
      </c>
      <c r="K9588" t="n">
        <v>0</v>
      </c>
      <c r="L9588" t="n">
        <v>0</v>
      </c>
      <c r="M9588" t="n">
        <v>0</v>
      </c>
      <c r="N9588" t="n">
        <v>0</v>
      </c>
      <c r="O9588" t="n">
        <v>0</v>
      </c>
      <c r="P9588" t="n">
        <v>0</v>
      </c>
      <c r="Q9588" t="n">
        <v>0</v>
      </c>
      <c r="R9588" s="2" t="inlineStr"/>
    </row>
    <row r="9589" ht="15" customHeight="1">
      <c r="A9589" t="inlineStr">
        <is>
          <t>A 17557-2023</t>
        </is>
      </c>
      <c r="B9589" s="1" t="n">
        <v>45036</v>
      </c>
      <c r="C9589" s="1" t="n">
        <v>45810</v>
      </c>
      <c r="D9589" t="inlineStr">
        <is>
          <t>VÄRMLANDS LÄN</t>
        </is>
      </c>
      <c r="E9589" t="inlineStr">
        <is>
          <t>KIL</t>
        </is>
      </c>
      <c r="G9589" t="n">
        <v>7.5</v>
      </c>
      <c r="H9589" t="n">
        <v>0</v>
      </c>
      <c r="I9589" t="n">
        <v>0</v>
      </c>
      <c r="J9589" t="n">
        <v>0</v>
      </c>
      <c r="K9589" t="n">
        <v>0</v>
      </c>
      <c r="L9589" t="n">
        <v>0</v>
      </c>
      <c r="M9589" t="n">
        <v>0</v>
      </c>
      <c r="N9589" t="n">
        <v>0</v>
      </c>
      <c r="O9589" t="n">
        <v>0</v>
      </c>
      <c r="P9589" t="n">
        <v>0</v>
      </c>
      <c r="Q9589" t="n">
        <v>0</v>
      </c>
      <c r="R9589" s="2" t="inlineStr"/>
    </row>
    <row r="9590" ht="15" customHeight="1">
      <c r="A9590" t="inlineStr">
        <is>
          <t>A 17564-2023</t>
        </is>
      </c>
      <c r="B9590" s="1" t="n">
        <v>45036</v>
      </c>
      <c r="C9590" s="1" t="n">
        <v>45810</v>
      </c>
      <c r="D9590" t="inlineStr">
        <is>
          <t>VÄRMLANDS LÄN</t>
        </is>
      </c>
      <c r="E9590" t="inlineStr">
        <is>
          <t>KIL</t>
        </is>
      </c>
      <c r="G9590" t="n">
        <v>2.9</v>
      </c>
      <c r="H9590" t="n">
        <v>0</v>
      </c>
      <c r="I9590" t="n">
        <v>0</v>
      </c>
      <c r="J9590" t="n">
        <v>0</v>
      </c>
      <c r="K9590" t="n">
        <v>0</v>
      </c>
      <c r="L9590" t="n">
        <v>0</v>
      </c>
      <c r="M9590" t="n">
        <v>0</v>
      </c>
      <c r="N9590" t="n">
        <v>0</v>
      </c>
      <c r="O9590" t="n">
        <v>0</v>
      </c>
      <c r="P9590" t="n">
        <v>0</v>
      </c>
      <c r="Q9590" t="n">
        <v>0</v>
      </c>
      <c r="R9590" s="2" t="inlineStr"/>
    </row>
    <row r="9591" ht="15" customHeight="1">
      <c r="A9591" t="inlineStr">
        <is>
          <t>A 17553-2023</t>
        </is>
      </c>
      <c r="B9591" s="1" t="n">
        <v>45036</v>
      </c>
      <c r="C9591" s="1" t="n">
        <v>45810</v>
      </c>
      <c r="D9591" t="inlineStr">
        <is>
          <t>VÄRMLANDS LÄN</t>
        </is>
      </c>
      <c r="E9591" t="inlineStr">
        <is>
          <t>KIL</t>
        </is>
      </c>
      <c r="G9591" t="n">
        <v>3.1</v>
      </c>
      <c r="H9591" t="n">
        <v>0</v>
      </c>
      <c r="I9591" t="n">
        <v>0</v>
      </c>
      <c r="J9591" t="n">
        <v>0</v>
      </c>
      <c r="K9591" t="n">
        <v>0</v>
      </c>
      <c r="L9591" t="n">
        <v>0</v>
      </c>
      <c r="M9591" t="n">
        <v>0</v>
      </c>
      <c r="N9591" t="n">
        <v>0</v>
      </c>
      <c r="O9591" t="n">
        <v>0</v>
      </c>
      <c r="P9591" t="n">
        <v>0</v>
      </c>
      <c r="Q9591" t="n">
        <v>0</v>
      </c>
      <c r="R9591" s="2" t="inlineStr"/>
    </row>
    <row r="9592" ht="15" customHeight="1">
      <c r="A9592" t="inlineStr">
        <is>
          <t>A 17588-2023</t>
        </is>
      </c>
      <c r="B9592" s="1" t="n">
        <v>45036</v>
      </c>
      <c r="C9592" s="1" t="n">
        <v>45810</v>
      </c>
      <c r="D9592" t="inlineStr">
        <is>
          <t>VÄRMLANDS LÄN</t>
        </is>
      </c>
      <c r="E9592" t="inlineStr">
        <is>
          <t>HAGFORS</t>
        </is>
      </c>
      <c r="F9592" t="inlineStr">
        <is>
          <t>Kommuner</t>
        </is>
      </c>
      <c r="G9592" t="n">
        <v>2.2</v>
      </c>
      <c r="H9592" t="n">
        <v>0</v>
      </c>
      <c r="I9592" t="n">
        <v>0</v>
      </c>
      <c r="J9592" t="n">
        <v>0</v>
      </c>
      <c r="K9592" t="n">
        <v>0</v>
      </c>
      <c r="L9592" t="n">
        <v>0</v>
      </c>
      <c r="M9592" t="n">
        <v>0</v>
      </c>
      <c r="N9592" t="n">
        <v>0</v>
      </c>
      <c r="O9592" t="n">
        <v>0</v>
      </c>
      <c r="P9592" t="n">
        <v>0</v>
      </c>
      <c r="Q9592" t="n">
        <v>0</v>
      </c>
      <c r="R9592" s="2" t="inlineStr"/>
    </row>
    <row r="9593" ht="15" customHeight="1">
      <c r="A9593" t="inlineStr">
        <is>
          <t>A 17593-2023</t>
        </is>
      </c>
      <c r="B9593" s="1" t="n">
        <v>45036</v>
      </c>
      <c r="C9593" s="1" t="n">
        <v>45810</v>
      </c>
      <c r="D9593" t="inlineStr">
        <is>
          <t>VÄRMLANDS LÄN</t>
        </is>
      </c>
      <c r="E9593" t="inlineStr">
        <is>
          <t>EDA</t>
        </is>
      </c>
      <c r="G9593" t="n">
        <v>4.1</v>
      </c>
      <c r="H9593" t="n">
        <v>0</v>
      </c>
      <c r="I9593" t="n">
        <v>0</v>
      </c>
      <c r="J9593" t="n">
        <v>0</v>
      </c>
      <c r="K9593" t="n">
        <v>0</v>
      </c>
      <c r="L9593" t="n">
        <v>0</v>
      </c>
      <c r="M9593" t="n">
        <v>0</v>
      </c>
      <c r="N9593" t="n">
        <v>0</v>
      </c>
      <c r="O9593" t="n">
        <v>0</v>
      </c>
      <c r="P9593" t="n">
        <v>0</v>
      </c>
      <c r="Q9593" t="n">
        <v>0</v>
      </c>
      <c r="R9593" s="2" t="inlineStr"/>
    </row>
    <row r="9594" ht="15" customHeight="1">
      <c r="A9594" t="inlineStr">
        <is>
          <t>A 17677-2023</t>
        </is>
      </c>
      <c r="B9594" s="1" t="n">
        <v>45037</v>
      </c>
      <c r="C9594" s="1" t="n">
        <v>45810</v>
      </c>
      <c r="D9594" t="inlineStr">
        <is>
          <t>VÄRMLANDS LÄN</t>
        </is>
      </c>
      <c r="E9594" t="inlineStr">
        <is>
          <t>FORSHAGA</t>
        </is>
      </c>
      <c r="G9594" t="n">
        <v>7.2</v>
      </c>
      <c r="H9594" t="n">
        <v>0</v>
      </c>
      <c r="I9594" t="n">
        <v>0</v>
      </c>
      <c r="J9594" t="n">
        <v>0</v>
      </c>
      <c r="K9594" t="n">
        <v>0</v>
      </c>
      <c r="L9594" t="n">
        <v>0</v>
      </c>
      <c r="M9594" t="n">
        <v>0</v>
      </c>
      <c r="N9594" t="n">
        <v>0</v>
      </c>
      <c r="O9594" t="n">
        <v>0</v>
      </c>
      <c r="P9594" t="n">
        <v>0</v>
      </c>
      <c r="Q9594" t="n">
        <v>0</v>
      </c>
      <c r="R9594" s="2" t="inlineStr"/>
    </row>
    <row r="9595" ht="15" customHeight="1">
      <c r="A9595" t="inlineStr">
        <is>
          <t>A 17750-2023</t>
        </is>
      </c>
      <c r="B9595" s="1" t="n">
        <v>45037</v>
      </c>
      <c r="C9595" s="1" t="n">
        <v>45810</v>
      </c>
      <c r="D9595" t="inlineStr">
        <is>
          <t>VÄRMLANDS LÄN</t>
        </is>
      </c>
      <c r="E9595" t="inlineStr">
        <is>
          <t>HAGFORS</t>
        </is>
      </c>
      <c r="G9595" t="n">
        <v>1.7</v>
      </c>
      <c r="H9595" t="n">
        <v>0</v>
      </c>
      <c r="I9595" t="n">
        <v>0</v>
      </c>
      <c r="J9595" t="n">
        <v>0</v>
      </c>
      <c r="K9595" t="n">
        <v>0</v>
      </c>
      <c r="L9595" t="n">
        <v>0</v>
      </c>
      <c r="M9595" t="n">
        <v>0</v>
      </c>
      <c r="N9595" t="n">
        <v>0</v>
      </c>
      <c r="O9595" t="n">
        <v>0</v>
      </c>
      <c r="P9595" t="n">
        <v>0</v>
      </c>
      <c r="Q9595" t="n">
        <v>0</v>
      </c>
      <c r="R9595" s="2" t="inlineStr"/>
    </row>
    <row r="9596" ht="15" customHeight="1">
      <c r="A9596" t="inlineStr">
        <is>
          <t>A 17756-2023</t>
        </is>
      </c>
      <c r="B9596" s="1" t="n">
        <v>45037</v>
      </c>
      <c r="C9596" s="1" t="n">
        <v>45810</v>
      </c>
      <c r="D9596" t="inlineStr">
        <is>
          <t>VÄRMLANDS LÄN</t>
        </is>
      </c>
      <c r="E9596" t="inlineStr">
        <is>
          <t>STORFORS</t>
        </is>
      </c>
      <c r="G9596" t="n">
        <v>8.1</v>
      </c>
      <c r="H9596" t="n">
        <v>0</v>
      </c>
      <c r="I9596" t="n">
        <v>0</v>
      </c>
      <c r="J9596" t="n">
        <v>0</v>
      </c>
      <c r="K9596" t="n">
        <v>0</v>
      </c>
      <c r="L9596" t="n">
        <v>0</v>
      </c>
      <c r="M9596" t="n">
        <v>0</v>
      </c>
      <c r="N9596" t="n">
        <v>0</v>
      </c>
      <c r="O9596" t="n">
        <v>0</v>
      </c>
      <c r="P9596" t="n">
        <v>0</v>
      </c>
      <c r="Q9596" t="n">
        <v>0</v>
      </c>
      <c r="R9596" s="2" t="inlineStr"/>
    </row>
    <row r="9597" ht="15" customHeight="1">
      <c r="A9597" t="inlineStr">
        <is>
          <t>A 17684-2023</t>
        </is>
      </c>
      <c r="B9597" s="1" t="n">
        <v>45037</v>
      </c>
      <c r="C9597" s="1" t="n">
        <v>45810</v>
      </c>
      <c r="D9597" t="inlineStr">
        <is>
          <t>VÄRMLANDS LÄN</t>
        </is>
      </c>
      <c r="E9597" t="inlineStr">
        <is>
          <t>FILIPSTAD</t>
        </is>
      </c>
      <c r="G9597" t="n">
        <v>7.1</v>
      </c>
      <c r="H9597" t="n">
        <v>0</v>
      </c>
      <c r="I9597" t="n">
        <v>0</v>
      </c>
      <c r="J9597" t="n">
        <v>0</v>
      </c>
      <c r="K9597" t="n">
        <v>0</v>
      </c>
      <c r="L9597" t="n">
        <v>0</v>
      </c>
      <c r="M9597" t="n">
        <v>0</v>
      </c>
      <c r="N9597" t="n">
        <v>0</v>
      </c>
      <c r="O9597" t="n">
        <v>0</v>
      </c>
      <c r="P9597" t="n">
        <v>0</v>
      </c>
      <c r="Q9597" t="n">
        <v>0</v>
      </c>
      <c r="R9597" s="2" t="inlineStr"/>
    </row>
    <row r="9598" ht="15" customHeight="1">
      <c r="A9598" t="inlineStr">
        <is>
          <t>A 17676-2023</t>
        </is>
      </c>
      <c r="B9598" s="1" t="n">
        <v>45037</v>
      </c>
      <c r="C9598" s="1" t="n">
        <v>45810</v>
      </c>
      <c r="D9598" t="inlineStr">
        <is>
          <t>VÄRMLANDS LÄN</t>
        </is>
      </c>
      <c r="E9598" t="inlineStr">
        <is>
          <t>HAGFORS</t>
        </is>
      </c>
      <c r="F9598" t="inlineStr">
        <is>
          <t>Kyrkan</t>
        </is>
      </c>
      <c r="G9598" t="n">
        <v>6.1</v>
      </c>
      <c r="H9598" t="n">
        <v>0</v>
      </c>
      <c r="I9598" t="n">
        <v>0</v>
      </c>
      <c r="J9598" t="n">
        <v>0</v>
      </c>
      <c r="K9598" t="n">
        <v>0</v>
      </c>
      <c r="L9598" t="n">
        <v>0</v>
      </c>
      <c r="M9598" t="n">
        <v>0</v>
      </c>
      <c r="N9598" t="n">
        <v>0</v>
      </c>
      <c r="O9598" t="n">
        <v>0</v>
      </c>
      <c r="P9598" t="n">
        <v>0</v>
      </c>
      <c r="Q9598" t="n">
        <v>0</v>
      </c>
      <c r="R9598" s="2" t="inlineStr"/>
    </row>
    <row r="9599" ht="15" customHeight="1">
      <c r="A9599" t="inlineStr">
        <is>
          <t>A 17686-2023</t>
        </is>
      </c>
      <c r="B9599" s="1" t="n">
        <v>45037</v>
      </c>
      <c r="C9599" s="1" t="n">
        <v>45810</v>
      </c>
      <c r="D9599" t="inlineStr">
        <is>
          <t>VÄRMLANDS LÄN</t>
        </is>
      </c>
      <c r="E9599" t="inlineStr">
        <is>
          <t>FILIPSTAD</t>
        </is>
      </c>
      <c r="G9599" t="n">
        <v>3</v>
      </c>
      <c r="H9599" t="n">
        <v>0</v>
      </c>
      <c r="I9599" t="n">
        <v>0</v>
      </c>
      <c r="J9599" t="n">
        <v>0</v>
      </c>
      <c r="K9599" t="n">
        <v>0</v>
      </c>
      <c r="L9599" t="n">
        <v>0</v>
      </c>
      <c r="M9599" t="n">
        <v>0</v>
      </c>
      <c r="N9599" t="n">
        <v>0</v>
      </c>
      <c r="O9599" t="n">
        <v>0</v>
      </c>
      <c r="P9599" t="n">
        <v>0</v>
      </c>
      <c r="Q9599" t="n">
        <v>0</v>
      </c>
      <c r="R9599" s="2" t="inlineStr"/>
    </row>
    <row r="9600" ht="15" customHeight="1">
      <c r="A9600" t="inlineStr">
        <is>
          <t>A 17679-2023</t>
        </is>
      </c>
      <c r="B9600" s="1" t="n">
        <v>45037</v>
      </c>
      <c r="C9600" s="1" t="n">
        <v>45810</v>
      </c>
      <c r="D9600" t="inlineStr">
        <is>
          <t>VÄRMLANDS LÄN</t>
        </is>
      </c>
      <c r="E9600" t="inlineStr">
        <is>
          <t>KARLSTAD</t>
        </is>
      </c>
      <c r="G9600" t="n">
        <v>1.4</v>
      </c>
      <c r="H9600" t="n">
        <v>0</v>
      </c>
      <c r="I9600" t="n">
        <v>0</v>
      </c>
      <c r="J9600" t="n">
        <v>0</v>
      </c>
      <c r="K9600" t="n">
        <v>0</v>
      </c>
      <c r="L9600" t="n">
        <v>0</v>
      </c>
      <c r="M9600" t="n">
        <v>0</v>
      </c>
      <c r="N9600" t="n">
        <v>0</v>
      </c>
      <c r="O9600" t="n">
        <v>0</v>
      </c>
      <c r="P9600" t="n">
        <v>0</v>
      </c>
      <c r="Q9600" t="n">
        <v>0</v>
      </c>
      <c r="R9600" s="2" t="inlineStr"/>
    </row>
    <row r="9601" ht="15" customHeight="1">
      <c r="A9601" t="inlineStr">
        <is>
          <t>A 17830-2023</t>
        </is>
      </c>
      <c r="B9601" s="1" t="n">
        <v>45037</v>
      </c>
      <c r="C9601" s="1" t="n">
        <v>45810</v>
      </c>
      <c r="D9601" t="inlineStr">
        <is>
          <t>VÄRMLANDS LÄN</t>
        </is>
      </c>
      <c r="E9601" t="inlineStr">
        <is>
          <t>SUNNE</t>
        </is>
      </c>
      <c r="G9601" t="n">
        <v>13.1</v>
      </c>
      <c r="H9601" t="n">
        <v>0</v>
      </c>
      <c r="I9601" t="n">
        <v>0</v>
      </c>
      <c r="J9601" t="n">
        <v>0</v>
      </c>
      <c r="K9601" t="n">
        <v>0</v>
      </c>
      <c r="L9601" t="n">
        <v>0</v>
      </c>
      <c r="M9601" t="n">
        <v>0</v>
      </c>
      <c r="N9601" t="n">
        <v>0</v>
      </c>
      <c r="O9601" t="n">
        <v>0</v>
      </c>
      <c r="P9601" t="n">
        <v>0</v>
      </c>
      <c r="Q9601" t="n">
        <v>0</v>
      </c>
      <c r="R9601" s="2" t="inlineStr"/>
    </row>
    <row r="9602" ht="15" customHeight="1">
      <c r="A9602" t="inlineStr">
        <is>
          <t>A 17806-2023</t>
        </is>
      </c>
      <c r="B9602" s="1" t="n">
        <v>45037</v>
      </c>
      <c r="C9602" s="1" t="n">
        <v>45810</v>
      </c>
      <c r="D9602" t="inlineStr">
        <is>
          <t>VÄRMLANDS LÄN</t>
        </is>
      </c>
      <c r="E9602" t="inlineStr">
        <is>
          <t>KIL</t>
        </is>
      </c>
      <c r="G9602" t="n">
        <v>0.7</v>
      </c>
      <c r="H9602" t="n">
        <v>0</v>
      </c>
      <c r="I9602" t="n">
        <v>0</v>
      </c>
      <c r="J9602" t="n">
        <v>0</v>
      </c>
      <c r="K9602" t="n">
        <v>0</v>
      </c>
      <c r="L9602" t="n">
        <v>0</v>
      </c>
      <c r="M9602" t="n">
        <v>0</v>
      </c>
      <c r="N9602" t="n">
        <v>0</v>
      </c>
      <c r="O9602" t="n">
        <v>0</v>
      </c>
      <c r="P9602" t="n">
        <v>0</v>
      </c>
      <c r="Q9602" t="n">
        <v>0</v>
      </c>
      <c r="R9602" s="2" t="inlineStr"/>
    </row>
    <row r="9603" ht="15" customHeight="1">
      <c r="A9603" t="inlineStr">
        <is>
          <t>A 18039-2023</t>
        </is>
      </c>
      <c r="B9603" s="1" t="n">
        <v>45037</v>
      </c>
      <c r="C9603" s="1" t="n">
        <v>45810</v>
      </c>
      <c r="D9603" t="inlineStr">
        <is>
          <t>VÄRMLANDS LÄN</t>
        </is>
      </c>
      <c r="E9603" t="inlineStr">
        <is>
          <t>SÄFFLE</t>
        </is>
      </c>
      <c r="G9603" t="n">
        <v>4.6</v>
      </c>
      <c r="H9603" t="n">
        <v>0</v>
      </c>
      <c r="I9603" t="n">
        <v>0</v>
      </c>
      <c r="J9603" t="n">
        <v>0</v>
      </c>
      <c r="K9603" t="n">
        <v>0</v>
      </c>
      <c r="L9603" t="n">
        <v>0</v>
      </c>
      <c r="M9603" t="n">
        <v>0</v>
      </c>
      <c r="N9603" t="n">
        <v>0</v>
      </c>
      <c r="O9603" t="n">
        <v>0</v>
      </c>
      <c r="P9603" t="n">
        <v>0</v>
      </c>
      <c r="Q9603" t="n">
        <v>0</v>
      </c>
      <c r="R9603" s="2" t="inlineStr"/>
    </row>
    <row r="9604" ht="15" customHeight="1">
      <c r="A9604" t="inlineStr">
        <is>
          <t>A 17780-2023</t>
        </is>
      </c>
      <c r="B9604" s="1" t="n">
        <v>45037</v>
      </c>
      <c r="C9604" s="1" t="n">
        <v>45810</v>
      </c>
      <c r="D9604" t="inlineStr">
        <is>
          <t>VÄRMLANDS LÄN</t>
        </is>
      </c>
      <c r="E9604" t="inlineStr">
        <is>
          <t>EDA</t>
        </is>
      </c>
      <c r="G9604" t="n">
        <v>1.5</v>
      </c>
      <c r="H9604" t="n">
        <v>0</v>
      </c>
      <c r="I9604" t="n">
        <v>0</v>
      </c>
      <c r="J9604" t="n">
        <v>0</v>
      </c>
      <c r="K9604" t="n">
        <v>0</v>
      </c>
      <c r="L9604" t="n">
        <v>0</v>
      </c>
      <c r="M9604" t="n">
        <v>0</v>
      </c>
      <c r="N9604" t="n">
        <v>0</v>
      </c>
      <c r="O9604" t="n">
        <v>0</v>
      </c>
      <c r="P9604" t="n">
        <v>0</v>
      </c>
      <c r="Q9604" t="n">
        <v>0</v>
      </c>
      <c r="R9604" s="2" t="inlineStr"/>
    </row>
    <row r="9605" ht="15" customHeight="1">
      <c r="A9605" t="inlineStr">
        <is>
          <t>A 17816-2023</t>
        </is>
      </c>
      <c r="B9605" s="1" t="n">
        <v>45037</v>
      </c>
      <c r="C9605" s="1" t="n">
        <v>45810</v>
      </c>
      <c r="D9605" t="inlineStr">
        <is>
          <t>VÄRMLANDS LÄN</t>
        </is>
      </c>
      <c r="E9605" t="inlineStr">
        <is>
          <t>KIL</t>
        </is>
      </c>
      <c r="G9605" t="n">
        <v>1.6</v>
      </c>
      <c r="H9605" t="n">
        <v>0</v>
      </c>
      <c r="I9605" t="n">
        <v>0</v>
      </c>
      <c r="J9605" t="n">
        <v>0</v>
      </c>
      <c r="K9605" t="n">
        <v>0</v>
      </c>
      <c r="L9605" t="n">
        <v>0</v>
      </c>
      <c r="M9605" t="n">
        <v>0</v>
      </c>
      <c r="N9605" t="n">
        <v>0</v>
      </c>
      <c r="O9605" t="n">
        <v>0</v>
      </c>
      <c r="P9605" t="n">
        <v>0</v>
      </c>
      <c r="Q9605" t="n">
        <v>0</v>
      </c>
      <c r="R9605" s="2" t="inlineStr"/>
    </row>
    <row r="9606" ht="15" customHeight="1">
      <c r="A9606" t="inlineStr">
        <is>
          <t>A 17900-2023</t>
        </is>
      </c>
      <c r="B9606" s="1" t="n">
        <v>45037</v>
      </c>
      <c r="C9606" s="1" t="n">
        <v>45810</v>
      </c>
      <c r="D9606" t="inlineStr">
        <is>
          <t>VÄRMLANDS LÄN</t>
        </is>
      </c>
      <c r="E9606" t="inlineStr">
        <is>
          <t>KARLSTAD</t>
        </is>
      </c>
      <c r="G9606" t="n">
        <v>1.9</v>
      </c>
      <c r="H9606" t="n">
        <v>0</v>
      </c>
      <c r="I9606" t="n">
        <v>0</v>
      </c>
      <c r="J9606" t="n">
        <v>0</v>
      </c>
      <c r="K9606" t="n">
        <v>0</v>
      </c>
      <c r="L9606" t="n">
        <v>0</v>
      </c>
      <c r="M9606" t="n">
        <v>0</v>
      </c>
      <c r="N9606" t="n">
        <v>0</v>
      </c>
      <c r="O9606" t="n">
        <v>0</v>
      </c>
      <c r="P9606" t="n">
        <v>0</v>
      </c>
      <c r="Q9606" t="n">
        <v>0</v>
      </c>
      <c r="R9606" s="2" t="inlineStr"/>
    </row>
    <row r="9607" ht="15" customHeight="1">
      <c r="A9607" t="inlineStr">
        <is>
          <t>A 17892-2023</t>
        </is>
      </c>
      <c r="B9607" s="1" t="n">
        <v>45039</v>
      </c>
      <c r="C9607" s="1" t="n">
        <v>45810</v>
      </c>
      <c r="D9607" t="inlineStr">
        <is>
          <t>VÄRMLANDS LÄN</t>
        </is>
      </c>
      <c r="E9607" t="inlineStr">
        <is>
          <t>KARLSTAD</t>
        </is>
      </c>
      <c r="G9607" t="n">
        <v>1</v>
      </c>
      <c r="H9607" t="n">
        <v>0</v>
      </c>
      <c r="I9607" t="n">
        <v>0</v>
      </c>
      <c r="J9607" t="n">
        <v>0</v>
      </c>
      <c r="K9607" t="n">
        <v>0</v>
      </c>
      <c r="L9607" t="n">
        <v>0</v>
      </c>
      <c r="M9607" t="n">
        <v>0</v>
      </c>
      <c r="N9607" t="n">
        <v>0</v>
      </c>
      <c r="O9607" t="n">
        <v>0</v>
      </c>
      <c r="P9607" t="n">
        <v>0</v>
      </c>
      <c r="Q9607" t="n">
        <v>0</v>
      </c>
      <c r="R9607" s="2" t="inlineStr"/>
    </row>
    <row r="9608" ht="15" customHeight="1">
      <c r="A9608" t="inlineStr">
        <is>
          <t>A 17898-2023</t>
        </is>
      </c>
      <c r="B9608" s="1" t="n">
        <v>45039</v>
      </c>
      <c r="C9608" s="1" t="n">
        <v>45810</v>
      </c>
      <c r="D9608" t="inlineStr">
        <is>
          <t>VÄRMLANDS LÄN</t>
        </is>
      </c>
      <c r="E9608" t="inlineStr">
        <is>
          <t>TORSBY</t>
        </is>
      </c>
      <c r="G9608" t="n">
        <v>0.3</v>
      </c>
      <c r="H9608" t="n">
        <v>0</v>
      </c>
      <c r="I9608" t="n">
        <v>0</v>
      </c>
      <c r="J9608" t="n">
        <v>0</v>
      </c>
      <c r="K9608" t="n">
        <v>0</v>
      </c>
      <c r="L9608" t="n">
        <v>0</v>
      </c>
      <c r="M9608" t="n">
        <v>0</v>
      </c>
      <c r="N9608" t="n">
        <v>0</v>
      </c>
      <c r="O9608" t="n">
        <v>0</v>
      </c>
      <c r="P9608" t="n">
        <v>0</v>
      </c>
      <c r="Q9608" t="n">
        <v>0</v>
      </c>
      <c r="R9608" s="2" t="inlineStr"/>
    </row>
    <row r="9609" ht="15" customHeight="1">
      <c r="A9609" t="inlineStr">
        <is>
          <t>A 17897-2023</t>
        </is>
      </c>
      <c r="B9609" s="1" t="n">
        <v>45039</v>
      </c>
      <c r="C9609" s="1" t="n">
        <v>45810</v>
      </c>
      <c r="D9609" t="inlineStr">
        <is>
          <t>VÄRMLANDS LÄN</t>
        </is>
      </c>
      <c r="E9609" t="inlineStr">
        <is>
          <t>TORSBY</t>
        </is>
      </c>
      <c r="G9609" t="n">
        <v>0.8</v>
      </c>
      <c r="H9609" t="n">
        <v>0</v>
      </c>
      <c r="I9609" t="n">
        <v>0</v>
      </c>
      <c r="J9609" t="n">
        <v>0</v>
      </c>
      <c r="K9609" t="n">
        <v>0</v>
      </c>
      <c r="L9609" t="n">
        <v>0</v>
      </c>
      <c r="M9609" t="n">
        <v>0</v>
      </c>
      <c r="N9609" t="n">
        <v>0</v>
      </c>
      <c r="O9609" t="n">
        <v>0</v>
      </c>
      <c r="P9609" t="n">
        <v>0</v>
      </c>
      <c r="Q9609" t="n">
        <v>0</v>
      </c>
      <c r="R9609" s="2" t="inlineStr"/>
    </row>
    <row r="9610" ht="15" customHeight="1">
      <c r="A9610" t="inlineStr">
        <is>
          <t>A 17902-2023</t>
        </is>
      </c>
      <c r="B9610" s="1" t="n">
        <v>45039</v>
      </c>
      <c r="C9610" s="1" t="n">
        <v>45810</v>
      </c>
      <c r="D9610" t="inlineStr">
        <is>
          <t>VÄRMLANDS LÄN</t>
        </is>
      </c>
      <c r="E9610" t="inlineStr">
        <is>
          <t>ÅRJÄNG</t>
        </is>
      </c>
      <c r="G9610" t="n">
        <v>5.1</v>
      </c>
      <c r="H9610" t="n">
        <v>0</v>
      </c>
      <c r="I9610" t="n">
        <v>0</v>
      </c>
      <c r="J9610" t="n">
        <v>0</v>
      </c>
      <c r="K9610" t="n">
        <v>0</v>
      </c>
      <c r="L9610" t="n">
        <v>0</v>
      </c>
      <c r="M9610" t="n">
        <v>0</v>
      </c>
      <c r="N9610" t="n">
        <v>0</v>
      </c>
      <c r="O9610" t="n">
        <v>0</v>
      </c>
      <c r="P9610" t="n">
        <v>0</v>
      </c>
      <c r="Q9610" t="n">
        <v>0</v>
      </c>
      <c r="R9610" s="2" t="inlineStr"/>
    </row>
    <row r="9611" ht="15" customHeight="1">
      <c r="A9611" t="inlineStr">
        <is>
          <t>A 17890-2023</t>
        </is>
      </c>
      <c r="B9611" s="1" t="n">
        <v>45039</v>
      </c>
      <c r="C9611" s="1" t="n">
        <v>45810</v>
      </c>
      <c r="D9611" t="inlineStr">
        <is>
          <t>VÄRMLANDS LÄN</t>
        </is>
      </c>
      <c r="E9611" t="inlineStr">
        <is>
          <t>KARLSTAD</t>
        </is>
      </c>
      <c r="G9611" t="n">
        <v>3</v>
      </c>
      <c r="H9611" t="n">
        <v>0</v>
      </c>
      <c r="I9611" t="n">
        <v>0</v>
      </c>
      <c r="J9611" t="n">
        <v>0</v>
      </c>
      <c r="K9611" t="n">
        <v>0</v>
      </c>
      <c r="L9611" t="n">
        <v>0</v>
      </c>
      <c r="M9611" t="n">
        <v>0</v>
      </c>
      <c r="N9611" t="n">
        <v>0</v>
      </c>
      <c r="O9611" t="n">
        <v>0</v>
      </c>
      <c r="P9611" t="n">
        <v>0</v>
      </c>
      <c r="Q9611" t="n">
        <v>0</v>
      </c>
      <c r="R9611" s="2" t="inlineStr"/>
    </row>
    <row r="9612" ht="15" customHeight="1">
      <c r="A9612" t="inlineStr">
        <is>
          <t>A 18034-2023</t>
        </is>
      </c>
      <c r="B9612" s="1" t="n">
        <v>45040</v>
      </c>
      <c r="C9612" s="1" t="n">
        <v>45810</v>
      </c>
      <c r="D9612" t="inlineStr">
        <is>
          <t>VÄRMLANDS LÄN</t>
        </is>
      </c>
      <c r="E9612" t="inlineStr">
        <is>
          <t>ARVIKA</t>
        </is>
      </c>
      <c r="F9612" t="inlineStr">
        <is>
          <t>Bergvik skog väst AB</t>
        </is>
      </c>
      <c r="G9612" t="n">
        <v>10.4</v>
      </c>
      <c r="H9612" t="n">
        <v>0</v>
      </c>
      <c r="I9612" t="n">
        <v>0</v>
      </c>
      <c r="J9612" t="n">
        <v>0</v>
      </c>
      <c r="K9612" t="n">
        <v>0</v>
      </c>
      <c r="L9612" t="n">
        <v>0</v>
      </c>
      <c r="M9612" t="n">
        <v>0</v>
      </c>
      <c r="N9612" t="n">
        <v>0</v>
      </c>
      <c r="O9612" t="n">
        <v>0</v>
      </c>
      <c r="P9612" t="n">
        <v>0</v>
      </c>
      <c r="Q9612" t="n">
        <v>0</v>
      </c>
      <c r="R9612" s="2" t="inlineStr"/>
    </row>
    <row r="9613" ht="15" customHeight="1">
      <c r="A9613" t="inlineStr">
        <is>
          <t>A 18057-2023</t>
        </is>
      </c>
      <c r="B9613" s="1" t="n">
        <v>45040</v>
      </c>
      <c r="C9613" s="1" t="n">
        <v>45810</v>
      </c>
      <c r="D9613" t="inlineStr">
        <is>
          <t>VÄRMLANDS LÄN</t>
        </is>
      </c>
      <c r="E9613" t="inlineStr">
        <is>
          <t>SUNNE</t>
        </is>
      </c>
      <c r="G9613" t="n">
        <v>1.5</v>
      </c>
      <c r="H9613" t="n">
        <v>0</v>
      </c>
      <c r="I9613" t="n">
        <v>0</v>
      </c>
      <c r="J9613" t="n">
        <v>0</v>
      </c>
      <c r="K9613" t="n">
        <v>0</v>
      </c>
      <c r="L9613" t="n">
        <v>0</v>
      </c>
      <c r="M9613" t="n">
        <v>0</v>
      </c>
      <c r="N9613" t="n">
        <v>0</v>
      </c>
      <c r="O9613" t="n">
        <v>0</v>
      </c>
      <c r="P9613" t="n">
        <v>0</v>
      </c>
      <c r="Q9613" t="n">
        <v>0</v>
      </c>
      <c r="R9613" s="2" t="inlineStr"/>
    </row>
    <row r="9614" ht="15" customHeight="1">
      <c r="A9614" t="inlineStr">
        <is>
          <t>A 18114-2023</t>
        </is>
      </c>
      <c r="B9614" s="1" t="n">
        <v>45040</v>
      </c>
      <c r="C9614" s="1" t="n">
        <v>45810</v>
      </c>
      <c r="D9614" t="inlineStr">
        <is>
          <t>VÄRMLANDS LÄN</t>
        </is>
      </c>
      <c r="E9614" t="inlineStr">
        <is>
          <t>SÄFFLE</t>
        </is>
      </c>
      <c r="G9614" t="n">
        <v>0.9</v>
      </c>
      <c r="H9614" t="n">
        <v>0</v>
      </c>
      <c r="I9614" t="n">
        <v>0</v>
      </c>
      <c r="J9614" t="n">
        <v>0</v>
      </c>
      <c r="K9614" t="n">
        <v>0</v>
      </c>
      <c r="L9614" t="n">
        <v>0</v>
      </c>
      <c r="M9614" t="n">
        <v>0</v>
      </c>
      <c r="N9614" t="n">
        <v>0</v>
      </c>
      <c r="O9614" t="n">
        <v>0</v>
      </c>
      <c r="P9614" t="n">
        <v>0</v>
      </c>
      <c r="Q9614" t="n">
        <v>0</v>
      </c>
      <c r="R9614" s="2" t="inlineStr"/>
    </row>
    <row r="9615" ht="15" customHeight="1">
      <c r="A9615" t="inlineStr">
        <is>
          <t>A 18118-2023</t>
        </is>
      </c>
      <c r="B9615" s="1" t="n">
        <v>45040</v>
      </c>
      <c r="C9615" s="1" t="n">
        <v>45810</v>
      </c>
      <c r="D9615" t="inlineStr">
        <is>
          <t>VÄRMLANDS LÄN</t>
        </is>
      </c>
      <c r="E9615" t="inlineStr">
        <is>
          <t>SUNNE</t>
        </is>
      </c>
      <c r="G9615" t="n">
        <v>5.8</v>
      </c>
      <c r="H9615" t="n">
        <v>0</v>
      </c>
      <c r="I9615" t="n">
        <v>0</v>
      </c>
      <c r="J9615" t="n">
        <v>0</v>
      </c>
      <c r="K9615" t="n">
        <v>0</v>
      </c>
      <c r="L9615" t="n">
        <v>0</v>
      </c>
      <c r="M9615" t="n">
        <v>0</v>
      </c>
      <c r="N9615" t="n">
        <v>0</v>
      </c>
      <c r="O9615" t="n">
        <v>0</v>
      </c>
      <c r="P9615" t="n">
        <v>0</v>
      </c>
      <c r="Q9615" t="n">
        <v>0</v>
      </c>
      <c r="R9615" s="2" t="inlineStr"/>
    </row>
    <row r="9616" ht="15" customHeight="1">
      <c r="A9616" t="inlineStr">
        <is>
          <t>A 18122-2023</t>
        </is>
      </c>
      <c r="B9616" s="1" t="n">
        <v>45040</v>
      </c>
      <c r="C9616" s="1" t="n">
        <v>45810</v>
      </c>
      <c r="D9616" t="inlineStr">
        <is>
          <t>VÄRMLANDS LÄN</t>
        </is>
      </c>
      <c r="E9616" t="inlineStr">
        <is>
          <t>KRISTINEHAMN</t>
        </is>
      </c>
      <c r="G9616" t="n">
        <v>3.1</v>
      </c>
      <c r="H9616" t="n">
        <v>0</v>
      </c>
      <c r="I9616" t="n">
        <v>0</v>
      </c>
      <c r="J9616" t="n">
        <v>0</v>
      </c>
      <c r="K9616" t="n">
        <v>0</v>
      </c>
      <c r="L9616" t="n">
        <v>0</v>
      </c>
      <c r="M9616" t="n">
        <v>0</v>
      </c>
      <c r="N9616" t="n">
        <v>0</v>
      </c>
      <c r="O9616" t="n">
        <v>0</v>
      </c>
      <c r="P9616" t="n">
        <v>0</v>
      </c>
      <c r="Q9616" t="n">
        <v>0</v>
      </c>
      <c r="R9616" s="2" t="inlineStr"/>
    </row>
    <row r="9617" ht="15" customHeight="1">
      <c r="A9617" t="inlineStr">
        <is>
          <t>A 18127-2023</t>
        </is>
      </c>
      <c r="B9617" s="1" t="n">
        <v>45040</v>
      </c>
      <c r="C9617" s="1" t="n">
        <v>45810</v>
      </c>
      <c r="D9617" t="inlineStr">
        <is>
          <t>VÄRMLANDS LÄN</t>
        </is>
      </c>
      <c r="E9617" t="inlineStr">
        <is>
          <t>SUNNE</t>
        </is>
      </c>
      <c r="G9617" t="n">
        <v>3.6</v>
      </c>
      <c r="H9617" t="n">
        <v>0</v>
      </c>
      <c r="I9617" t="n">
        <v>0</v>
      </c>
      <c r="J9617" t="n">
        <v>0</v>
      </c>
      <c r="K9617" t="n">
        <v>0</v>
      </c>
      <c r="L9617" t="n">
        <v>0</v>
      </c>
      <c r="M9617" t="n">
        <v>0</v>
      </c>
      <c r="N9617" t="n">
        <v>0</v>
      </c>
      <c r="O9617" t="n">
        <v>0</v>
      </c>
      <c r="P9617" t="n">
        <v>0</v>
      </c>
      <c r="Q9617" t="n">
        <v>0</v>
      </c>
      <c r="R9617" s="2" t="inlineStr"/>
    </row>
    <row r="9618" ht="15" customHeight="1">
      <c r="A9618" t="inlineStr">
        <is>
          <t>A 18106-2023</t>
        </is>
      </c>
      <c r="B9618" s="1" t="n">
        <v>45040</v>
      </c>
      <c r="C9618" s="1" t="n">
        <v>45810</v>
      </c>
      <c r="D9618" t="inlineStr">
        <is>
          <t>VÄRMLANDS LÄN</t>
        </is>
      </c>
      <c r="E9618" t="inlineStr">
        <is>
          <t>SÄFFLE</t>
        </is>
      </c>
      <c r="G9618" t="n">
        <v>2.7</v>
      </c>
      <c r="H9618" t="n">
        <v>0</v>
      </c>
      <c r="I9618" t="n">
        <v>0</v>
      </c>
      <c r="J9618" t="n">
        <v>0</v>
      </c>
      <c r="K9618" t="n">
        <v>0</v>
      </c>
      <c r="L9618" t="n">
        <v>0</v>
      </c>
      <c r="M9618" t="n">
        <v>0</v>
      </c>
      <c r="N9618" t="n">
        <v>0</v>
      </c>
      <c r="O9618" t="n">
        <v>0</v>
      </c>
      <c r="P9618" t="n">
        <v>0</v>
      </c>
      <c r="Q9618" t="n">
        <v>0</v>
      </c>
      <c r="R9618" s="2" t="inlineStr"/>
    </row>
    <row r="9619" ht="15" customHeight="1">
      <c r="A9619" t="inlineStr">
        <is>
          <t>A 18116-2023</t>
        </is>
      </c>
      <c r="B9619" s="1" t="n">
        <v>45040</v>
      </c>
      <c r="C9619" s="1" t="n">
        <v>45810</v>
      </c>
      <c r="D9619" t="inlineStr">
        <is>
          <t>VÄRMLANDS LÄN</t>
        </is>
      </c>
      <c r="E9619" t="inlineStr">
        <is>
          <t>SUNNE</t>
        </is>
      </c>
      <c r="G9619" t="n">
        <v>2.5</v>
      </c>
      <c r="H9619" t="n">
        <v>0</v>
      </c>
      <c r="I9619" t="n">
        <v>0</v>
      </c>
      <c r="J9619" t="n">
        <v>0</v>
      </c>
      <c r="K9619" t="n">
        <v>0</v>
      </c>
      <c r="L9619" t="n">
        <v>0</v>
      </c>
      <c r="M9619" t="n">
        <v>0</v>
      </c>
      <c r="N9619" t="n">
        <v>0</v>
      </c>
      <c r="O9619" t="n">
        <v>0</v>
      </c>
      <c r="P9619" t="n">
        <v>0</v>
      </c>
      <c r="Q9619" t="n">
        <v>0</v>
      </c>
      <c r="R9619" s="2" t="inlineStr"/>
    </row>
    <row r="9620" ht="15" customHeight="1">
      <c r="A9620" t="inlineStr">
        <is>
          <t>A 18129-2023</t>
        </is>
      </c>
      <c r="B9620" s="1" t="n">
        <v>45040</v>
      </c>
      <c r="C9620" s="1" t="n">
        <v>45810</v>
      </c>
      <c r="D9620" t="inlineStr">
        <is>
          <t>VÄRMLANDS LÄN</t>
        </is>
      </c>
      <c r="E9620" t="inlineStr">
        <is>
          <t>SUNNE</t>
        </is>
      </c>
      <c r="G9620" t="n">
        <v>2.5</v>
      </c>
      <c r="H9620" t="n">
        <v>0</v>
      </c>
      <c r="I9620" t="n">
        <v>0</v>
      </c>
      <c r="J9620" t="n">
        <v>0</v>
      </c>
      <c r="K9620" t="n">
        <v>0</v>
      </c>
      <c r="L9620" t="n">
        <v>0</v>
      </c>
      <c r="M9620" t="n">
        <v>0</v>
      </c>
      <c r="N9620" t="n">
        <v>0</v>
      </c>
      <c r="O9620" t="n">
        <v>0</v>
      </c>
      <c r="P9620" t="n">
        <v>0</v>
      </c>
      <c r="Q9620" t="n">
        <v>0</v>
      </c>
      <c r="R9620" s="2" t="inlineStr"/>
    </row>
    <row r="9621" ht="15" customHeight="1">
      <c r="A9621" t="inlineStr">
        <is>
          <t>A 17995-2023</t>
        </is>
      </c>
      <c r="B9621" s="1" t="n">
        <v>45040</v>
      </c>
      <c r="C9621" s="1" t="n">
        <v>45810</v>
      </c>
      <c r="D9621" t="inlineStr">
        <is>
          <t>VÄRMLANDS LÄN</t>
        </is>
      </c>
      <c r="E9621" t="inlineStr">
        <is>
          <t>KARLSTAD</t>
        </is>
      </c>
      <c r="G9621" t="n">
        <v>6</v>
      </c>
      <c r="H9621" t="n">
        <v>0</v>
      </c>
      <c r="I9621" t="n">
        <v>0</v>
      </c>
      <c r="J9621" t="n">
        <v>0</v>
      </c>
      <c r="K9621" t="n">
        <v>0</v>
      </c>
      <c r="L9621" t="n">
        <v>0</v>
      </c>
      <c r="M9621" t="n">
        <v>0</v>
      </c>
      <c r="N9621" t="n">
        <v>0</v>
      </c>
      <c r="O9621" t="n">
        <v>0</v>
      </c>
      <c r="P9621" t="n">
        <v>0</v>
      </c>
      <c r="Q9621" t="n">
        <v>0</v>
      </c>
      <c r="R9621" s="2" t="inlineStr"/>
    </row>
    <row r="9622" ht="15" customHeight="1">
      <c r="A9622" t="inlineStr">
        <is>
          <t>A 18059-2023</t>
        </is>
      </c>
      <c r="B9622" s="1" t="n">
        <v>45040</v>
      </c>
      <c r="C9622" s="1" t="n">
        <v>45810</v>
      </c>
      <c r="D9622" t="inlineStr">
        <is>
          <t>VÄRMLANDS LÄN</t>
        </is>
      </c>
      <c r="E9622" t="inlineStr">
        <is>
          <t>EDA</t>
        </is>
      </c>
      <c r="G9622" t="n">
        <v>1.8</v>
      </c>
      <c r="H9622" t="n">
        <v>0</v>
      </c>
      <c r="I9622" t="n">
        <v>0</v>
      </c>
      <c r="J9622" t="n">
        <v>0</v>
      </c>
      <c r="K9622" t="n">
        <v>0</v>
      </c>
      <c r="L9622" t="n">
        <v>0</v>
      </c>
      <c r="M9622" t="n">
        <v>0</v>
      </c>
      <c r="N9622" t="n">
        <v>0</v>
      </c>
      <c r="O9622" t="n">
        <v>0</v>
      </c>
      <c r="P9622" t="n">
        <v>0</v>
      </c>
      <c r="Q9622" t="n">
        <v>0</v>
      </c>
      <c r="R9622" s="2" t="inlineStr"/>
    </row>
    <row r="9623" ht="15" customHeight="1">
      <c r="A9623" t="inlineStr">
        <is>
          <t>A 18119-2023</t>
        </is>
      </c>
      <c r="B9623" s="1" t="n">
        <v>45040</v>
      </c>
      <c r="C9623" s="1" t="n">
        <v>45810</v>
      </c>
      <c r="D9623" t="inlineStr">
        <is>
          <t>VÄRMLANDS LÄN</t>
        </is>
      </c>
      <c r="E9623" t="inlineStr">
        <is>
          <t>SUNNE</t>
        </is>
      </c>
      <c r="G9623" t="n">
        <v>4.3</v>
      </c>
      <c r="H9623" t="n">
        <v>0</v>
      </c>
      <c r="I9623" t="n">
        <v>0</v>
      </c>
      <c r="J9623" t="n">
        <v>0</v>
      </c>
      <c r="K9623" t="n">
        <v>0</v>
      </c>
      <c r="L9623" t="n">
        <v>0</v>
      </c>
      <c r="M9623" t="n">
        <v>0</v>
      </c>
      <c r="N9623" t="n">
        <v>0</v>
      </c>
      <c r="O9623" t="n">
        <v>0</v>
      </c>
      <c r="P9623" t="n">
        <v>0</v>
      </c>
      <c r="Q9623" t="n">
        <v>0</v>
      </c>
      <c r="R9623" s="2" t="inlineStr"/>
    </row>
    <row r="9624" ht="15" customHeight="1">
      <c r="A9624" t="inlineStr">
        <is>
          <t>A 18052-2023</t>
        </is>
      </c>
      <c r="B9624" s="1" t="n">
        <v>45040</v>
      </c>
      <c r="C9624" s="1" t="n">
        <v>45810</v>
      </c>
      <c r="D9624" t="inlineStr">
        <is>
          <t>VÄRMLANDS LÄN</t>
        </is>
      </c>
      <c r="E9624" t="inlineStr">
        <is>
          <t>SUNNE</t>
        </is>
      </c>
      <c r="G9624" t="n">
        <v>5.1</v>
      </c>
      <c r="H9624" t="n">
        <v>0</v>
      </c>
      <c r="I9624" t="n">
        <v>0</v>
      </c>
      <c r="J9624" t="n">
        <v>0</v>
      </c>
      <c r="K9624" t="n">
        <v>0</v>
      </c>
      <c r="L9624" t="n">
        <v>0</v>
      </c>
      <c r="M9624" t="n">
        <v>0</v>
      </c>
      <c r="N9624" t="n">
        <v>0</v>
      </c>
      <c r="O9624" t="n">
        <v>0</v>
      </c>
      <c r="P9624" t="n">
        <v>0</v>
      </c>
      <c r="Q9624" t="n">
        <v>0</v>
      </c>
      <c r="R9624" s="2" t="inlineStr"/>
    </row>
    <row r="9625" ht="15" customHeight="1">
      <c r="A9625" t="inlineStr">
        <is>
          <t>A 18056-2023</t>
        </is>
      </c>
      <c r="B9625" s="1" t="n">
        <v>45040</v>
      </c>
      <c r="C9625" s="1" t="n">
        <v>45810</v>
      </c>
      <c r="D9625" t="inlineStr">
        <is>
          <t>VÄRMLANDS LÄN</t>
        </is>
      </c>
      <c r="E9625" t="inlineStr">
        <is>
          <t>EDA</t>
        </is>
      </c>
      <c r="G9625" t="n">
        <v>1</v>
      </c>
      <c r="H9625" t="n">
        <v>0</v>
      </c>
      <c r="I9625" t="n">
        <v>0</v>
      </c>
      <c r="J9625" t="n">
        <v>0</v>
      </c>
      <c r="K9625" t="n">
        <v>0</v>
      </c>
      <c r="L9625" t="n">
        <v>0</v>
      </c>
      <c r="M9625" t="n">
        <v>0</v>
      </c>
      <c r="N9625" t="n">
        <v>0</v>
      </c>
      <c r="O9625" t="n">
        <v>0</v>
      </c>
      <c r="P9625" t="n">
        <v>0</v>
      </c>
      <c r="Q9625" t="n">
        <v>0</v>
      </c>
      <c r="R9625" s="2" t="inlineStr"/>
    </row>
    <row r="9626" ht="15" customHeight="1">
      <c r="A9626" t="inlineStr">
        <is>
          <t>A 18076-2023</t>
        </is>
      </c>
      <c r="B9626" s="1" t="n">
        <v>45040</v>
      </c>
      <c r="C9626" s="1" t="n">
        <v>45810</v>
      </c>
      <c r="D9626" t="inlineStr">
        <is>
          <t>VÄRMLANDS LÄN</t>
        </is>
      </c>
      <c r="E9626" t="inlineStr">
        <is>
          <t>EDA</t>
        </is>
      </c>
      <c r="G9626" t="n">
        <v>1.4</v>
      </c>
      <c r="H9626" t="n">
        <v>0</v>
      </c>
      <c r="I9626" t="n">
        <v>0</v>
      </c>
      <c r="J9626" t="n">
        <v>0</v>
      </c>
      <c r="K9626" t="n">
        <v>0</v>
      </c>
      <c r="L9626" t="n">
        <v>0</v>
      </c>
      <c r="M9626" t="n">
        <v>0</v>
      </c>
      <c r="N9626" t="n">
        <v>0</v>
      </c>
      <c r="O9626" t="n">
        <v>0</v>
      </c>
      <c r="P9626" t="n">
        <v>0</v>
      </c>
      <c r="Q9626" t="n">
        <v>0</v>
      </c>
      <c r="R9626" s="2" t="inlineStr"/>
    </row>
    <row r="9627" ht="15" customHeight="1">
      <c r="A9627" t="inlineStr">
        <is>
          <t>A 18108-2023</t>
        </is>
      </c>
      <c r="B9627" s="1" t="n">
        <v>45040</v>
      </c>
      <c r="C9627" s="1" t="n">
        <v>45810</v>
      </c>
      <c r="D9627" t="inlineStr">
        <is>
          <t>VÄRMLANDS LÄN</t>
        </is>
      </c>
      <c r="E9627" t="inlineStr">
        <is>
          <t>HAGFORS</t>
        </is>
      </c>
      <c r="G9627" t="n">
        <v>1.7</v>
      </c>
      <c r="H9627" t="n">
        <v>0</v>
      </c>
      <c r="I9627" t="n">
        <v>0</v>
      </c>
      <c r="J9627" t="n">
        <v>0</v>
      </c>
      <c r="K9627" t="n">
        <v>0</v>
      </c>
      <c r="L9627" t="n">
        <v>0</v>
      </c>
      <c r="M9627" t="n">
        <v>0</v>
      </c>
      <c r="N9627" t="n">
        <v>0</v>
      </c>
      <c r="O9627" t="n">
        <v>0</v>
      </c>
      <c r="P9627" t="n">
        <v>0</v>
      </c>
      <c r="Q9627" t="n">
        <v>0</v>
      </c>
      <c r="R9627" s="2" t="inlineStr"/>
    </row>
    <row r="9628" ht="15" customHeight="1">
      <c r="A9628" t="inlineStr">
        <is>
          <t>A 18117-2023</t>
        </is>
      </c>
      <c r="B9628" s="1" t="n">
        <v>45040</v>
      </c>
      <c r="C9628" s="1" t="n">
        <v>45810</v>
      </c>
      <c r="D9628" t="inlineStr">
        <is>
          <t>VÄRMLANDS LÄN</t>
        </is>
      </c>
      <c r="E9628" t="inlineStr">
        <is>
          <t>SUNNE</t>
        </is>
      </c>
      <c r="G9628" t="n">
        <v>1</v>
      </c>
      <c r="H9628" t="n">
        <v>0</v>
      </c>
      <c r="I9628" t="n">
        <v>0</v>
      </c>
      <c r="J9628" t="n">
        <v>0</v>
      </c>
      <c r="K9628" t="n">
        <v>0</v>
      </c>
      <c r="L9628" t="n">
        <v>0</v>
      </c>
      <c r="M9628" t="n">
        <v>0</v>
      </c>
      <c r="N9628" t="n">
        <v>0</v>
      </c>
      <c r="O9628" t="n">
        <v>0</v>
      </c>
      <c r="P9628" t="n">
        <v>0</v>
      </c>
      <c r="Q9628" t="n">
        <v>0</v>
      </c>
      <c r="R9628" s="2" t="inlineStr"/>
    </row>
    <row r="9629" ht="15" customHeight="1">
      <c r="A9629" t="inlineStr">
        <is>
          <t>A 18121-2023</t>
        </is>
      </c>
      <c r="B9629" s="1" t="n">
        <v>45040</v>
      </c>
      <c r="C9629" s="1" t="n">
        <v>45810</v>
      </c>
      <c r="D9629" t="inlineStr">
        <is>
          <t>VÄRMLANDS LÄN</t>
        </is>
      </c>
      <c r="E9629" t="inlineStr">
        <is>
          <t>SUNNE</t>
        </is>
      </c>
      <c r="G9629" t="n">
        <v>0.9</v>
      </c>
      <c r="H9629" t="n">
        <v>0</v>
      </c>
      <c r="I9629" t="n">
        <v>0</v>
      </c>
      <c r="J9629" t="n">
        <v>0</v>
      </c>
      <c r="K9629" t="n">
        <v>0</v>
      </c>
      <c r="L9629" t="n">
        <v>0</v>
      </c>
      <c r="M9629" t="n">
        <v>0</v>
      </c>
      <c r="N9629" t="n">
        <v>0</v>
      </c>
      <c r="O9629" t="n">
        <v>0</v>
      </c>
      <c r="P9629" t="n">
        <v>0</v>
      </c>
      <c r="Q9629" t="n">
        <v>0</v>
      </c>
      <c r="R9629" s="2" t="inlineStr"/>
    </row>
    <row r="9630" ht="15" customHeight="1">
      <c r="A9630" t="inlineStr">
        <is>
          <t>A 18130-2023</t>
        </is>
      </c>
      <c r="B9630" s="1" t="n">
        <v>45040</v>
      </c>
      <c r="C9630" s="1" t="n">
        <v>45810</v>
      </c>
      <c r="D9630" t="inlineStr">
        <is>
          <t>VÄRMLANDS LÄN</t>
        </is>
      </c>
      <c r="E9630" t="inlineStr">
        <is>
          <t>SUNNE</t>
        </is>
      </c>
      <c r="G9630" t="n">
        <v>1</v>
      </c>
      <c r="H9630" t="n">
        <v>0</v>
      </c>
      <c r="I9630" t="n">
        <v>0</v>
      </c>
      <c r="J9630" t="n">
        <v>0</v>
      </c>
      <c r="K9630" t="n">
        <v>0</v>
      </c>
      <c r="L9630" t="n">
        <v>0</v>
      </c>
      <c r="M9630" t="n">
        <v>0</v>
      </c>
      <c r="N9630" t="n">
        <v>0</v>
      </c>
      <c r="O9630" t="n">
        <v>0</v>
      </c>
      <c r="P9630" t="n">
        <v>0</v>
      </c>
      <c r="Q9630" t="n">
        <v>0</v>
      </c>
      <c r="R9630" s="2" t="inlineStr"/>
    </row>
    <row r="9631" ht="15" customHeight="1">
      <c r="A9631" t="inlineStr">
        <is>
          <t>A 17912-2023</t>
        </is>
      </c>
      <c r="B9631" s="1" t="n">
        <v>45040</v>
      </c>
      <c r="C9631" s="1" t="n">
        <v>45810</v>
      </c>
      <c r="D9631" t="inlineStr">
        <is>
          <t>VÄRMLANDS LÄN</t>
        </is>
      </c>
      <c r="E9631" t="inlineStr">
        <is>
          <t>EDA</t>
        </is>
      </c>
      <c r="G9631" t="n">
        <v>1.4</v>
      </c>
      <c r="H9631" t="n">
        <v>0</v>
      </c>
      <c r="I9631" t="n">
        <v>0</v>
      </c>
      <c r="J9631" t="n">
        <v>0</v>
      </c>
      <c r="K9631" t="n">
        <v>0</v>
      </c>
      <c r="L9631" t="n">
        <v>0</v>
      </c>
      <c r="M9631" t="n">
        <v>0</v>
      </c>
      <c r="N9631" t="n">
        <v>0</v>
      </c>
      <c r="O9631" t="n">
        <v>0</v>
      </c>
      <c r="P9631" t="n">
        <v>0</v>
      </c>
      <c r="Q9631" t="n">
        <v>0</v>
      </c>
      <c r="R9631" s="2" t="inlineStr"/>
    </row>
    <row r="9632" ht="15" customHeight="1">
      <c r="A9632" t="inlineStr">
        <is>
          <t>A 17963-2023</t>
        </is>
      </c>
      <c r="B9632" s="1" t="n">
        <v>45040</v>
      </c>
      <c r="C9632" s="1" t="n">
        <v>45810</v>
      </c>
      <c r="D9632" t="inlineStr">
        <is>
          <t>VÄRMLANDS LÄN</t>
        </is>
      </c>
      <c r="E9632" t="inlineStr">
        <is>
          <t>ARVIKA</t>
        </is>
      </c>
      <c r="F9632" t="inlineStr">
        <is>
          <t>Bergvik skog väst AB</t>
        </is>
      </c>
      <c r="G9632" t="n">
        <v>19.6</v>
      </c>
      <c r="H9632" t="n">
        <v>0</v>
      </c>
      <c r="I9632" t="n">
        <v>0</v>
      </c>
      <c r="J9632" t="n">
        <v>0</v>
      </c>
      <c r="K9632" t="n">
        <v>0</v>
      </c>
      <c r="L9632" t="n">
        <v>0</v>
      </c>
      <c r="M9632" t="n">
        <v>0</v>
      </c>
      <c r="N9632" t="n">
        <v>0</v>
      </c>
      <c r="O9632" t="n">
        <v>0</v>
      </c>
      <c r="P9632" t="n">
        <v>0</v>
      </c>
      <c r="Q9632" t="n">
        <v>0</v>
      </c>
      <c r="R9632" s="2" t="inlineStr"/>
    </row>
    <row r="9633" ht="15" customHeight="1">
      <c r="A9633" t="inlineStr">
        <is>
          <t>A 17991-2023</t>
        </is>
      </c>
      <c r="B9633" s="1" t="n">
        <v>45040</v>
      </c>
      <c r="C9633" s="1" t="n">
        <v>45810</v>
      </c>
      <c r="D9633" t="inlineStr">
        <is>
          <t>VÄRMLANDS LÄN</t>
        </is>
      </c>
      <c r="E9633" t="inlineStr">
        <is>
          <t>KARLSTAD</t>
        </is>
      </c>
      <c r="G9633" t="n">
        <v>2.1</v>
      </c>
      <c r="H9633" t="n">
        <v>0</v>
      </c>
      <c r="I9633" t="n">
        <v>0</v>
      </c>
      <c r="J9633" t="n">
        <v>0</v>
      </c>
      <c r="K9633" t="n">
        <v>0</v>
      </c>
      <c r="L9633" t="n">
        <v>0</v>
      </c>
      <c r="M9633" t="n">
        <v>0</v>
      </c>
      <c r="N9633" t="n">
        <v>0</v>
      </c>
      <c r="O9633" t="n">
        <v>0</v>
      </c>
      <c r="P9633" t="n">
        <v>0</v>
      </c>
      <c r="Q9633" t="n">
        <v>0</v>
      </c>
      <c r="R9633" s="2" t="inlineStr"/>
    </row>
    <row r="9634" ht="15" customHeight="1">
      <c r="A9634" t="inlineStr">
        <is>
          <t>A 18228-2023</t>
        </is>
      </c>
      <c r="B9634" s="1" t="n">
        <v>45040</v>
      </c>
      <c r="C9634" s="1" t="n">
        <v>45810</v>
      </c>
      <c r="D9634" t="inlineStr">
        <is>
          <t>VÄRMLANDS LÄN</t>
        </is>
      </c>
      <c r="E9634" t="inlineStr">
        <is>
          <t>SÄFFLE</t>
        </is>
      </c>
      <c r="G9634" t="n">
        <v>1.9</v>
      </c>
      <c r="H9634" t="n">
        <v>0</v>
      </c>
      <c r="I9634" t="n">
        <v>0</v>
      </c>
      <c r="J9634" t="n">
        <v>0</v>
      </c>
      <c r="K9634" t="n">
        <v>0</v>
      </c>
      <c r="L9634" t="n">
        <v>0</v>
      </c>
      <c r="M9634" t="n">
        <v>0</v>
      </c>
      <c r="N9634" t="n">
        <v>0</v>
      </c>
      <c r="O9634" t="n">
        <v>0</v>
      </c>
      <c r="P9634" t="n">
        <v>0</v>
      </c>
      <c r="Q9634" t="n">
        <v>0</v>
      </c>
      <c r="R9634" s="2" t="inlineStr"/>
    </row>
    <row r="9635" ht="15" customHeight="1">
      <c r="A9635" t="inlineStr">
        <is>
          <t>A 18181-2023</t>
        </is>
      </c>
      <c r="B9635" s="1" t="n">
        <v>45040</v>
      </c>
      <c r="C9635" s="1" t="n">
        <v>45810</v>
      </c>
      <c r="D9635" t="inlineStr">
        <is>
          <t>VÄRMLANDS LÄN</t>
        </is>
      </c>
      <c r="E9635" t="inlineStr">
        <is>
          <t>FILIPSTAD</t>
        </is>
      </c>
      <c r="G9635" t="n">
        <v>1.2</v>
      </c>
      <c r="H9635" t="n">
        <v>0</v>
      </c>
      <c r="I9635" t="n">
        <v>0</v>
      </c>
      <c r="J9635" t="n">
        <v>0</v>
      </c>
      <c r="K9635" t="n">
        <v>0</v>
      </c>
      <c r="L9635" t="n">
        <v>0</v>
      </c>
      <c r="M9635" t="n">
        <v>0</v>
      </c>
      <c r="N9635" t="n">
        <v>0</v>
      </c>
      <c r="O9635" t="n">
        <v>0</v>
      </c>
      <c r="P9635" t="n">
        <v>0</v>
      </c>
      <c r="Q9635" t="n">
        <v>0</v>
      </c>
      <c r="R9635" s="2" t="inlineStr"/>
    </row>
    <row r="9636" ht="15" customHeight="1">
      <c r="A9636" t="inlineStr">
        <is>
          <t>A 18222-2023</t>
        </is>
      </c>
      <c r="B9636" s="1" t="n">
        <v>45040</v>
      </c>
      <c r="C9636" s="1" t="n">
        <v>45810</v>
      </c>
      <c r="D9636" t="inlineStr">
        <is>
          <t>VÄRMLANDS LÄN</t>
        </is>
      </c>
      <c r="E9636" t="inlineStr">
        <is>
          <t>SÄFFLE</t>
        </is>
      </c>
      <c r="G9636" t="n">
        <v>5.5</v>
      </c>
      <c r="H9636" t="n">
        <v>0</v>
      </c>
      <c r="I9636" t="n">
        <v>0</v>
      </c>
      <c r="J9636" t="n">
        <v>0</v>
      </c>
      <c r="K9636" t="n">
        <v>0</v>
      </c>
      <c r="L9636" t="n">
        <v>0</v>
      </c>
      <c r="M9636" t="n">
        <v>0</v>
      </c>
      <c r="N9636" t="n">
        <v>0</v>
      </c>
      <c r="O9636" t="n">
        <v>0</v>
      </c>
      <c r="P9636" t="n">
        <v>0</v>
      </c>
      <c r="Q9636" t="n">
        <v>0</v>
      </c>
      <c r="R9636" s="2" t="inlineStr"/>
    </row>
    <row r="9637" ht="15" customHeight="1">
      <c r="A9637" t="inlineStr">
        <is>
          <t>A 18344-2023</t>
        </is>
      </c>
      <c r="B9637" s="1" t="n">
        <v>45040</v>
      </c>
      <c r="C9637" s="1" t="n">
        <v>45810</v>
      </c>
      <c r="D9637" t="inlineStr">
        <is>
          <t>VÄRMLANDS LÄN</t>
        </is>
      </c>
      <c r="E9637" t="inlineStr">
        <is>
          <t>SÄFFLE</t>
        </is>
      </c>
      <c r="G9637" t="n">
        <v>7.3</v>
      </c>
      <c r="H9637" t="n">
        <v>0</v>
      </c>
      <c r="I9637" t="n">
        <v>0</v>
      </c>
      <c r="J9637" t="n">
        <v>0</v>
      </c>
      <c r="K9637" t="n">
        <v>0</v>
      </c>
      <c r="L9637" t="n">
        <v>0</v>
      </c>
      <c r="M9637" t="n">
        <v>0</v>
      </c>
      <c r="N9637" t="n">
        <v>0</v>
      </c>
      <c r="O9637" t="n">
        <v>0</v>
      </c>
      <c r="P9637" t="n">
        <v>0</v>
      </c>
      <c r="Q9637" t="n">
        <v>0</v>
      </c>
      <c r="R9637" s="2" t="inlineStr"/>
    </row>
    <row r="9638" ht="15" customHeight="1">
      <c r="A9638" t="inlineStr">
        <is>
          <t>A 18178-2023</t>
        </is>
      </c>
      <c r="B9638" s="1" t="n">
        <v>45041</v>
      </c>
      <c r="C9638" s="1" t="n">
        <v>45810</v>
      </c>
      <c r="D9638" t="inlineStr">
        <is>
          <t>VÄRMLANDS LÄN</t>
        </is>
      </c>
      <c r="E9638" t="inlineStr">
        <is>
          <t>SUNNE</t>
        </is>
      </c>
      <c r="G9638" t="n">
        <v>5.5</v>
      </c>
      <c r="H9638" t="n">
        <v>0</v>
      </c>
      <c r="I9638" t="n">
        <v>0</v>
      </c>
      <c r="J9638" t="n">
        <v>0</v>
      </c>
      <c r="K9638" t="n">
        <v>0</v>
      </c>
      <c r="L9638" t="n">
        <v>0</v>
      </c>
      <c r="M9638" t="n">
        <v>0</v>
      </c>
      <c r="N9638" t="n">
        <v>0</v>
      </c>
      <c r="O9638" t="n">
        <v>0</v>
      </c>
      <c r="P9638" t="n">
        <v>0</v>
      </c>
      <c r="Q9638" t="n">
        <v>0</v>
      </c>
      <c r="R9638" s="2" t="inlineStr"/>
    </row>
    <row r="9639" ht="15" customHeight="1">
      <c r="A9639" t="inlineStr">
        <is>
          <t>A 18183-2023</t>
        </is>
      </c>
      <c r="B9639" s="1" t="n">
        <v>45041</v>
      </c>
      <c r="C9639" s="1" t="n">
        <v>45810</v>
      </c>
      <c r="D9639" t="inlineStr">
        <is>
          <t>VÄRMLANDS LÄN</t>
        </is>
      </c>
      <c r="E9639" t="inlineStr">
        <is>
          <t>SUNNE</t>
        </is>
      </c>
      <c r="G9639" t="n">
        <v>1</v>
      </c>
      <c r="H9639" t="n">
        <v>0</v>
      </c>
      <c r="I9639" t="n">
        <v>0</v>
      </c>
      <c r="J9639" t="n">
        <v>0</v>
      </c>
      <c r="K9639" t="n">
        <v>0</v>
      </c>
      <c r="L9639" t="n">
        <v>0</v>
      </c>
      <c r="M9639" t="n">
        <v>0</v>
      </c>
      <c r="N9639" t="n">
        <v>0</v>
      </c>
      <c r="O9639" t="n">
        <v>0</v>
      </c>
      <c r="P9639" t="n">
        <v>0</v>
      </c>
      <c r="Q9639" t="n">
        <v>0</v>
      </c>
      <c r="R9639" s="2" t="inlineStr"/>
    </row>
    <row r="9640" ht="15" customHeight="1">
      <c r="A9640" t="inlineStr">
        <is>
          <t>A 18191-2023</t>
        </is>
      </c>
      <c r="B9640" s="1" t="n">
        <v>45041</v>
      </c>
      <c r="C9640" s="1" t="n">
        <v>45810</v>
      </c>
      <c r="D9640" t="inlineStr">
        <is>
          <t>VÄRMLANDS LÄN</t>
        </is>
      </c>
      <c r="E9640" t="inlineStr">
        <is>
          <t>ARVIKA</t>
        </is>
      </c>
      <c r="F9640" t="inlineStr">
        <is>
          <t>Bergvik skog väst AB</t>
        </is>
      </c>
      <c r="G9640" t="n">
        <v>2</v>
      </c>
      <c r="H9640" t="n">
        <v>0</v>
      </c>
      <c r="I9640" t="n">
        <v>0</v>
      </c>
      <c r="J9640" t="n">
        <v>0</v>
      </c>
      <c r="K9640" t="n">
        <v>0</v>
      </c>
      <c r="L9640" t="n">
        <v>0</v>
      </c>
      <c r="M9640" t="n">
        <v>0</v>
      </c>
      <c r="N9640" t="n">
        <v>0</v>
      </c>
      <c r="O9640" t="n">
        <v>0</v>
      </c>
      <c r="P9640" t="n">
        <v>0</v>
      </c>
      <c r="Q9640" t="n">
        <v>0</v>
      </c>
      <c r="R9640" s="2" t="inlineStr"/>
    </row>
    <row r="9641" ht="15" customHeight="1">
      <c r="A9641" t="inlineStr">
        <is>
          <t>A 18244-2023</t>
        </is>
      </c>
      <c r="B9641" s="1" t="n">
        <v>45041</v>
      </c>
      <c r="C9641" s="1" t="n">
        <v>45810</v>
      </c>
      <c r="D9641" t="inlineStr">
        <is>
          <t>VÄRMLANDS LÄN</t>
        </is>
      </c>
      <c r="E9641" t="inlineStr">
        <is>
          <t>TORSBY</t>
        </is>
      </c>
      <c r="G9641" t="n">
        <v>0.6</v>
      </c>
      <c r="H9641" t="n">
        <v>0</v>
      </c>
      <c r="I9641" t="n">
        <v>0</v>
      </c>
      <c r="J9641" t="n">
        <v>0</v>
      </c>
      <c r="K9641" t="n">
        <v>0</v>
      </c>
      <c r="L9641" t="n">
        <v>0</v>
      </c>
      <c r="M9641" t="n">
        <v>0</v>
      </c>
      <c r="N9641" t="n">
        <v>0</v>
      </c>
      <c r="O9641" t="n">
        <v>0</v>
      </c>
      <c r="P9641" t="n">
        <v>0</v>
      </c>
      <c r="Q9641" t="n">
        <v>0</v>
      </c>
      <c r="R9641" s="2" t="inlineStr"/>
    </row>
    <row r="9642" ht="15" customHeight="1">
      <c r="A9642" t="inlineStr">
        <is>
          <t>A 18287-2023</t>
        </is>
      </c>
      <c r="B9642" s="1" t="n">
        <v>45041</v>
      </c>
      <c r="C9642" s="1" t="n">
        <v>45810</v>
      </c>
      <c r="D9642" t="inlineStr">
        <is>
          <t>VÄRMLANDS LÄN</t>
        </is>
      </c>
      <c r="E9642" t="inlineStr">
        <is>
          <t>HAGFORS</t>
        </is>
      </c>
      <c r="F9642" t="inlineStr">
        <is>
          <t>Bergvik skog väst AB</t>
        </is>
      </c>
      <c r="G9642" t="n">
        <v>9.5</v>
      </c>
      <c r="H9642" t="n">
        <v>0</v>
      </c>
      <c r="I9642" t="n">
        <v>0</v>
      </c>
      <c r="J9642" t="n">
        <v>0</v>
      </c>
      <c r="K9642" t="n">
        <v>0</v>
      </c>
      <c r="L9642" t="n">
        <v>0</v>
      </c>
      <c r="M9642" t="n">
        <v>0</v>
      </c>
      <c r="N9642" t="n">
        <v>0</v>
      </c>
      <c r="O9642" t="n">
        <v>0</v>
      </c>
      <c r="P9642" t="n">
        <v>0</v>
      </c>
      <c r="Q9642" t="n">
        <v>0</v>
      </c>
      <c r="R9642" s="2" t="inlineStr"/>
    </row>
    <row r="9643" ht="15" customHeight="1">
      <c r="A9643" t="inlineStr">
        <is>
          <t>A 18210-2023</t>
        </is>
      </c>
      <c r="B9643" s="1" t="n">
        <v>45041</v>
      </c>
      <c r="C9643" s="1" t="n">
        <v>45810</v>
      </c>
      <c r="D9643" t="inlineStr">
        <is>
          <t>VÄRMLANDS LÄN</t>
        </is>
      </c>
      <c r="E9643" t="inlineStr">
        <is>
          <t>ÅRJÄNG</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18215-2023</t>
        </is>
      </c>
      <c r="B9644" s="1" t="n">
        <v>45041</v>
      </c>
      <c r="C9644" s="1" t="n">
        <v>45810</v>
      </c>
      <c r="D9644" t="inlineStr">
        <is>
          <t>VÄRMLANDS LÄN</t>
        </is>
      </c>
      <c r="E9644" t="inlineStr">
        <is>
          <t>HAGFORS</t>
        </is>
      </c>
      <c r="F9644" t="inlineStr">
        <is>
          <t>Kyrkan</t>
        </is>
      </c>
      <c r="G9644" t="n">
        <v>6.7</v>
      </c>
      <c r="H9644" t="n">
        <v>0</v>
      </c>
      <c r="I9644" t="n">
        <v>0</v>
      </c>
      <c r="J9644" t="n">
        <v>0</v>
      </c>
      <c r="K9644" t="n">
        <v>0</v>
      </c>
      <c r="L9644" t="n">
        <v>0</v>
      </c>
      <c r="M9644" t="n">
        <v>0</v>
      </c>
      <c r="N9644" t="n">
        <v>0</v>
      </c>
      <c r="O9644" t="n">
        <v>0</v>
      </c>
      <c r="P9644" t="n">
        <v>0</v>
      </c>
      <c r="Q9644" t="n">
        <v>0</v>
      </c>
      <c r="R9644" s="2" t="inlineStr"/>
    </row>
    <row r="9645" ht="15" customHeight="1">
      <c r="A9645" t="inlineStr">
        <is>
          <t>A 18220-2023</t>
        </is>
      </c>
      <c r="B9645" s="1" t="n">
        <v>45041</v>
      </c>
      <c r="C9645" s="1" t="n">
        <v>45810</v>
      </c>
      <c r="D9645" t="inlineStr">
        <is>
          <t>VÄRMLANDS LÄN</t>
        </is>
      </c>
      <c r="E9645" t="inlineStr">
        <is>
          <t>SUNNE</t>
        </is>
      </c>
      <c r="G9645" t="n">
        <v>0.6</v>
      </c>
      <c r="H9645" t="n">
        <v>0</v>
      </c>
      <c r="I9645" t="n">
        <v>0</v>
      </c>
      <c r="J9645" t="n">
        <v>0</v>
      </c>
      <c r="K9645" t="n">
        <v>0</v>
      </c>
      <c r="L9645" t="n">
        <v>0</v>
      </c>
      <c r="M9645" t="n">
        <v>0</v>
      </c>
      <c r="N9645" t="n">
        <v>0</v>
      </c>
      <c r="O9645" t="n">
        <v>0</v>
      </c>
      <c r="P9645" t="n">
        <v>0</v>
      </c>
      <c r="Q9645" t="n">
        <v>0</v>
      </c>
      <c r="R9645" s="2" t="inlineStr"/>
    </row>
    <row r="9646" ht="15" customHeight="1">
      <c r="A9646" t="inlineStr">
        <is>
          <t>A 18179-2023</t>
        </is>
      </c>
      <c r="B9646" s="1" t="n">
        <v>45041</v>
      </c>
      <c r="C9646" s="1" t="n">
        <v>45810</v>
      </c>
      <c r="D9646" t="inlineStr">
        <is>
          <t>VÄRMLANDS LÄN</t>
        </is>
      </c>
      <c r="E9646" t="inlineStr">
        <is>
          <t>SUNNE</t>
        </is>
      </c>
      <c r="G9646" t="n">
        <v>1.8</v>
      </c>
      <c r="H9646" t="n">
        <v>0</v>
      </c>
      <c r="I9646" t="n">
        <v>0</v>
      </c>
      <c r="J9646" t="n">
        <v>0</v>
      </c>
      <c r="K9646" t="n">
        <v>0</v>
      </c>
      <c r="L9646" t="n">
        <v>0</v>
      </c>
      <c r="M9646" t="n">
        <v>0</v>
      </c>
      <c r="N9646" t="n">
        <v>0</v>
      </c>
      <c r="O9646" t="n">
        <v>0</v>
      </c>
      <c r="P9646" t="n">
        <v>0</v>
      </c>
      <c r="Q9646" t="n">
        <v>0</v>
      </c>
      <c r="R9646" s="2" t="inlineStr"/>
    </row>
    <row r="9647" ht="15" customHeight="1">
      <c r="A9647" t="inlineStr">
        <is>
          <t>A 18255-2023</t>
        </is>
      </c>
      <c r="B9647" s="1" t="n">
        <v>45041</v>
      </c>
      <c r="C9647" s="1" t="n">
        <v>45810</v>
      </c>
      <c r="D9647" t="inlineStr">
        <is>
          <t>VÄRMLANDS LÄN</t>
        </is>
      </c>
      <c r="E9647" t="inlineStr">
        <is>
          <t>HAGFORS</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18260-2023</t>
        </is>
      </c>
      <c r="B9648" s="1" t="n">
        <v>45041</v>
      </c>
      <c r="C9648" s="1" t="n">
        <v>45810</v>
      </c>
      <c r="D9648" t="inlineStr">
        <is>
          <t>VÄRMLANDS LÄN</t>
        </is>
      </c>
      <c r="E9648" t="inlineStr">
        <is>
          <t>ÅRJÄNG</t>
        </is>
      </c>
      <c r="G9648" t="n">
        <v>5.3</v>
      </c>
      <c r="H9648" t="n">
        <v>0</v>
      </c>
      <c r="I9648" t="n">
        <v>0</v>
      </c>
      <c r="J9648" t="n">
        <v>0</v>
      </c>
      <c r="K9648" t="n">
        <v>0</v>
      </c>
      <c r="L9648" t="n">
        <v>0</v>
      </c>
      <c r="M9648" t="n">
        <v>0</v>
      </c>
      <c r="N9648" t="n">
        <v>0</v>
      </c>
      <c r="O9648" t="n">
        <v>0</v>
      </c>
      <c r="P9648" t="n">
        <v>0</v>
      </c>
      <c r="Q9648" t="n">
        <v>0</v>
      </c>
      <c r="R9648" s="2" t="inlineStr"/>
    </row>
    <row r="9649" ht="15" customHeight="1">
      <c r="A9649" t="inlineStr">
        <is>
          <t>A 18299-2023</t>
        </is>
      </c>
      <c r="B9649" s="1" t="n">
        <v>45041</v>
      </c>
      <c r="C9649" s="1" t="n">
        <v>45810</v>
      </c>
      <c r="D9649" t="inlineStr">
        <is>
          <t>VÄRMLANDS LÄN</t>
        </is>
      </c>
      <c r="E9649" t="inlineStr">
        <is>
          <t>SÄFFLE</t>
        </is>
      </c>
      <c r="G9649" t="n">
        <v>1</v>
      </c>
      <c r="H9649" t="n">
        <v>0</v>
      </c>
      <c r="I9649" t="n">
        <v>0</v>
      </c>
      <c r="J9649" t="n">
        <v>0</v>
      </c>
      <c r="K9649" t="n">
        <v>0</v>
      </c>
      <c r="L9649" t="n">
        <v>0</v>
      </c>
      <c r="M9649" t="n">
        <v>0</v>
      </c>
      <c r="N9649" t="n">
        <v>0</v>
      </c>
      <c r="O9649" t="n">
        <v>0</v>
      </c>
      <c r="P9649" t="n">
        <v>0</v>
      </c>
      <c r="Q9649" t="n">
        <v>0</v>
      </c>
      <c r="R9649" s="2" t="inlineStr"/>
    </row>
    <row r="9650" ht="15" customHeight="1">
      <c r="A9650" t="inlineStr">
        <is>
          <t>A 18318-2023</t>
        </is>
      </c>
      <c r="B9650" s="1" t="n">
        <v>45041</v>
      </c>
      <c r="C9650" s="1" t="n">
        <v>45810</v>
      </c>
      <c r="D9650" t="inlineStr">
        <is>
          <t>VÄRMLANDS LÄN</t>
        </is>
      </c>
      <c r="E9650" t="inlineStr">
        <is>
          <t>KRISTINEHAMN</t>
        </is>
      </c>
      <c r="G9650" t="n">
        <v>0.6</v>
      </c>
      <c r="H9650" t="n">
        <v>0</v>
      </c>
      <c r="I9650" t="n">
        <v>0</v>
      </c>
      <c r="J9650" t="n">
        <v>0</v>
      </c>
      <c r="K9650" t="n">
        <v>0</v>
      </c>
      <c r="L9650" t="n">
        <v>0</v>
      </c>
      <c r="M9650" t="n">
        <v>0</v>
      </c>
      <c r="N9650" t="n">
        <v>0</v>
      </c>
      <c r="O9650" t="n">
        <v>0</v>
      </c>
      <c r="P9650" t="n">
        <v>0</v>
      </c>
      <c r="Q9650" t="n">
        <v>0</v>
      </c>
      <c r="R9650" s="2" t="inlineStr"/>
    </row>
    <row r="9651" ht="15" customHeight="1">
      <c r="A9651" t="inlineStr">
        <is>
          <t>A 18338-2023</t>
        </is>
      </c>
      <c r="B9651" s="1" t="n">
        <v>45041</v>
      </c>
      <c r="C9651" s="1" t="n">
        <v>45810</v>
      </c>
      <c r="D9651" t="inlineStr">
        <is>
          <t>VÄRMLANDS LÄN</t>
        </is>
      </c>
      <c r="E9651" t="inlineStr">
        <is>
          <t>TORSBY</t>
        </is>
      </c>
      <c r="F9651" t="inlineStr">
        <is>
          <t>Bergvik skog väst AB</t>
        </is>
      </c>
      <c r="G9651" t="n">
        <v>7.4</v>
      </c>
      <c r="H9651" t="n">
        <v>0</v>
      </c>
      <c r="I9651" t="n">
        <v>0</v>
      </c>
      <c r="J9651" t="n">
        <v>0</v>
      </c>
      <c r="K9651" t="n">
        <v>0</v>
      </c>
      <c r="L9651" t="n">
        <v>0</v>
      </c>
      <c r="M9651" t="n">
        <v>0</v>
      </c>
      <c r="N9651" t="n">
        <v>0</v>
      </c>
      <c r="O9651" t="n">
        <v>0</v>
      </c>
      <c r="P9651" t="n">
        <v>0</v>
      </c>
      <c r="Q9651" t="n">
        <v>0</v>
      </c>
      <c r="R9651" s="2" t="inlineStr"/>
    </row>
    <row r="9652" ht="15" customHeight="1">
      <c r="A9652" t="inlineStr">
        <is>
          <t>A 18313-2023</t>
        </is>
      </c>
      <c r="B9652" s="1" t="n">
        <v>45041</v>
      </c>
      <c r="C9652" s="1" t="n">
        <v>45810</v>
      </c>
      <c r="D9652" t="inlineStr">
        <is>
          <t>VÄRMLANDS LÄN</t>
        </is>
      </c>
      <c r="E9652" t="inlineStr">
        <is>
          <t>MUNKFORS</t>
        </is>
      </c>
      <c r="G9652" t="n">
        <v>2.9</v>
      </c>
      <c r="H9652" t="n">
        <v>0</v>
      </c>
      <c r="I9652" t="n">
        <v>0</v>
      </c>
      <c r="J9652" t="n">
        <v>0</v>
      </c>
      <c r="K9652" t="n">
        <v>0</v>
      </c>
      <c r="L9652" t="n">
        <v>0</v>
      </c>
      <c r="M9652" t="n">
        <v>0</v>
      </c>
      <c r="N9652" t="n">
        <v>0</v>
      </c>
      <c r="O9652" t="n">
        <v>0</v>
      </c>
      <c r="P9652" t="n">
        <v>0</v>
      </c>
      <c r="Q9652" t="n">
        <v>0</v>
      </c>
      <c r="R9652" s="2" t="inlineStr"/>
    </row>
    <row r="9653" ht="15" customHeight="1">
      <c r="A9653" t="inlineStr">
        <is>
          <t>A 18317-2023</t>
        </is>
      </c>
      <c r="B9653" s="1" t="n">
        <v>45041</v>
      </c>
      <c r="C9653" s="1" t="n">
        <v>45810</v>
      </c>
      <c r="D9653" t="inlineStr">
        <is>
          <t>VÄRMLANDS LÄN</t>
        </is>
      </c>
      <c r="E9653" t="inlineStr">
        <is>
          <t>KARLSTAD</t>
        </is>
      </c>
      <c r="G9653" t="n">
        <v>1</v>
      </c>
      <c r="H9653" t="n">
        <v>0</v>
      </c>
      <c r="I9653" t="n">
        <v>0</v>
      </c>
      <c r="J9653" t="n">
        <v>0</v>
      </c>
      <c r="K9653" t="n">
        <v>0</v>
      </c>
      <c r="L9653" t="n">
        <v>0</v>
      </c>
      <c r="M9653" t="n">
        <v>0</v>
      </c>
      <c r="N9653" t="n">
        <v>0</v>
      </c>
      <c r="O9653" t="n">
        <v>0</v>
      </c>
      <c r="P9653" t="n">
        <v>0</v>
      </c>
      <c r="Q9653" t="n">
        <v>0</v>
      </c>
      <c r="R9653" s="2" t="inlineStr"/>
    </row>
    <row r="9654" ht="15" customHeight="1">
      <c r="A9654" t="inlineStr">
        <is>
          <t>A 18256-2023</t>
        </is>
      </c>
      <c r="B9654" s="1" t="n">
        <v>45041</v>
      </c>
      <c r="C9654" s="1" t="n">
        <v>45810</v>
      </c>
      <c r="D9654" t="inlineStr">
        <is>
          <t>VÄRMLANDS LÄN</t>
        </is>
      </c>
      <c r="E9654" t="inlineStr">
        <is>
          <t>FILIPSTAD</t>
        </is>
      </c>
      <c r="F9654" t="inlineStr">
        <is>
          <t>Bergvik skog väst AB</t>
        </is>
      </c>
      <c r="G9654" t="n">
        <v>8.1</v>
      </c>
      <c r="H9654" t="n">
        <v>0</v>
      </c>
      <c r="I9654" t="n">
        <v>0</v>
      </c>
      <c r="J9654" t="n">
        <v>0</v>
      </c>
      <c r="K9654" t="n">
        <v>0</v>
      </c>
      <c r="L9654" t="n">
        <v>0</v>
      </c>
      <c r="M9654" t="n">
        <v>0</v>
      </c>
      <c r="N9654" t="n">
        <v>0</v>
      </c>
      <c r="O9654" t="n">
        <v>0</v>
      </c>
      <c r="P9654" t="n">
        <v>0</v>
      </c>
      <c r="Q9654" t="n">
        <v>0</v>
      </c>
      <c r="R9654" s="2" t="inlineStr"/>
    </row>
    <row r="9655" ht="15" customHeight="1">
      <c r="A9655" t="inlineStr">
        <is>
          <t>A 18266-2023</t>
        </is>
      </c>
      <c r="B9655" s="1" t="n">
        <v>45041</v>
      </c>
      <c r="C9655" s="1" t="n">
        <v>45810</v>
      </c>
      <c r="D9655" t="inlineStr">
        <is>
          <t>VÄRMLANDS LÄN</t>
        </is>
      </c>
      <c r="E9655" t="inlineStr">
        <is>
          <t>ÅRJÄNG</t>
        </is>
      </c>
      <c r="G9655" t="n">
        <v>2</v>
      </c>
      <c r="H9655" t="n">
        <v>0</v>
      </c>
      <c r="I9655" t="n">
        <v>0</v>
      </c>
      <c r="J9655" t="n">
        <v>0</v>
      </c>
      <c r="K9655" t="n">
        <v>0</v>
      </c>
      <c r="L9655" t="n">
        <v>0</v>
      </c>
      <c r="M9655" t="n">
        <v>0</v>
      </c>
      <c r="N9655" t="n">
        <v>0</v>
      </c>
      <c r="O9655" t="n">
        <v>0</v>
      </c>
      <c r="P9655" t="n">
        <v>0</v>
      </c>
      <c r="Q9655" t="n">
        <v>0</v>
      </c>
      <c r="R9655" s="2" t="inlineStr"/>
    </row>
    <row r="9656" ht="15" customHeight="1">
      <c r="A9656" t="inlineStr">
        <is>
          <t>A 18271-2023</t>
        </is>
      </c>
      <c r="B9656" s="1" t="n">
        <v>45041</v>
      </c>
      <c r="C9656" s="1" t="n">
        <v>45810</v>
      </c>
      <c r="D9656" t="inlineStr">
        <is>
          <t>VÄRMLANDS LÄN</t>
        </is>
      </c>
      <c r="E9656" t="inlineStr">
        <is>
          <t>FORSHAGA</t>
        </is>
      </c>
      <c r="F9656" t="inlineStr">
        <is>
          <t>Bergvik skog väst AB</t>
        </is>
      </c>
      <c r="G9656" t="n">
        <v>1.4</v>
      </c>
      <c r="H9656" t="n">
        <v>0</v>
      </c>
      <c r="I9656" t="n">
        <v>0</v>
      </c>
      <c r="J9656" t="n">
        <v>0</v>
      </c>
      <c r="K9656" t="n">
        <v>0</v>
      </c>
      <c r="L9656" t="n">
        <v>0</v>
      </c>
      <c r="M9656" t="n">
        <v>0</v>
      </c>
      <c r="N9656" t="n">
        <v>0</v>
      </c>
      <c r="O9656" t="n">
        <v>0</v>
      </c>
      <c r="P9656" t="n">
        <v>0</v>
      </c>
      <c r="Q9656" t="n">
        <v>0</v>
      </c>
      <c r="R9656" s="2" t="inlineStr"/>
    </row>
    <row r="9657" ht="15" customHeight="1">
      <c r="A9657" t="inlineStr">
        <is>
          <t>A 18315-2023</t>
        </is>
      </c>
      <c r="B9657" s="1" t="n">
        <v>45041</v>
      </c>
      <c r="C9657" s="1" t="n">
        <v>45810</v>
      </c>
      <c r="D9657" t="inlineStr">
        <is>
          <t>VÄRMLANDS LÄN</t>
        </is>
      </c>
      <c r="E9657" t="inlineStr">
        <is>
          <t>KRISTINEHAMN</t>
        </is>
      </c>
      <c r="G9657" t="n">
        <v>0.7</v>
      </c>
      <c r="H9657" t="n">
        <v>0</v>
      </c>
      <c r="I9657" t="n">
        <v>0</v>
      </c>
      <c r="J9657" t="n">
        <v>0</v>
      </c>
      <c r="K9657" t="n">
        <v>0</v>
      </c>
      <c r="L9657" t="n">
        <v>0</v>
      </c>
      <c r="M9657" t="n">
        <v>0</v>
      </c>
      <c r="N9657" t="n">
        <v>0</v>
      </c>
      <c r="O9657" t="n">
        <v>0</v>
      </c>
      <c r="P9657" t="n">
        <v>0</v>
      </c>
      <c r="Q9657" t="n">
        <v>0</v>
      </c>
      <c r="R9657" s="2" t="inlineStr"/>
    </row>
    <row r="9658" ht="15" customHeight="1">
      <c r="A9658" t="inlineStr">
        <is>
          <t>A 18319-2023</t>
        </is>
      </c>
      <c r="B9658" s="1" t="n">
        <v>45041</v>
      </c>
      <c r="C9658" s="1" t="n">
        <v>45810</v>
      </c>
      <c r="D9658" t="inlineStr">
        <is>
          <t>VÄRMLANDS LÄN</t>
        </is>
      </c>
      <c r="E9658" t="inlineStr">
        <is>
          <t>KRISTINEHAMN</t>
        </is>
      </c>
      <c r="G9658" t="n">
        <v>0.8</v>
      </c>
      <c r="H9658" t="n">
        <v>0</v>
      </c>
      <c r="I9658" t="n">
        <v>0</v>
      </c>
      <c r="J9658" t="n">
        <v>0</v>
      </c>
      <c r="K9658" t="n">
        <v>0</v>
      </c>
      <c r="L9658" t="n">
        <v>0</v>
      </c>
      <c r="M9658" t="n">
        <v>0</v>
      </c>
      <c r="N9658" t="n">
        <v>0</v>
      </c>
      <c r="O9658" t="n">
        <v>0</v>
      </c>
      <c r="P9658" t="n">
        <v>0</v>
      </c>
      <c r="Q9658" t="n">
        <v>0</v>
      </c>
      <c r="R9658" s="2" t="inlineStr"/>
    </row>
    <row r="9659" ht="15" customHeight="1">
      <c r="A9659" t="inlineStr">
        <is>
          <t>A 18336-2023</t>
        </is>
      </c>
      <c r="B9659" s="1" t="n">
        <v>45041</v>
      </c>
      <c r="C9659" s="1" t="n">
        <v>45810</v>
      </c>
      <c r="D9659" t="inlineStr">
        <is>
          <t>VÄRMLANDS LÄN</t>
        </is>
      </c>
      <c r="E9659" t="inlineStr">
        <is>
          <t>KIL</t>
        </is>
      </c>
      <c r="F9659" t="inlineStr">
        <is>
          <t>Bergvik skog väst AB</t>
        </is>
      </c>
      <c r="G9659" t="n">
        <v>2.5</v>
      </c>
      <c r="H9659" t="n">
        <v>0</v>
      </c>
      <c r="I9659" t="n">
        <v>0</v>
      </c>
      <c r="J9659" t="n">
        <v>0</v>
      </c>
      <c r="K9659" t="n">
        <v>0</v>
      </c>
      <c r="L9659" t="n">
        <v>0</v>
      </c>
      <c r="M9659" t="n">
        <v>0</v>
      </c>
      <c r="N9659" t="n">
        <v>0</v>
      </c>
      <c r="O9659" t="n">
        <v>0</v>
      </c>
      <c r="P9659" t="n">
        <v>0</v>
      </c>
      <c r="Q9659" t="n">
        <v>0</v>
      </c>
      <c r="R9659" s="2" t="inlineStr"/>
    </row>
    <row r="9660" ht="15" customHeight="1">
      <c r="A9660" t="inlineStr">
        <is>
          <t>A 18341-2023</t>
        </is>
      </c>
      <c r="B9660" s="1" t="n">
        <v>45041</v>
      </c>
      <c r="C9660" s="1" t="n">
        <v>45810</v>
      </c>
      <c r="D9660" t="inlineStr">
        <is>
          <t>VÄRMLANDS LÄN</t>
        </is>
      </c>
      <c r="E9660" t="inlineStr">
        <is>
          <t>SÄFFLE</t>
        </is>
      </c>
      <c r="G9660" t="n">
        <v>1.1</v>
      </c>
      <c r="H9660" t="n">
        <v>0</v>
      </c>
      <c r="I9660" t="n">
        <v>0</v>
      </c>
      <c r="J9660" t="n">
        <v>0</v>
      </c>
      <c r="K9660" t="n">
        <v>0</v>
      </c>
      <c r="L9660" t="n">
        <v>0</v>
      </c>
      <c r="M9660" t="n">
        <v>0</v>
      </c>
      <c r="N9660" t="n">
        <v>0</v>
      </c>
      <c r="O9660" t="n">
        <v>0</v>
      </c>
      <c r="P9660" t="n">
        <v>0</v>
      </c>
      <c r="Q9660" t="n">
        <v>0</v>
      </c>
      <c r="R9660" s="2" t="inlineStr"/>
    </row>
    <row r="9661" ht="15" customHeight="1">
      <c r="A9661" t="inlineStr">
        <is>
          <t>A 18356-2023</t>
        </is>
      </c>
      <c r="B9661" s="1" t="n">
        <v>45041</v>
      </c>
      <c r="C9661" s="1" t="n">
        <v>45810</v>
      </c>
      <c r="D9661" t="inlineStr">
        <is>
          <t>VÄRMLANDS LÄN</t>
        </is>
      </c>
      <c r="E9661" t="inlineStr">
        <is>
          <t>KARLSTAD</t>
        </is>
      </c>
      <c r="G9661" t="n">
        <v>3.3</v>
      </c>
      <c r="H9661" t="n">
        <v>0</v>
      </c>
      <c r="I9661" t="n">
        <v>0</v>
      </c>
      <c r="J9661" t="n">
        <v>0</v>
      </c>
      <c r="K9661" t="n">
        <v>0</v>
      </c>
      <c r="L9661" t="n">
        <v>0</v>
      </c>
      <c r="M9661" t="n">
        <v>0</v>
      </c>
      <c r="N9661" t="n">
        <v>0</v>
      </c>
      <c r="O9661" t="n">
        <v>0</v>
      </c>
      <c r="P9661" t="n">
        <v>0</v>
      </c>
      <c r="Q9661" t="n">
        <v>0</v>
      </c>
      <c r="R9661" s="2" t="inlineStr"/>
    </row>
    <row r="9662" ht="15" customHeight="1">
      <c r="A9662" t="inlineStr">
        <is>
          <t>A 18345-2023</t>
        </is>
      </c>
      <c r="B9662" s="1" t="n">
        <v>45041</v>
      </c>
      <c r="C9662" s="1" t="n">
        <v>45810</v>
      </c>
      <c r="D9662" t="inlineStr">
        <is>
          <t>VÄRMLANDS LÄN</t>
        </is>
      </c>
      <c r="E9662" t="inlineStr">
        <is>
          <t>SÄFFLE</t>
        </is>
      </c>
      <c r="G9662" t="n">
        <v>0.6</v>
      </c>
      <c r="H9662" t="n">
        <v>0</v>
      </c>
      <c r="I9662" t="n">
        <v>0</v>
      </c>
      <c r="J9662" t="n">
        <v>0</v>
      </c>
      <c r="K9662" t="n">
        <v>0</v>
      </c>
      <c r="L9662" t="n">
        <v>0</v>
      </c>
      <c r="M9662" t="n">
        <v>0</v>
      </c>
      <c r="N9662" t="n">
        <v>0</v>
      </c>
      <c r="O9662" t="n">
        <v>0</v>
      </c>
      <c r="P9662" t="n">
        <v>0</v>
      </c>
      <c r="Q9662" t="n">
        <v>0</v>
      </c>
      <c r="R9662" s="2" t="inlineStr"/>
    </row>
    <row r="9663" ht="15" customHeight="1">
      <c r="A9663" t="inlineStr">
        <is>
          <t>A 18544-2023</t>
        </is>
      </c>
      <c r="B9663" s="1" t="n">
        <v>45041</v>
      </c>
      <c r="C9663" s="1" t="n">
        <v>45810</v>
      </c>
      <c r="D9663" t="inlineStr">
        <is>
          <t>VÄRMLANDS LÄN</t>
        </is>
      </c>
      <c r="E9663" t="inlineStr">
        <is>
          <t>TORSBY</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18618-2023</t>
        </is>
      </c>
      <c r="B9664" s="1" t="n">
        <v>45041</v>
      </c>
      <c r="C9664" s="1" t="n">
        <v>45810</v>
      </c>
      <c r="D9664" t="inlineStr">
        <is>
          <t>VÄRMLANDS LÄN</t>
        </is>
      </c>
      <c r="E9664" t="inlineStr">
        <is>
          <t>EDA</t>
        </is>
      </c>
      <c r="G9664" t="n">
        <v>0.5</v>
      </c>
      <c r="H9664" t="n">
        <v>0</v>
      </c>
      <c r="I9664" t="n">
        <v>0</v>
      </c>
      <c r="J9664" t="n">
        <v>0</v>
      </c>
      <c r="K9664" t="n">
        <v>0</v>
      </c>
      <c r="L9664" t="n">
        <v>0</v>
      </c>
      <c r="M9664" t="n">
        <v>0</v>
      </c>
      <c r="N9664" t="n">
        <v>0</v>
      </c>
      <c r="O9664" t="n">
        <v>0</v>
      </c>
      <c r="P9664" t="n">
        <v>0</v>
      </c>
      <c r="Q9664" t="n">
        <v>0</v>
      </c>
      <c r="R9664" s="2" t="inlineStr"/>
    </row>
    <row r="9665" ht="15" customHeight="1">
      <c r="A9665" t="inlineStr">
        <is>
          <t>A 18594-2023</t>
        </is>
      </c>
      <c r="B9665" s="1" t="n">
        <v>45041</v>
      </c>
      <c r="C9665" s="1" t="n">
        <v>45810</v>
      </c>
      <c r="D9665" t="inlineStr">
        <is>
          <t>VÄRMLANDS LÄN</t>
        </is>
      </c>
      <c r="E9665" t="inlineStr">
        <is>
          <t>EDA</t>
        </is>
      </c>
      <c r="G9665" t="n">
        <v>1.7</v>
      </c>
      <c r="H9665" t="n">
        <v>0</v>
      </c>
      <c r="I9665" t="n">
        <v>0</v>
      </c>
      <c r="J9665" t="n">
        <v>0</v>
      </c>
      <c r="K9665" t="n">
        <v>0</v>
      </c>
      <c r="L9665" t="n">
        <v>0</v>
      </c>
      <c r="M9665" t="n">
        <v>0</v>
      </c>
      <c r="N9665" t="n">
        <v>0</v>
      </c>
      <c r="O9665" t="n">
        <v>0</v>
      </c>
      <c r="P9665" t="n">
        <v>0</v>
      </c>
      <c r="Q9665" t="n">
        <v>0</v>
      </c>
      <c r="R9665" s="2" t="inlineStr"/>
    </row>
    <row r="9666" ht="15" customHeight="1">
      <c r="A9666" t="inlineStr">
        <is>
          <t>A 18608-2023</t>
        </is>
      </c>
      <c r="B9666" s="1" t="n">
        <v>45041</v>
      </c>
      <c r="C9666" s="1" t="n">
        <v>45810</v>
      </c>
      <c r="D9666" t="inlineStr">
        <is>
          <t>VÄRMLANDS LÄN</t>
        </is>
      </c>
      <c r="E9666" t="inlineStr">
        <is>
          <t>EDA</t>
        </is>
      </c>
      <c r="G9666" t="n">
        <v>1.6</v>
      </c>
      <c r="H9666" t="n">
        <v>0</v>
      </c>
      <c r="I9666" t="n">
        <v>0</v>
      </c>
      <c r="J9666" t="n">
        <v>0</v>
      </c>
      <c r="K9666" t="n">
        <v>0</v>
      </c>
      <c r="L9666" t="n">
        <v>0</v>
      </c>
      <c r="M9666" t="n">
        <v>0</v>
      </c>
      <c r="N9666" t="n">
        <v>0</v>
      </c>
      <c r="O9666" t="n">
        <v>0</v>
      </c>
      <c r="P9666" t="n">
        <v>0</v>
      </c>
      <c r="Q9666" t="n">
        <v>0</v>
      </c>
      <c r="R9666" s="2" t="inlineStr"/>
    </row>
    <row r="9667" ht="15" customHeight="1">
      <c r="A9667" t="inlineStr">
        <is>
          <t>A 18633-2023</t>
        </is>
      </c>
      <c r="B9667" s="1" t="n">
        <v>45041</v>
      </c>
      <c r="C9667" s="1" t="n">
        <v>45810</v>
      </c>
      <c r="D9667" t="inlineStr">
        <is>
          <t>VÄRMLANDS LÄN</t>
        </is>
      </c>
      <c r="E9667" t="inlineStr">
        <is>
          <t>KARLSTAD</t>
        </is>
      </c>
      <c r="G9667" t="n">
        <v>1.9</v>
      </c>
      <c r="H9667" t="n">
        <v>0</v>
      </c>
      <c r="I9667" t="n">
        <v>0</v>
      </c>
      <c r="J9667" t="n">
        <v>0</v>
      </c>
      <c r="K9667" t="n">
        <v>0</v>
      </c>
      <c r="L9667" t="n">
        <v>0</v>
      </c>
      <c r="M9667" t="n">
        <v>0</v>
      </c>
      <c r="N9667" t="n">
        <v>0</v>
      </c>
      <c r="O9667" t="n">
        <v>0</v>
      </c>
      <c r="P9667" t="n">
        <v>0</v>
      </c>
      <c r="Q9667" t="n">
        <v>0</v>
      </c>
      <c r="R9667" s="2" t="inlineStr"/>
    </row>
    <row r="9668" ht="15" customHeight="1">
      <c r="A9668" t="inlineStr">
        <is>
          <t>A 18625-2023</t>
        </is>
      </c>
      <c r="B9668" s="1" t="n">
        <v>45041</v>
      </c>
      <c r="C9668" s="1" t="n">
        <v>45810</v>
      </c>
      <c r="D9668" t="inlineStr">
        <is>
          <t>VÄRMLANDS LÄN</t>
        </is>
      </c>
      <c r="E9668" t="inlineStr">
        <is>
          <t>KARLSTAD</t>
        </is>
      </c>
      <c r="G9668" t="n">
        <v>4</v>
      </c>
      <c r="H9668" t="n">
        <v>0</v>
      </c>
      <c r="I9668" t="n">
        <v>0</v>
      </c>
      <c r="J9668" t="n">
        <v>0</v>
      </c>
      <c r="K9668" t="n">
        <v>0</v>
      </c>
      <c r="L9668" t="n">
        <v>0</v>
      </c>
      <c r="M9668" t="n">
        <v>0</v>
      </c>
      <c r="N9668" t="n">
        <v>0</v>
      </c>
      <c r="O9668" t="n">
        <v>0</v>
      </c>
      <c r="P9668" t="n">
        <v>0</v>
      </c>
      <c r="Q9668" t="n">
        <v>0</v>
      </c>
      <c r="R9668" s="2" t="inlineStr"/>
    </row>
    <row r="9669" ht="15" customHeight="1">
      <c r="A9669" t="inlineStr">
        <is>
          <t>A 18387-2023</t>
        </is>
      </c>
      <c r="B9669" s="1" t="n">
        <v>45042</v>
      </c>
      <c r="C9669" s="1" t="n">
        <v>45810</v>
      </c>
      <c r="D9669" t="inlineStr">
        <is>
          <t>VÄRMLANDS LÄN</t>
        </is>
      </c>
      <c r="E9669" t="inlineStr">
        <is>
          <t>ARVIKA</t>
        </is>
      </c>
      <c r="F9669" t="inlineStr">
        <is>
          <t>Kyrkan</t>
        </is>
      </c>
      <c r="G9669" t="n">
        <v>0.6</v>
      </c>
      <c r="H9669" t="n">
        <v>0</v>
      </c>
      <c r="I9669" t="n">
        <v>0</v>
      </c>
      <c r="J9669" t="n">
        <v>0</v>
      </c>
      <c r="K9669" t="n">
        <v>0</v>
      </c>
      <c r="L9669" t="n">
        <v>0</v>
      </c>
      <c r="M9669" t="n">
        <v>0</v>
      </c>
      <c r="N9669" t="n">
        <v>0</v>
      </c>
      <c r="O9669" t="n">
        <v>0</v>
      </c>
      <c r="P9669" t="n">
        <v>0</v>
      </c>
      <c r="Q9669" t="n">
        <v>0</v>
      </c>
      <c r="R9669" s="2" t="inlineStr"/>
    </row>
    <row r="9670" ht="15" customHeight="1">
      <c r="A9670" t="inlineStr">
        <is>
          <t>A 18411-2023</t>
        </is>
      </c>
      <c r="B9670" s="1" t="n">
        <v>45042</v>
      </c>
      <c r="C9670" s="1" t="n">
        <v>45810</v>
      </c>
      <c r="D9670" t="inlineStr">
        <is>
          <t>VÄRMLANDS LÄN</t>
        </is>
      </c>
      <c r="E9670" t="inlineStr">
        <is>
          <t>TORSBY</t>
        </is>
      </c>
      <c r="G9670" t="n">
        <v>5.9</v>
      </c>
      <c r="H9670" t="n">
        <v>0</v>
      </c>
      <c r="I9670" t="n">
        <v>0</v>
      </c>
      <c r="J9670" t="n">
        <v>0</v>
      </c>
      <c r="K9670" t="n">
        <v>0</v>
      </c>
      <c r="L9670" t="n">
        <v>0</v>
      </c>
      <c r="M9670" t="n">
        <v>0</v>
      </c>
      <c r="N9670" t="n">
        <v>0</v>
      </c>
      <c r="O9670" t="n">
        <v>0</v>
      </c>
      <c r="P9670" t="n">
        <v>0</v>
      </c>
      <c r="Q9670" t="n">
        <v>0</v>
      </c>
      <c r="R9670" s="2" t="inlineStr"/>
    </row>
    <row r="9671" ht="15" customHeight="1">
      <c r="A9671" t="inlineStr">
        <is>
          <t>A 18503-2023</t>
        </is>
      </c>
      <c r="B9671" s="1" t="n">
        <v>45042</v>
      </c>
      <c r="C9671" s="1" t="n">
        <v>45810</v>
      </c>
      <c r="D9671" t="inlineStr">
        <is>
          <t>VÄRMLANDS LÄN</t>
        </is>
      </c>
      <c r="E9671" t="inlineStr">
        <is>
          <t>FORSHAGA</t>
        </is>
      </c>
      <c r="G9671" t="n">
        <v>2.5</v>
      </c>
      <c r="H9671" t="n">
        <v>0</v>
      </c>
      <c r="I9671" t="n">
        <v>0</v>
      </c>
      <c r="J9671" t="n">
        <v>0</v>
      </c>
      <c r="K9671" t="n">
        <v>0</v>
      </c>
      <c r="L9671" t="n">
        <v>0</v>
      </c>
      <c r="M9671" t="n">
        <v>0</v>
      </c>
      <c r="N9671" t="n">
        <v>0</v>
      </c>
      <c r="O9671" t="n">
        <v>0</v>
      </c>
      <c r="P9671" t="n">
        <v>0</v>
      </c>
      <c r="Q9671" t="n">
        <v>0</v>
      </c>
      <c r="R9671" s="2" t="inlineStr"/>
    </row>
    <row r="9672" ht="15" customHeight="1">
      <c r="A9672" t="inlineStr">
        <is>
          <t>A 18392-2023</t>
        </is>
      </c>
      <c r="B9672" s="1" t="n">
        <v>45042</v>
      </c>
      <c r="C9672" s="1" t="n">
        <v>45810</v>
      </c>
      <c r="D9672" t="inlineStr">
        <is>
          <t>VÄRMLANDS LÄN</t>
        </is>
      </c>
      <c r="E9672" t="inlineStr">
        <is>
          <t>SUNNE</t>
        </is>
      </c>
      <c r="G9672" t="n">
        <v>3.8</v>
      </c>
      <c r="H9672" t="n">
        <v>0</v>
      </c>
      <c r="I9672" t="n">
        <v>0</v>
      </c>
      <c r="J9672" t="n">
        <v>0</v>
      </c>
      <c r="K9672" t="n">
        <v>0</v>
      </c>
      <c r="L9672" t="n">
        <v>0</v>
      </c>
      <c r="M9672" t="n">
        <v>0</v>
      </c>
      <c r="N9672" t="n">
        <v>0</v>
      </c>
      <c r="O9672" t="n">
        <v>0</v>
      </c>
      <c r="P9672" t="n">
        <v>0</v>
      </c>
      <c r="Q9672" t="n">
        <v>0</v>
      </c>
      <c r="R9672" s="2" t="inlineStr"/>
    </row>
    <row r="9673" ht="15" customHeight="1">
      <c r="A9673" t="inlineStr">
        <is>
          <t>A 18419-2023</t>
        </is>
      </c>
      <c r="B9673" s="1" t="n">
        <v>45042</v>
      </c>
      <c r="C9673" s="1" t="n">
        <v>45810</v>
      </c>
      <c r="D9673" t="inlineStr">
        <is>
          <t>VÄRMLANDS LÄN</t>
        </is>
      </c>
      <c r="E9673" t="inlineStr">
        <is>
          <t>EDA</t>
        </is>
      </c>
      <c r="F9673" t="inlineStr">
        <is>
          <t>Bergvik skog väst AB</t>
        </is>
      </c>
      <c r="G9673" t="n">
        <v>8.1</v>
      </c>
      <c r="H9673" t="n">
        <v>0</v>
      </c>
      <c r="I9673" t="n">
        <v>0</v>
      </c>
      <c r="J9673" t="n">
        <v>0</v>
      </c>
      <c r="K9673" t="n">
        <v>0</v>
      </c>
      <c r="L9673" t="n">
        <v>0</v>
      </c>
      <c r="M9673" t="n">
        <v>0</v>
      </c>
      <c r="N9673" t="n">
        <v>0</v>
      </c>
      <c r="O9673" t="n">
        <v>0</v>
      </c>
      <c r="P9673" t="n">
        <v>0</v>
      </c>
      <c r="Q9673" t="n">
        <v>0</v>
      </c>
      <c r="R9673" s="2" t="inlineStr"/>
    </row>
    <row r="9674" ht="15" customHeight="1">
      <c r="A9674" t="inlineStr">
        <is>
          <t>A 18442-2023</t>
        </is>
      </c>
      <c r="B9674" s="1" t="n">
        <v>45042</v>
      </c>
      <c r="C9674" s="1" t="n">
        <v>45810</v>
      </c>
      <c r="D9674" t="inlineStr">
        <is>
          <t>VÄRMLANDS LÄN</t>
        </is>
      </c>
      <c r="E9674" t="inlineStr">
        <is>
          <t>SUNNE</t>
        </is>
      </c>
      <c r="G9674" t="n">
        <v>10.8</v>
      </c>
      <c r="H9674" t="n">
        <v>0</v>
      </c>
      <c r="I9674" t="n">
        <v>0</v>
      </c>
      <c r="J9674" t="n">
        <v>0</v>
      </c>
      <c r="K9674" t="n">
        <v>0</v>
      </c>
      <c r="L9674" t="n">
        <v>0</v>
      </c>
      <c r="M9674" t="n">
        <v>0</v>
      </c>
      <c r="N9674" t="n">
        <v>0</v>
      </c>
      <c r="O9674" t="n">
        <v>0</v>
      </c>
      <c r="P9674" t="n">
        <v>0</v>
      </c>
      <c r="Q9674" t="n">
        <v>0</v>
      </c>
      <c r="R9674" s="2" t="inlineStr"/>
    </row>
    <row r="9675" ht="15" customHeight="1">
      <c r="A9675" t="inlineStr">
        <is>
          <t>A 18515-2023</t>
        </is>
      </c>
      <c r="B9675" s="1" t="n">
        <v>45042</v>
      </c>
      <c r="C9675" s="1" t="n">
        <v>45810</v>
      </c>
      <c r="D9675" t="inlineStr">
        <is>
          <t>VÄRMLANDS LÄN</t>
        </is>
      </c>
      <c r="E9675" t="inlineStr">
        <is>
          <t>EDA</t>
        </is>
      </c>
      <c r="G9675" t="n">
        <v>2.5</v>
      </c>
      <c r="H9675" t="n">
        <v>0</v>
      </c>
      <c r="I9675" t="n">
        <v>0</v>
      </c>
      <c r="J9675" t="n">
        <v>0</v>
      </c>
      <c r="K9675" t="n">
        <v>0</v>
      </c>
      <c r="L9675" t="n">
        <v>0</v>
      </c>
      <c r="M9675" t="n">
        <v>0</v>
      </c>
      <c r="N9675" t="n">
        <v>0</v>
      </c>
      <c r="O9675" t="n">
        <v>0</v>
      </c>
      <c r="P9675" t="n">
        <v>0</v>
      </c>
      <c r="Q9675" t="n">
        <v>0</v>
      </c>
      <c r="R9675" s="2" t="inlineStr"/>
    </row>
    <row r="9676" ht="15" customHeight="1">
      <c r="A9676" t="inlineStr">
        <is>
          <t>A 18651-2023</t>
        </is>
      </c>
      <c r="B9676" s="1" t="n">
        <v>45043</v>
      </c>
      <c r="C9676" s="1" t="n">
        <v>45810</v>
      </c>
      <c r="D9676" t="inlineStr">
        <is>
          <t>VÄRMLANDS LÄN</t>
        </is>
      </c>
      <c r="E9676" t="inlineStr">
        <is>
          <t>ARVIKA</t>
        </is>
      </c>
      <c r="G9676" t="n">
        <v>1.1</v>
      </c>
      <c r="H9676" t="n">
        <v>0</v>
      </c>
      <c r="I9676" t="n">
        <v>0</v>
      </c>
      <c r="J9676" t="n">
        <v>0</v>
      </c>
      <c r="K9676" t="n">
        <v>0</v>
      </c>
      <c r="L9676" t="n">
        <v>0</v>
      </c>
      <c r="M9676" t="n">
        <v>0</v>
      </c>
      <c r="N9676" t="n">
        <v>0</v>
      </c>
      <c r="O9676" t="n">
        <v>0</v>
      </c>
      <c r="P9676" t="n">
        <v>0</v>
      </c>
      <c r="Q9676" t="n">
        <v>0</v>
      </c>
      <c r="R9676" s="2" t="inlineStr"/>
    </row>
    <row r="9677" ht="15" customHeight="1">
      <c r="A9677" t="inlineStr">
        <is>
          <t>A 18694-2023</t>
        </is>
      </c>
      <c r="B9677" s="1" t="n">
        <v>45043</v>
      </c>
      <c r="C9677" s="1" t="n">
        <v>45810</v>
      </c>
      <c r="D9677" t="inlineStr">
        <is>
          <t>VÄRMLANDS LÄN</t>
        </is>
      </c>
      <c r="E9677" t="inlineStr">
        <is>
          <t>ARVIKA</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18621-2023</t>
        </is>
      </c>
      <c r="B9678" s="1" t="n">
        <v>45043</v>
      </c>
      <c r="C9678" s="1" t="n">
        <v>45810</v>
      </c>
      <c r="D9678" t="inlineStr">
        <is>
          <t>VÄRMLANDS LÄN</t>
        </is>
      </c>
      <c r="E9678" t="inlineStr">
        <is>
          <t>TORSBY</t>
        </is>
      </c>
      <c r="F9678" t="inlineStr">
        <is>
          <t>Bergvik skog väst AB</t>
        </is>
      </c>
      <c r="G9678" t="n">
        <v>0.6</v>
      </c>
      <c r="H9678" t="n">
        <v>0</v>
      </c>
      <c r="I9678" t="n">
        <v>0</v>
      </c>
      <c r="J9678" t="n">
        <v>0</v>
      </c>
      <c r="K9678" t="n">
        <v>0</v>
      </c>
      <c r="L9678" t="n">
        <v>0</v>
      </c>
      <c r="M9678" t="n">
        <v>0</v>
      </c>
      <c r="N9678" t="n">
        <v>0</v>
      </c>
      <c r="O9678" t="n">
        <v>0</v>
      </c>
      <c r="P9678" t="n">
        <v>0</v>
      </c>
      <c r="Q9678" t="n">
        <v>0</v>
      </c>
      <c r="R9678" s="2" t="inlineStr"/>
    </row>
    <row r="9679" ht="15" customHeight="1">
      <c r="A9679" t="inlineStr">
        <is>
          <t>A 18630-2023</t>
        </is>
      </c>
      <c r="B9679" s="1" t="n">
        <v>45043</v>
      </c>
      <c r="C9679" s="1" t="n">
        <v>45810</v>
      </c>
      <c r="D9679" t="inlineStr">
        <is>
          <t>VÄRMLANDS LÄN</t>
        </is>
      </c>
      <c r="E9679" t="inlineStr">
        <is>
          <t>FILIPSTAD</t>
        </is>
      </c>
      <c r="F9679" t="inlineStr">
        <is>
          <t>Bergvik skog väst AB</t>
        </is>
      </c>
      <c r="G9679" t="n">
        <v>2.9</v>
      </c>
      <c r="H9679" t="n">
        <v>0</v>
      </c>
      <c r="I9679" t="n">
        <v>0</v>
      </c>
      <c r="J9679" t="n">
        <v>0</v>
      </c>
      <c r="K9679" t="n">
        <v>0</v>
      </c>
      <c r="L9679" t="n">
        <v>0</v>
      </c>
      <c r="M9679" t="n">
        <v>0</v>
      </c>
      <c r="N9679" t="n">
        <v>0</v>
      </c>
      <c r="O9679" t="n">
        <v>0</v>
      </c>
      <c r="P9679" t="n">
        <v>0</v>
      </c>
      <c r="Q9679" t="n">
        <v>0</v>
      </c>
      <c r="R9679" s="2" t="inlineStr"/>
    </row>
    <row r="9680" ht="15" customHeight="1">
      <c r="A9680" t="inlineStr">
        <is>
          <t>A 18675-2023</t>
        </is>
      </c>
      <c r="B9680" s="1" t="n">
        <v>45043</v>
      </c>
      <c r="C9680" s="1" t="n">
        <v>45810</v>
      </c>
      <c r="D9680" t="inlineStr">
        <is>
          <t>VÄRMLANDS LÄN</t>
        </is>
      </c>
      <c r="E9680" t="inlineStr">
        <is>
          <t>TORSBY</t>
        </is>
      </c>
      <c r="G9680" t="n">
        <v>4.6</v>
      </c>
      <c r="H9680" t="n">
        <v>0</v>
      </c>
      <c r="I9680" t="n">
        <v>0</v>
      </c>
      <c r="J9680" t="n">
        <v>0</v>
      </c>
      <c r="K9680" t="n">
        <v>0</v>
      </c>
      <c r="L9680" t="n">
        <v>0</v>
      </c>
      <c r="M9680" t="n">
        <v>0</v>
      </c>
      <c r="N9680" t="n">
        <v>0</v>
      </c>
      <c r="O9680" t="n">
        <v>0</v>
      </c>
      <c r="P9680" t="n">
        <v>0</v>
      </c>
      <c r="Q9680" t="n">
        <v>0</v>
      </c>
      <c r="R9680" s="2" t="inlineStr"/>
    </row>
    <row r="9681" ht="15" customHeight="1">
      <c r="A9681" t="inlineStr">
        <is>
          <t>A 18718-2023</t>
        </is>
      </c>
      <c r="B9681" s="1" t="n">
        <v>45043</v>
      </c>
      <c r="C9681" s="1" t="n">
        <v>45810</v>
      </c>
      <c r="D9681" t="inlineStr">
        <is>
          <t>VÄRMLANDS LÄN</t>
        </is>
      </c>
      <c r="E9681" t="inlineStr">
        <is>
          <t>ÅRJÄNG</t>
        </is>
      </c>
      <c r="G9681" t="n">
        <v>1.8</v>
      </c>
      <c r="H9681" t="n">
        <v>0</v>
      </c>
      <c r="I9681" t="n">
        <v>0</v>
      </c>
      <c r="J9681" t="n">
        <v>0</v>
      </c>
      <c r="K9681" t="n">
        <v>0</v>
      </c>
      <c r="L9681" t="n">
        <v>0</v>
      </c>
      <c r="M9681" t="n">
        <v>0</v>
      </c>
      <c r="N9681" t="n">
        <v>0</v>
      </c>
      <c r="O9681" t="n">
        <v>0</v>
      </c>
      <c r="P9681" t="n">
        <v>0</v>
      </c>
      <c r="Q9681" t="n">
        <v>0</v>
      </c>
      <c r="R9681" s="2" t="inlineStr"/>
    </row>
    <row r="9682" ht="15" customHeight="1">
      <c r="A9682" t="inlineStr">
        <is>
          <t>A 18796-2023</t>
        </is>
      </c>
      <c r="B9682" s="1" t="n">
        <v>45044</v>
      </c>
      <c r="C9682" s="1" t="n">
        <v>45810</v>
      </c>
      <c r="D9682" t="inlineStr">
        <is>
          <t>VÄRMLANDS LÄN</t>
        </is>
      </c>
      <c r="E9682" t="inlineStr">
        <is>
          <t>ÅRJÄNG</t>
        </is>
      </c>
      <c r="G9682" t="n">
        <v>1</v>
      </c>
      <c r="H9682" t="n">
        <v>0</v>
      </c>
      <c r="I9682" t="n">
        <v>0</v>
      </c>
      <c r="J9682" t="n">
        <v>0</v>
      </c>
      <c r="K9682" t="n">
        <v>0</v>
      </c>
      <c r="L9682" t="n">
        <v>0</v>
      </c>
      <c r="M9682" t="n">
        <v>0</v>
      </c>
      <c r="N9682" t="n">
        <v>0</v>
      </c>
      <c r="O9682" t="n">
        <v>0</v>
      </c>
      <c r="P9682" t="n">
        <v>0</v>
      </c>
      <c r="Q9682" t="n">
        <v>0</v>
      </c>
      <c r="R9682" s="2" t="inlineStr"/>
    </row>
    <row r="9683" ht="15" customHeight="1">
      <c r="A9683" t="inlineStr">
        <is>
          <t>A 18823-2023</t>
        </is>
      </c>
      <c r="B9683" s="1" t="n">
        <v>45044</v>
      </c>
      <c r="C9683" s="1" t="n">
        <v>45810</v>
      </c>
      <c r="D9683" t="inlineStr">
        <is>
          <t>VÄRMLANDS LÄN</t>
        </is>
      </c>
      <c r="E9683" t="inlineStr">
        <is>
          <t>SUNNE</t>
        </is>
      </c>
      <c r="G9683" t="n">
        <v>3.2</v>
      </c>
      <c r="H9683" t="n">
        <v>0</v>
      </c>
      <c r="I9683" t="n">
        <v>0</v>
      </c>
      <c r="J9683" t="n">
        <v>0</v>
      </c>
      <c r="K9683" t="n">
        <v>0</v>
      </c>
      <c r="L9683" t="n">
        <v>0</v>
      </c>
      <c r="M9683" t="n">
        <v>0</v>
      </c>
      <c r="N9683" t="n">
        <v>0</v>
      </c>
      <c r="O9683" t="n">
        <v>0</v>
      </c>
      <c r="P9683" t="n">
        <v>0</v>
      </c>
      <c r="Q9683" t="n">
        <v>0</v>
      </c>
      <c r="R9683" s="2" t="inlineStr"/>
    </row>
    <row r="9684" ht="15" customHeight="1">
      <c r="A9684" t="inlineStr">
        <is>
          <t>A 18876-2023</t>
        </is>
      </c>
      <c r="B9684" s="1" t="n">
        <v>45044</v>
      </c>
      <c r="C9684" s="1" t="n">
        <v>45810</v>
      </c>
      <c r="D9684" t="inlineStr">
        <is>
          <t>VÄRMLANDS LÄN</t>
        </is>
      </c>
      <c r="E9684" t="inlineStr">
        <is>
          <t>TORSBY</t>
        </is>
      </c>
      <c r="G9684" t="n">
        <v>2.7</v>
      </c>
      <c r="H9684" t="n">
        <v>0</v>
      </c>
      <c r="I9684" t="n">
        <v>0</v>
      </c>
      <c r="J9684" t="n">
        <v>0</v>
      </c>
      <c r="K9684" t="n">
        <v>0</v>
      </c>
      <c r="L9684" t="n">
        <v>0</v>
      </c>
      <c r="M9684" t="n">
        <v>0</v>
      </c>
      <c r="N9684" t="n">
        <v>0</v>
      </c>
      <c r="O9684" t="n">
        <v>0</v>
      </c>
      <c r="P9684" t="n">
        <v>0</v>
      </c>
      <c r="Q9684" t="n">
        <v>0</v>
      </c>
      <c r="R9684" s="2" t="inlineStr"/>
    </row>
    <row r="9685" ht="15" customHeight="1">
      <c r="A9685" t="inlineStr">
        <is>
          <t>A 18903-2023</t>
        </is>
      </c>
      <c r="B9685" s="1" t="n">
        <v>45044</v>
      </c>
      <c r="C9685" s="1" t="n">
        <v>45810</v>
      </c>
      <c r="D9685" t="inlineStr">
        <is>
          <t>VÄRMLANDS LÄN</t>
        </is>
      </c>
      <c r="E9685" t="inlineStr">
        <is>
          <t>HAGFORS</t>
        </is>
      </c>
      <c r="G9685" t="n">
        <v>5.6</v>
      </c>
      <c r="H9685" t="n">
        <v>0</v>
      </c>
      <c r="I9685" t="n">
        <v>0</v>
      </c>
      <c r="J9685" t="n">
        <v>0</v>
      </c>
      <c r="K9685" t="n">
        <v>0</v>
      </c>
      <c r="L9685" t="n">
        <v>0</v>
      </c>
      <c r="M9685" t="n">
        <v>0</v>
      </c>
      <c r="N9685" t="n">
        <v>0</v>
      </c>
      <c r="O9685" t="n">
        <v>0</v>
      </c>
      <c r="P9685" t="n">
        <v>0</v>
      </c>
      <c r="Q9685" t="n">
        <v>0</v>
      </c>
      <c r="R9685" s="2" t="inlineStr"/>
    </row>
    <row r="9686" ht="15" customHeight="1">
      <c r="A9686" t="inlineStr">
        <is>
          <t>A 18921-2023</t>
        </is>
      </c>
      <c r="B9686" s="1" t="n">
        <v>45044</v>
      </c>
      <c r="C9686" s="1" t="n">
        <v>45810</v>
      </c>
      <c r="D9686" t="inlineStr">
        <is>
          <t>VÄRMLANDS LÄN</t>
        </is>
      </c>
      <c r="E9686" t="inlineStr">
        <is>
          <t>SUNNE</t>
        </is>
      </c>
      <c r="G9686" t="n">
        <v>10.4</v>
      </c>
      <c r="H9686" t="n">
        <v>0</v>
      </c>
      <c r="I9686" t="n">
        <v>0</v>
      </c>
      <c r="J9686" t="n">
        <v>0</v>
      </c>
      <c r="K9686" t="n">
        <v>0</v>
      </c>
      <c r="L9686" t="n">
        <v>0</v>
      </c>
      <c r="M9686" t="n">
        <v>0</v>
      </c>
      <c r="N9686" t="n">
        <v>0</v>
      </c>
      <c r="O9686" t="n">
        <v>0</v>
      </c>
      <c r="P9686" t="n">
        <v>0</v>
      </c>
      <c r="Q9686" t="n">
        <v>0</v>
      </c>
      <c r="R9686" s="2" t="inlineStr"/>
    </row>
    <row r="9687" ht="15" customHeight="1">
      <c r="A9687" t="inlineStr">
        <is>
          <t>A 18957-2023</t>
        </is>
      </c>
      <c r="B9687" s="1" t="n">
        <v>45044</v>
      </c>
      <c r="C9687" s="1" t="n">
        <v>45810</v>
      </c>
      <c r="D9687" t="inlineStr">
        <is>
          <t>VÄRMLANDS LÄN</t>
        </is>
      </c>
      <c r="E9687" t="inlineStr">
        <is>
          <t>KRISTINEHAMN</t>
        </is>
      </c>
      <c r="G9687" t="n">
        <v>2</v>
      </c>
      <c r="H9687" t="n">
        <v>0</v>
      </c>
      <c r="I9687" t="n">
        <v>0</v>
      </c>
      <c r="J9687" t="n">
        <v>0</v>
      </c>
      <c r="K9687" t="n">
        <v>0</v>
      </c>
      <c r="L9687" t="n">
        <v>0</v>
      </c>
      <c r="M9687" t="n">
        <v>0</v>
      </c>
      <c r="N9687" t="n">
        <v>0</v>
      </c>
      <c r="O9687" t="n">
        <v>0</v>
      </c>
      <c r="P9687" t="n">
        <v>0</v>
      </c>
      <c r="Q9687" t="n">
        <v>0</v>
      </c>
      <c r="R9687" s="2" t="inlineStr"/>
    </row>
    <row r="9688" ht="15" customHeight="1">
      <c r="A9688" t="inlineStr">
        <is>
          <t>A 18953-2023</t>
        </is>
      </c>
      <c r="B9688" s="1" t="n">
        <v>45044</v>
      </c>
      <c r="C9688" s="1" t="n">
        <v>45810</v>
      </c>
      <c r="D9688" t="inlineStr">
        <is>
          <t>VÄRMLANDS LÄN</t>
        </is>
      </c>
      <c r="E9688" t="inlineStr">
        <is>
          <t>KRISTINEHAMN</t>
        </is>
      </c>
      <c r="G9688" t="n">
        <v>3.1</v>
      </c>
      <c r="H9688" t="n">
        <v>0</v>
      </c>
      <c r="I9688" t="n">
        <v>0</v>
      </c>
      <c r="J9688" t="n">
        <v>0</v>
      </c>
      <c r="K9688" t="n">
        <v>0</v>
      </c>
      <c r="L9688" t="n">
        <v>0</v>
      </c>
      <c r="M9688" t="n">
        <v>0</v>
      </c>
      <c r="N9688" t="n">
        <v>0</v>
      </c>
      <c r="O9688" t="n">
        <v>0</v>
      </c>
      <c r="P9688" t="n">
        <v>0</v>
      </c>
      <c r="Q9688" t="n">
        <v>0</v>
      </c>
      <c r="R9688" s="2" t="inlineStr"/>
    </row>
    <row r="9689" ht="15" customHeight="1">
      <c r="A9689" t="inlineStr">
        <is>
          <t>A 18959-2023</t>
        </is>
      </c>
      <c r="B9689" s="1" t="n">
        <v>45044</v>
      </c>
      <c r="C9689" s="1" t="n">
        <v>45810</v>
      </c>
      <c r="D9689" t="inlineStr">
        <is>
          <t>VÄRMLANDS LÄN</t>
        </is>
      </c>
      <c r="E9689" t="inlineStr">
        <is>
          <t>KRISTINEHAMN</t>
        </is>
      </c>
      <c r="G9689" t="n">
        <v>3</v>
      </c>
      <c r="H9689" t="n">
        <v>0</v>
      </c>
      <c r="I9689" t="n">
        <v>0</v>
      </c>
      <c r="J9689" t="n">
        <v>0</v>
      </c>
      <c r="K9689" t="n">
        <v>0</v>
      </c>
      <c r="L9689" t="n">
        <v>0</v>
      </c>
      <c r="M9689" t="n">
        <v>0</v>
      </c>
      <c r="N9689" t="n">
        <v>0</v>
      </c>
      <c r="O9689" t="n">
        <v>0</v>
      </c>
      <c r="P9689" t="n">
        <v>0</v>
      </c>
      <c r="Q9689" t="n">
        <v>0</v>
      </c>
      <c r="R9689" s="2" t="inlineStr"/>
    </row>
    <row r="9690" ht="15" customHeight="1">
      <c r="A9690" t="inlineStr">
        <is>
          <t>A 18963-2023</t>
        </is>
      </c>
      <c r="B9690" s="1" t="n">
        <v>45044</v>
      </c>
      <c r="C9690" s="1" t="n">
        <v>45810</v>
      </c>
      <c r="D9690" t="inlineStr">
        <is>
          <t>VÄRMLANDS LÄN</t>
        </is>
      </c>
      <c r="E9690" t="inlineStr">
        <is>
          <t>KRISTINEHAMN</t>
        </is>
      </c>
      <c r="G9690" t="n">
        <v>4.9</v>
      </c>
      <c r="H9690" t="n">
        <v>0</v>
      </c>
      <c r="I9690" t="n">
        <v>0</v>
      </c>
      <c r="J9690" t="n">
        <v>0</v>
      </c>
      <c r="K9690" t="n">
        <v>0</v>
      </c>
      <c r="L9690" t="n">
        <v>0</v>
      </c>
      <c r="M9690" t="n">
        <v>0</v>
      </c>
      <c r="N9690" t="n">
        <v>0</v>
      </c>
      <c r="O9690" t="n">
        <v>0</v>
      </c>
      <c r="P9690" t="n">
        <v>0</v>
      </c>
      <c r="Q9690" t="n">
        <v>0</v>
      </c>
      <c r="R9690" s="2" t="inlineStr"/>
    </row>
    <row r="9691" ht="15" customHeight="1">
      <c r="A9691" t="inlineStr">
        <is>
          <t>A 18954-2023</t>
        </is>
      </c>
      <c r="B9691" s="1" t="n">
        <v>45044</v>
      </c>
      <c r="C9691" s="1" t="n">
        <v>45810</v>
      </c>
      <c r="D9691" t="inlineStr">
        <is>
          <t>VÄRMLANDS LÄN</t>
        </is>
      </c>
      <c r="E9691" t="inlineStr">
        <is>
          <t>KRISTINEHAMN</t>
        </is>
      </c>
      <c r="G9691" t="n">
        <v>1.3</v>
      </c>
      <c r="H9691" t="n">
        <v>0</v>
      </c>
      <c r="I9691" t="n">
        <v>0</v>
      </c>
      <c r="J9691" t="n">
        <v>0</v>
      </c>
      <c r="K9691" t="n">
        <v>0</v>
      </c>
      <c r="L9691" t="n">
        <v>0</v>
      </c>
      <c r="M9691" t="n">
        <v>0</v>
      </c>
      <c r="N9691" t="n">
        <v>0</v>
      </c>
      <c r="O9691" t="n">
        <v>0</v>
      </c>
      <c r="P9691" t="n">
        <v>0</v>
      </c>
      <c r="Q9691" t="n">
        <v>0</v>
      </c>
      <c r="R9691" s="2" t="inlineStr"/>
    </row>
    <row r="9692" ht="15" customHeight="1">
      <c r="A9692" t="inlineStr">
        <is>
          <t>A 18851-2023</t>
        </is>
      </c>
      <c r="B9692" s="1" t="n">
        <v>45044</v>
      </c>
      <c r="C9692" s="1" t="n">
        <v>45810</v>
      </c>
      <c r="D9692" t="inlineStr">
        <is>
          <t>VÄRMLANDS LÄN</t>
        </is>
      </c>
      <c r="E9692" t="inlineStr">
        <is>
          <t>ARVIKA</t>
        </is>
      </c>
      <c r="F9692" t="inlineStr">
        <is>
          <t>Bergvik skog väst AB</t>
        </is>
      </c>
      <c r="G9692" t="n">
        <v>10.8</v>
      </c>
      <c r="H9692" t="n">
        <v>0</v>
      </c>
      <c r="I9692" t="n">
        <v>0</v>
      </c>
      <c r="J9692" t="n">
        <v>0</v>
      </c>
      <c r="K9692" t="n">
        <v>0</v>
      </c>
      <c r="L9692" t="n">
        <v>0</v>
      </c>
      <c r="M9692" t="n">
        <v>0</v>
      </c>
      <c r="N9692" t="n">
        <v>0</v>
      </c>
      <c r="O9692" t="n">
        <v>0</v>
      </c>
      <c r="P9692" t="n">
        <v>0</v>
      </c>
      <c r="Q9692" t="n">
        <v>0</v>
      </c>
      <c r="R9692" s="2" t="inlineStr"/>
    </row>
    <row r="9693" ht="15" customHeight="1">
      <c r="A9693" t="inlineStr">
        <is>
          <t>A 18911-2023</t>
        </is>
      </c>
      <c r="B9693" s="1" t="n">
        <v>45044</v>
      </c>
      <c r="C9693" s="1" t="n">
        <v>45810</v>
      </c>
      <c r="D9693" t="inlineStr">
        <is>
          <t>VÄRMLANDS LÄN</t>
        </is>
      </c>
      <c r="E9693" t="inlineStr">
        <is>
          <t>HAGFORS</t>
        </is>
      </c>
      <c r="G9693" t="n">
        <v>3.5</v>
      </c>
      <c r="H9693" t="n">
        <v>0</v>
      </c>
      <c r="I9693" t="n">
        <v>0</v>
      </c>
      <c r="J9693" t="n">
        <v>0</v>
      </c>
      <c r="K9693" t="n">
        <v>0</v>
      </c>
      <c r="L9693" t="n">
        <v>0</v>
      </c>
      <c r="M9693" t="n">
        <v>0</v>
      </c>
      <c r="N9693" t="n">
        <v>0</v>
      </c>
      <c r="O9693" t="n">
        <v>0</v>
      </c>
      <c r="P9693" t="n">
        <v>0</v>
      </c>
      <c r="Q9693" t="n">
        <v>0</v>
      </c>
      <c r="R9693" s="2" t="inlineStr"/>
    </row>
    <row r="9694" ht="15" customHeight="1">
      <c r="A9694" t="inlineStr">
        <is>
          <t>A 18927-2023</t>
        </is>
      </c>
      <c r="B9694" s="1" t="n">
        <v>45044</v>
      </c>
      <c r="C9694" s="1" t="n">
        <v>45810</v>
      </c>
      <c r="D9694" t="inlineStr">
        <is>
          <t>VÄRMLANDS LÄN</t>
        </is>
      </c>
      <c r="E9694" t="inlineStr">
        <is>
          <t>HAGFORS</t>
        </is>
      </c>
      <c r="G9694" t="n">
        <v>1.4</v>
      </c>
      <c r="H9694" t="n">
        <v>0</v>
      </c>
      <c r="I9694" t="n">
        <v>0</v>
      </c>
      <c r="J9694" t="n">
        <v>0</v>
      </c>
      <c r="K9694" t="n">
        <v>0</v>
      </c>
      <c r="L9694" t="n">
        <v>0</v>
      </c>
      <c r="M9694" t="n">
        <v>0</v>
      </c>
      <c r="N9694" t="n">
        <v>0</v>
      </c>
      <c r="O9694" t="n">
        <v>0</v>
      </c>
      <c r="P9694" t="n">
        <v>0</v>
      </c>
      <c r="Q9694" t="n">
        <v>0</v>
      </c>
      <c r="R9694" s="2" t="inlineStr"/>
    </row>
    <row r="9695" ht="15" customHeight="1">
      <c r="A9695" t="inlineStr">
        <is>
          <t>A 18961-2023</t>
        </is>
      </c>
      <c r="B9695" s="1" t="n">
        <v>45044</v>
      </c>
      <c r="C9695" s="1" t="n">
        <v>45810</v>
      </c>
      <c r="D9695" t="inlineStr">
        <is>
          <t>VÄRMLANDS LÄN</t>
        </is>
      </c>
      <c r="E9695" t="inlineStr">
        <is>
          <t>KRISTINEHAMN</t>
        </is>
      </c>
      <c r="G9695" t="n">
        <v>2.4</v>
      </c>
      <c r="H9695" t="n">
        <v>0</v>
      </c>
      <c r="I9695" t="n">
        <v>0</v>
      </c>
      <c r="J9695" t="n">
        <v>0</v>
      </c>
      <c r="K9695" t="n">
        <v>0</v>
      </c>
      <c r="L9695" t="n">
        <v>0</v>
      </c>
      <c r="M9695" t="n">
        <v>0</v>
      </c>
      <c r="N9695" t="n">
        <v>0</v>
      </c>
      <c r="O9695" t="n">
        <v>0</v>
      </c>
      <c r="P9695" t="n">
        <v>0</v>
      </c>
      <c r="Q9695" t="n">
        <v>0</v>
      </c>
      <c r="R9695" s="2" t="inlineStr"/>
    </row>
    <row r="9696" ht="15" customHeight="1">
      <c r="A9696" t="inlineStr">
        <is>
          <t>A 19188-2023</t>
        </is>
      </c>
      <c r="B9696" s="1" t="n">
        <v>45044</v>
      </c>
      <c r="C9696" s="1" t="n">
        <v>45810</v>
      </c>
      <c r="D9696" t="inlineStr">
        <is>
          <t>VÄRMLANDS LÄN</t>
        </is>
      </c>
      <c r="E9696" t="inlineStr">
        <is>
          <t>SÄFFLE</t>
        </is>
      </c>
      <c r="G9696" t="n">
        <v>2.6</v>
      </c>
      <c r="H9696" t="n">
        <v>0</v>
      </c>
      <c r="I9696" t="n">
        <v>0</v>
      </c>
      <c r="J9696" t="n">
        <v>0</v>
      </c>
      <c r="K9696" t="n">
        <v>0</v>
      </c>
      <c r="L9696" t="n">
        <v>0</v>
      </c>
      <c r="M9696" t="n">
        <v>0</v>
      </c>
      <c r="N9696" t="n">
        <v>0</v>
      </c>
      <c r="O9696" t="n">
        <v>0</v>
      </c>
      <c r="P9696" t="n">
        <v>0</v>
      </c>
      <c r="Q9696" t="n">
        <v>0</v>
      </c>
      <c r="R9696" s="2" t="inlineStr"/>
    </row>
    <row r="9697" ht="15" customHeight="1">
      <c r="A9697" t="inlineStr">
        <is>
          <t>A 19166-2023</t>
        </is>
      </c>
      <c r="B9697" s="1" t="n">
        <v>45044</v>
      </c>
      <c r="C9697" s="1" t="n">
        <v>45810</v>
      </c>
      <c r="D9697" t="inlineStr">
        <is>
          <t>VÄRMLANDS LÄN</t>
        </is>
      </c>
      <c r="E9697" t="inlineStr">
        <is>
          <t>KARLSTAD</t>
        </is>
      </c>
      <c r="F9697" t="inlineStr">
        <is>
          <t>Övriga statliga verk och myndigheter</t>
        </is>
      </c>
      <c r="G9697" t="n">
        <v>2.3</v>
      </c>
      <c r="H9697" t="n">
        <v>0</v>
      </c>
      <c r="I9697" t="n">
        <v>0</v>
      </c>
      <c r="J9697" t="n">
        <v>0</v>
      </c>
      <c r="K9697" t="n">
        <v>0</v>
      </c>
      <c r="L9697" t="n">
        <v>0</v>
      </c>
      <c r="M9697" t="n">
        <v>0</v>
      </c>
      <c r="N9697" t="n">
        <v>0</v>
      </c>
      <c r="O9697" t="n">
        <v>0</v>
      </c>
      <c r="P9697" t="n">
        <v>0</v>
      </c>
      <c r="Q9697" t="n">
        <v>0</v>
      </c>
      <c r="R9697" s="2" t="inlineStr"/>
    </row>
    <row r="9698" ht="15" customHeight="1">
      <c r="A9698" t="inlineStr">
        <is>
          <t>A 19011-2023</t>
        </is>
      </c>
      <c r="B9698" s="1" t="n">
        <v>45045</v>
      </c>
      <c r="C9698" s="1" t="n">
        <v>45810</v>
      </c>
      <c r="D9698" t="inlineStr">
        <is>
          <t>VÄRMLANDS LÄN</t>
        </is>
      </c>
      <c r="E9698" t="inlineStr">
        <is>
          <t>SUNNE</t>
        </is>
      </c>
      <c r="G9698" t="n">
        <v>0.6</v>
      </c>
      <c r="H9698" t="n">
        <v>0</v>
      </c>
      <c r="I9698" t="n">
        <v>0</v>
      </c>
      <c r="J9698" t="n">
        <v>0</v>
      </c>
      <c r="K9698" t="n">
        <v>0</v>
      </c>
      <c r="L9698" t="n">
        <v>0</v>
      </c>
      <c r="M9698" t="n">
        <v>0</v>
      </c>
      <c r="N9698" t="n">
        <v>0</v>
      </c>
      <c r="O9698" t="n">
        <v>0</v>
      </c>
      <c r="P9698" t="n">
        <v>0</v>
      </c>
      <c r="Q9698" t="n">
        <v>0</v>
      </c>
      <c r="R9698" s="2" t="inlineStr"/>
    </row>
    <row r="9699" ht="15" customHeight="1">
      <c r="A9699" t="inlineStr">
        <is>
          <t>A 19042-2023</t>
        </is>
      </c>
      <c r="B9699" s="1" t="n">
        <v>45047</v>
      </c>
      <c r="C9699" s="1" t="n">
        <v>45810</v>
      </c>
      <c r="D9699" t="inlineStr">
        <is>
          <t>VÄRMLANDS LÄN</t>
        </is>
      </c>
      <c r="E9699" t="inlineStr">
        <is>
          <t>TORSBY</t>
        </is>
      </c>
      <c r="G9699" t="n">
        <v>4.6</v>
      </c>
      <c r="H9699" t="n">
        <v>0</v>
      </c>
      <c r="I9699" t="n">
        <v>0</v>
      </c>
      <c r="J9699" t="n">
        <v>0</v>
      </c>
      <c r="K9699" t="n">
        <v>0</v>
      </c>
      <c r="L9699" t="n">
        <v>0</v>
      </c>
      <c r="M9699" t="n">
        <v>0</v>
      </c>
      <c r="N9699" t="n">
        <v>0</v>
      </c>
      <c r="O9699" t="n">
        <v>0</v>
      </c>
      <c r="P9699" t="n">
        <v>0</v>
      </c>
      <c r="Q9699" t="n">
        <v>0</v>
      </c>
      <c r="R9699" s="2" t="inlineStr"/>
    </row>
    <row r="9700" ht="15" customHeight="1">
      <c r="A9700" t="inlineStr">
        <is>
          <t>A 19052-2023</t>
        </is>
      </c>
      <c r="B9700" s="1" t="n">
        <v>45047</v>
      </c>
      <c r="C9700" s="1" t="n">
        <v>45810</v>
      </c>
      <c r="D9700" t="inlineStr">
        <is>
          <t>VÄRMLANDS LÄN</t>
        </is>
      </c>
      <c r="E9700" t="inlineStr">
        <is>
          <t>ÅRJÄNG</t>
        </is>
      </c>
      <c r="G9700" t="n">
        <v>3.5</v>
      </c>
      <c r="H9700" t="n">
        <v>0</v>
      </c>
      <c r="I9700" t="n">
        <v>0</v>
      </c>
      <c r="J9700" t="n">
        <v>0</v>
      </c>
      <c r="K9700" t="n">
        <v>0</v>
      </c>
      <c r="L9700" t="n">
        <v>0</v>
      </c>
      <c r="M9700" t="n">
        <v>0</v>
      </c>
      <c r="N9700" t="n">
        <v>0</v>
      </c>
      <c r="O9700" t="n">
        <v>0</v>
      </c>
      <c r="P9700" t="n">
        <v>0</v>
      </c>
      <c r="Q9700" t="n">
        <v>0</v>
      </c>
      <c r="R9700" s="2" t="inlineStr"/>
    </row>
    <row r="9701" ht="15" customHeight="1">
      <c r="A9701" t="inlineStr">
        <is>
          <t>A 19069-2023</t>
        </is>
      </c>
      <c r="B9701" s="1" t="n">
        <v>45048</v>
      </c>
      <c r="C9701" s="1" t="n">
        <v>45810</v>
      </c>
      <c r="D9701" t="inlineStr">
        <is>
          <t>VÄRMLANDS LÄN</t>
        </is>
      </c>
      <c r="E9701" t="inlineStr">
        <is>
          <t>FORSHAGA</t>
        </is>
      </c>
      <c r="G9701" t="n">
        <v>2.2</v>
      </c>
      <c r="H9701" t="n">
        <v>0</v>
      </c>
      <c r="I9701" t="n">
        <v>0</v>
      </c>
      <c r="J9701" t="n">
        <v>0</v>
      </c>
      <c r="K9701" t="n">
        <v>0</v>
      </c>
      <c r="L9701" t="n">
        <v>0</v>
      </c>
      <c r="M9701" t="n">
        <v>0</v>
      </c>
      <c r="N9701" t="n">
        <v>0</v>
      </c>
      <c r="O9701" t="n">
        <v>0</v>
      </c>
      <c r="P9701" t="n">
        <v>0</v>
      </c>
      <c r="Q9701" t="n">
        <v>0</v>
      </c>
      <c r="R9701" s="2" t="inlineStr"/>
    </row>
    <row r="9702" ht="15" customHeight="1">
      <c r="A9702" t="inlineStr">
        <is>
          <t>A 19143-2023</t>
        </is>
      </c>
      <c r="B9702" s="1" t="n">
        <v>45048</v>
      </c>
      <c r="C9702" s="1" t="n">
        <v>45810</v>
      </c>
      <c r="D9702" t="inlineStr">
        <is>
          <t>VÄRMLANDS LÄN</t>
        </is>
      </c>
      <c r="E9702" t="inlineStr">
        <is>
          <t>KARLSTAD</t>
        </is>
      </c>
      <c r="G9702" t="n">
        <v>0.9</v>
      </c>
      <c r="H9702" t="n">
        <v>0</v>
      </c>
      <c r="I9702" t="n">
        <v>0</v>
      </c>
      <c r="J9702" t="n">
        <v>0</v>
      </c>
      <c r="K9702" t="n">
        <v>0</v>
      </c>
      <c r="L9702" t="n">
        <v>0</v>
      </c>
      <c r="M9702" t="n">
        <v>0</v>
      </c>
      <c r="N9702" t="n">
        <v>0</v>
      </c>
      <c r="O9702" t="n">
        <v>0</v>
      </c>
      <c r="P9702" t="n">
        <v>0</v>
      </c>
      <c r="Q9702" t="n">
        <v>0</v>
      </c>
      <c r="R9702" s="2" t="inlineStr"/>
    </row>
    <row r="9703" ht="15" customHeight="1">
      <c r="A9703" t="inlineStr">
        <is>
          <t>A 19080-2023</t>
        </is>
      </c>
      <c r="B9703" s="1" t="n">
        <v>45048</v>
      </c>
      <c r="C9703" s="1" t="n">
        <v>45810</v>
      </c>
      <c r="D9703" t="inlineStr">
        <is>
          <t>VÄRMLANDS LÄN</t>
        </is>
      </c>
      <c r="E9703" t="inlineStr">
        <is>
          <t>GRUMS</t>
        </is>
      </c>
      <c r="G9703" t="n">
        <v>4</v>
      </c>
      <c r="H9703" t="n">
        <v>0</v>
      </c>
      <c r="I9703" t="n">
        <v>0</v>
      </c>
      <c r="J9703" t="n">
        <v>0</v>
      </c>
      <c r="K9703" t="n">
        <v>0</v>
      </c>
      <c r="L9703" t="n">
        <v>0</v>
      </c>
      <c r="M9703" t="n">
        <v>0</v>
      </c>
      <c r="N9703" t="n">
        <v>0</v>
      </c>
      <c r="O9703" t="n">
        <v>0</v>
      </c>
      <c r="P9703" t="n">
        <v>0</v>
      </c>
      <c r="Q9703" t="n">
        <v>0</v>
      </c>
      <c r="R9703" s="2" t="inlineStr"/>
    </row>
    <row r="9704" ht="15" customHeight="1">
      <c r="A9704" t="inlineStr">
        <is>
          <t>A 19088-2023</t>
        </is>
      </c>
      <c r="B9704" s="1" t="n">
        <v>45048</v>
      </c>
      <c r="C9704" s="1" t="n">
        <v>45810</v>
      </c>
      <c r="D9704" t="inlineStr">
        <is>
          <t>VÄRMLANDS LÄN</t>
        </is>
      </c>
      <c r="E9704" t="inlineStr">
        <is>
          <t>GRUMS</t>
        </is>
      </c>
      <c r="G9704" t="n">
        <v>0.9</v>
      </c>
      <c r="H9704" t="n">
        <v>0</v>
      </c>
      <c r="I9704" t="n">
        <v>0</v>
      </c>
      <c r="J9704" t="n">
        <v>0</v>
      </c>
      <c r="K9704" t="n">
        <v>0</v>
      </c>
      <c r="L9704" t="n">
        <v>0</v>
      </c>
      <c r="M9704" t="n">
        <v>0</v>
      </c>
      <c r="N9704" t="n">
        <v>0</v>
      </c>
      <c r="O9704" t="n">
        <v>0</v>
      </c>
      <c r="P9704" t="n">
        <v>0</v>
      </c>
      <c r="Q9704" t="n">
        <v>0</v>
      </c>
      <c r="R9704" s="2" t="inlineStr"/>
    </row>
    <row r="9705" ht="15" customHeight="1">
      <c r="A9705" t="inlineStr">
        <is>
          <t>A 19207-2023</t>
        </is>
      </c>
      <c r="B9705" s="1" t="n">
        <v>45048</v>
      </c>
      <c r="C9705" s="1" t="n">
        <v>45810</v>
      </c>
      <c r="D9705" t="inlineStr">
        <is>
          <t>VÄRMLANDS LÄN</t>
        </is>
      </c>
      <c r="E9705" t="inlineStr">
        <is>
          <t>ARVIKA</t>
        </is>
      </c>
      <c r="G9705" t="n">
        <v>4</v>
      </c>
      <c r="H9705" t="n">
        <v>0</v>
      </c>
      <c r="I9705" t="n">
        <v>0</v>
      </c>
      <c r="J9705" t="n">
        <v>0</v>
      </c>
      <c r="K9705" t="n">
        <v>0</v>
      </c>
      <c r="L9705" t="n">
        <v>0</v>
      </c>
      <c r="M9705" t="n">
        <v>0</v>
      </c>
      <c r="N9705" t="n">
        <v>0</v>
      </c>
      <c r="O9705" t="n">
        <v>0</v>
      </c>
      <c r="P9705" t="n">
        <v>0</v>
      </c>
      <c r="Q9705" t="n">
        <v>0</v>
      </c>
      <c r="R9705" s="2" t="inlineStr"/>
    </row>
    <row r="9706" ht="15" customHeight="1">
      <c r="A9706" t="inlineStr">
        <is>
          <t>A 19173-2023</t>
        </is>
      </c>
      <c r="B9706" s="1" t="n">
        <v>45048</v>
      </c>
      <c r="C9706" s="1" t="n">
        <v>45810</v>
      </c>
      <c r="D9706" t="inlineStr">
        <is>
          <t>VÄRMLANDS LÄN</t>
        </is>
      </c>
      <c r="E9706" t="inlineStr">
        <is>
          <t>SUNNE</t>
        </is>
      </c>
      <c r="G9706" t="n">
        <v>0.8</v>
      </c>
      <c r="H9706" t="n">
        <v>0</v>
      </c>
      <c r="I9706" t="n">
        <v>0</v>
      </c>
      <c r="J9706" t="n">
        <v>0</v>
      </c>
      <c r="K9706" t="n">
        <v>0</v>
      </c>
      <c r="L9706" t="n">
        <v>0</v>
      </c>
      <c r="M9706" t="n">
        <v>0</v>
      </c>
      <c r="N9706" t="n">
        <v>0</v>
      </c>
      <c r="O9706" t="n">
        <v>0</v>
      </c>
      <c r="P9706" t="n">
        <v>0</v>
      </c>
      <c r="Q9706" t="n">
        <v>0</v>
      </c>
      <c r="R9706" s="2" t="inlineStr"/>
    </row>
    <row r="9707" ht="15" customHeight="1">
      <c r="A9707" t="inlineStr">
        <is>
          <t>A 19313-2023</t>
        </is>
      </c>
      <c r="B9707" s="1" t="n">
        <v>45049</v>
      </c>
      <c r="C9707" s="1" t="n">
        <v>45810</v>
      </c>
      <c r="D9707" t="inlineStr">
        <is>
          <t>VÄRMLANDS LÄN</t>
        </is>
      </c>
      <c r="E9707" t="inlineStr">
        <is>
          <t>ÅRJÄNG</t>
        </is>
      </c>
      <c r="G9707" t="n">
        <v>2</v>
      </c>
      <c r="H9707" t="n">
        <v>0</v>
      </c>
      <c r="I9707" t="n">
        <v>0</v>
      </c>
      <c r="J9707" t="n">
        <v>0</v>
      </c>
      <c r="K9707" t="n">
        <v>0</v>
      </c>
      <c r="L9707" t="n">
        <v>0</v>
      </c>
      <c r="M9707" t="n">
        <v>0</v>
      </c>
      <c r="N9707" t="n">
        <v>0</v>
      </c>
      <c r="O9707" t="n">
        <v>0</v>
      </c>
      <c r="P9707" t="n">
        <v>0</v>
      </c>
      <c r="Q9707" t="n">
        <v>0</v>
      </c>
      <c r="R9707" s="2" t="inlineStr"/>
    </row>
    <row r="9708" ht="15" customHeight="1">
      <c r="A9708" t="inlineStr">
        <is>
          <t>A 19323-2023</t>
        </is>
      </c>
      <c r="B9708" s="1" t="n">
        <v>45049</v>
      </c>
      <c r="C9708" s="1" t="n">
        <v>45810</v>
      </c>
      <c r="D9708" t="inlineStr">
        <is>
          <t>VÄRMLANDS LÄN</t>
        </is>
      </c>
      <c r="E9708" t="inlineStr">
        <is>
          <t>FORSHAGA</t>
        </is>
      </c>
      <c r="G9708" t="n">
        <v>0.6</v>
      </c>
      <c r="H9708" t="n">
        <v>0</v>
      </c>
      <c r="I9708" t="n">
        <v>0</v>
      </c>
      <c r="J9708" t="n">
        <v>0</v>
      </c>
      <c r="K9708" t="n">
        <v>0</v>
      </c>
      <c r="L9708" t="n">
        <v>0</v>
      </c>
      <c r="M9708" t="n">
        <v>0</v>
      </c>
      <c r="N9708" t="n">
        <v>0</v>
      </c>
      <c r="O9708" t="n">
        <v>0</v>
      </c>
      <c r="P9708" t="n">
        <v>0</v>
      </c>
      <c r="Q9708" t="n">
        <v>0</v>
      </c>
      <c r="R9708" s="2" t="inlineStr"/>
    </row>
    <row r="9709" ht="15" customHeight="1">
      <c r="A9709" t="inlineStr">
        <is>
          <t>A 19292-2023</t>
        </is>
      </c>
      <c r="B9709" s="1" t="n">
        <v>45049</v>
      </c>
      <c r="C9709" s="1" t="n">
        <v>45810</v>
      </c>
      <c r="D9709" t="inlineStr">
        <is>
          <t>VÄRMLANDS LÄN</t>
        </is>
      </c>
      <c r="E9709" t="inlineStr">
        <is>
          <t>KARLSTAD</t>
        </is>
      </c>
      <c r="G9709" t="n">
        <v>2.2</v>
      </c>
      <c r="H9709" t="n">
        <v>0</v>
      </c>
      <c r="I9709" t="n">
        <v>0</v>
      </c>
      <c r="J9709" t="n">
        <v>0</v>
      </c>
      <c r="K9709" t="n">
        <v>0</v>
      </c>
      <c r="L9709" t="n">
        <v>0</v>
      </c>
      <c r="M9709" t="n">
        <v>0</v>
      </c>
      <c r="N9709" t="n">
        <v>0</v>
      </c>
      <c r="O9709" t="n">
        <v>0</v>
      </c>
      <c r="P9709" t="n">
        <v>0</v>
      </c>
      <c r="Q9709" t="n">
        <v>0</v>
      </c>
      <c r="R9709" s="2" t="inlineStr"/>
    </row>
    <row r="9710" ht="15" customHeight="1">
      <c r="A9710" t="inlineStr">
        <is>
          <t>A 19327-2023</t>
        </is>
      </c>
      <c r="B9710" s="1" t="n">
        <v>45049</v>
      </c>
      <c r="C9710" s="1" t="n">
        <v>45810</v>
      </c>
      <c r="D9710" t="inlineStr">
        <is>
          <t>VÄRMLANDS LÄN</t>
        </is>
      </c>
      <c r="E9710" t="inlineStr">
        <is>
          <t>FORSHAGA</t>
        </is>
      </c>
      <c r="G9710" t="n">
        <v>3.7</v>
      </c>
      <c r="H9710" t="n">
        <v>0</v>
      </c>
      <c r="I9710" t="n">
        <v>0</v>
      </c>
      <c r="J9710" t="n">
        <v>0</v>
      </c>
      <c r="K9710" t="n">
        <v>0</v>
      </c>
      <c r="L9710" t="n">
        <v>0</v>
      </c>
      <c r="M9710" t="n">
        <v>0</v>
      </c>
      <c r="N9710" t="n">
        <v>0</v>
      </c>
      <c r="O9710" t="n">
        <v>0</v>
      </c>
      <c r="P9710" t="n">
        <v>0</v>
      </c>
      <c r="Q9710" t="n">
        <v>0</v>
      </c>
      <c r="R9710" s="2" t="inlineStr"/>
    </row>
    <row r="9711" ht="15" customHeight="1">
      <c r="A9711" t="inlineStr">
        <is>
          <t>A 19347-2023</t>
        </is>
      </c>
      <c r="B9711" s="1" t="n">
        <v>45049</v>
      </c>
      <c r="C9711" s="1" t="n">
        <v>45810</v>
      </c>
      <c r="D9711" t="inlineStr">
        <is>
          <t>VÄRMLANDS LÄN</t>
        </is>
      </c>
      <c r="E9711" t="inlineStr">
        <is>
          <t>EDA</t>
        </is>
      </c>
      <c r="G9711" t="n">
        <v>1.7</v>
      </c>
      <c r="H9711" t="n">
        <v>0</v>
      </c>
      <c r="I9711" t="n">
        <v>0</v>
      </c>
      <c r="J9711" t="n">
        <v>0</v>
      </c>
      <c r="K9711" t="n">
        <v>0</v>
      </c>
      <c r="L9711" t="n">
        <v>0</v>
      </c>
      <c r="M9711" t="n">
        <v>0</v>
      </c>
      <c r="N9711" t="n">
        <v>0</v>
      </c>
      <c r="O9711" t="n">
        <v>0</v>
      </c>
      <c r="P9711" t="n">
        <v>0</v>
      </c>
      <c r="Q9711" t="n">
        <v>0</v>
      </c>
      <c r="R9711" s="2" t="inlineStr"/>
    </row>
    <row r="9712" ht="15" customHeight="1">
      <c r="A9712" t="inlineStr">
        <is>
          <t>A 19291-2023</t>
        </is>
      </c>
      <c r="B9712" s="1" t="n">
        <v>45049</v>
      </c>
      <c r="C9712" s="1" t="n">
        <v>45810</v>
      </c>
      <c r="D9712" t="inlineStr">
        <is>
          <t>VÄRMLANDS LÄN</t>
        </is>
      </c>
      <c r="E9712" t="inlineStr">
        <is>
          <t>KARLSTAD</t>
        </is>
      </c>
      <c r="G9712" t="n">
        <v>2.2</v>
      </c>
      <c r="H9712" t="n">
        <v>0</v>
      </c>
      <c r="I9712" t="n">
        <v>0</v>
      </c>
      <c r="J9712" t="n">
        <v>0</v>
      </c>
      <c r="K9712" t="n">
        <v>0</v>
      </c>
      <c r="L9712" t="n">
        <v>0</v>
      </c>
      <c r="M9712" t="n">
        <v>0</v>
      </c>
      <c r="N9712" t="n">
        <v>0</v>
      </c>
      <c r="O9712" t="n">
        <v>0</v>
      </c>
      <c r="P9712" t="n">
        <v>0</v>
      </c>
      <c r="Q9712" t="n">
        <v>0</v>
      </c>
      <c r="R9712" s="2" t="inlineStr"/>
    </row>
    <row r="9713" ht="15" customHeight="1">
      <c r="A9713" t="inlineStr">
        <is>
          <t>A 19400-2023</t>
        </is>
      </c>
      <c r="B9713" s="1" t="n">
        <v>45049</v>
      </c>
      <c r="C9713" s="1" t="n">
        <v>45810</v>
      </c>
      <c r="D9713" t="inlineStr">
        <is>
          <t>VÄRMLANDS LÄN</t>
        </is>
      </c>
      <c r="E9713" t="inlineStr">
        <is>
          <t>ARVIKA</t>
        </is>
      </c>
      <c r="G9713" t="n">
        <v>0.9</v>
      </c>
      <c r="H9713" t="n">
        <v>0</v>
      </c>
      <c r="I9713" t="n">
        <v>0</v>
      </c>
      <c r="J9713" t="n">
        <v>0</v>
      </c>
      <c r="K9713" t="n">
        <v>0</v>
      </c>
      <c r="L9713" t="n">
        <v>0</v>
      </c>
      <c r="M9713" t="n">
        <v>0</v>
      </c>
      <c r="N9713" t="n">
        <v>0</v>
      </c>
      <c r="O9713" t="n">
        <v>0</v>
      </c>
      <c r="P9713" t="n">
        <v>0</v>
      </c>
      <c r="Q9713" t="n">
        <v>0</v>
      </c>
      <c r="R9713" s="2" t="inlineStr"/>
    </row>
    <row r="9714" ht="15" customHeight="1">
      <c r="A9714" t="inlineStr">
        <is>
          <t>A 19561-2023</t>
        </is>
      </c>
      <c r="B9714" s="1" t="n">
        <v>45049</v>
      </c>
      <c r="C9714" s="1" t="n">
        <v>45810</v>
      </c>
      <c r="D9714" t="inlineStr">
        <is>
          <t>VÄRMLANDS LÄN</t>
        </is>
      </c>
      <c r="E9714" t="inlineStr">
        <is>
          <t>GRUMS</t>
        </is>
      </c>
      <c r="G9714" t="n">
        <v>1.8</v>
      </c>
      <c r="H9714" t="n">
        <v>0</v>
      </c>
      <c r="I9714" t="n">
        <v>0</v>
      </c>
      <c r="J9714" t="n">
        <v>0</v>
      </c>
      <c r="K9714" t="n">
        <v>0</v>
      </c>
      <c r="L9714" t="n">
        <v>0</v>
      </c>
      <c r="M9714" t="n">
        <v>0</v>
      </c>
      <c r="N9714" t="n">
        <v>0</v>
      </c>
      <c r="O9714" t="n">
        <v>0</v>
      </c>
      <c r="P9714" t="n">
        <v>0</v>
      </c>
      <c r="Q9714" t="n">
        <v>0</v>
      </c>
      <c r="R9714" s="2" t="inlineStr"/>
    </row>
    <row r="9715" ht="15" customHeight="1">
      <c r="A9715" t="inlineStr">
        <is>
          <t>A 19293-2023</t>
        </is>
      </c>
      <c r="B9715" s="1" t="n">
        <v>45049</v>
      </c>
      <c r="C9715" s="1" t="n">
        <v>45810</v>
      </c>
      <c r="D9715" t="inlineStr">
        <is>
          <t>VÄRMLANDS LÄN</t>
        </is>
      </c>
      <c r="E9715" t="inlineStr">
        <is>
          <t>EDA</t>
        </is>
      </c>
      <c r="G9715" t="n">
        <v>1.8</v>
      </c>
      <c r="H9715" t="n">
        <v>0</v>
      </c>
      <c r="I9715" t="n">
        <v>0</v>
      </c>
      <c r="J9715" t="n">
        <v>0</v>
      </c>
      <c r="K9715" t="n">
        <v>0</v>
      </c>
      <c r="L9715" t="n">
        <v>0</v>
      </c>
      <c r="M9715" t="n">
        <v>0</v>
      </c>
      <c r="N9715" t="n">
        <v>0</v>
      </c>
      <c r="O9715" t="n">
        <v>0</v>
      </c>
      <c r="P9715" t="n">
        <v>0</v>
      </c>
      <c r="Q9715" t="n">
        <v>0</v>
      </c>
      <c r="R9715" s="2" t="inlineStr"/>
    </row>
    <row r="9716" ht="15" customHeight="1">
      <c r="A9716" t="inlineStr">
        <is>
          <t>A 19364-2023</t>
        </is>
      </c>
      <c r="B9716" s="1" t="n">
        <v>45049</v>
      </c>
      <c r="C9716" s="1" t="n">
        <v>45810</v>
      </c>
      <c r="D9716" t="inlineStr">
        <is>
          <t>VÄRMLANDS LÄN</t>
        </is>
      </c>
      <c r="E9716" t="inlineStr">
        <is>
          <t>ARVIKA</t>
        </is>
      </c>
      <c r="G9716" t="n">
        <v>1.3</v>
      </c>
      <c r="H9716" t="n">
        <v>0</v>
      </c>
      <c r="I9716" t="n">
        <v>0</v>
      </c>
      <c r="J9716" t="n">
        <v>0</v>
      </c>
      <c r="K9716" t="n">
        <v>0</v>
      </c>
      <c r="L9716" t="n">
        <v>0</v>
      </c>
      <c r="M9716" t="n">
        <v>0</v>
      </c>
      <c r="N9716" t="n">
        <v>0</v>
      </c>
      <c r="O9716" t="n">
        <v>0</v>
      </c>
      <c r="P9716" t="n">
        <v>0</v>
      </c>
      <c r="Q9716" t="n">
        <v>0</v>
      </c>
      <c r="R9716" s="2" t="inlineStr"/>
    </row>
    <row r="9717" ht="15" customHeight="1">
      <c r="A9717" t="inlineStr">
        <is>
          <t>A 19376-2023</t>
        </is>
      </c>
      <c r="B9717" s="1" t="n">
        <v>45049</v>
      </c>
      <c r="C9717" s="1" t="n">
        <v>45810</v>
      </c>
      <c r="D9717" t="inlineStr">
        <is>
          <t>VÄRMLANDS LÄN</t>
        </is>
      </c>
      <c r="E9717" t="inlineStr">
        <is>
          <t>EDA</t>
        </is>
      </c>
      <c r="G9717" t="n">
        <v>0.8</v>
      </c>
      <c r="H9717" t="n">
        <v>0</v>
      </c>
      <c r="I9717" t="n">
        <v>0</v>
      </c>
      <c r="J9717" t="n">
        <v>0</v>
      </c>
      <c r="K9717" t="n">
        <v>0</v>
      </c>
      <c r="L9717" t="n">
        <v>0</v>
      </c>
      <c r="M9717" t="n">
        <v>0</v>
      </c>
      <c r="N9717" t="n">
        <v>0</v>
      </c>
      <c r="O9717" t="n">
        <v>0</v>
      </c>
      <c r="P9717" t="n">
        <v>0</v>
      </c>
      <c r="Q9717" t="n">
        <v>0</v>
      </c>
      <c r="R9717" s="2" t="inlineStr"/>
    </row>
    <row r="9718" ht="15" customHeight="1">
      <c r="A9718" t="inlineStr">
        <is>
          <t>A 19566-2023</t>
        </is>
      </c>
      <c r="B9718" s="1" t="n">
        <v>45049</v>
      </c>
      <c r="C9718" s="1" t="n">
        <v>45810</v>
      </c>
      <c r="D9718" t="inlineStr">
        <is>
          <t>VÄRMLANDS LÄN</t>
        </is>
      </c>
      <c r="E9718" t="inlineStr">
        <is>
          <t>GRUMS</t>
        </is>
      </c>
      <c r="G9718" t="n">
        <v>3.5</v>
      </c>
      <c r="H9718" t="n">
        <v>0</v>
      </c>
      <c r="I9718" t="n">
        <v>0</v>
      </c>
      <c r="J9718" t="n">
        <v>0</v>
      </c>
      <c r="K9718" t="n">
        <v>0</v>
      </c>
      <c r="L9718" t="n">
        <v>0</v>
      </c>
      <c r="M9718" t="n">
        <v>0</v>
      </c>
      <c r="N9718" t="n">
        <v>0</v>
      </c>
      <c r="O9718" t="n">
        <v>0</v>
      </c>
      <c r="P9718" t="n">
        <v>0</v>
      </c>
      <c r="Q9718" t="n">
        <v>0</v>
      </c>
      <c r="R9718" s="2" t="inlineStr"/>
    </row>
    <row r="9719" ht="15" customHeight="1">
      <c r="A9719" t="inlineStr">
        <is>
          <t>A 19448-2023</t>
        </is>
      </c>
      <c r="B9719" s="1" t="n">
        <v>45050</v>
      </c>
      <c r="C9719" s="1" t="n">
        <v>45810</v>
      </c>
      <c r="D9719" t="inlineStr">
        <is>
          <t>VÄRMLANDS LÄN</t>
        </is>
      </c>
      <c r="E9719" t="inlineStr">
        <is>
          <t>EDA</t>
        </is>
      </c>
      <c r="G9719" t="n">
        <v>1.3</v>
      </c>
      <c r="H9719" t="n">
        <v>0</v>
      </c>
      <c r="I9719" t="n">
        <v>0</v>
      </c>
      <c r="J9719" t="n">
        <v>0</v>
      </c>
      <c r="K9719" t="n">
        <v>0</v>
      </c>
      <c r="L9719" t="n">
        <v>0</v>
      </c>
      <c r="M9719" t="n">
        <v>0</v>
      </c>
      <c r="N9719" t="n">
        <v>0</v>
      </c>
      <c r="O9719" t="n">
        <v>0</v>
      </c>
      <c r="P9719" t="n">
        <v>0</v>
      </c>
      <c r="Q9719" t="n">
        <v>0</v>
      </c>
      <c r="R9719" s="2" t="inlineStr"/>
    </row>
    <row r="9720" ht="15" customHeight="1">
      <c r="A9720" t="inlineStr">
        <is>
          <t>A 19506-2023</t>
        </is>
      </c>
      <c r="B9720" s="1" t="n">
        <v>45050</v>
      </c>
      <c r="C9720" s="1" t="n">
        <v>45810</v>
      </c>
      <c r="D9720" t="inlineStr">
        <is>
          <t>VÄRMLANDS LÄN</t>
        </is>
      </c>
      <c r="E9720" t="inlineStr">
        <is>
          <t>SÄFFLE</t>
        </is>
      </c>
      <c r="G9720" t="n">
        <v>3.2</v>
      </c>
      <c r="H9720" t="n">
        <v>0</v>
      </c>
      <c r="I9720" t="n">
        <v>0</v>
      </c>
      <c r="J9720" t="n">
        <v>0</v>
      </c>
      <c r="K9720" t="n">
        <v>0</v>
      </c>
      <c r="L9720" t="n">
        <v>0</v>
      </c>
      <c r="M9720" t="n">
        <v>0</v>
      </c>
      <c r="N9720" t="n">
        <v>0</v>
      </c>
      <c r="O9720" t="n">
        <v>0</v>
      </c>
      <c r="P9720" t="n">
        <v>0</v>
      </c>
      <c r="Q9720" t="n">
        <v>0</v>
      </c>
      <c r="R9720" s="2" t="inlineStr"/>
    </row>
    <row r="9721" ht="15" customHeight="1">
      <c r="A9721" t="inlineStr">
        <is>
          <t>A 19547-2023</t>
        </is>
      </c>
      <c r="B9721" s="1" t="n">
        <v>45050</v>
      </c>
      <c r="C9721" s="1" t="n">
        <v>45810</v>
      </c>
      <c r="D9721" t="inlineStr">
        <is>
          <t>VÄRMLANDS LÄN</t>
        </is>
      </c>
      <c r="E9721" t="inlineStr">
        <is>
          <t>ARVIKA</t>
        </is>
      </c>
      <c r="G9721" t="n">
        <v>2.5</v>
      </c>
      <c r="H9721" t="n">
        <v>0</v>
      </c>
      <c r="I9721" t="n">
        <v>0</v>
      </c>
      <c r="J9721" t="n">
        <v>0</v>
      </c>
      <c r="K9721" t="n">
        <v>0</v>
      </c>
      <c r="L9721" t="n">
        <v>0</v>
      </c>
      <c r="M9721" t="n">
        <v>0</v>
      </c>
      <c r="N9721" t="n">
        <v>0</v>
      </c>
      <c r="O9721" t="n">
        <v>0</v>
      </c>
      <c r="P9721" t="n">
        <v>0</v>
      </c>
      <c r="Q9721" t="n">
        <v>0</v>
      </c>
      <c r="R9721" s="2" t="inlineStr"/>
    </row>
    <row r="9722" ht="15" customHeight="1">
      <c r="A9722" t="inlineStr">
        <is>
          <t>A 19554-2023</t>
        </is>
      </c>
      <c r="B9722" s="1" t="n">
        <v>45050</v>
      </c>
      <c r="C9722" s="1" t="n">
        <v>45810</v>
      </c>
      <c r="D9722" t="inlineStr">
        <is>
          <t>VÄRMLANDS LÄN</t>
        </is>
      </c>
      <c r="E9722" t="inlineStr">
        <is>
          <t>SUNNE</t>
        </is>
      </c>
      <c r="F9722" t="inlineStr">
        <is>
          <t>Övriga Aktiebolag</t>
        </is>
      </c>
      <c r="G9722" t="n">
        <v>11.2</v>
      </c>
      <c r="H9722" t="n">
        <v>0</v>
      </c>
      <c r="I9722" t="n">
        <v>0</v>
      </c>
      <c r="J9722" t="n">
        <v>0</v>
      </c>
      <c r="K9722" t="n">
        <v>0</v>
      </c>
      <c r="L9722" t="n">
        <v>0</v>
      </c>
      <c r="M9722" t="n">
        <v>0</v>
      </c>
      <c r="N9722" t="n">
        <v>0</v>
      </c>
      <c r="O9722" t="n">
        <v>0</v>
      </c>
      <c r="P9722" t="n">
        <v>0</v>
      </c>
      <c r="Q9722" t="n">
        <v>0</v>
      </c>
      <c r="R9722" s="2" t="inlineStr"/>
    </row>
    <row r="9723" ht="15" customHeight="1">
      <c r="A9723" t="inlineStr">
        <is>
          <t>A 19463-2023</t>
        </is>
      </c>
      <c r="B9723" s="1" t="n">
        <v>45050</v>
      </c>
      <c r="C9723" s="1" t="n">
        <v>45810</v>
      </c>
      <c r="D9723" t="inlineStr">
        <is>
          <t>VÄRMLANDS LÄN</t>
        </is>
      </c>
      <c r="E9723" t="inlineStr">
        <is>
          <t>SUNNE</t>
        </is>
      </c>
      <c r="G9723" t="n">
        <v>12.6</v>
      </c>
      <c r="H9723" t="n">
        <v>0</v>
      </c>
      <c r="I9723" t="n">
        <v>0</v>
      </c>
      <c r="J9723" t="n">
        <v>0</v>
      </c>
      <c r="K9723" t="n">
        <v>0</v>
      </c>
      <c r="L9723" t="n">
        <v>0</v>
      </c>
      <c r="M9723" t="n">
        <v>0</v>
      </c>
      <c r="N9723" t="n">
        <v>0</v>
      </c>
      <c r="O9723" t="n">
        <v>0</v>
      </c>
      <c r="P9723" t="n">
        <v>0</v>
      </c>
      <c r="Q9723" t="n">
        <v>0</v>
      </c>
      <c r="R9723" s="2" t="inlineStr"/>
    </row>
    <row r="9724" ht="15" customHeight="1">
      <c r="A9724" t="inlineStr">
        <is>
          <t>A 19457-2023</t>
        </is>
      </c>
      <c r="B9724" s="1" t="n">
        <v>45050</v>
      </c>
      <c r="C9724" s="1" t="n">
        <v>45810</v>
      </c>
      <c r="D9724" t="inlineStr">
        <is>
          <t>VÄRMLANDS LÄN</t>
        </is>
      </c>
      <c r="E9724" t="inlineStr">
        <is>
          <t>SUNNE</t>
        </is>
      </c>
      <c r="G9724" t="n">
        <v>0.5</v>
      </c>
      <c r="H9724" t="n">
        <v>0</v>
      </c>
      <c r="I9724" t="n">
        <v>0</v>
      </c>
      <c r="J9724" t="n">
        <v>0</v>
      </c>
      <c r="K9724" t="n">
        <v>0</v>
      </c>
      <c r="L9724" t="n">
        <v>0</v>
      </c>
      <c r="M9724" t="n">
        <v>0</v>
      </c>
      <c r="N9724" t="n">
        <v>0</v>
      </c>
      <c r="O9724" t="n">
        <v>0</v>
      </c>
      <c r="P9724" t="n">
        <v>0</v>
      </c>
      <c r="Q9724" t="n">
        <v>0</v>
      </c>
      <c r="R9724" s="2" t="inlineStr"/>
    </row>
    <row r="9725" ht="15" customHeight="1">
      <c r="A9725" t="inlineStr">
        <is>
          <t>A 19508-2023</t>
        </is>
      </c>
      <c r="B9725" s="1" t="n">
        <v>45050</v>
      </c>
      <c r="C9725" s="1" t="n">
        <v>45810</v>
      </c>
      <c r="D9725" t="inlineStr">
        <is>
          <t>VÄRMLANDS LÄN</t>
        </is>
      </c>
      <c r="E9725" t="inlineStr">
        <is>
          <t>SÄFFLE</t>
        </is>
      </c>
      <c r="G9725" t="n">
        <v>2.4</v>
      </c>
      <c r="H9725" t="n">
        <v>0</v>
      </c>
      <c r="I9725" t="n">
        <v>0</v>
      </c>
      <c r="J9725" t="n">
        <v>0</v>
      </c>
      <c r="K9725" t="n">
        <v>0</v>
      </c>
      <c r="L9725" t="n">
        <v>0</v>
      </c>
      <c r="M9725" t="n">
        <v>0</v>
      </c>
      <c r="N9725" t="n">
        <v>0</v>
      </c>
      <c r="O9725" t="n">
        <v>0</v>
      </c>
      <c r="P9725" t="n">
        <v>0</v>
      </c>
      <c r="Q9725" t="n">
        <v>0</v>
      </c>
      <c r="R9725" s="2" t="inlineStr"/>
    </row>
    <row r="9726" ht="15" customHeight="1">
      <c r="A9726" t="inlineStr">
        <is>
          <t>A 19497-2023</t>
        </is>
      </c>
      <c r="B9726" s="1" t="n">
        <v>45050</v>
      </c>
      <c r="C9726" s="1" t="n">
        <v>45810</v>
      </c>
      <c r="D9726" t="inlineStr">
        <is>
          <t>VÄRMLANDS LÄN</t>
        </is>
      </c>
      <c r="E9726" t="inlineStr">
        <is>
          <t>SUNNE</t>
        </is>
      </c>
      <c r="G9726" t="n">
        <v>1</v>
      </c>
      <c r="H9726" t="n">
        <v>0</v>
      </c>
      <c r="I9726" t="n">
        <v>0</v>
      </c>
      <c r="J9726" t="n">
        <v>0</v>
      </c>
      <c r="K9726" t="n">
        <v>0</v>
      </c>
      <c r="L9726" t="n">
        <v>0</v>
      </c>
      <c r="M9726" t="n">
        <v>0</v>
      </c>
      <c r="N9726" t="n">
        <v>0</v>
      </c>
      <c r="O9726" t="n">
        <v>0</v>
      </c>
      <c r="P9726" t="n">
        <v>0</v>
      </c>
      <c r="Q9726" t="n">
        <v>0</v>
      </c>
      <c r="R9726" s="2" t="inlineStr"/>
    </row>
    <row r="9727" ht="15" customHeight="1">
      <c r="A9727" t="inlineStr">
        <is>
          <t>A 19528-2023</t>
        </is>
      </c>
      <c r="B9727" s="1" t="n">
        <v>45050</v>
      </c>
      <c r="C9727" s="1" t="n">
        <v>45810</v>
      </c>
      <c r="D9727" t="inlineStr">
        <is>
          <t>VÄRMLANDS LÄN</t>
        </is>
      </c>
      <c r="E9727" t="inlineStr">
        <is>
          <t>ARVIKA</t>
        </is>
      </c>
      <c r="G9727" t="n">
        <v>4.2</v>
      </c>
      <c r="H9727" t="n">
        <v>0</v>
      </c>
      <c r="I9727" t="n">
        <v>0</v>
      </c>
      <c r="J9727" t="n">
        <v>0</v>
      </c>
      <c r="K9727" t="n">
        <v>0</v>
      </c>
      <c r="L9727" t="n">
        <v>0</v>
      </c>
      <c r="M9727" t="n">
        <v>0</v>
      </c>
      <c r="N9727" t="n">
        <v>0</v>
      </c>
      <c r="O9727" t="n">
        <v>0</v>
      </c>
      <c r="P9727" t="n">
        <v>0</v>
      </c>
      <c r="Q9727" t="n">
        <v>0</v>
      </c>
      <c r="R9727" s="2" t="inlineStr"/>
    </row>
    <row r="9728" ht="15" customHeight="1">
      <c r="A9728" t="inlineStr">
        <is>
          <t>A 19518-2023</t>
        </is>
      </c>
      <c r="B9728" s="1" t="n">
        <v>45050</v>
      </c>
      <c r="C9728" s="1" t="n">
        <v>45810</v>
      </c>
      <c r="D9728" t="inlineStr">
        <is>
          <t>VÄRMLANDS LÄN</t>
        </is>
      </c>
      <c r="E9728" t="inlineStr">
        <is>
          <t>SÄFFLE</t>
        </is>
      </c>
      <c r="G9728" t="n">
        <v>13.4</v>
      </c>
      <c r="H9728" t="n">
        <v>0</v>
      </c>
      <c r="I9728" t="n">
        <v>0</v>
      </c>
      <c r="J9728" t="n">
        <v>0</v>
      </c>
      <c r="K9728" t="n">
        <v>0</v>
      </c>
      <c r="L9728" t="n">
        <v>0</v>
      </c>
      <c r="M9728" t="n">
        <v>0</v>
      </c>
      <c r="N9728" t="n">
        <v>0</v>
      </c>
      <c r="O9728" t="n">
        <v>0</v>
      </c>
      <c r="P9728" t="n">
        <v>0</v>
      </c>
      <c r="Q9728" t="n">
        <v>0</v>
      </c>
      <c r="R9728" s="2" t="inlineStr"/>
    </row>
    <row r="9729" ht="15" customHeight="1">
      <c r="A9729" t="inlineStr">
        <is>
          <t>A 19574-2023</t>
        </is>
      </c>
      <c r="B9729" s="1" t="n">
        <v>45050</v>
      </c>
      <c r="C9729" s="1" t="n">
        <v>45810</v>
      </c>
      <c r="D9729" t="inlineStr">
        <is>
          <t>VÄRMLANDS LÄN</t>
        </is>
      </c>
      <c r="E9729" t="inlineStr">
        <is>
          <t>ARVIKA</t>
        </is>
      </c>
      <c r="G9729" t="n">
        <v>6.6</v>
      </c>
      <c r="H9729" t="n">
        <v>0</v>
      </c>
      <c r="I9729" t="n">
        <v>0</v>
      </c>
      <c r="J9729" t="n">
        <v>0</v>
      </c>
      <c r="K9729" t="n">
        <v>0</v>
      </c>
      <c r="L9729" t="n">
        <v>0</v>
      </c>
      <c r="M9729" t="n">
        <v>0</v>
      </c>
      <c r="N9729" t="n">
        <v>0</v>
      </c>
      <c r="O9729" t="n">
        <v>0</v>
      </c>
      <c r="P9729" t="n">
        <v>0</v>
      </c>
      <c r="Q9729" t="n">
        <v>0</v>
      </c>
      <c r="R9729" s="2" t="inlineStr"/>
    </row>
    <row r="9730" ht="15" customHeight="1">
      <c r="A9730" t="inlineStr">
        <is>
          <t>A 19494-2023</t>
        </is>
      </c>
      <c r="B9730" s="1" t="n">
        <v>45050</v>
      </c>
      <c r="C9730" s="1" t="n">
        <v>45810</v>
      </c>
      <c r="D9730" t="inlineStr">
        <is>
          <t>VÄRMLANDS LÄN</t>
        </is>
      </c>
      <c r="E9730" t="inlineStr">
        <is>
          <t>SUNNE</t>
        </is>
      </c>
      <c r="G9730" t="n">
        <v>1</v>
      </c>
      <c r="H9730" t="n">
        <v>0</v>
      </c>
      <c r="I9730" t="n">
        <v>0</v>
      </c>
      <c r="J9730" t="n">
        <v>0</v>
      </c>
      <c r="K9730" t="n">
        <v>0</v>
      </c>
      <c r="L9730" t="n">
        <v>0</v>
      </c>
      <c r="M9730" t="n">
        <v>0</v>
      </c>
      <c r="N9730" t="n">
        <v>0</v>
      </c>
      <c r="O9730" t="n">
        <v>0</v>
      </c>
      <c r="P9730" t="n">
        <v>0</v>
      </c>
      <c r="Q9730" t="n">
        <v>0</v>
      </c>
      <c r="R9730" s="2" t="inlineStr"/>
    </row>
    <row r="9731" ht="15" customHeight="1">
      <c r="A9731" t="inlineStr">
        <is>
          <t>A 19500-2023</t>
        </is>
      </c>
      <c r="B9731" s="1" t="n">
        <v>45050</v>
      </c>
      <c r="C9731" s="1" t="n">
        <v>45810</v>
      </c>
      <c r="D9731" t="inlineStr">
        <is>
          <t>VÄRMLANDS LÄN</t>
        </is>
      </c>
      <c r="E9731" t="inlineStr">
        <is>
          <t>SUNNE</t>
        </is>
      </c>
      <c r="G9731" t="n">
        <v>1</v>
      </c>
      <c r="H9731" t="n">
        <v>0</v>
      </c>
      <c r="I9731" t="n">
        <v>0</v>
      </c>
      <c r="J9731" t="n">
        <v>0</v>
      </c>
      <c r="K9731" t="n">
        <v>0</v>
      </c>
      <c r="L9731" t="n">
        <v>0</v>
      </c>
      <c r="M9731" t="n">
        <v>0</v>
      </c>
      <c r="N9731" t="n">
        <v>0</v>
      </c>
      <c r="O9731" t="n">
        <v>0</v>
      </c>
      <c r="P9731" t="n">
        <v>0</v>
      </c>
      <c r="Q9731" t="n">
        <v>0</v>
      </c>
      <c r="R9731" s="2" t="inlineStr"/>
    </row>
    <row r="9732" ht="15" customHeight="1">
      <c r="A9732" t="inlineStr">
        <is>
          <t>A 19512-2023</t>
        </is>
      </c>
      <c r="B9732" s="1" t="n">
        <v>45050</v>
      </c>
      <c r="C9732" s="1" t="n">
        <v>45810</v>
      </c>
      <c r="D9732" t="inlineStr">
        <is>
          <t>VÄRMLANDS LÄN</t>
        </is>
      </c>
      <c r="E9732" t="inlineStr">
        <is>
          <t>SUNNE</t>
        </is>
      </c>
      <c r="G9732" t="n">
        <v>0.9</v>
      </c>
      <c r="H9732" t="n">
        <v>0</v>
      </c>
      <c r="I9732" t="n">
        <v>0</v>
      </c>
      <c r="J9732" t="n">
        <v>0</v>
      </c>
      <c r="K9732" t="n">
        <v>0</v>
      </c>
      <c r="L9732" t="n">
        <v>0</v>
      </c>
      <c r="M9732" t="n">
        <v>0</v>
      </c>
      <c r="N9732" t="n">
        <v>0</v>
      </c>
      <c r="O9732" t="n">
        <v>0</v>
      </c>
      <c r="P9732" t="n">
        <v>0</v>
      </c>
      <c r="Q9732" t="n">
        <v>0</v>
      </c>
      <c r="R9732" s="2" t="inlineStr"/>
    </row>
    <row r="9733" ht="15" customHeight="1">
      <c r="A9733" t="inlineStr">
        <is>
          <t>A 19527-2023</t>
        </is>
      </c>
      <c r="B9733" s="1" t="n">
        <v>45050</v>
      </c>
      <c r="C9733" s="1" t="n">
        <v>45810</v>
      </c>
      <c r="D9733" t="inlineStr">
        <is>
          <t>VÄRMLANDS LÄN</t>
        </is>
      </c>
      <c r="E9733" t="inlineStr">
        <is>
          <t>TORSBY</t>
        </is>
      </c>
      <c r="G9733" t="n">
        <v>1.9</v>
      </c>
      <c r="H9733" t="n">
        <v>0</v>
      </c>
      <c r="I9733" t="n">
        <v>0</v>
      </c>
      <c r="J9733" t="n">
        <v>0</v>
      </c>
      <c r="K9733" t="n">
        <v>0</v>
      </c>
      <c r="L9733" t="n">
        <v>0</v>
      </c>
      <c r="M9733" t="n">
        <v>0</v>
      </c>
      <c r="N9733" t="n">
        <v>0</v>
      </c>
      <c r="O9733" t="n">
        <v>0</v>
      </c>
      <c r="P9733" t="n">
        <v>0</v>
      </c>
      <c r="Q9733" t="n">
        <v>0</v>
      </c>
      <c r="R9733" s="2" t="inlineStr"/>
    </row>
    <row r="9734" ht="15" customHeight="1">
      <c r="A9734" t="inlineStr">
        <is>
          <t>A 19583-2023</t>
        </is>
      </c>
      <c r="B9734" s="1" t="n">
        <v>45050</v>
      </c>
      <c r="C9734" s="1" t="n">
        <v>45810</v>
      </c>
      <c r="D9734" t="inlineStr">
        <is>
          <t>VÄRMLANDS LÄN</t>
        </is>
      </c>
      <c r="E9734" t="inlineStr">
        <is>
          <t>HAGFORS</t>
        </is>
      </c>
      <c r="F9734" t="inlineStr">
        <is>
          <t>Kommuner</t>
        </is>
      </c>
      <c r="G9734" t="n">
        <v>1.5</v>
      </c>
      <c r="H9734" t="n">
        <v>0</v>
      </c>
      <c r="I9734" t="n">
        <v>0</v>
      </c>
      <c r="J9734" t="n">
        <v>0</v>
      </c>
      <c r="K9734" t="n">
        <v>0</v>
      </c>
      <c r="L9734" t="n">
        <v>0</v>
      </c>
      <c r="M9734" t="n">
        <v>0</v>
      </c>
      <c r="N9734" t="n">
        <v>0</v>
      </c>
      <c r="O9734" t="n">
        <v>0</v>
      </c>
      <c r="P9734" t="n">
        <v>0</v>
      </c>
      <c r="Q9734" t="n">
        <v>0</v>
      </c>
      <c r="R9734" s="2" t="inlineStr"/>
    </row>
    <row r="9735" ht="15" customHeight="1">
      <c r="A9735" t="inlineStr">
        <is>
          <t>A 19666-2023</t>
        </is>
      </c>
      <c r="B9735" s="1" t="n">
        <v>45051</v>
      </c>
      <c r="C9735" s="1" t="n">
        <v>45810</v>
      </c>
      <c r="D9735" t="inlineStr">
        <is>
          <t>VÄRMLANDS LÄN</t>
        </is>
      </c>
      <c r="E9735" t="inlineStr">
        <is>
          <t>KARLSTAD</t>
        </is>
      </c>
      <c r="G9735" t="n">
        <v>0.4</v>
      </c>
      <c r="H9735" t="n">
        <v>0</v>
      </c>
      <c r="I9735" t="n">
        <v>0</v>
      </c>
      <c r="J9735" t="n">
        <v>0</v>
      </c>
      <c r="K9735" t="n">
        <v>0</v>
      </c>
      <c r="L9735" t="n">
        <v>0</v>
      </c>
      <c r="M9735" t="n">
        <v>0</v>
      </c>
      <c r="N9735" t="n">
        <v>0</v>
      </c>
      <c r="O9735" t="n">
        <v>0</v>
      </c>
      <c r="P9735" t="n">
        <v>0</v>
      </c>
      <c r="Q9735" t="n">
        <v>0</v>
      </c>
      <c r="R9735" s="2" t="inlineStr"/>
    </row>
    <row r="9736" ht="15" customHeight="1">
      <c r="A9736" t="inlineStr">
        <is>
          <t>A 19720-2023</t>
        </is>
      </c>
      <c r="B9736" s="1" t="n">
        <v>45051</v>
      </c>
      <c r="C9736" s="1" t="n">
        <v>45810</v>
      </c>
      <c r="D9736" t="inlineStr">
        <is>
          <t>VÄRMLANDS LÄN</t>
        </is>
      </c>
      <c r="E9736" t="inlineStr">
        <is>
          <t>ARVIKA</t>
        </is>
      </c>
      <c r="G9736" t="n">
        <v>2.6</v>
      </c>
      <c r="H9736" t="n">
        <v>0</v>
      </c>
      <c r="I9736" t="n">
        <v>0</v>
      </c>
      <c r="J9736" t="n">
        <v>0</v>
      </c>
      <c r="K9736" t="n">
        <v>0</v>
      </c>
      <c r="L9736" t="n">
        <v>0</v>
      </c>
      <c r="M9736" t="n">
        <v>0</v>
      </c>
      <c r="N9736" t="n">
        <v>0</v>
      </c>
      <c r="O9736" t="n">
        <v>0</v>
      </c>
      <c r="P9736" t="n">
        <v>0</v>
      </c>
      <c r="Q9736" t="n">
        <v>0</v>
      </c>
      <c r="R9736" s="2" t="inlineStr"/>
    </row>
    <row r="9737" ht="15" customHeight="1">
      <c r="A9737" t="inlineStr">
        <is>
          <t>A 19783-2023</t>
        </is>
      </c>
      <c r="B9737" s="1" t="n">
        <v>45051</v>
      </c>
      <c r="C9737" s="1" t="n">
        <v>45810</v>
      </c>
      <c r="D9737" t="inlineStr">
        <is>
          <t>VÄRMLANDS LÄN</t>
        </is>
      </c>
      <c r="E9737" t="inlineStr">
        <is>
          <t>HAGFORS</t>
        </is>
      </c>
      <c r="F9737" t="inlineStr">
        <is>
          <t>Kommuner</t>
        </is>
      </c>
      <c r="G9737" t="n">
        <v>1.7</v>
      </c>
      <c r="H9737" t="n">
        <v>0</v>
      </c>
      <c r="I9737" t="n">
        <v>0</v>
      </c>
      <c r="J9737" t="n">
        <v>0</v>
      </c>
      <c r="K9737" t="n">
        <v>0</v>
      </c>
      <c r="L9737" t="n">
        <v>0</v>
      </c>
      <c r="M9737" t="n">
        <v>0</v>
      </c>
      <c r="N9737" t="n">
        <v>0</v>
      </c>
      <c r="O9737" t="n">
        <v>0</v>
      </c>
      <c r="P9737" t="n">
        <v>0</v>
      </c>
      <c r="Q9737" t="n">
        <v>0</v>
      </c>
      <c r="R9737" s="2" t="inlineStr"/>
    </row>
    <row r="9738" ht="15" customHeight="1">
      <c r="A9738" t="inlineStr">
        <is>
          <t>A 19675-2023</t>
        </is>
      </c>
      <c r="B9738" s="1" t="n">
        <v>45051</v>
      </c>
      <c r="C9738" s="1" t="n">
        <v>45810</v>
      </c>
      <c r="D9738" t="inlineStr">
        <is>
          <t>VÄRMLANDS LÄN</t>
        </is>
      </c>
      <c r="E9738" t="inlineStr">
        <is>
          <t>TORSBY</t>
        </is>
      </c>
      <c r="G9738" t="n">
        <v>0.5</v>
      </c>
      <c r="H9738" t="n">
        <v>0</v>
      </c>
      <c r="I9738" t="n">
        <v>0</v>
      </c>
      <c r="J9738" t="n">
        <v>0</v>
      </c>
      <c r="K9738" t="n">
        <v>0</v>
      </c>
      <c r="L9738" t="n">
        <v>0</v>
      </c>
      <c r="M9738" t="n">
        <v>0</v>
      </c>
      <c r="N9738" t="n">
        <v>0</v>
      </c>
      <c r="O9738" t="n">
        <v>0</v>
      </c>
      <c r="P9738" t="n">
        <v>0</v>
      </c>
      <c r="Q9738" t="n">
        <v>0</v>
      </c>
      <c r="R9738" s="2" t="inlineStr"/>
    </row>
    <row r="9739" ht="15" customHeight="1">
      <c r="A9739" t="inlineStr">
        <is>
          <t>A 19800-2023</t>
        </is>
      </c>
      <c r="B9739" s="1" t="n">
        <v>45051</v>
      </c>
      <c r="C9739" s="1" t="n">
        <v>45810</v>
      </c>
      <c r="D9739" t="inlineStr">
        <is>
          <t>VÄRMLANDS LÄN</t>
        </is>
      </c>
      <c r="E9739" t="inlineStr">
        <is>
          <t>EDA</t>
        </is>
      </c>
      <c r="G9739" t="n">
        <v>3</v>
      </c>
      <c r="H9739" t="n">
        <v>0</v>
      </c>
      <c r="I9739" t="n">
        <v>0</v>
      </c>
      <c r="J9739" t="n">
        <v>0</v>
      </c>
      <c r="K9739" t="n">
        <v>0</v>
      </c>
      <c r="L9739" t="n">
        <v>0</v>
      </c>
      <c r="M9739" t="n">
        <v>0</v>
      </c>
      <c r="N9739" t="n">
        <v>0</v>
      </c>
      <c r="O9739" t="n">
        <v>0</v>
      </c>
      <c r="P9739" t="n">
        <v>0</v>
      </c>
      <c r="Q9739" t="n">
        <v>0</v>
      </c>
      <c r="R9739" s="2" t="inlineStr"/>
    </row>
    <row r="9740" ht="15" customHeight="1">
      <c r="A9740" t="inlineStr">
        <is>
          <t>A 19714-2023</t>
        </is>
      </c>
      <c r="B9740" s="1" t="n">
        <v>45051</v>
      </c>
      <c r="C9740" s="1" t="n">
        <v>45810</v>
      </c>
      <c r="D9740" t="inlineStr">
        <is>
          <t>VÄRMLANDS LÄN</t>
        </is>
      </c>
      <c r="E9740" t="inlineStr">
        <is>
          <t>TORSBY</t>
        </is>
      </c>
      <c r="G9740" t="n">
        <v>9.1</v>
      </c>
      <c r="H9740" t="n">
        <v>0</v>
      </c>
      <c r="I9740" t="n">
        <v>0</v>
      </c>
      <c r="J9740" t="n">
        <v>0</v>
      </c>
      <c r="K9740" t="n">
        <v>0</v>
      </c>
      <c r="L9740" t="n">
        <v>0</v>
      </c>
      <c r="M9740" t="n">
        <v>0</v>
      </c>
      <c r="N9740" t="n">
        <v>0</v>
      </c>
      <c r="O9740" t="n">
        <v>0</v>
      </c>
      <c r="P9740" t="n">
        <v>0</v>
      </c>
      <c r="Q9740" t="n">
        <v>0</v>
      </c>
      <c r="R9740" s="2" t="inlineStr"/>
    </row>
    <row r="9741" ht="15" customHeight="1">
      <c r="A9741" t="inlineStr">
        <is>
          <t>A 19958-2023</t>
        </is>
      </c>
      <c r="B9741" s="1" t="n">
        <v>45051</v>
      </c>
      <c r="C9741" s="1" t="n">
        <v>45810</v>
      </c>
      <c r="D9741" t="inlineStr">
        <is>
          <t>VÄRMLANDS LÄN</t>
        </is>
      </c>
      <c r="E9741" t="inlineStr">
        <is>
          <t>ÅRJÄNG</t>
        </is>
      </c>
      <c r="G9741" t="n">
        <v>1.6</v>
      </c>
      <c r="H9741" t="n">
        <v>0</v>
      </c>
      <c r="I9741" t="n">
        <v>0</v>
      </c>
      <c r="J9741" t="n">
        <v>0</v>
      </c>
      <c r="K9741" t="n">
        <v>0</v>
      </c>
      <c r="L9741" t="n">
        <v>0</v>
      </c>
      <c r="M9741" t="n">
        <v>0</v>
      </c>
      <c r="N9741" t="n">
        <v>0</v>
      </c>
      <c r="O9741" t="n">
        <v>0</v>
      </c>
      <c r="P9741" t="n">
        <v>0</v>
      </c>
      <c r="Q9741" t="n">
        <v>0</v>
      </c>
      <c r="R9741" s="2" t="inlineStr"/>
    </row>
    <row r="9742" ht="15" customHeight="1">
      <c r="A9742" t="inlineStr">
        <is>
          <t>A 19964-2023</t>
        </is>
      </c>
      <c r="B9742" s="1" t="n">
        <v>45051</v>
      </c>
      <c r="C9742" s="1" t="n">
        <v>45810</v>
      </c>
      <c r="D9742" t="inlineStr">
        <is>
          <t>VÄRMLANDS LÄN</t>
        </is>
      </c>
      <c r="E9742" t="inlineStr">
        <is>
          <t>ÅRJÄNG</t>
        </is>
      </c>
      <c r="G9742" t="n">
        <v>1.2</v>
      </c>
      <c r="H9742" t="n">
        <v>0</v>
      </c>
      <c r="I9742" t="n">
        <v>0</v>
      </c>
      <c r="J9742" t="n">
        <v>0</v>
      </c>
      <c r="K9742" t="n">
        <v>0</v>
      </c>
      <c r="L9742" t="n">
        <v>0</v>
      </c>
      <c r="M9742" t="n">
        <v>0</v>
      </c>
      <c r="N9742" t="n">
        <v>0</v>
      </c>
      <c r="O9742" t="n">
        <v>0</v>
      </c>
      <c r="P9742" t="n">
        <v>0</v>
      </c>
      <c r="Q9742" t="n">
        <v>0</v>
      </c>
      <c r="R9742" s="2" t="inlineStr"/>
    </row>
    <row r="9743" ht="15" customHeight="1">
      <c r="A9743" t="inlineStr">
        <is>
          <t>A 19970-2023</t>
        </is>
      </c>
      <c r="B9743" s="1" t="n">
        <v>45051</v>
      </c>
      <c r="C9743" s="1" t="n">
        <v>45810</v>
      </c>
      <c r="D9743" t="inlineStr">
        <is>
          <t>VÄRMLANDS LÄN</t>
        </is>
      </c>
      <c r="E9743" t="inlineStr">
        <is>
          <t>ÅRJÄNG</t>
        </is>
      </c>
      <c r="G9743" t="n">
        <v>2.1</v>
      </c>
      <c r="H9743" t="n">
        <v>0</v>
      </c>
      <c r="I9743" t="n">
        <v>0</v>
      </c>
      <c r="J9743" t="n">
        <v>0</v>
      </c>
      <c r="K9743" t="n">
        <v>0</v>
      </c>
      <c r="L9743" t="n">
        <v>0</v>
      </c>
      <c r="M9743" t="n">
        <v>0</v>
      </c>
      <c r="N9743" t="n">
        <v>0</v>
      </c>
      <c r="O9743" t="n">
        <v>0</v>
      </c>
      <c r="P9743" t="n">
        <v>0</v>
      </c>
      <c r="Q9743" t="n">
        <v>0</v>
      </c>
      <c r="R9743" s="2" t="inlineStr"/>
    </row>
    <row r="9744" ht="15" customHeight="1">
      <c r="A9744" t="inlineStr">
        <is>
          <t>A 19975-2023</t>
        </is>
      </c>
      <c r="B9744" s="1" t="n">
        <v>45051</v>
      </c>
      <c r="C9744" s="1" t="n">
        <v>45810</v>
      </c>
      <c r="D9744" t="inlineStr">
        <is>
          <t>VÄRMLANDS LÄN</t>
        </is>
      </c>
      <c r="E9744" t="inlineStr">
        <is>
          <t>ÅRJÄNG</t>
        </is>
      </c>
      <c r="G9744" t="n">
        <v>3.9</v>
      </c>
      <c r="H9744" t="n">
        <v>0</v>
      </c>
      <c r="I9744" t="n">
        <v>0</v>
      </c>
      <c r="J9744" t="n">
        <v>0</v>
      </c>
      <c r="K9744" t="n">
        <v>0</v>
      </c>
      <c r="L9744" t="n">
        <v>0</v>
      </c>
      <c r="M9744" t="n">
        <v>0</v>
      </c>
      <c r="N9744" t="n">
        <v>0</v>
      </c>
      <c r="O9744" t="n">
        <v>0</v>
      </c>
      <c r="P9744" t="n">
        <v>0</v>
      </c>
      <c r="Q9744" t="n">
        <v>0</v>
      </c>
      <c r="R9744" s="2" t="inlineStr"/>
    </row>
    <row r="9745" ht="15" customHeight="1">
      <c r="A9745" t="inlineStr">
        <is>
          <t>A 19835-2023</t>
        </is>
      </c>
      <c r="B9745" s="1" t="n">
        <v>45052</v>
      </c>
      <c r="C9745" s="1" t="n">
        <v>45810</v>
      </c>
      <c r="D9745" t="inlineStr">
        <is>
          <t>VÄRMLANDS LÄN</t>
        </is>
      </c>
      <c r="E9745" t="inlineStr">
        <is>
          <t>ÅRJÄNG</t>
        </is>
      </c>
      <c r="G9745" t="n">
        <v>2.2</v>
      </c>
      <c r="H9745" t="n">
        <v>0</v>
      </c>
      <c r="I9745" t="n">
        <v>0</v>
      </c>
      <c r="J9745" t="n">
        <v>0</v>
      </c>
      <c r="K9745" t="n">
        <v>0</v>
      </c>
      <c r="L9745" t="n">
        <v>0</v>
      </c>
      <c r="M9745" t="n">
        <v>0</v>
      </c>
      <c r="N9745" t="n">
        <v>0</v>
      </c>
      <c r="O9745" t="n">
        <v>0</v>
      </c>
      <c r="P9745" t="n">
        <v>0</v>
      </c>
      <c r="Q9745" t="n">
        <v>0</v>
      </c>
      <c r="R9745" s="2" t="inlineStr"/>
    </row>
    <row r="9746" ht="15" customHeight="1">
      <c r="A9746" t="inlineStr">
        <is>
          <t>A 19930-2023</t>
        </is>
      </c>
      <c r="B9746" s="1" t="n">
        <v>45054</v>
      </c>
      <c r="C9746" s="1" t="n">
        <v>45810</v>
      </c>
      <c r="D9746" t="inlineStr">
        <is>
          <t>VÄRMLANDS LÄN</t>
        </is>
      </c>
      <c r="E9746" t="inlineStr">
        <is>
          <t>EDA</t>
        </is>
      </c>
      <c r="G9746" t="n">
        <v>1.7</v>
      </c>
      <c r="H9746" t="n">
        <v>0</v>
      </c>
      <c r="I9746" t="n">
        <v>0</v>
      </c>
      <c r="J9746" t="n">
        <v>0</v>
      </c>
      <c r="K9746" t="n">
        <v>0</v>
      </c>
      <c r="L9746" t="n">
        <v>0</v>
      </c>
      <c r="M9746" t="n">
        <v>0</v>
      </c>
      <c r="N9746" t="n">
        <v>0</v>
      </c>
      <c r="O9746" t="n">
        <v>0</v>
      </c>
      <c r="P9746" t="n">
        <v>0</v>
      </c>
      <c r="Q9746" t="n">
        <v>0</v>
      </c>
      <c r="R9746" s="2" t="inlineStr"/>
    </row>
    <row r="9747" ht="15" customHeight="1">
      <c r="A9747" t="inlineStr">
        <is>
          <t>A 20030-2023</t>
        </is>
      </c>
      <c r="B9747" s="1" t="n">
        <v>45054</v>
      </c>
      <c r="C9747" s="1" t="n">
        <v>45810</v>
      </c>
      <c r="D9747" t="inlineStr">
        <is>
          <t>VÄRMLANDS LÄN</t>
        </is>
      </c>
      <c r="E9747" t="inlineStr">
        <is>
          <t>SUNNE</t>
        </is>
      </c>
      <c r="G9747" t="n">
        <v>1.7</v>
      </c>
      <c r="H9747" t="n">
        <v>0</v>
      </c>
      <c r="I9747" t="n">
        <v>0</v>
      </c>
      <c r="J9747" t="n">
        <v>0</v>
      </c>
      <c r="K9747" t="n">
        <v>0</v>
      </c>
      <c r="L9747" t="n">
        <v>0</v>
      </c>
      <c r="M9747" t="n">
        <v>0</v>
      </c>
      <c r="N9747" t="n">
        <v>0</v>
      </c>
      <c r="O9747" t="n">
        <v>0</v>
      </c>
      <c r="P9747" t="n">
        <v>0</v>
      </c>
      <c r="Q9747" t="n">
        <v>0</v>
      </c>
      <c r="R9747" s="2" t="inlineStr"/>
    </row>
    <row r="9748" ht="15" customHeight="1">
      <c r="A9748" t="inlineStr">
        <is>
          <t>A 20040-2023</t>
        </is>
      </c>
      <c r="B9748" s="1" t="n">
        <v>45054</v>
      </c>
      <c r="C9748" s="1" t="n">
        <v>45810</v>
      </c>
      <c r="D9748" t="inlineStr">
        <is>
          <t>VÄRMLANDS LÄN</t>
        </is>
      </c>
      <c r="E9748" t="inlineStr">
        <is>
          <t>EDA</t>
        </is>
      </c>
      <c r="G9748" t="n">
        <v>0.7</v>
      </c>
      <c r="H9748" t="n">
        <v>0</v>
      </c>
      <c r="I9748" t="n">
        <v>0</v>
      </c>
      <c r="J9748" t="n">
        <v>0</v>
      </c>
      <c r="K9748" t="n">
        <v>0</v>
      </c>
      <c r="L9748" t="n">
        <v>0</v>
      </c>
      <c r="M9748" t="n">
        <v>0</v>
      </c>
      <c r="N9748" t="n">
        <v>0</v>
      </c>
      <c r="O9748" t="n">
        <v>0</v>
      </c>
      <c r="P9748" t="n">
        <v>0</v>
      </c>
      <c r="Q9748" t="n">
        <v>0</v>
      </c>
      <c r="R9748" s="2" t="inlineStr"/>
    </row>
    <row r="9749" ht="15" customHeight="1">
      <c r="A9749" t="inlineStr">
        <is>
          <t>A 20049-2023</t>
        </is>
      </c>
      <c r="B9749" s="1" t="n">
        <v>45054</v>
      </c>
      <c r="C9749" s="1" t="n">
        <v>45810</v>
      </c>
      <c r="D9749" t="inlineStr">
        <is>
          <t>VÄRMLANDS LÄN</t>
        </is>
      </c>
      <c r="E9749" t="inlineStr">
        <is>
          <t>EDA</t>
        </is>
      </c>
      <c r="G9749" t="n">
        <v>0.6</v>
      </c>
      <c r="H9749" t="n">
        <v>0</v>
      </c>
      <c r="I9749" t="n">
        <v>0</v>
      </c>
      <c r="J9749" t="n">
        <v>0</v>
      </c>
      <c r="K9749" t="n">
        <v>0</v>
      </c>
      <c r="L9749" t="n">
        <v>0</v>
      </c>
      <c r="M9749" t="n">
        <v>0</v>
      </c>
      <c r="N9749" t="n">
        <v>0</v>
      </c>
      <c r="O9749" t="n">
        <v>0</v>
      </c>
      <c r="P9749" t="n">
        <v>0</v>
      </c>
      <c r="Q9749" t="n">
        <v>0</v>
      </c>
      <c r="R9749" s="2" t="inlineStr"/>
    </row>
    <row r="9750" ht="15" customHeight="1">
      <c r="A9750" t="inlineStr">
        <is>
          <t>A 20003-2023</t>
        </is>
      </c>
      <c r="B9750" s="1" t="n">
        <v>45054</v>
      </c>
      <c r="C9750" s="1" t="n">
        <v>45810</v>
      </c>
      <c r="D9750" t="inlineStr">
        <is>
          <t>VÄRMLANDS LÄN</t>
        </is>
      </c>
      <c r="E9750" t="inlineStr">
        <is>
          <t>ARVIKA</t>
        </is>
      </c>
      <c r="F9750" t="inlineStr">
        <is>
          <t>Bergvik skog väst AB</t>
        </is>
      </c>
      <c r="G9750" t="n">
        <v>22.5</v>
      </c>
      <c r="H9750" t="n">
        <v>0</v>
      </c>
      <c r="I9750" t="n">
        <v>0</v>
      </c>
      <c r="J9750" t="n">
        <v>0</v>
      </c>
      <c r="K9750" t="n">
        <v>0</v>
      </c>
      <c r="L9750" t="n">
        <v>0</v>
      </c>
      <c r="M9750" t="n">
        <v>0</v>
      </c>
      <c r="N9750" t="n">
        <v>0</v>
      </c>
      <c r="O9750" t="n">
        <v>0</v>
      </c>
      <c r="P9750" t="n">
        <v>0</v>
      </c>
      <c r="Q9750" t="n">
        <v>0</v>
      </c>
      <c r="R9750" s="2" t="inlineStr"/>
    </row>
    <row r="9751" ht="15" customHeight="1">
      <c r="A9751" t="inlineStr">
        <is>
          <t>A 20028-2023</t>
        </is>
      </c>
      <c r="B9751" s="1" t="n">
        <v>45054</v>
      </c>
      <c r="C9751" s="1" t="n">
        <v>45810</v>
      </c>
      <c r="D9751" t="inlineStr">
        <is>
          <t>VÄRMLANDS LÄN</t>
        </is>
      </c>
      <c r="E9751" t="inlineStr">
        <is>
          <t>ÅRJÄNG</t>
        </is>
      </c>
      <c r="G9751" t="n">
        <v>0.7</v>
      </c>
      <c r="H9751" t="n">
        <v>0</v>
      </c>
      <c r="I9751" t="n">
        <v>0</v>
      </c>
      <c r="J9751" t="n">
        <v>0</v>
      </c>
      <c r="K9751" t="n">
        <v>0</v>
      </c>
      <c r="L9751" t="n">
        <v>0</v>
      </c>
      <c r="M9751" t="n">
        <v>0</v>
      </c>
      <c r="N9751" t="n">
        <v>0</v>
      </c>
      <c r="O9751" t="n">
        <v>0</v>
      </c>
      <c r="P9751" t="n">
        <v>0</v>
      </c>
      <c r="Q9751" t="n">
        <v>0</v>
      </c>
      <c r="R9751" s="2" t="inlineStr"/>
    </row>
    <row r="9752" ht="15" customHeight="1">
      <c r="A9752" t="inlineStr">
        <is>
          <t>A 20055-2023</t>
        </is>
      </c>
      <c r="B9752" s="1" t="n">
        <v>45054</v>
      </c>
      <c r="C9752" s="1" t="n">
        <v>45810</v>
      </c>
      <c r="D9752" t="inlineStr">
        <is>
          <t>VÄRMLANDS LÄN</t>
        </is>
      </c>
      <c r="E9752" t="inlineStr">
        <is>
          <t>EDA</t>
        </is>
      </c>
      <c r="G9752" t="n">
        <v>4.1</v>
      </c>
      <c r="H9752" t="n">
        <v>0</v>
      </c>
      <c r="I9752" t="n">
        <v>0</v>
      </c>
      <c r="J9752" t="n">
        <v>0</v>
      </c>
      <c r="K9752" t="n">
        <v>0</v>
      </c>
      <c r="L9752" t="n">
        <v>0</v>
      </c>
      <c r="M9752" t="n">
        <v>0</v>
      </c>
      <c r="N9752" t="n">
        <v>0</v>
      </c>
      <c r="O9752" t="n">
        <v>0</v>
      </c>
      <c r="P9752" t="n">
        <v>0</v>
      </c>
      <c r="Q9752" t="n">
        <v>0</v>
      </c>
      <c r="R9752" s="2" t="inlineStr"/>
    </row>
    <row r="9753" ht="15" customHeight="1">
      <c r="A9753" t="inlineStr">
        <is>
          <t>A 20060-2023</t>
        </is>
      </c>
      <c r="B9753" s="1" t="n">
        <v>45054</v>
      </c>
      <c r="C9753" s="1" t="n">
        <v>45810</v>
      </c>
      <c r="D9753" t="inlineStr">
        <is>
          <t>VÄRMLANDS LÄN</t>
        </is>
      </c>
      <c r="E9753" t="inlineStr">
        <is>
          <t>HAGFORS</t>
        </is>
      </c>
      <c r="G9753" t="n">
        <v>1.8</v>
      </c>
      <c r="H9753" t="n">
        <v>0</v>
      </c>
      <c r="I9753" t="n">
        <v>0</v>
      </c>
      <c r="J9753" t="n">
        <v>0</v>
      </c>
      <c r="K9753" t="n">
        <v>0</v>
      </c>
      <c r="L9753" t="n">
        <v>0</v>
      </c>
      <c r="M9753" t="n">
        <v>0</v>
      </c>
      <c r="N9753" t="n">
        <v>0</v>
      </c>
      <c r="O9753" t="n">
        <v>0</v>
      </c>
      <c r="P9753" t="n">
        <v>0</v>
      </c>
      <c r="Q9753" t="n">
        <v>0</v>
      </c>
      <c r="R9753" s="2" t="inlineStr"/>
    </row>
    <row r="9754" ht="15" customHeight="1">
      <c r="A9754" t="inlineStr">
        <is>
          <t>A 19998-2023</t>
        </is>
      </c>
      <c r="B9754" s="1" t="n">
        <v>45054</v>
      </c>
      <c r="C9754" s="1" t="n">
        <v>45810</v>
      </c>
      <c r="D9754" t="inlineStr">
        <is>
          <t>VÄRMLANDS LÄN</t>
        </is>
      </c>
      <c r="E9754" t="inlineStr">
        <is>
          <t>TORSBY</t>
        </is>
      </c>
      <c r="G9754" t="n">
        <v>1.1</v>
      </c>
      <c r="H9754" t="n">
        <v>0</v>
      </c>
      <c r="I9754" t="n">
        <v>0</v>
      </c>
      <c r="J9754" t="n">
        <v>0</v>
      </c>
      <c r="K9754" t="n">
        <v>0</v>
      </c>
      <c r="L9754" t="n">
        <v>0</v>
      </c>
      <c r="M9754" t="n">
        <v>0</v>
      </c>
      <c r="N9754" t="n">
        <v>0</v>
      </c>
      <c r="O9754" t="n">
        <v>0</v>
      </c>
      <c r="P9754" t="n">
        <v>0</v>
      </c>
      <c r="Q9754" t="n">
        <v>0</v>
      </c>
      <c r="R9754" s="2" t="inlineStr"/>
    </row>
    <row r="9755" ht="15" customHeight="1">
      <c r="A9755" t="inlineStr">
        <is>
          <t>A 20052-2023</t>
        </is>
      </c>
      <c r="B9755" s="1" t="n">
        <v>45054</v>
      </c>
      <c r="C9755" s="1" t="n">
        <v>45810</v>
      </c>
      <c r="D9755" t="inlineStr">
        <is>
          <t>VÄRMLANDS LÄN</t>
        </is>
      </c>
      <c r="E9755" t="inlineStr">
        <is>
          <t>EDA</t>
        </is>
      </c>
      <c r="G9755" t="n">
        <v>6.8</v>
      </c>
      <c r="H9755" t="n">
        <v>0</v>
      </c>
      <c r="I9755" t="n">
        <v>0</v>
      </c>
      <c r="J9755" t="n">
        <v>0</v>
      </c>
      <c r="K9755" t="n">
        <v>0</v>
      </c>
      <c r="L9755" t="n">
        <v>0</v>
      </c>
      <c r="M9755" t="n">
        <v>0</v>
      </c>
      <c r="N9755" t="n">
        <v>0</v>
      </c>
      <c r="O9755" t="n">
        <v>0</v>
      </c>
      <c r="P9755" t="n">
        <v>0</v>
      </c>
      <c r="Q9755" t="n">
        <v>0</v>
      </c>
      <c r="R9755" s="2" t="inlineStr"/>
    </row>
    <row r="9756" ht="15" customHeight="1">
      <c r="A9756" t="inlineStr">
        <is>
          <t>A 20056-2023</t>
        </is>
      </c>
      <c r="B9756" s="1" t="n">
        <v>45054</v>
      </c>
      <c r="C9756" s="1" t="n">
        <v>45810</v>
      </c>
      <c r="D9756" t="inlineStr">
        <is>
          <t>VÄRMLANDS LÄN</t>
        </is>
      </c>
      <c r="E9756" t="inlineStr">
        <is>
          <t>EDA</t>
        </is>
      </c>
      <c r="G9756" t="n">
        <v>1.9</v>
      </c>
      <c r="H9756" t="n">
        <v>0</v>
      </c>
      <c r="I9756" t="n">
        <v>0</v>
      </c>
      <c r="J9756" t="n">
        <v>0</v>
      </c>
      <c r="K9756" t="n">
        <v>0</v>
      </c>
      <c r="L9756" t="n">
        <v>0</v>
      </c>
      <c r="M9756" t="n">
        <v>0</v>
      </c>
      <c r="N9756" t="n">
        <v>0</v>
      </c>
      <c r="O9756" t="n">
        <v>0</v>
      </c>
      <c r="P9756" t="n">
        <v>0</v>
      </c>
      <c r="Q9756" t="n">
        <v>0</v>
      </c>
      <c r="R9756" s="2" t="inlineStr"/>
    </row>
    <row r="9757" ht="15" customHeight="1">
      <c r="A9757" t="inlineStr">
        <is>
          <t>A 20061-2023</t>
        </is>
      </c>
      <c r="B9757" s="1" t="n">
        <v>45054</v>
      </c>
      <c r="C9757" s="1" t="n">
        <v>45810</v>
      </c>
      <c r="D9757" t="inlineStr">
        <is>
          <t>VÄRMLANDS LÄN</t>
        </is>
      </c>
      <c r="E9757" t="inlineStr">
        <is>
          <t>SUNNE</t>
        </is>
      </c>
      <c r="F9757" t="inlineStr">
        <is>
          <t>Övriga Aktiebolag</t>
        </is>
      </c>
      <c r="G9757" t="n">
        <v>2.2</v>
      </c>
      <c r="H9757" t="n">
        <v>0</v>
      </c>
      <c r="I9757" t="n">
        <v>0</v>
      </c>
      <c r="J9757" t="n">
        <v>0</v>
      </c>
      <c r="K9757" t="n">
        <v>0</v>
      </c>
      <c r="L9757" t="n">
        <v>0</v>
      </c>
      <c r="M9757" t="n">
        <v>0</v>
      </c>
      <c r="N9757" t="n">
        <v>0</v>
      </c>
      <c r="O9757" t="n">
        <v>0</v>
      </c>
      <c r="P9757" t="n">
        <v>0</v>
      </c>
      <c r="Q9757" t="n">
        <v>0</v>
      </c>
      <c r="R9757" s="2" t="inlineStr"/>
    </row>
    <row r="9758" ht="15" customHeight="1">
      <c r="A9758" t="inlineStr">
        <is>
          <t>A 20130-2023</t>
        </is>
      </c>
      <c r="B9758" s="1" t="n">
        <v>45055</v>
      </c>
      <c r="C9758" s="1" t="n">
        <v>45810</v>
      </c>
      <c r="D9758" t="inlineStr">
        <is>
          <t>VÄRMLANDS LÄN</t>
        </is>
      </c>
      <c r="E9758" t="inlineStr">
        <is>
          <t>TORSBY</t>
        </is>
      </c>
      <c r="G9758" t="n">
        <v>0.7</v>
      </c>
      <c r="H9758" t="n">
        <v>0</v>
      </c>
      <c r="I9758" t="n">
        <v>0</v>
      </c>
      <c r="J9758" t="n">
        <v>0</v>
      </c>
      <c r="K9758" t="n">
        <v>0</v>
      </c>
      <c r="L9758" t="n">
        <v>0</v>
      </c>
      <c r="M9758" t="n">
        <v>0</v>
      </c>
      <c r="N9758" t="n">
        <v>0</v>
      </c>
      <c r="O9758" t="n">
        <v>0</v>
      </c>
      <c r="P9758" t="n">
        <v>0</v>
      </c>
      <c r="Q9758" t="n">
        <v>0</v>
      </c>
      <c r="R9758" s="2" t="inlineStr"/>
    </row>
    <row r="9759" ht="15" customHeight="1">
      <c r="A9759" t="inlineStr">
        <is>
          <t>A 20156-2023</t>
        </is>
      </c>
      <c r="B9759" s="1" t="n">
        <v>45055</v>
      </c>
      <c r="C9759" s="1" t="n">
        <v>45810</v>
      </c>
      <c r="D9759" t="inlineStr">
        <is>
          <t>VÄRMLANDS LÄN</t>
        </is>
      </c>
      <c r="E9759" t="inlineStr">
        <is>
          <t>SUNNE</t>
        </is>
      </c>
      <c r="G9759" t="n">
        <v>3.3</v>
      </c>
      <c r="H9759" t="n">
        <v>0</v>
      </c>
      <c r="I9759" t="n">
        <v>0</v>
      </c>
      <c r="J9759" t="n">
        <v>0</v>
      </c>
      <c r="K9759" t="n">
        <v>0</v>
      </c>
      <c r="L9759" t="n">
        <v>0</v>
      </c>
      <c r="M9759" t="n">
        <v>0</v>
      </c>
      <c r="N9759" t="n">
        <v>0</v>
      </c>
      <c r="O9759" t="n">
        <v>0</v>
      </c>
      <c r="P9759" t="n">
        <v>0</v>
      </c>
      <c r="Q9759" t="n">
        <v>0</v>
      </c>
      <c r="R9759" s="2" t="inlineStr"/>
    </row>
    <row r="9760" ht="15" customHeight="1">
      <c r="A9760" t="inlineStr">
        <is>
          <t>A 20107-2023</t>
        </is>
      </c>
      <c r="B9760" s="1" t="n">
        <v>45055</v>
      </c>
      <c r="C9760" s="1" t="n">
        <v>45810</v>
      </c>
      <c r="D9760" t="inlineStr">
        <is>
          <t>VÄRMLANDS LÄN</t>
        </is>
      </c>
      <c r="E9760" t="inlineStr">
        <is>
          <t>TORSBY</t>
        </is>
      </c>
      <c r="G9760" t="n">
        <v>5.3</v>
      </c>
      <c r="H9760" t="n">
        <v>0</v>
      </c>
      <c r="I9760" t="n">
        <v>0</v>
      </c>
      <c r="J9760" t="n">
        <v>0</v>
      </c>
      <c r="K9760" t="n">
        <v>0</v>
      </c>
      <c r="L9760" t="n">
        <v>0</v>
      </c>
      <c r="M9760" t="n">
        <v>0</v>
      </c>
      <c r="N9760" t="n">
        <v>0</v>
      </c>
      <c r="O9760" t="n">
        <v>0</v>
      </c>
      <c r="P9760" t="n">
        <v>0</v>
      </c>
      <c r="Q9760" t="n">
        <v>0</v>
      </c>
      <c r="R9760" s="2" t="inlineStr"/>
    </row>
    <row r="9761" ht="15" customHeight="1">
      <c r="A9761" t="inlineStr">
        <is>
          <t>A 20120-2023</t>
        </is>
      </c>
      <c r="B9761" s="1" t="n">
        <v>45055</v>
      </c>
      <c r="C9761" s="1" t="n">
        <v>45810</v>
      </c>
      <c r="D9761" t="inlineStr">
        <is>
          <t>VÄRMLANDS LÄN</t>
        </is>
      </c>
      <c r="E9761" t="inlineStr">
        <is>
          <t>TORSBY</t>
        </is>
      </c>
      <c r="G9761" t="n">
        <v>7.7</v>
      </c>
      <c r="H9761" t="n">
        <v>0</v>
      </c>
      <c r="I9761" t="n">
        <v>0</v>
      </c>
      <c r="J9761" t="n">
        <v>0</v>
      </c>
      <c r="K9761" t="n">
        <v>0</v>
      </c>
      <c r="L9761" t="n">
        <v>0</v>
      </c>
      <c r="M9761" t="n">
        <v>0</v>
      </c>
      <c r="N9761" t="n">
        <v>0</v>
      </c>
      <c r="O9761" t="n">
        <v>0</v>
      </c>
      <c r="P9761" t="n">
        <v>0</v>
      </c>
      <c r="Q9761" t="n">
        <v>0</v>
      </c>
      <c r="R9761" s="2" t="inlineStr"/>
    </row>
    <row r="9762" ht="15" customHeight="1">
      <c r="A9762" t="inlineStr">
        <is>
          <t>A 20127-2023</t>
        </is>
      </c>
      <c r="B9762" s="1" t="n">
        <v>45055</v>
      </c>
      <c r="C9762" s="1" t="n">
        <v>45810</v>
      </c>
      <c r="D9762" t="inlineStr">
        <is>
          <t>VÄRMLANDS LÄN</t>
        </is>
      </c>
      <c r="E9762" t="inlineStr">
        <is>
          <t>TORSBY</t>
        </is>
      </c>
      <c r="G9762" t="n">
        <v>12.3</v>
      </c>
      <c r="H9762" t="n">
        <v>0</v>
      </c>
      <c r="I9762" t="n">
        <v>0</v>
      </c>
      <c r="J9762" t="n">
        <v>0</v>
      </c>
      <c r="K9762" t="n">
        <v>0</v>
      </c>
      <c r="L9762" t="n">
        <v>0</v>
      </c>
      <c r="M9762" t="n">
        <v>0</v>
      </c>
      <c r="N9762" t="n">
        <v>0</v>
      </c>
      <c r="O9762" t="n">
        <v>0</v>
      </c>
      <c r="P9762" t="n">
        <v>0</v>
      </c>
      <c r="Q9762" t="n">
        <v>0</v>
      </c>
      <c r="R9762" s="2" t="inlineStr"/>
    </row>
    <row r="9763" ht="15" customHeight="1">
      <c r="A9763" t="inlineStr">
        <is>
          <t>A 20175-2023</t>
        </is>
      </c>
      <c r="B9763" s="1" t="n">
        <v>45055</v>
      </c>
      <c r="C9763" s="1" t="n">
        <v>45810</v>
      </c>
      <c r="D9763" t="inlineStr">
        <is>
          <t>VÄRMLANDS LÄN</t>
        </is>
      </c>
      <c r="E9763" t="inlineStr">
        <is>
          <t>SÄFFLE</t>
        </is>
      </c>
      <c r="F9763" t="inlineStr">
        <is>
          <t>Kommuner</t>
        </is>
      </c>
      <c r="G9763" t="n">
        <v>2.3</v>
      </c>
      <c r="H9763" t="n">
        <v>0</v>
      </c>
      <c r="I9763" t="n">
        <v>0</v>
      </c>
      <c r="J9763" t="n">
        <v>0</v>
      </c>
      <c r="K9763" t="n">
        <v>0</v>
      </c>
      <c r="L9763" t="n">
        <v>0</v>
      </c>
      <c r="M9763" t="n">
        <v>0</v>
      </c>
      <c r="N9763" t="n">
        <v>0</v>
      </c>
      <c r="O9763" t="n">
        <v>0</v>
      </c>
      <c r="P9763" t="n">
        <v>0</v>
      </c>
      <c r="Q9763" t="n">
        <v>0</v>
      </c>
      <c r="R9763" s="2" t="inlineStr"/>
    </row>
    <row r="9764" ht="15" customHeight="1">
      <c r="A9764" t="inlineStr">
        <is>
          <t>A 20113-2023</t>
        </is>
      </c>
      <c r="B9764" s="1" t="n">
        <v>45055</v>
      </c>
      <c r="C9764" s="1" t="n">
        <v>45810</v>
      </c>
      <c r="D9764" t="inlineStr">
        <is>
          <t>VÄRMLANDS LÄN</t>
        </is>
      </c>
      <c r="E9764" t="inlineStr">
        <is>
          <t>HAGFORS</t>
        </is>
      </c>
      <c r="G9764" t="n">
        <v>2</v>
      </c>
      <c r="H9764" t="n">
        <v>0</v>
      </c>
      <c r="I9764" t="n">
        <v>0</v>
      </c>
      <c r="J9764" t="n">
        <v>0</v>
      </c>
      <c r="K9764" t="n">
        <v>0</v>
      </c>
      <c r="L9764" t="n">
        <v>0</v>
      </c>
      <c r="M9764" t="n">
        <v>0</v>
      </c>
      <c r="N9764" t="n">
        <v>0</v>
      </c>
      <c r="O9764" t="n">
        <v>0</v>
      </c>
      <c r="P9764" t="n">
        <v>0</v>
      </c>
      <c r="Q9764" t="n">
        <v>0</v>
      </c>
      <c r="R9764" s="2" t="inlineStr"/>
    </row>
    <row r="9765" ht="15" customHeight="1">
      <c r="A9765" t="inlineStr">
        <is>
          <t>A 20154-2023</t>
        </is>
      </c>
      <c r="B9765" s="1" t="n">
        <v>45055</v>
      </c>
      <c r="C9765" s="1" t="n">
        <v>45810</v>
      </c>
      <c r="D9765" t="inlineStr">
        <is>
          <t>VÄRMLANDS LÄN</t>
        </is>
      </c>
      <c r="E9765" t="inlineStr">
        <is>
          <t>ÅRJÄNG</t>
        </is>
      </c>
      <c r="G9765" t="n">
        <v>4.3</v>
      </c>
      <c r="H9765" t="n">
        <v>0</v>
      </c>
      <c r="I9765" t="n">
        <v>0</v>
      </c>
      <c r="J9765" t="n">
        <v>0</v>
      </c>
      <c r="K9765" t="n">
        <v>0</v>
      </c>
      <c r="L9765" t="n">
        <v>0</v>
      </c>
      <c r="M9765" t="n">
        <v>0</v>
      </c>
      <c r="N9765" t="n">
        <v>0</v>
      </c>
      <c r="O9765" t="n">
        <v>0</v>
      </c>
      <c r="P9765" t="n">
        <v>0</v>
      </c>
      <c r="Q9765" t="n">
        <v>0</v>
      </c>
      <c r="R9765" s="2" t="inlineStr"/>
    </row>
    <row r="9766" ht="15" customHeight="1">
      <c r="A9766" t="inlineStr">
        <is>
          <t>A 20250-2023</t>
        </is>
      </c>
      <c r="B9766" s="1" t="n">
        <v>45055</v>
      </c>
      <c r="C9766" s="1" t="n">
        <v>45810</v>
      </c>
      <c r="D9766" t="inlineStr">
        <is>
          <t>VÄRMLANDS LÄN</t>
        </is>
      </c>
      <c r="E9766" t="inlineStr">
        <is>
          <t>STORFORS</t>
        </is>
      </c>
      <c r="F9766" t="inlineStr">
        <is>
          <t>Kyrkan</t>
        </is>
      </c>
      <c r="G9766" t="n">
        <v>4.4</v>
      </c>
      <c r="H9766" t="n">
        <v>0</v>
      </c>
      <c r="I9766" t="n">
        <v>0</v>
      </c>
      <c r="J9766" t="n">
        <v>0</v>
      </c>
      <c r="K9766" t="n">
        <v>0</v>
      </c>
      <c r="L9766" t="n">
        <v>0</v>
      </c>
      <c r="M9766" t="n">
        <v>0</v>
      </c>
      <c r="N9766" t="n">
        <v>0</v>
      </c>
      <c r="O9766" t="n">
        <v>0</v>
      </c>
      <c r="P9766" t="n">
        <v>0</v>
      </c>
      <c r="Q9766" t="n">
        <v>0</v>
      </c>
      <c r="R9766" s="2" t="inlineStr"/>
    </row>
    <row r="9767" ht="15" customHeight="1">
      <c r="A9767" t="inlineStr">
        <is>
          <t>A 20238-2023</t>
        </is>
      </c>
      <c r="B9767" s="1" t="n">
        <v>45055</v>
      </c>
      <c r="C9767" s="1" t="n">
        <v>45810</v>
      </c>
      <c r="D9767" t="inlineStr">
        <is>
          <t>VÄRMLANDS LÄN</t>
        </is>
      </c>
      <c r="E9767" t="inlineStr">
        <is>
          <t>EDA</t>
        </is>
      </c>
      <c r="G9767" t="n">
        <v>1.2</v>
      </c>
      <c r="H9767" t="n">
        <v>0</v>
      </c>
      <c r="I9767" t="n">
        <v>0</v>
      </c>
      <c r="J9767" t="n">
        <v>0</v>
      </c>
      <c r="K9767" t="n">
        <v>0</v>
      </c>
      <c r="L9767" t="n">
        <v>0</v>
      </c>
      <c r="M9767" t="n">
        <v>0</v>
      </c>
      <c r="N9767" t="n">
        <v>0</v>
      </c>
      <c r="O9767" t="n">
        <v>0</v>
      </c>
      <c r="P9767" t="n">
        <v>0</v>
      </c>
      <c r="Q9767" t="n">
        <v>0</v>
      </c>
      <c r="R9767" s="2" t="inlineStr"/>
    </row>
    <row r="9768" ht="15" customHeight="1">
      <c r="A9768" t="inlineStr">
        <is>
          <t>A 20244-2023</t>
        </is>
      </c>
      <c r="B9768" s="1" t="n">
        <v>45055</v>
      </c>
      <c r="C9768" s="1" t="n">
        <v>45810</v>
      </c>
      <c r="D9768" t="inlineStr">
        <is>
          <t>VÄRMLANDS LÄN</t>
        </is>
      </c>
      <c r="E9768" t="inlineStr">
        <is>
          <t>FORSHAGA</t>
        </is>
      </c>
      <c r="G9768" t="n">
        <v>1.7</v>
      </c>
      <c r="H9768" t="n">
        <v>0</v>
      </c>
      <c r="I9768" t="n">
        <v>0</v>
      </c>
      <c r="J9768" t="n">
        <v>0</v>
      </c>
      <c r="K9768" t="n">
        <v>0</v>
      </c>
      <c r="L9768" t="n">
        <v>0</v>
      </c>
      <c r="M9768" t="n">
        <v>0</v>
      </c>
      <c r="N9768" t="n">
        <v>0</v>
      </c>
      <c r="O9768" t="n">
        <v>0</v>
      </c>
      <c r="P9768" t="n">
        <v>0</v>
      </c>
      <c r="Q9768" t="n">
        <v>0</v>
      </c>
      <c r="R9768" s="2" t="inlineStr"/>
    </row>
    <row r="9769" ht="15" customHeight="1">
      <c r="A9769" t="inlineStr">
        <is>
          <t>A 20259-2023</t>
        </is>
      </c>
      <c r="B9769" s="1" t="n">
        <v>45055</v>
      </c>
      <c r="C9769" s="1" t="n">
        <v>45810</v>
      </c>
      <c r="D9769" t="inlineStr">
        <is>
          <t>VÄRMLANDS LÄN</t>
        </is>
      </c>
      <c r="E9769" t="inlineStr">
        <is>
          <t>SUNNE</t>
        </is>
      </c>
      <c r="G9769" t="n">
        <v>3.1</v>
      </c>
      <c r="H9769" t="n">
        <v>0</v>
      </c>
      <c r="I9769" t="n">
        <v>0</v>
      </c>
      <c r="J9769" t="n">
        <v>0</v>
      </c>
      <c r="K9769" t="n">
        <v>0</v>
      </c>
      <c r="L9769" t="n">
        <v>0</v>
      </c>
      <c r="M9769" t="n">
        <v>0</v>
      </c>
      <c r="N9769" t="n">
        <v>0</v>
      </c>
      <c r="O9769" t="n">
        <v>0</v>
      </c>
      <c r="P9769" t="n">
        <v>0</v>
      </c>
      <c r="Q9769" t="n">
        <v>0</v>
      </c>
      <c r="R9769" s="2" t="inlineStr"/>
    </row>
    <row r="9770" ht="15" customHeight="1">
      <c r="A9770" t="inlineStr">
        <is>
          <t>A 20262-2023</t>
        </is>
      </c>
      <c r="B9770" s="1" t="n">
        <v>45055</v>
      </c>
      <c r="C9770" s="1" t="n">
        <v>45810</v>
      </c>
      <c r="D9770" t="inlineStr">
        <is>
          <t>VÄRMLANDS LÄN</t>
        </is>
      </c>
      <c r="E9770" t="inlineStr">
        <is>
          <t>ARVIKA</t>
        </is>
      </c>
      <c r="G9770" t="n">
        <v>1.5</v>
      </c>
      <c r="H9770" t="n">
        <v>0</v>
      </c>
      <c r="I9770" t="n">
        <v>0</v>
      </c>
      <c r="J9770" t="n">
        <v>0</v>
      </c>
      <c r="K9770" t="n">
        <v>0</v>
      </c>
      <c r="L9770" t="n">
        <v>0</v>
      </c>
      <c r="M9770" t="n">
        <v>0</v>
      </c>
      <c r="N9770" t="n">
        <v>0</v>
      </c>
      <c r="O9770" t="n">
        <v>0</v>
      </c>
      <c r="P9770" t="n">
        <v>0</v>
      </c>
      <c r="Q9770" t="n">
        <v>0</v>
      </c>
      <c r="R9770" s="2" t="inlineStr"/>
    </row>
    <row r="9771" ht="15" customHeight="1">
      <c r="A9771" t="inlineStr">
        <is>
          <t>A 20805-2023</t>
        </is>
      </c>
      <c r="B9771" s="1" t="n">
        <v>45055</v>
      </c>
      <c r="C9771" s="1" t="n">
        <v>45810</v>
      </c>
      <c r="D9771" t="inlineStr">
        <is>
          <t>VÄRMLANDS LÄN</t>
        </is>
      </c>
      <c r="E9771" t="inlineStr">
        <is>
          <t>TORSBY</t>
        </is>
      </c>
      <c r="G9771" t="n">
        <v>11.2</v>
      </c>
      <c r="H9771" t="n">
        <v>0</v>
      </c>
      <c r="I9771" t="n">
        <v>0</v>
      </c>
      <c r="J9771" t="n">
        <v>0</v>
      </c>
      <c r="K9771" t="n">
        <v>0</v>
      </c>
      <c r="L9771" t="n">
        <v>0</v>
      </c>
      <c r="M9771" t="n">
        <v>0</v>
      </c>
      <c r="N9771" t="n">
        <v>0</v>
      </c>
      <c r="O9771" t="n">
        <v>0</v>
      </c>
      <c r="P9771" t="n">
        <v>0</v>
      </c>
      <c r="Q9771" t="n">
        <v>0</v>
      </c>
      <c r="R9771" s="2" t="inlineStr"/>
    </row>
    <row r="9772" ht="15" customHeight="1">
      <c r="A9772" t="inlineStr">
        <is>
          <t>A 20293-2023</t>
        </is>
      </c>
      <c r="B9772" s="1" t="n">
        <v>45056</v>
      </c>
      <c r="C9772" s="1" t="n">
        <v>45810</v>
      </c>
      <c r="D9772" t="inlineStr">
        <is>
          <t>VÄRMLANDS LÄN</t>
        </is>
      </c>
      <c r="E9772" t="inlineStr">
        <is>
          <t>TORSBY</t>
        </is>
      </c>
      <c r="F9772" t="inlineStr">
        <is>
          <t>Kyrkan</t>
        </is>
      </c>
      <c r="G9772" t="n">
        <v>6.1</v>
      </c>
      <c r="H9772" t="n">
        <v>0</v>
      </c>
      <c r="I9772" t="n">
        <v>0</v>
      </c>
      <c r="J9772" t="n">
        <v>0</v>
      </c>
      <c r="K9772" t="n">
        <v>0</v>
      </c>
      <c r="L9772" t="n">
        <v>0</v>
      </c>
      <c r="M9772" t="n">
        <v>0</v>
      </c>
      <c r="N9772" t="n">
        <v>0</v>
      </c>
      <c r="O9772" t="n">
        <v>0</v>
      </c>
      <c r="P9772" t="n">
        <v>0</v>
      </c>
      <c r="Q9772" t="n">
        <v>0</v>
      </c>
      <c r="R9772" s="2" t="inlineStr"/>
    </row>
    <row r="9773" ht="15" customHeight="1">
      <c r="A9773" t="inlineStr">
        <is>
          <t>A 20321-2023</t>
        </is>
      </c>
      <c r="B9773" s="1" t="n">
        <v>45056</v>
      </c>
      <c r="C9773" s="1" t="n">
        <v>45810</v>
      </c>
      <c r="D9773" t="inlineStr">
        <is>
          <t>VÄRMLANDS LÄN</t>
        </is>
      </c>
      <c r="E9773" t="inlineStr">
        <is>
          <t>TORSBY</t>
        </is>
      </c>
      <c r="F9773" t="inlineStr">
        <is>
          <t>Kyrkan</t>
        </is>
      </c>
      <c r="G9773" t="n">
        <v>2.3</v>
      </c>
      <c r="H9773" t="n">
        <v>0</v>
      </c>
      <c r="I9773" t="n">
        <v>0</v>
      </c>
      <c r="J9773" t="n">
        <v>0</v>
      </c>
      <c r="K9773" t="n">
        <v>0</v>
      </c>
      <c r="L9773" t="n">
        <v>0</v>
      </c>
      <c r="M9773" t="n">
        <v>0</v>
      </c>
      <c r="N9773" t="n">
        <v>0</v>
      </c>
      <c r="O9773" t="n">
        <v>0</v>
      </c>
      <c r="P9773" t="n">
        <v>0</v>
      </c>
      <c r="Q9773" t="n">
        <v>0</v>
      </c>
      <c r="R9773" s="2" t="inlineStr"/>
    </row>
    <row r="9774" ht="15" customHeight="1">
      <c r="A9774" t="inlineStr">
        <is>
          <t>A 20328-2023</t>
        </is>
      </c>
      <c r="B9774" s="1" t="n">
        <v>45056</v>
      </c>
      <c r="C9774" s="1" t="n">
        <v>45810</v>
      </c>
      <c r="D9774" t="inlineStr">
        <is>
          <t>VÄRMLANDS LÄN</t>
        </is>
      </c>
      <c r="E9774" t="inlineStr">
        <is>
          <t>SUNNE</t>
        </is>
      </c>
      <c r="G9774" t="n">
        <v>7.3</v>
      </c>
      <c r="H9774" t="n">
        <v>0</v>
      </c>
      <c r="I9774" t="n">
        <v>0</v>
      </c>
      <c r="J9774" t="n">
        <v>0</v>
      </c>
      <c r="K9774" t="n">
        <v>0</v>
      </c>
      <c r="L9774" t="n">
        <v>0</v>
      </c>
      <c r="M9774" t="n">
        <v>0</v>
      </c>
      <c r="N9774" t="n">
        <v>0</v>
      </c>
      <c r="O9774" t="n">
        <v>0</v>
      </c>
      <c r="P9774" t="n">
        <v>0</v>
      </c>
      <c r="Q9774" t="n">
        <v>0</v>
      </c>
      <c r="R9774" s="2" t="inlineStr"/>
    </row>
    <row r="9775" ht="15" customHeight="1">
      <c r="A9775" t="inlineStr">
        <is>
          <t>A 20337-2023</t>
        </is>
      </c>
      <c r="B9775" s="1" t="n">
        <v>45056</v>
      </c>
      <c r="C9775" s="1" t="n">
        <v>45810</v>
      </c>
      <c r="D9775" t="inlineStr">
        <is>
          <t>VÄRMLANDS LÄN</t>
        </is>
      </c>
      <c r="E9775" t="inlineStr">
        <is>
          <t>ÅRJÄNG</t>
        </is>
      </c>
      <c r="G9775" t="n">
        <v>3.1</v>
      </c>
      <c r="H9775" t="n">
        <v>0</v>
      </c>
      <c r="I9775" t="n">
        <v>0</v>
      </c>
      <c r="J9775" t="n">
        <v>0</v>
      </c>
      <c r="K9775" t="n">
        <v>0</v>
      </c>
      <c r="L9775" t="n">
        <v>0</v>
      </c>
      <c r="M9775" t="n">
        <v>0</v>
      </c>
      <c r="N9775" t="n">
        <v>0</v>
      </c>
      <c r="O9775" t="n">
        <v>0</v>
      </c>
      <c r="P9775" t="n">
        <v>0</v>
      </c>
      <c r="Q9775" t="n">
        <v>0</v>
      </c>
      <c r="R9775" s="2" t="inlineStr"/>
    </row>
    <row r="9776" ht="15" customHeight="1">
      <c r="A9776" t="inlineStr">
        <is>
          <t>A 20354-2023</t>
        </is>
      </c>
      <c r="B9776" s="1" t="n">
        <v>45056</v>
      </c>
      <c r="C9776" s="1" t="n">
        <v>45810</v>
      </c>
      <c r="D9776" t="inlineStr">
        <is>
          <t>VÄRMLANDS LÄN</t>
        </is>
      </c>
      <c r="E9776" t="inlineStr">
        <is>
          <t>ÅRJÄNG</t>
        </is>
      </c>
      <c r="G9776" t="n">
        <v>3.2</v>
      </c>
      <c r="H9776" t="n">
        <v>0</v>
      </c>
      <c r="I9776" t="n">
        <v>0</v>
      </c>
      <c r="J9776" t="n">
        <v>0</v>
      </c>
      <c r="K9776" t="n">
        <v>0</v>
      </c>
      <c r="L9776" t="n">
        <v>0</v>
      </c>
      <c r="M9776" t="n">
        <v>0</v>
      </c>
      <c r="N9776" t="n">
        <v>0</v>
      </c>
      <c r="O9776" t="n">
        <v>0</v>
      </c>
      <c r="P9776" t="n">
        <v>0</v>
      </c>
      <c r="Q9776" t="n">
        <v>0</v>
      </c>
      <c r="R9776" s="2" t="inlineStr"/>
    </row>
    <row r="9777" ht="15" customHeight="1">
      <c r="A9777" t="inlineStr">
        <is>
          <t>A 20393-2023</t>
        </is>
      </c>
      <c r="B9777" s="1" t="n">
        <v>45056</v>
      </c>
      <c r="C9777" s="1" t="n">
        <v>45810</v>
      </c>
      <c r="D9777" t="inlineStr">
        <is>
          <t>VÄRMLANDS LÄN</t>
        </is>
      </c>
      <c r="E9777" t="inlineStr">
        <is>
          <t>TORSBY</t>
        </is>
      </c>
      <c r="G9777" t="n">
        <v>4.2</v>
      </c>
      <c r="H9777" t="n">
        <v>0</v>
      </c>
      <c r="I9777" t="n">
        <v>0</v>
      </c>
      <c r="J9777" t="n">
        <v>0</v>
      </c>
      <c r="K9777" t="n">
        <v>0</v>
      </c>
      <c r="L9777" t="n">
        <v>0</v>
      </c>
      <c r="M9777" t="n">
        <v>0</v>
      </c>
      <c r="N9777" t="n">
        <v>0</v>
      </c>
      <c r="O9777" t="n">
        <v>0</v>
      </c>
      <c r="P9777" t="n">
        <v>0</v>
      </c>
      <c r="Q9777" t="n">
        <v>0</v>
      </c>
      <c r="R9777" s="2" t="inlineStr"/>
    </row>
    <row r="9778" ht="15" customHeight="1">
      <c r="A9778" t="inlineStr">
        <is>
          <t>A 20298-2023</t>
        </is>
      </c>
      <c r="B9778" s="1" t="n">
        <v>45056</v>
      </c>
      <c r="C9778" s="1" t="n">
        <v>45810</v>
      </c>
      <c r="D9778" t="inlineStr">
        <is>
          <t>VÄRMLANDS LÄN</t>
        </is>
      </c>
      <c r="E9778" t="inlineStr">
        <is>
          <t>TORSBY</t>
        </is>
      </c>
      <c r="F9778" t="inlineStr">
        <is>
          <t>Kyrkan</t>
        </is>
      </c>
      <c r="G9778" t="n">
        <v>2</v>
      </c>
      <c r="H9778" t="n">
        <v>0</v>
      </c>
      <c r="I9778" t="n">
        <v>0</v>
      </c>
      <c r="J9778" t="n">
        <v>0</v>
      </c>
      <c r="K9778" t="n">
        <v>0</v>
      </c>
      <c r="L9778" t="n">
        <v>0</v>
      </c>
      <c r="M9778" t="n">
        <v>0</v>
      </c>
      <c r="N9778" t="n">
        <v>0</v>
      </c>
      <c r="O9778" t="n">
        <v>0</v>
      </c>
      <c r="P9778" t="n">
        <v>0</v>
      </c>
      <c r="Q9778" t="n">
        <v>0</v>
      </c>
      <c r="R9778" s="2" t="inlineStr"/>
    </row>
    <row r="9779" ht="15" customHeight="1">
      <c r="A9779" t="inlineStr">
        <is>
          <t>A 20338-2023</t>
        </is>
      </c>
      <c r="B9779" s="1" t="n">
        <v>45056</v>
      </c>
      <c r="C9779" s="1" t="n">
        <v>45810</v>
      </c>
      <c r="D9779" t="inlineStr">
        <is>
          <t>VÄRMLANDS LÄN</t>
        </is>
      </c>
      <c r="E9779" t="inlineStr">
        <is>
          <t>SUNNE</t>
        </is>
      </c>
      <c r="G9779" t="n">
        <v>4.1</v>
      </c>
      <c r="H9779" t="n">
        <v>0</v>
      </c>
      <c r="I9779" t="n">
        <v>0</v>
      </c>
      <c r="J9779" t="n">
        <v>0</v>
      </c>
      <c r="K9779" t="n">
        <v>0</v>
      </c>
      <c r="L9779" t="n">
        <v>0</v>
      </c>
      <c r="M9779" t="n">
        <v>0</v>
      </c>
      <c r="N9779" t="n">
        <v>0</v>
      </c>
      <c r="O9779" t="n">
        <v>0</v>
      </c>
      <c r="P9779" t="n">
        <v>0</v>
      </c>
      <c r="Q9779" t="n">
        <v>0</v>
      </c>
      <c r="R9779" s="2" t="inlineStr"/>
    </row>
    <row r="9780" ht="15" customHeight="1">
      <c r="A9780" t="inlineStr">
        <is>
          <t>A 20343-2023</t>
        </is>
      </c>
      <c r="B9780" s="1" t="n">
        <v>45056</v>
      </c>
      <c r="C9780" s="1" t="n">
        <v>45810</v>
      </c>
      <c r="D9780" t="inlineStr">
        <is>
          <t>VÄRMLANDS LÄN</t>
        </is>
      </c>
      <c r="E9780" t="inlineStr">
        <is>
          <t>SÄFFLE</t>
        </is>
      </c>
      <c r="G9780" t="n">
        <v>2.8</v>
      </c>
      <c r="H9780" t="n">
        <v>0</v>
      </c>
      <c r="I9780" t="n">
        <v>0</v>
      </c>
      <c r="J9780" t="n">
        <v>0</v>
      </c>
      <c r="K9780" t="n">
        <v>0</v>
      </c>
      <c r="L9780" t="n">
        <v>0</v>
      </c>
      <c r="M9780" t="n">
        <v>0</v>
      </c>
      <c r="N9780" t="n">
        <v>0</v>
      </c>
      <c r="O9780" t="n">
        <v>0</v>
      </c>
      <c r="P9780" t="n">
        <v>0</v>
      </c>
      <c r="Q9780" t="n">
        <v>0</v>
      </c>
      <c r="R9780" s="2" t="inlineStr"/>
    </row>
    <row r="9781" ht="15" customHeight="1">
      <c r="A9781" t="inlineStr">
        <is>
          <t>A 20355-2023</t>
        </is>
      </c>
      <c r="B9781" s="1" t="n">
        <v>45056</v>
      </c>
      <c r="C9781" s="1" t="n">
        <v>45810</v>
      </c>
      <c r="D9781" t="inlineStr">
        <is>
          <t>VÄRMLANDS LÄN</t>
        </is>
      </c>
      <c r="E9781" t="inlineStr">
        <is>
          <t>SÄFFLE</t>
        </is>
      </c>
      <c r="G9781" t="n">
        <v>1.9</v>
      </c>
      <c r="H9781" t="n">
        <v>0</v>
      </c>
      <c r="I9781" t="n">
        <v>0</v>
      </c>
      <c r="J9781" t="n">
        <v>0</v>
      </c>
      <c r="K9781" t="n">
        <v>0</v>
      </c>
      <c r="L9781" t="n">
        <v>0</v>
      </c>
      <c r="M9781" t="n">
        <v>0</v>
      </c>
      <c r="N9781" t="n">
        <v>0</v>
      </c>
      <c r="O9781" t="n">
        <v>0</v>
      </c>
      <c r="P9781" t="n">
        <v>0</v>
      </c>
      <c r="Q9781" t="n">
        <v>0</v>
      </c>
      <c r="R9781" s="2" t="inlineStr"/>
    </row>
    <row r="9782" ht="15" customHeight="1">
      <c r="A9782" t="inlineStr">
        <is>
          <t>A 20320-2023</t>
        </is>
      </c>
      <c r="B9782" s="1" t="n">
        <v>45056</v>
      </c>
      <c r="C9782" s="1" t="n">
        <v>45810</v>
      </c>
      <c r="D9782" t="inlineStr">
        <is>
          <t>VÄRMLANDS LÄN</t>
        </is>
      </c>
      <c r="E9782" t="inlineStr">
        <is>
          <t>SUNNE</t>
        </is>
      </c>
      <c r="G9782" t="n">
        <v>5.9</v>
      </c>
      <c r="H9782" t="n">
        <v>0</v>
      </c>
      <c r="I9782" t="n">
        <v>0</v>
      </c>
      <c r="J9782" t="n">
        <v>0</v>
      </c>
      <c r="K9782" t="n">
        <v>0</v>
      </c>
      <c r="L9782" t="n">
        <v>0</v>
      </c>
      <c r="M9782" t="n">
        <v>0</v>
      </c>
      <c r="N9782" t="n">
        <v>0</v>
      </c>
      <c r="O9782" t="n">
        <v>0</v>
      </c>
      <c r="P9782" t="n">
        <v>0</v>
      </c>
      <c r="Q9782" t="n">
        <v>0</v>
      </c>
      <c r="R9782" s="2" t="inlineStr"/>
    </row>
    <row r="9783" ht="15" customHeight="1">
      <c r="A9783" t="inlineStr">
        <is>
          <t>A 20341-2023</t>
        </is>
      </c>
      <c r="B9783" s="1" t="n">
        <v>45056</v>
      </c>
      <c r="C9783" s="1" t="n">
        <v>45810</v>
      </c>
      <c r="D9783" t="inlineStr">
        <is>
          <t>VÄRMLANDS LÄN</t>
        </is>
      </c>
      <c r="E9783" t="inlineStr">
        <is>
          <t>SUNNE</t>
        </is>
      </c>
      <c r="G9783" t="n">
        <v>4.8</v>
      </c>
      <c r="H9783" t="n">
        <v>0</v>
      </c>
      <c r="I9783" t="n">
        <v>0</v>
      </c>
      <c r="J9783" t="n">
        <v>0</v>
      </c>
      <c r="K9783" t="n">
        <v>0</v>
      </c>
      <c r="L9783" t="n">
        <v>0</v>
      </c>
      <c r="M9783" t="n">
        <v>0</v>
      </c>
      <c r="N9783" t="n">
        <v>0</v>
      </c>
      <c r="O9783" t="n">
        <v>0</v>
      </c>
      <c r="P9783" t="n">
        <v>0</v>
      </c>
      <c r="Q9783" t="n">
        <v>0</v>
      </c>
      <c r="R9783" s="2" t="inlineStr"/>
    </row>
    <row r="9784" ht="15" customHeight="1">
      <c r="A9784" t="inlineStr">
        <is>
          <t>A 20847-2023</t>
        </is>
      </c>
      <c r="B9784" s="1" t="n">
        <v>45056</v>
      </c>
      <c r="C9784" s="1" t="n">
        <v>45810</v>
      </c>
      <c r="D9784" t="inlineStr">
        <is>
          <t>VÄRMLANDS LÄN</t>
        </is>
      </c>
      <c r="E9784" t="inlineStr">
        <is>
          <t>TORSBY</t>
        </is>
      </c>
      <c r="G9784" t="n">
        <v>13.9</v>
      </c>
      <c r="H9784" t="n">
        <v>0</v>
      </c>
      <c r="I9784" t="n">
        <v>0</v>
      </c>
      <c r="J9784" t="n">
        <v>0</v>
      </c>
      <c r="K9784" t="n">
        <v>0</v>
      </c>
      <c r="L9784" t="n">
        <v>0</v>
      </c>
      <c r="M9784" t="n">
        <v>0</v>
      </c>
      <c r="N9784" t="n">
        <v>0</v>
      </c>
      <c r="O9784" t="n">
        <v>0</v>
      </c>
      <c r="P9784" t="n">
        <v>0</v>
      </c>
      <c r="Q9784" t="n">
        <v>0</v>
      </c>
      <c r="R9784" s="2" t="inlineStr"/>
    </row>
    <row r="9785" ht="15" customHeight="1">
      <c r="A9785" t="inlineStr">
        <is>
          <t>A 20999-2023</t>
        </is>
      </c>
      <c r="B9785" s="1" t="n">
        <v>45056</v>
      </c>
      <c r="C9785" s="1" t="n">
        <v>45810</v>
      </c>
      <c r="D9785" t="inlineStr">
        <is>
          <t>VÄRMLANDS LÄN</t>
        </is>
      </c>
      <c r="E9785" t="inlineStr">
        <is>
          <t>ÅRJÄNG</t>
        </is>
      </c>
      <c r="G9785" t="n">
        <v>0.9</v>
      </c>
      <c r="H9785" t="n">
        <v>0</v>
      </c>
      <c r="I9785" t="n">
        <v>0</v>
      </c>
      <c r="J9785" t="n">
        <v>0</v>
      </c>
      <c r="K9785" t="n">
        <v>0</v>
      </c>
      <c r="L9785" t="n">
        <v>0</v>
      </c>
      <c r="M9785" t="n">
        <v>0</v>
      </c>
      <c r="N9785" t="n">
        <v>0</v>
      </c>
      <c r="O9785" t="n">
        <v>0</v>
      </c>
      <c r="P9785" t="n">
        <v>0</v>
      </c>
      <c r="Q9785" t="n">
        <v>0</v>
      </c>
      <c r="R9785" s="2" t="inlineStr"/>
    </row>
    <row r="9786" ht="15" customHeight="1">
      <c r="A9786" t="inlineStr">
        <is>
          <t>A 20470-2023</t>
        </is>
      </c>
      <c r="B9786" s="1" t="n">
        <v>45057</v>
      </c>
      <c r="C9786" s="1" t="n">
        <v>45810</v>
      </c>
      <c r="D9786" t="inlineStr">
        <is>
          <t>VÄRMLANDS LÄN</t>
        </is>
      </c>
      <c r="E9786" t="inlineStr">
        <is>
          <t>EDA</t>
        </is>
      </c>
      <c r="G9786" t="n">
        <v>1.3</v>
      </c>
      <c r="H9786" t="n">
        <v>0</v>
      </c>
      <c r="I9786" t="n">
        <v>0</v>
      </c>
      <c r="J9786" t="n">
        <v>0</v>
      </c>
      <c r="K9786" t="n">
        <v>0</v>
      </c>
      <c r="L9786" t="n">
        <v>0</v>
      </c>
      <c r="M9786" t="n">
        <v>0</v>
      </c>
      <c r="N9786" t="n">
        <v>0</v>
      </c>
      <c r="O9786" t="n">
        <v>0</v>
      </c>
      <c r="P9786" t="n">
        <v>0</v>
      </c>
      <c r="Q9786" t="n">
        <v>0</v>
      </c>
      <c r="R9786" s="2" t="inlineStr"/>
    </row>
    <row r="9787" ht="15" customHeight="1">
      <c r="A9787" t="inlineStr">
        <is>
          <t>A 20520-2023</t>
        </is>
      </c>
      <c r="B9787" s="1" t="n">
        <v>45057</v>
      </c>
      <c r="C9787" s="1" t="n">
        <v>45810</v>
      </c>
      <c r="D9787" t="inlineStr">
        <is>
          <t>VÄRMLANDS LÄN</t>
        </is>
      </c>
      <c r="E9787" t="inlineStr">
        <is>
          <t>SÄFFLE</t>
        </is>
      </c>
      <c r="G9787" t="n">
        <v>1.7</v>
      </c>
      <c r="H9787" t="n">
        <v>0</v>
      </c>
      <c r="I9787" t="n">
        <v>0</v>
      </c>
      <c r="J9787" t="n">
        <v>0</v>
      </c>
      <c r="K9787" t="n">
        <v>0</v>
      </c>
      <c r="L9787" t="n">
        <v>0</v>
      </c>
      <c r="M9787" t="n">
        <v>0</v>
      </c>
      <c r="N9787" t="n">
        <v>0</v>
      </c>
      <c r="O9787" t="n">
        <v>0</v>
      </c>
      <c r="P9787" t="n">
        <v>0</v>
      </c>
      <c r="Q9787" t="n">
        <v>0</v>
      </c>
      <c r="R9787" s="2" t="inlineStr"/>
    </row>
    <row r="9788" ht="15" customHeight="1">
      <c r="A9788" t="inlineStr">
        <is>
          <t>A 20465-2023</t>
        </is>
      </c>
      <c r="B9788" s="1" t="n">
        <v>45057</v>
      </c>
      <c r="C9788" s="1" t="n">
        <v>45810</v>
      </c>
      <c r="D9788" t="inlineStr">
        <is>
          <t>VÄRMLANDS LÄN</t>
        </is>
      </c>
      <c r="E9788" t="inlineStr">
        <is>
          <t>SUNNE</t>
        </is>
      </c>
      <c r="F9788" t="inlineStr">
        <is>
          <t>Kyrkan</t>
        </is>
      </c>
      <c r="G9788" t="n">
        <v>3.5</v>
      </c>
      <c r="H9788" t="n">
        <v>0</v>
      </c>
      <c r="I9788" t="n">
        <v>0</v>
      </c>
      <c r="J9788" t="n">
        <v>0</v>
      </c>
      <c r="K9788" t="n">
        <v>0</v>
      </c>
      <c r="L9788" t="n">
        <v>0</v>
      </c>
      <c r="M9788" t="n">
        <v>0</v>
      </c>
      <c r="N9788" t="n">
        <v>0</v>
      </c>
      <c r="O9788" t="n">
        <v>0</v>
      </c>
      <c r="P9788" t="n">
        <v>0</v>
      </c>
      <c r="Q9788" t="n">
        <v>0</v>
      </c>
      <c r="R9788" s="2" t="inlineStr"/>
    </row>
    <row r="9789" ht="15" customHeight="1">
      <c r="A9789" t="inlineStr">
        <is>
          <t>A 20471-2023</t>
        </is>
      </c>
      <c r="B9789" s="1" t="n">
        <v>45057</v>
      </c>
      <c r="C9789" s="1" t="n">
        <v>45810</v>
      </c>
      <c r="D9789" t="inlineStr">
        <is>
          <t>VÄRMLANDS LÄN</t>
        </is>
      </c>
      <c r="E9789" t="inlineStr">
        <is>
          <t>HAGFORS</t>
        </is>
      </c>
      <c r="F9789" t="inlineStr">
        <is>
          <t>Kyrkan</t>
        </is>
      </c>
      <c r="G9789" t="n">
        <v>11.7</v>
      </c>
      <c r="H9789" t="n">
        <v>0</v>
      </c>
      <c r="I9789" t="n">
        <v>0</v>
      </c>
      <c r="J9789" t="n">
        <v>0</v>
      </c>
      <c r="K9789" t="n">
        <v>0</v>
      </c>
      <c r="L9789" t="n">
        <v>0</v>
      </c>
      <c r="M9789" t="n">
        <v>0</v>
      </c>
      <c r="N9789" t="n">
        <v>0</v>
      </c>
      <c r="O9789" t="n">
        <v>0</v>
      </c>
      <c r="P9789" t="n">
        <v>0</v>
      </c>
      <c r="Q9789" t="n">
        <v>0</v>
      </c>
      <c r="R9789" s="2" t="inlineStr"/>
    </row>
    <row r="9790" ht="15" customHeight="1">
      <c r="A9790" t="inlineStr">
        <is>
          <t>A 20466-2023</t>
        </is>
      </c>
      <c r="B9790" s="1" t="n">
        <v>45057</v>
      </c>
      <c r="C9790" s="1" t="n">
        <v>45810</v>
      </c>
      <c r="D9790" t="inlineStr">
        <is>
          <t>VÄRMLANDS LÄN</t>
        </is>
      </c>
      <c r="E9790" t="inlineStr">
        <is>
          <t>HAGFORS</t>
        </is>
      </c>
      <c r="F9790" t="inlineStr">
        <is>
          <t>Kyrkan</t>
        </is>
      </c>
      <c r="G9790" t="n">
        <v>5.6</v>
      </c>
      <c r="H9790" t="n">
        <v>0</v>
      </c>
      <c r="I9790" t="n">
        <v>0</v>
      </c>
      <c r="J9790" t="n">
        <v>0</v>
      </c>
      <c r="K9790" t="n">
        <v>0</v>
      </c>
      <c r="L9790" t="n">
        <v>0</v>
      </c>
      <c r="M9790" t="n">
        <v>0</v>
      </c>
      <c r="N9790" t="n">
        <v>0</v>
      </c>
      <c r="O9790" t="n">
        <v>0</v>
      </c>
      <c r="P9790" t="n">
        <v>0</v>
      </c>
      <c r="Q9790" t="n">
        <v>0</v>
      </c>
      <c r="R9790" s="2" t="inlineStr"/>
    </row>
    <row r="9791" ht="15" customHeight="1">
      <c r="A9791" t="inlineStr">
        <is>
          <t>A 20473-2023</t>
        </is>
      </c>
      <c r="B9791" s="1" t="n">
        <v>45057</v>
      </c>
      <c r="C9791" s="1" t="n">
        <v>45810</v>
      </c>
      <c r="D9791" t="inlineStr">
        <is>
          <t>VÄRMLANDS LÄN</t>
        </is>
      </c>
      <c r="E9791" t="inlineStr">
        <is>
          <t>FORSHAGA</t>
        </is>
      </c>
      <c r="F9791" t="inlineStr">
        <is>
          <t>Bergvik skog väst AB</t>
        </is>
      </c>
      <c r="G9791" t="n">
        <v>3.2</v>
      </c>
      <c r="H9791" t="n">
        <v>0</v>
      </c>
      <c r="I9791" t="n">
        <v>0</v>
      </c>
      <c r="J9791" t="n">
        <v>0</v>
      </c>
      <c r="K9791" t="n">
        <v>0</v>
      </c>
      <c r="L9791" t="n">
        <v>0</v>
      </c>
      <c r="M9791" t="n">
        <v>0</v>
      </c>
      <c r="N9791" t="n">
        <v>0</v>
      </c>
      <c r="O9791" t="n">
        <v>0</v>
      </c>
      <c r="P9791" t="n">
        <v>0</v>
      </c>
      <c r="Q9791" t="n">
        <v>0</v>
      </c>
      <c r="R9791" s="2" t="inlineStr"/>
    </row>
    <row r="9792" ht="15" customHeight="1">
      <c r="A9792" t="inlineStr">
        <is>
          <t>A 20477-2023</t>
        </is>
      </c>
      <c r="B9792" s="1" t="n">
        <v>45057</v>
      </c>
      <c r="C9792" s="1" t="n">
        <v>45810</v>
      </c>
      <c r="D9792" t="inlineStr">
        <is>
          <t>VÄRMLANDS LÄN</t>
        </is>
      </c>
      <c r="E9792" t="inlineStr">
        <is>
          <t>KIL</t>
        </is>
      </c>
      <c r="F9792" t="inlineStr">
        <is>
          <t>Bergvik skog väst AB</t>
        </is>
      </c>
      <c r="G9792" t="n">
        <v>3.4</v>
      </c>
      <c r="H9792" t="n">
        <v>0</v>
      </c>
      <c r="I9792" t="n">
        <v>0</v>
      </c>
      <c r="J9792" t="n">
        <v>0</v>
      </c>
      <c r="K9792" t="n">
        <v>0</v>
      </c>
      <c r="L9792" t="n">
        <v>0</v>
      </c>
      <c r="M9792" t="n">
        <v>0</v>
      </c>
      <c r="N9792" t="n">
        <v>0</v>
      </c>
      <c r="O9792" t="n">
        <v>0</v>
      </c>
      <c r="P9792" t="n">
        <v>0</v>
      </c>
      <c r="Q9792" t="n">
        <v>0</v>
      </c>
      <c r="R9792" s="2" t="inlineStr"/>
    </row>
    <row r="9793" ht="15" customHeight="1">
      <c r="A9793" t="inlineStr">
        <is>
          <t>A 20509-2023</t>
        </is>
      </c>
      <c r="B9793" s="1" t="n">
        <v>45057</v>
      </c>
      <c r="C9793" s="1" t="n">
        <v>45810</v>
      </c>
      <c r="D9793" t="inlineStr">
        <is>
          <t>VÄRMLANDS LÄN</t>
        </is>
      </c>
      <c r="E9793" t="inlineStr">
        <is>
          <t>SUNNE</t>
        </is>
      </c>
      <c r="G9793" t="n">
        <v>1.1</v>
      </c>
      <c r="H9793" t="n">
        <v>0</v>
      </c>
      <c r="I9793" t="n">
        <v>0</v>
      </c>
      <c r="J9793" t="n">
        <v>0</v>
      </c>
      <c r="K9793" t="n">
        <v>0</v>
      </c>
      <c r="L9793" t="n">
        <v>0</v>
      </c>
      <c r="M9793" t="n">
        <v>0</v>
      </c>
      <c r="N9793" t="n">
        <v>0</v>
      </c>
      <c r="O9793" t="n">
        <v>0</v>
      </c>
      <c r="P9793" t="n">
        <v>0</v>
      </c>
      <c r="Q9793" t="n">
        <v>0</v>
      </c>
      <c r="R9793" s="2" t="inlineStr"/>
    </row>
    <row r="9794" ht="15" customHeight="1">
      <c r="A9794" t="inlineStr">
        <is>
          <t>A 20506-2023</t>
        </is>
      </c>
      <c r="B9794" s="1" t="n">
        <v>45057</v>
      </c>
      <c r="C9794" s="1" t="n">
        <v>45810</v>
      </c>
      <c r="D9794" t="inlineStr">
        <is>
          <t>VÄRMLANDS LÄN</t>
        </is>
      </c>
      <c r="E9794" t="inlineStr">
        <is>
          <t>SUNNE</t>
        </is>
      </c>
      <c r="G9794" t="n">
        <v>2.6</v>
      </c>
      <c r="H9794" t="n">
        <v>0</v>
      </c>
      <c r="I9794" t="n">
        <v>0</v>
      </c>
      <c r="J9794" t="n">
        <v>0</v>
      </c>
      <c r="K9794" t="n">
        <v>0</v>
      </c>
      <c r="L9794" t="n">
        <v>0</v>
      </c>
      <c r="M9794" t="n">
        <v>0</v>
      </c>
      <c r="N9794" t="n">
        <v>0</v>
      </c>
      <c r="O9794" t="n">
        <v>0</v>
      </c>
      <c r="P9794" t="n">
        <v>0</v>
      </c>
      <c r="Q9794" t="n">
        <v>0</v>
      </c>
      <c r="R9794" s="2" t="inlineStr"/>
    </row>
    <row r="9795" ht="15" customHeight="1">
      <c r="A9795" t="inlineStr">
        <is>
          <t>A 20532-2023</t>
        </is>
      </c>
      <c r="B9795" s="1" t="n">
        <v>45057</v>
      </c>
      <c r="C9795" s="1" t="n">
        <v>45810</v>
      </c>
      <c r="D9795" t="inlineStr">
        <is>
          <t>VÄRMLANDS LÄN</t>
        </is>
      </c>
      <c r="E9795" t="inlineStr">
        <is>
          <t>HAGFORS</t>
        </is>
      </c>
      <c r="F9795" t="inlineStr">
        <is>
          <t>Bergvik skog väst AB</t>
        </is>
      </c>
      <c r="G9795" t="n">
        <v>1.3</v>
      </c>
      <c r="H9795" t="n">
        <v>0</v>
      </c>
      <c r="I9795" t="n">
        <v>0</v>
      </c>
      <c r="J9795" t="n">
        <v>0</v>
      </c>
      <c r="K9795" t="n">
        <v>0</v>
      </c>
      <c r="L9795" t="n">
        <v>0</v>
      </c>
      <c r="M9795" t="n">
        <v>0</v>
      </c>
      <c r="N9795" t="n">
        <v>0</v>
      </c>
      <c r="O9795" t="n">
        <v>0</v>
      </c>
      <c r="P9795" t="n">
        <v>0</v>
      </c>
      <c r="Q9795" t="n">
        <v>0</v>
      </c>
      <c r="R9795" s="2" t="inlineStr"/>
    </row>
    <row r="9796" ht="15" customHeight="1">
      <c r="A9796" t="inlineStr">
        <is>
          <t>A 20541-2023</t>
        </is>
      </c>
      <c r="B9796" s="1" t="n">
        <v>45057</v>
      </c>
      <c r="C9796" s="1" t="n">
        <v>45810</v>
      </c>
      <c r="D9796" t="inlineStr">
        <is>
          <t>VÄRMLANDS LÄN</t>
        </is>
      </c>
      <c r="E9796" t="inlineStr">
        <is>
          <t>ARVIKA</t>
        </is>
      </c>
      <c r="F9796" t="inlineStr">
        <is>
          <t>Bergvik skog väst AB</t>
        </is>
      </c>
      <c r="G9796" t="n">
        <v>4.9</v>
      </c>
      <c r="H9796" t="n">
        <v>0</v>
      </c>
      <c r="I9796" t="n">
        <v>0</v>
      </c>
      <c r="J9796" t="n">
        <v>0</v>
      </c>
      <c r="K9796" t="n">
        <v>0</v>
      </c>
      <c r="L9796" t="n">
        <v>0</v>
      </c>
      <c r="M9796" t="n">
        <v>0</v>
      </c>
      <c r="N9796" t="n">
        <v>0</v>
      </c>
      <c r="O9796" t="n">
        <v>0</v>
      </c>
      <c r="P9796" t="n">
        <v>0</v>
      </c>
      <c r="Q9796" t="n">
        <v>0</v>
      </c>
      <c r="R9796" s="2" t="inlineStr"/>
    </row>
    <row r="9797" ht="15" customHeight="1">
      <c r="A9797" t="inlineStr">
        <is>
          <t>A 20569-2023</t>
        </is>
      </c>
      <c r="B9797" s="1" t="n">
        <v>45057</v>
      </c>
      <c r="C9797" s="1" t="n">
        <v>45810</v>
      </c>
      <c r="D9797" t="inlineStr">
        <is>
          <t>VÄRMLANDS LÄN</t>
        </is>
      </c>
      <c r="E9797" t="inlineStr">
        <is>
          <t>ARVIKA</t>
        </is>
      </c>
      <c r="F9797" t="inlineStr">
        <is>
          <t>Bergvik skog väst AB</t>
        </is>
      </c>
      <c r="G9797" t="n">
        <v>3.2</v>
      </c>
      <c r="H9797" t="n">
        <v>0</v>
      </c>
      <c r="I9797" t="n">
        <v>0</v>
      </c>
      <c r="J9797" t="n">
        <v>0</v>
      </c>
      <c r="K9797" t="n">
        <v>0</v>
      </c>
      <c r="L9797" t="n">
        <v>0</v>
      </c>
      <c r="M9797" t="n">
        <v>0</v>
      </c>
      <c r="N9797" t="n">
        <v>0</v>
      </c>
      <c r="O9797" t="n">
        <v>0</v>
      </c>
      <c r="P9797" t="n">
        <v>0</v>
      </c>
      <c r="Q9797" t="n">
        <v>0</v>
      </c>
      <c r="R9797" s="2" t="inlineStr"/>
    </row>
    <row r="9798" ht="15" customHeight="1">
      <c r="A9798" t="inlineStr">
        <is>
          <t>A 20573-2023</t>
        </is>
      </c>
      <c r="B9798" s="1" t="n">
        <v>45057</v>
      </c>
      <c r="C9798" s="1" t="n">
        <v>45810</v>
      </c>
      <c r="D9798" t="inlineStr">
        <is>
          <t>VÄRMLANDS LÄN</t>
        </is>
      </c>
      <c r="E9798" t="inlineStr">
        <is>
          <t>EDA</t>
        </is>
      </c>
      <c r="G9798" t="n">
        <v>1.3</v>
      </c>
      <c r="H9798" t="n">
        <v>0</v>
      </c>
      <c r="I9798" t="n">
        <v>0</v>
      </c>
      <c r="J9798" t="n">
        <v>0</v>
      </c>
      <c r="K9798" t="n">
        <v>0</v>
      </c>
      <c r="L9798" t="n">
        <v>0</v>
      </c>
      <c r="M9798" t="n">
        <v>0</v>
      </c>
      <c r="N9798" t="n">
        <v>0</v>
      </c>
      <c r="O9798" t="n">
        <v>0</v>
      </c>
      <c r="P9798" t="n">
        <v>0</v>
      </c>
      <c r="Q9798" t="n">
        <v>0</v>
      </c>
      <c r="R9798" s="2" t="inlineStr"/>
    </row>
    <row r="9799" ht="15" customHeight="1">
      <c r="A9799" t="inlineStr">
        <is>
          <t>A 21081-2023</t>
        </is>
      </c>
      <c r="B9799" s="1" t="n">
        <v>45057</v>
      </c>
      <c r="C9799" s="1" t="n">
        <v>45810</v>
      </c>
      <c r="D9799" t="inlineStr">
        <is>
          <t>VÄRMLANDS LÄN</t>
        </is>
      </c>
      <c r="E9799" t="inlineStr">
        <is>
          <t>ÅRJÄNG</t>
        </is>
      </c>
      <c r="G9799" t="n">
        <v>5.1</v>
      </c>
      <c r="H9799" t="n">
        <v>0</v>
      </c>
      <c r="I9799" t="n">
        <v>0</v>
      </c>
      <c r="J9799" t="n">
        <v>0</v>
      </c>
      <c r="K9799" t="n">
        <v>0</v>
      </c>
      <c r="L9799" t="n">
        <v>0</v>
      </c>
      <c r="M9799" t="n">
        <v>0</v>
      </c>
      <c r="N9799" t="n">
        <v>0</v>
      </c>
      <c r="O9799" t="n">
        <v>0</v>
      </c>
      <c r="P9799" t="n">
        <v>0</v>
      </c>
      <c r="Q9799" t="n">
        <v>0</v>
      </c>
      <c r="R9799" s="2" t="inlineStr"/>
    </row>
    <row r="9800" ht="15" customHeight="1">
      <c r="A9800" t="inlineStr">
        <is>
          <t>A 20528-2023</t>
        </is>
      </c>
      <c r="B9800" s="1" t="n">
        <v>45057</v>
      </c>
      <c r="C9800" s="1" t="n">
        <v>45810</v>
      </c>
      <c r="D9800" t="inlineStr">
        <is>
          <t>VÄRMLANDS LÄN</t>
        </is>
      </c>
      <c r="E9800" t="inlineStr">
        <is>
          <t>TORSBY</t>
        </is>
      </c>
      <c r="G9800" t="n">
        <v>1</v>
      </c>
      <c r="H9800" t="n">
        <v>0</v>
      </c>
      <c r="I9800" t="n">
        <v>0</v>
      </c>
      <c r="J9800" t="n">
        <v>0</v>
      </c>
      <c r="K9800" t="n">
        <v>0</v>
      </c>
      <c r="L9800" t="n">
        <v>0</v>
      </c>
      <c r="M9800" t="n">
        <v>0</v>
      </c>
      <c r="N9800" t="n">
        <v>0</v>
      </c>
      <c r="O9800" t="n">
        <v>0</v>
      </c>
      <c r="P9800" t="n">
        <v>0</v>
      </c>
      <c r="Q9800" t="n">
        <v>0</v>
      </c>
      <c r="R9800" s="2" t="inlineStr"/>
    </row>
    <row r="9801" ht="15" customHeight="1">
      <c r="A9801" t="inlineStr">
        <is>
          <t>A 20556-2023</t>
        </is>
      </c>
      <c r="B9801" s="1" t="n">
        <v>45057</v>
      </c>
      <c r="C9801" s="1" t="n">
        <v>45810</v>
      </c>
      <c r="D9801" t="inlineStr">
        <is>
          <t>VÄRMLANDS LÄN</t>
        </is>
      </c>
      <c r="E9801" t="inlineStr">
        <is>
          <t>ARVIKA</t>
        </is>
      </c>
      <c r="G9801" t="n">
        <v>2</v>
      </c>
      <c r="H9801" t="n">
        <v>0</v>
      </c>
      <c r="I9801" t="n">
        <v>0</v>
      </c>
      <c r="J9801" t="n">
        <v>0</v>
      </c>
      <c r="K9801" t="n">
        <v>0</v>
      </c>
      <c r="L9801" t="n">
        <v>0</v>
      </c>
      <c r="M9801" t="n">
        <v>0</v>
      </c>
      <c r="N9801" t="n">
        <v>0</v>
      </c>
      <c r="O9801" t="n">
        <v>0</v>
      </c>
      <c r="P9801" t="n">
        <v>0</v>
      </c>
      <c r="Q9801" t="n">
        <v>0</v>
      </c>
      <c r="R9801" s="2" t="inlineStr"/>
    </row>
    <row r="9802" ht="15" customHeight="1">
      <c r="A9802" t="inlineStr">
        <is>
          <t>A 21188-2023</t>
        </is>
      </c>
      <c r="B9802" s="1" t="n">
        <v>45057</v>
      </c>
      <c r="C9802" s="1" t="n">
        <v>45810</v>
      </c>
      <c r="D9802" t="inlineStr">
        <is>
          <t>VÄRMLANDS LÄN</t>
        </is>
      </c>
      <c r="E9802" t="inlineStr">
        <is>
          <t>ARVIKA</t>
        </is>
      </c>
      <c r="G9802" t="n">
        <v>9.699999999999999</v>
      </c>
      <c r="H9802" t="n">
        <v>0</v>
      </c>
      <c r="I9802" t="n">
        <v>0</v>
      </c>
      <c r="J9802" t="n">
        <v>0</v>
      </c>
      <c r="K9802" t="n">
        <v>0</v>
      </c>
      <c r="L9802" t="n">
        <v>0</v>
      </c>
      <c r="M9802" t="n">
        <v>0</v>
      </c>
      <c r="N9802" t="n">
        <v>0</v>
      </c>
      <c r="O9802" t="n">
        <v>0</v>
      </c>
      <c r="P9802" t="n">
        <v>0</v>
      </c>
      <c r="Q9802" t="n">
        <v>0</v>
      </c>
      <c r="R9802" s="2" t="inlineStr"/>
    </row>
    <row r="9803" ht="15" customHeight="1">
      <c r="A9803" t="inlineStr">
        <is>
          <t>A 21155-2023</t>
        </is>
      </c>
      <c r="B9803" s="1" t="n">
        <v>45057</v>
      </c>
      <c r="C9803" s="1" t="n">
        <v>45810</v>
      </c>
      <c r="D9803" t="inlineStr">
        <is>
          <t>VÄRMLANDS LÄN</t>
        </is>
      </c>
      <c r="E9803" t="inlineStr">
        <is>
          <t>HAGFORS</t>
        </is>
      </c>
      <c r="G9803" t="n">
        <v>1.6</v>
      </c>
      <c r="H9803" t="n">
        <v>0</v>
      </c>
      <c r="I9803" t="n">
        <v>0</v>
      </c>
      <c r="J9803" t="n">
        <v>0</v>
      </c>
      <c r="K9803" t="n">
        <v>0</v>
      </c>
      <c r="L9803" t="n">
        <v>0</v>
      </c>
      <c r="M9803" t="n">
        <v>0</v>
      </c>
      <c r="N9803" t="n">
        <v>0</v>
      </c>
      <c r="O9803" t="n">
        <v>0</v>
      </c>
      <c r="P9803" t="n">
        <v>0</v>
      </c>
      <c r="Q9803" t="n">
        <v>0</v>
      </c>
      <c r="R9803" s="2" t="inlineStr"/>
    </row>
    <row r="9804" ht="15" customHeight="1">
      <c r="A9804" t="inlineStr">
        <is>
          <t>A 20757-2023</t>
        </is>
      </c>
      <c r="B9804" s="1" t="n">
        <v>45058</v>
      </c>
      <c r="C9804" s="1" t="n">
        <v>45810</v>
      </c>
      <c r="D9804" t="inlineStr">
        <is>
          <t>VÄRMLANDS LÄN</t>
        </is>
      </c>
      <c r="E9804" t="inlineStr">
        <is>
          <t>TORSBY</t>
        </is>
      </c>
      <c r="G9804" t="n">
        <v>1</v>
      </c>
      <c r="H9804" t="n">
        <v>0</v>
      </c>
      <c r="I9804" t="n">
        <v>0</v>
      </c>
      <c r="J9804" t="n">
        <v>0</v>
      </c>
      <c r="K9804" t="n">
        <v>0</v>
      </c>
      <c r="L9804" t="n">
        <v>0</v>
      </c>
      <c r="M9804" t="n">
        <v>0</v>
      </c>
      <c r="N9804" t="n">
        <v>0</v>
      </c>
      <c r="O9804" t="n">
        <v>0</v>
      </c>
      <c r="P9804" t="n">
        <v>0</v>
      </c>
      <c r="Q9804" t="n">
        <v>0</v>
      </c>
      <c r="R9804" s="2" t="inlineStr"/>
    </row>
    <row r="9805" ht="15" customHeight="1">
      <c r="A9805" t="inlineStr">
        <is>
          <t>A 20773-2023</t>
        </is>
      </c>
      <c r="B9805" s="1" t="n">
        <v>45058</v>
      </c>
      <c r="C9805" s="1" t="n">
        <v>45810</v>
      </c>
      <c r="D9805" t="inlineStr">
        <is>
          <t>VÄRMLANDS LÄN</t>
        </is>
      </c>
      <c r="E9805" t="inlineStr">
        <is>
          <t>ARVIKA</t>
        </is>
      </c>
      <c r="F9805" t="inlineStr">
        <is>
          <t>Bergvik skog väst AB</t>
        </is>
      </c>
      <c r="G9805" t="n">
        <v>10.1</v>
      </c>
      <c r="H9805" t="n">
        <v>0</v>
      </c>
      <c r="I9805" t="n">
        <v>0</v>
      </c>
      <c r="J9805" t="n">
        <v>0</v>
      </c>
      <c r="K9805" t="n">
        <v>0</v>
      </c>
      <c r="L9805" t="n">
        <v>0</v>
      </c>
      <c r="M9805" t="n">
        <v>0</v>
      </c>
      <c r="N9805" t="n">
        <v>0</v>
      </c>
      <c r="O9805" t="n">
        <v>0</v>
      </c>
      <c r="P9805" t="n">
        <v>0</v>
      </c>
      <c r="Q9805" t="n">
        <v>0</v>
      </c>
      <c r="R9805" s="2" t="inlineStr"/>
    </row>
    <row r="9806" ht="15" customHeight="1">
      <c r="A9806" t="inlineStr">
        <is>
          <t>A 20790-2023</t>
        </is>
      </c>
      <c r="B9806" s="1" t="n">
        <v>45058</v>
      </c>
      <c r="C9806" s="1" t="n">
        <v>45810</v>
      </c>
      <c r="D9806" t="inlineStr">
        <is>
          <t>VÄRMLANDS LÄN</t>
        </is>
      </c>
      <c r="E9806" t="inlineStr">
        <is>
          <t>SÄFFLE</t>
        </is>
      </c>
      <c r="G9806" t="n">
        <v>9.199999999999999</v>
      </c>
      <c r="H9806" t="n">
        <v>0</v>
      </c>
      <c r="I9806" t="n">
        <v>0</v>
      </c>
      <c r="J9806" t="n">
        <v>0</v>
      </c>
      <c r="K9806" t="n">
        <v>0</v>
      </c>
      <c r="L9806" t="n">
        <v>0</v>
      </c>
      <c r="M9806" t="n">
        <v>0</v>
      </c>
      <c r="N9806" t="n">
        <v>0</v>
      </c>
      <c r="O9806" t="n">
        <v>0</v>
      </c>
      <c r="P9806" t="n">
        <v>0</v>
      </c>
      <c r="Q9806" t="n">
        <v>0</v>
      </c>
      <c r="R9806" s="2" t="inlineStr"/>
    </row>
    <row r="9807" ht="15" customHeight="1">
      <c r="A9807" t="inlineStr">
        <is>
          <t>A 20831-2023</t>
        </is>
      </c>
      <c r="B9807" s="1" t="n">
        <v>45058</v>
      </c>
      <c r="C9807" s="1" t="n">
        <v>45810</v>
      </c>
      <c r="D9807" t="inlineStr">
        <is>
          <t>VÄRMLANDS LÄN</t>
        </is>
      </c>
      <c r="E9807" t="inlineStr">
        <is>
          <t>TORSBY</t>
        </is>
      </c>
      <c r="G9807" t="n">
        <v>1.7</v>
      </c>
      <c r="H9807" t="n">
        <v>0</v>
      </c>
      <c r="I9807" t="n">
        <v>0</v>
      </c>
      <c r="J9807" t="n">
        <v>0</v>
      </c>
      <c r="K9807" t="n">
        <v>0</v>
      </c>
      <c r="L9807" t="n">
        <v>0</v>
      </c>
      <c r="M9807" t="n">
        <v>0</v>
      </c>
      <c r="N9807" t="n">
        <v>0</v>
      </c>
      <c r="O9807" t="n">
        <v>0</v>
      </c>
      <c r="P9807" t="n">
        <v>0</v>
      </c>
      <c r="Q9807" t="n">
        <v>0</v>
      </c>
      <c r="R9807" s="2" t="inlineStr"/>
    </row>
    <row r="9808" ht="15" customHeight="1">
      <c r="A9808" t="inlineStr">
        <is>
          <t>A 20648-2023</t>
        </is>
      </c>
      <c r="B9808" s="1" t="n">
        <v>45058</v>
      </c>
      <c r="C9808" s="1" t="n">
        <v>45810</v>
      </c>
      <c r="D9808" t="inlineStr">
        <is>
          <t>VÄRMLANDS LÄN</t>
        </is>
      </c>
      <c r="E9808" t="inlineStr">
        <is>
          <t>TORSBY</t>
        </is>
      </c>
      <c r="F9808" t="inlineStr">
        <is>
          <t>Kyrkan</t>
        </is>
      </c>
      <c r="G9808" t="n">
        <v>3.4</v>
      </c>
      <c r="H9808" t="n">
        <v>0</v>
      </c>
      <c r="I9808" t="n">
        <v>0</v>
      </c>
      <c r="J9808" t="n">
        <v>0</v>
      </c>
      <c r="K9808" t="n">
        <v>0</v>
      </c>
      <c r="L9808" t="n">
        <v>0</v>
      </c>
      <c r="M9808" t="n">
        <v>0</v>
      </c>
      <c r="N9808" t="n">
        <v>0</v>
      </c>
      <c r="O9808" t="n">
        <v>0</v>
      </c>
      <c r="P9808" t="n">
        <v>0</v>
      </c>
      <c r="Q9808" t="n">
        <v>0</v>
      </c>
      <c r="R9808" s="2" t="inlineStr"/>
    </row>
    <row r="9809" ht="15" customHeight="1">
      <c r="A9809" t="inlineStr">
        <is>
          <t>A 20659-2023</t>
        </is>
      </c>
      <c r="B9809" s="1" t="n">
        <v>45058</v>
      </c>
      <c r="C9809" s="1" t="n">
        <v>45810</v>
      </c>
      <c r="D9809" t="inlineStr">
        <is>
          <t>VÄRMLANDS LÄN</t>
        </is>
      </c>
      <c r="E9809" t="inlineStr">
        <is>
          <t>EDA</t>
        </is>
      </c>
      <c r="G9809" t="n">
        <v>0.9</v>
      </c>
      <c r="H9809" t="n">
        <v>0</v>
      </c>
      <c r="I9809" t="n">
        <v>0</v>
      </c>
      <c r="J9809" t="n">
        <v>0</v>
      </c>
      <c r="K9809" t="n">
        <v>0</v>
      </c>
      <c r="L9809" t="n">
        <v>0</v>
      </c>
      <c r="M9809" t="n">
        <v>0</v>
      </c>
      <c r="N9809" t="n">
        <v>0</v>
      </c>
      <c r="O9809" t="n">
        <v>0</v>
      </c>
      <c r="P9809" t="n">
        <v>0</v>
      </c>
      <c r="Q9809" t="n">
        <v>0</v>
      </c>
      <c r="R9809" s="2" t="inlineStr"/>
    </row>
    <row r="9810" ht="15" customHeight="1">
      <c r="A9810" t="inlineStr">
        <is>
          <t>A 20686-2023</t>
        </is>
      </c>
      <c r="B9810" s="1" t="n">
        <v>45058</v>
      </c>
      <c r="C9810" s="1" t="n">
        <v>45810</v>
      </c>
      <c r="D9810" t="inlineStr">
        <is>
          <t>VÄRMLANDS LÄN</t>
        </is>
      </c>
      <c r="E9810" t="inlineStr">
        <is>
          <t>KIL</t>
        </is>
      </c>
      <c r="G9810" t="n">
        <v>3.4</v>
      </c>
      <c r="H9810" t="n">
        <v>0</v>
      </c>
      <c r="I9810" t="n">
        <v>0</v>
      </c>
      <c r="J9810" t="n">
        <v>0</v>
      </c>
      <c r="K9810" t="n">
        <v>0</v>
      </c>
      <c r="L9810" t="n">
        <v>0</v>
      </c>
      <c r="M9810" t="n">
        <v>0</v>
      </c>
      <c r="N9810" t="n">
        <v>0</v>
      </c>
      <c r="O9810" t="n">
        <v>0</v>
      </c>
      <c r="P9810" t="n">
        <v>0</v>
      </c>
      <c r="Q9810" t="n">
        <v>0</v>
      </c>
      <c r="R9810" s="2" t="inlineStr"/>
    </row>
    <row r="9811" ht="15" customHeight="1">
      <c r="A9811" t="inlineStr">
        <is>
          <t>A 20696-2023</t>
        </is>
      </c>
      <c r="B9811" s="1" t="n">
        <v>45058</v>
      </c>
      <c r="C9811" s="1" t="n">
        <v>45810</v>
      </c>
      <c r="D9811" t="inlineStr">
        <is>
          <t>VÄRMLANDS LÄN</t>
        </is>
      </c>
      <c r="E9811" t="inlineStr">
        <is>
          <t>KRISTINEHAMN</t>
        </is>
      </c>
      <c r="F9811" t="inlineStr">
        <is>
          <t>Kommuner</t>
        </is>
      </c>
      <c r="G9811" t="n">
        <v>7.4</v>
      </c>
      <c r="H9811" t="n">
        <v>0</v>
      </c>
      <c r="I9811" t="n">
        <v>0</v>
      </c>
      <c r="J9811" t="n">
        <v>0</v>
      </c>
      <c r="K9811" t="n">
        <v>0</v>
      </c>
      <c r="L9811" t="n">
        <v>0</v>
      </c>
      <c r="M9811" t="n">
        <v>0</v>
      </c>
      <c r="N9811" t="n">
        <v>0</v>
      </c>
      <c r="O9811" t="n">
        <v>0</v>
      </c>
      <c r="P9811" t="n">
        <v>0</v>
      </c>
      <c r="Q9811" t="n">
        <v>0</v>
      </c>
      <c r="R9811" s="2" t="inlineStr"/>
    </row>
    <row r="9812" ht="15" customHeight="1">
      <c r="A9812" t="inlineStr">
        <is>
          <t>A 20650-2023</t>
        </is>
      </c>
      <c r="B9812" s="1" t="n">
        <v>45058</v>
      </c>
      <c r="C9812" s="1" t="n">
        <v>45810</v>
      </c>
      <c r="D9812" t="inlineStr">
        <is>
          <t>VÄRMLANDS LÄN</t>
        </is>
      </c>
      <c r="E9812" t="inlineStr">
        <is>
          <t>SUNNE</t>
        </is>
      </c>
      <c r="G9812" t="n">
        <v>0.4</v>
      </c>
      <c r="H9812" t="n">
        <v>0</v>
      </c>
      <c r="I9812" t="n">
        <v>0</v>
      </c>
      <c r="J9812" t="n">
        <v>0</v>
      </c>
      <c r="K9812" t="n">
        <v>0</v>
      </c>
      <c r="L9812" t="n">
        <v>0</v>
      </c>
      <c r="M9812" t="n">
        <v>0</v>
      </c>
      <c r="N9812" t="n">
        <v>0</v>
      </c>
      <c r="O9812" t="n">
        <v>0</v>
      </c>
      <c r="P9812" t="n">
        <v>0</v>
      </c>
      <c r="Q9812" t="n">
        <v>0</v>
      </c>
      <c r="R9812" s="2" t="inlineStr"/>
    </row>
    <row r="9813" ht="15" customHeight="1">
      <c r="A9813" t="inlineStr">
        <is>
          <t>A 20740-2023</t>
        </is>
      </c>
      <c r="B9813" s="1" t="n">
        <v>45058</v>
      </c>
      <c r="C9813" s="1" t="n">
        <v>45810</v>
      </c>
      <c r="D9813" t="inlineStr">
        <is>
          <t>VÄRMLANDS LÄN</t>
        </is>
      </c>
      <c r="E9813" t="inlineStr">
        <is>
          <t>TORSBY</t>
        </is>
      </c>
      <c r="G9813" t="n">
        <v>2.7</v>
      </c>
      <c r="H9813" t="n">
        <v>0</v>
      </c>
      <c r="I9813" t="n">
        <v>0</v>
      </c>
      <c r="J9813" t="n">
        <v>0</v>
      </c>
      <c r="K9813" t="n">
        <v>0</v>
      </c>
      <c r="L9813" t="n">
        <v>0</v>
      </c>
      <c r="M9813" t="n">
        <v>0</v>
      </c>
      <c r="N9813" t="n">
        <v>0</v>
      </c>
      <c r="O9813" t="n">
        <v>0</v>
      </c>
      <c r="P9813" t="n">
        <v>0</v>
      </c>
      <c r="Q9813" t="n">
        <v>0</v>
      </c>
      <c r="R9813" s="2" t="inlineStr"/>
    </row>
    <row r="9814" ht="15" customHeight="1">
      <c r="A9814" t="inlineStr">
        <is>
          <t>A 20746-2023</t>
        </is>
      </c>
      <c r="B9814" s="1" t="n">
        <v>45058</v>
      </c>
      <c r="C9814" s="1" t="n">
        <v>45810</v>
      </c>
      <c r="D9814" t="inlineStr">
        <is>
          <t>VÄRMLANDS LÄN</t>
        </is>
      </c>
      <c r="E9814" t="inlineStr">
        <is>
          <t>SUNNE</t>
        </is>
      </c>
      <c r="G9814" t="n">
        <v>2.4</v>
      </c>
      <c r="H9814" t="n">
        <v>0</v>
      </c>
      <c r="I9814" t="n">
        <v>0</v>
      </c>
      <c r="J9814" t="n">
        <v>0</v>
      </c>
      <c r="K9814" t="n">
        <v>0</v>
      </c>
      <c r="L9814" t="n">
        <v>0</v>
      </c>
      <c r="M9814" t="n">
        <v>0</v>
      </c>
      <c r="N9814" t="n">
        <v>0</v>
      </c>
      <c r="O9814" t="n">
        <v>0</v>
      </c>
      <c r="P9814" t="n">
        <v>0</v>
      </c>
      <c r="Q9814" t="n">
        <v>0</v>
      </c>
      <c r="R9814" s="2" t="inlineStr"/>
    </row>
    <row r="9815" ht="15" customHeight="1">
      <c r="A9815" t="inlineStr">
        <is>
          <t>A 20697-2023</t>
        </is>
      </c>
      <c r="B9815" s="1" t="n">
        <v>45058</v>
      </c>
      <c r="C9815" s="1" t="n">
        <v>45810</v>
      </c>
      <c r="D9815" t="inlineStr">
        <is>
          <t>VÄRMLANDS LÄN</t>
        </is>
      </c>
      <c r="E9815" t="inlineStr">
        <is>
          <t>KIL</t>
        </is>
      </c>
      <c r="G9815" t="n">
        <v>5.7</v>
      </c>
      <c r="H9815" t="n">
        <v>0</v>
      </c>
      <c r="I9815" t="n">
        <v>0</v>
      </c>
      <c r="J9815" t="n">
        <v>0</v>
      </c>
      <c r="K9815" t="n">
        <v>0</v>
      </c>
      <c r="L9815" t="n">
        <v>0</v>
      </c>
      <c r="M9815" t="n">
        <v>0</v>
      </c>
      <c r="N9815" t="n">
        <v>0</v>
      </c>
      <c r="O9815" t="n">
        <v>0</v>
      </c>
      <c r="P9815" t="n">
        <v>0</v>
      </c>
      <c r="Q9815" t="n">
        <v>0</v>
      </c>
      <c r="R9815" s="2" t="inlineStr"/>
    </row>
    <row r="9816" ht="15" customHeight="1">
      <c r="A9816" t="inlineStr">
        <is>
          <t>A 20737-2023</t>
        </is>
      </c>
      <c r="B9816" s="1" t="n">
        <v>45058</v>
      </c>
      <c r="C9816" s="1" t="n">
        <v>45810</v>
      </c>
      <c r="D9816" t="inlineStr">
        <is>
          <t>VÄRMLANDS LÄN</t>
        </is>
      </c>
      <c r="E9816" t="inlineStr">
        <is>
          <t>TORSBY</t>
        </is>
      </c>
      <c r="G9816" t="n">
        <v>2.6</v>
      </c>
      <c r="H9816" t="n">
        <v>0</v>
      </c>
      <c r="I9816" t="n">
        <v>0</v>
      </c>
      <c r="J9816" t="n">
        <v>0</v>
      </c>
      <c r="K9816" t="n">
        <v>0</v>
      </c>
      <c r="L9816" t="n">
        <v>0</v>
      </c>
      <c r="M9816" t="n">
        <v>0</v>
      </c>
      <c r="N9816" t="n">
        <v>0</v>
      </c>
      <c r="O9816" t="n">
        <v>0</v>
      </c>
      <c r="P9816" t="n">
        <v>0</v>
      </c>
      <c r="Q9816" t="n">
        <v>0</v>
      </c>
      <c r="R9816" s="2" t="inlineStr"/>
    </row>
    <row r="9817" ht="15" customHeight="1">
      <c r="A9817" t="inlineStr">
        <is>
          <t>A 20802-2023</t>
        </is>
      </c>
      <c r="B9817" s="1" t="n">
        <v>45058</v>
      </c>
      <c r="C9817" s="1" t="n">
        <v>45810</v>
      </c>
      <c r="D9817" t="inlineStr">
        <is>
          <t>VÄRMLANDS LÄN</t>
        </is>
      </c>
      <c r="E9817" t="inlineStr">
        <is>
          <t>ARVIKA</t>
        </is>
      </c>
      <c r="F9817" t="inlineStr">
        <is>
          <t>Bergvik skog väst AB</t>
        </is>
      </c>
      <c r="G9817" t="n">
        <v>5</v>
      </c>
      <c r="H9817" t="n">
        <v>0</v>
      </c>
      <c r="I9817" t="n">
        <v>0</v>
      </c>
      <c r="J9817" t="n">
        <v>0</v>
      </c>
      <c r="K9817" t="n">
        <v>0</v>
      </c>
      <c r="L9817" t="n">
        <v>0</v>
      </c>
      <c r="M9817" t="n">
        <v>0</v>
      </c>
      <c r="N9817" t="n">
        <v>0</v>
      </c>
      <c r="O9817" t="n">
        <v>0</v>
      </c>
      <c r="P9817" t="n">
        <v>0</v>
      </c>
      <c r="Q9817" t="n">
        <v>0</v>
      </c>
      <c r="R9817" s="2" t="inlineStr"/>
    </row>
    <row r="9818" ht="15" customHeight="1">
      <c r="A9818" t="inlineStr">
        <is>
          <t>A 20829-2023</t>
        </is>
      </c>
      <c r="B9818" s="1" t="n">
        <v>45058</v>
      </c>
      <c r="C9818" s="1" t="n">
        <v>45810</v>
      </c>
      <c r="D9818" t="inlineStr">
        <is>
          <t>VÄRMLANDS LÄN</t>
        </is>
      </c>
      <c r="E9818" t="inlineStr">
        <is>
          <t>TORSBY</t>
        </is>
      </c>
      <c r="F9818" t="inlineStr">
        <is>
          <t>Bergvik skog väst AB</t>
        </is>
      </c>
      <c r="G9818" t="n">
        <v>12.2</v>
      </c>
      <c r="H9818" t="n">
        <v>0</v>
      </c>
      <c r="I9818" t="n">
        <v>0</v>
      </c>
      <c r="J9818" t="n">
        <v>0</v>
      </c>
      <c r="K9818" t="n">
        <v>0</v>
      </c>
      <c r="L9818" t="n">
        <v>0</v>
      </c>
      <c r="M9818" t="n">
        <v>0</v>
      </c>
      <c r="N9818" t="n">
        <v>0</v>
      </c>
      <c r="O9818" t="n">
        <v>0</v>
      </c>
      <c r="P9818" t="n">
        <v>0</v>
      </c>
      <c r="Q9818" t="n">
        <v>0</v>
      </c>
      <c r="R9818" s="2" t="inlineStr"/>
    </row>
    <row r="9819" ht="15" customHeight="1">
      <c r="A9819" t="inlineStr">
        <is>
          <t>A 20751-2023</t>
        </is>
      </c>
      <c r="B9819" s="1" t="n">
        <v>45058</v>
      </c>
      <c r="C9819" s="1" t="n">
        <v>45810</v>
      </c>
      <c r="D9819" t="inlineStr">
        <is>
          <t>VÄRMLANDS LÄN</t>
        </is>
      </c>
      <c r="E9819" t="inlineStr">
        <is>
          <t>ARVIKA</t>
        </is>
      </c>
      <c r="F9819" t="inlineStr">
        <is>
          <t>Bergvik skog väst AB</t>
        </is>
      </c>
      <c r="G9819" t="n">
        <v>2.7</v>
      </c>
      <c r="H9819" t="n">
        <v>0</v>
      </c>
      <c r="I9819" t="n">
        <v>0</v>
      </c>
      <c r="J9819" t="n">
        <v>0</v>
      </c>
      <c r="K9819" t="n">
        <v>0</v>
      </c>
      <c r="L9819" t="n">
        <v>0</v>
      </c>
      <c r="M9819" t="n">
        <v>0</v>
      </c>
      <c r="N9819" t="n">
        <v>0</v>
      </c>
      <c r="O9819" t="n">
        <v>0</v>
      </c>
      <c r="P9819" t="n">
        <v>0</v>
      </c>
      <c r="Q9819" t="n">
        <v>0</v>
      </c>
      <c r="R9819" s="2" t="inlineStr"/>
    </row>
    <row r="9820" ht="15" customHeight="1">
      <c r="A9820" t="inlineStr">
        <is>
          <t>A 20799-2023</t>
        </is>
      </c>
      <c r="B9820" s="1" t="n">
        <v>45058</v>
      </c>
      <c r="C9820" s="1" t="n">
        <v>45810</v>
      </c>
      <c r="D9820" t="inlineStr">
        <is>
          <t>VÄRMLANDS LÄN</t>
        </is>
      </c>
      <c r="E9820" t="inlineStr">
        <is>
          <t>SUNNE</t>
        </is>
      </c>
      <c r="G9820" t="n">
        <v>4.1</v>
      </c>
      <c r="H9820" t="n">
        <v>0</v>
      </c>
      <c r="I9820" t="n">
        <v>0</v>
      </c>
      <c r="J9820" t="n">
        <v>0</v>
      </c>
      <c r="K9820" t="n">
        <v>0</v>
      </c>
      <c r="L9820" t="n">
        <v>0</v>
      </c>
      <c r="M9820" t="n">
        <v>0</v>
      </c>
      <c r="N9820" t="n">
        <v>0</v>
      </c>
      <c r="O9820" t="n">
        <v>0</v>
      </c>
      <c r="P9820" t="n">
        <v>0</v>
      </c>
      <c r="Q9820" t="n">
        <v>0</v>
      </c>
      <c r="R9820" s="2" t="inlineStr"/>
    </row>
    <row r="9821" ht="15" customHeight="1">
      <c r="A9821" t="inlineStr">
        <is>
          <t>A 20810-2023</t>
        </is>
      </c>
      <c r="B9821" s="1" t="n">
        <v>45058</v>
      </c>
      <c r="C9821" s="1" t="n">
        <v>45810</v>
      </c>
      <c r="D9821" t="inlineStr">
        <is>
          <t>VÄRMLANDS LÄN</t>
        </is>
      </c>
      <c r="E9821" t="inlineStr">
        <is>
          <t>HAGFORS</t>
        </is>
      </c>
      <c r="F9821" t="inlineStr">
        <is>
          <t>Bergvik skog väst AB</t>
        </is>
      </c>
      <c r="G9821" t="n">
        <v>3.6</v>
      </c>
      <c r="H9821" t="n">
        <v>0</v>
      </c>
      <c r="I9821" t="n">
        <v>0</v>
      </c>
      <c r="J9821" t="n">
        <v>0</v>
      </c>
      <c r="K9821" t="n">
        <v>0</v>
      </c>
      <c r="L9821" t="n">
        <v>0</v>
      </c>
      <c r="M9821" t="n">
        <v>0</v>
      </c>
      <c r="N9821" t="n">
        <v>0</v>
      </c>
      <c r="O9821" t="n">
        <v>0</v>
      </c>
      <c r="P9821" t="n">
        <v>0</v>
      </c>
      <c r="Q9821" t="n">
        <v>0</v>
      </c>
      <c r="R9821" s="2" t="inlineStr"/>
    </row>
    <row r="9822" ht="15" customHeight="1">
      <c r="A9822" t="inlineStr">
        <is>
          <t>A 20830-2023</t>
        </is>
      </c>
      <c r="B9822" s="1" t="n">
        <v>45058</v>
      </c>
      <c r="C9822" s="1" t="n">
        <v>45810</v>
      </c>
      <c r="D9822" t="inlineStr">
        <is>
          <t>VÄRMLANDS LÄN</t>
        </is>
      </c>
      <c r="E9822" t="inlineStr">
        <is>
          <t>TORSBY</t>
        </is>
      </c>
      <c r="G9822" t="n">
        <v>8.1</v>
      </c>
      <c r="H9822" t="n">
        <v>0</v>
      </c>
      <c r="I9822" t="n">
        <v>0</v>
      </c>
      <c r="J9822" t="n">
        <v>0</v>
      </c>
      <c r="K9822" t="n">
        <v>0</v>
      </c>
      <c r="L9822" t="n">
        <v>0</v>
      </c>
      <c r="M9822" t="n">
        <v>0</v>
      </c>
      <c r="N9822" t="n">
        <v>0</v>
      </c>
      <c r="O9822" t="n">
        <v>0</v>
      </c>
      <c r="P9822" t="n">
        <v>0</v>
      </c>
      <c r="Q9822" t="n">
        <v>0</v>
      </c>
      <c r="R9822" s="2" t="inlineStr"/>
    </row>
    <row r="9823" ht="15" customHeight="1">
      <c r="A9823" t="inlineStr">
        <is>
          <t>A 20665-2023</t>
        </is>
      </c>
      <c r="B9823" s="1" t="n">
        <v>45058</v>
      </c>
      <c r="C9823" s="1" t="n">
        <v>45810</v>
      </c>
      <c r="D9823" t="inlineStr">
        <is>
          <t>VÄRMLANDS LÄN</t>
        </is>
      </c>
      <c r="E9823" t="inlineStr">
        <is>
          <t>EDA</t>
        </is>
      </c>
      <c r="G9823" t="n">
        <v>5.5</v>
      </c>
      <c r="H9823" t="n">
        <v>0</v>
      </c>
      <c r="I9823" t="n">
        <v>0</v>
      </c>
      <c r="J9823" t="n">
        <v>0</v>
      </c>
      <c r="K9823" t="n">
        <v>0</v>
      </c>
      <c r="L9823" t="n">
        <v>0</v>
      </c>
      <c r="M9823" t="n">
        <v>0</v>
      </c>
      <c r="N9823" t="n">
        <v>0</v>
      </c>
      <c r="O9823" t="n">
        <v>0</v>
      </c>
      <c r="P9823" t="n">
        <v>0</v>
      </c>
      <c r="Q9823" t="n">
        <v>0</v>
      </c>
      <c r="R9823" s="2" t="inlineStr"/>
    </row>
    <row r="9824" ht="15" customHeight="1">
      <c r="A9824" t="inlineStr">
        <is>
          <t>A 20674-2023</t>
        </is>
      </c>
      <c r="B9824" s="1" t="n">
        <v>45058</v>
      </c>
      <c r="C9824" s="1" t="n">
        <v>45810</v>
      </c>
      <c r="D9824" t="inlineStr">
        <is>
          <t>VÄRMLANDS LÄN</t>
        </is>
      </c>
      <c r="E9824" t="inlineStr">
        <is>
          <t>ÅRJÄNG</t>
        </is>
      </c>
      <c r="G9824" t="n">
        <v>11.1</v>
      </c>
      <c r="H9824" t="n">
        <v>0</v>
      </c>
      <c r="I9824" t="n">
        <v>0</v>
      </c>
      <c r="J9824" t="n">
        <v>0</v>
      </c>
      <c r="K9824" t="n">
        <v>0</v>
      </c>
      <c r="L9824" t="n">
        <v>0</v>
      </c>
      <c r="M9824" t="n">
        <v>0</v>
      </c>
      <c r="N9824" t="n">
        <v>0</v>
      </c>
      <c r="O9824" t="n">
        <v>0</v>
      </c>
      <c r="P9824" t="n">
        <v>0</v>
      </c>
      <c r="Q9824" t="n">
        <v>0</v>
      </c>
      <c r="R9824" s="2" t="inlineStr"/>
    </row>
    <row r="9825" ht="15" customHeight="1">
      <c r="A9825" t="inlineStr">
        <is>
          <t>A 20679-2023</t>
        </is>
      </c>
      <c r="B9825" s="1" t="n">
        <v>45058</v>
      </c>
      <c r="C9825" s="1" t="n">
        <v>45810</v>
      </c>
      <c r="D9825" t="inlineStr">
        <is>
          <t>VÄRMLANDS LÄN</t>
        </is>
      </c>
      <c r="E9825" t="inlineStr">
        <is>
          <t>TORSBY</t>
        </is>
      </c>
      <c r="G9825" t="n">
        <v>0.6</v>
      </c>
      <c r="H9825" t="n">
        <v>0</v>
      </c>
      <c r="I9825" t="n">
        <v>0</v>
      </c>
      <c r="J9825" t="n">
        <v>0</v>
      </c>
      <c r="K9825" t="n">
        <v>0</v>
      </c>
      <c r="L9825" t="n">
        <v>0</v>
      </c>
      <c r="M9825" t="n">
        <v>0</v>
      </c>
      <c r="N9825" t="n">
        <v>0</v>
      </c>
      <c r="O9825" t="n">
        <v>0</v>
      </c>
      <c r="P9825" t="n">
        <v>0</v>
      </c>
      <c r="Q9825" t="n">
        <v>0</v>
      </c>
      <c r="R9825" s="2" t="inlineStr"/>
    </row>
    <row r="9826" ht="15" customHeight="1">
      <c r="A9826" t="inlineStr">
        <is>
          <t>A 20721-2023</t>
        </is>
      </c>
      <c r="B9826" s="1" t="n">
        <v>45058</v>
      </c>
      <c r="C9826" s="1" t="n">
        <v>45810</v>
      </c>
      <c r="D9826" t="inlineStr">
        <is>
          <t>VÄRMLANDS LÄN</t>
        </is>
      </c>
      <c r="E9826" t="inlineStr">
        <is>
          <t>TORSBY</t>
        </is>
      </c>
      <c r="G9826" t="n">
        <v>1</v>
      </c>
      <c r="H9826" t="n">
        <v>0</v>
      </c>
      <c r="I9826" t="n">
        <v>0</v>
      </c>
      <c r="J9826" t="n">
        <v>0</v>
      </c>
      <c r="K9826" t="n">
        <v>0</v>
      </c>
      <c r="L9826" t="n">
        <v>0</v>
      </c>
      <c r="M9826" t="n">
        <v>0</v>
      </c>
      <c r="N9826" t="n">
        <v>0</v>
      </c>
      <c r="O9826" t="n">
        <v>0</v>
      </c>
      <c r="P9826" t="n">
        <v>0</v>
      </c>
      <c r="Q9826" t="n">
        <v>0</v>
      </c>
      <c r="R9826" s="2" t="inlineStr"/>
    </row>
    <row r="9827" ht="15" customHeight="1">
      <c r="A9827" t="inlineStr">
        <is>
          <t>A 20725-2023</t>
        </is>
      </c>
      <c r="B9827" s="1" t="n">
        <v>45058</v>
      </c>
      <c r="C9827" s="1" t="n">
        <v>45810</v>
      </c>
      <c r="D9827" t="inlineStr">
        <is>
          <t>VÄRMLANDS LÄN</t>
        </is>
      </c>
      <c r="E9827" t="inlineStr">
        <is>
          <t>STORFORS</t>
        </is>
      </c>
      <c r="F9827" t="inlineStr">
        <is>
          <t>Bergvik skog väst AB</t>
        </is>
      </c>
      <c r="G9827" t="n">
        <v>14.9</v>
      </c>
      <c r="H9827" t="n">
        <v>0</v>
      </c>
      <c r="I9827" t="n">
        <v>0</v>
      </c>
      <c r="J9827" t="n">
        <v>0</v>
      </c>
      <c r="K9827" t="n">
        <v>0</v>
      </c>
      <c r="L9827" t="n">
        <v>0</v>
      </c>
      <c r="M9827" t="n">
        <v>0</v>
      </c>
      <c r="N9827" t="n">
        <v>0</v>
      </c>
      <c r="O9827" t="n">
        <v>0</v>
      </c>
      <c r="P9827" t="n">
        <v>0</v>
      </c>
      <c r="Q9827" t="n">
        <v>0</v>
      </c>
      <c r="R9827" s="2" t="inlineStr"/>
    </row>
    <row r="9828" ht="15" customHeight="1">
      <c r="A9828" t="inlineStr">
        <is>
          <t>A 20733-2023</t>
        </is>
      </c>
      <c r="B9828" s="1" t="n">
        <v>45058</v>
      </c>
      <c r="C9828" s="1" t="n">
        <v>45810</v>
      </c>
      <c r="D9828" t="inlineStr">
        <is>
          <t>VÄRMLANDS LÄN</t>
        </is>
      </c>
      <c r="E9828" t="inlineStr">
        <is>
          <t>TORSBY</t>
        </is>
      </c>
      <c r="G9828" t="n">
        <v>4</v>
      </c>
      <c r="H9828" t="n">
        <v>0</v>
      </c>
      <c r="I9828" t="n">
        <v>0</v>
      </c>
      <c r="J9828" t="n">
        <v>0</v>
      </c>
      <c r="K9828" t="n">
        <v>0</v>
      </c>
      <c r="L9828" t="n">
        <v>0</v>
      </c>
      <c r="M9828" t="n">
        <v>0</v>
      </c>
      <c r="N9828" t="n">
        <v>0</v>
      </c>
      <c r="O9828" t="n">
        <v>0</v>
      </c>
      <c r="P9828" t="n">
        <v>0</v>
      </c>
      <c r="Q9828" t="n">
        <v>0</v>
      </c>
      <c r="R9828" s="2" t="inlineStr"/>
    </row>
    <row r="9829" ht="15" customHeight="1">
      <c r="A9829" t="inlineStr">
        <is>
          <t>A 20739-2023</t>
        </is>
      </c>
      <c r="B9829" s="1" t="n">
        <v>45058</v>
      </c>
      <c r="C9829" s="1" t="n">
        <v>45810</v>
      </c>
      <c r="D9829" t="inlineStr">
        <is>
          <t>VÄRMLANDS LÄN</t>
        </is>
      </c>
      <c r="E9829" t="inlineStr">
        <is>
          <t>ARVIKA</t>
        </is>
      </c>
      <c r="F9829" t="inlineStr">
        <is>
          <t>Bergvik skog väst AB</t>
        </is>
      </c>
      <c r="G9829" t="n">
        <v>0.9</v>
      </c>
      <c r="H9829" t="n">
        <v>0</v>
      </c>
      <c r="I9829" t="n">
        <v>0</v>
      </c>
      <c r="J9829" t="n">
        <v>0</v>
      </c>
      <c r="K9829" t="n">
        <v>0</v>
      </c>
      <c r="L9829" t="n">
        <v>0</v>
      </c>
      <c r="M9829" t="n">
        <v>0</v>
      </c>
      <c r="N9829" t="n">
        <v>0</v>
      </c>
      <c r="O9829" t="n">
        <v>0</v>
      </c>
      <c r="P9829" t="n">
        <v>0</v>
      </c>
      <c r="Q9829" t="n">
        <v>0</v>
      </c>
      <c r="R9829" s="2" t="inlineStr"/>
    </row>
    <row r="9830" ht="15" customHeight="1">
      <c r="A9830" t="inlineStr">
        <is>
          <t>A 20745-2023</t>
        </is>
      </c>
      <c r="B9830" s="1" t="n">
        <v>45058</v>
      </c>
      <c r="C9830" s="1" t="n">
        <v>45810</v>
      </c>
      <c r="D9830" t="inlineStr">
        <is>
          <t>VÄRMLANDS LÄN</t>
        </is>
      </c>
      <c r="E9830" t="inlineStr">
        <is>
          <t>TORSBY</t>
        </is>
      </c>
      <c r="G9830" t="n">
        <v>1</v>
      </c>
      <c r="H9830" t="n">
        <v>0</v>
      </c>
      <c r="I9830" t="n">
        <v>0</v>
      </c>
      <c r="J9830" t="n">
        <v>0</v>
      </c>
      <c r="K9830" t="n">
        <v>0</v>
      </c>
      <c r="L9830" t="n">
        <v>0</v>
      </c>
      <c r="M9830" t="n">
        <v>0</v>
      </c>
      <c r="N9830" t="n">
        <v>0</v>
      </c>
      <c r="O9830" t="n">
        <v>0</v>
      </c>
      <c r="P9830" t="n">
        <v>0</v>
      </c>
      <c r="Q9830" t="n">
        <v>0</v>
      </c>
      <c r="R9830" s="2" t="inlineStr"/>
    </row>
    <row r="9831" ht="15" customHeight="1">
      <c r="A9831" t="inlineStr">
        <is>
          <t>A 20769-2023</t>
        </is>
      </c>
      <c r="B9831" s="1" t="n">
        <v>45058</v>
      </c>
      <c r="C9831" s="1" t="n">
        <v>45810</v>
      </c>
      <c r="D9831" t="inlineStr">
        <is>
          <t>VÄRMLANDS LÄN</t>
        </is>
      </c>
      <c r="E9831" t="inlineStr">
        <is>
          <t>HAGFORS</t>
        </is>
      </c>
      <c r="G9831" t="n">
        <v>2</v>
      </c>
      <c r="H9831" t="n">
        <v>0</v>
      </c>
      <c r="I9831" t="n">
        <v>0</v>
      </c>
      <c r="J9831" t="n">
        <v>0</v>
      </c>
      <c r="K9831" t="n">
        <v>0</v>
      </c>
      <c r="L9831" t="n">
        <v>0</v>
      </c>
      <c r="M9831" t="n">
        <v>0</v>
      </c>
      <c r="N9831" t="n">
        <v>0</v>
      </c>
      <c r="O9831" t="n">
        <v>0</v>
      </c>
      <c r="P9831" t="n">
        <v>0</v>
      </c>
      <c r="Q9831" t="n">
        <v>0</v>
      </c>
      <c r="R9831" s="2" t="inlineStr"/>
    </row>
    <row r="9832" ht="15" customHeight="1">
      <c r="A9832" t="inlineStr">
        <is>
          <t>A 20780-2023</t>
        </is>
      </c>
      <c r="B9832" s="1" t="n">
        <v>45058</v>
      </c>
      <c r="C9832" s="1" t="n">
        <v>45810</v>
      </c>
      <c r="D9832" t="inlineStr">
        <is>
          <t>VÄRMLANDS LÄN</t>
        </is>
      </c>
      <c r="E9832" t="inlineStr">
        <is>
          <t>HAGFORS</t>
        </is>
      </c>
      <c r="G9832" t="n">
        <v>1.3</v>
      </c>
      <c r="H9832" t="n">
        <v>0</v>
      </c>
      <c r="I9832" t="n">
        <v>0</v>
      </c>
      <c r="J9832" t="n">
        <v>0</v>
      </c>
      <c r="K9832" t="n">
        <v>0</v>
      </c>
      <c r="L9832" t="n">
        <v>0</v>
      </c>
      <c r="M9832" t="n">
        <v>0</v>
      </c>
      <c r="N9832" t="n">
        <v>0</v>
      </c>
      <c r="O9832" t="n">
        <v>0</v>
      </c>
      <c r="P9832" t="n">
        <v>0</v>
      </c>
      <c r="Q9832" t="n">
        <v>0</v>
      </c>
      <c r="R9832" s="2" t="inlineStr"/>
    </row>
    <row r="9833" ht="15" customHeight="1">
      <c r="A9833" t="inlineStr">
        <is>
          <t>A 20791-2023</t>
        </is>
      </c>
      <c r="B9833" s="1" t="n">
        <v>45058</v>
      </c>
      <c r="C9833" s="1" t="n">
        <v>45810</v>
      </c>
      <c r="D9833" t="inlineStr">
        <is>
          <t>VÄRMLANDS LÄN</t>
        </is>
      </c>
      <c r="E9833" t="inlineStr">
        <is>
          <t>FILIPSTAD</t>
        </is>
      </c>
      <c r="F9833" t="inlineStr">
        <is>
          <t>Bergvik skog väst AB</t>
        </is>
      </c>
      <c r="G9833" t="n">
        <v>8</v>
      </c>
      <c r="H9833" t="n">
        <v>0</v>
      </c>
      <c r="I9833" t="n">
        <v>0</v>
      </c>
      <c r="J9833" t="n">
        <v>0</v>
      </c>
      <c r="K9833" t="n">
        <v>0</v>
      </c>
      <c r="L9833" t="n">
        <v>0</v>
      </c>
      <c r="M9833" t="n">
        <v>0</v>
      </c>
      <c r="N9833" t="n">
        <v>0</v>
      </c>
      <c r="O9833" t="n">
        <v>0</v>
      </c>
      <c r="P9833" t="n">
        <v>0</v>
      </c>
      <c r="Q9833" t="n">
        <v>0</v>
      </c>
      <c r="R9833" s="2" t="inlineStr"/>
    </row>
    <row r="9834" ht="15" customHeight="1">
      <c r="A9834" t="inlineStr">
        <is>
          <t>A 20832-2023</t>
        </is>
      </c>
      <c r="B9834" s="1" t="n">
        <v>45058</v>
      </c>
      <c r="C9834" s="1" t="n">
        <v>45810</v>
      </c>
      <c r="D9834" t="inlineStr">
        <is>
          <t>VÄRMLANDS LÄN</t>
        </is>
      </c>
      <c r="E9834" t="inlineStr">
        <is>
          <t>FILIPSTAD</t>
        </is>
      </c>
      <c r="F9834" t="inlineStr">
        <is>
          <t>Bergvik skog väst AB</t>
        </is>
      </c>
      <c r="G9834" t="n">
        <v>2.6</v>
      </c>
      <c r="H9834" t="n">
        <v>0</v>
      </c>
      <c r="I9834" t="n">
        <v>0</v>
      </c>
      <c r="J9834" t="n">
        <v>0</v>
      </c>
      <c r="K9834" t="n">
        <v>0</v>
      </c>
      <c r="L9834" t="n">
        <v>0</v>
      </c>
      <c r="M9834" t="n">
        <v>0</v>
      </c>
      <c r="N9834" t="n">
        <v>0</v>
      </c>
      <c r="O9834" t="n">
        <v>0</v>
      </c>
      <c r="P9834" t="n">
        <v>0</v>
      </c>
      <c r="Q9834" t="n">
        <v>0</v>
      </c>
      <c r="R9834" s="2" t="inlineStr"/>
    </row>
    <row r="9835" ht="15" customHeight="1">
      <c r="A9835" t="inlineStr">
        <is>
          <t>A 21258-2023</t>
        </is>
      </c>
      <c r="B9835" s="1" t="n">
        <v>45058</v>
      </c>
      <c r="C9835" s="1" t="n">
        <v>45810</v>
      </c>
      <c r="D9835" t="inlineStr">
        <is>
          <t>VÄRMLANDS LÄN</t>
        </is>
      </c>
      <c r="E9835" t="inlineStr">
        <is>
          <t>TORSBY</t>
        </is>
      </c>
      <c r="G9835" t="n">
        <v>1.9</v>
      </c>
      <c r="H9835" t="n">
        <v>0</v>
      </c>
      <c r="I9835" t="n">
        <v>0</v>
      </c>
      <c r="J9835" t="n">
        <v>0</v>
      </c>
      <c r="K9835" t="n">
        <v>0</v>
      </c>
      <c r="L9835" t="n">
        <v>0</v>
      </c>
      <c r="M9835" t="n">
        <v>0</v>
      </c>
      <c r="N9835" t="n">
        <v>0</v>
      </c>
      <c r="O9835" t="n">
        <v>0</v>
      </c>
      <c r="P9835" t="n">
        <v>0</v>
      </c>
      <c r="Q9835" t="n">
        <v>0</v>
      </c>
      <c r="R9835" s="2" t="inlineStr"/>
    </row>
    <row r="9836" ht="15" customHeight="1">
      <c r="A9836" t="inlineStr">
        <is>
          <t>A 21255-2023</t>
        </is>
      </c>
      <c r="B9836" s="1" t="n">
        <v>45058</v>
      </c>
      <c r="C9836" s="1" t="n">
        <v>45810</v>
      </c>
      <c r="D9836" t="inlineStr">
        <is>
          <t>VÄRMLANDS LÄN</t>
        </is>
      </c>
      <c r="E9836" t="inlineStr">
        <is>
          <t>TORSBY</t>
        </is>
      </c>
      <c r="G9836" t="n">
        <v>3.6</v>
      </c>
      <c r="H9836" t="n">
        <v>0</v>
      </c>
      <c r="I9836" t="n">
        <v>0</v>
      </c>
      <c r="J9836" t="n">
        <v>0</v>
      </c>
      <c r="K9836" t="n">
        <v>0</v>
      </c>
      <c r="L9836" t="n">
        <v>0</v>
      </c>
      <c r="M9836" t="n">
        <v>0</v>
      </c>
      <c r="N9836" t="n">
        <v>0</v>
      </c>
      <c r="O9836" t="n">
        <v>0</v>
      </c>
      <c r="P9836" t="n">
        <v>0</v>
      </c>
      <c r="Q9836" t="n">
        <v>0</v>
      </c>
      <c r="R9836" s="2" t="inlineStr"/>
    </row>
    <row r="9837" ht="15" customHeight="1">
      <c r="A9837" t="inlineStr">
        <is>
          <t>A 20898-2023</t>
        </is>
      </c>
      <c r="B9837" s="1" t="n">
        <v>45059</v>
      </c>
      <c r="C9837" s="1" t="n">
        <v>45810</v>
      </c>
      <c r="D9837" t="inlineStr">
        <is>
          <t>VÄRMLANDS LÄN</t>
        </is>
      </c>
      <c r="E9837" t="inlineStr">
        <is>
          <t>TORSBY</t>
        </is>
      </c>
      <c r="G9837" t="n">
        <v>3.1</v>
      </c>
      <c r="H9837" t="n">
        <v>0</v>
      </c>
      <c r="I9837" t="n">
        <v>0</v>
      </c>
      <c r="J9837" t="n">
        <v>0</v>
      </c>
      <c r="K9837" t="n">
        <v>0</v>
      </c>
      <c r="L9837" t="n">
        <v>0</v>
      </c>
      <c r="M9837" t="n">
        <v>0</v>
      </c>
      <c r="N9837" t="n">
        <v>0</v>
      </c>
      <c r="O9837" t="n">
        <v>0</v>
      </c>
      <c r="P9837" t="n">
        <v>0</v>
      </c>
      <c r="Q9837" t="n">
        <v>0</v>
      </c>
      <c r="R9837" s="2" t="inlineStr"/>
    </row>
    <row r="9838" ht="15" customHeight="1">
      <c r="A9838" t="inlineStr">
        <is>
          <t>A 20905-2023</t>
        </is>
      </c>
      <c r="B9838" s="1" t="n">
        <v>45060</v>
      </c>
      <c r="C9838" s="1" t="n">
        <v>45810</v>
      </c>
      <c r="D9838" t="inlineStr">
        <is>
          <t>VÄRMLANDS LÄN</t>
        </is>
      </c>
      <c r="E9838" t="inlineStr">
        <is>
          <t>ÅRJÄNG</t>
        </is>
      </c>
      <c r="G9838" t="n">
        <v>1.5</v>
      </c>
      <c r="H9838" t="n">
        <v>0</v>
      </c>
      <c r="I9838" t="n">
        <v>0</v>
      </c>
      <c r="J9838" t="n">
        <v>0</v>
      </c>
      <c r="K9838" t="n">
        <v>0</v>
      </c>
      <c r="L9838" t="n">
        <v>0</v>
      </c>
      <c r="M9838" t="n">
        <v>0</v>
      </c>
      <c r="N9838" t="n">
        <v>0</v>
      </c>
      <c r="O9838" t="n">
        <v>0</v>
      </c>
      <c r="P9838" t="n">
        <v>0</v>
      </c>
      <c r="Q9838" t="n">
        <v>0</v>
      </c>
      <c r="R9838" s="2" t="inlineStr"/>
    </row>
    <row r="9839" ht="15" customHeight="1">
      <c r="A9839" t="inlineStr">
        <is>
          <t>A 20913-2023</t>
        </is>
      </c>
      <c r="B9839" s="1" t="n">
        <v>45061</v>
      </c>
      <c r="C9839" s="1" t="n">
        <v>45810</v>
      </c>
      <c r="D9839" t="inlineStr">
        <is>
          <t>VÄRMLANDS LÄN</t>
        </is>
      </c>
      <c r="E9839" t="inlineStr">
        <is>
          <t>STORFORS</t>
        </is>
      </c>
      <c r="G9839" t="n">
        <v>1.1</v>
      </c>
      <c r="H9839" t="n">
        <v>0</v>
      </c>
      <c r="I9839" t="n">
        <v>0</v>
      </c>
      <c r="J9839" t="n">
        <v>0</v>
      </c>
      <c r="K9839" t="n">
        <v>0</v>
      </c>
      <c r="L9839" t="n">
        <v>0</v>
      </c>
      <c r="M9839" t="n">
        <v>0</v>
      </c>
      <c r="N9839" t="n">
        <v>0</v>
      </c>
      <c r="O9839" t="n">
        <v>0</v>
      </c>
      <c r="P9839" t="n">
        <v>0</v>
      </c>
      <c r="Q9839" t="n">
        <v>0</v>
      </c>
      <c r="R9839" s="2" t="inlineStr"/>
    </row>
    <row r="9840" ht="15" customHeight="1">
      <c r="A9840" t="inlineStr">
        <is>
          <t>A 20917-2023</t>
        </is>
      </c>
      <c r="B9840" s="1" t="n">
        <v>45061</v>
      </c>
      <c r="C9840" s="1" t="n">
        <v>45810</v>
      </c>
      <c r="D9840" t="inlineStr">
        <is>
          <t>VÄRMLANDS LÄN</t>
        </is>
      </c>
      <c r="E9840" t="inlineStr">
        <is>
          <t>STORFORS</t>
        </is>
      </c>
      <c r="G9840" t="n">
        <v>2.1</v>
      </c>
      <c r="H9840" t="n">
        <v>0</v>
      </c>
      <c r="I9840" t="n">
        <v>0</v>
      </c>
      <c r="J9840" t="n">
        <v>0</v>
      </c>
      <c r="K9840" t="n">
        <v>0</v>
      </c>
      <c r="L9840" t="n">
        <v>0</v>
      </c>
      <c r="M9840" t="n">
        <v>0</v>
      </c>
      <c r="N9840" t="n">
        <v>0</v>
      </c>
      <c r="O9840" t="n">
        <v>0</v>
      </c>
      <c r="P9840" t="n">
        <v>0</v>
      </c>
      <c r="Q9840" t="n">
        <v>0</v>
      </c>
      <c r="R9840" s="2" t="inlineStr"/>
    </row>
    <row r="9841" ht="15" customHeight="1">
      <c r="A9841" t="inlineStr">
        <is>
          <t>A 20934-2023</t>
        </is>
      </c>
      <c r="B9841" s="1" t="n">
        <v>45061</v>
      </c>
      <c r="C9841" s="1" t="n">
        <v>45810</v>
      </c>
      <c r="D9841" t="inlineStr">
        <is>
          <t>VÄRMLANDS LÄN</t>
        </is>
      </c>
      <c r="E9841" t="inlineStr">
        <is>
          <t>KIL</t>
        </is>
      </c>
      <c r="G9841" t="n">
        <v>1.8</v>
      </c>
      <c r="H9841" t="n">
        <v>0</v>
      </c>
      <c r="I9841" t="n">
        <v>0</v>
      </c>
      <c r="J9841" t="n">
        <v>0</v>
      </c>
      <c r="K9841" t="n">
        <v>0</v>
      </c>
      <c r="L9841" t="n">
        <v>0</v>
      </c>
      <c r="M9841" t="n">
        <v>0</v>
      </c>
      <c r="N9841" t="n">
        <v>0</v>
      </c>
      <c r="O9841" t="n">
        <v>0</v>
      </c>
      <c r="P9841" t="n">
        <v>0</v>
      </c>
      <c r="Q9841" t="n">
        <v>0</v>
      </c>
      <c r="R9841" s="2" t="inlineStr"/>
    </row>
    <row r="9842" ht="15" customHeight="1">
      <c r="A9842" t="inlineStr">
        <is>
          <t>A 20920-2023</t>
        </is>
      </c>
      <c r="B9842" s="1" t="n">
        <v>45061</v>
      </c>
      <c r="C9842" s="1" t="n">
        <v>45810</v>
      </c>
      <c r="D9842" t="inlineStr">
        <is>
          <t>VÄRMLANDS LÄN</t>
        </is>
      </c>
      <c r="E9842" t="inlineStr">
        <is>
          <t>EDA</t>
        </is>
      </c>
      <c r="G9842" t="n">
        <v>5.7</v>
      </c>
      <c r="H9842" t="n">
        <v>0</v>
      </c>
      <c r="I9842" t="n">
        <v>0</v>
      </c>
      <c r="J9842" t="n">
        <v>0</v>
      </c>
      <c r="K9842" t="n">
        <v>0</v>
      </c>
      <c r="L9842" t="n">
        <v>0</v>
      </c>
      <c r="M9842" t="n">
        <v>0</v>
      </c>
      <c r="N9842" t="n">
        <v>0</v>
      </c>
      <c r="O9842" t="n">
        <v>0</v>
      </c>
      <c r="P9842" t="n">
        <v>0</v>
      </c>
      <c r="Q9842" t="n">
        <v>0</v>
      </c>
      <c r="R9842" s="2" t="inlineStr"/>
    </row>
    <row r="9843" ht="15" customHeight="1">
      <c r="A9843" t="inlineStr">
        <is>
          <t>A 21045-2023</t>
        </is>
      </c>
      <c r="B9843" s="1" t="n">
        <v>45061</v>
      </c>
      <c r="C9843" s="1" t="n">
        <v>45810</v>
      </c>
      <c r="D9843" t="inlineStr">
        <is>
          <t>VÄRMLANDS LÄN</t>
        </is>
      </c>
      <c r="E9843" t="inlineStr">
        <is>
          <t>EDA</t>
        </is>
      </c>
      <c r="G9843" t="n">
        <v>1.4</v>
      </c>
      <c r="H9843" t="n">
        <v>0</v>
      </c>
      <c r="I9843" t="n">
        <v>0</v>
      </c>
      <c r="J9843" t="n">
        <v>0</v>
      </c>
      <c r="K9843" t="n">
        <v>0</v>
      </c>
      <c r="L9843" t="n">
        <v>0</v>
      </c>
      <c r="M9843" t="n">
        <v>0</v>
      </c>
      <c r="N9843" t="n">
        <v>0</v>
      </c>
      <c r="O9843" t="n">
        <v>0</v>
      </c>
      <c r="P9843" t="n">
        <v>0</v>
      </c>
      <c r="Q9843" t="n">
        <v>0</v>
      </c>
      <c r="R9843" s="2" t="inlineStr"/>
    </row>
    <row r="9844" ht="15" customHeight="1">
      <c r="A9844" t="inlineStr">
        <is>
          <t>A 20948-2023</t>
        </is>
      </c>
      <c r="B9844" s="1" t="n">
        <v>45061</v>
      </c>
      <c r="C9844" s="1" t="n">
        <v>45810</v>
      </c>
      <c r="D9844" t="inlineStr">
        <is>
          <t>VÄRMLANDS LÄN</t>
        </is>
      </c>
      <c r="E9844" t="inlineStr">
        <is>
          <t>KIL</t>
        </is>
      </c>
      <c r="G9844" t="n">
        <v>2.3</v>
      </c>
      <c r="H9844" t="n">
        <v>0</v>
      </c>
      <c r="I9844" t="n">
        <v>0</v>
      </c>
      <c r="J9844" t="n">
        <v>0</v>
      </c>
      <c r="K9844" t="n">
        <v>0</v>
      </c>
      <c r="L9844" t="n">
        <v>0</v>
      </c>
      <c r="M9844" t="n">
        <v>0</v>
      </c>
      <c r="N9844" t="n">
        <v>0</v>
      </c>
      <c r="O9844" t="n">
        <v>0</v>
      </c>
      <c r="P9844" t="n">
        <v>0</v>
      </c>
      <c r="Q9844" t="n">
        <v>0</v>
      </c>
      <c r="R9844" s="2" t="inlineStr"/>
    </row>
    <row r="9845" ht="15" customHeight="1">
      <c r="A9845" t="inlineStr">
        <is>
          <t>A 20954-2023</t>
        </is>
      </c>
      <c r="B9845" s="1" t="n">
        <v>45061</v>
      </c>
      <c r="C9845" s="1" t="n">
        <v>45810</v>
      </c>
      <c r="D9845" t="inlineStr">
        <is>
          <t>VÄRMLANDS LÄN</t>
        </is>
      </c>
      <c r="E9845" t="inlineStr">
        <is>
          <t>GRUMS</t>
        </is>
      </c>
      <c r="G9845" t="n">
        <v>1.8</v>
      </c>
      <c r="H9845" t="n">
        <v>0</v>
      </c>
      <c r="I9845" t="n">
        <v>0</v>
      </c>
      <c r="J9845" t="n">
        <v>0</v>
      </c>
      <c r="K9845" t="n">
        <v>0</v>
      </c>
      <c r="L9845" t="n">
        <v>0</v>
      </c>
      <c r="M9845" t="n">
        <v>0</v>
      </c>
      <c r="N9845" t="n">
        <v>0</v>
      </c>
      <c r="O9845" t="n">
        <v>0</v>
      </c>
      <c r="P9845" t="n">
        <v>0</v>
      </c>
      <c r="Q9845" t="n">
        <v>0</v>
      </c>
      <c r="R9845" s="2" t="inlineStr"/>
    </row>
    <row r="9846" ht="15" customHeight="1">
      <c r="A9846" t="inlineStr">
        <is>
          <t>A 20922-2023</t>
        </is>
      </c>
      <c r="B9846" s="1" t="n">
        <v>45061</v>
      </c>
      <c r="C9846" s="1" t="n">
        <v>45810</v>
      </c>
      <c r="D9846" t="inlineStr">
        <is>
          <t>VÄRMLANDS LÄN</t>
        </is>
      </c>
      <c r="E9846" t="inlineStr">
        <is>
          <t>EDA</t>
        </is>
      </c>
      <c r="G9846" t="n">
        <v>0.5</v>
      </c>
      <c r="H9846" t="n">
        <v>0</v>
      </c>
      <c r="I9846" t="n">
        <v>0</v>
      </c>
      <c r="J9846" t="n">
        <v>0</v>
      </c>
      <c r="K9846" t="n">
        <v>0</v>
      </c>
      <c r="L9846" t="n">
        <v>0</v>
      </c>
      <c r="M9846" t="n">
        <v>0</v>
      </c>
      <c r="N9846" t="n">
        <v>0</v>
      </c>
      <c r="O9846" t="n">
        <v>0</v>
      </c>
      <c r="P9846" t="n">
        <v>0</v>
      </c>
      <c r="Q9846" t="n">
        <v>0</v>
      </c>
      <c r="R9846" s="2" t="inlineStr"/>
    </row>
    <row r="9847" ht="15" customHeight="1">
      <c r="A9847" t="inlineStr">
        <is>
          <t>A 20945-2023</t>
        </is>
      </c>
      <c r="B9847" s="1" t="n">
        <v>45061</v>
      </c>
      <c r="C9847" s="1" t="n">
        <v>45810</v>
      </c>
      <c r="D9847" t="inlineStr">
        <is>
          <t>VÄRMLANDS LÄN</t>
        </is>
      </c>
      <c r="E9847" t="inlineStr">
        <is>
          <t>KIL</t>
        </is>
      </c>
      <c r="G9847" t="n">
        <v>2</v>
      </c>
      <c r="H9847" t="n">
        <v>0</v>
      </c>
      <c r="I9847" t="n">
        <v>0</v>
      </c>
      <c r="J9847" t="n">
        <v>0</v>
      </c>
      <c r="K9847" t="n">
        <v>0</v>
      </c>
      <c r="L9847" t="n">
        <v>0</v>
      </c>
      <c r="M9847" t="n">
        <v>0</v>
      </c>
      <c r="N9847" t="n">
        <v>0</v>
      </c>
      <c r="O9847" t="n">
        <v>0</v>
      </c>
      <c r="P9847" t="n">
        <v>0</v>
      </c>
      <c r="Q9847" t="n">
        <v>0</v>
      </c>
      <c r="R9847" s="2" t="inlineStr"/>
    </row>
    <row r="9848" ht="15" customHeight="1">
      <c r="A9848" t="inlineStr">
        <is>
          <t>A 21003-2023</t>
        </is>
      </c>
      <c r="B9848" s="1" t="n">
        <v>45061</v>
      </c>
      <c r="C9848" s="1" t="n">
        <v>45810</v>
      </c>
      <c r="D9848" t="inlineStr">
        <is>
          <t>VÄRMLANDS LÄN</t>
        </is>
      </c>
      <c r="E9848" t="inlineStr">
        <is>
          <t>ARVIKA</t>
        </is>
      </c>
      <c r="G9848" t="n">
        <v>1.6</v>
      </c>
      <c r="H9848" t="n">
        <v>0</v>
      </c>
      <c r="I9848" t="n">
        <v>0</v>
      </c>
      <c r="J9848" t="n">
        <v>0</v>
      </c>
      <c r="K9848" t="n">
        <v>0</v>
      </c>
      <c r="L9848" t="n">
        <v>0</v>
      </c>
      <c r="M9848" t="n">
        <v>0</v>
      </c>
      <c r="N9848" t="n">
        <v>0</v>
      </c>
      <c r="O9848" t="n">
        <v>0</v>
      </c>
      <c r="P9848" t="n">
        <v>0</v>
      </c>
      <c r="Q9848" t="n">
        <v>0</v>
      </c>
      <c r="R9848" s="2" t="inlineStr"/>
    </row>
    <row r="9849" ht="15" customHeight="1">
      <c r="A9849" t="inlineStr">
        <is>
          <t>A 21094-2023</t>
        </is>
      </c>
      <c r="B9849" s="1" t="n">
        <v>45061</v>
      </c>
      <c r="C9849" s="1" t="n">
        <v>45810</v>
      </c>
      <c r="D9849" t="inlineStr">
        <is>
          <t>VÄRMLANDS LÄN</t>
        </is>
      </c>
      <c r="E9849" t="inlineStr">
        <is>
          <t>KARLSTAD</t>
        </is>
      </c>
      <c r="G9849" t="n">
        <v>2.9</v>
      </c>
      <c r="H9849" t="n">
        <v>0</v>
      </c>
      <c r="I9849" t="n">
        <v>0</v>
      </c>
      <c r="J9849" t="n">
        <v>0</v>
      </c>
      <c r="K9849" t="n">
        <v>0</v>
      </c>
      <c r="L9849" t="n">
        <v>0</v>
      </c>
      <c r="M9849" t="n">
        <v>0</v>
      </c>
      <c r="N9849" t="n">
        <v>0</v>
      </c>
      <c r="O9849" t="n">
        <v>0</v>
      </c>
      <c r="P9849" t="n">
        <v>0</v>
      </c>
      <c r="Q9849" t="n">
        <v>0</v>
      </c>
      <c r="R9849" s="2" t="inlineStr"/>
    </row>
    <row r="9850" ht="15" customHeight="1">
      <c r="A9850" t="inlineStr">
        <is>
          <t>A 20932-2023</t>
        </is>
      </c>
      <c r="B9850" s="1" t="n">
        <v>45061</v>
      </c>
      <c r="C9850" s="1" t="n">
        <v>45810</v>
      </c>
      <c r="D9850" t="inlineStr">
        <is>
          <t>VÄRMLANDS LÄN</t>
        </is>
      </c>
      <c r="E9850" t="inlineStr">
        <is>
          <t>ÅRJÄNG</t>
        </is>
      </c>
      <c r="G9850" t="n">
        <v>4.8</v>
      </c>
      <c r="H9850" t="n">
        <v>0</v>
      </c>
      <c r="I9850" t="n">
        <v>0</v>
      </c>
      <c r="J9850" t="n">
        <v>0</v>
      </c>
      <c r="K9850" t="n">
        <v>0</v>
      </c>
      <c r="L9850" t="n">
        <v>0</v>
      </c>
      <c r="M9850" t="n">
        <v>0</v>
      </c>
      <c r="N9850" t="n">
        <v>0</v>
      </c>
      <c r="O9850" t="n">
        <v>0</v>
      </c>
      <c r="P9850" t="n">
        <v>0</v>
      </c>
      <c r="Q9850" t="n">
        <v>0</v>
      </c>
      <c r="R9850" s="2" t="inlineStr"/>
    </row>
    <row r="9851" ht="15" customHeight="1">
      <c r="A9851" t="inlineStr">
        <is>
          <t>A 20978-2023</t>
        </is>
      </c>
      <c r="B9851" s="1" t="n">
        <v>45061</v>
      </c>
      <c r="C9851" s="1" t="n">
        <v>45810</v>
      </c>
      <c r="D9851" t="inlineStr">
        <is>
          <t>VÄRMLANDS LÄN</t>
        </is>
      </c>
      <c r="E9851" t="inlineStr">
        <is>
          <t>SUNNE</t>
        </is>
      </c>
      <c r="G9851" t="n">
        <v>0.6</v>
      </c>
      <c r="H9851" t="n">
        <v>0</v>
      </c>
      <c r="I9851" t="n">
        <v>0</v>
      </c>
      <c r="J9851" t="n">
        <v>0</v>
      </c>
      <c r="K9851" t="n">
        <v>0</v>
      </c>
      <c r="L9851" t="n">
        <v>0</v>
      </c>
      <c r="M9851" t="n">
        <v>0</v>
      </c>
      <c r="N9851" t="n">
        <v>0</v>
      </c>
      <c r="O9851" t="n">
        <v>0</v>
      </c>
      <c r="P9851" t="n">
        <v>0</v>
      </c>
      <c r="Q9851" t="n">
        <v>0</v>
      </c>
      <c r="R9851" s="2" t="inlineStr"/>
    </row>
    <row r="9852" ht="15" customHeight="1">
      <c r="A9852" t="inlineStr">
        <is>
          <t>A 21032-2023</t>
        </is>
      </c>
      <c r="B9852" s="1" t="n">
        <v>45061</v>
      </c>
      <c r="C9852" s="1" t="n">
        <v>45810</v>
      </c>
      <c r="D9852" t="inlineStr">
        <is>
          <t>VÄRMLANDS LÄN</t>
        </is>
      </c>
      <c r="E9852" t="inlineStr">
        <is>
          <t>KIL</t>
        </is>
      </c>
      <c r="G9852" t="n">
        <v>1.3</v>
      </c>
      <c r="H9852" t="n">
        <v>0</v>
      </c>
      <c r="I9852" t="n">
        <v>0</v>
      </c>
      <c r="J9852" t="n">
        <v>0</v>
      </c>
      <c r="K9852" t="n">
        <v>0</v>
      </c>
      <c r="L9852" t="n">
        <v>0</v>
      </c>
      <c r="M9852" t="n">
        <v>0</v>
      </c>
      <c r="N9852" t="n">
        <v>0</v>
      </c>
      <c r="O9852" t="n">
        <v>0</v>
      </c>
      <c r="P9852" t="n">
        <v>0</v>
      </c>
      <c r="Q9852" t="n">
        <v>0</v>
      </c>
      <c r="R9852" s="2" t="inlineStr"/>
    </row>
    <row r="9853" ht="15" customHeight="1">
      <c r="A9853" t="inlineStr">
        <is>
          <t>A 21080-2023</t>
        </is>
      </c>
      <c r="B9853" s="1" t="n">
        <v>45061</v>
      </c>
      <c r="C9853" s="1" t="n">
        <v>45810</v>
      </c>
      <c r="D9853" t="inlineStr">
        <is>
          <t>VÄRMLANDS LÄN</t>
        </is>
      </c>
      <c r="E9853" t="inlineStr">
        <is>
          <t>SÄFFLE</t>
        </is>
      </c>
      <c r="G9853" t="n">
        <v>2.3</v>
      </c>
      <c r="H9853" t="n">
        <v>0</v>
      </c>
      <c r="I9853" t="n">
        <v>0</v>
      </c>
      <c r="J9853" t="n">
        <v>0</v>
      </c>
      <c r="K9853" t="n">
        <v>0</v>
      </c>
      <c r="L9853" t="n">
        <v>0</v>
      </c>
      <c r="M9853" t="n">
        <v>0</v>
      </c>
      <c r="N9853" t="n">
        <v>0</v>
      </c>
      <c r="O9853" t="n">
        <v>0</v>
      </c>
      <c r="P9853" t="n">
        <v>0</v>
      </c>
      <c r="Q9853" t="n">
        <v>0</v>
      </c>
      <c r="R9853" s="2" t="inlineStr"/>
    </row>
    <row r="9854" ht="15" customHeight="1">
      <c r="A9854" t="inlineStr">
        <is>
          <t>A 21076-2023</t>
        </is>
      </c>
      <c r="B9854" s="1" t="n">
        <v>45061</v>
      </c>
      <c r="C9854" s="1" t="n">
        <v>45810</v>
      </c>
      <c r="D9854" t="inlineStr">
        <is>
          <t>VÄRMLANDS LÄN</t>
        </is>
      </c>
      <c r="E9854" t="inlineStr">
        <is>
          <t>TORSBY</t>
        </is>
      </c>
      <c r="G9854" t="n">
        <v>0.4</v>
      </c>
      <c r="H9854" t="n">
        <v>0</v>
      </c>
      <c r="I9854" t="n">
        <v>0</v>
      </c>
      <c r="J9854" t="n">
        <v>0</v>
      </c>
      <c r="K9854" t="n">
        <v>0</v>
      </c>
      <c r="L9854" t="n">
        <v>0</v>
      </c>
      <c r="M9854" t="n">
        <v>0</v>
      </c>
      <c r="N9854" t="n">
        <v>0</v>
      </c>
      <c r="O9854" t="n">
        <v>0</v>
      </c>
      <c r="P9854" t="n">
        <v>0</v>
      </c>
      <c r="Q9854" t="n">
        <v>0</v>
      </c>
      <c r="R9854" s="2" t="inlineStr"/>
    </row>
    <row r="9855" ht="15" customHeight="1">
      <c r="A9855" t="inlineStr">
        <is>
          <t>A 21033-2023</t>
        </is>
      </c>
      <c r="B9855" s="1" t="n">
        <v>45061</v>
      </c>
      <c r="C9855" s="1" t="n">
        <v>45810</v>
      </c>
      <c r="D9855" t="inlineStr">
        <is>
          <t>VÄRMLANDS LÄN</t>
        </is>
      </c>
      <c r="E9855" t="inlineStr">
        <is>
          <t>TORSBY</t>
        </is>
      </c>
      <c r="G9855" t="n">
        <v>1.3</v>
      </c>
      <c r="H9855" t="n">
        <v>0</v>
      </c>
      <c r="I9855" t="n">
        <v>0</v>
      </c>
      <c r="J9855" t="n">
        <v>0</v>
      </c>
      <c r="K9855" t="n">
        <v>0</v>
      </c>
      <c r="L9855" t="n">
        <v>0</v>
      </c>
      <c r="M9855" t="n">
        <v>0</v>
      </c>
      <c r="N9855" t="n">
        <v>0</v>
      </c>
      <c r="O9855" t="n">
        <v>0</v>
      </c>
      <c r="P9855" t="n">
        <v>0</v>
      </c>
      <c r="Q9855" t="n">
        <v>0</v>
      </c>
      <c r="R9855" s="2" t="inlineStr"/>
    </row>
    <row r="9856" ht="15" customHeight="1">
      <c r="A9856" t="inlineStr">
        <is>
          <t>A 21078-2023</t>
        </is>
      </c>
      <c r="B9856" s="1" t="n">
        <v>45061</v>
      </c>
      <c r="C9856" s="1" t="n">
        <v>45810</v>
      </c>
      <c r="D9856" t="inlineStr">
        <is>
          <t>VÄRMLANDS LÄN</t>
        </is>
      </c>
      <c r="E9856" t="inlineStr">
        <is>
          <t>TORSBY</t>
        </is>
      </c>
      <c r="G9856" t="n">
        <v>1.3</v>
      </c>
      <c r="H9856" t="n">
        <v>0</v>
      </c>
      <c r="I9856" t="n">
        <v>0</v>
      </c>
      <c r="J9856" t="n">
        <v>0</v>
      </c>
      <c r="K9856" t="n">
        <v>0</v>
      </c>
      <c r="L9856" t="n">
        <v>0</v>
      </c>
      <c r="M9856" t="n">
        <v>0</v>
      </c>
      <c r="N9856" t="n">
        <v>0</v>
      </c>
      <c r="O9856" t="n">
        <v>0</v>
      </c>
      <c r="P9856" t="n">
        <v>0</v>
      </c>
      <c r="Q9856" t="n">
        <v>0</v>
      </c>
      <c r="R9856" s="2" t="inlineStr"/>
    </row>
    <row r="9857" ht="15" customHeight="1">
      <c r="A9857" t="inlineStr">
        <is>
          <t>A 21392-2023</t>
        </is>
      </c>
      <c r="B9857" s="1" t="n">
        <v>45061</v>
      </c>
      <c r="C9857" s="1" t="n">
        <v>45810</v>
      </c>
      <c r="D9857" t="inlineStr">
        <is>
          <t>VÄRMLANDS LÄN</t>
        </is>
      </c>
      <c r="E9857" t="inlineStr">
        <is>
          <t>ÅRJÄNG</t>
        </is>
      </c>
      <c r="G9857" t="n">
        <v>11.7</v>
      </c>
      <c r="H9857" t="n">
        <v>0</v>
      </c>
      <c r="I9857" t="n">
        <v>0</v>
      </c>
      <c r="J9857" t="n">
        <v>0</v>
      </c>
      <c r="K9857" t="n">
        <v>0</v>
      </c>
      <c r="L9857" t="n">
        <v>0</v>
      </c>
      <c r="M9857" t="n">
        <v>0</v>
      </c>
      <c r="N9857" t="n">
        <v>0</v>
      </c>
      <c r="O9857" t="n">
        <v>0</v>
      </c>
      <c r="P9857" t="n">
        <v>0</v>
      </c>
      <c r="Q9857" t="n">
        <v>0</v>
      </c>
      <c r="R9857" s="2" t="inlineStr"/>
    </row>
    <row r="9858" ht="15" customHeight="1">
      <c r="A9858" t="inlineStr">
        <is>
          <t>A 21128-2023</t>
        </is>
      </c>
      <c r="B9858" s="1" t="n">
        <v>45062</v>
      </c>
      <c r="C9858" s="1" t="n">
        <v>45810</v>
      </c>
      <c r="D9858" t="inlineStr">
        <is>
          <t>VÄRMLANDS LÄN</t>
        </is>
      </c>
      <c r="E9858" t="inlineStr">
        <is>
          <t>ÅRJÄNG</t>
        </is>
      </c>
      <c r="G9858" t="n">
        <v>1.7</v>
      </c>
      <c r="H9858" t="n">
        <v>0</v>
      </c>
      <c r="I9858" t="n">
        <v>0</v>
      </c>
      <c r="J9858" t="n">
        <v>0</v>
      </c>
      <c r="K9858" t="n">
        <v>0</v>
      </c>
      <c r="L9858" t="n">
        <v>0</v>
      </c>
      <c r="M9858" t="n">
        <v>0</v>
      </c>
      <c r="N9858" t="n">
        <v>0</v>
      </c>
      <c r="O9858" t="n">
        <v>0</v>
      </c>
      <c r="P9858" t="n">
        <v>0</v>
      </c>
      <c r="Q9858" t="n">
        <v>0</v>
      </c>
      <c r="R9858" s="2" t="inlineStr"/>
    </row>
    <row r="9859" ht="15" customHeight="1">
      <c r="A9859" t="inlineStr">
        <is>
          <t>A 21132-2023</t>
        </is>
      </c>
      <c r="B9859" s="1" t="n">
        <v>45062</v>
      </c>
      <c r="C9859" s="1" t="n">
        <v>45810</v>
      </c>
      <c r="D9859" t="inlineStr">
        <is>
          <t>VÄRMLANDS LÄN</t>
        </is>
      </c>
      <c r="E9859" t="inlineStr">
        <is>
          <t>EDA</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21158-2023</t>
        </is>
      </c>
      <c r="B9860" s="1" t="n">
        <v>45062</v>
      </c>
      <c r="C9860" s="1" t="n">
        <v>45810</v>
      </c>
      <c r="D9860" t="inlineStr">
        <is>
          <t>VÄRMLANDS LÄN</t>
        </is>
      </c>
      <c r="E9860" t="inlineStr">
        <is>
          <t>TORSBY</t>
        </is>
      </c>
      <c r="G9860" t="n">
        <v>10.1</v>
      </c>
      <c r="H9860" t="n">
        <v>0</v>
      </c>
      <c r="I9860" t="n">
        <v>0</v>
      </c>
      <c r="J9860" t="n">
        <v>0</v>
      </c>
      <c r="K9860" t="n">
        <v>0</v>
      </c>
      <c r="L9860" t="n">
        <v>0</v>
      </c>
      <c r="M9860" t="n">
        <v>0</v>
      </c>
      <c r="N9860" t="n">
        <v>0</v>
      </c>
      <c r="O9860" t="n">
        <v>0</v>
      </c>
      <c r="P9860" t="n">
        <v>0</v>
      </c>
      <c r="Q9860" t="n">
        <v>0</v>
      </c>
      <c r="R9860" s="2" t="inlineStr"/>
    </row>
    <row r="9861" ht="15" customHeight="1">
      <c r="A9861" t="inlineStr">
        <is>
          <t>A 21184-2023</t>
        </is>
      </c>
      <c r="B9861" s="1" t="n">
        <v>45062</v>
      </c>
      <c r="C9861" s="1" t="n">
        <v>45810</v>
      </c>
      <c r="D9861" t="inlineStr">
        <is>
          <t>VÄRMLANDS LÄN</t>
        </is>
      </c>
      <c r="E9861" t="inlineStr">
        <is>
          <t>SÄFFLE</t>
        </is>
      </c>
      <c r="G9861" t="n">
        <v>7.6</v>
      </c>
      <c r="H9861" t="n">
        <v>0</v>
      </c>
      <c r="I9861" t="n">
        <v>0</v>
      </c>
      <c r="J9861" t="n">
        <v>0</v>
      </c>
      <c r="K9861" t="n">
        <v>0</v>
      </c>
      <c r="L9861" t="n">
        <v>0</v>
      </c>
      <c r="M9861" t="n">
        <v>0</v>
      </c>
      <c r="N9861" t="n">
        <v>0</v>
      </c>
      <c r="O9861" t="n">
        <v>0</v>
      </c>
      <c r="P9861" t="n">
        <v>0</v>
      </c>
      <c r="Q9861" t="n">
        <v>0</v>
      </c>
      <c r="R9861" s="2" t="inlineStr"/>
    </row>
    <row r="9862" ht="15" customHeight="1">
      <c r="A9862" t="inlineStr">
        <is>
          <t>A 21197-2023</t>
        </is>
      </c>
      <c r="B9862" s="1" t="n">
        <v>45062</v>
      </c>
      <c r="C9862" s="1" t="n">
        <v>45810</v>
      </c>
      <c r="D9862" t="inlineStr">
        <is>
          <t>VÄRMLANDS LÄN</t>
        </is>
      </c>
      <c r="E9862" t="inlineStr">
        <is>
          <t>STORFORS</t>
        </is>
      </c>
      <c r="F9862" t="inlineStr">
        <is>
          <t>Naturvårdsverket</t>
        </is>
      </c>
      <c r="G9862" t="n">
        <v>4.6</v>
      </c>
      <c r="H9862" t="n">
        <v>0</v>
      </c>
      <c r="I9862" t="n">
        <v>0</v>
      </c>
      <c r="J9862" t="n">
        <v>0</v>
      </c>
      <c r="K9862" t="n">
        <v>0</v>
      </c>
      <c r="L9862" t="n">
        <v>0</v>
      </c>
      <c r="M9862" t="n">
        <v>0</v>
      </c>
      <c r="N9862" t="n">
        <v>0</v>
      </c>
      <c r="O9862" t="n">
        <v>0</v>
      </c>
      <c r="P9862" t="n">
        <v>0</v>
      </c>
      <c r="Q9862" t="n">
        <v>0</v>
      </c>
      <c r="R9862" s="2" t="inlineStr"/>
    </row>
    <row r="9863" ht="15" customHeight="1">
      <c r="A9863" t="inlineStr">
        <is>
          <t>A 21189-2023</t>
        </is>
      </c>
      <c r="B9863" s="1" t="n">
        <v>45062</v>
      </c>
      <c r="C9863" s="1" t="n">
        <v>45810</v>
      </c>
      <c r="D9863" t="inlineStr">
        <is>
          <t>VÄRMLANDS LÄN</t>
        </is>
      </c>
      <c r="E9863" t="inlineStr">
        <is>
          <t>TORSBY</t>
        </is>
      </c>
      <c r="G9863" t="n">
        <v>4.5</v>
      </c>
      <c r="H9863" t="n">
        <v>0</v>
      </c>
      <c r="I9863" t="n">
        <v>0</v>
      </c>
      <c r="J9863" t="n">
        <v>0</v>
      </c>
      <c r="K9863" t="n">
        <v>0</v>
      </c>
      <c r="L9863" t="n">
        <v>0</v>
      </c>
      <c r="M9863" t="n">
        <v>0</v>
      </c>
      <c r="N9863" t="n">
        <v>0</v>
      </c>
      <c r="O9863" t="n">
        <v>0</v>
      </c>
      <c r="P9863" t="n">
        <v>0</v>
      </c>
      <c r="Q9863" t="n">
        <v>0</v>
      </c>
      <c r="R9863" s="2" t="inlineStr"/>
    </row>
    <row r="9864" ht="15" customHeight="1">
      <c r="A9864" t="inlineStr">
        <is>
          <t>A 21129-2023</t>
        </is>
      </c>
      <c r="B9864" s="1" t="n">
        <v>45062</v>
      </c>
      <c r="C9864" s="1" t="n">
        <v>45810</v>
      </c>
      <c r="D9864" t="inlineStr">
        <is>
          <t>VÄRMLANDS LÄN</t>
        </is>
      </c>
      <c r="E9864" t="inlineStr">
        <is>
          <t>ÅRJÄNG</t>
        </is>
      </c>
      <c r="G9864" t="n">
        <v>2.4</v>
      </c>
      <c r="H9864" t="n">
        <v>0</v>
      </c>
      <c r="I9864" t="n">
        <v>0</v>
      </c>
      <c r="J9864" t="n">
        <v>0</v>
      </c>
      <c r="K9864" t="n">
        <v>0</v>
      </c>
      <c r="L9864" t="n">
        <v>0</v>
      </c>
      <c r="M9864" t="n">
        <v>0</v>
      </c>
      <c r="N9864" t="n">
        <v>0</v>
      </c>
      <c r="O9864" t="n">
        <v>0</v>
      </c>
      <c r="P9864" t="n">
        <v>0</v>
      </c>
      <c r="Q9864" t="n">
        <v>0</v>
      </c>
      <c r="R9864" s="2" t="inlineStr"/>
    </row>
    <row r="9865" ht="15" customHeight="1">
      <c r="A9865" t="inlineStr">
        <is>
          <t>A 21138-2023</t>
        </is>
      </c>
      <c r="B9865" s="1" t="n">
        <v>45062</v>
      </c>
      <c r="C9865" s="1" t="n">
        <v>45810</v>
      </c>
      <c r="D9865" t="inlineStr">
        <is>
          <t>VÄRMLANDS LÄN</t>
        </is>
      </c>
      <c r="E9865" t="inlineStr">
        <is>
          <t>SUNNE</t>
        </is>
      </c>
      <c r="G9865" t="n">
        <v>1.7</v>
      </c>
      <c r="H9865" t="n">
        <v>0</v>
      </c>
      <c r="I9865" t="n">
        <v>0</v>
      </c>
      <c r="J9865" t="n">
        <v>0</v>
      </c>
      <c r="K9865" t="n">
        <v>0</v>
      </c>
      <c r="L9865" t="n">
        <v>0</v>
      </c>
      <c r="M9865" t="n">
        <v>0</v>
      </c>
      <c r="N9865" t="n">
        <v>0</v>
      </c>
      <c r="O9865" t="n">
        <v>0</v>
      </c>
      <c r="P9865" t="n">
        <v>0</v>
      </c>
      <c r="Q9865" t="n">
        <v>0</v>
      </c>
      <c r="R9865" s="2" t="inlineStr"/>
    </row>
    <row r="9866" ht="15" customHeight="1">
      <c r="A9866" t="inlineStr">
        <is>
          <t>A 21154-2023</t>
        </is>
      </c>
      <c r="B9866" s="1" t="n">
        <v>45062</v>
      </c>
      <c r="C9866" s="1" t="n">
        <v>45810</v>
      </c>
      <c r="D9866" t="inlineStr">
        <is>
          <t>VÄRMLANDS LÄN</t>
        </is>
      </c>
      <c r="E9866" t="inlineStr">
        <is>
          <t>TORSBY</t>
        </is>
      </c>
      <c r="G9866" t="n">
        <v>3.5</v>
      </c>
      <c r="H9866" t="n">
        <v>0</v>
      </c>
      <c r="I9866" t="n">
        <v>0</v>
      </c>
      <c r="J9866" t="n">
        <v>0</v>
      </c>
      <c r="K9866" t="n">
        <v>0</v>
      </c>
      <c r="L9866" t="n">
        <v>0</v>
      </c>
      <c r="M9866" t="n">
        <v>0</v>
      </c>
      <c r="N9866" t="n">
        <v>0</v>
      </c>
      <c r="O9866" t="n">
        <v>0</v>
      </c>
      <c r="P9866" t="n">
        <v>0</v>
      </c>
      <c r="Q9866" t="n">
        <v>0</v>
      </c>
      <c r="R9866" s="2" t="inlineStr"/>
    </row>
    <row r="9867" ht="15" customHeight="1">
      <c r="A9867" t="inlineStr">
        <is>
          <t>A 21288-2023</t>
        </is>
      </c>
      <c r="B9867" s="1" t="n">
        <v>45062</v>
      </c>
      <c r="C9867" s="1" t="n">
        <v>45810</v>
      </c>
      <c r="D9867" t="inlineStr">
        <is>
          <t>VÄRMLANDS LÄN</t>
        </is>
      </c>
      <c r="E9867" t="inlineStr">
        <is>
          <t>FORSHAGA</t>
        </is>
      </c>
      <c r="F9867" t="inlineStr">
        <is>
          <t>Bergvik skog väst AB</t>
        </is>
      </c>
      <c r="G9867" t="n">
        <v>0.9</v>
      </c>
      <c r="H9867" t="n">
        <v>0</v>
      </c>
      <c r="I9867" t="n">
        <v>0</v>
      </c>
      <c r="J9867" t="n">
        <v>0</v>
      </c>
      <c r="K9867" t="n">
        <v>0</v>
      </c>
      <c r="L9867" t="n">
        <v>0</v>
      </c>
      <c r="M9867" t="n">
        <v>0</v>
      </c>
      <c r="N9867" t="n">
        <v>0</v>
      </c>
      <c r="O9867" t="n">
        <v>0</v>
      </c>
      <c r="P9867" t="n">
        <v>0</v>
      </c>
      <c r="Q9867" t="n">
        <v>0</v>
      </c>
      <c r="R9867" s="2" t="inlineStr"/>
    </row>
    <row r="9868" ht="15" customHeight="1">
      <c r="A9868" t="inlineStr">
        <is>
          <t>A 21177-2023</t>
        </is>
      </c>
      <c r="B9868" s="1" t="n">
        <v>45062</v>
      </c>
      <c r="C9868" s="1" t="n">
        <v>45810</v>
      </c>
      <c r="D9868" t="inlineStr">
        <is>
          <t>VÄRMLANDS LÄN</t>
        </is>
      </c>
      <c r="E9868" t="inlineStr">
        <is>
          <t>ÅRJÄNG</t>
        </is>
      </c>
      <c r="G9868" t="n">
        <v>0.7</v>
      </c>
      <c r="H9868" t="n">
        <v>0</v>
      </c>
      <c r="I9868" t="n">
        <v>0</v>
      </c>
      <c r="J9868" t="n">
        <v>0</v>
      </c>
      <c r="K9868" t="n">
        <v>0</v>
      </c>
      <c r="L9868" t="n">
        <v>0</v>
      </c>
      <c r="M9868" t="n">
        <v>0</v>
      </c>
      <c r="N9868" t="n">
        <v>0</v>
      </c>
      <c r="O9868" t="n">
        <v>0</v>
      </c>
      <c r="P9868" t="n">
        <v>0</v>
      </c>
      <c r="Q9868" t="n">
        <v>0</v>
      </c>
      <c r="R9868" s="2" t="inlineStr"/>
    </row>
    <row r="9869" ht="15" customHeight="1">
      <c r="A9869" t="inlineStr">
        <is>
          <t>A 21303-2023</t>
        </is>
      </c>
      <c r="B9869" s="1" t="n">
        <v>45062</v>
      </c>
      <c r="C9869" s="1" t="n">
        <v>45810</v>
      </c>
      <c r="D9869" t="inlineStr">
        <is>
          <t>VÄRMLANDS LÄN</t>
        </is>
      </c>
      <c r="E9869" t="inlineStr">
        <is>
          <t>SUNNE</t>
        </is>
      </c>
      <c r="G9869" t="n">
        <v>2.1</v>
      </c>
      <c r="H9869" t="n">
        <v>0</v>
      </c>
      <c r="I9869" t="n">
        <v>0</v>
      </c>
      <c r="J9869" t="n">
        <v>0</v>
      </c>
      <c r="K9869" t="n">
        <v>0</v>
      </c>
      <c r="L9869" t="n">
        <v>0</v>
      </c>
      <c r="M9869" t="n">
        <v>0</v>
      </c>
      <c r="N9869" t="n">
        <v>0</v>
      </c>
      <c r="O9869" t="n">
        <v>0</v>
      </c>
      <c r="P9869" t="n">
        <v>0</v>
      </c>
      <c r="Q9869" t="n">
        <v>0</v>
      </c>
      <c r="R9869" s="2" t="inlineStr"/>
    </row>
    <row r="9870" ht="15" customHeight="1">
      <c r="A9870" t="inlineStr">
        <is>
          <t>A 21242-2023</t>
        </is>
      </c>
      <c r="B9870" s="1" t="n">
        <v>45062</v>
      </c>
      <c r="C9870" s="1" t="n">
        <v>45810</v>
      </c>
      <c r="D9870" t="inlineStr">
        <is>
          <t>VÄRMLANDS LÄN</t>
        </is>
      </c>
      <c r="E9870" t="inlineStr">
        <is>
          <t>FORSHAGA</t>
        </is>
      </c>
      <c r="F9870" t="inlineStr">
        <is>
          <t>Bergvik skog väst AB</t>
        </is>
      </c>
      <c r="G9870" t="n">
        <v>6.4</v>
      </c>
      <c r="H9870" t="n">
        <v>0</v>
      </c>
      <c r="I9870" t="n">
        <v>0</v>
      </c>
      <c r="J9870" t="n">
        <v>0</v>
      </c>
      <c r="K9870" t="n">
        <v>0</v>
      </c>
      <c r="L9870" t="n">
        <v>0</v>
      </c>
      <c r="M9870" t="n">
        <v>0</v>
      </c>
      <c r="N9870" t="n">
        <v>0</v>
      </c>
      <c r="O9870" t="n">
        <v>0</v>
      </c>
      <c r="P9870" t="n">
        <v>0</v>
      </c>
      <c r="Q9870" t="n">
        <v>0</v>
      </c>
      <c r="R9870" s="2" t="inlineStr"/>
    </row>
    <row r="9871" ht="15" customHeight="1">
      <c r="A9871" t="inlineStr">
        <is>
          <t>A 21252-2023</t>
        </is>
      </c>
      <c r="B9871" s="1" t="n">
        <v>45062</v>
      </c>
      <c r="C9871" s="1" t="n">
        <v>45810</v>
      </c>
      <c r="D9871" t="inlineStr">
        <is>
          <t>VÄRMLANDS LÄN</t>
        </is>
      </c>
      <c r="E9871" t="inlineStr">
        <is>
          <t>FORSHAGA</t>
        </is>
      </c>
      <c r="F9871" t="inlineStr">
        <is>
          <t>Bergvik skog väst AB</t>
        </is>
      </c>
      <c r="G9871" t="n">
        <v>4.7</v>
      </c>
      <c r="H9871" t="n">
        <v>0</v>
      </c>
      <c r="I9871" t="n">
        <v>0</v>
      </c>
      <c r="J9871" t="n">
        <v>0</v>
      </c>
      <c r="K9871" t="n">
        <v>0</v>
      </c>
      <c r="L9871" t="n">
        <v>0</v>
      </c>
      <c r="M9871" t="n">
        <v>0</v>
      </c>
      <c r="N9871" t="n">
        <v>0</v>
      </c>
      <c r="O9871" t="n">
        <v>0</v>
      </c>
      <c r="P9871" t="n">
        <v>0</v>
      </c>
      <c r="Q9871" t="n">
        <v>0</v>
      </c>
      <c r="R9871" s="2" t="inlineStr"/>
    </row>
    <row r="9872" ht="15" customHeight="1">
      <c r="A9872" t="inlineStr">
        <is>
          <t>A 21295-2023</t>
        </is>
      </c>
      <c r="B9872" s="1" t="n">
        <v>45062</v>
      </c>
      <c r="C9872" s="1" t="n">
        <v>45810</v>
      </c>
      <c r="D9872" t="inlineStr">
        <is>
          <t>VÄRMLANDS LÄN</t>
        </is>
      </c>
      <c r="E9872" t="inlineStr">
        <is>
          <t>FORSHAGA</t>
        </is>
      </c>
      <c r="F9872" t="inlineStr">
        <is>
          <t>Bergvik skog väst AB</t>
        </is>
      </c>
      <c r="G9872" t="n">
        <v>0.3</v>
      </c>
      <c r="H9872" t="n">
        <v>0</v>
      </c>
      <c r="I9872" t="n">
        <v>0</v>
      </c>
      <c r="J9872" t="n">
        <v>0</v>
      </c>
      <c r="K9872" t="n">
        <v>0</v>
      </c>
      <c r="L9872" t="n">
        <v>0</v>
      </c>
      <c r="M9872" t="n">
        <v>0</v>
      </c>
      <c r="N9872" t="n">
        <v>0</v>
      </c>
      <c r="O9872" t="n">
        <v>0</v>
      </c>
      <c r="P9872" t="n">
        <v>0</v>
      </c>
      <c r="Q9872" t="n">
        <v>0</v>
      </c>
      <c r="R9872" s="2" t="inlineStr"/>
    </row>
    <row r="9873" ht="15" customHeight="1">
      <c r="A9873" t="inlineStr">
        <is>
          <t>A 21309-2023</t>
        </is>
      </c>
      <c r="B9873" s="1" t="n">
        <v>45062</v>
      </c>
      <c r="C9873" s="1" t="n">
        <v>45810</v>
      </c>
      <c r="D9873" t="inlineStr">
        <is>
          <t>VÄRMLANDS LÄN</t>
        </is>
      </c>
      <c r="E9873" t="inlineStr">
        <is>
          <t>HAGFORS</t>
        </is>
      </c>
      <c r="G9873" t="n">
        <v>2.4</v>
      </c>
      <c r="H9873" t="n">
        <v>0</v>
      </c>
      <c r="I9873" t="n">
        <v>0</v>
      </c>
      <c r="J9873" t="n">
        <v>0</v>
      </c>
      <c r="K9873" t="n">
        <v>0</v>
      </c>
      <c r="L9873" t="n">
        <v>0</v>
      </c>
      <c r="M9873" t="n">
        <v>0</v>
      </c>
      <c r="N9873" t="n">
        <v>0</v>
      </c>
      <c r="O9873" t="n">
        <v>0</v>
      </c>
      <c r="P9873" t="n">
        <v>0</v>
      </c>
      <c r="Q9873" t="n">
        <v>0</v>
      </c>
      <c r="R9873" s="2" t="inlineStr"/>
    </row>
    <row r="9874" ht="15" customHeight="1">
      <c r="A9874" t="inlineStr">
        <is>
          <t>A 21629-2023</t>
        </is>
      </c>
      <c r="B9874" s="1" t="n">
        <v>45062</v>
      </c>
      <c r="C9874" s="1" t="n">
        <v>45810</v>
      </c>
      <c r="D9874" t="inlineStr">
        <is>
          <t>VÄRMLANDS LÄN</t>
        </is>
      </c>
      <c r="E9874" t="inlineStr">
        <is>
          <t>KARLSTAD</t>
        </is>
      </c>
      <c r="G9874" t="n">
        <v>1.1</v>
      </c>
      <c r="H9874" t="n">
        <v>0</v>
      </c>
      <c r="I9874" t="n">
        <v>0</v>
      </c>
      <c r="J9874" t="n">
        <v>0</v>
      </c>
      <c r="K9874" t="n">
        <v>0</v>
      </c>
      <c r="L9874" t="n">
        <v>0</v>
      </c>
      <c r="M9874" t="n">
        <v>0</v>
      </c>
      <c r="N9874" t="n">
        <v>0</v>
      </c>
      <c r="O9874" t="n">
        <v>0</v>
      </c>
      <c r="P9874" t="n">
        <v>0</v>
      </c>
      <c r="Q9874" t="n">
        <v>0</v>
      </c>
      <c r="R9874" s="2" t="inlineStr"/>
    </row>
    <row r="9875" ht="15" customHeight="1">
      <c r="A9875" t="inlineStr">
        <is>
          <t>A 21371-2023</t>
        </is>
      </c>
      <c r="B9875" s="1" t="n">
        <v>45063</v>
      </c>
      <c r="C9875" s="1" t="n">
        <v>45810</v>
      </c>
      <c r="D9875" t="inlineStr">
        <is>
          <t>VÄRMLANDS LÄN</t>
        </is>
      </c>
      <c r="E9875" t="inlineStr">
        <is>
          <t>EDA</t>
        </is>
      </c>
      <c r="G9875" t="n">
        <v>2.3</v>
      </c>
      <c r="H9875" t="n">
        <v>0</v>
      </c>
      <c r="I9875" t="n">
        <v>0</v>
      </c>
      <c r="J9875" t="n">
        <v>0</v>
      </c>
      <c r="K9875" t="n">
        <v>0</v>
      </c>
      <c r="L9875" t="n">
        <v>0</v>
      </c>
      <c r="M9875" t="n">
        <v>0</v>
      </c>
      <c r="N9875" t="n">
        <v>0</v>
      </c>
      <c r="O9875" t="n">
        <v>0</v>
      </c>
      <c r="P9875" t="n">
        <v>0</v>
      </c>
      <c r="Q9875" t="n">
        <v>0</v>
      </c>
      <c r="R9875" s="2" t="inlineStr"/>
    </row>
    <row r="9876" ht="15" customHeight="1">
      <c r="A9876" t="inlineStr">
        <is>
          <t>A 21468-2023</t>
        </is>
      </c>
      <c r="B9876" s="1" t="n">
        <v>45063</v>
      </c>
      <c r="C9876" s="1" t="n">
        <v>45810</v>
      </c>
      <c r="D9876" t="inlineStr">
        <is>
          <t>VÄRMLANDS LÄN</t>
        </is>
      </c>
      <c r="E9876" t="inlineStr">
        <is>
          <t>ARVIKA</t>
        </is>
      </c>
      <c r="G9876" t="n">
        <v>3.6</v>
      </c>
      <c r="H9876" t="n">
        <v>0</v>
      </c>
      <c r="I9876" t="n">
        <v>0</v>
      </c>
      <c r="J9876" t="n">
        <v>0</v>
      </c>
      <c r="K9876" t="n">
        <v>0</v>
      </c>
      <c r="L9876" t="n">
        <v>0</v>
      </c>
      <c r="M9876" t="n">
        <v>0</v>
      </c>
      <c r="N9876" t="n">
        <v>0</v>
      </c>
      <c r="O9876" t="n">
        <v>0</v>
      </c>
      <c r="P9876" t="n">
        <v>0</v>
      </c>
      <c r="Q9876" t="n">
        <v>0</v>
      </c>
      <c r="R9876" s="2" t="inlineStr"/>
    </row>
    <row r="9877" ht="15" customHeight="1">
      <c r="A9877" t="inlineStr">
        <is>
          <t>A 21484-2023</t>
        </is>
      </c>
      <c r="B9877" s="1" t="n">
        <v>45063</v>
      </c>
      <c r="C9877" s="1" t="n">
        <v>45810</v>
      </c>
      <c r="D9877" t="inlineStr">
        <is>
          <t>VÄRMLANDS LÄN</t>
        </is>
      </c>
      <c r="E9877" t="inlineStr">
        <is>
          <t>SUNNE</t>
        </is>
      </c>
      <c r="F9877" t="inlineStr">
        <is>
          <t>Bergvik skog väst AB</t>
        </is>
      </c>
      <c r="G9877" t="n">
        <v>1</v>
      </c>
      <c r="H9877" t="n">
        <v>0</v>
      </c>
      <c r="I9877" t="n">
        <v>0</v>
      </c>
      <c r="J9877" t="n">
        <v>0</v>
      </c>
      <c r="K9877" t="n">
        <v>0</v>
      </c>
      <c r="L9877" t="n">
        <v>0</v>
      </c>
      <c r="M9877" t="n">
        <v>0</v>
      </c>
      <c r="N9877" t="n">
        <v>0</v>
      </c>
      <c r="O9877" t="n">
        <v>0</v>
      </c>
      <c r="P9877" t="n">
        <v>0</v>
      </c>
      <c r="Q9877" t="n">
        <v>0</v>
      </c>
      <c r="R9877" s="2" t="inlineStr"/>
    </row>
    <row r="9878" ht="15" customHeight="1">
      <c r="A9878" t="inlineStr">
        <is>
          <t>A 21493-2023</t>
        </is>
      </c>
      <c r="B9878" s="1" t="n">
        <v>45063</v>
      </c>
      <c r="C9878" s="1" t="n">
        <v>45810</v>
      </c>
      <c r="D9878" t="inlineStr">
        <is>
          <t>VÄRMLANDS LÄN</t>
        </is>
      </c>
      <c r="E9878" t="inlineStr">
        <is>
          <t>HAGFORS</t>
        </is>
      </c>
      <c r="G9878" t="n">
        <v>0.7</v>
      </c>
      <c r="H9878" t="n">
        <v>0</v>
      </c>
      <c r="I9878" t="n">
        <v>0</v>
      </c>
      <c r="J9878" t="n">
        <v>0</v>
      </c>
      <c r="K9878" t="n">
        <v>0</v>
      </c>
      <c r="L9878" t="n">
        <v>0</v>
      </c>
      <c r="M9878" t="n">
        <v>0</v>
      </c>
      <c r="N9878" t="n">
        <v>0</v>
      </c>
      <c r="O9878" t="n">
        <v>0</v>
      </c>
      <c r="P9878" t="n">
        <v>0</v>
      </c>
      <c r="Q9878" t="n">
        <v>0</v>
      </c>
      <c r="R9878" s="2" t="inlineStr"/>
    </row>
    <row r="9879" ht="15" customHeight="1">
      <c r="A9879" t="inlineStr">
        <is>
          <t>A 21409-2023</t>
        </is>
      </c>
      <c r="B9879" s="1" t="n">
        <v>45063</v>
      </c>
      <c r="C9879" s="1" t="n">
        <v>45810</v>
      </c>
      <c r="D9879" t="inlineStr">
        <is>
          <t>VÄRMLANDS LÄN</t>
        </is>
      </c>
      <c r="E9879" t="inlineStr">
        <is>
          <t>TORSBY</t>
        </is>
      </c>
      <c r="G9879" t="n">
        <v>1.2</v>
      </c>
      <c r="H9879" t="n">
        <v>0</v>
      </c>
      <c r="I9879" t="n">
        <v>0</v>
      </c>
      <c r="J9879" t="n">
        <v>0</v>
      </c>
      <c r="K9879" t="n">
        <v>0</v>
      </c>
      <c r="L9879" t="n">
        <v>0</v>
      </c>
      <c r="M9879" t="n">
        <v>0</v>
      </c>
      <c r="N9879" t="n">
        <v>0</v>
      </c>
      <c r="O9879" t="n">
        <v>0</v>
      </c>
      <c r="P9879" t="n">
        <v>0</v>
      </c>
      <c r="Q9879" t="n">
        <v>0</v>
      </c>
      <c r="R9879" s="2" t="inlineStr"/>
    </row>
    <row r="9880" ht="15" customHeight="1">
      <c r="A9880" t="inlineStr">
        <is>
          <t>A 21365-2023</t>
        </is>
      </c>
      <c r="B9880" s="1" t="n">
        <v>45063</v>
      </c>
      <c r="C9880" s="1" t="n">
        <v>45810</v>
      </c>
      <c r="D9880" t="inlineStr">
        <is>
          <t>VÄRMLANDS LÄN</t>
        </is>
      </c>
      <c r="E9880" t="inlineStr">
        <is>
          <t>TORSBY</t>
        </is>
      </c>
      <c r="F9880" t="inlineStr">
        <is>
          <t>Kyrkan</t>
        </is>
      </c>
      <c r="G9880" t="n">
        <v>4</v>
      </c>
      <c r="H9880" t="n">
        <v>0</v>
      </c>
      <c r="I9880" t="n">
        <v>0</v>
      </c>
      <c r="J9880" t="n">
        <v>0</v>
      </c>
      <c r="K9880" t="n">
        <v>0</v>
      </c>
      <c r="L9880" t="n">
        <v>0</v>
      </c>
      <c r="M9880" t="n">
        <v>0</v>
      </c>
      <c r="N9880" t="n">
        <v>0</v>
      </c>
      <c r="O9880" t="n">
        <v>0</v>
      </c>
      <c r="P9880" t="n">
        <v>0</v>
      </c>
      <c r="Q9880" t="n">
        <v>0</v>
      </c>
      <c r="R9880" s="2" t="inlineStr"/>
    </row>
    <row r="9881" ht="15" customHeight="1">
      <c r="A9881" t="inlineStr">
        <is>
          <t>A 21492-2023</t>
        </is>
      </c>
      <c r="B9881" s="1" t="n">
        <v>45063</v>
      </c>
      <c r="C9881" s="1" t="n">
        <v>45810</v>
      </c>
      <c r="D9881" t="inlineStr">
        <is>
          <t>VÄRMLANDS LÄN</t>
        </is>
      </c>
      <c r="E9881" t="inlineStr">
        <is>
          <t>SÄFFLE</t>
        </is>
      </c>
      <c r="G9881" t="n">
        <v>9.800000000000001</v>
      </c>
      <c r="H9881" t="n">
        <v>0</v>
      </c>
      <c r="I9881" t="n">
        <v>0</v>
      </c>
      <c r="J9881" t="n">
        <v>0</v>
      </c>
      <c r="K9881" t="n">
        <v>0</v>
      </c>
      <c r="L9881" t="n">
        <v>0</v>
      </c>
      <c r="M9881" t="n">
        <v>0</v>
      </c>
      <c r="N9881" t="n">
        <v>0</v>
      </c>
      <c r="O9881" t="n">
        <v>0</v>
      </c>
      <c r="P9881" t="n">
        <v>0</v>
      </c>
      <c r="Q9881" t="n">
        <v>0</v>
      </c>
      <c r="R9881" s="2" t="inlineStr"/>
    </row>
    <row r="9882" ht="15" customHeight="1">
      <c r="A9882" t="inlineStr">
        <is>
          <t>A 21523-2023</t>
        </is>
      </c>
      <c r="B9882" s="1" t="n">
        <v>45063</v>
      </c>
      <c r="C9882" s="1" t="n">
        <v>45810</v>
      </c>
      <c r="D9882" t="inlineStr">
        <is>
          <t>VÄRMLANDS LÄN</t>
        </is>
      </c>
      <c r="E9882" t="inlineStr">
        <is>
          <t>ARVIKA</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21470-2023</t>
        </is>
      </c>
      <c r="B9883" s="1" t="n">
        <v>45063</v>
      </c>
      <c r="C9883" s="1" t="n">
        <v>45810</v>
      </c>
      <c r="D9883" t="inlineStr">
        <is>
          <t>VÄRMLANDS LÄN</t>
        </is>
      </c>
      <c r="E9883" t="inlineStr">
        <is>
          <t>EDA</t>
        </is>
      </c>
      <c r="G9883" t="n">
        <v>1</v>
      </c>
      <c r="H9883" t="n">
        <v>0</v>
      </c>
      <c r="I9883" t="n">
        <v>0</v>
      </c>
      <c r="J9883" t="n">
        <v>0</v>
      </c>
      <c r="K9883" t="n">
        <v>0</v>
      </c>
      <c r="L9883" t="n">
        <v>0</v>
      </c>
      <c r="M9883" t="n">
        <v>0</v>
      </c>
      <c r="N9883" t="n">
        <v>0</v>
      </c>
      <c r="O9883" t="n">
        <v>0</v>
      </c>
      <c r="P9883" t="n">
        <v>0</v>
      </c>
      <c r="Q9883" t="n">
        <v>0</v>
      </c>
      <c r="R9883" s="2" t="inlineStr"/>
    </row>
    <row r="9884" ht="15" customHeight="1">
      <c r="A9884" t="inlineStr">
        <is>
          <t>A 21503-2023</t>
        </is>
      </c>
      <c r="B9884" s="1" t="n">
        <v>45063</v>
      </c>
      <c r="C9884" s="1" t="n">
        <v>45810</v>
      </c>
      <c r="D9884" t="inlineStr">
        <is>
          <t>VÄRMLANDS LÄN</t>
        </is>
      </c>
      <c r="E9884" t="inlineStr">
        <is>
          <t>KRISTINEHAMN</t>
        </is>
      </c>
      <c r="G9884" t="n">
        <v>2.5</v>
      </c>
      <c r="H9884" t="n">
        <v>0</v>
      </c>
      <c r="I9884" t="n">
        <v>0</v>
      </c>
      <c r="J9884" t="n">
        <v>0</v>
      </c>
      <c r="K9884" t="n">
        <v>0</v>
      </c>
      <c r="L9884" t="n">
        <v>0</v>
      </c>
      <c r="M9884" t="n">
        <v>0</v>
      </c>
      <c r="N9884" t="n">
        <v>0</v>
      </c>
      <c r="O9884" t="n">
        <v>0</v>
      </c>
      <c r="P9884" t="n">
        <v>0</v>
      </c>
      <c r="Q9884" t="n">
        <v>0</v>
      </c>
      <c r="R9884" s="2" t="inlineStr"/>
    </row>
    <row r="9885" ht="15" customHeight="1">
      <c r="A9885" t="inlineStr">
        <is>
          <t>A 21390-2023</t>
        </is>
      </c>
      <c r="B9885" s="1" t="n">
        <v>45063</v>
      </c>
      <c r="C9885" s="1" t="n">
        <v>45810</v>
      </c>
      <c r="D9885" t="inlineStr">
        <is>
          <t>VÄRMLANDS LÄN</t>
        </is>
      </c>
      <c r="E9885" t="inlineStr">
        <is>
          <t>TORSBY</t>
        </is>
      </c>
      <c r="G9885" t="n">
        <v>2.7</v>
      </c>
      <c r="H9885" t="n">
        <v>0</v>
      </c>
      <c r="I9885" t="n">
        <v>0</v>
      </c>
      <c r="J9885" t="n">
        <v>0</v>
      </c>
      <c r="K9885" t="n">
        <v>0</v>
      </c>
      <c r="L9885" t="n">
        <v>0</v>
      </c>
      <c r="M9885" t="n">
        <v>0</v>
      </c>
      <c r="N9885" t="n">
        <v>0</v>
      </c>
      <c r="O9885" t="n">
        <v>0</v>
      </c>
      <c r="P9885" t="n">
        <v>0</v>
      </c>
      <c r="Q9885" t="n">
        <v>0</v>
      </c>
      <c r="R9885" s="2" t="inlineStr"/>
    </row>
    <row r="9886" ht="15" customHeight="1">
      <c r="A9886" t="inlineStr">
        <is>
          <t>A 21411-2023</t>
        </is>
      </c>
      <c r="B9886" s="1" t="n">
        <v>45063</v>
      </c>
      <c r="C9886" s="1" t="n">
        <v>45810</v>
      </c>
      <c r="D9886" t="inlineStr">
        <is>
          <t>VÄRMLANDS LÄN</t>
        </is>
      </c>
      <c r="E9886" t="inlineStr">
        <is>
          <t>TORSBY</t>
        </is>
      </c>
      <c r="G9886" t="n">
        <v>2.3</v>
      </c>
      <c r="H9886" t="n">
        <v>0</v>
      </c>
      <c r="I9886" t="n">
        <v>0</v>
      </c>
      <c r="J9886" t="n">
        <v>0</v>
      </c>
      <c r="K9886" t="n">
        <v>0</v>
      </c>
      <c r="L9886" t="n">
        <v>0</v>
      </c>
      <c r="M9886" t="n">
        <v>0</v>
      </c>
      <c r="N9886" t="n">
        <v>0</v>
      </c>
      <c r="O9886" t="n">
        <v>0</v>
      </c>
      <c r="P9886" t="n">
        <v>0</v>
      </c>
      <c r="Q9886" t="n">
        <v>0</v>
      </c>
      <c r="R9886" s="2" t="inlineStr"/>
    </row>
    <row r="9887" ht="15" customHeight="1">
      <c r="A9887" t="inlineStr">
        <is>
          <t>A 21464-2023</t>
        </is>
      </c>
      <c r="B9887" s="1" t="n">
        <v>45063</v>
      </c>
      <c r="C9887" s="1" t="n">
        <v>45810</v>
      </c>
      <c r="D9887" t="inlineStr">
        <is>
          <t>VÄRMLANDS LÄN</t>
        </is>
      </c>
      <c r="E9887" t="inlineStr">
        <is>
          <t>ARVIKA</t>
        </is>
      </c>
      <c r="G9887" t="n">
        <v>4.7</v>
      </c>
      <c r="H9887" t="n">
        <v>0</v>
      </c>
      <c r="I9887" t="n">
        <v>0</v>
      </c>
      <c r="J9887" t="n">
        <v>0</v>
      </c>
      <c r="K9887" t="n">
        <v>0</v>
      </c>
      <c r="L9887" t="n">
        <v>0</v>
      </c>
      <c r="M9887" t="n">
        <v>0</v>
      </c>
      <c r="N9887" t="n">
        <v>0</v>
      </c>
      <c r="O9887" t="n">
        <v>0</v>
      </c>
      <c r="P9887" t="n">
        <v>0</v>
      </c>
      <c r="Q9887" t="n">
        <v>0</v>
      </c>
      <c r="R9887" s="2" t="inlineStr"/>
    </row>
    <row r="9888" ht="15" customHeight="1">
      <c r="A9888" t="inlineStr">
        <is>
          <t>A 21570-2023</t>
        </is>
      </c>
      <c r="B9888" s="1" t="n">
        <v>45063</v>
      </c>
      <c r="C9888" s="1" t="n">
        <v>45810</v>
      </c>
      <c r="D9888" t="inlineStr">
        <is>
          <t>VÄRMLANDS LÄN</t>
        </is>
      </c>
      <c r="E9888" t="inlineStr">
        <is>
          <t>SUNNE</t>
        </is>
      </c>
      <c r="F9888" t="inlineStr">
        <is>
          <t>Bergvik skog väst AB</t>
        </is>
      </c>
      <c r="G9888" t="n">
        <v>4.4</v>
      </c>
      <c r="H9888" t="n">
        <v>0</v>
      </c>
      <c r="I9888" t="n">
        <v>0</v>
      </c>
      <c r="J9888" t="n">
        <v>0</v>
      </c>
      <c r="K9888" t="n">
        <v>0</v>
      </c>
      <c r="L9888" t="n">
        <v>0</v>
      </c>
      <c r="M9888" t="n">
        <v>0</v>
      </c>
      <c r="N9888" t="n">
        <v>0</v>
      </c>
      <c r="O9888" t="n">
        <v>0</v>
      </c>
      <c r="P9888" t="n">
        <v>0</v>
      </c>
      <c r="Q9888" t="n">
        <v>0</v>
      </c>
      <c r="R9888" s="2" t="inlineStr"/>
    </row>
    <row r="9889" ht="15" customHeight="1">
      <c r="A9889" t="inlineStr">
        <is>
          <t>A 21563-2023</t>
        </is>
      </c>
      <c r="B9889" s="1" t="n">
        <v>45063</v>
      </c>
      <c r="C9889" s="1" t="n">
        <v>45810</v>
      </c>
      <c r="D9889" t="inlineStr">
        <is>
          <t>VÄRMLANDS LÄN</t>
        </is>
      </c>
      <c r="E9889" t="inlineStr">
        <is>
          <t>SÄFFLE</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21557-2023</t>
        </is>
      </c>
      <c r="B9890" s="1" t="n">
        <v>45063</v>
      </c>
      <c r="C9890" s="1" t="n">
        <v>45810</v>
      </c>
      <c r="D9890" t="inlineStr">
        <is>
          <t>VÄRMLANDS LÄN</t>
        </is>
      </c>
      <c r="E9890" t="inlineStr">
        <is>
          <t>ÅRJÄNG</t>
        </is>
      </c>
      <c r="G9890" t="n">
        <v>2</v>
      </c>
      <c r="H9890" t="n">
        <v>0</v>
      </c>
      <c r="I9890" t="n">
        <v>0</v>
      </c>
      <c r="J9890" t="n">
        <v>0</v>
      </c>
      <c r="K9890" t="n">
        <v>0</v>
      </c>
      <c r="L9890" t="n">
        <v>0</v>
      </c>
      <c r="M9890" t="n">
        <v>0</v>
      </c>
      <c r="N9890" t="n">
        <v>0</v>
      </c>
      <c r="O9890" t="n">
        <v>0</v>
      </c>
      <c r="P9890" t="n">
        <v>0</v>
      </c>
      <c r="Q9890" t="n">
        <v>0</v>
      </c>
      <c r="R9890" s="2" t="inlineStr"/>
    </row>
    <row r="9891" ht="15" customHeight="1">
      <c r="A9891" t="inlineStr">
        <is>
          <t>A 21593-2023</t>
        </is>
      </c>
      <c r="B9891" s="1" t="n">
        <v>45063</v>
      </c>
      <c r="C9891" s="1" t="n">
        <v>45810</v>
      </c>
      <c r="D9891" t="inlineStr">
        <is>
          <t>VÄRMLANDS LÄN</t>
        </is>
      </c>
      <c r="E9891" t="inlineStr">
        <is>
          <t>FILIPSTAD</t>
        </is>
      </c>
      <c r="G9891" t="n">
        <v>5.5</v>
      </c>
      <c r="H9891" t="n">
        <v>0</v>
      </c>
      <c r="I9891" t="n">
        <v>0</v>
      </c>
      <c r="J9891" t="n">
        <v>0</v>
      </c>
      <c r="K9891" t="n">
        <v>0</v>
      </c>
      <c r="L9891" t="n">
        <v>0</v>
      </c>
      <c r="M9891" t="n">
        <v>0</v>
      </c>
      <c r="N9891" t="n">
        <v>0</v>
      </c>
      <c r="O9891" t="n">
        <v>0</v>
      </c>
      <c r="P9891" t="n">
        <v>0</v>
      </c>
      <c r="Q9891" t="n">
        <v>0</v>
      </c>
      <c r="R9891" s="2" t="inlineStr"/>
    </row>
    <row r="9892" ht="15" customHeight="1">
      <c r="A9892" t="inlineStr">
        <is>
          <t>A 21633-2023</t>
        </is>
      </c>
      <c r="B9892" s="1" t="n">
        <v>45063</v>
      </c>
      <c r="C9892" s="1" t="n">
        <v>45810</v>
      </c>
      <c r="D9892" t="inlineStr">
        <is>
          <t>VÄRMLANDS LÄN</t>
        </is>
      </c>
      <c r="E9892" t="inlineStr">
        <is>
          <t>STORFORS</t>
        </is>
      </c>
      <c r="G9892" t="n">
        <v>3.8</v>
      </c>
      <c r="H9892" t="n">
        <v>0</v>
      </c>
      <c r="I9892" t="n">
        <v>0</v>
      </c>
      <c r="J9892" t="n">
        <v>0</v>
      </c>
      <c r="K9892" t="n">
        <v>0</v>
      </c>
      <c r="L9892" t="n">
        <v>0</v>
      </c>
      <c r="M9892" t="n">
        <v>0</v>
      </c>
      <c r="N9892" t="n">
        <v>0</v>
      </c>
      <c r="O9892" t="n">
        <v>0</v>
      </c>
      <c r="P9892" t="n">
        <v>0</v>
      </c>
      <c r="Q9892" t="n">
        <v>0</v>
      </c>
      <c r="R9892" s="2" t="inlineStr"/>
    </row>
    <row r="9893" ht="15" customHeight="1">
      <c r="A9893" t="inlineStr">
        <is>
          <t>A 21580-2023</t>
        </is>
      </c>
      <c r="B9893" s="1" t="n">
        <v>45063</v>
      </c>
      <c r="C9893" s="1" t="n">
        <v>45810</v>
      </c>
      <c r="D9893" t="inlineStr">
        <is>
          <t>VÄRMLANDS LÄN</t>
        </is>
      </c>
      <c r="E9893" t="inlineStr">
        <is>
          <t>ARVIKA</t>
        </is>
      </c>
      <c r="G9893" t="n">
        <v>1.6</v>
      </c>
      <c r="H9893" t="n">
        <v>0</v>
      </c>
      <c r="I9893" t="n">
        <v>0</v>
      </c>
      <c r="J9893" t="n">
        <v>0</v>
      </c>
      <c r="K9893" t="n">
        <v>0</v>
      </c>
      <c r="L9893" t="n">
        <v>0</v>
      </c>
      <c r="M9893" t="n">
        <v>0</v>
      </c>
      <c r="N9893" t="n">
        <v>0</v>
      </c>
      <c r="O9893" t="n">
        <v>0</v>
      </c>
      <c r="P9893" t="n">
        <v>0</v>
      </c>
      <c r="Q9893" t="n">
        <v>0</v>
      </c>
      <c r="R9893" s="2" t="inlineStr"/>
    </row>
    <row r="9894" ht="15" customHeight="1">
      <c r="A9894" t="inlineStr">
        <is>
          <t>A 21605-2023</t>
        </is>
      </c>
      <c r="B9894" s="1" t="n">
        <v>45063</v>
      </c>
      <c r="C9894" s="1" t="n">
        <v>45810</v>
      </c>
      <c r="D9894" t="inlineStr">
        <is>
          <t>VÄRMLANDS LÄN</t>
        </is>
      </c>
      <c r="E9894" t="inlineStr">
        <is>
          <t>FILIPSTAD</t>
        </is>
      </c>
      <c r="G9894" t="n">
        <v>2.2</v>
      </c>
      <c r="H9894" t="n">
        <v>0</v>
      </c>
      <c r="I9894" t="n">
        <v>0</v>
      </c>
      <c r="J9894" t="n">
        <v>0</v>
      </c>
      <c r="K9894" t="n">
        <v>0</v>
      </c>
      <c r="L9894" t="n">
        <v>0</v>
      </c>
      <c r="M9894" t="n">
        <v>0</v>
      </c>
      <c r="N9894" t="n">
        <v>0</v>
      </c>
      <c r="O9894" t="n">
        <v>0</v>
      </c>
      <c r="P9894" t="n">
        <v>0</v>
      </c>
      <c r="Q9894" t="n">
        <v>0</v>
      </c>
      <c r="R9894" s="2" t="inlineStr"/>
    </row>
    <row r="9895" ht="15" customHeight="1">
      <c r="A9895" t="inlineStr">
        <is>
          <t>A 21608-2023</t>
        </is>
      </c>
      <c r="B9895" s="1" t="n">
        <v>45063</v>
      </c>
      <c r="C9895" s="1" t="n">
        <v>45810</v>
      </c>
      <c r="D9895" t="inlineStr">
        <is>
          <t>VÄRMLANDS LÄN</t>
        </is>
      </c>
      <c r="E9895" t="inlineStr">
        <is>
          <t>FILIPSTAD</t>
        </is>
      </c>
      <c r="G9895" t="n">
        <v>1</v>
      </c>
      <c r="H9895" t="n">
        <v>0</v>
      </c>
      <c r="I9895" t="n">
        <v>0</v>
      </c>
      <c r="J9895" t="n">
        <v>0</v>
      </c>
      <c r="K9895" t="n">
        <v>0</v>
      </c>
      <c r="L9895" t="n">
        <v>0</v>
      </c>
      <c r="M9895" t="n">
        <v>0</v>
      </c>
      <c r="N9895" t="n">
        <v>0</v>
      </c>
      <c r="O9895" t="n">
        <v>0</v>
      </c>
      <c r="P9895" t="n">
        <v>0</v>
      </c>
      <c r="Q9895" t="n">
        <v>0</v>
      </c>
      <c r="R9895" s="2" t="inlineStr"/>
    </row>
    <row r="9896" ht="15" customHeight="1">
      <c r="A9896" t="inlineStr">
        <is>
          <t>A 21669-2023</t>
        </is>
      </c>
      <c r="B9896" s="1" t="n">
        <v>45063</v>
      </c>
      <c r="C9896" s="1" t="n">
        <v>45810</v>
      </c>
      <c r="D9896" t="inlineStr">
        <is>
          <t>VÄRMLANDS LÄN</t>
        </is>
      </c>
      <c r="E9896" t="inlineStr">
        <is>
          <t>KARLSTAD</t>
        </is>
      </c>
      <c r="G9896" t="n">
        <v>2.4</v>
      </c>
      <c r="H9896" t="n">
        <v>0</v>
      </c>
      <c r="I9896" t="n">
        <v>0</v>
      </c>
      <c r="J9896" t="n">
        <v>0</v>
      </c>
      <c r="K9896" t="n">
        <v>0</v>
      </c>
      <c r="L9896" t="n">
        <v>0</v>
      </c>
      <c r="M9896" t="n">
        <v>0</v>
      </c>
      <c r="N9896" t="n">
        <v>0</v>
      </c>
      <c r="O9896" t="n">
        <v>0</v>
      </c>
      <c r="P9896" t="n">
        <v>0</v>
      </c>
      <c r="Q9896" t="n">
        <v>0</v>
      </c>
      <c r="R9896" s="2" t="inlineStr"/>
    </row>
    <row r="9897" ht="15" customHeight="1">
      <c r="A9897" t="inlineStr">
        <is>
          <t>A 21670-2023</t>
        </is>
      </c>
      <c r="B9897" s="1" t="n">
        <v>45064</v>
      </c>
      <c r="C9897" s="1" t="n">
        <v>45810</v>
      </c>
      <c r="D9897" t="inlineStr">
        <is>
          <t>VÄRMLANDS LÄN</t>
        </is>
      </c>
      <c r="E9897" t="inlineStr">
        <is>
          <t>KARLSTAD</t>
        </is>
      </c>
      <c r="G9897" t="n">
        <v>2.2</v>
      </c>
      <c r="H9897" t="n">
        <v>0</v>
      </c>
      <c r="I9897" t="n">
        <v>0</v>
      </c>
      <c r="J9897" t="n">
        <v>0</v>
      </c>
      <c r="K9897" t="n">
        <v>0</v>
      </c>
      <c r="L9897" t="n">
        <v>0</v>
      </c>
      <c r="M9897" t="n">
        <v>0</v>
      </c>
      <c r="N9897" t="n">
        <v>0</v>
      </c>
      <c r="O9897" t="n">
        <v>0</v>
      </c>
      <c r="P9897" t="n">
        <v>0</v>
      </c>
      <c r="Q9897" t="n">
        <v>0</v>
      </c>
      <c r="R9897" s="2" t="inlineStr"/>
    </row>
    <row r="9898" ht="15" customHeight="1">
      <c r="A9898" t="inlineStr">
        <is>
          <t>A 22174-2023</t>
        </is>
      </c>
      <c r="B9898" s="1" t="n">
        <v>45065</v>
      </c>
      <c r="C9898" s="1" t="n">
        <v>45810</v>
      </c>
      <c r="D9898" t="inlineStr">
        <is>
          <t>VÄRMLANDS LÄN</t>
        </is>
      </c>
      <c r="E9898" t="inlineStr">
        <is>
          <t>SÄFFLE</t>
        </is>
      </c>
      <c r="G9898" t="n">
        <v>6.5</v>
      </c>
      <c r="H9898" t="n">
        <v>0</v>
      </c>
      <c r="I9898" t="n">
        <v>0</v>
      </c>
      <c r="J9898" t="n">
        <v>0</v>
      </c>
      <c r="K9898" t="n">
        <v>0</v>
      </c>
      <c r="L9898" t="n">
        <v>0</v>
      </c>
      <c r="M9898" t="n">
        <v>0</v>
      </c>
      <c r="N9898" t="n">
        <v>0</v>
      </c>
      <c r="O9898" t="n">
        <v>0</v>
      </c>
      <c r="P9898" t="n">
        <v>0</v>
      </c>
      <c r="Q9898" t="n">
        <v>0</v>
      </c>
      <c r="R9898" s="2" t="inlineStr"/>
    </row>
    <row r="9899" ht="15" customHeight="1">
      <c r="A9899" t="inlineStr">
        <is>
          <t>A 22180-2023</t>
        </is>
      </c>
      <c r="B9899" s="1" t="n">
        <v>45065</v>
      </c>
      <c r="C9899" s="1" t="n">
        <v>45810</v>
      </c>
      <c r="D9899" t="inlineStr">
        <is>
          <t>VÄRMLANDS LÄN</t>
        </is>
      </c>
      <c r="E9899" t="inlineStr">
        <is>
          <t>SÄFFLE</t>
        </is>
      </c>
      <c r="G9899" t="n">
        <v>3.9</v>
      </c>
      <c r="H9899" t="n">
        <v>0</v>
      </c>
      <c r="I9899" t="n">
        <v>0</v>
      </c>
      <c r="J9899" t="n">
        <v>0</v>
      </c>
      <c r="K9899" t="n">
        <v>0</v>
      </c>
      <c r="L9899" t="n">
        <v>0</v>
      </c>
      <c r="M9899" t="n">
        <v>0</v>
      </c>
      <c r="N9899" t="n">
        <v>0</v>
      </c>
      <c r="O9899" t="n">
        <v>0</v>
      </c>
      <c r="P9899" t="n">
        <v>0</v>
      </c>
      <c r="Q9899" t="n">
        <v>0</v>
      </c>
      <c r="R9899" s="2" t="inlineStr"/>
    </row>
    <row r="9900" ht="15" customHeight="1">
      <c r="A9900" t="inlineStr">
        <is>
          <t>A 21786-2023</t>
        </is>
      </c>
      <c r="B9900" s="1" t="n">
        <v>45066</v>
      </c>
      <c r="C9900" s="1" t="n">
        <v>45810</v>
      </c>
      <c r="D9900" t="inlineStr">
        <is>
          <t>VÄRMLANDS LÄN</t>
        </is>
      </c>
      <c r="E9900" t="inlineStr">
        <is>
          <t>TORSBY</t>
        </is>
      </c>
      <c r="G9900" t="n">
        <v>1.6</v>
      </c>
      <c r="H9900" t="n">
        <v>0</v>
      </c>
      <c r="I9900" t="n">
        <v>0</v>
      </c>
      <c r="J9900" t="n">
        <v>0</v>
      </c>
      <c r="K9900" t="n">
        <v>0</v>
      </c>
      <c r="L9900" t="n">
        <v>0</v>
      </c>
      <c r="M9900" t="n">
        <v>0</v>
      </c>
      <c r="N9900" t="n">
        <v>0</v>
      </c>
      <c r="O9900" t="n">
        <v>0</v>
      </c>
      <c r="P9900" t="n">
        <v>0</v>
      </c>
      <c r="Q9900" t="n">
        <v>0</v>
      </c>
      <c r="R9900" s="2" t="inlineStr"/>
    </row>
    <row r="9901" ht="15" customHeight="1">
      <c r="A9901" t="inlineStr">
        <is>
          <t>A 21807-2023</t>
        </is>
      </c>
      <c r="B9901" s="1" t="n">
        <v>45068</v>
      </c>
      <c r="C9901" s="1" t="n">
        <v>45810</v>
      </c>
      <c r="D9901" t="inlineStr">
        <is>
          <t>VÄRMLANDS LÄN</t>
        </is>
      </c>
      <c r="E9901" t="inlineStr">
        <is>
          <t>ARVIKA</t>
        </is>
      </c>
      <c r="G9901" t="n">
        <v>1.8</v>
      </c>
      <c r="H9901" t="n">
        <v>0</v>
      </c>
      <c r="I9901" t="n">
        <v>0</v>
      </c>
      <c r="J9901" t="n">
        <v>0</v>
      </c>
      <c r="K9901" t="n">
        <v>0</v>
      </c>
      <c r="L9901" t="n">
        <v>0</v>
      </c>
      <c r="M9901" t="n">
        <v>0</v>
      </c>
      <c r="N9901" t="n">
        <v>0</v>
      </c>
      <c r="O9901" t="n">
        <v>0</v>
      </c>
      <c r="P9901" t="n">
        <v>0</v>
      </c>
      <c r="Q9901" t="n">
        <v>0</v>
      </c>
      <c r="R9901" s="2" t="inlineStr"/>
    </row>
    <row r="9902" ht="15" customHeight="1">
      <c r="A9902" t="inlineStr">
        <is>
          <t>A 21790-2023</t>
        </is>
      </c>
      <c r="B9902" s="1" t="n">
        <v>45067</v>
      </c>
      <c r="C9902" s="1" t="n">
        <v>45810</v>
      </c>
      <c r="D9902" t="inlineStr">
        <is>
          <t>VÄRMLANDS LÄN</t>
        </is>
      </c>
      <c r="E9902" t="inlineStr">
        <is>
          <t>TORSBY</t>
        </is>
      </c>
      <c r="F9902" t="inlineStr">
        <is>
          <t>Övriga statliga verk och myndigheter</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21809-2023</t>
        </is>
      </c>
      <c r="B9903" s="1" t="n">
        <v>45068</v>
      </c>
      <c r="C9903" s="1" t="n">
        <v>45810</v>
      </c>
      <c r="D9903" t="inlineStr">
        <is>
          <t>VÄRMLANDS LÄN</t>
        </is>
      </c>
      <c r="E9903" t="inlineStr">
        <is>
          <t>ARVIKA</t>
        </is>
      </c>
      <c r="G9903" t="n">
        <v>2.6</v>
      </c>
      <c r="H9903" t="n">
        <v>0</v>
      </c>
      <c r="I9903" t="n">
        <v>0</v>
      </c>
      <c r="J9903" t="n">
        <v>0</v>
      </c>
      <c r="K9903" t="n">
        <v>0</v>
      </c>
      <c r="L9903" t="n">
        <v>0</v>
      </c>
      <c r="M9903" t="n">
        <v>0</v>
      </c>
      <c r="N9903" t="n">
        <v>0</v>
      </c>
      <c r="O9903" t="n">
        <v>0</v>
      </c>
      <c r="P9903" t="n">
        <v>0</v>
      </c>
      <c r="Q9903" t="n">
        <v>0</v>
      </c>
      <c r="R9903" s="2" t="inlineStr"/>
    </row>
    <row r="9904" ht="15" customHeight="1">
      <c r="A9904" t="inlineStr">
        <is>
          <t>A 21839-2023</t>
        </is>
      </c>
      <c r="B9904" s="1" t="n">
        <v>45068</v>
      </c>
      <c r="C9904" s="1" t="n">
        <v>45810</v>
      </c>
      <c r="D9904" t="inlineStr">
        <is>
          <t>VÄRMLANDS LÄN</t>
        </is>
      </c>
      <c r="E9904" t="inlineStr">
        <is>
          <t>TORSBY</t>
        </is>
      </c>
      <c r="G9904" t="n">
        <v>1.6</v>
      </c>
      <c r="H9904" t="n">
        <v>0</v>
      </c>
      <c r="I9904" t="n">
        <v>0</v>
      </c>
      <c r="J9904" t="n">
        <v>0</v>
      </c>
      <c r="K9904" t="n">
        <v>0</v>
      </c>
      <c r="L9904" t="n">
        <v>0</v>
      </c>
      <c r="M9904" t="n">
        <v>0</v>
      </c>
      <c r="N9904" t="n">
        <v>0</v>
      </c>
      <c r="O9904" t="n">
        <v>0</v>
      </c>
      <c r="P9904" t="n">
        <v>0</v>
      </c>
      <c r="Q9904" t="n">
        <v>0</v>
      </c>
      <c r="R9904" s="2" t="inlineStr"/>
    </row>
    <row r="9905" ht="15" customHeight="1">
      <c r="A9905" t="inlineStr">
        <is>
          <t>A 21847-2023</t>
        </is>
      </c>
      <c r="B9905" s="1" t="n">
        <v>45068</v>
      </c>
      <c r="C9905" s="1" t="n">
        <v>45810</v>
      </c>
      <c r="D9905" t="inlineStr">
        <is>
          <t>VÄRMLANDS LÄN</t>
        </is>
      </c>
      <c r="E9905" t="inlineStr">
        <is>
          <t>TORSBY</t>
        </is>
      </c>
      <c r="G9905" t="n">
        <v>1</v>
      </c>
      <c r="H9905" t="n">
        <v>0</v>
      </c>
      <c r="I9905" t="n">
        <v>0</v>
      </c>
      <c r="J9905" t="n">
        <v>0</v>
      </c>
      <c r="K9905" t="n">
        <v>0</v>
      </c>
      <c r="L9905" t="n">
        <v>0</v>
      </c>
      <c r="M9905" t="n">
        <v>0</v>
      </c>
      <c r="N9905" t="n">
        <v>0</v>
      </c>
      <c r="O9905" t="n">
        <v>0</v>
      </c>
      <c r="P9905" t="n">
        <v>0</v>
      </c>
      <c r="Q9905" t="n">
        <v>0</v>
      </c>
      <c r="R9905" s="2" t="inlineStr"/>
    </row>
    <row r="9906" ht="15" customHeight="1">
      <c r="A9906" t="inlineStr">
        <is>
          <t>A 21851-2023</t>
        </is>
      </c>
      <c r="B9906" s="1" t="n">
        <v>45068</v>
      </c>
      <c r="C9906" s="1" t="n">
        <v>45810</v>
      </c>
      <c r="D9906" t="inlineStr">
        <is>
          <t>VÄRMLANDS LÄN</t>
        </is>
      </c>
      <c r="E9906" t="inlineStr">
        <is>
          <t>ARVIKA</t>
        </is>
      </c>
      <c r="G9906" t="n">
        <v>1.5</v>
      </c>
      <c r="H9906" t="n">
        <v>0</v>
      </c>
      <c r="I9906" t="n">
        <v>0</v>
      </c>
      <c r="J9906" t="n">
        <v>0</v>
      </c>
      <c r="K9906" t="n">
        <v>0</v>
      </c>
      <c r="L9906" t="n">
        <v>0</v>
      </c>
      <c r="M9906" t="n">
        <v>0</v>
      </c>
      <c r="N9906" t="n">
        <v>0</v>
      </c>
      <c r="O9906" t="n">
        <v>0</v>
      </c>
      <c r="P9906" t="n">
        <v>0</v>
      </c>
      <c r="Q9906" t="n">
        <v>0</v>
      </c>
      <c r="R9906" s="2" t="inlineStr"/>
    </row>
    <row r="9907" ht="15" customHeight="1">
      <c r="A9907" t="inlineStr">
        <is>
          <t>A 21861-2023</t>
        </is>
      </c>
      <c r="B9907" s="1" t="n">
        <v>45068</v>
      </c>
      <c r="C9907" s="1" t="n">
        <v>45810</v>
      </c>
      <c r="D9907" t="inlineStr">
        <is>
          <t>VÄRMLANDS LÄN</t>
        </is>
      </c>
      <c r="E9907" t="inlineStr">
        <is>
          <t>KRISTINEHAMN</t>
        </is>
      </c>
      <c r="G9907" t="n">
        <v>1.3</v>
      </c>
      <c r="H9907" t="n">
        <v>0</v>
      </c>
      <c r="I9907" t="n">
        <v>0</v>
      </c>
      <c r="J9907" t="n">
        <v>0</v>
      </c>
      <c r="K9907" t="n">
        <v>0</v>
      </c>
      <c r="L9907" t="n">
        <v>0</v>
      </c>
      <c r="M9907" t="n">
        <v>0</v>
      </c>
      <c r="N9907" t="n">
        <v>0</v>
      </c>
      <c r="O9907" t="n">
        <v>0</v>
      </c>
      <c r="P9907" t="n">
        <v>0</v>
      </c>
      <c r="Q9907" t="n">
        <v>0</v>
      </c>
      <c r="R9907" s="2" t="inlineStr"/>
    </row>
    <row r="9908" ht="15" customHeight="1">
      <c r="A9908" t="inlineStr">
        <is>
          <t>A 21871-2023</t>
        </is>
      </c>
      <c r="B9908" s="1" t="n">
        <v>45068</v>
      </c>
      <c r="C9908" s="1" t="n">
        <v>45810</v>
      </c>
      <c r="D9908" t="inlineStr">
        <is>
          <t>VÄRMLANDS LÄN</t>
        </is>
      </c>
      <c r="E9908" t="inlineStr">
        <is>
          <t>STORFORS</t>
        </is>
      </c>
      <c r="G9908" t="n">
        <v>8.5</v>
      </c>
      <c r="H9908" t="n">
        <v>0</v>
      </c>
      <c r="I9908" t="n">
        <v>0</v>
      </c>
      <c r="J9908" t="n">
        <v>0</v>
      </c>
      <c r="K9908" t="n">
        <v>0</v>
      </c>
      <c r="L9908" t="n">
        <v>0</v>
      </c>
      <c r="M9908" t="n">
        <v>0</v>
      </c>
      <c r="N9908" t="n">
        <v>0</v>
      </c>
      <c r="O9908" t="n">
        <v>0</v>
      </c>
      <c r="P9908" t="n">
        <v>0</v>
      </c>
      <c r="Q9908" t="n">
        <v>0</v>
      </c>
      <c r="R9908" s="2" t="inlineStr"/>
    </row>
    <row r="9909" ht="15" customHeight="1">
      <c r="A9909" t="inlineStr">
        <is>
          <t>A 21943-2023</t>
        </is>
      </c>
      <c r="B9909" s="1" t="n">
        <v>45068</v>
      </c>
      <c r="C9909" s="1" t="n">
        <v>45810</v>
      </c>
      <c r="D9909" t="inlineStr">
        <is>
          <t>VÄRMLANDS LÄN</t>
        </is>
      </c>
      <c r="E9909" t="inlineStr">
        <is>
          <t>KARLSTAD</t>
        </is>
      </c>
      <c r="G9909" t="n">
        <v>1.2</v>
      </c>
      <c r="H9909" t="n">
        <v>0</v>
      </c>
      <c r="I9909" t="n">
        <v>0</v>
      </c>
      <c r="J9909" t="n">
        <v>0</v>
      </c>
      <c r="K9909" t="n">
        <v>0</v>
      </c>
      <c r="L9909" t="n">
        <v>0</v>
      </c>
      <c r="M9909" t="n">
        <v>0</v>
      </c>
      <c r="N9909" t="n">
        <v>0</v>
      </c>
      <c r="O9909" t="n">
        <v>0</v>
      </c>
      <c r="P9909" t="n">
        <v>0</v>
      </c>
      <c r="Q9909" t="n">
        <v>0</v>
      </c>
      <c r="R9909" s="2" t="inlineStr"/>
    </row>
    <row r="9910" ht="15" customHeight="1">
      <c r="A9910" t="inlineStr">
        <is>
          <t>A 21808-2023</t>
        </is>
      </c>
      <c r="B9910" s="1" t="n">
        <v>45068</v>
      </c>
      <c r="C9910" s="1" t="n">
        <v>45810</v>
      </c>
      <c r="D9910" t="inlineStr">
        <is>
          <t>VÄRMLANDS LÄN</t>
        </is>
      </c>
      <c r="E9910" t="inlineStr">
        <is>
          <t>ARVIKA</t>
        </is>
      </c>
      <c r="G9910" t="n">
        <v>1.5</v>
      </c>
      <c r="H9910" t="n">
        <v>0</v>
      </c>
      <c r="I9910" t="n">
        <v>0</v>
      </c>
      <c r="J9910" t="n">
        <v>0</v>
      </c>
      <c r="K9910" t="n">
        <v>0</v>
      </c>
      <c r="L9910" t="n">
        <v>0</v>
      </c>
      <c r="M9910" t="n">
        <v>0</v>
      </c>
      <c r="N9910" t="n">
        <v>0</v>
      </c>
      <c r="O9910" t="n">
        <v>0</v>
      </c>
      <c r="P9910" t="n">
        <v>0</v>
      </c>
      <c r="Q9910" t="n">
        <v>0</v>
      </c>
      <c r="R9910" s="2" t="inlineStr"/>
    </row>
    <row r="9911" ht="15" customHeight="1">
      <c r="A9911" t="inlineStr">
        <is>
          <t>A 21920-2023</t>
        </is>
      </c>
      <c r="B9911" s="1" t="n">
        <v>45068</v>
      </c>
      <c r="C9911" s="1" t="n">
        <v>45810</v>
      </c>
      <c r="D9911" t="inlineStr">
        <is>
          <t>VÄRMLANDS LÄN</t>
        </is>
      </c>
      <c r="E9911" t="inlineStr">
        <is>
          <t>SUNNE</t>
        </is>
      </c>
      <c r="G9911" t="n">
        <v>1.4</v>
      </c>
      <c r="H9911" t="n">
        <v>0</v>
      </c>
      <c r="I9911" t="n">
        <v>0</v>
      </c>
      <c r="J9911" t="n">
        <v>0</v>
      </c>
      <c r="K9911" t="n">
        <v>0</v>
      </c>
      <c r="L9911" t="n">
        <v>0</v>
      </c>
      <c r="M9911" t="n">
        <v>0</v>
      </c>
      <c r="N9911" t="n">
        <v>0</v>
      </c>
      <c r="O9911" t="n">
        <v>0</v>
      </c>
      <c r="P9911" t="n">
        <v>0</v>
      </c>
      <c r="Q9911" t="n">
        <v>0</v>
      </c>
      <c r="R9911" s="2" t="inlineStr"/>
    </row>
    <row r="9912" ht="15" customHeight="1">
      <c r="A9912" t="inlineStr">
        <is>
          <t>A 21925-2023</t>
        </is>
      </c>
      <c r="B9912" s="1" t="n">
        <v>45068</v>
      </c>
      <c r="C9912" s="1" t="n">
        <v>45810</v>
      </c>
      <c r="D9912" t="inlineStr">
        <is>
          <t>VÄRMLANDS LÄN</t>
        </is>
      </c>
      <c r="E9912" t="inlineStr">
        <is>
          <t>SUNNE</t>
        </is>
      </c>
      <c r="G9912" t="n">
        <v>1.2</v>
      </c>
      <c r="H9912" t="n">
        <v>0</v>
      </c>
      <c r="I9912" t="n">
        <v>0</v>
      </c>
      <c r="J9912" t="n">
        <v>0</v>
      </c>
      <c r="K9912" t="n">
        <v>0</v>
      </c>
      <c r="L9912" t="n">
        <v>0</v>
      </c>
      <c r="M9912" t="n">
        <v>0</v>
      </c>
      <c r="N9912" t="n">
        <v>0</v>
      </c>
      <c r="O9912" t="n">
        <v>0</v>
      </c>
      <c r="P9912" t="n">
        <v>0</v>
      </c>
      <c r="Q9912" t="n">
        <v>0</v>
      </c>
      <c r="R9912" s="2" t="inlineStr"/>
    </row>
    <row r="9913" ht="15" customHeight="1">
      <c r="A9913" t="inlineStr">
        <is>
          <t>A 21929-2023</t>
        </is>
      </c>
      <c r="B9913" s="1" t="n">
        <v>45068</v>
      </c>
      <c r="C9913" s="1" t="n">
        <v>45810</v>
      </c>
      <c r="D9913" t="inlineStr">
        <is>
          <t>VÄRMLANDS LÄN</t>
        </is>
      </c>
      <c r="E9913" t="inlineStr">
        <is>
          <t>STORFORS</t>
        </is>
      </c>
      <c r="G9913" t="n">
        <v>6.8</v>
      </c>
      <c r="H9913" t="n">
        <v>0</v>
      </c>
      <c r="I9913" t="n">
        <v>0</v>
      </c>
      <c r="J9913" t="n">
        <v>0</v>
      </c>
      <c r="K9913" t="n">
        <v>0</v>
      </c>
      <c r="L9913" t="n">
        <v>0</v>
      </c>
      <c r="M9913" t="n">
        <v>0</v>
      </c>
      <c r="N9913" t="n">
        <v>0</v>
      </c>
      <c r="O9913" t="n">
        <v>0</v>
      </c>
      <c r="P9913" t="n">
        <v>0</v>
      </c>
      <c r="Q9913" t="n">
        <v>0</v>
      </c>
      <c r="R9913" s="2" t="inlineStr"/>
    </row>
    <row r="9914" ht="15" customHeight="1">
      <c r="A9914" t="inlineStr">
        <is>
          <t>A 21959-2023</t>
        </is>
      </c>
      <c r="B9914" s="1" t="n">
        <v>45068</v>
      </c>
      <c r="C9914" s="1" t="n">
        <v>45810</v>
      </c>
      <c r="D9914" t="inlineStr">
        <is>
          <t>VÄRMLANDS LÄN</t>
        </is>
      </c>
      <c r="E9914" t="inlineStr">
        <is>
          <t>ARVIKA</t>
        </is>
      </c>
      <c r="G9914" t="n">
        <v>0.7</v>
      </c>
      <c r="H9914" t="n">
        <v>0</v>
      </c>
      <c r="I9914" t="n">
        <v>0</v>
      </c>
      <c r="J9914" t="n">
        <v>0</v>
      </c>
      <c r="K9914" t="n">
        <v>0</v>
      </c>
      <c r="L9914" t="n">
        <v>0</v>
      </c>
      <c r="M9914" t="n">
        <v>0</v>
      </c>
      <c r="N9914" t="n">
        <v>0</v>
      </c>
      <c r="O9914" t="n">
        <v>0</v>
      </c>
      <c r="P9914" t="n">
        <v>0</v>
      </c>
      <c r="Q9914" t="n">
        <v>0</v>
      </c>
      <c r="R9914" s="2" t="inlineStr"/>
    </row>
    <row r="9915" ht="15" customHeight="1">
      <c r="A9915" t="inlineStr">
        <is>
          <t>A 21913-2023</t>
        </is>
      </c>
      <c r="B9915" s="1" t="n">
        <v>45068</v>
      </c>
      <c r="C9915" s="1" t="n">
        <v>45810</v>
      </c>
      <c r="D9915" t="inlineStr">
        <is>
          <t>VÄRMLANDS LÄN</t>
        </is>
      </c>
      <c r="E9915" t="inlineStr">
        <is>
          <t>SUNNE</t>
        </is>
      </c>
      <c r="G9915" t="n">
        <v>3.4</v>
      </c>
      <c r="H9915" t="n">
        <v>0</v>
      </c>
      <c r="I9915" t="n">
        <v>0</v>
      </c>
      <c r="J9915" t="n">
        <v>0</v>
      </c>
      <c r="K9915" t="n">
        <v>0</v>
      </c>
      <c r="L9915" t="n">
        <v>0</v>
      </c>
      <c r="M9915" t="n">
        <v>0</v>
      </c>
      <c r="N9915" t="n">
        <v>0</v>
      </c>
      <c r="O9915" t="n">
        <v>0</v>
      </c>
      <c r="P9915" t="n">
        <v>0</v>
      </c>
      <c r="Q9915" t="n">
        <v>0</v>
      </c>
      <c r="R9915" s="2" t="inlineStr"/>
    </row>
    <row r="9916" ht="15" customHeight="1">
      <c r="A9916" t="inlineStr">
        <is>
          <t>A 21958-2023</t>
        </is>
      </c>
      <c r="B9916" s="1" t="n">
        <v>45068</v>
      </c>
      <c r="C9916" s="1" t="n">
        <v>45810</v>
      </c>
      <c r="D9916" t="inlineStr">
        <is>
          <t>VÄRMLANDS LÄN</t>
        </is>
      </c>
      <c r="E9916" t="inlineStr">
        <is>
          <t>SÄFFLE</t>
        </is>
      </c>
      <c r="G9916" t="n">
        <v>9.1</v>
      </c>
      <c r="H9916" t="n">
        <v>0</v>
      </c>
      <c r="I9916" t="n">
        <v>0</v>
      </c>
      <c r="J9916" t="n">
        <v>0</v>
      </c>
      <c r="K9916" t="n">
        <v>0</v>
      </c>
      <c r="L9916" t="n">
        <v>0</v>
      </c>
      <c r="M9916" t="n">
        <v>0</v>
      </c>
      <c r="N9916" t="n">
        <v>0</v>
      </c>
      <c r="O9916" t="n">
        <v>0</v>
      </c>
      <c r="P9916" t="n">
        <v>0</v>
      </c>
      <c r="Q9916" t="n">
        <v>0</v>
      </c>
      <c r="R9916" s="2" t="inlineStr"/>
    </row>
    <row r="9917" ht="15" customHeight="1">
      <c r="A9917" t="inlineStr">
        <is>
          <t>A 21962-2023</t>
        </is>
      </c>
      <c r="B9917" s="1" t="n">
        <v>45068</v>
      </c>
      <c r="C9917" s="1" t="n">
        <v>45810</v>
      </c>
      <c r="D9917" t="inlineStr">
        <is>
          <t>VÄRMLANDS LÄN</t>
        </is>
      </c>
      <c r="E9917" t="inlineStr">
        <is>
          <t>ARVIKA</t>
        </is>
      </c>
      <c r="G9917" t="n">
        <v>0.8</v>
      </c>
      <c r="H9917" t="n">
        <v>0</v>
      </c>
      <c r="I9917" t="n">
        <v>0</v>
      </c>
      <c r="J9917" t="n">
        <v>0</v>
      </c>
      <c r="K9917" t="n">
        <v>0</v>
      </c>
      <c r="L9917" t="n">
        <v>0</v>
      </c>
      <c r="M9917" t="n">
        <v>0</v>
      </c>
      <c r="N9917" t="n">
        <v>0</v>
      </c>
      <c r="O9917" t="n">
        <v>0</v>
      </c>
      <c r="P9917" t="n">
        <v>0</v>
      </c>
      <c r="Q9917" t="n">
        <v>0</v>
      </c>
      <c r="R9917" s="2" t="inlineStr"/>
    </row>
    <row r="9918" ht="15" customHeight="1">
      <c r="A9918" t="inlineStr">
        <is>
          <t>A 21970-2023</t>
        </is>
      </c>
      <c r="B9918" s="1" t="n">
        <v>45068</v>
      </c>
      <c r="C9918" s="1" t="n">
        <v>45810</v>
      </c>
      <c r="D9918" t="inlineStr">
        <is>
          <t>VÄRMLANDS LÄN</t>
        </is>
      </c>
      <c r="E9918" t="inlineStr">
        <is>
          <t>SUNNE</t>
        </is>
      </c>
      <c r="G9918" t="n">
        <v>3.6</v>
      </c>
      <c r="H9918" t="n">
        <v>0</v>
      </c>
      <c r="I9918" t="n">
        <v>0</v>
      </c>
      <c r="J9918" t="n">
        <v>0</v>
      </c>
      <c r="K9918" t="n">
        <v>0</v>
      </c>
      <c r="L9918" t="n">
        <v>0</v>
      </c>
      <c r="M9918" t="n">
        <v>0</v>
      </c>
      <c r="N9918" t="n">
        <v>0</v>
      </c>
      <c r="O9918" t="n">
        <v>0</v>
      </c>
      <c r="P9918" t="n">
        <v>0</v>
      </c>
      <c r="Q9918" t="n">
        <v>0</v>
      </c>
      <c r="R9918" s="2" t="inlineStr"/>
    </row>
    <row r="9919" ht="15" customHeight="1">
      <c r="A9919" t="inlineStr">
        <is>
          <t>A 21988-2023</t>
        </is>
      </c>
      <c r="B9919" s="1" t="n">
        <v>45068</v>
      </c>
      <c r="C9919" s="1" t="n">
        <v>45810</v>
      </c>
      <c r="D9919" t="inlineStr">
        <is>
          <t>VÄRMLANDS LÄN</t>
        </is>
      </c>
      <c r="E9919" t="inlineStr">
        <is>
          <t>TORSBY</t>
        </is>
      </c>
      <c r="F9919" t="inlineStr">
        <is>
          <t>Bergvik skog väst AB</t>
        </is>
      </c>
      <c r="G9919" t="n">
        <v>2</v>
      </c>
      <c r="H9919" t="n">
        <v>0</v>
      </c>
      <c r="I9919" t="n">
        <v>0</v>
      </c>
      <c r="J9919" t="n">
        <v>0</v>
      </c>
      <c r="K9919" t="n">
        <v>0</v>
      </c>
      <c r="L9919" t="n">
        <v>0</v>
      </c>
      <c r="M9919" t="n">
        <v>0</v>
      </c>
      <c r="N9919" t="n">
        <v>0</v>
      </c>
      <c r="O9919" t="n">
        <v>0</v>
      </c>
      <c r="P9919" t="n">
        <v>0</v>
      </c>
      <c r="Q9919" t="n">
        <v>0</v>
      </c>
      <c r="R9919" s="2" t="inlineStr"/>
    </row>
    <row r="9920" ht="15" customHeight="1">
      <c r="A9920" t="inlineStr">
        <is>
          <t>A 21912-2023</t>
        </is>
      </c>
      <c r="B9920" s="1" t="n">
        <v>45068</v>
      </c>
      <c r="C9920" s="1" t="n">
        <v>45810</v>
      </c>
      <c r="D9920" t="inlineStr">
        <is>
          <t>VÄRMLANDS LÄN</t>
        </is>
      </c>
      <c r="E9920" t="inlineStr">
        <is>
          <t>TORSBY</t>
        </is>
      </c>
      <c r="F9920" t="inlineStr">
        <is>
          <t>Bergvik skog väst AB</t>
        </is>
      </c>
      <c r="G9920" t="n">
        <v>2</v>
      </c>
      <c r="H9920" t="n">
        <v>0</v>
      </c>
      <c r="I9920" t="n">
        <v>0</v>
      </c>
      <c r="J9920" t="n">
        <v>0</v>
      </c>
      <c r="K9920" t="n">
        <v>0</v>
      </c>
      <c r="L9920" t="n">
        <v>0</v>
      </c>
      <c r="M9920" t="n">
        <v>0</v>
      </c>
      <c r="N9920" t="n">
        <v>0</v>
      </c>
      <c r="O9920" t="n">
        <v>0</v>
      </c>
      <c r="P9920" t="n">
        <v>0</v>
      </c>
      <c r="Q9920" t="n">
        <v>0</v>
      </c>
      <c r="R9920" s="2" t="inlineStr"/>
    </row>
    <row r="9921" ht="15" customHeight="1">
      <c r="A9921" t="inlineStr">
        <is>
          <t>A 21953-2023</t>
        </is>
      </c>
      <c r="B9921" s="1" t="n">
        <v>45068</v>
      </c>
      <c r="C9921" s="1" t="n">
        <v>45810</v>
      </c>
      <c r="D9921" t="inlineStr">
        <is>
          <t>VÄRMLANDS LÄN</t>
        </is>
      </c>
      <c r="E9921" t="inlineStr">
        <is>
          <t>ARVIKA</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21974-2023</t>
        </is>
      </c>
      <c r="B9922" s="1" t="n">
        <v>45068</v>
      </c>
      <c r="C9922" s="1" t="n">
        <v>45810</v>
      </c>
      <c r="D9922" t="inlineStr">
        <is>
          <t>VÄRMLANDS LÄN</t>
        </is>
      </c>
      <c r="E9922" t="inlineStr">
        <is>
          <t>SÄFFLE</t>
        </is>
      </c>
      <c r="G9922" t="n">
        <v>11.8</v>
      </c>
      <c r="H9922" t="n">
        <v>0</v>
      </c>
      <c r="I9922" t="n">
        <v>0</v>
      </c>
      <c r="J9922" t="n">
        <v>0</v>
      </c>
      <c r="K9922" t="n">
        <v>0</v>
      </c>
      <c r="L9922" t="n">
        <v>0</v>
      </c>
      <c r="M9922" t="n">
        <v>0</v>
      </c>
      <c r="N9922" t="n">
        <v>0</v>
      </c>
      <c r="O9922" t="n">
        <v>0</v>
      </c>
      <c r="P9922" t="n">
        <v>0</v>
      </c>
      <c r="Q9922" t="n">
        <v>0</v>
      </c>
      <c r="R9922" s="2" t="inlineStr"/>
    </row>
    <row r="9923" ht="15" customHeight="1">
      <c r="A9923" t="inlineStr">
        <is>
          <t>A 22132-2023</t>
        </is>
      </c>
      <c r="B9923" s="1" t="n">
        <v>45069</v>
      </c>
      <c r="C9923" s="1" t="n">
        <v>45810</v>
      </c>
      <c r="D9923" t="inlineStr">
        <is>
          <t>VÄRMLANDS LÄN</t>
        </is>
      </c>
      <c r="E9923" t="inlineStr">
        <is>
          <t>FILIPSTAD</t>
        </is>
      </c>
      <c r="F9923" t="inlineStr">
        <is>
          <t>Bergvik skog väst AB</t>
        </is>
      </c>
      <c r="G9923" t="n">
        <v>16.4</v>
      </c>
      <c r="H9923" t="n">
        <v>0</v>
      </c>
      <c r="I9923" t="n">
        <v>0</v>
      </c>
      <c r="J9923" t="n">
        <v>0</v>
      </c>
      <c r="K9923" t="n">
        <v>0</v>
      </c>
      <c r="L9923" t="n">
        <v>0</v>
      </c>
      <c r="M9923" t="n">
        <v>0</v>
      </c>
      <c r="N9923" t="n">
        <v>0</v>
      </c>
      <c r="O9923" t="n">
        <v>0</v>
      </c>
      <c r="P9923" t="n">
        <v>0</v>
      </c>
      <c r="Q9923" t="n">
        <v>0</v>
      </c>
      <c r="R9923" s="2" t="inlineStr"/>
    </row>
    <row r="9924" ht="15" customHeight="1">
      <c r="A9924" t="inlineStr">
        <is>
          <t>A 22065-2023</t>
        </is>
      </c>
      <c r="B9924" s="1" t="n">
        <v>45069</v>
      </c>
      <c r="C9924" s="1" t="n">
        <v>45810</v>
      </c>
      <c r="D9924" t="inlineStr">
        <is>
          <t>VÄRMLANDS LÄN</t>
        </is>
      </c>
      <c r="E9924" t="inlineStr">
        <is>
          <t>EDA</t>
        </is>
      </c>
      <c r="G9924" t="n">
        <v>1.7</v>
      </c>
      <c r="H9924" t="n">
        <v>0</v>
      </c>
      <c r="I9924" t="n">
        <v>0</v>
      </c>
      <c r="J9924" t="n">
        <v>0</v>
      </c>
      <c r="K9924" t="n">
        <v>0</v>
      </c>
      <c r="L9924" t="n">
        <v>0</v>
      </c>
      <c r="M9924" t="n">
        <v>0</v>
      </c>
      <c r="N9924" t="n">
        <v>0</v>
      </c>
      <c r="O9924" t="n">
        <v>0</v>
      </c>
      <c r="P9924" t="n">
        <v>0</v>
      </c>
      <c r="Q9924" t="n">
        <v>0</v>
      </c>
      <c r="R9924" s="2" t="inlineStr"/>
    </row>
    <row r="9925" ht="15" customHeight="1">
      <c r="A9925" t="inlineStr">
        <is>
          <t>A 22080-2023</t>
        </is>
      </c>
      <c r="B9925" s="1" t="n">
        <v>45069</v>
      </c>
      <c r="C9925" s="1" t="n">
        <v>45810</v>
      </c>
      <c r="D9925" t="inlineStr">
        <is>
          <t>VÄRMLANDS LÄN</t>
        </is>
      </c>
      <c r="E9925" t="inlineStr">
        <is>
          <t>SUNNE</t>
        </is>
      </c>
      <c r="G9925" t="n">
        <v>3</v>
      </c>
      <c r="H9925" t="n">
        <v>0</v>
      </c>
      <c r="I9925" t="n">
        <v>0</v>
      </c>
      <c r="J9925" t="n">
        <v>0</v>
      </c>
      <c r="K9925" t="n">
        <v>0</v>
      </c>
      <c r="L9925" t="n">
        <v>0</v>
      </c>
      <c r="M9925" t="n">
        <v>0</v>
      </c>
      <c r="N9925" t="n">
        <v>0</v>
      </c>
      <c r="O9925" t="n">
        <v>0</v>
      </c>
      <c r="P9925" t="n">
        <v>0</v>
      </c>
      <c r="Q9925" t="n">
        <v>0</v>
      </c>
      <c r="R9925" s="2" t="inlineStr"/>
    </row>
    <row r="9926" ht="15" customHeight="1">
      <c r="A9926" t="inlineStr">
        <is>
          <t>A 22089-2023</t>
        </is>
      </c>
      <c r="B9926" s="1" t="n">
        <v>45069</v>
      </c>
      <c r="C9926" s="1" t="n">
        <v>45810</v>
      </c>
      <c r="D9926" t="inlineStr">
        <is>
          <t>VÄRMLANDS LÄN</t>
        </is>
      </c>
      <c r="E9926" t="inlineStr">
        <is>
          <t>TORSBY</t>
        </is>
      </c>
      <c r="G9926" t="n">
        <v>9.5</v>
      </c>
      <c r="H9926" t="n">
        <v>0</v>
      </c>
      <c r="I9926" t="n">
        <v>0</v>
      </c>
      <c r="J9926" t="n">
        <v>0</v>
      </c>
      <c r="K9926" t="n">
        <v>0</v>
      </c>
      <c r="L9926" t="n">
        <v>0</v>
      </c>
      <c r="M9926" t="n">
        <v>0</v>
      </c>
      <c r="N9926" t="n">
        <v>0</v>
      </c>
      <c r="O9926" t="n">
        <v>0</v>
      </c>
      <c r="P9926" t="n">
        <v>0</v>
      </c>
      <c r="Q9926" t="n">
        <v>0</v>
      </c>
      <c r="R9926" s="2" t="inlineStr"/>
    </row>
    <row r="9927" ht="15" customHeight="1">
      <c r="A9927" t="inlineStr">
        <is>
          <t>A 22068-2023</t>
        </is>
      </c>
      <c r="B9927" s="1" t="n">
        <v>45069</v>
      </c>
      <c r="C9927" s="1" t="n">
        <v>45810</v>
      </c>
      <c r="D9927" t="inlineStr">
        <is>
          <t>VÄRMLANDS LÄN</t>
        </is>
      </c>
      <c r="E9927" t="inlineStr">
        <is>
          <t>EDA</t>
        </is>
      </c>
      <c r="G9927" t="n">
        <v>0.8</v>
      </c>
      <c r="H9927" t="n">
        <v>0</v>
      </c>
      <c r="I9927" t="n">
        <v>0</v>
      </c>
      <c r="J9927" t="n">
        <v>0</v>
      </c>
      <c r="K9927" t="n">
        <v>0</v>
      </c>
      <c r="L9927" t="n">
        <v>0</v>
      </c>
      <c r="M9927" t="n">
        <v>0</v>
      </c>
      <c r="N9927" t="n">
        <v>0</v>
      </c>
      <c r="O9927" t="n">
        <v>0</v>
      </c>
      <c r="P9927" t="n">
        <v>0</v>
      </c>
      <c r="Q9927" t="n">
        <v>0</v>
      </c>
      <c r="R9927" s="2" t="inlineStr"/>
    </row>
    <row r="9928" ht="15" customHeight="1">
      <c r="A9928" t="inlineStr">
        <is>
          <t>A 22161-2023</t>
        </is>
      </c>
      <c r="B9928" s="1" t="n">
        <v>45069</v>
      </c>
      <c r="C9928" s="1" t="n">
        <v>45810</v>
      </c>
      <c r="D9928" t="inlineStr">
        <is>
          <t>VÄRMLANDS LÄN</t>
        </is>
      </c>
      <c r="E9928" t="inlineStr">
        <is>
          <t>SUNNE</t>
        </is>
      </c>
      <c r="G9928" t="n">
        <v>3.2</v>
      </c>
      <c r="H9928" t="n">
        <v>0</v>
      </c>
      <c r="I9928" t="n">
        <v>0</v>
      </c>
      <c r="J9928" t="n">
        <v>0</v>
      </c>
      <c r="K9928" t="n">
        <v>0</v>
      </c>
      <c r="L9928" t="n">
        <v>0</v>
      </c>
      <c r="M9928" t="n">
        <v>0</v>
      </c>
      <c r="N9928" t="n">
        <v>0</v>
      </c>
      <c r="O9928" t="n">
        <v>0</v>
      </c>
      <c r="P9928" t="n">
        <v>0</v>
      </c>
      <c r="Q9928" t="n">
        <v>0</v>
      </c>
      <c r="R9928" s="2" t="inlineStr"/>
    </row>
    <row r="9929" ht="15" customHeight="1">
      <c r="A9929" t="inlineStr">
        <is>
          <t>A 22172-2023</t>
        </is>
      </c>
      <c r="B9929" s="1" t="n">
        <v>45069</v>
      </c>
      <c r="C9929" s="1" t="n">
        <v>45810</v>
      </c>
      <c r="D9929" t="inlineStr">
        <is>
          <t>VÄRMLANDS LÄN</t>
        </is>
      </c>
      <c r="E9929" t="inlineStr">
        <is>
          <t>SUNNE</t>
        </is>
      </c>
      <c r="G9929" t="n">
        <v>0.7</v>
      </c>
      <c r="H9929" t="n">
        <v>0</v>
      </c>
      <c r="I9929" t="n">
        <v>0</v>
      </c>
      <c r="J9929" t="n">
        <v>0</v>
      </c>
      <c r="K9929" t="n">
        <v>0</v>
      </c>
      <c r="L9929" t="n">
        <v>0</v>
      </c>
      <c r="M9929" t="n">
        <v>0</v>
      </c>
      <c r="N9929" t="n">
        <v>0</v>
      </c>
      <c r="O9929" t="n">
        <v>0</v>
      </c>
      <c r="P9929" t="n">
        <v>0</v>
      </c>
      <c r="Q9929" t="n">
        <v>0</v>
      </c>
      <c r="R9929" s="2" t="inlineStr"/>
    </row>
    <row r="9930" ht="15" customHeight="1">
      <c r="A9930" t="inlineStr">
        <is>
          <t>A 22023-2023</t>
        </is>
      </c>
      <c r="B9930" s="1" t="n">
        <v>45069</v>
      </c>
      <c r="C9930" s="1" t="n">
        <v>45810</v>
      </c>
      <c r="D9930" t="inlineStr">
        <is>
          <t>VÄRMLANDS LÄN</t>
        </is>
      </c>
      <c r="E9930" t="inlineStr">
        <is>
          <t>ÅRJÄNG</t>
        </is>
      </c>
      <c r="G9930" t="n">
        <v>6.1</v>
      </c>
      <c r="H9930" t="n">
        <v>0</v>
      </c>
      <c r="I9930" t="n">
        <v>0</v>
      </c>
      <c r="J9930" t="n">
        <v>0</v>
      </c>
      <c r="K9930" t="n">
        <v>0</v>
      </c>
      <c r="L9930" t="n">
        <v>0</v>
      </c>
      <c r="M9930" t="n">
        <v>0</v>
      </c>
      <c r="N9930" t="n">
        <v>0</v>
      </c>
      <c r="O9930" t="n">
        <v>0</v>
      </c>
      <c r="P9930" t="n">
        <v>0</v>
      </c>
      <c r="Q9930" t="n">
        <v>0</v>
      </c>
      <c r="R9930" s="2" t="inlineStr"/>
    </row>
    <row r="9931" ht="15" customHeight="1">
      <c r="A9931" t="inlineStr">
        <is>
          <t>A 22030-2023</t>
        </is>
      </c>
      <c r="B9931" s="1" t="n">
        <v>45069</v>
      </c>
      <c r="C9931" s="1" t="n">
        <v>45810</v>
      </c>
      <c r="D9931" t="inlineStr">
        <is>
          <t>VÄRMLANDS LÄN</t>
        </is>
      </c>
      <c r="E9931" t="inlineStr">
        <is>
          <t>TORSBY</t>
        </is>
      </c>
      <c r="F9931" t="inlineStr">
        <is>
          <t>Bergvik skog väst AB</t>
        </is>
      </c>
      <c r="G9931" t="n">
        <v>3.5</v>
      </c>
      <c r="H9931" t="n">
        <v>0</v>
      </c>
      <c r="I9931" t="n">
        <v>0</v>
      </c>
      <c r="J9931" t="n">
        <v>0</v>
      </c>
      <c r="K9931" t="n">
        <v>0</v>
      </c>
      <c r="L9931" t="n">
        <v>0</v>
      </c>
      <c r="M9931" t="n">
        <v>0</v>
      </c>
      <c r="N9931" t="n">
        <v>0</v>
      </c>
      <c r="O9931" t="n">
        <v>0</v>
      </c>
      <c r="P9931" t="n">
        <v>0</v>
      </c>
      <c r="Q9931" t="n">
        <v>0</v>
      </c>
      <c r="R9931" s="2" t="inlineStr"/>
    </row>
    <row r="9932" ht="15" customHeight="1">
      <c r="A9932" t="inlineStr">
        <is>
          <t>A 22032-2023</t>
        </is>
      </c>
      <c r="B9932" s="1" t="n">
        <v>45069</v>
      </c>
      <c r="C9932" s="1" t="n">
        <v>45810</v>
      </c>
      <c r="D9932" t="inlineStr">
        <is>
          <t>VÄRMLANDS LÄN</t>
        </is>
      </c>
      <c r="E9932" t="inlineStr">
        <is>
          <t>ÅRJÄNG</t>
        </is>
      </c>
      <c r="G9932" t="n">
        <v>2.4</v>
      </c>
      <c r="H9932" t="n">
        <v>0</v>
      </c>
      <c r="I9932" t="n">
        <v>0</v>
      </c>
      <c r="J9932" t="n">
        <v>0</v>
      </c>
      <c r="K9932" t="n">
        <v>0</v>
      </c>
      <c r="L9932" t="n">
        <v>0</v>
      </c>
      <c r="M9932" t="n">
        <v>0</v>
      </c>
      <c r="N9932" t="n">
        <v>0</v>
      </c>
      <c r="O9932" t="n">
        <v>0</v>
      </c>
      <c r="P9932" t="n">
        <v>0</v>
      </c>
      <c r="Q9932" t="n">
        <v>0</v>
      </c>
      <c r="R9932" s="2" t="inlineStr"/>
    </row>
    <row r="9933" ht="15" customHeight="1">
      <c r="A9933" t="inlineStr">
        <is>
          <t>A 22024-2023</t>
        </is>
      </c>
      <c r="B9933" s="1" t="n">
        <v>45069</v>
      </c>
      <c r="C9933" s="1" t="n">
        <v>45810</v>
      </c>
      <c r="D9933" t="inlineStr">
        <is>
          <t>VÄRMLANDS LÄN</t>
        </is>
      </c>
      <c r="E9933" t="inlineStr">
        <is>
          <t>SUNNE</t>
        </is>
      </c>
      <c r="G9933" t="n">
        <v>0.8</v>
      </c>
      <c r="H9933" t="n">
        <v>0</v>
      </c>
      <c r="I9933" t="n">
        <v>0</v>
      </c>
      <c r="J9933" t="n">
        <v>0</v>
      </c>
      <c r="K9933" t="n">
        <v>0</v>
      </c>
      <c r="L9933" t="n">
        <v>0</v>
      </c>
      <c r="M9933" t="n">
        <v>0</v>
      </c>
      <c r="N9933" t="n">
        <v>0</v>
      </c>
      <c r="O9933" t="n">
        <v>0</v>
      </c>
      <c r="P9933" t="n">
        <v>0</v>
      </c>
      <c r="Q9933" t="n">
        <v>0</v>
      </c>
      <c r="R9933" s="2" t="inlineStr"/>
    </row>
    <row r="9934" ht="15" customHeight="1">
      <c r="A9934" t="inlineStr">
        <is>
          <t>A 22031-2023</t>
        </is>
      </c>
      <c r="B9934" s="1" t="n">
        <v>45069</v>
      </c>
      <c r="C9934" s="1" t="n">
        <v>45810</v>
      </c>
      <c r="D9934" t="inlineStr">
        <is>
          <t>VÄRMLANDS LÄN</t>
        </is>
      </c>
      <c r="E9934" t="inlineStr">
        <is>
          <t>HAGFORS</t>
        </is>
      </c>
      <c r="G9934" t="n">
        <v>2.3</v>
      </c>
      <c r="H9934" t="n">
        <v>0</v>
      </c>
      <c r="I9934" t="n">
        <v>0</v>
      </c>
      <c r="J9934" t="n">
        <v>0</v>
      </c>
      <c r="K9934" t="n">
        <v>0</v>
      </c>
      <c r="L9934" t="n">
        <v>0</v>
      </c>
      <c r="M9934" t="n">
        <v>0</v>
      </c>
      <c r="N9934" t="n">
        <v>0</v>
      </c>
      <c r="O9934" t="n">
        <v>0</v>
      </c>
      <c r="P9934" t="n">
        <v>0</v>
      </c>
      <c r="Q9934" t="n">
        <v>0</v>
      </c>
      <c r="R9934" s="2" t="inlineStr"/>
    </row>
    <row r="9935" ht="15" customHeight="1">
      <c r="A9935" t="inlineStr">
        <is>
          <t>A 22038-2023</t>
        </is>
      </c>
      <c r="B9935" s="1" t="n">
        <v>45069</v>
      </c>
      <c r="C9935" s="1" t="n">
        <v>45810</v>
      </c>
      <c r="D9935" t="inlineStr">
        <is>
          <t>VÄRMLANDS LÄN</t>
        </is>
      </c>
      <c r="E9935" t="inlineStr">
        <is>
          <t>TORSBY</t>
        </is>
      </c>
      <c r="G9935" t="n">
        <v>4.3</v>
      </c>
      <c r="H9935" t="n">
        <v>0</v>
      </c>
      <c r="I9935" t="n">
        <v>0</v>
      </c>
      <c r="J9935" t="n">
        <v>0</v>
      </c>
      <c r="K9935" t="n">
        <v>0</v>
      </c>
      <c r="L9935" t="n">
        <v>0</v>
      </c>
      <c r="M9935" t="n">
        <v>0</v>
      </c>
      <c r="N9935" t="n">
        <v>0</v>
      </c>
      <c r="O9935" t="n">
        <v>0</v>
      </c>
      <c r="P9935" t="n">
        <v>0</v>
      </c>
      <c r="Q9935" t="n">
        <v>0</v>
      </c>
      <c r="R9935" s="2" t="inlineStr"/>
    </row>
    <row r="9936" ht="15" customHeight="1">
      <c r="A9936" t="inlineStr">
        <is>
          <t>A 22026-2023</t>
        </is>
      </c>
      <c r="B9936" s="1" t="n">
        <v>45069</v>
      </c>
      <c r="C9936" s="1" t="n">
        <v>45810</v>
      </c>
      <c r="D9936" t="inlineStr">
        <is>
          <t>VÄRMLANDS LÄN</t>
        </is>
      </c>
      <c r="E9936" t="inlineStr">
        <is>
          <t>SUNNE</t>
        </is>
      </c>
      <c r="G9936" t="n">
        <v>1.5</v>
      </c>
      <c r="H9936" t="n">
        <v>0</v>
      </c>
      <c r="I9936" t="n">
        <v>0</v>
      </c>
      <c r="J9936" t="n">
        <v>0</v>
      </c>
      <c r="K9936" t="n">
        <v>0</v>
      </c>
      <c r="L9936" t="n">
        <v>0</v>
      </c>
      <c r="M9936" t="n">
        <v>0</v>
      </c>
      <c r="N9936" t="n">
        <v>0</v>
      </c>
      <c r="O9936" t="n">
        <v>0</v>
      </c>
      <c r="P9936" t="n">
        <v>0</v>
      </c>
      <c r="Q9936" t="n">
        <v>0</v>
      </c>
      <c r="R9936" s="2" t="inlineStr"/>
    </row>
    <row r="9937" ht="15" customHeight="1">
      <c r="A9937" t="inlineStr">
        <is>
          <t>A 22033-2023</t>
        </is>
      </c>
      <c r="B9937" s="1" t="n">
        <v>45069</v>
      </c>
      <c r="C9937" s="1" t="n">
        <v>45810</v>
      </c>
      <c r="D9937" t="inlineStr">
        <is>
          <t>VÄRMLANDS LÄN</t>
        </is>
      </c>
      <c r="E9937" t="inlineStr">
        <is>
          <t>TORSBY</t>
        </is>
      </c>
      <c r="G9937" t="n">
        <v>2.7</v>
      </c>
      <c r="H9937" t="n">
        <v>0</v>
      </c>
      <c r="I9937" t="n">
        <v>0</v>
      </c>
      <c r="J9937" t="n">
        <v>0</v>
      </c>
      <c r="K9937" t="n">
        <v>0</v>
      </c>
      <c r="L9937" t="n">
        <v>0</v>
      </c>
      <c r="M9937" t="n">
        <v>0</v>
      </c>
      <c r="N9937" t="n">
        <v>0</v>
      </c>
      <c r="O9937" t="n">
        <v>0</v>
      </c>
      <c r="P9937" t="n">
        <v>0</v>
      </c>
      <c r="Q9937" t="n">
        <v>0</v>
      </c>
      <c r="R9937" s="2" t="inlineStr"/>
    </row>
    <row r="9938" ht="15" customHeight="1">
      <c r="A9938" t="inlineStr">
        <is>
          <t>A 22254-2023</t>
        </is>
      </c>
      <c r="B9938" s="1" t="n">
        <v>45070</v>
      </c>
      <c r="C9938" s="1" t="n">
        <v>45810</v>
      </c>
      <c r="D9938" t="inlineStr">
        <is>
          <t>VÄRMLANDS LÄN</t>
        </is>
      </c>
      <c r="E9938" t="inlineStr">
        <is>
          <t>SÄFFLE</t>
        </is>
      </c>
      <c r="G9938" t="n">
        <v>1.8</v>
      </c>
      <c r="H9938" t="n">
        <v>0</v>
      </c>
      <c r="I9938" t="n">
        <v>0</v>
      </c>
      <c r="J9938" t="n">
        <v>0</v>
      </c>
      <c r="K9938" t="n">
        <v>0</v>
      </c>
      <c r="L9938" t="n">
        <v>0</v>
      </c>
      <c r="M9938" t="n">
        <v>0</v>
      </c>
      <c r="N9938" t="n">
        <v>0</v>
      </c>
      <c r="O9938" t="n">
        <v>0</v>
      </c>
      <c r="P9938" t="n">
        <v>0</v>
      </c>
      <c r="Q9938" t="n">
        <v>0</v>
      </c>
      <c r="R9938" s="2" t="inlineStr"/>
    </row>
    <row r="9939" ht="15" customHeight="1">
      <c r="A9939" t="inlineStr">
        <is>
          <t>A 22260-2023</t>
        </is>
      </c>
      <c r="B9939" s="1" t="n">
        <v>45070</v>
      </c>
      <c r="C9939" s="1" t="n">
        <v>45810</v>
      </c>
      <c r="D9939" t="inlineStr">
        <is>
          <t>VÄRMLANDS LÄN</t>
        </is>
      </c>
      <c r="E9939" t="inlineStr">
        <is>
          <t>SUNNE</t>
        </is>
      </c>
      <c r="G9939" t="n">
        <v>3.3</v>
      </c>
      <c r="H9939" t="n">
        <v>0</v>
      </c>
      <c r="I9939" t="n">
        <v>0</v>
      </c>
      <c r="J9939" t="n">
        <v>0</v>
      </c>
      <c r="K9939" t="n">
        <v>0</v>
      </c>
      <c r="L9939" t="n">
        <v>0</v>
      </c>
      <c r="M9939" t="n">
        <v>0</v>
      </c>
      <c r="N9939" t="n">
        <v>0</v>
      </c>
      <c r="O9939" t="n">
        <v>0</v>
      </c>
      <c r="P9939" t="n">
        <v>0</v>
      </c>
      <c r="Q9939" t="n">
        <v>0</v>
      </c>
      <c r="R9939" s="2" t="inlineStr"/>
    </row>
    <row r="9940" ht="15" customHeight="1">
      <c r="A9940" t="inlineStr">
        <is>
          <t>A 22268-2023</t>
        </is>
      </c>
      <c r="B9940" s="1" t="n">
        <v>45070</v>
      </c>
      <c r="C9940" s="1" t="n">
        <v>45810</v>
      </c>
      <c r="D9940" t="inlineStr">
        <is>
          <t>VÄRMLANDS LÄN</t>
        </is>
      </c>
      <c r="E9940" t="inlineStr">
        <is>
          <t>FILIPSTAD</t>
        </is>
      </c>
      <c r="F9940" t="inlineStr">
        <is>
          <t>Bergvik skog väst AB</t>
        </is>
      </c>
      <c r="G9940" t="n">
        <v>1.7</v>
      </c>
      <c r="H9940" t="n">
        <v>0</v>
      </c>
      <c r="I9940" t="n">
        <v>0</v>
      </c>
      <c r="J9940" t="n">
        <v>0</v>
      </c>
      <c r="K9940" t="n">
        <v>0</v>
      </c>
      <c r="L9940" t="n">
        <v>0</v>
      </c>
      <c r="M9940" t="n">
        <v>0</v>
      </c>
      <c r="N9940" t="n">
        <v>0</v>
      </c>
      <c r="O9940" t="n">
        <v>0</v>
      </c>
      <c r="P9940" t="n">
        <v>0</v>
      </c>
      <c r="Q9940" t="n">
        <v>0</v>
      </c>
      <c r="R9940" s="2" t="inlineStr"/>
    </row>
    <row r="9941" ht="15" customHeight="1">
      <c r="A9941" t="inlineStr">
        <is>
          <t>A 22331-2023</t>
        </is>
      </c>
      <c r="B9941" s="1" t="n">
        <v>45070</v>
      </c>
      <c r="C9941" s="1" t="n">
        <v>45810</v>
      </c>
      <c r="D9941" t="inlineStr">
        <is>
          <t>VÄRMLANDS LÄN</t>
        </is>
      </c>
      <c r="E9941" t="inlineStr">
        <is>
          <t>ARVIKA</t>
        </is>
      </c>
      <c r="G9941" t="n">
        <v>1.3</v>
      </c>
      <c r="H9941" t="n">
        <v>0</v>
      </c>
      <c r="I9941" t="n">
        <v>0</v>
      </c>
      <c r="J9941" t="n">
        <v>0</v>
      </c>
      <c r="K9941" t="n">
        <v>0</v>
      </c>
      <c r="L9941" t="n">
        <v>0</v>
      </c>
      <c r="M9941" t="n">
        <v>0</v>
      </c>
      <c r="N9941" t="n">
        <v>0</v>
      </c>
      <c r="O9941" t="n">
        <v>0</v>
      </c>
      <c r="P9941" t="n">
        <v>0</v>
      </c>
      <c r="Q9941" t="n">
        <v>0</v>
      </c>
      <c r="R9941" s="2" t="inlineStr"/>
    </row>
    <row r="9942" ht="15" customHeight="1">
      <c r="A9942" t="inlineStr">
        <is>
          <t>A 22337-2023</t>
        </is>
      </c>
      <c r="B9942" s="1" t="n">
        <v>45070</v>
      </c>
      <c r="C9942" s="1" t="n">
        <v>45810</v>
      </c>
      <c r="D9942" t="inlineStr">
        <is>
          <t>VÄRMLANDS LÄN</t>
        </is>
      </c>
      <c r="E9942" t="inlineStr">
        <is>
          <t>ARVIKA</t>
        </is>
      </c>
      <c r="G9942" t="n">
        <v>1.1</v>
      </c>
      <c r="H9942" t="n">
        <v>0</v>
      </c>
      <c r="I9942" t="n">
        <v>0</v>
      </c>
      <c r="J9942" t="n">
        <v>0</v>
      </c>
      <c r="K9942" t="n">
        <v>0</v>
      </c>
      <c r="L9942" t="n">
        <v>0</v>
      </c>
      <c r="M9942" t="n">
        <v>0</v>
      </c>
      <c r="N9942" t="n">
        <v>0</v>
      </c>
      <c r="O9942" t="n">
        <v>0</v>
      </c>
      <c r="P9942" t="n">
        <v>0</v>
      </c>
      <c r="Q9942" t="n">
        <v>0</v>
      </c>
      <c r="R9942" s="2" t="inlineStr"/>
    </row>
    <row r="9943" ht="15" customHeight="1">
      <c r="A9943" t="inlineStr">
        <is>
          <t>A 22347-2023</t>
        </is>
      </c>
      <c r="B9943" s="1" t="n">
        <v>45070</v>
      </c>
      <c r="C9943" s="1" t="n">
        <v>45810</v>
      </c>
      <c r="D9943" t="inlineStr">
        <is>
          <t>VÄRMLANDS LÄN</t>
        </is>
      </c>
      <c r="E9943" t="inlineStr">
        <is>
          <t>GRUMS</t>
        </is>
      </c>
      <c r="G9943" t="n">
        <v>1.7</v>
      </c>
      <c r="H9943" t="n">
        <v>0</v>
      </c>
      <c r="I9943" t="n">
        <v>0</v>
      </c>
      <c r="J9943" t="n">
        <v>0</v>
      </c>
      <c r="K9943" t="n">
        <v>0</v>
      </c>
      <c r="L9943" t="n">
        <v>0</v>
      </c>
      <c r="M9943" t="n">
        <v>0</v>
      </c>
      <c r="N9943" t="n">
        <v>0</v>
      </c>
      <c r="O9943" t="n">
        <v>0</v>
      </c>
      <c r="P9943" t="n">
        <v>0</v>
      </c>
      <c r="Q9943" t="n">
        <v>0</v>
      </c>
      <c r="R9943" s="2" t="inlineStr"/>
    </row>
    <row r="9944" ht="15" customHeight="1">
      <c r="A9944" t="inlineStr">
        <is>
          <t>A 22409-2023</t>
        </is>
      </c>
      <c r="B9944" s="1" t="n">
        <v>45070</v>
      </c>
      <c r="C9944" s="1" t="n">
        <v>45810</v>
      </c>
      <c r="D9944" t="inlineStr">
        <is>
          <t>VÄRMLANDS LÄN</t>
        </is>
      </c>
      <c r="E9944" t="inlineStr">
        <is>
          <t>KARLSTAD</t>
        </is>
      </c>
      <c r="G9944" t="n">
        <v>3</v>
      </c>
      <c r="H9944" t="n">
        <v>0</v>
      </c>
      <c r="I9944" t="n">
        <v>0</v>
      </c>
      <c r="J9944" t="n">
        <v>0</v>
      </c>
      <c r="K9944" t="n">
        <v>0</v>
      </c>
      <c r="L9944" t="n">
        <v>0</v>
      </c>
      <c r="M9944" t="n">
        <v>0</v>
      </c>
      <c r="N9944" t="n">
        <v>0</v>
      </c>
      <c r="O9944" t="n">
        <v>0</v>
      </c>
      <c r="P9944" t="n">
        <v>0</v>
      </c>
      <c r="Q9944" t="n">
        <v>0</v>
      </c>
      <c r="R9944" s="2" t="inlineStr"/>
    </row>
    <row r="9945" ht="15" customHeight="1">
      <c r="A9945" t="inlineStr">
        <is>
          <t>A 22294-2023</t>
        </is>
      </c>
      <c r="B9945" s="1" t="n">
        <v>45070</v>
      </c>
      <c r="C9945" s="1" t="n">
        <v>45810</v>
      </c>
      <c r="D9945" t="inlineStr">
        <is>
          <t>VÄRMLANDS LÄN</t>
        </is>
      </c>
      <c r="E9945" t="inlineStr">
        <is>
          <t>EDA</t>
        </is>
      </c>
      <c r="G9945" t="n">
        <v>4.9</v>
      </c>
      <c r="H9945" t="n">
        <v>0</v>
      </c>
      <c r="I9945" t="n">
        <v>0</v>
      </c>
      <c r="J9945" t="n">
        <v>0</v>
      </c>
      <c r="K9945" t="n">
        <v>0</v>
      </c>
      <c r="L9945" t="n">
        <v>0</v>
      </c>
      <c r="M9945" t="n">
        <v>0</v>
      </c>
      <c r="N9945" t="n">
        <v>0</v>
      </c>
      <c r="O9945" t="n">
        <v>0</v>
      </c>
      <c r="P9945" t="n">
        <v>0</v>
      </c>
      <c r="Q9945" t="n">
        <v>0</v>
      </c>
      <c r="R9945" s="2" t="inlineStr"/>
    </row>
    <row r="9946" ht="15" customHeight="1">
      <c r="A9946" t="inlineStr">
        <is>
          <t>A 22325-2023</t>
        </is>
      </c>
      <c r="B9946" s="1" t="n">
        <v>45070</v>
      </c>
      <c r="C9946" s="1" t="n">
        <v>45810</v>
      </c>
      <c r="D9946" t="inlineStr">
        <is>
          <t>VÄRMLANDS LÄN</t>
        </is>
      </c>
      <c r="E9946" t="inlineStr">
        <is>
          <t>HAGFORS</t>
        </is>
      </c>
      <c r="F9946" t="inlineStr">
        <is>
          <t>Bergvik skog väst AB</t>
        </is>
      </c>
      <c r="G9946" t="n">
        <v>3.5</v>
      </c>
      <c r="H9946" t="n">
        <v>0</v>
      </c>
      <c r="I9946" t="n">
        <v>0</v>
      </c>
      <c r="J9946" t="n">
        <v>0</v>
      </c>
      <c r="K9946" t="n">
        <v>0</v>
      </c>
      <c r="L9946" t="n">
        <v>0</v>
      </c>
      <c r="M9946" t="n">
        <v>0</v>
      </c>
      <c r="N9946" t="n">
        <v>0</v>
      </c>
      <c r="O9946" t="n">
        <v>0</v>
      </c>
      <c r="P9946" t="n">
        <v>0</v>
      </c>
      <c r="Q9946" t="n">
        <v>0</v>
      </c>
      <c r="R9946" s="2" t="inlineStr"/>
    </row>
    <row r="9947" ht="15" customHeight="1">
      <c r="A9947" t="inlineStr">
        <is>
          <t>A 22363-2023</t>
        </is>
      </c>
      <c r="B9947" s="1" t="n">
        <v>45070</v>
      </c>
      <c r="C9947" s="1" t="n">
        <v>45810</v>
      </c>
      <c r="D9947" t="inlineStr">
        <is>
          <t>VÄRMLANDS LÄN</t>
        </is>
      </c>
      <c r="E9947" t="inlineStr">
        <is>
          <t>HAGFORS</t>
        </is>
      </c>
      <c r="F9947" t="inlineStr">
        <is>
          <t>Bergvik skog väst AB</t>
        </is>
      </c>
      <c r="G9947" t="n">
        <v>3</v>
      </c>
      <c r="H9947" t="n">
        <v>0</v>
      </c>
      <c r="I9947" t="n">
        <v>0</v>
      </c>
      <c r="J9947" t="n">
        <v>0</v>
      </c>
      <c r="K9947" t="n">
        <v>0</v>
      </c>
      <c r="L9947" t="n">
        <v>0</v>
      </c>
      <c r="M9947" t="n">
        <v>0</v>
      </c>
      <c r="N9947" t="n">
        <v>0</v>
      </c>
      <c r="O9947" t="n">
        <v>0</v>
      </c>
      <c r="P9947" t="n">
        <v>0</v>
      </c>
      <c r="Q9947" t="n">
        <v>0</v>
      </c>
      <c r="R9947" s="2" t="inlineStr"/>
    </row>
    <row r="9948" ht="15" customHeight="1">
      <c r="A9948" t="inlineStr">
        <is>
          <t>A 22386-2023</t>
        </is>
      </c>
      <c r="B9948" s="1" t="n">
        <v>45070</v>
      </c>
      <c r="C9948" s="1" t="n">
        <v>45810</v>
      </c>
      <c r="D9948" t="inlineStr">
        <is>
          <t>VÄRMLANDS LÄN</t>
        </is>
      </c>
      <c r="E9948" t="inlineStr">
        <is>
          <t>TORSBY</t>
        </is>
      </c>
      <c r="F9948" t="inlineStr">
        <is>
          <t>Bergvik skog väst AB</t>
        </is>
      </c>
      <c r="G9948" t="n">
        <v>11.1</v>
      </c>
      <c r="H9948" t="n">
        <v>0</v>
      </c>
      <c r="I9948" t="n">
        <v>0</v>
      </c>
      <c r="J9948" t="n">
        <v>0</v>
      </c>
      <c r="K9948" t="n">
        <v>0</v>
      </c>
      <c r="L9948" t="n">
        <v>0</v>
      </c>
      <c r="M9948" t="n">
        <v>0</v>
      </c>
      <c r="N9948" t="n">
        <v>0</v>
      </c>
      <c r="O9948" t="n">
        <v>0</v>
      </c>
      <c r="P9948" t="n">
        <v>0</v>
      </c>
      <c r="Q9948" t="n">
        <v>0</v>
      </c>
      <c r="R9948" s="2" t="inlineStr"/>
    </row>
    <row r="9949" ht="15" customHeight="1">
      <c r="A9949" t="inlineStr">
        <is>
          <t>A 22285-2023</t>
        </is>
      </c>
      <c r="B9949" s="1" t="n">
        <v>45070</v>
      </c>
      <c r="C9949" s="1" t="n">
        <v>45810</v>
      </c>
      <c r="D9949" t="inlineStr">
        <is>
          <t>VÄRMLANDS LÄN</t>
        </is>
      </c>
      <c r="E9949" t="inlineStr">
        <is>
          <t>HAGFORS</t>
        </is>
      </c>
      <c r="F9949" t="inlineStr">
        <is>
          <t>Bergvik skog väst AB</t>
        </is>
      </c>
      <c r="G9949" t="n">
        <v>0.9</v>
      </c>
      <c r="H9949" t="n">
        <v>0</v>
      </c>
      <c r="I9949" t="n">
        <v>0</v>
      </c>
      <c r="J9949" t="n">
        <v>0</v>
      </c>
      <c r="K9949" t="n">
        <v>0</v>
      </c>
      <c r="L9949" t="n">
        <v>0</v>
      </c>
      <c r="M9949" t="n">
        <v>0</v>
      </c>
      <c r="N9949" t="n">
        <v>0</v>
      </c>
      <c r="O9949" t="n">
        <v>0</v>
      </c>
      <c r="P9949" t="n">
        <v>0</v>
      </c>
      <c r="Q9949" t="n">
        <v>0</v>
      </c>
      <c r="R9949" s="2" t="inlineStr"/>
    </row>
    <row r="9950" ht="15" customHeight="1">
      <c r="A9950" t="inlineStr">
        <is>
          <t>A 22316-2023</t>
        </is>
      </c>
      <c r="B9950" s="1" t="n">
        <v>45070</v>
      </c>
      <c r="C9950" s="1" t="n">
        <v>45810</v>
      </c>
      <c r="D9950" t="inlineStr">
        <is>
          <t>VÄRMLANDS LÄN</t>
        </is>
      </c>
      <c r="E9950" t="inlineStr">
        <is>
          <t>ARVIKA</t>
        </is>
      </c>
      <c r="G9950" t="n">
        <v>2.3</v>
      </c>
      <c r="H9950" t="n">
        <v>0</v>
      </c>
      <c r="I9950" t="n">
        <v>0</v>
      </c>
      <c r="J9950" t="n">
        <v>0</v>
      </c>
      <c r="K9950" t="n">
        <v>0</v>
      </c>
      <c r="L9950" t="n">
        <v>0</v>
      </c>
      <c r="M9950" t="n">
        <v>0</v>
      </c>
      <c r="N9950" t="n">
        <v>0</v>
      </c>
      <c r="O9950" t="n">
        <v>0</v>
      </c>
      <c r="P9950" t="n">
        <v>0</v>
      </c>
      <c r="Q9950" t="n">
        <v>0</v>
      </c>
      <c r="R9950" s="2" t="inlineStr"/>
    </row>
    <row r="9951" ht="15" customHeight="1">
      <c r="A9951" t="inlineStr">
        <is>
          <t>A 22278-2023</t>
        </is>
      </c>
      <c r="B9951" s="1" t="n">
        <v>45070</v>
      </c>
      <c r="C9951" s="1" t="n">
        <v>45810</v>
      </c>
      <c r="D9951" t="inlineStr">
        <is>
          <t>VÄRMLANDS LÄN</t>
        </is>
      </c>
      <c r="E9951" t="inlineStr">
        <is>
          <t>SÄFFLE</t>
        </is>
      </c>
      <c r="G9951" t="n">
        <v>1.2</v>
      </c>
      <c r="H9951" t="n">
        <v>0</v>
      </c>
      <c r="I9951" t="n">
        <v>0</v>
      </c>
      <c r="J9951" t="n">
        <v>0</v>
      </c>
      <c r="K9951" t="n">
        <v>0</v>
      </c>
      <c r="L9951" t="n">
        <v>0</v>
      </c>
      <c r="M9951" t="n">
        <v>0</v>
      </c>
      <c r="N9951" t="n">
        <v>0</v>
      </c>
      <c r="O9951" t="n">
        <v>0</v>
      </c>
      <c r="P9951" t="n">
        <v>0</v>
      </c>
      <c r="Q9951" t="n">
        <v>0</v>
      </c>
      <c r="R9951" s="2" t="inlineStr"/>
    </row>
    <row r="9952" ht="15" customHeight="1">
      <c r="A9952" t="inlineStr">
        <is>
          <t>A 22301-2023</t>
        </is>
      </c>
      <c r="B9952" s="1" t="n">
        <v>45070</v>
      </c>
      <c r="C9952" s="1" t="n">
        <v>45810</v>
      </c>
      <c r="D9952" t="inlineStr">
        <is>
          <t>VÄRMLANDS LÄN</t>
        </is>
      </c>
      <c r="E9952" t="inlineStr">
        <is>
          <t>TORSBY</t>
        </is>
      </c>
      <c r="G9952" t="n">
        <v>1</v>
      </c>
      <c r="H9952" t="n">
        <v>0</v>
      </c>
      <c r="I9952" t="n">
        <v>0</v>
      </c>
      <c r="J9952" t="n">
        <v>0</v>
      </c>
      <c r="K9952" t="n">
        <v>0</v>
      </c>
      <c r="L9952" t="n">
        <v>0</v>
      </c>
      <c r="M9952" t="n">
        <v>0</v>
      </c>
      <c r="N9952" t="n">
        <v>0</v>
      </c>
      <c r="O9952" t="n">
        <v>0</v>
      </c>
      <c r="P9952" t="n">
        <v>0</v>
      </c>
      <c r="Q9952" t="n">
        <v>0</v>
      </c>
      <c r="R9952" s="2" t="inlineStr"/>
    </row>
    <row r="9953" ht="15" customHeight="1">
      <c r="A9953" t="inlineStr">
        <is>
          <t>A 23073-2023</t>
        </is>
      </c>
      <c r="B9953" s="1" t="n">
        <v>45070</v>
      </c>
      <c r="C9953" s="1" t="n">
        <v>45810</v>
      </c>
      <c r="D9953" t="inlineStr">
        <is>
          <t>VÄRMLANDS LÄN</t>
        </is>
      </c>
      <c r="E9953" t="inlineStr">
        <is>
          <t>TORSBY</t>
        </is>
      </c>
      <c r="G9953" t="n">
        <v>15.1</v>
      </c>
      <c r="H9953" t="n">
        <v>0</v>
      </c>
      <c r="I9953" t="n">
        <v>0</v>
      </c>
      <c r="J9953" t="n">
        <v>0</v>
      </c>
      <c r="K9953" t="n">
        <v>0</v>
      </c>
      <c r="L9953" t="n">
        <v>0</v>
      </c>
      <c r="M9953" t="n">
        <v>0</v>
      </c>
      <c r="N9953" t="n">
        <v>0</v>
      </c>
      <c r="O9953" t="n">
        <v>0</v>
      </c>
      <c r="P9953" t="n">
        <v>0</v>
      </c>
      <c r="Q9953" t="n">
        <v>0</v>
      </c>
      <c r="R9953" s="2" t="inlineStr"/>
    </row>
    <row r="9954" ht="15" customHeight="1">
      <c r="A9954" t="inlineStr">
        <is>
          <t>A 22850-2023</t>
        </is>
      </c>
      <c r="B9954" s="1" t="n">
        <v>45070</v>
      </c>
      <c r="C9954" s="1" t="n">
        <v>45810</v>
      </c>
      <c r="D9954" t="inlineStr">
        <is>
          <t>VÄRMLANDS LÄN</t>
        </is>
      </c>
      <c r="E9954" t="inlineStr">
        <is>
          <t>ÅRJÄNG</t>
        </is>
      </c>
      <c r="G9954" t="n">
        <v>1.7</v>
      </c>
      <c r="H9954" t="n">
        <v>0</v>
      </c>
      <c r="I9954" t="n">
        <v>0</v>
      </c>
      <c r="J9954" t="n">
        <v>0</v>
      </c>
      <c r="K9954" t="n">
        <v>0</v>
      </c>
      <c r="L9954" t="n">
        <v>0</v>
      </c>
      <c r="M9954" t="n">
        <v>0</v>
      </c>
      <c r="N9954" t="n">
        <v>0</v>
      </c>
      <c r="O9954" t="n">
        <v>0</v>
      </c>
      <c r="P9954" t="n">
        <v>0</v>
      </c>
      <c r="Q9954" t="n">
        <v>0</v>
      </c>
      <c r="R9954" s="2" t="inlineStr"/>
    </row>
    <row r="9955" ht="15" customHeight="1">
      <c r="A9955" t="inlineStr">
        <is>
          <t>A 22920-2023</t>
        </is>
      </c>
      <c r="B9955" s="1" t="n">
        <v>45070</v>
      </c>
      <c r="C9955" s="1" t="n">
        <v>45810</v>
      </c>
      <c r="D9955" t="inlineStr">
        <is>
          <t>VÄRMLANDS LÄN</t>
        </is>
      </c>
      <c r="E9955" t="inlineStr">
        <is>
          <t>TORSBY</t>
        </is>
      </c>
      <c r="G9955" t="n">
        <v>6.3</v>
      </c>
      <c r="H9955" t="n">
        <v>0</v>
      </c>
      <c r="I9955" t="n">
        <v>0</v>
      </c>
      <c r="J9955" t="n">
        <v>0</v>
      </c>
      <c r="K9955" t="n">
        <v>0</v>
      </c>
      <c r="L9955" t="n">
        <v>0</v>
      </c>
      <c r="M9955" t="n">
        <v>0</v>
      </c>
      <c r="N9955" t="n">
        <v>0</v>
      </c>
      <c r="O9955" t="n">
        <v>0</v>
      </c>
      <c r="P9955" t="n">
        <v>0</v>
      </c>
      <c r="Q9955" t="n">
        <v>0</v>
      </c>
      <c r="R9955" s="2" t="inlineStr"/>
    </row>
    <row r="9956" ht="15" customHeight="1">
      <c r="A9956" t="inlineStr">
        <is>
          <t>A 22494-2023</t>
        </is>
      </c>
      <c r="B9956" s="1" t="n">
        <v>45071</v>
      </c>
      <c r="C9956" s="1" t="n">
        <v>45810</v>
      </c>
      <c r="D9956" t="inlineStr">
        <is>
          <t>VÄRMLANDS LÄN</t>
        </is>
      </c>
      <c r="E9956" t="inlineStr">
        <is>
          <t>TORSBY</t>
        </is>
      </c>
      <c r="F9956" t="inlineStr">
        <is>
          <t>Bergvik skog väst AB</t>
        </is>
      </c>
      <c r="G9956" t="n">
        <v>25.7</v>
      </c>
      <c r="H9956" t="n">
        <v>0</v>
      </c>
      <c r="I9956" t="n">
        <v>0</v>
      </c>
      <c r="J9956" t="n">
        <v>0</v>
      </c>
      <c r="K9956" t="n">
        <v>0</v>
      </c>
      <c r="L9956" t="n">
        <v>0</v>
      </c>
      <c r="M9956" t="n">
        <v>0</v>
      </c>
      <c r="N9956" t="n">
        <v>0</v>
      </c>
      <c r="O9956" t="n">
        <v>0</v>
      </c>
      <c r="P9956" t="n">
        <v>0</v>
      </c>
      <c r="Q9956" t="n">
        <v>0</v>
      </c>
      <c r="R9956" s="2" t="inlineStr"/>
    </row>
    <row r="9957" ht="15" customHeight="1">
      <c r="A9957" t="inlineStr">
        <is>
          <t>A 22524-2023</t>
        </is>
      </c>
      <c r="B9957" s="1" t="n">
        <v>45071</v>
      </c>
      <c r="C9957" s="1" t="n">
        <v>45810</v>
      </c>
      <c r="D9957" t="inlineStr">
        <is>
          <t>VÄRMLANDS LÄN</t>
        </is>
      </c>
      <c r="E9957" t="inlineStr">
        <is>
          <t>TORSBY</t>
        </is>
      </c>
      <c r="F9957" t="inlineStr">
        <is>
          <t>Bergvik skog väst AB</t>
        </is>
      </c>
      <c r="G9957" t="n">
        <v>3.1</v>
      </c>
      <c r="H9957" t="n">
        <v>0</v>
      </c>
      <c r="I9957" t="n">
        <v>0</v>
      </c>
      <c r="J9957" t="n">
        <v>0</v>
      </c>
      <c r="K9957" t="n">
        <v>0</v>
      </c>
      <c r="L9957" t="n">
        <v>0</v>
      </c>
      <c r="M9957" t="n">
        <v>0</v>
      </c>
      <c r="N9957" t="n">
        <v>0</v>
      </c>
      <c r="O9957" t="n">
        <v>0</v>
      </c>
      <c r="P9957" t="n">
        <v>0</v>
      </c>
      <c r="Q9957" t="n">
        <v>0</v>
      </c>
      <c r="R9957" s="2" t="inlineStr"/>
    </row>
    <row r="9958" ht="15" customHeight="1">
      <c r="A9958" t="inlineStr">
        <is>
          <t>A 22535-2023</t>
        </is>
      </c>
      <c r="B9958" s="1" t="n">
        <v>45071</v>
      </c>
      <c r="C9958" s="1" t="n">
        <v>45810</v>
      </c>
      <c r="D9958" t="inlineStr">
        <is>
          <t>VÄRMLANDS LÄN</t>
        </is>
      </c>
      <c r="E9958" t="inlineStr">
        <is>
          <t>KARLSTAD</t>
        </is>
      </c>
      <c r="G9958" t="n">
        <v>8.199999999999999</v>
      </c>
      <c r="H9958" t="n">
        <v>0</v>
      </c>
      <c r="I9958" t="n">
        <v>0</v>
      </c>
      <c r="J9958" t="n">
        <v>0</v>
      </c>
      <c r="K9958" t="n">
        <v>0</v>
      </c>
      <c r="L9958" t="n">
        <v>0</v>
      </c>
      <c r="M9958" t="n">
        <v>0</v>
      </c>
      <c r="N9958" t="n">
        <v>0</v>
      </c>
      <c r="O9958" t="n">
        <v>0</v>
      </c>
      <c r="P9958" t="n">
        <v>0</v>
      </c>
      <c r="Q9958" t="n">
        <v>0</v>
      </c>
      <c r="R9958" s="2" t="inlineStr"/>
    </row>
    <row r="9959" ht="15" customHeight="1">
      <c r="A9959" t="inlineStr">
        <is>
          <t>A 22496-2023</t>
        </is>
      </c>
      <c r="B9959" s="1" t="n">
        <v>45071</v>
      </c>
      <c r="C9959" s="1" t="n">
        <v>45810</v>
      </c>
      <c r="D9959" t="inlineStr">
        <is>
          <t>VÄRMLANDS LÄN</t>
        </is>
      </c>
      <c r="E9959" t="inlineStr">
        <is>
          <t>ARVIKA</t>
        </is>
      </c>
      <c r="G9959" t="n">
        <v>0.9</v>
      </c>
      <c r="H9959" t="n">
        <v>0</v>
      </c>
      <c r="I9959" t="n">
        <v>0</v>
      </c>
      <c r="J9959" t="n">
        <v>0</v>
      </c>
      <c r="K9959" t="n">
        <v>0</v>
      </c>
      <c r="L9959" t="n">
        <v>0</v>
      </c>
      <c r="M9959" t="n">
        <v>0</v>
      </c>
      <c r="N9959" t="n">
        <v>0</v>
      </c>
      <c r="O9959" t="n">
        <v>0</v>
      </c>
      <c r="P9959" t="n">
        <v>0</v>
      </c>
      <c r="Q9959" t="n">
        <v>0</v>
      </c>
      <c r="R9959" s="2" t="inlineStr"/>
    </row>
    <row r="9960" ht="15" customHeight="1">
      <c r="A9960" t="inlineStr">
        <is>
          <t>A 22587-2023</t>
        </is>
      </c>
      <c r="B9960" s="1" t="n">
        <v>45071</v>
      </c>
      <c r="C9960" s="1" t="n">
        <v>45810</v>
      </c>
      <c r="D9960" t="inlineStr">
        <is>
          <t>VÄRMLANDS LÄN</t>
        </is>
      </c>
      <c r="E9960" t="inlineStr">
        <is>
          <t>TORSBY</t>
        </is>
      </c>
      <c r="F9960" t="inlineStr">
        <is>
          <t>Bergvik skog väst AB</t>
        </is>
      </c>
      <c r="G9960" t="n">
        <v>5.1</v>
      </c>
      <c r="H9960" t="n">
        <v>0</v>
      </c>
      <c r="I9960" t="n">
        <v>0</v>
      </c>
      <c r="J9960" t="n">
        <v>0</v>
      </c>
      <c r="K9960" t="n">
        <v>0</v>
      </c>
      <c r="L9960" t="n">
        <v>0</v>
      </c>
      <c r="M9960" t="n">
        <v>0</v>
      </c>
      <c r="N9960" t="n">
        <v>0</v>
      </c>
      <c r="O9960" t="n">
        <v>0</v>
      </c>
      <c r="P9960" t="n">
        <v>0</v>
      </c>
      <c r="Q9960" t="n">
        <v>0</v>
      </c>
      <c r="R9960" s="2" t="inlineStr"/>
    </row>
    <row r="9961" ht="15" customHeight="1">
      <c r="A9961" t="inlineStr">
        <is>
          <t>A 22618-2023</t>
        </is>
      </c>
      <c r="B9961" s="1" t="n">
        <v>45071</v>
      </c>
      <c r="C9961" s="1" t="n">
        <v>45810</v>
      </c>
      <c r="D9961" t="inlineStr">
        <is>
          <t>VÄRMLANDS LÄN</t>
        </is>
      </c>
      <c r="E9961" t="inlineStr">
        <is>
          <t>TORSBY</t>
        </is>
      </c>
      <c r="F9961" t="inlineStr">
        <is>
          <t>Bergvik skog väst AB</t>
        </is>
      </c>
      <c r="G9961" t="n">
        <v>3</v>
      </c>
      <c r="H9961" t="n">
        <v>0</v>
      </c>
      <c r="I9961" t="n">
        <v>0</v>
      </c>
      <c r="J9961" t="n">
        <v>0</v>
      </c>
      <c r="K9961" t="n">
        <v>0</v>
      </c>
      <c r="L9961" t="n">
        <v>0</v>
      </c>
      <c r="M9961" t="n">
        <v>0</v>
      </c>
      <c r="N9961" t="n">
        <v>0</v>
      </c>
      <c r="O9961" t="n">
        <v>0</v>
      </c>
      <c r="P9961" t="n">
        <v>0</v>
      </c>
      <c r="Q9961" t="n">
        <v>0</v>
      </c>
      <c r="R9961" s="2" t="inlineStr"/>
    </row>
    <row r="9962" ht="15" customHeight="1">
      <c r="A9962" t="inlineStr">
        <is>
          <t>A 22655-2023</t>
        </is>
      </c>
      <c r="B9962" s="1" t="n">
        <v>45071</v>
      </c>
      <c r="C9962" s="1" t="n">
        <v>45810</v>
      </c>
      <c r="D9962" t="inlineStr">
        <is>
          <t>VÄRMLANDS LÄN</t>
        </is>
      </c>
      <c r="E9962" t="inlineStr">
        <is>
          <t>TORSBY</t>
        </is>
      </c>
      <c r="F9962" t="inlineStr">
        <is>
          <t>Bergvik skog väst AB</t>
        </is>
      </c>
      <c r="G9962" t="n">
        <v>4.1</v>
      </c>
      <c r="H9962" t="n">
        <v>0</v>
      </c>
      <c r="I9962" t="n">
        <v>0</v>
      </c>
      <c r="J9962" t="n">
        <v>0</v>
      </c>
      <c r="K9962" t="n">
        <v>0</v>
      </c>
      <c r="L9962" t="n">
        <v>0</v>
      </c>
      <c r="M9962" t="n">
        <v>0</v>
      </c>
      <c r="N9962" t="n">
        <v>0</v>
      </c>
      <c r="O9962" t="n">
        <v>0</v>
      </c>
      <c r="P9962" t="n">
        <v>0</v>
      </c>
      <c r="Q9962" t="n">
        <v>0</v>
      </c>
      <c r="R9962" s="2" t="inlineStr"/>
    </row>
    <row r="9963" ht="15" customHeight="1">
      <c r="A9963" t="inlineStr">
        <is>
          <t>A 22489-2023</t>
        </is>
      </c>
      <c r="B9963" s="1" t="n">
        <v>45071</v>
      </c>
      <c r="C9963" s="1" t="n">
        <v>45810</v>
      </c>
      <c r="D9963" t="inlineStr">
        <is>
          <t>VÄRMLANDS LÄN</t>
        </is>
      </c>
      <c r="E9963" t="inlineStr">
        <is>
          <t>SUNNE</t>
        </is>
      </c>
      <c r="G9963" t="n">
        <v>3</v>
      </c>
      <c r="H9963" t="n">
        <v>0</v>
      </c>
      <c r="I9963" t="n">
        <v>0</v>
      </c>
      <c r="J9963" t="n">
        <v>0</v>
      </c>
      <c r="K9963" t="n">
        <v>0</v>
      </c>
      <c r="L9963" t="n">
        <v>0</v>
      </c>
      <c r="M9963" t="n">
        <v>0</v>
      </c>
      <c r="N9963" t="n">
        <v>0</v>
      </c>
      <c r="O9963" t="n">
        <v>0</v>
      </c>
      <c r="P9963" t="n">
        <v>0</v>
      </c>
      <c r="Q9963" t="n">
        <v>0</v>
      </c>
      <c r="R9963" s="2" t="inlineStr"/>
    </row>
    <row r="9964" ht="15" customHeight="1">
      <c r="A9964" t="inlineStr">
        <is>
          <t>A 22505-2023</t>
        </is>
      </c>
      <c r="B9964" s="1" t="n">
        <v>45071</v>
      </c>
      <c r="C9964" s="1" t="n">
        <v>45810</v>
      </c>
      <c r="D9964" t="inlineStr">
        <is>
          <t>VÄRMLANDS LÄN</t>
        </is>
      </c>
      <c r="E9964" t="inlineStr">
        <is>
          <t>KARLSTAD</t>
        </is>
      </c>
      <c r="G9964" t="n">
        <v>1.5</v>
      </c>
      <c r="H9964" t="n">
        <v>0</v>
      </c>
      <c r="I9964" t="n">
        <v>0</v>
      </c>
      <c r="J9964" t="n">
        <v>0</v>
      </c>
      <c r="K9964" t="n">
        <v>0</v>
      </c>
      <c r="L9964" t="n">
        <v>0</v>
      </c>
      <c r="M9964" t="n">
        <v>0</v>
      </c>
      <c r="N9964" t="n">
        <v>0</v>
      </c>
      <c r="O9964" t="n">
        <v>0</v>
      </c>
      <c r="P9964" t="n">
        <v>0</v>
      </c>
      <c r="Q9964" t="n">
        <v>0</v>
      </c>
      <c r="R9964" s="2" t="inlineStr"/>
    </row>
    <row r="9965" ht="15" customHeight="1">
      <c r="A9965" t="inlineStr">
        <is>
          <t>A 22538-2023</t>
        </is>
      </c>
      <c r="B9965" s="1" t="n">
        <v>45071</v>
      </c>
      <c r="C9965" s="1" t="n">
        <v>45810</v>
      </c>
      <c r="D9965" t="inlineStr">
        <is>
          <t>VÄRMLANDS LÄN</t>
        </is>
      </c>
      <c r="E9965" t="inlineStr">
        <is>
          <t>KARLSTAD</t>
        </is>
      </c>
      <c r="G9965" t="n">
        <v>4</v>
      </c>
      <c r="H9965" t="n">
        <v>0</v>
      </c>
      <c r="I9965" t="n">
        <v>0</v>
      </c>
      <c r="J9965" t="n">
        <v>0</v>
      </c>
      <c r="K9965" t="n">
        <v>0</v>
      </c>
      <c r="L9965" t="n">
        <v>0</v>
      </c>
      <c r="M9965" t="n">
        <v>0</v>
      </c>
      <c r="N9965" t="n">
        <v>0</v>
      </c>
      <c r="O9965" t="n">
        <v>0</v>
      </c>
      <c r="P9965" t="n">
        <v>0</v>
      </c>
      <c r="Q9965" t="n">
        <v>0</v>
      </c>
      <c r="R9965" s="2" t="inlineStr"/>
    </row>
    <row r="9966" ht="15" customHeight="1">
      <c r="A9966" t="inlineStr">
        <is>
          <t>A 22611-2023</t>
        </is>
      </c>
      <c r="B9966" s="1" t="n">
        <v>45071</v>
      </c>
      <c r="C9966" s="1" t="n">
        <v>45810</v>
      </c>
      <c r="D9966" t="inlineStr">
        <is>
          <t>VÄRMLANDS LÄN</t>
        </is>
      </c>
      <c r="E9966" t="inlineStr">
        <is>
          <t>HAGFORS</t>
        </is>
      </c>
      <c r="F9966" t="inlineStr">
        <is>
          <t>Bergvik skog väst AB</t>
        </is>
      </c>
      <c r="G9966" t="n">
        <v>4.9</v>
      </c>
      <c r="H9966" t="n">
        <v>0</v>
      </c>
      <c r="I9966" t="n">
        <v>0</v>
      </c>
      <c r="J9966" t="n">
        <v>0</v>
      </c>
      <c r="K9966" t="n">
        <v>0</v>
      </c>
      <c r="L9966" t="n">
        <v>0</v>
      </c>
      <c r="M9966" t="n">
        <v>0</v>
      </c>
      <c r="N9966" t="n">
        <v>0</v>
      </c>
      <c r="O9966" t="n">
        <v>0</v>
      </c>
      <c r="P9966" t="n">
        <v>0</v>
      </c>
      <c r="Q9966" t="n">
        <v>0</v>
      </c>
      <c r="R9966" s="2" t="inlineStr"/>
    </row>
    <row r="9967" ht="15" customHeight="1">
      <c r="A9967" t="inlineStr">
        <is>
          <t>A 22540-2023</t>
        </is>
      </c>
      <c r="B9967" s="1" t="n">
        <v>45071</v>
      </c>
      <c r="C9967" s="1" t="n">
        <v>45810</v>
      </c>
      <c r="D9967" t="inlineStr">
        <is>
          <t>VÄRMLANDS LÄN</t>
        </is>
      </c>
      <c r="E9967" t="inlineStr">
        <is>
          <t>KARLSTAD</t>
        </is>
      </c>
      <c r="G9967" t="n">
        <v>12.1</v>
      </c>
      <c r="H9967" t="n">
        <v>0</v>
      </c>
      <c r="I9967" t="n">
        <v>0</v>
      </c>
      <c r="J9967" t="n">
        <v>0</v>
      </c>
      <c r="K9967" t="n">
        <v>0</v>
      </c>
      <c r="L9967" t="n">
        <v>0</v>
      </c>
      <c r="M9967" t="n">
        <v>0</v>
      </c>
      <c r="N9967" t="n">
        <v>0</v>
      </c>
      <c r="O9967" t="n">
        <v>0</v>
      </c>
      <c r="P9967" t="n">
        <v>0</v>
      </c>
      <c r="Q9967" t="n">
        <v>0</v>
      </c>
      <c r="R9967" s="2" t="inlineStr"/>
    </row>
    <row r="9968" ht="15" customHeight="1">
      <c r="A9968" t="inlineStr">
        <is>
          <t>A 22563-2023</t>
        </is>
      </c>
      <c r="B9968" s="1" t="n">
        <v>45071</v>
      </c>
      <c r="C9968" s="1" t="n">
        <v>45810</v>
      </c>
      <c r="D9968" t="inlineStr">
        <is>
          <t>VÄRMLANDS LÄN</t>
        </is>
      </c>
      <c r="E9968" t="inlineStr">
        <is>
          <t>ARVIKA</t>
        </is>
      </c>
      <c r="G9968" t="n">
        <v>0.8</v>
      </c>
      <c r="H9968" t="n">
        <v>0</v>
      </c>
      <c r="I9968" t="n">
        <v>0</v>
      </c>
      <c r="J9968" t="n">
        <v>0</v>
      </c>
      <c r="K9968" t="n">
        <v>0</v>
      </c>
      <c r="L9968" t="n">
        <v>0</v>
      </c>
      <c r="M9968" t="n">
        <v>0</v>
      </c>
      <c r="N9968" t="n">
        <v>0</v>
      </c>
      <c r="O9968" t="n">
        <v>0</v>
      </c>
      <c r="P9968" t="n">
        <v>0</v>
      </c>
      <c r="Q9968" t="n">
        <v>0</v>
      </c>
      <c r="R9968" s="2" t="inlineStr"/>
    </row>
    <row r="9969" ht="15" customHeight="1">
      <c r="A9969" t="inlineStr">
        <is>
          <t>A 22676-2023</t>
        </is>
      </c>
      <c r="B9969" s="1" t="n">
        <v>45071</v>
      </c>
      <c r="C9969" s="1" t="n">
        <v>45810</v>
      </c>
      <c r="D9969" t="inlineStr">
        <is>
          <t>VÄRMLANDS LÄN</t>
        </is>
      </c>
      <c r="E9969" t="inlineStr">
        <is>
          <t>HAGFORS</t>
        </is>
      </c>
      <c r="F9969" t="inlineStr">
        <is>
          <t>Bergvik skog väst AB</t>
        </is>
      </c>
      <c r="G9969" t="n">
        <v>4.3</v>
      </c>
      <c r="H9969" t="n">
        <v>0</v>
      </c>
      <c r="I9969" t="n">
        <v>0</v>
      </c>
      <c r="J9969" t="n">
        <v>0</v>
      </c>
      <c r="K9969" t="n">
        <v>0</v>
      </c>
      <c r="L9969" t="n">
        <v>0</v>
      </c>
      <c r="M9969" t="n">
        <v>0</v>
      </c>
      <c r="N9969" t="n">
        <v>0</v>
      </c>
      <c r="O9969" t="n">
        <v>0</v>
      </c>
      <c r="P9969" t="n">
        <v>0</v>
      </c>
      <c r="Q9969" t="n">
        <v>0</v>
      </c>
      <c r="R9969" s="2" t="inlineStr"/>
    </row>
    <row r="9970" ht="15" customHeight="1">
      <c r="A9970" t="inlineStr">
        <is>
          <t>A 22681-2023</t>
        </is>
      </c>
      <c r="B9970" s="1" t="n">
        <v>45071</v>
      </c>
      <c r="C9970" s="1" t="n">
        <v>45810</v>
      </c>
      <c r="D9970" t="inlineStr">
        <is>
          <t>VÄRMLANDS LÄN</t>
        </is>
      </c>
      <c r="E9970" t="inlineStr">
        <is>
          <t>FILIPSTAD</t>
        </is>
      </c>
      <c r="F9970" t="inlineStr">
        <is>
          <t>Bergvik skog väst AB</t>
        </is>
      </c>
      <c r="G9970" t="n">
        <v>1.5</v>
      </c>
      <c r="H9970" t="n">
        <v>0</v>
      </c>
      <c r="I9970" t="n">
        <v>0</v>
      </c>
      <c r="J9970" t="n">
        <v>0</v>
      </c>
      <c r="K9970" t="n">
        <v>0</v>
      </c>
      <c r="L9970" t="n">
        <v>0</v>
      </c>
      <c r="M9970" t="n">
        <v>0</v>
      </c>
      <c r="N9970" t="n">
        <v>0</v>
      </c>
      <c r="O9970" t="n">
        <v>0</v>
      </c>
      <c r="P9970" t="n">
        <v>0</v>
      </c>
      <c r="Q9970" t="n">
        <v>0</v>
      </c>
      <c r="R9970" s="2" t="inlineStr"/>
    </row>
    <row r="9971" ht="15" customHeight="1">
      <c r="A9971" t="inlineStr">
        <is>
          <t>A 22705-2023</t>
        </is>
      </c>
      <c r="B9971" s="1" t="n">
        <v>45071</v>
      </c>
      <c r="C9971" s="1" t="n">
        <v>45810</v>
      </c>
      <c r="D9971" t="inlineStr">
        <is>
          <t>VÄRMLANDS LÄN</t>
        </is>
      </c>
      <c r="E9971" t="inlineStr">
        <is>
          <t>TORSBY</t>
        </is>
      </c>
      <c r="G9971" t="n">
        <v>0.6</v>
      </c>
      <c r="H9971" t="n">
        <v>0</v>
      </c>
      <c r="I9971" t="n">
        <v>0</v>
      </c>
      <c r="J9971" t="n">
        <v>0</v>
      </c>
      <c r="K9971" t="n">
        <v>0</v>
      </c>
      <c r="L9971" t="n">
        <v>0</v>
      </c>
      <c r="M9971" t="n">
        <v>0</v>
      </c>
      <c r="N9971" t="n">
        <v>0</v>
      </c>
      <c r="O9971" t="n">
        <v>0</v>
      </c>
      <c r="P9971" t="n">
        <v>0</v>
      </c>
      <c r="Q9971" t="n">
        <v>0</v>
      </c>
      <c r="R9971" s="2" t="inlineStr"/>
    </row>
    <row r="9972" ht="15" customHeight="1">
      <c r="A9972" t="inlineStr">
        <is>
          <t>A 22666-2023</t>
        </is>
      </c>
      <c r="B9972" s="1" t="n">
        <v>45071</v>
      </c>
      <c r="C9972" s="1" t="n">
        <v>45810</v>
      </c>
      <c r="D9972" t="inlineStr">
        <is>
          <t>VÄRMLANDS LÄN</t>
        </is>
      </c>
      <c r="E9972" t="inlineStr">
        <is>
          <t>FILIPSTAD</t>
        </is>
      </c>
      <c r="F9972" t="inlineStr">
        <is>
          <t>Bergvik skog väst AB</t>
        </is>
      </c>
      <c r="G9972" t="n">
        <v>1.4</v>
      </c>
      <c r="H9972" t="n">
        <v>0</v>
      </c>
      <c r="I9972" t="n">
        <v>0</v>
      </c>
      <c r="J9972" t="n">
        <v>0</v>
      </c>
      <c r="K9972" t="n">
        <v>0</v>
      </c>
      <c r="L9972" t="n">
        <v>0</v>
      </c>
      <c r="M9972" t="n">
        <v>0</v>
      </c>
      <c r="N9972" t="n">
        <v>0</v>
      </c>
      <c r="O9972" t="n">
        <v>0</v>
      </c>
      <c r="P9972" t="n">
        <v>0</v>
      </c>
      <c r="Q9972" t="n">
        <v>0</v>
      </c>
      <c r="R9972" s="2" t="inlineStr"/>
    </row>
    <row r="9973" ht="15" customHeight="1">
      <c r="A9973" t="inlineStr">
        <is>
          <t>A 22687-2023</t>
        </is>
      </c>
      <c r="B9973" s="1" t="n">
        <v>45071</v>
      </c>
      <c r="C9973" s="1" t="n">
        <v>45810</v>
      </c>
      <c r="D9973" t="inlineStr">
        <is>
          <t>VÄRMLANDS LÄN</t>
        </is>
      </c>
      <c r="E9973" t="inlineStr">
        <is>
          <t>TORSBY</t>
        </is>
      </c>
      <c r="F9973" t="inlineStr">
        <is>
          <t>Bergvik skog väst AB</t>
        </is>
      </c>
      <c r="G9973" t="n">
        <v>5.8</v>
      </c>
      <c r="H9973" t="n">
        <v>0</v>
      </c>
      <c r="I9973" t="n">
        <v>0</v>
      </c>
      <c r="J9973" t="n">
        <v>0</v>
      </c>
      <c r="K9973" t="n">
        <v>0</v>
      </c>
      <c r="L9973" t="n">
        <v>0</v>
      </c>
      <c r="M9973" t="n">
        <v>0</v>
      </c>
      <c r="N9973" t="n">
        <v>0</v>
      </c>
      <c r="O9973" t="n">
        <v>0</v>
      </c>
      <c r="P9973" t="n">
        <v>0</v>
      </c>
      <c r="Q9973" t="n">
        <v>0</v>
      </c>
      <c r="R9973" s="2" t="inlineStr"/>
    </row>
    <row r="9974" ht="15" customHeight="1">
      <c r="A9974" t="inlineStr">
        <is>
          <t>A 22665-2023</t>
        </is>
      </c>
      <c r="B9974" s="1" t="n">
        <v>45071</v>
      </c>
      <c r="C9974" s="1" t="n">
        <v>45810</v>
      </c>
      <c r="D9974" t="inlineStr">
        <is>
          <t>VÄRMLANDS LÄN</t>
        </is>
      </c>
      <c r="E9974" t="inlineStr">
        <is>
          <t>FILIPSTAD</t>
        </is>
      </c>
      <c r="F9974" t="inlineStr">
        <is>
          <t>Bergvik skog väst AB</t>
        </is>
      </c>
      <c r="G9974" t="n">
        <v>6.4</v>
      </c>
      <c r="H9974" t="n">
        <v>0</v>
      </c>
      <c r="I9974" t="n">
        <v>0</v>
      </c>
      <c r="J9974" t="n">
        <v>0</v>
      </c>
      <c r="K9974" t="n">
        <v>0</v>
      </c>
      <c r="L9974" t="n">
        <v>0</v>
      </c>
      <c r="M9974" t="n">
        <v>0</v>
      </c>
      <c r="N9974" t="n">
        <v>0</v>
      </c>
      <c r="O9974" t="n">
        <v>0</v>
      </c>
      <c r="P9974" t="n">
        <v>0</v>
      </c>
      <c r="Q9974" t="n">
        <v>0</v>
      </c>
      <c r="R9974" s="2" t="inlineStr"/>
    </row>
    <row r="9975" ht="15" customHeight="1">
      <c r="A9975" t="inlineStr">
        <is>
          <t>A 22634-2023</t>
        </is>
      </c>
      <c r="B9975" s="1" t="n">
        <v>45071</v>
      </c>
      <c r="C9975" s="1" t="n">
        <v>45810</v>
      </c>
      <c r="D9975" t="inlineStr">
        <is>
          <t>VÄRMLANDS LÄN</t>
        </is>
      </c>
      <c r="E9975" t="inlineStr">
        <is>
          <t>TORSBY</t>
        </is>
      </c>
      <c r="F9975" t="inlineStr">
        <is>
          <t>Bergvik skog väst AB</t>
        </is>
      </c>
      <c r="G9975" t="n">
        <v>0.2</v>
      </c>
      <c r="H9975" t="n">
        <v>0</v>
      </c>
      <c r="I9975" t="n">
        <v>0</v>
      </c>
      <c r="J9975" t="n">
        <v>0</v>
      </c>
      <c r="K9975" t="n">
        <v>0</v>
      </c>
      <c r="L9975" t="n">
        <v>0</v>
      </c>
      <c r="M9975" t="n">
        <v>0</v>
      </c>
      <c r="N9975" t="n">
        <v>0</v>
      </c>
      <c r="O9975" t="n">
        <v>0</v>
      </c>
      <c r="P9975" t="n">
        <v>0</v>
      </c>
      <c r="Q9975" t="n">
        <v>0</v>
      </c>
      <c r="R9975" s="2" t="inlineStr"/>
    </row>
    <row r="9976" ht="15" customHeight="1">
      <c r="A9976" t="inlineStr">
        <is>
          <t>A 22675-2023</t>
        </is>
      </c>
      <c r="B9976" s="1" t="n">
        <v>45071</v>
      </c>
      <c r="C9976" s="1" t="n">
        <v>45810</v>
      </c>
      <c r="D9976" t="inlineStr">
        <is>
          <t>VÄRMLANDS LÄN</t>
        </is>
      </c>
      <c r="E9976" t="inlineStr">
        <is>
          <t>TORSBY</t>
        </is>
      </c>
      <c r="F9976" t="inlineStr">
        <is>
          <t>Bergvik skog väst AB</t>
        </is>
      </c>
      <c r="G9976" t="n">
        <v>3.7</v>
      </c>
      <c r="H9976" t="n">
        <v>0</v>
      </c>
      <c r="I9976" t="n">
        <v>0</v>
      </c>
      <c r="J9976" t="n">
        <v>0</v>
      </c>
      <c r="K9976" t="n">
        <v>0</v>
      </c>
      <c r="L9976" t="n">
        <v>0</v>
      </c>
      <c r="M9976" t="n">
        <v>0</v>
      </c>
      <c r="N9976" t="n">
        <v>0</v>
      </c>
      <c r="O9976" t="n">
        <v>0</v>
      </c>
      <c r="P9976" t="n">
        <v>0</v>
      </c>
      <c r="Q9976" t="n">
        <v>0</v>
      </c>
      <c r="R9976" s="2" t="inlineStr"/>
    </row>
    <row r="9977" ht="15" customHeight="1">
      <c r="A9977" t="inlineStr">
        <is>
          <t>A 22680-2023</t>
        </is>
      </c>
      <c r="B9977" s="1" t="n">
        <v>45071</v>
      </c>
      <c r="C9977" s="1" t="n">
        <v>45810</v>
      </c>
      <c r="D9977" t="inlineStr">
        <is>
          <t>VÄRMLANDS LÄN</t>
        </is>
      </c>
      <c r="E9977" t="inlineStr">
        <is>
          <t>SÄFFLE</t>
        </is>
      </c>
      <c r="G9977" t="n">
        <v>1.9</v>
      </c>
      <c r="H9977" t="n">
        <v>0</v>
      </c>
      <c r="I9977" t="n">
        <v>0</v>
      </c>
      <c r="J9977" t="n">
        <v>0</v>
      </c>
      <c r="K9977" t="n">
        <v>0</v>
      </c>
      <c r="L9977" t="n">
        <v>0</v>
      </c>
      <c r="M9977" t="n">
        <v>0</v>
      </c>
      <c r="N9977" t="n">
        <v>0</v>
      </c>
      <c r="O9977" t="n">
        <v>0</v>
      </c>
      <c r="P9977" t="n">
        <v>0</v>
      </c>
      <c r="Q9977" t="n">
        <v>0</v>
      </c>
      <c r="R9977" s="2" t="inlineStr"/>
    </row>
    <row r="9978" ht="15" customHeight="1">
      <c r="A9978" t="inlineStr">
        <is>
          <t>A 22702-2023</t>
        </is>
      </c>
      <c r="B9978" s="1" t="n">
        <v>45071</v>
      </c>
      <c r="C9978" s="1" t="n">
        <v>45810</v>
      </c>
      <c r="D9978" t="inlineStr">
        <is>
          <t>VÄRMLANDS LÄN</t>
        </is>
      </c>
      <c r="E9978" t="inlineStr">
        <is>
          <t>TORSBY</t>
        </is>
      </c>
      <c r="G9978" t="n">
        <v>0.8</v>
      </c>
      <c r="H9978" t="n">
        <v>0</v>
      </c>
      <c r="I9978" t="n">
        <v>0</v>
      </c>
      <c r="J9978" t="n">
        <v>0</v>
      </c>
      <c r="K9978" t="n">
        <v>0</v>
      </c>
      <c r="L9978" t="n">
        <v>0</v>
      </c>
      <c r="M9978" t="n">
        <v>0</v>
      </c>
      <c r="N9978" t="n">
        <v>0</v>
      </c>
      <c r="O9978" t="n">
        <v>0</v>
      </c>
      <c r="P9978" t="n">
        <v>0</v>
      </c>
      <c r="Q9978" t="n">
        <v>0</v>
      </c>
      <c r="R9978" s="2" t="inlineStr"/>
    </row>
    <row r="9979" ht="15" customHeight="1">
      <c r="A9979" t="inlineStr">
        <is>
          <t>A 23180-2023</t>
        </is>
      </c>
      <c r="B9979" s="1" t="n">
        <v>45071</v>
      </c>
      <c r="C9979" s="1" t="n">
        <v>45810</v>
      </c>
      <c r="D9979" t="inlineStr">
        <is>
          <t>VÄRMLANDS LÄN</t>
        </is>
      </c>
      <c r="E9979" t="inlineStr">
        <is>
          <t>EDA</t>
        </is>
      </c>
      <c r="G9979" t="n">
        <v>3.6</v>
      </c>
      <c r="H9979" t="n">
        <v>0</v>
      </c>
      <c r="I9979" t="n">
        <v>0</v>
      </c>
      <c r="J9979" t="n">
        <v>0</v>
      </c>
      <c r="K9979" t="n">
        <v>0</v>
      </c>
      <c r="L9979" t="n">
        <v>0</v>
      </c>
      <c r="M9979" t="n">
        <v>0</v>
      </c>
      <c r="N9979" t="n">
        <v>0</v>
      </c>
      <c r="O9979" t="n">
        <v>0</v>
      </c>
      <c r="P9979" t="n">
        <v>0</v>
      </c>
      <c r="Q9979" t="n">
        <v>0</v>
      </c>
      <c r="R9979" s="2" t="inlineStr"/>
    </row>
    <row r="9980" ht="15" customHeight="1">
      <c r="A9980" t="inlineStr">
        <is>
          <t>A 23196-2023</t>
        </is>
      </c>
      <c r="B9980" s="1" t="n">
        <v>45071</v>
      </c>
      <c r="C9980" s="1" t="n">
        <v>45810</v>
      </c>
      <c r="D9980" t="inlineStr">
        <is>
          <t>VÄRMLANDS LÄN</t>
        </is>
      </c>
      <c r="E9980" t="inlineStr">
        <is>
          <t>EDA</t>
        </is>
      </c>
      <c r="G9980" t="n">
        <v>1.1</v>
      </c>
      <c r="H9980" t="n">
        <v>0</v>
      </c>
      <c r="I9980" t="n">
        <v>0</v>
      </c>
      <c r="J9980" t="n">
        <v>0</v>
      </c>
      <c r="K9980" t="n">
        <v>0</v>
      </c>
      <c r="L9980" t="n">
        <v>0</v>
      </c>
      <c r="M9980" t="n">
        <v>0</v>
      </c>
      <c r="N9980" t="n">
        <v>0</v>
      </c>
      <c r="O9980" t="n">
        <v>0</v>
      </c>
      <c r="P9980" t="n">
        <v>0</v>
      </c>
      <c r="Q9980" t="n">
        <v>0</v>
      </c>
      <c r="R9980" s="2" t="inlineStr"/>
    </row>
    <row r="9981" ht="15" customHeight="1">
      <c r="A9981" t="inlineStr">
        <is>
          <t>A 23191-2023</t>
        </is>
      </c>
      <c r="B9981" s="1" t="n">
        <v>45071</v>
      </c>
      <c r="C9981" s="1" t="n">
        <v>45810</v>
      </c>
      <c r="D9981" t="inlineStr">
        <is>
          <t>VÄRMLANDS LÄN</t>
        </is>
      </c>
      <c r="E9981" t="inlineStr">
        <is>
          <t>EDA</t>
        </is>
      </c>
      <c r="G9981" t="n">
        <v>1.1</v>
      </c>
      <c r="H9981" t="n">
        <v>0</v>
      </c>
      <c r="I9981" t="n">
        <v>0</v>
      </c>
      <c r="J9981" t="n">
        <v>0</v>
      </c>
      <c r="K9981" t="n">
        <v>0</v>
      </c>
      <c r="L9981" t="n">
        <v>0</v>
      </c>
      <c r="M9981" t="n">
        <v>0</v>
      </c>
      <c r="N9981" t="n">
        <v>0</v>
      </c>
      <c r="O9981" t="n">
        <v>0</v>
      </c>
      <c r="P9981" t="n">
        <v>0</v>
      </c>
      <c r="Q9981" t="n">
        <v>0</v>
      </c>
      <c r="R9981" s="2" t="inlineStr"/>
    </row>
    <row r="9982" ht="15" customHeight="1">
      <c r="A9982" t="inlineStr">
        <is>
          <t>A 23176-2023</t>
        </is>
      </c>
      <c r="B9982" s="1" t="n">
        <v>45071</v>
      </c>
      <c r="C9982" s="1" t="n">
        <v>45810</v>
      </c>
      <c r="D9982" t="inlineStr">
        <is>
          <t>VÄRMLANDS LÄN</t>
        </is>
      </c>
      <c r="E9982" t="inlineStr">
        <is>
          <t>EDA</t>
        </is>
      </c>
      <c r="G9982" t="n">
        <v>2.4</v>
      </c>
      <c r="H9982" t="n">
        <v>0</v>
      </c>
      <c r="I9982" t="n">
        <v>0</v>
      </c>
      <c r="J9982" t="n">
        <v>0</v>
      </c>
      <c r="K9982" t="n">
        <v>0</v>
      </c>
      <c r="L9982" t="n">
        <v>0</v>
      </c>
      <c r="M9982" t="n">
        <v>0</v>
      </c>
      <c r="N9982" t="n">
        <v>0</v>
      </c>
      <c r="O9982" t="n">
        <v>0</v>
      </c>
      <c r="P9982" t="n">
        <v>0</v>
      </c>
      <c r="Q9982" t="n">
        <v>0</v>
      </c>
      <c r="R9982" s="2" t="inlineStr"/>
    </row>
    <row r="9983" ht="15" customHeight="1">
      <c r="A9983" t="inlineStr">
        <is>
          <t>A 22764-2023</t>
        </is>
      </c>
      <c r="B9983" s="1" t="n">
        <v>45072</v>
      </c>
      <c r="C9983" s="1" t="n">
        <v>45810</v>
      </c>
      <c r="D9983" t="inlineStr">
        <is>
          <t>VÄRMLANDS LÄN</t>
        </is>
      </c>
      <c r="E9983" t="inlineStr">
        <is>
          <t>HAGFORS</t>
        </is>
      </c>
      <c r="F9983" t="inlineStr">
        <is>
          <t>Kyrkan</t>
        </is>
      </c>
      <c r="G9983" t="n">
        <v>8.699999999999999</v>
      </c>
      <c r="H9983" t="n">
        <v>0</v>
      </c>
      <c r="I9983" t="n">
        <v>0</v>
      </c>
      <c r="J9983" t="n">
        <v>0</v>
      </c>
      <c r="K9983" t="n">
        <v>0</v>
      </c>
      <c r="L9983" t="n">
        <v>0</v>
      </c>
      <c r="M9983" t="n">
        <v>0</v>
      </c>
      <c r="N9983" t="n">
        <v>0</v>
      </c>
      <c r="O9983" t="n">
        <v>0</v>
      </c>
      <c r="P9983" t="n">
        <v>0</v>
      </c>
      <c r="Q9983" t="n">
        <v>0</v>
      </c>
      <c r="R9983" s="2" t="inlineStr"/>
    </row>
    <row r="9984" ht="15" customHeight="1">
      <c r="A9984" t="inlineStr">
        <is>
          <t>A 22809-2023</t>
        </is>
      </c>
      <c r="B9984" s="1" t="n">
        <v>45072</v>
      </c>
      <c r="C9984" s="1" t="n">
        <v>45810</v>
      </c>
      <c r="D9984" t="inlineStr">
        <is>
          <t>VÄRMLANDS LÄN</t>
        </is>
      </c>
      <c r="E9984" t="inlineStr">
        <is>
          <t>HAGFORS</t>
        </is>
      </c>
      <c r="F9984" t="inlineStr">
        <is>
          <t>Bergvik skog väst AB</t>
        </is>
      </c>
      <c r="G9984" t="n">
        <v>1.1</v>
      </c>
      <c r="H9984" t="n">
        <v>0</v>
      </c>
      <c r="I9984" t="n">
        <v>0</v>
      </c>
      <c r="J9984" t="n">
        <v>0</v>
      </c>
      <c r="K9984" t="n">
        <v>0</v>
      </c>
      <c r="L9984" t="n">
        <v>0</v>
      </c>
      <c r="M9984" t="n">
        <v>0</v>
      </c>
      <c r="N9984" t="n">
        <v>0</v>
      </c>
      <c r="O9984" t="n">
        <v>0</v>
      </c>
      <c r="P9984" t="n">
        <v>0</v>
      </c>
      <c r="Q9984" t="n">
        <v>0</v>
      </c>
      <c r="R9984" s="2" t="inlineStr"/>
    </row>
    <row r="9985" ht="15" customHeight="1">
      <c r="A9985" t="inlineStr">
        <is>
          <t>A 22813-2023</t>
        </is>
      </c>
      <c r="B9985" s="1" t="n">
        <v>45072</v>
      </c>
      <c r="C9985" s="1" t="n">
        <v>45810</v>
      </c>
      <c r="D9985" t="inlineStr">
        <is>
          <t>VÄRMLANDS LÄN</t>
        </is>
      </c>
      <c r="E9985" t="inlineStr">
        <is>
          <t>ARVIKA</t>
        </is>
      </c>
      <c r="G9985" t="n">
        <v>1</v>
      </c>
      <c r="H9985" t="n">
        <v>0</v>
      </c>
      <c r="I9985" t="n">
        <v>0</v>
      </c>
      <c r="J9985" t="n">
        <v>0</v>
      </c>
      <c r="K9985" t="n">
        <v>0</v>
      </c>
      <c r="L9985" t="n">
        <v>0</v>
      </c>
      <c r="M9985" t="n">
        <v>0</v>
      </c>
      <c r="N9985" t="n">
        <v>0</v>
      </c>
      <c r="O9985" t="n">
        <v>0</v>
      </c>
      <c r="P9985" t="n">
        <v>0</v>
      </c>
      <c r="Q9985" t="n">
        <v>0</v>
      </c>
      <c r="R9985" s="2" t="inlineStr"/>
    </row>
    <row r="9986" ht="15" customHeight="1">
      <c r="A9986" t="inlineStr">
        <is>
          <t>A 22830-2023</t>
        </is>
      </c>
      <c r="B9986" s="1" t="n">
        <v>45072</v>
      </c>
      <c r="C9986" s="1" t="n">
        <v>45810</v>
      </c>
      <c r="D9986" t="inlineStr">
        <is>
          <t>VÄRMLANDS LÄN</t>
        </is>
      </c>
      <c r="E9986" t="inlineStr">
        <is>
          <t>FILIPSTAD</t>
        </is>
      </c>
      <c r="F9986" t="inlineStr">
        <is>
          <t>Bergvik skog väst AB</t>
        </is>
      </c>
      <c r="G9986" t="n">
        <v>1</v>
      </c>
      <c r="H9986" t="n">
        <v>0</v>
      </c>
      <c r="I9986" t="n">
        <v>0</v>
      </c>
      <c r="J9986" t="n">
        <v>0</v>
      </c>
      <c r="K9986" t="n">
        <v>0</v>
      </c>
      <c r="L9986" t="n">
        <v>0</v>
      </c>
      <c r="M9986" t="n">
        <v>0</v>
      </c>
      <c r="N9986" t="n">
        <v>0</v>
      </c>
      <c r="O9986" t="n">
        <v>0</v>
      </c>
      <c r="P9986" t="n">
        <v>0</v>
      </c>
      <c r="Q9986" t="n">
        <v>0</v>
      </c>
      <c r="R9986" s="2" t="inlineStr"/>
    </row>
    <row r="9987" ht="15" customHeight="1">
      <c r="A9987" t="inlineStr">
        <is>
          <t>A 22766-2023</t>
        </is>
      </c>
      <c r="B9987" s="1" t="n">
        <v>45072</v>
      </c>
      <c r="C9987" s="1" t="n">
        <v>45810</v>
      </c>
      <c r="D9987" t="inlineStr">
        <is>
          <t>VÄRMLANDS LÄN</t>
        </is>
      </c>
      <c r="E9987" t="inlineStr">
        <is>
          <t>KRISTINEHAMN</t>
        </is>
      </c>
      <c r="G9987" t="n">
        <v>1.9</v>
      </c>
      <c r="H9987" t="n">
        <v>0</v>
      </c>
      <c r="I9987" t="n">
        <v>0</v>
      </c>
      <c r="J9987" t="n">
        <v>0</v>
      </c>
      <c r="K9987" t="n">
        <v>0</v>
      </c>
      <c r="L9987" t="n">
        <v>0</v>
      </c>
      <c r="M9987" t="n">
        <v>0</v>
      </c>
      <c r="N9987" t="n">
        <v>0</v>
      </c>
      <c r="O9987" t="n">
        <v>0</v>
      </c>
      <c r="P9987" t="n">
        <v>0</v>
      </c>
      <c r="Q9987" t="n">
        <v>0</v>
      </c>
      <c r="R9987" s="2" t="inlineStr"/>
    </row>
    <row r="9988" ht="15" customHeight="1">
      <c r="A9988" t="inlineStr">
        <is>
          <t>A 22807-2023</t>
        </is>
      </c>
      <c r="B9988" s="1" t="n">
        <v>45072</v>
      </c>
      <c r="C9988" s="1" t="n">
        <v>45810</v>
      </c>
      <c r="D9988" t="inlineStr">
        <is>
          <t>VÄRMLANDS LÄN</t>
        </is>
      </c>
      <c r="E9988" t="inlineStr">
        <is>
          <t>HAGFORS</t>
        </is>
      </c>
      <c r="F9988" t="inlineStr">
        <is>
          <t>Bergvik skog väst AB</t>
        </is>
      </c>
      <c r="G9988" t="n">
        <v>2.5</v>
      </c>
      <c r="H9988" t="n">
        <v>0</v>
      </c>
      <c r="I9988" t="n">
        <v>0</v>
      </c>
      <c r="J9988" t="n">
        <v>0</v>
      </c>
      <c r="K9988" t="n">
        <v>0</v>
      </c>
      <c r="L9988" t="n">
        <v>0</v>
      </c>
      <c r="M9988" t="n">
        <v>0</v>
      </c>
      <c r="N9988" t="n">
        <v>0</v>
      </c>
      <c r="O9988" t="n">
        <v>0</v>
      </c>
      <c r="P9988" t="n">
        <v>0</v>
      </c>
      <c r="Q9988" t="n">
        <v>0</v>
      </c>
      <c r="R9988" s="2" t="inlineStr"/>
    </row>
    <row r="9989" ht="15" customHeight="1">
      <c r="A9989" t="inlineStr">
        <is>
          <t>A 22819-2023</t>
        </is>
      </c>
      <c r="B9989" s="1" t="n">
        <v>45072</v>
      </c>
      <c r="C9989" s="1" t="n">
        <v>45810</v>
      </c>
      <c r="D9989" t="inlineStr">
        <is>
          <t>VÄRMLANDS LÄN</t>
        </is>
      </c>
      <c r="E9989" t="inlineStr">
        <is>
          <t>STORFORS</t>
        </is>
      </c>
      <c r="F9989" t="inlineStr">
        <is>
          <t>Bergvik skog väst AB</t>
        </is>
      </c>
      <c r="G9989" t="n">
        <v>10</v>
      </c>
      <c r="H9989" t="n">
        <v>0</v>
      </c>
      <c r="I9989" t="n">
        <v>0</v>
      </c>
      <c r="J9989" t="n">
        <v>0</v>
      </c>
      <c r="K9989" t="n">
        <v>0</v>
      </c>
      <c r="L9989" t="n">
        <v>0</v>
      </c>
      <c r="M9989" t="n">
        <v>0</v>
      </c>
      <c r="N9989" t="n">
        <v>0</v>
      </c>
      <c r="O9989" t="n">
        <v>0</v>
      </c>
      <c r="P9989" t="n">
        <v>0</v>
      </c>
      <c r="Q9989" t="n">
        <v>0</v>
      </c>
      <c r="R9989" s="2" t="inlineStr"/>
    </row>
    <row r="9990" ht="15" customHeight="1">
      <c r="A9990" t="inlineStr">
        <is>
          <t>A 22828-2023</t>
        </is>
      </c>
      <c r="B9990" s="1" t="n">
        <v>45072</v>
      </c>
      <c r="C9990" s="1" t="n">
        <v>45810</v>
      </c>
      <c r="D9990" t="inlineStr">
        <is>
          <t>VÄRMLANDS LÄN</t>
        </is>
      </c>
      <c r="E9990" t="inlineStr">
        <is>
          <t>ARVIKA</t>
        </is>
      </c>
      <c r="G9990" t="n">
        <v>1.6</v>
      </c>
      <c r="H9990" t="n">
        <v>0</v>
      </c>
      <c r="I9990" t="n">
        <v>0</v>
      </c>
      <c r="J9990" t="n">
        <v>0</v>
      </c>
      <c r="K9990" t="n">
        <v>0</v>
      </c>
      <c r="L9990" t="n">
        <v>0</v>
      </c>
      <c r="M9990" t="n">
        <v>0</v>
      </c>
      <c r="N9990" t="n">
        <v>0</v>
      </c>
      <c r="O9990" t="n">
        <v>0</v>
      </c>
      <c r="P9990" t="n">
        <v>0</v>
      </c>
      <c r="Q9990" t="n">
        <v>0</v>
      </c>
      <c r="R9990" s="2" t="inlineStr"/>
    </row>
    <row r="9991" ht="15" customHeight="1">
      <c r="A9991" t="inlineStr">
        <is>
          <t>A 22866-2023</t>
        </is>
      </c>
      <c r="B9991" s="1" t="n">
        <v>45072</v>
      </c>
      <c r="C9991" s="1" t="n">
        <v>45810</v>
      </c>
      <c r="D9991" t="inlineStr">
        <is>
          <t>VÄRMLANDS LÄN</t>
        </is>
      </c>
      <c r="E9991" t="inlineStr">
        <is>
          <t>FILIPSTAD</t>
        </is>
      </c>
      <c r="F9991" t="inlineStr">
        <is>
          <t>Bergvik skog väst AB</t>
        </is>
      </c>
      <c r="G9991" t="n">
        <v>1.6</v>
      </c>
      <c r="H9991" t="n">
        <v>0</v>
      </c>
      <c r="I9991" t="n">
        <v>0</v>
      </c>
      <c r="J9991" t="n">
        <v>0</v>
      </c>
      <c r="K9991" t="n">
        <v>0</v>
      </c>
      <c r="L9991" t="n">
        <v>0</v>
      </c>
      <c r="M9991" t="n">
        <v>0</v>
      </c>
      <c r="N9991" t="n">
        <v>0</v>
      </c>
      <c r="O9991" t="n">
        <v>0</v>
      </c>
      <c r="P9991" t="n">
        <v>0</v>
      </c>
      <c r="Q9991" t="n">
        <v>0</v>
      </c>
      <c r="R9991" s="2" t="inlineStr"/>
    </row>
    <row r="9992" ht="15" customHeight="1">
      <c r="A9992" t="inlineStr">
        <is>
          <t>A 22923-2023</t>
        </is>
      </c>
      <c r="B9992" s="1" t="n">
        <v>45072</v>
      </c>
      <c r="C9992" s="1" t="n">
        <v>45810</v>
      </c>
      <c r="D9992" t="inlineStr">
        <is>
          <t>VÄRMLANDS LÄN</t>
        </is>
      </c>
      <c r="E9992" t="inlineStr">
        <is>
          <t>SUNNE</t>
        </is>
      </c>
      <c r="F9992" t="inlineStr">
        <is>
          <t>Bergvik skog väst AB</t>
        </is>
      </c>
      <c r="G9992" t="n">
        <v>3.2</v>
      </c>
      <c r="H9992" t="n">
        <v>0</v>
      </c>
      <c r="I9992" t="n">
        <v>0</v>
      </c>
      <c r="J9992" t="n">
        <v>0</v>
      </c>
      <c r="K9992" t="n">
        <v>0</v>
      </c>
      <c r="L9992" t="n">
        <v>0</v>
      </c>
      <c r="M9992" t="n">
        <v>0</v>
      </c>
      <c r="N9992" t="n">
        <v>0</v>
      </c>
      <c r="O9992" t="n">
        <v>0</v>
      </c>
      <c r="P9992" t="n">
        <v>0</v>
      </c>
      <c r="Q9992" t="n">
        <v>0</v>
      </c>
      <c r="R9992" s="2" t="inlineStr"/>
    </row>
    <row r="9993" ht="15" customHeight="1">
      <c r="A9993" t="inlineStr">
        <is>
          <t>A 22927-2023</t>
        </is>
      </c>
      <c r="B9993" s="1" t="n">
        <v>45072</v>
      </c>
      <c r="C9993" s="1" t="n">
        <v>45810</v>
      </c>
      <c r="D9993" t="inlineStr">
        <is>
          <t>VÄRMLANDS LÄN</t>
        </is>
      </c>
      <c r="E9993" t="inlineStr">
        <is>
          <t>FORSHAGA</t>
        </is>
      </c>
      <c r="F9993" t="inlineStr">
        <is>
          <t>Kyrkan</t>
        </is>
      </c>
      <c r="G9993" t="n">
        <v>6.4</v>
      </c>
      <c r="H9993" t="n">
        <v>0</v>
      </c>
      <c r="I9993" t="n">
        <v>0</v>
      </c>
      <c r="J9993" t="n">
        <v>0</v>
      </c>
      <c r="K9993" t="n">
        <v>0</v>
      </c>
      <c r="L9993" t="n">
        <v>0</v>
      </c>
      <c r="M9993" t="n">
        <v>0</v>
      </c>
      <c r="N9993" t="n">
        <v>0</v>
      </c>
      <c r="O9993" t="n">
        <v>0</v>
      </c>
      <c r="P9993" t="n">
        <v>0</v>
      </c>
      <c r="Q9993" t="n">
        <v>0</v>
      </c>
      <c r="R9993" s="2" t="inlineStr"/>
    </row>
    <row r="9994" ht="15" customHeight="1">
      <c r="A9994" t="inlineStr">
        <is>
          <t>A 22896-2023</t>
        </is>
      </c>
      <c r="B9994" s="1" t="n">
        <v>45072</v>
      </c>
      <c r="C9994" s="1" t="n">
        <v>45810</v>
      </c>
      <c r="D9994" t="inlineStr">
        <is>
          <t>VÄRMLANDS LÄN</t>
        </is>
      </c>
      <c r="E9994" t="inlineStr">
        <is>
          <t>KRISTINEHAMN</t>
        </is>
      </c>
      <c r="F9994" t="inlineStr">
        <is>
          <t>Bergvik skog väst AB</t>
        </is>
      </c>
      <c r="G9994" t="n">
        <v>0.6</v>
      </c>
      <c r="H9994" t="n">
        <v>0</v>
      </c>
      <c r="I9994" t="n">
        <v>0</v>
      </c>
      <c r="J9994" t="n">
        <v>0</v>
      </c>
      <c r="K9994" t="n">
        <v>0</v>
      </c>
      <c r="L9994" t="n">
        <v>0</v>
      </c>
      <c r="M9994" t="n">
        <v>0</v>
      </c>
      <c r="N9994" t="n">
        <v>0</v>
      </c>
      <c r="O9994" t="n">
        <v>0</v>
      </c>
      <c r="P9994" t="n">
        <v>0</v>
      </c>
      <c r="Q9994" t="n">
        <v>0</v>
      </c>
      <c r="R9994" s="2" t="inlineStr"/>
    </row>
    <row r="9995" ht="15" customHeight="1">
      <c r="A9995" t="inlineStr">
        <is>
          <t>A 22914-2023</t>
        </is>
      </c>
      <c r="B9995" s="1" t="n">
        <v>45072</v>
      </c>
      <c r="C9995" s="1" t="n">
        <v>45810</v>
      </c>
      <c r="D9995" t="inlineStr">
        <is>
          <t>VÄRMLANDS LÄN</t>
        </is>
      </c>
      <c r="E9995" t="inlineStr">
        <is>
          <t>ARVIKA</t>
        </is>
      </c>
      <c r="G9995" t="n">
        <v>4.1</v>
      </c>
      <c r="H9995" t="n">
        <v>0</v>
      </c>
      <c r="I9995" t="n">
        <v>0</v>
      </c>
      <c r="J9995" t="n">
        <v>0</v>
      </c>
      <c r="K9995" t="n">
        <v>0</v>
      </c>
      <c r="L9995" t="n">
        <v>0</v>
      </c>
      <c r="M9995" t="n">
        <v>0</v>
      </c>
      <c r="N9995" t="n">
        <v>0</v>
      </c>
      <c r="O9995" t="n">
        <v>0</v>
      </c>
      <c r="P9995" t="n">
        <v>0</v>
      </c>
      <c r="Q9995" t="n">
        <v>0</v>
      </c>
      <c r="R9995" s="2" t="inlineStr"/>
    </row>
    <row r="9996" ht="15" customHeight="1">
      <c r="A9996" t="inlineStr">
        <is>
          <t>A 22929-2023</t>
        </is>
      </c>
      <c r="B9996" s="1" t="n">
        <v>45072</v>
      </c>
      <c r="C9996" s="1" t="n">
        <v>45810</v>
      </c>
      <c r="D9996" t="inlineStr">
        <is>
          <t>VÄRMLANDS LÄN</t>
        </is>
      </c>
      <c r="E9996" t="inlineStr">
        <is>
          <t>SÄFFLE</t>
        </is>
      </c>
      <c r="F9996" t="inlineStr">
        <is>
          <t>Bergvik skog väst AB</t>
        </is>
      </c>
      <c r="G9996" t="n">
        <v>18.5</v>
      </c>
      <c r="H9996" t="n">
        <v>0</v>
      </c>
      <c r="I9996" t="n">
        <v>0</v>
      </c>
      <c r="J9996" t="n">
        <v>0</v>
      </c>
      <c r="K9996" t="n">
        <v>0</v>
      </c>
      <c r="L9996" t="n">
        <v>0</v>
      </c>
      <c r="M9996" t="n">
        <v>0</v>
      </c>
      <c r="N9996" t="n">
        <v>0</v>
      </c>
      <c r="O9996" t="n">
        <v>0</v>
      </c>
      <c r="P9996" t="n">
        <v>0</v>
      </c>
      <c r="Q9996" t="n">
        <v>0</v>
      </c>
      <c r="R9996" s="2" t="inlineStr"/>
    </row>
    <row r="9997" ht="15" customHeight="1">
      <c r="A9997" t="inlineStr">
        <is>
          <t>A 22935-2023</t>
        </is>
      </c>
      <c r="B9997" s="1" t="n">
        <v>45072</v>
      </c>
      <c r="C9997" s="1" t="n">
        <v>45810</v>
      </c>
      <c r="D9997" t="inlineStr">
        <is>
          <t>VÄRMLANDS LÄN</t>
        </is>
      </c>
      <c r="E9997" t="inlineStr">
        <is>
          <t>STORFORS</t>
        </is>
      </c>
      <c r="G9997" t="n">
        <v>0.6</v>
      </c>
      <c r="H9997" t="n">
        <v>0</v>
      </c>
      <c r="I9997" t="n">
        <v>0</v>
      </c>
      <c r="J9997" t="n">
        <v>0</v>
      </c>
      <c r="K9997" t="n">
        <v>0</v>
      </c>
      <c r="L9997" t="n">
        <v>0</v>
      </c>
      <c r="M9997" t="n">
        <v>0</v>
      </c>
      <c r="N9997" t="n">
        <v>0</v>
      </c>
      <c r="O9997" t="n">
        <v>0</v>
      </c>
      <c r="P9997" t="n">
        <v>0</v>
      </c>
      <c r="Q9997" t="n">
        <v>0</v>
      </c>
      <c r="R9997" s="2" t="inlineStr"/>
    </row>
    <row r="9998" ht="15" customHeight="1">
      <c r="A9998" t="inlineStr">
        <is>
          <t>A 22939-2023</t>
        </is>
      </c>
      <c r="B9998" s="1" t="n">
        <v>45072</v>
      </c>
      <c r="C9998" s="1" t="n">
        <v>45810</v>
      </c>
      <c r="D9998" t="inlineStr">
        <is>
          <t>VÄRMLANDS LÄN</t>
        </is>
      </c>
      <c r="E9998" t="inlineStr">
        <is>
          <t>TORSBY</t>
        </is>
      </c>
      <c r="G9998" t="n">
        <v>0.9</v>
      </c>
      <c r="H9998" t="n">
        <v>0</v>
      </c>
      <c r="I9998" t="n">
        <v>0</v>
      </c>
      <c r="J9998" t="n">
        <v>0</v>
      </c>
      <c r="K9998" t="n">
        <v>0</v>
      </c>
      <c r="L9998" t="n">
        <v>0</v>
      </c>
      <c r="M9998" t="n">
        <v>0</v>
      </c>
      <c r="N9998" t="n">
        <v>0</v>
      </c>
      <c r="O9998" t="n">
        <v>0</v>
      </c>
      <c r="P9998" t="n">
        <v>0</v>
      </c>
      <c r="Q9998" t="n">
        <v>0</v>
      </c>
      <c r="R9998" s="2" t="inlineStr"/>
    </row>
    <row r="9999" ht="15" customHeight="1">
      <c r="A9999" t="inlineStr">
        <is>
          <t>A 22943-2023</t>
        </is>
      </c>
      <c r="B9999" s="1" t="n">
        <v>45072</v>
      </c>
      <c r="C9999" s="1" t="n">
        <v>45810</v>
      </c>
      <c r="D9999" t="inlineStr">
        <is>
          <t>VÄRMLANDS LÄN</t>
        </is>
      </c>
      <c r="E9999" t="inlineStr">
        <is>
          <t>TORSBY</t>
        </is>
      </c>
      <c r="G9999" t="n">
        <v>0.5</v>
      </c>
      <c r="H9999" t="n">
        <v>0</v>
      </c>
      <c r="I9999" t="n">
        <v>0</v>
      </c>
      <c r="J9999" t="n">
        <v>0</v>
      </c>
      <c r="K9999" t="n">
        <v>0</v>
      </c>
      <c r="L9999" t="n">
        <v>0</v>
      </c>
      <c r="M9999" t="n">
        <v>0</v>
      </c>
      <c r="N9999" t="n">
        <v>0</v>
      </c>
      <c r="O9999" t="n">
        <v>0</v>
      </c>
      <c r="P9999" t="n">
        <v>0</v>
      </c>
      <c r="Q9999" t="n">
        <v>0</v>
      </c>
      <c r="R9999" s="2" t="inlineStr"/>
    </row>
    <row r="10000" ht="15" customHeight="1">
      <c r="A10000" t="inlineStr">
        <is>
          <t>A 22916-2023</t>
        </is>
      </c>
      <c r="B10000" s="1" t="n">
        <v>45072</v>
      </c>
      <c r="C10000" s="1" t="n">
        <v>45810</v>
      </c>
      <c r="D10000" t="inlineStr">
        <is>
          <t>VÄRMLANDS LÄN</t>
        </is>
      </c>
      <c r="E10000" t="inlineStr">
        <is>
          <t>ÅRJÄNG</t>
        </is>
      </c>
      <c r="G10000" t="n">
        <v>2.8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22922-2023</t>
        </is>
      </c>
      <c r="B10001" s="1" t="n">
        <v>45072</v>
      </c>
      <c r="C10001" s="1" t="n">
        <v>45810</v>
      </c>
      <c r="D10001" t="inlineStr">
        <is>
          <t>VÄRMLANDS LÄN</t>
        </is>
      </c>
      <c r="E10001" t="inlineStr">
        <is>
          <t>ARVIKA</t>
        </is>
      </c>
      <c r="G10001" t="n">
        <v>2.8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22926-2023</t>
        </is>
      </c>
      <c r="B10002" s="1" t="n">
        <v>45072</v>
      </c>
      <c r="C10002" s="1" t="n">
        <v>45810</v>
      </c>
      <c r="D10002" t="inlineStr">
        <is>
          <t>VÄRMLANDS LÄN</t>
        </is>
      </c>
      <c r="E10002" t="inlineStr">
        <is>
          <t>ARVIKA</t>
        </is>
      </c>
      <c r="F10002" t="inlineStr">
        <is>
          <t>Bergvik skog väst AB</t>
        </is>
      </c>
      <c r="G10002" t="n">
        <v>1.3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22934-2023</t>
        </is>
      </c>
      <c r="B10003" s="1" t="n">
        <v>45072</v>
      </c>
      <c r="C10003" s="1" t="n">
        <v>45810</v>
      </c>
      <c r="D10003" t="inlineStr">
        <is>
          <t>VÄRMLANDS LÄN</t>
        </is>
      </c>
      <c r="E10003" t="inlineStr">
        <is>
          <t>ARVIKA</t>
        </is>
      </c>
      <c r="G10003" t="n">
        <v>1.1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23027-2023</t>
        </is>
      </c>
      <c r="B10004" s="1" t="n">
        <v>45074</v>
      </c>
      <c r="C10004" s="1" t="n">
        <v>45810</v>
      </c>
      <c r="D10004" t="inlineStr">
        <is>
          <t>VÄRMLANDS LÄN</t>
        </is>
      </c>
      <c r="E10004" t="inlineStr">
        <is>
          <t>SUNNE</t>
        </is>
      </c>
      <c r="G10004" t="n">
        <v>5.2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23034-2023</t>
        </is>
      </c>
      <c r="B10005" s="1" t="n">
        <v>45074</v>
      </c>
      <c r="C10005" s="1" t="n">
        <v>45810</v>
      </c>
      <c r="D10005" t="inlineStr">
        <is>
          <t>VÄRMLANDS LÄN</t>
        </is>
      </c>
      <c r="E10005" t="inlineStr">
        <is>
          <t>ARVIKA</t>
        </is>
      </c>
      <c r="G10005" t="n">
        <v>4.6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23045-2023</t>
        </is>
      </c>
      <c r="B10006" s="1" t="n">
        <v>45075</v>
      </c>
      <c r="C10006" s="1" t="n">
        <v>45810</v>
      </c>
      <c r="D10006" t="inlineStr">
        <is>
          <t>VÄRMLANDS LÄN</t>
        </is>
      </c>
      <c r="E10006" t="inlineStr">
        <is>
          <t>FILIPSTAD</t>
        </is>
      </c>
      <c r="F10006" t="inlineStr">
        <is>
          <t>Bergvik skog väst AB</t>
        </is>
      </c>
      <c r="G10006" t="n">
        <v>2.8</v>
      </c>
      <c r="H10006" t="n">
        <v>0</v>
      </c>
      <c r="I10006" t="n">
        <v>0</v>
      </c>
      <c r="J10006" t="n">
        <v>0</v>
      </c>
      <c r="K10006" t="n">
        <v>0</v>
      </c>
      <c r="L10006" t="n">
        <v>0</v>
      </c>
      <c r="M10006" t="n">
        <v>0</v>
      </c>
      <c r="N10006" t="n">
        <v>0</v>
      </c>
      <c r="O10006" t="n">
        <v>0</v>
      </c>
      <c r="P10006" t="n">
        <v>0</v>
      </c>
      <c r="Q10006" t="n">
        <v>0</v>
      </c>
      <c r="R10006" s="2" t="inlineStr"/>
      <c r="U10006">
        <f>HYPERLINK("https://klasma.github.io/Logging_1782/knärot/A 23045-2023 karta knärot.png", "A 23045-2023")</f>
        <v/>
      </c>
      <c r="V10006">
        <f>HYPERLINK("https://klasma.github.io/Logging_1782/klagomål/A 23045-2023 FSC-klagomål.docx", "A 23045-2023")</f>
        <v/>
      </c>
      <c r="W10006">
        <f>HYPERLINK("https://klasma.github.io/Logging_1782/klagomålsmail/A 23045-2023 FSC-klagomål mail.docx", "A 23045-2023")</f>
        <v/>
      </c>
      <c r="X10006">
        <f>HYPERLINK("https://klasma.github.io/Logging_1782/tillsyn/A 23045-2023 tillsynsbegäran.docx", "A 23045-2023")</f>
        <v/>
      </c>
      <c r="Y10006">
        <f>HYPERLINK("https://klasma.github.io/Logging_1782/tillsynsmail/A 23045-2023 tillsynsbegäran mail.docx", "A 23045-2023")</f>
        <v/>
      </c>
    </row>
    <row r="10007" ht="15" customHeight="1">
      <c r="A10007" t="inlineStr">
        <is>
          <t>A 23055-2023</t>
        </is>
      </c>
      <c r="B10007" s="1" t="n">
        <v>45075</v>
      </c>
      <c r="C10007" s="1" t="n">
        <v>45810</v>
      </c>
      <c r="D10007" t="inlineStr">
        <is>
          <t>VÄRMLANDS LÄN</t>
        </is>
      </c>
      <c r="E10007" t="inlineStr">
        <is>
          <t>SÄFFLE</t>
        </is>
      </c>
      <c r="G10007" t="n">
        <v>5.3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23135-2023</t>
        </is>
      </c>
      <c r="B10008" s="1" t="n">
        <v>45075</v>
      </c>
      <c r="C10008" s="1" t="n">
        <v>45810</v>
      </c>
      <c r="D10008" t="inlineStr">
        <is>
          <t>VÄRMLANDS LÄN</t>
        </is>
      </c>
      <c r="E10008" t="inlineStr">
        <is>
          <t>ÅRJÄNG</t>
        </is>
      </c>
      <c r="G10008" t="n">
        <v>0.9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23046-2023</t>
        </is>
      </c>
      <c r="B10009" s="1" t="n">
        <v>45075</v>
      </c>
      <c r="C10009" s="1" t="n">
        <v>45810</v>
      </c>
      <c r="D10009" t="inlineStr">
        <is>
          <t>VÄRMLANDS LÄN</t>
        </is>
      </c>
      <c r="E10009" t="inlineStr">
        <is>
          <t>FILIPSTAD</t>
        </is>
      </c>
      <c r="F10009" t="inlineStr">
        <is>
          <t>Bergvik skog väst AB</t>
        </is>
      </c>
      <c r="G10009" t="n">
        <v>1.7</v>
      </c>
      <c r="H10009" t="n">
        <v>0</v>
      </c>
      <c r="I10009" t="n">
        <v>0</v>
      </c>
      <c r="J10009" t="n">
        <v>0</v>
      </c>
      <c r="K10009" t="n">
        <v>0</v>
      </c>
      <c r="L10009" t="n">
        <v>0</v>
      </c>
      <c r="M10009" t="n">
        <v>0</v>
      </c>
      <c r="N10009" t="n">
        <v>0</v>
      </c>
      <c r="O10009" t="n">
        <v>0</v>
      </c>
      <c r="P10009" t="n">
        <v>0</v>
      </c>
      <c r="Q10009" t="n">
        <v>0</v>
      </c>
      <c r="R10009" s="2" t="inlineStr"/>
      <c r="U10009">
        <f>HYPERLINK("https://klasma.github.io/Logging_1782/knärot/A 23046-2023 karta knärot.png", "A 23046-2023")</f>
        <v/>
      </c>
      <c r="V10009">
        <f>HYPERLINK("https://klasma.github.io/Logging_1782/klagomål/A 23046-2023 FSC-klagomål.docx", "A 23046-2023")</f>
        <v/>
      </c>
      <c r="W10009">
        <f>HYPERLINK("https://klasma.github.io/Logging_1782/klagomålsmail/A 23046-2023 FSC-klagomål mail.docx", "A 23046-2023")</f>
        <v/>
      </c>
      <c r="X10009">
        <f>HYPERLINK("https://klasma.github.io/Logging_1782/tillsyn/A 23046-2023 tillsynsbegäran.docx", "A 23046-2023")</f>
        <v/>
      </c>
      <c r="Y10009">
        <f>HYPERLINK("https://klasma.github.io/Logging_1782/tillsynsmail/A 23046-2023 tillsynsbegäran mail.docx", "A 23046-2023")</f>
        <v/>
      </c>
    </row>
    <row r="10010" ht="15" customHeight="1">
      <c r="A10010" t="inlineStr">
        <is>
          <t>A 23057-2023</t>
        </is>
      </c>
      <c r="B10010" s="1" t="n">
        <v>45075</v>
      </c>
      <c r="C10010" s="1" t="n">
        <v>45810</v>
      </c>
      <c r="D10010" t="inlineStr">
        <is>
          <t>VÄRMLANDS LÄN</t>
        </is>
      </c>
      <c r="E10010" t="inlineStr">
        <is>
          <t>SUNNE</t>
        </is>
      </c>
      <c r="F10010" t="inlineStr">
        <is>
          <t>Bergvik skog väst AB</t>
        </is>
      </c>
      <c r="G10010" t="n">
        <v>1.5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23067-2023</t>
        </is>
      </c>
      <c r="B10011" s="1" t="n">
        <v>45075</v>
      </c>
      <c r="C10011" s="1" t="n">
        <v>45810</v>
      </c>
      <c r="D10011" t="inlineStr">
        <is>
          <t>VÄRMLANDS LÄN</t>
        </is>
      </c>
      <c r="E10011" t="inlineStr">
        <is>
          <t>KIL</t>
        </is>
      </c>
      <c r="G10011" t="n">
        <v>2.1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23182-2023</t>
        </is>
      </c>
      <c r="B10012" s="1" t="n">
        <v>45075</v>
      </c>
      <c r="C10012" s="1" t="n">
        <v>45810</v>
      </c>
      <c r="D10012" t="inlineStr">
        <is>
          <t>VÄRMLANDS LÄN</t>
        </is>
      </c>
      <c r="E10012" t="inlineStr">
        <is>
          <t>SUNNE</t>
        </is>
      </c>
      <c r="G10012" t="n">
        <v>1.9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23203-2023</t>
        </is>
      </c>
      <c r="B10013" s="1" t="n">
        <v>45075</v>
      </c>
      <c r="C10013" s="1" t="n">
        <v>45810</v>
      </c>
      <c r="D10013" t="inlineStr">
        <is>
          <t>VÄRMLANDS LÄN</t>
        </is>
      </c>
      <c r="E10013" t="inlineStr">
        <is>
          <t>ÅRJÄNG</t>
        </is>
      </c>
      <c r="G10013" t="n">
        <v>4.3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23216-2023</t>
        </is>
      </c>
      <c r="B10014" s="1" t="n">
        <v>45075</v>
      </c>
      <c r="C10014" s="1" t="n">
        <v>45810</v>
      </c>
      <c r="D10014" t="inlineStr">
        <is>
          <t>VÄRMLANDS LÄN</t>
        </is>
      </c>
      <c r="E10014" t="inlineStr">
        <is>
          <t>ÅRJÄNG</t>
        </is>
      </c>
      <c r="G10014" t="n">
        <v>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23150-2023</t>
        </is>
      </c>
      <c r="B10015" s="1" t="n">
        <v>45075</v>
      </c>
      <c r="C10015" s="1" t="n">
        <v>45810</v>
      </c>
      <c r="D10015" t="inlineStr">
        <is>
          <t>VÄRMLANDS LÄN</t>
        </is>
      </c>
      <c r="E10015" t="inlineStr">
        <is>
          <t>ÅRJÄNG</t>
        </is>
      </c>
      <c r="G10015" t="n">
        <v>4.4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23184-2023</t>
        </is>
      </c>
      <c r="B10016" s="1" t="n">
        <v>45075</v>
      </c>
      <c r="C10016" s="1" t="n">
        <v>45810</v>
      </c>
      <c r="D10016" t="inlineStr">
        <is>
          <t>VÄRMLANDS LÄN</t>
        </is>
      </c>
      <c r="E10016" t="inlineStr">
        <is>
          <t>ÅRJÄNG</t>
        </is>
      </c>
      <c r="G10016" t="n">
        <v>2.2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23054-2023</t>
        </is>
      </c>
      <c r="B10017" s="1" t="n">
        <v>45075</v>
      </c>
      <c r="C10017" s="1" t="n">
        <v>45810</v>
      </c>
      <c r="D10017" t="inlineStr">
        <is>
          <t>VÄRMLANDS LÄN</t>
        </is>
      </c>
      <c r="E10017" t="inlineStr">
        <is>
          <t>HAGFORS</t>
        </is>
      </c>
      <c r="F10017" t="inlineStr">
        <is>
          <t>Bergvik skog väst AB</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23068-2023</t>
        </is>
      </c>
      <c r="B10018" s="1" t="n">
        <v>45075</v>
      </c>
      <c r="C10018" s="1" t="n">
        <v>45810</v>
      </c>
      <c r="D10018" t="inlineStr">
        <is>
          <t>VÄRMLANDS LÄN</t>
        </is>
      </c>
      <c r="E10018" t="inlineStr">
        <is>
          <t>SUNNE</t>
        </is>
      </c>
      <c r="F10018" t="inlineStr">
        <is>
          <t>Bergvik skog väst AB</t>
        </is>
      </c>
      <c r="G10018" t="n">
        <v>2.5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23117-2023</t>
        </is>
      </c>
      <c r="B10019" s="1" t="n">
        <v>45075</v>
      </c>
      <c r="C10019" s="1" t="n">
        <v>45810</v>
      </c>
      <c r="D10019" t="inlineStr">
        <is>
          <t>VÄRMLANDS LÄN</t>
        </is>
      </c>
      <c r="E10019" t="inlineStr">
        <is>
          <t>FORSHAGA</t>
        </is>
      </c>
      <c r="F10019" t="inlineStr">
        <is>
          <t>Kyrkan</t>
        </is>
      </c>
      <c r="G10019" t="n">
        <v>0.6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23143-2023</t>
        </is>
      </c>
      <c r="B10020" s="1" t="n">
        <v>45075</v>
      </c>
      <c r="C10020" s="1" t="n">
        <v>45810</v>
      </c>
      <c r="D10020" t="inlineStr">
        <is>
          <t>VÄRMLANDS LÄN</t>
        </is>
      </c>
      <c r="E10020" t="inlineStr">
        <is>
          <t>STORFORS</t>
        </is>
      </c>
      <c r="G10020" t="n">
        <v>1.8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23167-2023</t>
        </is>
      </c>
      <c r="B10021" s="1" t="n">
        <v>45075</v>
      </c>
      <c r="C10021" s="1" t="n">
        <v>45810</v>
      </c>
      <c r="D10021" t="inlineStr">
        <is>
          <t>VÄRMLANDS LÄN</t>
        </is>
      </c>
      <c r="E10021" t="inlineStr">
        <is>
          <t>SUNNE</t>
        </is>
      </c>
      <c r="G10021" t="n">
        <v>1.2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23212-2023</t>
        </is>
      </c>
      <c r="B10022" s="1" t="n">
        <v>45075</v>
      </c>
      <c r="C10022" s="1" t="n">
        <v>45810</v>
      </c>
      <c r="D10022" t="inlineStr">
        <is>
          <t>VÄRMLANDS LÄN</t>
        </is>
      </c>
      <c r="E10022" t="inlineStr">
        <is>
          <t>ÅRJÄNG</t>
        </is>
      </c>
      <c r="G10022" t="n">
        <v>1.5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23945-2023</t>
        </is>
      </c>
      <c r="B10023" s="1" t="n">
        <v>45075</v>
      </c>
      <c r="C10023" s="1" t="n">
        <v>45810</v>
      </c>
      <c r="D10023" t="inlineStr">
        <is>
          <t>VÄRMLANDS LÄN</t>
        </is>
      </c>
      <c r="E10023" t="inlineStr">
        <is>
          <t>ÅRJÄNG</t>
        </is>
      </c>
      <c r="G10023" t="n">
        <v>1.7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23940-2023</t>
        </is>
      </c>
      <c r="B10024" s="1" t="n">
        <v>45075</v>
      </c>
      <c r="C10024" s="1" t="n">
        <v>45810</v>
      </c>
      <c r="D10024" t="inlineStr">
        <is>
          <t>VÄRMLANDS LÄN</t>
        </is>
      </c>
      <c r="E10024" t="inlineStr">
        <is>
          <t>ÅRJÄNG</t>
        </is>
      </c>
      <c r="G10024" t="n">
        <v>1.3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23352-2023</t>
        </is>
      </c>
      <c r="B10025" s="1" t="n">
        <v>45076</v>
      </c>
      <c r="C10025" s="1" t="n">
        <v>45810</v>
      </c>
      <c r="D10025" t="inlineStr">
        <is>
          <t>VÄRMLANDS LÄN</t>
        </is>
      </c>
      <c r="E10025" t="inlineStr">
        <is>
          <t>SUNNE</t>
        </is>
      </c>
      <c r="G10025" t="n">
        <v>1.6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23450-2023</t>
        </is>
      </c>
      <c r="B10026" s="1" t="n">
        <v>45076</v>
      </c>
      <c r="C10026" s="1" t="n">
        <v>45810</v>
      </c>
      <c r="D10026" t="inlineStr">
        <is>
          <t>VÄRMLANDS LÄN</t>
        </is>
      </c>
      <c r="E10026" t="inlineStr">
        <is>
          <t>ARVIKA</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23460-2023</t>
        </is>
      </c>
      <c r="B10027" s="1" t="n">
        <v>45076</v>
      </c>
      <c r="C10027" s="1" t="n">
        <v>45810</v>
      </c>
      <c r="D10027" t="inlineStr">
        <is>
          <t>VÄRMLANDS LÄN</t>
        </is>
      </c>
      <c r="E10027" t="inlineStr">
        <is>
          <t>SUNNE</t>
        </is>
      </c>
      <c r="G10027" t="n">
        <v>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23334-2023</t>
        </is>
      </c>
      <c r="B10028" s="1" t="n">
        <v>45076</v>
      </c>
      <c r="C10028" s="1" t="n">
        <v>45810</v>
      </c>
      <c r="D10028" t="inlineStr">
        <is>
          <t>VÄRMLANDS LÄN</t>
        </is>
      </c>
      <c r="E10028" t="inlineStr">
        <is>
          <t>ÅRJÄNG</t>
        </is>
      </c>
      <c r="G10028" t="n">
        <v>0.8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23335-2023</t>
        </is>
      </c>
      <c r="B10029" s="1" t="n">
        <v>45076</v>
      </c>
      <c r="C10029" s="1" t="n">
        <v>45810</v>
      </c>
      <c r="D10029" t="inlineStr">
        <is>
          <t>VÄRMLANDS LÄN</t>
        </is>
      </c>
      <c r="E10029" t="inlineStr">
        <is>
          <t>FILIPSTAD</t>
        </is>
      </c>
      <c r="G10029" t="n">
        <v>2.3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23358-2023</t>
        </is>
      </c>
      <c r="B10030" s="1" t="n">
        <v>45076</v>
      </c>
      <c r="C10030" s="1" t="n">
        <v>45810</v>
      </c>
      <c r="D10030" t="inlineStr">
        <is>
          <t>VÄRMLANDS LÄN</t>
        </is>
      </c>
      <c r="E10030" t="inlineStr">
        <is>
          <t>ARVIKA</t>
        </is>
      </c>
      <c r="G10030" t="n">
        <v>0.7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23368-2023</t>
        </is>
      </c>
      <c r="B10031" s="1" t="n">
        <v>45076</v>
      </c>
      <c r="C10031" s="1" t="n">
        <v>45810</v>
      </c>
      <c r="D10031" t="inlineStr">
        <is>
          <t>VÄRMLANDS LÄN</t>
        </is>
      </c>
      <c r="E10031" t="inlineStr">
        <is>
          <t>KIL</t>
        </is>
      </c>
      <c r="F10031" t="inlineStr">
        <is>
          <t>Bergvik skog väst AB</t>
        </is>
      </c>
      <c r="G10031" t="n">
        <v>9.1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23399-2023</t>
        </is>
      </c>
      <c r="B10032" s="1" t="n">
        <v>45076</v>
      </c>
      <c r="C10032" s="1" t="n">
        <v>45810</v>
      </c>
      <c r="D10032" t="inlineStr">
        <is>
          <t>VÄRMLANDS LÄN</t>
        </is>
      </c>
      <c r="E10032" t="inlineStr">
        <is>
          <t>SUNNE</t>
        </is>
      </c>
      <c r="G10032" t="n">
        <v>1.8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23371-2023</t>
        </is>
      </c>
      <c r="B10033" s="1" t="n">
        <v>45076</v>
      </c>
      <c r="C10033" s="1" t="n">
        <v>45810</v>
      </c>
      <c r="D10033" t="inlineStr">
        <is>
          <t>VÄRMLANDS LÄN</t>
        </is>
      </c>
      <c r="E10033" t="inlineStr">
        <is>
          <t>HAGFORS</t>
        </is>
      </c>
      <c r="F10033" t="inlineStr">
        <is>
          <t>Bergvik skog väst AB</t>
        </is>
      </c>
      <c r="G10033" t="n">
        <v>0.6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23398-2023</t>
        </is>
      </c>
      <c r="B10034" s="1" t="n">
        <v>45076</v>
      </c>
      <c r="C10034" s="1" t="n">
        <v>45810</v>
      </c>
      <c r="D10034" t="inlineStr">
        <is>
          <t>VÄRMLANDS LÄN</t>
        </is>
      </c>
      <c r="E10034" t="inlineStr">
        <is>
          <t>SUNNE</t>
        </is>
      </c>
      <c r="G10034" t="n">
        <v>1.6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23442-2023</t>
        </is>
      </c>
      <c r="B10035" s="1" t="n">
        <v>45076</v>
      </c>
      <c r="C10035" s="1" t="n">
        <v>45810</v>
      </c>
      <c r="D10035" t="inlineStr">
        <is>
          <t>VÄRMLANDS LÄN</t>
        </is>
      </c>
      <c r="E10035" t="inlineStr">
        <is>
          <t>EDA</t>
        </is>
      </c>
      <c r="G10035" t="n">
        <v>1.8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23440-2023</t>
        </is>
      </c>
      <c r="B10036" s="1" t="n">
        <v>45076</v>
      </c>
      <c r="C10036" s="1" t="n">
        <v>45810</v>
      </c>
      <c r="D10036" t="inlineStr">
        <is>
          <t>VÄRMLANDS LÄN</t>
        </is>
      </c>
      <c r="E10036" t="inlineStr">
        <is>
          <t>EDA</t>
        </is>
      </c>
      <c r="G10036" t="n">
        <v>4.8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24385-2023</t>
        </is>
      </c>
      <c r="B10037" s="1" t="n">
        <v>45076</v>
      </c>
      <c r="C10037" s="1" t="n">
        <v>45810</v>
      </c>
      <c r="D10037" t="inlineStr">
        <is>
          <t>VÄRMLANDS LÄN</t>
        </is>
      </c>
      <c r="E10037" t="inlineStr">
        <is>
          <t>KRISTINEHAMN</t>
        </is>
      </c>
      <c r="G10037" t="n">
        <v>15.9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23617-2023</t>
        </is>
      </c>
      <c r="B10038" s="1" t="n">
        <v>45077</v>
      </c>
      <c r="C10038" s="1" t="n">
        <v>45810</v>
      </c>
      <c r="D10038" t="inlineStr">
        <is>
          <t>VÄRMLANDS LÄN</t>
        </is>
      </c>
      <c r="E10038" t="inlineStr">
        <is>
          <t>FILIPSTAD</t>
        </is>
      </c>
      <c r="G10038" t="n">
        <v>0.9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23685-2023</t>
        </is>
      </c>
      <c r="B10039" s="1" t="n">
        <v>45077</v>
      </c>
      <c r="C10039" s="1" t="n">
        <v>45810</v>
      </c>
      <c r="D10039" t="inlineStr">
        <is>
          <t>VÄRMLANDS LÄN</t>
        </is>
      </c>
      <c r="E10039" t="inlineStr">
        <is>
          <t>FORSHAGA</t>
        </is>
      </c>
      <c r="F10039" t="inlineStr">
        <is>
          <t>Bergvik skog väst AB</t>
        </is>
      </c>
      <c r="G10039" t="n">
        <v>2.6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23708-2023</t>
        </is>
      </c>
      <c r="B10040" s="1" t="n">
        <v>45077</v>
      </c>
      <c r="C10040" s="1" t="n">
        <v>45810</v>
      </c>
      <c r="D10040" t="inlineStr">
        <is>
          <t>VÄRMLANDS LÄN</t>
        </is>
      </c>
      <c r="E10040" t="inlineStr">
        <is>
          <t>HAGFORS</t>
        </is>
      </c>
      <c r="F10040" t="inlineStr">
        <is>
          <t>Bergvik skog väst AB</t>
        </is>
      </c>
      <c r="G10040" t="n">
        <v>25.7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23554-2023</t>
        </is>
      </c>
      <c r="B10041" s="1" t="n">
        <v>45077</v>
      </c>
      <c r="C10041" s="1" t="n">
        <v>45810</v>
      </c>
      <c r="D10041" t="inlineStr">
        <is>
          <t>VÄRMLANDS LÄN</t>
        </is>
      </c>
      <c r="E10041" t="inlineStr">
        <is>
          <t>STORFORS</t>
        </is>
      </c>
      <c r="G10041" t="n">
        <v>2.2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23572-2023</t>
        </is>
      </c>
      <c r="B10042" s="1" t="n">
        <v>45077</v>
      </c>
      <c r="C10042" s="1" t="n">
        <v>45810</v>
      </c>
      <c r="D10042" t="inlineStr">
        <is>
          <t>VÄRMLANDS LÄN</t>
        </is>
      </c>
      <c r="E10042" t="inlineStr">
        <is>
          <t>TORSBY</t>
        </is>
      </c>
      <c r="G10042" t="n">
        <v>4.4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23601-2023</t>
        </is>
      </c>
      <c r="B10043" s="1" t="n">
        <v>45077</v>
      </c>
      <c r="C10043" s="1" t="n">
        <v>45810</v>
      </c>
      <c r="D10043" t="inlineStr">
        <is>
          <t>VÄRMLANDS LÄN</t>
        </is>
      </c>
      <c r="E10043" t="inlineStr">
        <is>
          <t>ARVIKA</t>
        </is>
      </c>
      <c r="G10043" t="n">
        <v>10.6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23618-2023</t>
        </is>
      </c>
      <c r="B10044" s="1" t="n">
        <v>45077</v>
      </c>
      <c r="C10044" s="1" t="n">
        <v>45810</v>
      </c>
      <c r="D10044" t="inlineStr">
        <is>
          <t>VÄRMLANDS LÄN</t>
        </is>
      </c>
      <c r="E10044" t="inlineStr">
        <is>
          <t>FILIPSTAD</t>
        </is>
      </c>
      <c r="G10044" t="n">
        <v>15.8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23620-2023</t>
        </is>
      </c>
      <c r="B10045" s="1" t="n">
        <v>45077</v>
      </c>
      <c r="C10045" s="1" t="n">
        <v>45810</v>
      </c>
      <c r="D10045" t="inlineStr">
        <is>
          <t>VÄRMLANDS LÄN</t>
        </is>
      </c>
      <c r="E10045" t="inlineStr">
        <is>
          <t>FILIPSTAD</t>
        </is>
      </c>
      <c r="G10045" t="n">
        <v>7.5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23624-2023</t>
        </is>
      </c>
      <c r="B10046" s="1" t="n">
        <v>45077</v>
      </c>
      <c r="C10046" s="1" t="n">
        <v>45810</v>
      </c>
      <c r="D10046" t="inlineStr">
        <is>
          <t>VÄRMLANDS LÄN</t>
        </is>
      </c>
      <c r="E10046" t="inlineStr">
        <is>
          <t>TORSBY</t>
        </is>
      </c>
      <c r="F10046" t="inlineStr">
        <is>
          <t>Bergvik skog väst AB</t>
        </is>
      </c>
      <c r="G10046" t="n">
        <v>27.9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23629-2023</t>
        </is>
      </c>
      <c r="B10047" s="1" t="n">
        <v>45077</v>
      </c>
      <c r="C10047" s="1" t="n">
        <v>45810</v>
      </c>
      <c r="D10047" t="inlineStr">
        <is>
          <t>VÄRMLANDS LÄN</t>
        </is>
      </c>
      <c r="E10047" t="inlineStr">
        <is>
          <t>ARVIKA</t>
        </is>
      </c>
      <c r="F10047" t="inlineStr">
        <is>
          <t>Bergvik skog väst AB</t>
        </is>
      </c>
      <c r="G10047" t="n">
        <v>4.5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23703-2023</t>
        </is>
      </c>
      <c r="B10048" s="1" t="n">
        <v>45077</v>
      </c>
      <c r="C10048" s="1" t="n">
        <v>45810</v>
      </c>
      <c r="D10048" t="inlineStr">
        <is>
          <t>VÄRMLANDS LÄN</t>
        </is>
      </c>
      <c r="E10048" t="inlineStr">
        <is>
          <t>ARVIKA</t>
        </is>
      </c>
      <c r="F10048" t="inlineStr">
        <is>
          <t>Bergvik skog väst AB</t>
        </is>
      </c>
      <c r="G10048" t="n">
        <v>2.3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23719-2023</t>
        </is>
      </c>
      <c r="B10049" s="1" t="n">
        <v>45077</v>
      </c>
      <c r="C10049" s="1" t="n">
        <v>45810</v>
      </c>
      <c r="D10049" t="inlineStr">
        <is>
          <t>VÄRMLANDS LÄN</t>
        </is>
      </c>
      <c r="E10049" t="inlineStr">
        <is>
          <t>FORSHAGA</t>
        </is>
      </c>
      <c r="F10049" t="inlineStr">
        <is>
          <t>Bergvik skog väst AB</t>
        </is>
      </c>
      <c r="G10049" t="n">
        <v>1.9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23728-2023</t>
        </is>
      </c>
      <c r="B10050" s="1" t="n">
        <v>45077</v>
      </c>
      <c r="C10050" s="1" t="n">
        <v>45810</v>
      </c>
      <c r="D10050" t="inlineStr">
        <is>
          <t>VÄRMLANDS LÄN</t>
        </is>
      </c>
      <c r="E10050" t="inlineStr">
        <is>
          <t>SUNNE</t>
        </is>
      </c>
      <c r="G10050" t="n">
        <v>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23660-2023</t>
        </is>
      </c>
      <c r="B10051" s="1" t="n">
        <v>45077</v>
      </c>
      <c r="C10051" s="1" t="n">
        <v>45810</v>
      </c>
      <c r="D10051" t="inlineStr">
        <is>
          <t>VÄRMLANDS LÄN</t>
        </is>
      </c>
      <c r="E10051" t="inlineStr">
        <is>
          <t>ARVIKA</t>
        </is>
      </c>
      <c r="F10051" t="inlineStr">
        <is>
          <t>Bergvik skog väst AB</t>
        </is>
      </c>
      <c r="G10051" t="n">
        <v>1.1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23696-2023</t>
        </is>
      </c>
      <c r="B10052" s="1" t="n">
        <v>45077</v>
      </c>
      <c r="C10052" s="1" t="n">
        <v>45810</v>
      </c>
      <c r="D10052" t="inlineStr">
        <is>
          <t>VÄRMLANDS LÄN</t>
        </is>
      </c>
      <c r="E10052" t="inlineStr">
        <is>
          <t>FILIPSTAD</t>
        </is>
      </c>
      <c r="F10052" t="inlineStr">
        <is>
          <t>Bergvik skog väst AB</t>
        </is>
      </c>
      <c r="G10052" t="n">
        <v>4.7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23717-2023</t>
        </is>
      </c>
      <c r="B10053" s="1" t="n">
        <v>45077</v>
      </c>
      <c r="C10053" s="1" t="n">
        <v>45810</v>
      </c>
      <c r="D10053" t="inlineStr">
        <is>
          <t>VÄRMLANDS LÄN</t>
        </is>
      </c>
      <c r="E10053" t="inlineStr">
        <is>
          <t>ARVIKA</t>
        </is>
      </c>
      <c r="F10053" t="inlineStr">
        <is>
          <t>Bergvik skog väst AB</t>
        </is>
      </c>
      <c r="G10053" t="n">
        <v>1.4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24488-2023</t>
        </is>
      </c>
      <c r="B10054" s="1" t="n">
        <v>45077</v>
      </c>
      <c r="C10054" s="1" t="n">
        <v>45810</v>
      </c>
      <c r="D10054" t="inlineStr">
        <is>
          <t>VÄRMLANDS LÄN</t>
        </is>
      </c>
      <c r="E10054" t="inlineStr">
        <is>
          <t>KARLSTAD</t>
        </is>
      </c>
      <c r="G10054" t="n">
        <v>1.6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23796-2023</t>
        </is>
      </c>
      <c r="B10055" s="1" t="n">
        <v>45078</v>
      </c>
      <c r="C10055" s="1" t="n">
        <v>45810</v>
      </c>
      <c r="D10055" t="inlineStr">
        <is>
          <t>VÄRMLANDS LÄN</t>
        </is>
      </c>
      <c r="E10055" t="inlineStr">
        <is>
          <t>KIL</t>
        </is>
      </c>
      <c r="G10055" t="n">
        <v>1.7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23855-2023</t>
        </is>
      </c>
      <c r="B10056" s="1" t="n">
        <v>45078</v>
      </c>
      <c r="C10056" s="1" t="n">
        <v>45810</v>
      </c>
      <c r="D10056" t="inlineStr">
        <is>
          <t>VÄRMLANDS LÄN</t>
        </is>
      </c>
      <c r="E10056" t="inlineStr">
        <is>
          <t>GRUMS</t>
        </is>
      </c>
      <c r="G10056" t="n">
        <v>2.2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23871-2023</t>
        </is>
      </c>
      <c r="B10057" s="1" t="n">
        <v>45078</v>
      </c>
      <c r="C10057" s="1" t="n">
        <v>45810</v>
      </c>
      <c r="D10057" t="inlineStr">
        <is>
          <t>VÄRMLANDS LÄN</t>
        </is>
      </c>
      <c r="E10057" t="inlineStr">
        <is>
          <t>ÅRJÄNG</t>
        </is>
      </c>
      <c r="G10057" t="n">
        <v>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23937-2023</t>
        </is>
      </c>
      <c r="B10058" s="1" t="n">
        <v>45078</v>
      </c>
      <c r="C10058" s="1" t="n">
        <v>45810</v>
      </c>
      <c r="D10058" t="inlineStr">
        <is>
          <t>VÄRMLANDS LÄN</t>
        </is>
      </c>
      <c r="E10058" t="inlineStr">
        <is>
          <t>HAGFORS</t>
        </is>
      </c>
      <c r="F10058" t="inlineStr">
        <is>
          <t>Kyrkan</t>
        </is>
      </c>
      <c r="G10058" t="n">
        <v>14.2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23793-2023</t>
        </is>
      </c>
      <c r="B10059" s="1" t="n">
        <v>45078</v>
      </c>
      <c r="C10059" s="1" t="n">
        <v>45810</v>
      </c>
      <c r="D10059" t="inlineStr">
        <is>
          <t>VÄRMLANDS LÄN</t>
        </is>
      </c>
      <c r="E10059" t="inlineStr">
        <is>
          <t>SUNNE</t>
        </is>
      </c>
      <c r="G10059" t="n">
        <v>3.3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23795-2023</t>
        </is>
      </c>
      <c r="B10060" s="1" t="n">
        <v>45078</v>
      </c>
      <c r="C10060" s="1" t="n">
        <v>45810</v>
      </c>
      <c r="D10060" t="inlineStr">
        <is>
          <t>VÄRMLANDS LÄN</t>
        </is>
      </c>
      <c r="E10060" t="inlineStr">
        <is>
          <t>KIL</t>
        </is>
      </c>
      <c r="G10060" t="n">
        <v>6.6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23794-2023</t>
        </is>
      </c>
      <c r="B10061" s="1" t="n">
        <v>45078</v>
      </c>
      <c r="C10061" s="1" t="n">
        <v>45810</v>
      </c>
      <c r="D10061" t="inlineStr">
        <is>
          <t>VÄRMLANDS LÄN</t>
        </is>
      </c>
      <c r="E10061" t="inlineStr">
        <is>
          <t>KIL</t>
        </is>
      </c>
      <c r="G10061" t="n">
        <v>1.5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23822-2023</t>
        </is>
      </c>
      <c r="B10062" s="1" t="n">
        <v>45078</v>
      </c>
      <c r="C10062" s="1" t="n">
        <v>45810</v>
      </c>
      <c r="D10062" t="inlineStr">
        <is>
          <t>VÄRMLANDS LÄN</t>
        </is>
      </c>
      <c r="E10062" t="inlineStr">
        <is>
          <t>FILIPSTAD</t>
        </is>
      </c>
      <c r="F10062" t="inlineStr">
        <is>
          <t>Bergvik skog väst AB</t>
        </is>
      </c>
      <c r="G10062" t="n">
        <v>7.5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23826-2023</t>
        </is>
      </c>
      <c r="B10063" s="1" t="n">
        <v>45078</v>
      </c>
      <c r="C10063" s="1" t="n">
        <v>45810</v>
      </c>
      <c r="D10063" t="inlineStr">
        <is>
          <t>VÄRMLANDS LÄN</t>
        </is>
      </c>
      <c r="E10063" t="inlineStr">
        <is>
          <t>FORSHAGA</t>
        </is>
      </c>
      <c r="G10063" t="n">
        <v>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23837-2023</t>
        </is>
      </c>
      <c r="B10064" s="1" t="n">
        <v>45078</v>
      </c>
      <c r="C10064" s="1" t="n">
        <v>45810</v>
      </c>
      <c r="D10064" t="inlineStr">
        <is>
          <t>VÄRMLANDS LÄN</t>
        </is>
      </c>
      <c r="E10064" t="inlineStr">
        <is>
          <t>FILIPSTAD</t>
        </is>
      </c>
      <c r="F10064" t="inlineStr">
        <is>
          <t>Bergvik skog väst AB</t>
        </is>
      </c>
      <c r="G10064" t="n">
        <v>5.9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23873-2023</t>
        </is>
      </c>
      <c r="B10065" s="1" t="n">
        <v>45078</v>
      </c>
      <c r="C10065" s="1" t="n">
        <v>45810</v>
      </c>
      <c r="D10065" t="inlineStr">
        <is>
          <t>VÄRMLANDS LÄN</t>
        </is>
      </c>
      <c r="E10065" t="inlineStr">
        <is>
          <t>HAGFORS</t>
        </is>
      </c>
      <c r="F10065" t="inlineStr">
        <is>
          <t>Bergvik skog väst AB</t>
        </is>
      </c>
      <c r="G10065" t="n">
        <v>4.6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23903-2023</t>
        </is>
      </c>
      <c r="B10066" s="1" t="n">
        <v>45078</v>
      </c>
      <c r="C10066" s="1" t="n">
        <v>45810</v>
      </c>
      <c r="D10066" t="inlineStr">
        <is>
          <t>VÄRMLANDS LÄN</t>
        </is>
      </c>
      <c r="E10066" t="inlineStr">
        <is>
          <t>ARVIKA</t>
        </is>
      </c>
      <c r="G10066" t="n">
        <v>0.9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23991-2023</t>
        </is>
      </c>
      <c r="B10067" s="1" t="n">
        <v>45078</v>
      </c>
      <c r="C10067" s="1" t="n">
        <v>45810</v>
      </c>
      <c r="D10067" t="inlineStr">
        <is>
          <t>VÄRMLANDS LÄN</t>
        </is>
      </c>
      <c r="E10067" t="inlineStr">
        <is>
          <t>ÅRJÄNG</t>
        </is>
      </c>
      <c r="G10067" t="n">
        <v>5.9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23995-2023</t>
        </is>
      </c>
      <c r="B10068" s="1" t="n">
        <v>45078</v>
      </c>
      <c r="C10068" s="1" t="n">
        <v>45810</v>
      </c>
      <c r="D10068" t="inlineStr">
        <is>
          <t>VÄRMLANDS LÄN</t>
        </is>
      </c>
      <c r="E10068" t="inlineStr">
        <is>
          <t>SUNNE</t>
        </is>
      </c>
      <c r="G10068" t="n">
        <v>18.1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23847-2023</t>
        </is>
      </c>
      <c r="B10069" s="1" t="n">
        <v>45078</v>
      </c>
      <c r="C10069" s="1" t="n">
        <v>45810</v>
      </c>
      <c r="D10069" t="inlineStr">
        <is>
          <t>VÄRMLANDS LÄN</t>
        </is>
      </c>
      <c r="E10069" t="inlineStr">
        <is>
          <t>ÅRJÄNG</t>
        </is>
      </c>
      <c r="G10069" t="n">
        <v>1.9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23851-2023</t>
        </is>
      </c>
      <c r="B10070" s="1" t="n">
        <v>45078</v>
      </c>
      <c r="C10070" s="1" t="n">
        <v>45810</v>
      </c>
      <c r="D10070" t="inlineStr">
        <is>
          <t>VÄRMLANDS LÄN</t>
        </is>
      </c>
      <c r="E10070" t="inlineStr">
        <is>
          <t>ÅRJÄNG</t>
        </is>
      </c>
      <c r="G10070" t="n">
        <v>1.3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23894-2023</t>
        </is>
      </c>
      <c r="B10071" s="1" t="n">
        <v>45078</v>
      </c>
      <c r="C10071" s="1" t="n">
        <v>45810</v>
      </c>
      <c r="D10071" t="inlineStr">
        <is>
          <t>VÄRMLANDS LÄN</t>
        </is>
      </c>
      <c r="E10071" t="inlineStr">
        <is>
          <t>TORSBY</t>
        </is>
      </c>
      <c r="F10071" t="inlineStr">
        <is>
          <t>Bergvik skog väst AB</t>
        </is>
      </c>
      <c r="G10071" t="n">
        <v>14.9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23902-2023</t>
        </is>
      </c>
      <c r="B10072" s="1" t="n">
        <v>45078</v>
      </c>
      <c r="C10072" s="1" t="n">
        <v>45810</v>
      </c>
      <c r="D10072" t="inlineStr">
        <is>
          <t>VÄRMLANDS LÄN</t>
        </is>
      </c>
      <c r="E10072" t="inlineStr">
        <is>
          <t>ARVIKA</t>
        </is>
      </c>
      <c r="G10072" t="n">
        <v>1.2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23912-2023</t>
        </is>
      </c>
      <c r="B10073" s="1" t="n">
        <v>45078</v>
      </c>
      <c r="C10073" s="1" t="n">
        <v>45810</v>
      </c>
      <c r="D10073" t="inlineStr">
        <is>
          <t>VÄRMLANDS LÄN</t>
        </is>
      </c>
      <c r="E10073" t="inlineStr">
        <is>
          <t>TORSBY</t>
        </is>
      </c>
      <c r="G10073" t="n">
        <v>1.3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23954-2023</t>
        </is>
      </c>
      <c r="B10074" s="1" t="n">
        <v>45078</v>
      </c>
      <c r="C10074" s="1" t="n">
        <v>45810</v>
      </c>
      <c r="D10074" t="inlineStr">
        <is>
          <t>VÄRMLANDS LÄN</t>
        </is>
      </c>
      <c r="E10074" t="inlineStr">
        <is>
          <t>ARVIKA</t>
        </is>
      </c>
      <c r="G10074" t="n">
        <v>1.8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23971-2023</t>
        </is>
      </c>
      <c r="B10075" s="1" t="n">
        <v>45078</v>
      </c>
      <c r="C10075" s="1" t="n">
        <v>45810</v>
      </c>
      <c r="D10075" t="inlineStr">
        <is>
          <t>VÄRMLANDS LÄN</t>
        </is>
      </c>
      <c r="E10075" t="inlineStr">
        <is>
          <t>ÅRJÄNG</t>
        </is>
      </c>
      <c r="G10075" t="n">
        <v>1.6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23977-2023</t>
        </is>
      </c>
      <c r="B10076" s="1" t="n">
        <v>45078</v>
      </c>
      <c r="C10076" s="1" t="n">
        <v>45810</v>
      </c>
      <c r="D10076" t="inlineStr">
        <is>
          <t>VÄRMLANDS LÄN</t>
        </is>
      </c>
      <c r="E10076" t="inlineStr">
        <is>
          <t>ÅRJÄNG</t>
        </is>
      </c>
      <c r="G10076" t="n">
        <v>3.3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23870-2023</t>
        </is>
      </c>
      <c r="B10077" s="1" t="n">
        <v>45078</v>
      </c>
      <c r="C10077" s="1" t="n">
        <v>45810</v>
      </c>
      <c r="D10077" t="inlineStr">
        <is>
          <t>VÄRMLANDS LÄN</t>
        </is>
      </c>
      <c r="E10077" t="inlineStr">
        <is>
          <t>ÅRJÄNG</t>
        </is>
      </c>
      <c r="G10077" t="n">
        <v>1.6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23878-2023</t>
        </is>
      </c>
      <c r="B10078" s="1" t="n">
        <v>45078</v>
      </c>
      <c r="C10078" s="1" t="n">
        <v>45810</v>
      </c>
      <c r="D10078" t="inlineStr">
        <is>
          <t>VÄRMLANDS LÄN</t>
        </is>
      </c>
      <c r="E10078" t="inlineStr">
        <is>
          <t>ÅRJÄNG</t>
        </is>
      </c>
      <c r="G10078" t="n">
        <v>2.5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23900-2023</t>
        </is>
      </c>
      <c r="B10079" s="1" t="n">
        <v>45078</v>
      </c>
      <c r="C10079" s="1" t="n">
        <v>45810</v>
      </c>
      <c r="D10079" t="inlineStr">
        <is>
          <t>VÄRMLANDS LÄN</t>
        </is>
      </c>
      <c r="E10079" t="inlineStr">
        <is>
          <t>ARVIKA</t>
        </is>
      </c>
      <c r="G10079" t="n">
        <v>1.2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23904-2023</t>
        </is>
      </c>
      <c r="B10080" s="1" t="n">
        <v>45078</v>
      </c>
      <c r="C10080" s="1" t="n">
        <v>45810</v>
      </c>
      <c r="D10080" t="inlineStr">
        <is>
          <t>VÄRMLANDS LÄN</t>
        </is>
      </c>
      <c r="E10080" t="inlineStr">
        <is>
          <t>ÅRJÄNG</t>
        </is>
      </c>
      <c r="G10080" t="n">
        <v>2.4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24005-2023</t>
        </is>
      </c>
      <c r="B10081" s="1" t="n">
        <v>45078</v>
      </c>
      <c r="C10081" s="1" t="n">
        <v>45810</v>
      </c>
      <c r="D10081" t="inlineStr">
        <is>
          <t>VÄRMLANDS LÄN</t>
        </is>
      </c>
      <c r="E10081" t="inlineStr">
        <is>
          <t>HAGFORS</t>
        </is>
      </c>
      <c r="F10081" t="inlineStr">
        <is>
          <t>Bergvik skog väst AB</t>
        </is>
      </c>
      <c r="G10081" t="n">
        <v>3.4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24036-2023</t>
        </is>
      </c>
      <c r="B10082" s="1" t="n">
        <v>45078</v>
      </c>
      <c r="C10082" s="1" t="n">
        <v>45810</v>
      </c>
      <c r="D10082" t="inlineStr">
        <is>
          <t>VÄRMLANDS LÄN</t>
        </is>
      </c>
      <c r="E10082" t="inlineStr">
        <is>
          <t>FORSHAGA</t>
        </is>
      </c>
      <c r="G10082" t="n">
        <v>0.6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25142-2023</t>
        </is>
      </c>
      <c r="B10083" s="1" t="n">
        <v>45078</v>
      </c>
      <c r="C10083" s="1" t="n">
        <v>45810</v>
      </c>
      <c r="D10083" t="inlineStr">
        <is>
          <t>VÄRMLANDS LÄN</t>
        </is>
      </c>
      <c r="E10083" t="inlineStr">
        <is>
          <t>SÄFFLE</t>
        </is>
      </c>
      <c r="G10083" t="n">
        <v>5.4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25139-2023</t>
        </is>
      </c>
      <c r="B10084" s="1" t="n">
        <v>45078</v>
      </c>
      <c r="C10084" s="1" t="n">
        <v>45810</v>
      </c>
      <c r="D10084" t="inlineStr">
        <is>
          <t>VÄRMLANDS LÄN</t>
        </is>
      </c>
      <c r="E10084" t="inlineStr">
        <is>
          <t>SÄFFLE</t>
        </is>
      </c>
      <c r="G10084" t="n">
        <v>7.2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24173-2023</t>
        </is>
      </c>
      <c r="B10085" s="1" t="n">
        <v>45079</v>
      </c>
      <c r="C10085" s="1" t="n">
        <v>45810</v>
      </c>
      <c r="D10085" t="inlineStr">
        <is>
          <t>VÄRMLANDS LÄN</t>
        </is>
      </c>
      <c r="E10085" t="inlineStr">
        <is>
          <t>SUNNE</t>
        </is>
      </c>
      <c r="F10085" t="inlineStr">
        <is>
          <t>Kyrkan</t>
        </is>
      </c>
      <c r="G10085" t="n">
        <v>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24203-2023</t>
        </is>
      </c>
      <c r="B10086" s="1" t="n">
        <v>45079</v>
      </c>
      <c r="C10086" s="1" t="n">
        <v>45810</v>
      </c>
      <c r="D10086" t="inlineStr">
        <is>
          <t>VÄRMLANDS LÄN</t>
        </is>
      </c>
      <c r="E10086" t="inlineStr">
        <is>
          <t>GRUMS</t>
        </is>
      </c>
      <c r="G10086" t="n">
        <v>1.3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24244-2023</t>
        </is>
      </c>
      <c r="B10087" s="1" t="n">
        <v>45079</v>
      </c>
      <c r="C10087" s="1" t="n">
        <v>45810</v>
      </c>
      <c r="D10087" t="inlineStr">
        <is>
          <t>VÄRMLANDS LÄN</t>
        </is>
      </c>
      <c r="E10087" t="inlineStr">
        <is>
          <t>TORSBY</t>
        </is>
      </c>
      <c r="G10087" t="n">
        <v>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24095-2023</t>
        </is>
      </c>
      <c r="B10088" s="1" t="n">
        <v>45079</v>
      </c>
      <c r="C10088" s="1" t="n">
        <v>45810</v>
      </c>
      <c r="D10088" t="inlineStr">
        <is>
          <t>VÄRMLANDS LÄN</t>
        </is>
      </c>
      <c r="E10088" t="inlineStr">
        <is>
          <t>ARVIKA</t>
        </is>
      </c>
      <c r="G10088" t="n">
        <v>1.2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24093-2023</t>
        </is>
      </c>
      <c r="B10089" s="1" t="n">
        <v>45079</v>
      </c>
      <c r="C10089" s="1" t="n">
        <v>45810</v>
      </c>
      <c r="D10089" t="inlineStr">
        <is>
          <t>VÄRMLANDS LÄN</t>
        </is>
      </c>
      <c r="E10089" t="inlineStr">
        <is>
          <t>ARVIKA</t>
        </is>
      </c>
      <c r="G10089" t="n">
        <v>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24146-2023</t>
        </is>
      </c>
      <c r="B10090" s="1" t="n">
        <v>45079</v>
      </c>
      <c r="C10090" s="1" t="n">
        <v>45810</v>
      </c>
      <c r="D10090" t="inlineStr">
        <is>
          <t>VÄRMLANDS LÄN</t>
        </is>
      </c>
      <c r="E10090" t="inlineStr">
        <is>
          <t>KRISTINEHAMN</t>
        </is>
      </c>
      <c r="G10090" t="n">
        <v>0.2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24170-2023</t>
        </is>
      </c>
      <c r="B10091" s="1" t="n">
        <v>45079</v>
      </c>
      <c r="C10091" s="1" t="n">
        <v>45810</v>
      </c>
      <c r="D10091" t="inlineStr">
        <is>
          <t>VÄRMLANDS LÄN</t>
        </is>
      </c>
      <c r="E10091" t="inlineStr">
        <is>
          <t>TORSBY</t>
        </is>
      </c>
      <c r="F10091" t="inlineStr">
        <is>
          <t>Bergvik skog väst AB</t>
        </is>
      </c>
      <c r="G10091" t="n">
        <v>8.300000000000001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24101-2023</t>
        </is>
      </c>
      <c r="B10092" s="1" t="n">
        <v>45079</v>
      </c>
      <c r="C10092" s="1" t="n">
        <v>45810</v>
      </c>
      <c r="D10092" t="inlineStr">
        <is>
          <t>VÄRMLANDS LÄN</t>
        </is>
      </c>
      <c r="E10092" t="inlineStr">
        <is>
          <t>TORSBY</t>
        </is>
      </c>
      <c r="G10092" t="n">
        <v>1.7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24159-2023</t>
        </is>
      </c>
      <c r="B10093" s="1" t="n">
        <v>45079</v>
      </c>
      <c r="C10093" s="1" t="n">
        <v>45810</v>
      </c>
      <c r="D10093" t="inlineStr">
        <is>
          <t>VÄRMLANDS LÄN</t>
        </is>
      </c>
      <c r="E10093" t="inlineStr">
        <is>
          <t>SUNNE</t>
        </is>
      </c>
      <c r="F10093" t="inlineStr">
        <is>
          <t>Kyrkan</t>
        </is>
      </c>
      <c r="G10093" t="n">
        <v>11.2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24172-2023</t>
        </is>
      </c>
      <c r="B10094" s="1" t="n">
        <v>45079</v>
      </c>
      <c r="C10094" s="1" t="n">
        <v>45810</v>
      </c>
      <c r="D10094" t="inlineStr">
        <is>
          <t>VÄRMLANDS LÄN</t>
        </is>
      </c>
      <c r="E10094" t="inlineStr">
        <is>
          <t>SUNNE</t>
        </is>
      </c>
      <c r="G10094" t="n">
        <v>0.8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24184-2023</t>
        </is>
      </c>
      <c r="B10095" s="1" t="n">
        <v>45079</v>
      </c>
      <c r="C10095" s="1" t="n">
        <v>45810</v>
      </c>
      <c r="D10095" t="inlineStr">
        <is>
          <t>VÄRMLANDS LÄN</t>
        </is>
      </c>
      <c r="E10095" t="inlineStr">
        <is>
          <t>SÄFFLE</t>
        </is>
      </c>
      <c r="G10095" t="n">
        <v>0.6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24194-2023</t>
        </is>
      </c>
      <c r="B10096" s="1" t="n">
        <v>45079</v>
      </c>
      <c r="C10096" s="1" t="n">
        <v>45810</v>
      </c>
      <c r="D10096" t="inlineStr">
        <is>
          <t>VÄRMLANDS LÄN</t>
        </is>
      </c>
      <c r="E10096" t="inlineStr">
        <is>
          <t>SUNNE</t>
        </is>
      </c>
      <c r="G10096" t="n">
        <v>2.1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24273-2023</t>
        </is>
      </c>
      <c r="B10097" s="1" t="n">
        <v>45079</v>
      </c>
      <c r="C10097" s="1" t="n">
        <v>45810</v>
      </c>
      <c r="D10097" t="inlineStr">
        <is>
          <t>VÄRMLANDS LÄN</t>
        </is>
      </c>
      <c r="E10097" t="inlineStr">
        <is>
          <t>ÅRJÄNG</t>
        </is>
      </c>
      <c r="G10097" t="n">
        <v>1.9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24131-2023</t>
        </is>
      </c>
      <c r="B10098" s="1" t="n">
        <v>45079</v>
      </c>
      <c r="C10098" s="1" t="n">
        <v>45810</v>
      </c>
      <c r="D10098" t="inlineStr">
        <is>
          <t>VÄRMLANDS LÄN</t>
        </is>
      </c>
      <c r="E10098" t="inlineStr">
        <is>
          <t>KRISTINEHAMN</t>
        </is>
      </c>
      <c r="G10098" t="n">
        <v>10.7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24161-2023</t>
        </is>
      </c>
      <c r="B10099" s="1" t="n">
        <v>45079</v>
      </c>
      <c r="C10099" s="1" t="n">
        <v>45810</v>
      </c>
      <c r="D10099" t="inlineStr">
        <is>
          <t>VÄRMLANDS LÄN</t>
        </is>
      </c>
      <c r="E10099" t="inlineStr">
        <is>
          <t>KARLSTAD</t>
        </is>
      </c>
      <c r="G10099" t="n">
        <v>1.9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24187-2023</t>
        </is>
      </c>
      <c r="B10100" s="1" t="n">
        <v>45079</v>
      </c>
      <c r="C10100" s="1" t="n">
        <v>45810</v>
      </c>
      <c r="D10100" t="inlineStr">
        <is>
          <t>VÄRMLANDS LÄN</t>
        </is>
      </c>
      <c r="E10100" t="inlineStr">
        <is>
          <t>SUNNE</t>
        </is>
      </c>
      <c r="G10100" t="n">
        <v>4.4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24196-2023</t>
        </is>
      </c>
      <c r="B10101" s="1" t="n">
        <v>45079</v>
      </c>
      <c r="C10101" s="1" t="n">
        <v>45810</v>
      </c>
      <c r="D10101" t="inlineStr">
        <is>
          <t>VÄRMLANDS LÄN</t>
        </is>
      </c>
      <c r="E10101" t="inlineStr">
        <is>
          <t>TORSBY</t>
        </is>
      </c>
      <c r="F10101" t="inlineStr">
        <is>
          <t>Bergvik skog väst AB</t>
        </is>
      </c>
      <c r="G10101" t="n">
        <v>10.6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25258-2023</t>
        </is>
      </c>
      <c r="B10102" s="1" t="n">
        <v>45079</v>
      </c>
      <c r="C10102" s="1" t="n">
        <v>45810</v>
      </c>
      <c r="D10102" t="inlineStr">
        <is>
          <t>VÄRMLANDS LÄN</t>
        </is>
      </c>
      <c r="E10102" t="inlineStr">
        <is>
          <t>HAGFORS</t>
        </is>
      </c>
      <c r="G10102" t="n">
        <v>2.3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25495-2023</t>
        </is>
      </c>
      <c r="B10103" s="1" t="n">
        <v>45081</v>
      </c>
      <c r="C10103" s="1" t="n">
        <v>45810</v>
      </c>
      <c r="D10103" t="inlineStr">
        <is>
          <t>VÄRMLANDS LÄN</t>
        </is>
      </c>
      <c r="E10103" t="inlineStr">
        <is>
          <t>ÅRJÄNG</t>
        </is>
      </c>
      <c r="F10103" t="inlineStr">
        <is>
          <t>Övriga Aktiebolag</t>
        </is>
      </c>
      <c r="G10103" t="n">
        <v>5.6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25454-2023</t>
        </is>
      </c>
      <c r="B10104" s="1" t="n">
        <v>45081</v>
      </c>
      <c r="C10104" s="1" t="n">
        <v>45810</v>
      </c>
      <c r="D10104" t="inlineStr">
        <is>
          <t>VÄRMLANDS LÄN</t>
        </is>
      </c>
      <c r="E10104" t="inlineStr">
        <is>
          <t>KRISTINEHAMN</t>
        </is>
      </c>
      <c r="G10104" t="n">
        <v>0.5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25489-2023</t>
        </is>
      </c>
      <c r="B10105" s="1" t="n">
        <v>45081</v>
      </c>
      <c r="C10105" s="1" t="n">
        <v>45810</v>
      </c>
      <c r="D10105" t="inlineStr">
        <is>
          <t>VÄRMLANDS LÄN</t>
        </is>
      </c>
      <c r="E10105" t="inlineStr">
        <is>
          <t>SÄFFLE</t>
        </is>
      </c>
      <c r="G10105" t="n">
        <v>3.1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24329-2023</t>
        </is>
      </c>
      <c r="B10106" s="1" t="n">
        <v>45081</v>
      </c>
      <c r="C10106" s="1" t="n">
        <v>45810</v>
      </c>
      <c r="D10106" t="inlineStr">
        <is>
          <t>VÄRMLANDS LÄN</t>
        </is>
      </c>
      <c r="E10106" t="inlineStr">
        <is>
          <t>ARVIKA</t>
        </is>
      </c>
      <c r="G10106" t="n">
        <v>0.8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25492-2023</t>
        </is>
      </c>
      <c r="B10107" s="1" t="n">
        <v>45081</v>
      </c>
      <c r="C10107" s="1" t="n">
        <v>45810</v>
      </c>
      <c r="D10107" t="inlineStr">
        <is>
          <t>VÄRMLANDS LÄN</t>
        </is>
      </c>
      <c r="E10107" t="inlineStr">
        <is>
          <t>KRISTINEHAMN</t>
        </is>
      </c>
      <c r="G10107" t="n">
        <v>0.7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25494-2023</t>
        </is>
      </c>
      <c r="B10108" s="1" t="n">
        <v>45081</v>
      </c>
      <c r="C10108" s="1" t="n">
        <v>45810</v>
      </c>
      <c r="D10108" t="inlineStr">
        <is>
          <t>VÄRMLANDS LÄN</t>
        </is>
      </c>
      <c r="E10108" t="inlineStr">
        <is>
          <t>KRISTINEHAMN</t>
        </is>
      </c>
      <c r="G10108" t="n">
        <v>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24393-2023</t>
        </is>
      </c>
      <c r="B10109" s="1" t="n">
        <v>45082</v>
      </c>
      <c r="C10109" s="1" t="n">
        <v>45810</v>
      </c>
      <c r="D10109" t="inlineStr">
        <is>
          <t>VÄRMLANDS LÄN</t>
        </is>
      </c>
      <c r="E10109" t="inlineStr">
        <is>
          <t>SUNNE</t>
        </is>
      </c>
      <c r="G10109" t="n">
        <v>1.1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24362-2023</t>
        </is>
      </c>
      <c r="B10110" s="1" t="n">
        <v>45082</v>
      </c>
      <c r="C10110" s="1" t="n">
        <v>45810</v>
      </c>
      <c r="D10110" t="inlineStr">
        <is>
          <t>VÄRMLANDS LÄN</t>
        </is>
      </c>
      <c r="E10110" t="inlineStr">
        <is>
          <t>ARVIKA</t>
        </is>
      </c>
      <c r="G10110" t="n">
        <v>2.6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24391-2023</t>
        </is>
      </c>
      <c r="B10111" s="1" t="n">
        <v>45082</v>
      </c>
      <c r="C10111" s="1" t="n">
        <v>45810</v>
      </c>
      <c r="D10111" t="inlineStr">
        <is>
          <t>VÄRMLANDS LÄN</t>
        </is>
      </c>
      <c r="E10111" t="inlineStr">
        <is>
          <t>SÄFFLE</t>
        </is>
      </c>
      <c r="G10111" t="n">
        <v>6.5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24518-2023</t>
        </is>
      </c>
      <c r="B10112" s="1" t="n">
        <v>45082</v>
      </c>
      <c r="C10112" s="1" t="n">
        <v>45810</v>
      </c>
      <c r="D10112" t="inlineStr">
        <is>
          <t>VÄRMLANDS LÄN</t>
        </is>
      </c>
      <c r="E10112" t="inlineStr">
        <is>
          <t>TORSBY</t>
        </is>
      </c>
      <c r="G10112" t="n">
        <v>3.7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25570-2023</t>
        </is>
      </c>
      <c r="B10113" s="1" t="n">
        <v>45082</v>
      </c>
      <c r="C10113" s="1" t="n">
        <v>45810</v>
      </c>
      <c r="D10113" t="inlineStr">
        <is>
          <t>VÄRMLANDS LÄN</t>
        </is>
      </c>
      <c r="E10113" t="inlineStr">
        <is>
          <t>KRISTINEHAMN</t>
        </is>
      </c>
      <c r="G10113" t="n">
        <v>1.8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24505-2023</t>
        </is>
      </c>
      <c r="B10114" s="1" t="n">
        <v>45082</v>
      </c>
      <c r="C10114" s="1" t="n">
        <v>45810</v>
      </c>
      <c r="D10114" t="inlineStr">
        <is>
          <t>VÄRMLANDS LÄN</t>
        </is>
      </c>
      <c r="E10114" t="inlineStr">
        <is>
          <t>ÅRJÄNG</t>
        </is>
      </c>
      <c r="G10114" t="n">
        <v>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24536-2023</t>
        </is>
      </c>
      <c r="B10115" s="1" t="n">
        <v>45082</v>
      </c>
      <c r="C10115" s="1" t="n">
        <v>45810</v>
      </c>
      <c r="D10115" t="inlineStr">
        <is>
          <t>VÄRMLANDS LÄN</t>
        </is>
      </c>
      <c r="E10115" t="inlineStr">
        <is>
          <t>SUNNE</t>
        </is>
      </c>
      <c r="G10115" t="n">
        <v>1.5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25561-2023</t>
        </is>
      </c>
      <c r="B10116" s="1" t="n">
        <v>45082</v>
      </c>
      <c r="C10116" s="1" t="n">
        <v>45810</v>
      </c>
      <c r="D10116" t="inlineStr">
        <is>
          <t>VÄRMLANDS LÄN</t>
        </is>
      </c>
      <c r="E10116" t="inlineStr">
        <is>
          <t>SÄFFLE</t>
        </is>
      </c>
      <c r="G10116" t="n">
        <v>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24589-2023</t>
        </is>
      </c>
      <c r="B10117" s="1" t="n">
        <v>45083</v>
      </c>
      <c r="C10117" s="1" t="n">
        <v>45810</v>
      </c>
      <c r="D10117" t="inlineStr">
        <is>
          <t>VÄRMLANDS LÄN</t>
        </is>
      </c>
      <c r="E10117" t="inlineStr">
        <is>
          <t>KARLSTAD</t>
        </is>
      </c>
      <c r="G10117" t="n">
        <v>1.1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24593-2023</t>
        </is>
      </c>
      <c r="B10118" s="1" t="n">
        <v>45083</v>
      </c>
      <c r="C10118" s="1" t="n">
        <v>45810</v>
      </c>
      <c r="D10118" t="inlineStr">
        <is>
          <t>VÄRMLANDS LÄN</t>
        </is>
      </c>
      <c r="E10118" t="inlineStr">
        <is>
          <t>KARLSTAD</t>
        </is>
      </c>
      <c r="G10118" t="n">
        <v>0.6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24561-2023</t>
        </is>
      </c>
      <c r="B10119" s="1" t="n">
        <v>45083</v>
      </c>
      <c r="C10119" s="1" t="n">
        <v>45810</v>
      </c>
      <c r="D10119" t="inlineStr">
        <is>
          <t>VÄRMLANDS LÄN</t>
        </is>
      </c>
      <c r="E10119" t="inlineStr">
        <is>
          <t>EDA</t>
        </is>
      </c>
      <c r="G10119" t="n">
        <v>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24565-2023</t>
        </is>
      </c>
      <c r="B10120" s="1" t="n">
        <v>45083</v>
      </c>
      <c r="C10120" s="1" t="n">
        <v>45810</v>
      </c>
      <c r="D10120" t="inlineStr">
        <is>
          <t>VÄRMLANDS LÄN</t>
        </is>
      </c>
      <c r="E10120" t="inlineStr">
        <is>
          <t>KARLSTAD</t>
        </is>
      </c>
      <c r="G10120" t="n">
        <v>1.9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24592-2023</t>
        </is>
      </c>
      <c r="B10121" s="1" t="n">
        <v>45083</v>
      </c>
      <c r="C10121" s="1" t="n">
        <v>45810</v>
      </c>
      <c r="D10121" t="inlineStr">
        <is>
          <t>VÄRMLANDS LÄN</t>
        </is>
      </c>
      <c r="E10121" t="inlineStr">
        <is>
          <t>KARLSTAD</t>
        </is>
      </c>
      <c r="G10121" t="n">
        <v>5.6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25617-2023</t>
        </is>
      </c>
      <c r="B10122" s="1" t="n">
        <v>45083</v>
      </c>
      <c r="C10122" s="1" t="n">
        <v>45810</v>
      </c>
      <c r="D10122" t="inlineStr">
        <is>
          <t>VÄRMLANDS LÄN</t>
        </is>
      </c>
      <c r="E10122" t="inlineStr">
        <is>
          <t>ARVIKA</t>
        </is>
      </c>
      <c r="G10122" t="n">
        <v>6.1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25623-2023</t>
        </is>
      </c>
      <c r="B10123" s="1" t="n">
        <v>45083</v>
      </c>
      <c r="C10123" s="1" t="n">
        <v>45810</v>
      </c>
      <c r="D10123" t="inlineStr">
        <is>
          <t>VÄRMLANDS LÄN</t>
        </is>
      </c>
      <c r="E10123" t="inlineStr">
        <is>
          <t>ARVIKA</t>
        </is>
      </c>
      <c r="G10123" t="n">
        <v>2.5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25628-2023</t>
        </is>
      </c>
      <c r="B10124" s="1" t="n">
        <v>45083</v>
      </c>
      <c r="C10124" s="1" t="n">
        <v>45810</v>
      </c>
      <c r="D10124" t="inlineStr">
        <is>
          <t>VÄRMLANDS LÄN</t>
        </is>
      </c>
      <c r="E10124" t="inlineStr">
        <is>
          <t>ARVIKA</t>
        </is>
      </c>
      <c r="G10124" t="n">
        <v>2.3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25581-2023</t>
        </is>
      </c>
      <c r="B10125" s="1" t="n">
        <v>45083</v>
      </c>
      <c r="C10125" s="1" t="n">
        <v>45810</v>
      </c>
      <c r="D10125" t="inlineStr">
        <is>
          <t>VÄRMLANDS LÄN</t>
        </is>
      </c>
      <c r="E10125" t="inlineStr">
        <is>
          <t>ARVIKA</t>
        </is>
      </c>
      <c r="G10125" t="n">
        <v>1.6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24590-2023</t>
        </is>
      </c>
      <c r="B10126" s="1" t="n">
        <v>45083</v>
      </c>
      <c r="C10126" s="1" t="n">
        <v>45810</v>
      </c>
      <c r="D10126" t="inlineStr">
        <is>
          <t>VÄRMLANDS LÄN</t>
        </is>
      </c>
      <c r="E10126" t="inlineStr">
        <is>
          <t>KARLSTAD</t>
        </is>
      </c>
      <c r="G10126" t="n">
        <v>0.5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25601-2023</t>
        </is>
      </c>
      <c r="B10127" s="1" t="n">
        <v>45083</v>
      </c>
      <c r="C10127" s="1" t="n">
        <v>45810</v>
      </c>
      <c r="D10127" t="inlineStr">
        <is>
          <t>VÄRMLANDS LÄN</t>
        </is>
      </c>
      <c r="E10127" t="inlineStr">
        <is>
          <t>ARVIKA</t>
        </is>
      </c>
      <c r="G10127" t="n">
        <v>0.7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24608-2023</t>
        </is>
      </c>
      <c r="B10128" s="1" t="n">
        <v>45084</v>
      </c>
      <c r="C10128" s="1" t="n">
        <v>45810</v>
      </c>
      <c r="D10128" t="inlineStr">
        <is>
          <t>VÄRMLANDS LÄN</t>
        </is>
      </c>
      <c r="E10128" t="inlineStr">
        <is>
          <t>HAGFORS</t>
        </is>
      </c>
      <c r="F10128" t="inlineStr">
        <is>
          <t>Bergvik skog väst AB</t>
        </is>
      </c>
      <c r="G10128" t="n">
        <v>9.9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24620-2023</t>
        </is>
      </c>
      <c r="B10129" s="1" t="n">
        <v>45084</v>
      </c>
      <c r="C10129" s="1" t="n">
        <v>45810</v>
      </c>
      <c r="D10129" t="inlineStr">
        <is>
          <t>VÄRMLANDS LÄN</t>
        </is>
      </c>
      <c r="E10129" t="inlineStr">
        <is>
          <t>EDA</t>
        </is>
      </c>
      <c r="G10129" t="n">
        <v>7.8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24626-2023</t>
        </is>
      </c>
      <c r="B10130" s="1" t="n">
        <v>45084</v>
      </c>
      <c r="C10130" s="1" t="n">
        <v>45810</v>
      </c>
      <c r="D10130" t="inlineStr">
        <is>
          <t>VÄRMLANDS LÄN</t>
        </is>
      </c>
      <c r="E10130" t="inlineStr">
        <is>
          <t>SUNNE</t>
        </is>
      </c>
      <c r="G10130" t="n">
        <v>0.7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24630-2023</t>
        </is>
      </c>
      <c r="B10131" s="1" t="n">
        <v>45084</v>
      </c>
      <c r="C10131" s="1" t="n">
        <v>45810</v>
      </c>
      <c r="D10131" t="inlineStr">
        <is>
          <t>VÄRMLANDS LÄN</t>
        </is>
      </c>
      <c r="E10131" t="inlineStr">
        <is>
          <t>ARVIKA</t>
        </is>
      </c>
      <c r="F10131" t="inlineStr">
        <is>
          <t>Bergvik skog väst AB</t>
        </is>
      </c>
      <c r="G10131" t="n">
        <v>3.1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24638-2023</t>
        </is>
      </c>
      <c r="B10132" s="1" t="n">
        <v>45084</v>
      </c>
      <c r="C10132" s="1" t="n">
        <v>45810</v>
      </c>
      <c r="D10132" t="inlineStr">
        <is>
          <t>VÄRMLANDS LÄN</t>
        </is>
      </c>
      <c r="E10132" t="inlineStr">
        <is>
          <t>HAGFORS</t>
        </is>
      </c>
      <c r="G10132" t="n">
        <v>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24696-2023</t>
        </is>
      </c>
      <c r="B10133" s="1" t="n">
        <v>45084</v>
      </c>
      <c r="C10133" s="1" t="n">
        <v>45810</v>
      </c>
      <c r="D10133" t="inlineStr">
        <is>
          <t>VÄRMLANDS LÄN</t>
        </is>
      </c>
      <c r="E10133" t="inlineStr">
        <is>
          <t>TORSBY</t>
        </is>
      </c>
      <c r="G10133" t="n">
        <v>0.7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24635-2023</t>
        </is>
      </c>
      <c r="B10134" s="1" t="n">
        <v>45084</v>
      </c>
      <c r="C10134" s="1" t="n">
        <v>45810</v>
      </c>
      <c r="D10134" t="inlineStr">
        <is>
          <t>VÄRMLANDS LÄN</t>
        </is>
      </c>
      <c r="E10134" t="inlineStr">
        <is>
          <t>HAGFORS</t>
        </is>
      </c>
      <c r="G10134" t="n">
        <v>1.6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24639-2023</t>
        </is>
      </c>
      <c r="B10135" s="1" t="n">
        <v>45084</v>
      </c>
      <c r="C10135" s="1" t="n">
        <v>45810</v>
      </c>
      <c r="D10135" t="inlineStr">
        <is>
          <t>VÄRMLANDS LÄN</t>
        </is>
      </c>
      <c r="E10135" t="inlineStr">
        <is>
          <t>TORSBY</t>
        </is>
      </c>
      <c r="G10135" t="n">
        <v>0.6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24643-2023</t>
        </is>
      </c>
      <c r="B10136" s="1" t="n">
        <v>45084</v>
      </c>
      <c r="C10136" s="1" t="n">
        <v>45810</v>
      </c>
      <c r="D10136" t="inlineStr">
        <is>
          <t>VÄRMLANDS LÄN</t>
        </is>
      </c>
      <c r="E10136" t="inlineStr">
        <is>
          <t>TORSBY</t>
        </is>
      </c>
      <c r="G10136" t="n">
        <v>0.9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24767-2023</t>
        </is>
      </c>
      <c r="B10137" s="1" t="n">
        <v>45084</v>
      </c>
      <c r="C10137" s="1" t="n">
        <v>45810</v>
      </c>
      <c r="D10137" t="inlineStr">
        <is>
          <t>VÄRMLANDS LÄN</t>
        </is>
      </c>
      <c r="E10137" t="inlineStr">
        <is>
          <t>ARVIKA</t>
        </is>
      </c>
      <c r="F10137" t="inlineStr">
        <is>
          <t>Bergvik skog väst AB</t>
        </is>
      </c>
      <c r="G10137" t="n">
        <v>15.1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24633-2023</t>
        </is>
      </c>
      <c r="B10138" s="1" t="n">
        <v>45084</v>
      </c>
      <c r="C10138" s="1" t="n">
        <v>45810</v>
      </c>
      <c r="D10138" t="inlineStr">
        <is>
          <t>VÄRMLANDS LÄN</t>
        </is>
      </c>
      <c r="E10138" t="inlineStr">
        <is>
          <t>HAGFORS</t>
        </is>
      </c>
      <c r="F10138" t="inlineStr">
        <is>
          <t>Kyrkan</t>
        </is>
      </c>
      <c r="G10138" t="n">
        <v>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24703-2023</t>
        </is>
      </c>
      <c r="B10139" s="1" t="n">
        <v>45084</v>
      </c>
      <c r="C10139" s="1" t="n">
        <v>45810</v>
      </c>
      <c r="D10139" t="inlineStr">
        <is>
          <t>VÄRMLANDS LÄN</t>
        </is>
      </c>
      <c r="E10139" t="inlineStr">
        <is>
          <t>TORSBY</t>
        </is>
      </c>
      <c r="G10139" t="n">
        <v>0.7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24756-2023</t>
        </is>
      </c>
      <c r="B10140" s="1" t="n">
        <v>45084</v>
      </c>
      <c r="C10140" s="1" t="n">
        <v>45810</v>
      </c>
      <c r="D10140" t="inlineStr">
        <is>
          <t>VÄRMLANDS LÄN</t>
        </is>
      </c>
      <c r="E10140" t="inlineStr">
        <is>
          <t>EDA</t>
        </is>
      </c>
      <c r="G10140" t="n">
        <v>2.3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24743-2023</t>
        </is>
      </c>
      <c r="B10141" s="1" t="n">
        <v>45084</v>
      </c>
      <c r="C10141" s="1" t="n">
        <v>45810</v>
      </c>
      <c r="D10141" t="inlineStr">
        <is>
          <t>VÄRMLANDS LÄN</t>
        </is>
      </c>
      <c r="E10141" t="inlineStr">
        <is>
          <t>SUNNE</t>
        </is>
      </c>
      <c r="G10141" t="n">
        <v>2.8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24776-2023</t>
        </is>
      </c>
      <c r="B10142" s="1" t="n">
        <v>45084</v>
      </c>
      <c r="C10142" s="1" t="n">
        <v>45810</v>
      </c>
      <c r="D10142" t="inlineStr">
        <is>
          <t>VÄRMLANDS LÄN</t>
        </is>
      </c>
      <c r="E10142" t="inlineStr">
        <is>
          <t>EDA</t>
        </is>
      </c>
      <c r="F10142" t="inlineStr">
        <is>
          <t>Bergvik skog väst AB</t>
        </is>
      </c>
      <c r="G10142" t="n">
        <v>3.9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24781-2023</t>
        </is>
      </c>
      <c r="B10143" s="1" t="n">
        <v>45084</v>
      </c>
      <c r="C10143" s="1" t="n">
        <v>45810</v>
      </c>
      <c r="D10143" t="inlineStr">
        <is>
          <t>VÄRMLANDS LÄN</t>
        </is>
      </c>
      <c r="E10143" t="inlineStr">
        <is>
          <t>HAGFORS</t>
        </is>
      </c>
      <c r="F10143" t="inlineStr">
        <is>
          <t>Bergvik skog väst AB</t>
        </is>
      </c>
      <c r="G10143" t="n">
        <v>2.3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24770-2023</t>
        </is>
      </c>
      <c r="B10144" s="1" t="n">
        <v>45084</v>
      </c>
      <c r="C10144" s="1" t="n">
        <v>45810</v>
      </c>
      <c r="D10144" t="inlineStr">
        <is>
          <t>VÄRMLANDS LÄN</t>
        </is>
      </c>
      <c r="E10144" t="inlineStr">
        <is>
          <t>ÅRJÄNG</t>
        </is>
      </c>
      <c r="G10144" t="n">
        <v>1.8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24774-2023</t>
        </is>
      </c>
      <c r="B10145" s="1" t="n">
        <v>45084</v>
      </c>
      <c r="C10145" s="1" t="n">
        <v>45810</v>
      </c>
      <c r="D10145" t="inlineStr">
        <is>
          <t>VÄRMLANDS LÄN</t>
        </is>
      </c>
      <c r="E10145" t="inlineStr">
        <is>
          <t>EDA</t>
        </is>
      </c>
      <c r="G10145" t="n">
        <v>0.8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24794-2023</t>
        </is>
      </c>
      <c r="B10146" s="1" t="n">
        <v>45084</v>
      </c>
      <c r="C10146" s="1" t="n">
        <v>45810</v>
      </c>
      <c r="D10146" t="inlineStr">
        <is>
          <t>VÄRMLANDS LÄN</t>
        </is>
      </c>
      <c r="E10146" t="inlineStr">
        <is>
          <t>SUNNE</t>
        </is>
      </c>
      <c r="G10146" t="n">
        <v>6.4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24796-2023</t>
        </is>
      </c>
      <c r="B10147" s="1" t="n">
        <v>45084</v>
      </c>
      <c r="C10147" s="1" t="n">
        <v>45810</v>
      </c>
      <c r="D10147" t="inlineStr">
        <is>
          <t>VÄRMLANDS LÄN</t>
        </is>
      </c>
      <c r="E10147" t="inlineStr">
        <is>
          <t>SUNNE</t>
        </is>
      </c>
      <c r="G10147" t="n">
        <v>0.6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24793-2023</t>
        </is>
      </c>
      <c r="B10148" s="1" t="n">
        <v>45084</v>
      </c>
      <c r="C10148" s="1" t="n">
        <v>45810</v>
      </c>
      <c r="D10148" t="inlineStr">
        <is>
          <t>VÄRMLANDS LÄN</t>
        </is>
      </c>
      <c r="E10148" t="inlineStr">
        <is>
          <t>SUNNE</t>
        </is>
      </c>
      <c r="G10148" t="n">
        <v>1.2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25772-2023</t>
        </is>
      </c>
      <c r="B10149" s="1" t="n">
        <v>45084</v>
      </c>
      <c r="C10149" s="1" t="n">
        <v>45810</v>
      </c>
      <c r="D10149" t="inlineStr">
        <is>
          <t>VÄRMLANDS LÄN</t>
        </is>
      </c>
      <c r="E10149" t="inlineStr">
        <is>
          <t>EDA</t>
        </is>
      </c>
      <c r="G10149" t="n">
        <v>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24844-2023</t>
        </is>
      </c>
      <c r="B10150" s="1" t="n">
        <v>45085</v>
      </c>
      <c r="C10150" s="1" t="n">
        <v>45810</v>
      </c>
      <c r="D10150" t="inlineStr">
        <is>
          <t>VÄRMLANDS LÄN</t>
        </is>
      </c>
      <c r="E10150" t="inlineStr">
        <is>
          <t>EDA</t>
        </is>
      </c>
      <c r="G10150" t="n">
        <v>3.1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24849-2023</t>
        </is>
      </c>
      <c r="B10151" s="1" t="n">
        <v>45085</v>
      </c>
      <c r="C10151" s="1" t="n">
        <v>45810</v>
      </c>
      <c r="D10151" t="inlineStr">
        <is>
          <t>VÄRMLANDS LÄN</t>
        </is>
      </c>
      <c r="E10151" t="inlineStr">
        <is>
          <t>TORSBY</t>
        </is>
      </c>
      <c r="G10151" t="n">
        <v>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24872-2023</t>
        </is>
      </c>
      <c r="B10152" s="1" t="n">
        <v>45085</v>
      </c>
      <c r="C10152" s="1" t="n">
        <v>45810</v>
      </c>
      <c r="D10152" t="inlineStr">
        <is>
          <t>VÄRMLANDS LÄN</t>
        </is>
      </c>
      <c r="E10152" t="inlineStr">
        <is>
          <t>ARVIKA</t>
        </is>
      </c>
      <c r="G10152" t="n">
        <v>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24886-2023</t>
        </is>
      </c>
      <c r="B10153" s="1" t="n">
        <v>45085</v>
      </c>
      <c r="C10153" s="1" t="n">
        <v>45810</v>
      </c>
      <c r="D10153" t="inlineStr">
        <is>
          <t>VÄRMLANDS LÄN</t>
        </is>
      </c>
      <c r="E10153" t="inlineStr">
        <is>
          <t>HAGFORS</t>
        </is>
      </c>
      <c r="F10153" t="inlineStr">
        <is>
          <t>Bergvik skog väst AB</t>
        </is>
      </c>
      <c r="G10153" t="n">
        <v>10.5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24896-2023</t>
        </is>
      </c>
      <c r="B10154" s="1" t="n">
        <v>45085</v>
      </c>
      <c r="C10154" s="1" t="n">
        <v>45810</v>
      </c>
      <c r="D10154" t="inlineStr">
        <is>
          <t>VÄRMLANDS LÄN</t>
        </is>
      </c>
      <c r="E10154" t="inlineStr">
        <is>
          <t>TORSBY</t>
        </is>
      </c>
      <c r="F10154" t="inlineStr">
        <is>
          <t>Bergvik skog väst AB</t>
        </is>
      </c>
      <c r="G10154" t="n">
        <v>4.7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24900-2023</t>
        </is>
      </c>
      <c r="B10155" s="1" t="n">
        <v>45085</v>
      </c>
      <c r="C10155" s="1" t="n">
        <v>45810</v>
      </c>
      <c r="D10155" t="inlineStr">
        <is>
          <t>VÄRMLANDS LÄN</t>
        </is>
      </c>
      <c r="E10155" t="inlineStr">
        <is>
          <t>KRISTINEHAMN</t>
        </is>
      </c>
      <c r="F10155" t="inlineStr">
        <is>
          <t>Sveaskog</t>
        </is>
      </c>
      <c r="G10155" t="n">
        <v>10</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24876-2023</t>
        </is>
      </c>
      <c r="B10156" s="1" t="n">
        <v>45085</v>
      </c>
      <c r="C10156" s="1" t="n">
        <v>45810</v>
      </c>
      <c r="D10156" t="inlineStr">
        <is>
          <t>VÄRMLANDS LÄN</t>
        </is>
      </c>
      <c r="E10156" t="inlineStr">
        <is>
          <t>TORSBY</t>
        </is>
      </c>
      <c r="G10156" t="n">
        <v>2.2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24899-2023</t>
        </is>
      </c>
      <c r="B10157" s="1" t="n">
        <v>45085</v>
      </c>
      <c r="C10157" s="1" t="n">
        <v>45810</v>
      </c>
      <c r="D10157" t="inlineStr">
        <is>
          <t>VÄRMLANDS LÄN</t>
        </is>
      </c>
      <c r="E10157" t="inlineStr">
        <is>
          <t>KRISTINEHAMN</t>
        </is>
      </c>
      <c r="F10157" t="inlineStr">
        <is>
          <t>Sveaskog</t>
        </is>
      </c>
      <c r="G10157" t="n">
        <v>2.9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24917-2023</t>
        </is>
      </c>
      <c r="B10158" s="1" t="n">
        <v>45085</v>
      </c>
      <c r="C10158" s="1" t="n">
        <v>45810</v>
      </c>
      <c r="D10158" t="inlineStr">
        <is>
          <t>VÄRMLANDS LÄN</t>
        </is>
      </c>
      <c r="E10158" t="inlineStr">
        <is>
          <t>EDA</t>
        </is>
      </c>
      <c r="G10158" t="n">
        <v>12.9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24926-2023</t>
        </is>
      </c>
      <c r="B10159" s="1" t="n">
        <v>45085</v>
      </c>
      <c r="C10159" s="1" t="n">
        <v>45810</v>
      </c>
      <c r="D10159" t="inlineStr">
        <is>
          <t>VÄRMLANDS LÄN</t>
        </is>
      </c>
      <c r="E10159" t="inlineStr">
        <is>
          <t>SUNNE</t>
        </is>
      </c>
      <c r="G10159" t="n">
        <v>3.5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24909-2023</t>
        </is>
      </c>
      <c r="B10160" s="1" t="n">
        <v>45085</v>
      </c>
      <c r="C10160" s="1" t="n">
        <v>45810</v>
      </c>
      <c r="D10160" t="inlineStr">
        <is>
          <t>VÄRMLANDS LÄN</t>
        </is>
      </c>
      <c r="E10160" t="inlineStr">
        <is>
          <t>TORSBY</t>
        </is>
      </c>
      <c r="G10160" t="n">
        <v>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24918-2023</t>
        </is>
      </c>
      <c r="B10161" s="1" t="n">
        <v>45085</v>
      </c>
      <c r="C10161" s="1" t="n">
        <v>45810</v>
      </c>
      <c r="D10161" t="inlineStr">
        <is>
          <t>VÄRMLANDS LÄN</t>
        </is>
      </c>
      <c r="E10161" t="inlineStr">
        <is>
          <t>SUNNE</t>
        </is>
      </c>
      <c r="G10161" t="n">
        <v>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24923-2023</t>
        </is>
      </c>
      <c r="B10162" s="1" t="n">
        <v>45085</v>
      </c>
      <c r="C10162" s="1" t="n">
        <v>45810</v>
      </c>
      <c r="D10162" t="inlineStr">
        <is>
          <t>VÄRMLANDS LÄN</t>
        </is>
      </c>
      <c r="E10162" t="inlineStr">
        <is>
          <t>SUNNE</t>
        </is>
      </c>
      <c r="G10162" t="n">
        <v>4.2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24897-2023</t>
        </is>
      </c>
      <c r="B10163" s="1" t="n">
        <v>45085</v>
      </c>
      <c r="C10163" s="1" t="n">
        <v>45810</v>
      </c>
      <c r="D10163" t="inlineStr">
        <is>
          <t>VÄRMLANDS LÄN</t>
        </is>
      </c>
      <c r="E10163" t="inlineStr">
        <is>
          <t>TORSBY</t>
        </is>
      </c>
      <c r="G10163" t="n">
        <v>1.7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24901-2023</t>
        </is>
      </c>
      <c r="B10164" s="1" t="n">
        <v>45085</v>
      </c>
      <c r="C10164" s="1" t="n">
        <v>45810</v>
      </c>
      <c r="D10164" t="inlineStr">
        <is>
          <t>VÄRMLANDS LÄN</t>
        </is>
      </c>
      <c r="E10164" t="inlineStr">
        <is>
          <t>KRISTINEHAMN</t>
        </is>
      </c>
      <c r="F10164" t="inlineStr">
        <is>
          <t>Sveaskog</t>
        </is>
      </c>
      <c r="G10164" t="n">
        <v>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24847-2023</t>
        </is>
      </c>
      <c r="B10165" s="1" t="n">
        <v>45085</v>
      </c>
      <c r="C10165" s="1" t="n">
        <v>45810</v>
      </c>
      <c r="D10165" t="inlineStr">
        <is>
          <t>VÄRMLANDS LÄN</t>
        </is>
      </c>
      <c r="E10165" t="inlineStr">
        <is>
          <t>TORSBY</t>
        </is>
      </c>
      <c r="F10165" t="inlineStr">
        <is>
          <t>Kommuner</t>
        </is>
      </c>
      <c r="G10165" t="n">
        <v>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24929-2023</t>
        </is>
      </c>
      <c r="B10166" s="1" t="n">
        <v>45085</v>
      </c>
      <c r="C10166" s="1" t="n">
        <v>45810</v>
      </c>
      <c r="D10166" t="inlineStr">
        <is>
          <t>VÄRMLANDS LÄN</t>
        </is>
      </c>
      <c r="E10166" t="inlineStr">
        <is>
          <t>ARVIKA</t>
        </is>
      </c>
      <c r="G10166" t="n">
        <v>0.9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24888-2023</t>
        </is>
      </c>
      <c r="B10167" s="1" t="n">
        <v>45085</v>
      </c>
      <c r="C10167" s="1" t="n">
        <v>45810</v>
      </c>
      <c r="D10167" t="inlineStr">
        <is>
          <t>VÄRMLANDS LÄN</t>
        </is>
      </c>
      <c r="E10167" t="inlineStr">
        <is>
          <t>SUNNE</t>
        </is>
      </c>
      <c r="G10167" t="n">
        <v>3.6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24965-2023</t>
        </is>
      </c>
      <c r="B10168" s="1" t="n">
        <v>45085</v>
      </c>
      <c r="C10168" s="1" t="n">
        <v>45810</v>
      </c>
      <c r="D10168" t="inlineStr">
        <is>
          <t>VÄRMLANDS LÄN</t>
        </is>
      </c>
      <c r="E10168" t="inlineStr">
        <is>
          <t>TORSBY</t>
        </is>
      </c>
      <c r="G10168" t="n">
        <v>0.7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24969-2023</t>
        </is>
      </c>
      <c r="B10169" s="1" t="n">
        <v>45085</v>
      </c>
      <c r="C10169" s="1" t="n">
        <v>45810</v>
      </c>
      <c r="D10169" t="inlineStr">
        <is>
          <t>VÄRMLANDS LÄN</t>
        </is>
      </c>
      <c r="E10169" t="inlineStr">
        <is>
          <t>TORSBY</t>
        </is>
      </c>
      <c r="G10169" t="n">
        <v>0.2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24987-2023</t>
        </is>
      </c>
      <c r="B10170" s="1" t="n">
        <v>45085</v>
      </c>
      <c r="C10170" s="1" t="n">
        <v>45810</v>
      </c>
      <c r="D10170" t="inlineStr">
        <is>
          <t>VÄRMLANDS LÄN</t>
        </is>
      </c>
      <c r="E10170" t="inlineStr">
        <is>
          <t>KARLSTAD</t>
        </is>
      </c>
      <c r="G10170" t="n">
        <v>0.6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25005-2023</t>
        </is>
      </c>
      <c r="B10171" s="1" t="n">
        <v>45085</v>
      </c>
      <c r="C10171" s="1" t="n">
        <v>45810</v>
      </c>
      <c r="D10171" t="inlineStr">
        <is>
          <t>VÄRMLANDS LÄN</t>
        </is>
      </c>
      <c r="E10171" t="inlineStr">
        <is>
          <t>SUNNE</t>
        </is>
      </c>
      <c r="G10171" t="n">
        <v>3.2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24953-2023</t>
        </is>
      </c>
      <c r="B10172" s="1" t="n">
        <v>45085</v>
      </c>
      <c r="C10172" s="1" t="n">
        <v>45810</v>
      </c>
      <c r="D10172" t="inlineStr">
        <is>
          <t>VÄRMLANDS LÄN</t>
        </is>
      </c>
      <c r="E10172" t="inlineStr">
        <is>
          <t>ARVIKA</t>
        </is>
      </c>
      <c r="F10172" t="inlineStr">
        <is>
          <t>Bergvik skog väst AB</t>
        </is>
      </c>
      <c r="G10172" t="n">
        <v>1.7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24998-2023</t>
        </is>
      </c>
      <c r="B10173" s="1" t="n">
        <v>45085</v>
      </c>
      <c r="C10173" s="1" t="n">
        <v>45810</v>
      </c>
      <c r="D10173" t="inlineStr">
        <is>
          <t>VÄRMLANDS LÄN</t>
        </is>
      </c>
      <c r="E10173" t="inlineStr">
        <is>
          <t>HAGFORS</t>
        </is>
      </c>
      <c r="G10173" t="n">
        <v>3.9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25001-2023</t>
        </is>
      </c>
      <c r="B10174" s="1" t="n">
        <v>45085</v>
      </c>
      <c r="C10174" s="1" t="n">
        <v>45810</v>
      </c>
      <c r="D10174" t="inlineStr">
        <is>
          <t>VÄRMLANDS LÄN</t>
        </is>
      </c>
      <c r="E10174" t="inlineStr">
        <is>
          <t>TORSBY</t>
        </is>
      </c>
      <c r="G10174" t="n">
        <v>3.5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25006-2023</t>
        </is>
      </c>
      <c r="B10175" s="1" t="n">
        <v>45085</v>
      </c>
      <c r="C10175" s="1" t="n">
        <v>45810</v>
      </c>
      <c r="D10175" t="inlineStr">
        <is>
          <t>VÄRMLANDS LÄN</t>
        </is>
      </c>
      <c r="E10175" t="inlineStr">
        <is>
          <t>SUNNE</t>
        </is>
      </c>
      <c r="G10175" t="n">
        <v>2.6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24990-2023</t>
        </is>
      </c>
      <c r="B10176" s="1" t="n">
        <v>45085</v>
      </c>
      <c r="C10176" s="1" t="n">
        <v>45810</v>
      </c>
      <c r="D10176" t="inlineStr">
        <is>
          <t>VÄRMLANDS LÄN</t>
        </is>
      </c>
      <c r="E10176" t="inlineStr">
        <is>
          <t>ARVIKA</t>
        </is>
      </c>
      <c r="G10176" t="n">
        <v>1.6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25008-2023</t>
        </is>
      </c>
      <c r="B10177" s="1" t="n">
        <v>45085</v>
      </c>
      <c r="C10177" s="1" t="n">
        <v>45810</v>
      </c>
      <c r="D10177" t="inlineStr">
        <is>
          <t>VÄRMLANDS LÄN</t>
        </is>
      </c>
      <c r="E10177" t="inlineStr">
        <is>
          <t>FORSHAGA</t>
        </is>
      </c>
      <c r="G10177" t="n">
        <v>3.2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25068-2023</t>
        </is>
      </c>
      <c r="B10178" s="1" t="n">
        <v>45085</v>
      </c>
      <c r="C10178" s="1" t="n">
        <v>45810</v>
      </c>
      <c r="D10178" t="inlineStr">
        <is>
          <t>VÄRMLANDS LÄN</t>
        </is>
      </c>
      <c r="E10178" t="inlineStr">
        <is>
          <t>TORSBY</t>
        </is>
      </c>
      <c r="G10178" t="n">
        <v>1.2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25777-2023</t>
        </is>
      </c>
      <c r="B10179" s="1" t="n">
        <v>45085</v>
      </c>
      <c r="C10179" s="1" t="n">
        <v>45810</v>
      </c>
      <c r="D10179" t="inlineStr">
        <is>
          <t>VÄRMLANDS LÄN</t>
        </is>
      </c>
      <c r="E10179" t="inlineStr">
        <is>
          <t>SÄFFLE</t>
        </is>
      </c>
      <c r="G10179" t="n">
        <v>6.7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25785-2023</t>
        </is>
      </c>
      <c r="B10180" s="1" t="n">
        <v>45085</v>
      </c>
      <c r="C10180" s="1" t="n">
        <v>45810</v>
      </c>
      <c r="D10180" t="inlineStr">
        <is>
          <t>VÄRMLANDS LÄN</t>
        </is>
      </c>
      <c r="E10180" t="inlineStr">
        <is>
          <t>SÄFFLE</t>
        </is>
      </c>
      <c r="G10180" t="n">
        <v>4.1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25133-2023</t>
        </is>
      </c>
      <c r="B10181" s="1" t="n">
        <v>45086</v>
      </c>
      <c r="C10181" s="1" t="n">
        <v>45810</v>
      </c>
      <c r="D10181" t="inlineStr">
        <is>
          <t>VÄRMLANDS LÄN</t>
        </is>
      </c>
      <c r="E10181" t="inlineStr">
        <is>
          <t>EDA</t>
        </is>
      </c>
      <c r="F10181" t="inlineStr">
        <is>
          <t>Övriga Aktiebolag</t>
        </is>
      </c>
      <c r="G10181" t="n">
        <v>2.4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25138-2023</t>
        </is>
      </c>
      <c r="B10182" s="1" t="n">
        <v>45086</v>
      </c>
      <c r="C10182" s="1" t="n">
        <v>45810</v>
      </c>
      <c r="D10182" t="inlineStr">
        <is>
          <t>VÄRMLANDS LÄN</t>
        </is>
      </c>
      <c r="E10182" t="inlineStr">
        <is>
          <t>ARVIKA</t>
        </is>
      </c>
      <c r="G10182" t="n">
        <v>2.2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25163-2023</t>
        </is>
      </c>
      <c r="B10183" s="1" t="n">
        <v>45086</v>
      </c>
      <c r="C10183" s="1" t="n">
        <v>45810</v>
      </c>
      <c r="D10183" t="inlineStr">
        <is>
          <t>VÄRMLANDS LÄN</t>
        </is>
      </c>
      <c r="E10183" t="inlineStr">
        <is>
          <t>TORSBY</t>
        </is>
      </c>
      <c r="G10183" t="n">
        <v>5.2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25167-2023</t>
        </is>
      </c>
      <c r="B10184" s="1" t="n">
        <v>45086</v>
      </c>
      <c r="C10184" s="1" t="n">
        <v>45810</v>
      </c>
      <c r="D10184" t="inlineStr">
        <is>
          <t>VÄRMLANDS LÄN</t>
        </is>
      </c>
      <c r="E10184" t="inlineStr">
        <is>
          <t>EDA</t>
        </is>
      </c>
      <c r="F10184" t="inlineStr">
        <is>
          <t>Övriga Aktiebolag</t>
        </is>
      </c>
      <c r="G10184" t="n">
        <v>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25178-2023</t>
        </is>
      </c>
      <c r="B10185" s="1" t="n">
        <v>45086</v>
      </c>
      <c r="C10185" s="1" t="n">
        <v>45810</v>
      </c>
      <c r="D10185" t="inlineStr">
        <is>
          <t>VÄRMLANDS LÄN</t>
        </is>
      </c>
      <c r="E10185" t="inlineStr">
        <is>
          <t>KARLSTAD</t>
        </is>
      </c>
      <c r="G10185" t="n">
        <v>1.2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25208-2023</t>
        </is>
      </c>
      <c r="B10186" s="1" t="n">
        <v>45086</v>
      </c>
      <c r="C10186" s="1" t="n">
        <v>45810</v>
      </c>
      <c r="D10186" t="inlineStr">
        <is>
          <t>VÄRMLANDS LÄN</t>
        </is>
      </c>
      <c r="E10186" t="inlineStr">
        <is>
          <t>SUNNE</t>
        </is>
      </c>
      <c r="G10186" t="n">
        <v>0.7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25088-2023</t>
        </is>
      </c>
      <c r="B10187" s="1" t="n">
        <v>45086</v>
      </c>
      <c r="C10187" s="1" t="n">
        <v>45810</v>
      </c>
      <c r="D10187" t="inlineStr">
        <is>
          <t>VÄRMLANDS LÄN</t>
        </is>
      </c>
      <c r="E10187" t="inlineStr">
        <is>
          <t>TORSBY</t>
        </is>
      </c>
      <c r="F10187" t="inlineStr">
        <is>
          <t>Bergvik skog väst AB</t>
        </is>
      </c>
      <c r="G10187" t="n">
        <v>13.9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25090-2023</t>
        </is>
      </c>
      <c r="B10188" s="1" t="n">
        <v>45086</v>
      </c>
      <c r="C10188" s="1" t="n">
        <v>45810</v>
      </c>
      <c r="D10188" t="inlineStr">
        <is>
          <t>VÄRMLANDS LÄN</t>
        </is>
      </c>
      <c r="E10188" t="inlineStr">
        <is>
          <t>TORSBY</t>
        </is>
      </c>
      <c r="F10188" t="inlineStr">
        <is>
          <t>Bergvik skog väst AB</t>
        </is>
      </c>
      <c r="G10188" t="n">
        <v>8.1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25198-2023</t>
        </is>
      </c>
      <c r="B10189" s="1" t="n">
        <v>45086</v>
      </c>
      <c r="C10189" s="1" t="n">
        <v>45810</v>
      </c>
      <c r="D10189" t="inlineStr">
        <is>
          <t>VÄRMLANDS LÄN</t>
        </is>
      </c>
      <c r="E10189" t="inlineStr">
        <is>
          <t>SUNNE</t>
        </is>
      </c>
      <c r="G10189" t="n">
        <v>0.6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25243-2023</t>
        </is>
      </c>
      <c r="B10190" s="1" t="n">
        <v>45086</v>
      </c>
      <c r="C10190" s="1" t="n">
        <v>45810</v>
      </c>
      <c r="D10190" t="inlineStr">
        <is>
          <t>VÄRMLANDS LÄN</t>
        </is>
      </c>
      <c r="E10190" t="inlineStr">
        <is>
          <t>ARVIKA</t>
        </is>
      </c>
      <c r="F10190" t="inlineStr">
        <is>
          <t>Bergvik skog väst AB</t>
        </is>
      </c>
      <c r="G10190" t="n">
        <v>2.2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25261-2023</t>
        </is>
      </c>
      <c r="B10191" s="1" t="n">
        <v>45086</v>
      </c>
      <c r="C10191" s="1" t="n">
        <v>45810</v>
      </c>
      <c r="D10191" t="inlineStr">
        <is>
          <t>VÄRMLANDS LÄN</t>
        </is>
      </c>
      <c r="E10191" t="inlineStr">
        <is>
          <t>TORSBY</t>
        </is>
      </c>
      <c r="F10191" t="inlineStr">
        <is>
          <t>Bergvik skog väst AB</t>
        </is>
      </c>
      <c r="G10191" t="n">
        <v>6.2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25136-2023</t>
        </is>
      </c>
      <c r="B10192" s="1" t="n">
        <v>45086</v>
      </c>
      <c r="C10192" s="1" t="n">
        <v>45810</v>
      </c>
      <c r="D10192" t="inlineStr">
        <is>
          <t>VÄRMLANDS LÄN</t>
        </is>
      </c>
      <c r="E10192" t="inlineStr">
        <is>
          <t>ARVIKA</t>
        </is>
      </c>
      <c r="G10192" t="n">
        <v>8.4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25199-2023</t>
        </is>
      </c>
      <c r="B10193" s="1" t="n">
        <v>45086</v>
      </c>
      <c r="C10193" s="1" t="n">
        <v>45810</v>
      </c>
      <c r="D10193" t="inlineStr">
        <is>
          <t>VÄRMLANDS LÄN</t>
        </is>
      </c>
      <c r="E10193" t="inlineStr">
        <is>
          <t>SUNNE</t>
        </is>
      </c>
      <c r="G10193" t="n">
        <v>0.5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25217-2023</t>
        </is>
      </c>
      <c r="B10194" s="1" t="n">
        <v>45086</v>
      </c>
      <c r="C10194" s="1" t="n">
        <v>45810</v>
      </c>
      <c r="D10194" t="inlineStr">
        <is>
          <t>VÄRMLANDS LÄN</t>
        </is>
      </c>
      <c r="E10194" t="inlineStr">
        <is>
          <t>SUNNE</t>
        </is>
      </c>
      <c r="G10194" t="n">
        <v>0.6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25227-2023</t>
        </is>
      </c>
      <c r="B10195" s="1" t="n">
        <v>45086</v>
      </c>
      <c r="C10195" s="1" t="n">
        <v>45810</v>
      </c>
      <c r="D10195" t="inlineStr">
        <is>
          <t>VÄRMLANDS LÄN</t>
        </is>
      </c>
      <c r="E10195" t="inlineStr">
        <is>
          <t>ARVIKA</t>
        </is>
      </c>
      <c r="F10195" t="inlineStr">
        <is>
          <t>Bergvik skog väst AB</t>
        </is>
      </c>
      <c r="G10195" t="n">
        <v>2.1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25238-2023</t>
        </is>
      </c>
      <c r="B10196" s="1" t="n">
        <v>45086</v>
      </c>
      <c r="C10196" s="1" t="n">
        <v>45810</v>
      </c>
      <c r="D10196" t="inlineStr">
        <is>
          <t>VÄRMLANDS LÄN</t>
        </is>
      </c>
      <c r="E10196" t="inlineStr">
        <is>
          <t>SUNNE</t>
        </is>
      </c>
      <c r="G10196" t="n">
        <v>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25115-2023</t>
        </is>
      </c>
      <c r="B10197" s="1" t="n">
        <v>45086</v>
      </c>
      <c r="C10197" s="1" t="n">
        <v>45810</v>
      </c>
      <c r="D10197" t="inlineStr">
        <is>
          <t>VÄRMLANDS LÄN</t>
        </is>
      </c>
      <c r="E10197" t="inlineStr">
        <is>
          <t>SÄFFLE</t>
        </is>
      </c>
      <c r="G10197" t="n">
        <v>1.7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25228-2023</t>
        </is>
      </c>
      <c r="B10198" s="1" t="n">
        <v>45086</v>
      </c>
      <c r="C10198" s="1" t="n">
        <v>45810</v>
      </c>
      <c r="D10198" t="inlineStr">
        <is>
          <t>VÄRMLANDS LÄN</t>
        </is>
      </c>
      <c r="E10198" t="inlineStr">
        <is>
          <t>ARVIKA</t>
        </is>
      </c>
      <c r="G10198" t="n">
        <v>1.1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25240-2023</t>
        </is>
      </c>
      <c r="B10199" s="1" t="n">
        <v>45086</v>
      </c>
      <c r="C10199" s="1" t="n">
        <v>45810</v>
      </c>
      <c r="D10199" t="inlineStr">
        <is>
          <t>VÄRMLANDS LÄN</t>
        </is>
      </c>
      <c r="E10199" t="inlineStr">
        <is>
          <t>ARVIKA</t>
        </is>
      </c>
      <c r="G10199" t="n">
        <v>1.7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25251-2023</t>
        </is>
      </c>
      <c r="B10200" s="1" t="n">
        <v>45086</v>
      </c>
      <c r="C10200" s="1" t="n">
        <v>45810</v>
      </c>
      <c r="D10200" t="inlineStr">
        <is>
          <t>VÄRMLANDS LÄN</t>
        </is>
      </c>
      <c r="E10200" t="inlineStr">
        <is>
          <t>ARVIKA</t>
        </is>
      </c>
      <c r="G10200" t="n">
        <v>1.5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25347-2023</t>
        </is>
      </c>
      <c r="B10201" s="1" t="n">
        <v>45087</v>
      </c>
      <c r="C10201" s="1" t="n">
        <v>45810</v>
      </c>
      <c r="D10201" t="inlineStr">
        <is>
          <t>VÄRMLANDS LÄN</t>
        </is>
      </c>
      <c r="E10201" t="inlineStr">
        <is>
          <t>EDA</t>
        </is>
      </c>
      <c r="G10201" t="n">
        <v>0.9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25344-2023</t>
        </is>
      </c>
      <c r="B10202" s="1" t="n">
        <v>45087</v>
      </c>
      <c r="C10202" s="1" t="n">
        <v>45810</v>
      </c>
      <c r="D10202" t="inlineStr">
        <is>
          <t>VÄRMLANDS LÄN</t>
        </is>
      </c>
      <c r="E10202" t="inlineStr">
        <is>
          <t>TORSBY</t>
        </is>
      </c>
      <c r="G10202" t="n">
        <v>2.4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25338-2023</t>
        </is>
      </c>
      <c r="B10203" s="1" t="n">
        <v>45087</v>
      </c>
      <c r="C10203" s="1" t="n">
        <v>45810</v>
      </c>
      <c r="D10203" t="inlineStr">
        <is>
          <t>VÄRMLANDS LÄN</t>
        </is>
      </c>
      <c r="E10203" t="inlineStr">
        <is>
          <t>FILIPSTAD</t>
        </is>
      </c>
      <c r="G10203" t="n">
        <v>0.9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25346-2023</t>
        </is>
      </c>
      <c r="B10204" s="1" t="n">
        <v>45087</v>
      </c>
      <c r="C10204" s="1" t="n">
        <v>45810</v>
      </c>
      <c r="D10204" t="inlineStr">
        <is>
          <t>VÄRMLANDS LÄN</t>
        </is>
      </c>
      <c r="E10204" t="inlineStr">
        <is>
          <t>EDA</t>
        </is>
      </c>
      <c r="G10204" t="n">
        <v>0.7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25345-2023</t>
        </is>
      </c>
      <c r="B10205" s="1" t="n">
        <v>45087</v>
      </c>
      <c r="C10205" s="1" t="n">
        <v>45810</v>
      </c>
      <c r="D10205" t="inlineStr">
        <is>
          <t>VÄRMLANDS LÄN</t>
        </is>
      </c>
      <c r="E10205" t="inlineStr">
        <is>
          <t>EDA</t>
        </is>
      </c>
      <c r="G10205" t="n">
        <v>1.4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25349-2023</t>
        </is>
      </c>
      <c r="B10206" s="1" t="n">
        <v>45088</v>
      </c>
      <c r="C10206" s="1" t="n">
        <v>45810</v>
      </c>
      <c r="D10206" t="inlineStr">
        <is>
          <t>VÄRMLANDS LÄN</t>
        </is>
      </c>
      <c r="E10206" t="inlineStr">
        <is>
          <t>HAGFORS</t>
        </is>
      </c>
      <c r="G10206" t="n">
        <v>0.8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25376-2023</t>
        </is>
      </c>
      <c r="B10207" s="1" t="n">
        <v>45089</v>
      </c>
      <c r="C10207" s="1" t="n">
        <v>45810</v>
      </c>
      <c r="D10207" t="inlineStr">
        <is>
          <t>VÄRMLANDS LÄN</t>
        </is>
      </c>
      <c r="E10207" t="inlineStr">
        <is>
          <t>FILIPSTAD</t>
        </is>
      </c>
      <c r="G10207" t="n">
        <v>3.2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25375-2023</t>
        </is>
      </c>
      <c r="B10208" s="1" t="n">
        <v>45089</v>
      </c>
      <c r="C10208" s="1" t="n">
        <v>45810</v>
      </c>
      <c r="D10208" t="inlineStr">
        <is>
          <t>VÄRMLANDS LÄN</t>
        </is>
      </c>
      <c r="E10208" t="inlineStr">
        <is>
          <t>FILIPSTAD</t>
        </is>
      </c>
      <c r="G10208" t="n">
        <v>0.5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25368-2023</t>
        </is>
      </c>
      <c r="B10209" s="1" t="n">
        <v>45089</v>
      </c>
      <c r="C10209" s="1" t="n">
        <v>45810</v>
      </c>
      <c r="D10209" t="inlineStr">
        <is>
          <t>VÄRMLANDS LÄN</t>
        </is>
      </c>
      <c r="E10209" t="inlineStr">
        <is>
          <t>FILIPSTAD</t>
        </is>
      </c>
      <c r="G10209" t="n">
        <v>5.5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25386-2023</t>
        </is>
      </c>
      <c r="B10210" s="1" t="n">
        <v>45089</v>
      </c>
      <c r="C10210" s="1" t="n">
        <v>45810</v>
      </c>
      <c r="D10210" t="inlineStr">
        <is>
          <t>VÄRMLANDS LÄN</t>
        </is>
      </c>
      <c r="E10210" t="inlineStr">
        <is>
          <t>FILIPSTAD</t>
        </is>
      </c>
      <c r="F10210" t="inlineStr">
        <is>
          <t>Bergvik skog väst AB</t>
        </is>
      </c>
      <c r="G10210" t="n">
        <v>3.9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25429-2023</t>
        </is>
      </c>
      <c r="B10211" s="1" t="n">
        <v>45089</v>
      </c>
      <c r="C10211" s="1" t="n">
        <v>45810</v>
      </c>
      <c r="D10211" t="inlineStr">
        <is>
          <t>VÄRMLANDS LÄN</t>
        </is>
      </c>
      <c r="E10211" t="inlineStr">
        <is>
          <t>SUNNE</t>
        </is>
      </c>
      <c r="G10211" t="n">
        <v>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25384-2023</t>
        </is>
      </c>
      <c r="B10212" s="1" t="n">
        <v>45089</v>
      </c>
      <c r="C10212" s="1" t="n">
        <v>45810</v>
      </c>
      <c r="D10212" t="inlineStr">
        <is>
          <t>VÄRMLANDS LÄN</t>
        </is>
      </c>
      <c r="E10212" t="inlineStr">
        <is>
          <t>STORFORS</t>
        </is>
      </c>
      <c r="F10212" t="inlineStr">
        <is>
          <t>Bergvik skog väst AB</t>
        </is>
      </c>
      <c r="G10212" t="n">
        <v>3.8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25389-2023</t>
        </is>
      </c>
      <c r="B10213" s="1" t="n">
        <v>45089</v>
      </c>
      <c r="C10213" s="1" t="n">
        <v>45810</v>
      </c>
      <c r="D10213" t="inlineStr">
        <is>
          <t>VÄRMLANDS LÄN</t>
        </is>
      </c>
      <c r="E10213" t="inlineStr">
        <is>
          <t>SUNNE</t>
        </is>
      </c>
      <c r="G10213" t="n">
        <v>3.7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25400-2023</t>
        </is>
      </c>
      <c r="B10214" s="1" t="n">
        <v>45089</v>
      </c>
      <c r="C10214" s="1" t="n">
        <v>45810</v>
      </c>
      <c r="D10214" t="inlineStr">
        <is>
          <t>VÄRMLANDS LÄN</t>
        </is>
      </c>
      <c r="E10214" t="inlineStr">
        <is>
          <t>ARVIKA</t>
        </is>
      </c>
      <c r="G10214" t="n">
        <v>1.7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25405-2023</t>
        </is>
      </c>
      <c r="B10215" s="1" t="n">
        <v>45089</v>
      </c>
      <c r="C10215" s="1" t="n">
        <v>45810</v>
      </c>
      <c r="D10215" t="inlineStr">
        <is>
          <t>VÄRMLANDS LÄN</t>
        </is>
      </c>
      <c r="E10215" t="inlineStr">
        <is>
          <t>ARVIKA</t>
        </is>
      </c>
      <c r="G10215" t="n">
        <v>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25444-2023</t>
        </is>
      </c>
      <c r="B10216" s="1" t="n">
        <v>45089</v>
      </c>
      <c r="C10216" s="1" t="n">
        <v>45810</v>
      </c>
      <c r="D10216" t="inlineStr">
        <is>
          <t>VÄRMLANDS LÄN</t>
        </is>
      </c>
      <c r="E10216" t="inlineStr">
        <is>
          <t>EDA</t>
        </is>
      </c>
      <c r="G10216" t="n">
        <v>1.4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25491-2023</t>
        </is>
      </c>
      <c r="B10217" s="1" t="n">
        <v>45089</v>
      </c>
      <c r="C10217" s="1" t="n">
        <v>45810</v>
      </c>
      <c r="D10217" t="inlineStr">
        <is>
          <t>VÄRMLANDS LÄN</t>
        </is>
      </c>
      <c r="E10217" t="inlineStr">
        <is>
          <t>ARVIKA</t>
        </is>
      </c>
      <c r="G10217" t="n">
        <v>3.2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25406-2023</t>
        </is>
      </c>
      <c r="B10218" s="1" t="n">
        <v>45089</v>
      </c>
      <c r="C10218" s="1" t="n">
        <v>45810</v>
      </c>
      <c r="D10218" t="inlineStr">
        <is>
          <t>VÄRMLANDS LÄN</t>
        </is>
      </c>
      <c r="E10218" t="inlineStr">
        <is>
          <t>FILIPSTAD</t>
        </is>
      </c>
      <c r="F10218" t="inlineStr">
        <is>
          <t>Bergvik skog väst AB</t>
        </is>
      </c>
      <c r="G10218" t="n">
        <v>4.5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25383-2023</t>
        </is>
      </c>
      <c r="B10219" s="1" t="n">
        <v>45089</v>
      </c>
      <c r="C10219" s="1" t="n">
        <v>45810</v>
      </c>
      <c r="D10219" t="inlineStr">
        <is>
          <t>VÄRMLANDS LÄN</t>
        </is>
      </c>
      <c r="E10219" t="inlineStr">
        <is>
          <t>SUNNE</t>
        </is>
      </c>
      <c r="G10219" t="n">
        <v>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25428-2023</t>
        </is>
      </c>
      <c r="B10220" s="1" t="n">
        <v>45089</v>
      </c>
      <c r="C10220" s="1" t="n">
        <v>45810</v>
      </c>
      <c r="D10220" t="inlineStr">
        <is>
          <t>VÄRMLANDS LÄN</t>
        </is>
      </c>
      <c r="E10220" t="inlineStr">
        <is>
          <t>ARVIKA</t>
        </is>
      </c>
      <c r="G10220" t="n">
        <v>3.4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25437-2023</t>
        </is>
      </c>
      <c r="B10221" s="1" t="n">
        <v>45089</v>
      </c>
      <c r="C10221" s="1" t="n">
        <v>45810</v>
      </c>
      <c r="D10221" t="inlineStr">
        <is>
          <t>VÄRMLANDS LÄN</t>
        </is>
      </c>
      <c r="E10221" t="inlineStr">
        <is>
          <t>EDA</t>
        </is>
      </c>
      <c r="G10221" t="n">
        <v>3.7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25522-2023</t>
        </is>
      </c>
      <c r="B10222" s="1" t="n">
        <v>45089</v>
      </c>
      <c r="C10222" s="1" t="n">
        <v>45810</v>
      </c>
      <c r="D10222" t="inlineStr">
        <is>
          <t>VÄRMLANDS LÄN</t>
        </is>
      </c>
      <c r="E10222" t="inlineStr">
        <is>
          <t>STORFORS</t>
        </is>
      </c>
      <c r="F10222" t="inlineStr">
        <is>
          <t>Bergvik skog väst AB</t>
        </is>
      </c>
      <c r="G10222" t="n">
        <v>4.6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25579-2023</t>
        </is>
      </c>
      <c r="B10223" s="1" t="n">
        <v>45089</v>
      </c>
      <c r="C10223" s="1" t="n">
        <v>45810</v>
      </c>
      <c r="D10223" t="inlineStr">
        <is>
          <t>VÄRMLANDS LÄN</t>
        </is>
      </c>
      <c r="E10223" t="inlineStr">
        <is>
          <t>TORSBY</t>
        </is>
      </c>
      <c r="G10223" t="n">
        <v>1.2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25586-2023</t>
        </is>
      </c>
      <c r="B10224" s="1" t="n">
        <v>45089</v>
      </c>
      <c r="C10224" s="1" t="n">
        <v>45810</v>
      </c>
      <c r="D10224" t="inlineStr">
        <is>
          <t>VÄRMLANDS LÄN</t>
        </is>
      </c>
      <c r="E10224" t="inlineStr">
        <is>
          <t>FILIPSTAD</t>
        </is>
      </c>
      <c r="F10224" t="inlineStr">
        <is>
          <t>Bergvik skog väst AB</t>
        </is>
      </c>
      <c r="G10224" t="n">
        <v>10.8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25443-2023</t>
        </is>
      </c>
      <c r="B10225" s="1" t="n">
        <v>45089</v>
      </c>
      <c r="C10225" s="1" t="n">
        <v>45810</v>
      </c>
      <c r="D10225" t="inlineStr">
        <is>
          <t>VÄRMLANDS LÄN</t>
        </is>
      </c>
      <c r="E10225" t="inlineStr">
        <is>
          <t>GRUMS</t>
        </is>
      </c>
      <c r="G10225" t="n">
        <v>3.8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25482-2023</t>
        </is>
      </c>
      <c r="B10226" s="1" t="n">
        <v>45089</v>
      </c>
      <c r="C10226" s="1" t="n">
        <v>45810</v>
      </c>
      <c r="D10226" t="inlineStr">
        <is>
          <t>VÄRMLANDS LÄN</t>
        </is>
      </c>
      <c r="E10226" t="inlineStr">
        <is>
          <t>ARVIKA</t>
        </is>
      </c>
      <c r="G10226" t="n">
        <v>0.6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25498-2023</t>
        </is>
      </c>
      <c r="B10227" s="1" t="n">
        <v>45089</v>
      </c>
      <c r="C10227" s="1" t="n">
        <v>45810</v>
      </c>
      <c r="D10227" t="inlineStr">
        <is>
          <t>VÄRMLANDS LÄN</t>
        </is>
      </c>
      <c r="E10227" t="inlineStr">
        <is>
          <t>STORFORS</t>
        </is>
      </c>
      <c r="F10227" t="inlineStr">
        <is>
          <t>Bergvik skog väst AB</t>
        </is>
      </c>
      <c r="G10227" t="n">
        <v>4.7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25523-2023</t>
        </is>
      </c>
      <c r="B10228" s="1" t="n">
        <v>45089</v>
      </c>
      <c r="C10228" s="1" t="n">
        <v>45810</v>
      </c>
      <c r="D10228" t="inlineStr">
        <is>
          <t>VÄRMLANDS LÄN</t>
        </is>
      </c>
      <c r="E10228" t="inlineStr">
        <is>
          <t>SUNNE</t>
        </is>
      </c>
      <c r="G10228" t="n">
        <v>2.1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25657-2023</t>
        </is>
      </c>
      <c r="B10229" s="1" t="n">
        <v>45089</v>
      </c>
      <c r="C10229" s="1" t="n">
        <v>45810</v>
      </c>
      <c r="D10229" t="inlineStr">
        <is>
          <t>VÄRMLANDS LÄN</t>
        </is>
      </c>
      <c r="E10229" t="inlineStr">
        <is>
          <t>SÄFFLE</t>
        </is>
      </c>
      <c r="G10229" t="n">
        <v>1.5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25644-2023</t>
        </is>
      </c>
      <c r="B10230" s="1" t="n">
        <v>45089</v>
      </c>
      <c r="C10230" s="1" t="n">
        <v>45810</v>
      </c>
      <c r="D10230" t="inlineStr">
        <is>
          <t>VÄRMLANDS LÄN</t>
        </is>
      </c>
      <c r="E10230" t="inlineStr">
        <is>
          <t>SUNNE</t>
        </is>
      </c>
      <c r="G10230" t="n">
        <v>5.6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25659-2023</t>
        </is>
      </c>
      <c r="B10231" s="1" t="n">
        <v>45089</v>
      </c>
      <c r="C10231" s="1" t="n">
        <v>45810</v>
      </c>
      <c r="D10231" t="inlineStr">
        <is>
          <t>VÄRMLANDS LÄN</t>
        </is>
      </c>
      <c r="E10231" t="inlineStr">
        <is>
          <t>SÄFFLE</t>
        </is>
      </c>
      <c r="G10231" t="n">
        <v>1.6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26466-2023</t>
        </is>
      </c>
      <c r="B10232" s="1" t="n">
        <v>45089</v>
      </c>
      <c r="C10232" s="1" t="n">
        <v>45810</v>
      </c>
      <c r="D10232" t="inlineStr">
        <is>
          <t>VÄRMLANDS LÄN</t>
        </is>
      </c>
      <c r="E10232" t="inlineStr">
        <is>
          <t>TORSBY</t>
        </is>
      </c>
      <c r="G10232" t="n">
        <v>3.3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25730-2023</t>
        </is>
      </c>
      <c r="B10233" s="1" t="n">
        <v>45090</v>
      </c>
      <c r="C10233" s="1" t="n">
        <v>45810</v>
      </c>
      <c r="D10233" t="inlineStr">
        <is>
          <t>VÄRMLANDS LÄN</t>
        </is>
      </c>
      <c r="E10233" t="inlineStr">
        <is>
          <t>HAGFORS</t>
        </is>
      </c>
      <c r="F10233" t="inlineStr">
        <is>
          <t>Bergvik skog väst AB</t>
        </is>
      </c>
      <c r="G10233" t="n">
        <v>7.9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25759-2023</t>
        </is>
      </c>
      <c r="B10234" s="1" t="n">
        <v>45090</v>
      </c>
      <c r="C10234" s="1" t="n">
        <v>45810</v>
      </c>
      <c r="D10234" t="inlineStr">
        <is>
          <t>VÄRMLANDS LÄN</t>
        </is>
      </c>
      <c r="E10234" t="inlineStr">
        <is>
          <t>HAGFORS</t>
        </is>
      </c>
      <c r="F10234" t="inlineStr">
        <is>
          <t>Bergvik skog väst AB</t>
        </is>
      </c>
      <c r="G10234" t="n">
        <v>7.6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25800-2023</t>
        </is>
      </c>
      <c r="B10235" s="1" t="n">
        <v>45090</v>
      </c>
      <c r="C10235" s="1" t="n">
        <v>45810</v>
      </c>
      <c r="D10235" t="inlineStr">
        <is>
          <t>VÄRMLANDS LÄN</t>
        </is>
      </c>
      <c r="E10235" t="inlineStr">
        <is>
          <t>EDA</t>
        </is>
      </c>
      <c r="G10235" t="n">
        <v>6.2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25808-2023</t>
        </is>
      </c>
      <c r="B10236" s="1" t="n">
        <v>45090</v>
      </c>
      <c r="C10236" s="1" t="n">
        <v>45810</v>
      </c>
      <c r="D10236" t="inlineStr">
        <is>
          <t>VÄRMLANDS LÄN</t>
        </is>
      </c>
      <c r="E10236" t="inlineStr">
        <is>
          <t>EDA</t>
        </is>
      </c>
      <c r="G10236" t="n">
        <v>2.6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25852-2023</t>
        </is>
      </c>
      <c r="B10237" s="1" t="n">
        <v>45090</v>
      </c>
      <c r="C10237" s="1" t="n">
        <v>45810</v>
      </c>
      <c r="D10237" t="inlineStr">
        <is>
          <t>VÄRMLANDS LÄN</t>
        </is>
      </c>
      <c r="E10237" t="inlineStr">
        <is>
          <t>STORFORS</t>
        </is>
      </c>
      <c r="G10237" t="n">
        <v>4.6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25954-2023</t>
        </is>
      </c>
      <c r="B10238" s="1" t="n">
        <v>45090</v>
      </c>
      <c r="C10238" s="1" t="n">
        <v>45810</v>
      </c>
      <c r="D10238" t="inlineStr">
        <is>
          <t>VÄRMLANDS LÄN</t>
        </is>
      </c>
      <c r="E10238" t="inlineStr">
        <is>
          <t>ARVIKA</t>
        </is>
      </c>
      <c r="G10238" t="n">
        <v>6.6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25756-2023</t>
        </is>
      </c>
      <c r="B10239" s="1" t="n">
        <v>45090</v>
      </c>
      <c r="C10239" s="1" t="n">
        <v>45810</v>
      </c>
      <c r="D10239" t="inlineStr">
        <is>
          <t>VÄRMLANDS LÄN</t>
        </is>
      </c>
      <c r="E10239" t="inlineStr">
        <is>
          <t>SUNNE</t>
        </is>
      </c>
      <c r="G10239" t="n">
        <v>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25738-2023</t>
        </is>
      </c>
      <c r="B10240" s="1" t="n">
        <v>45090</v>
      </c>
      <c r="C10240" s="1" t="n">
        <v>45810</v>
      </c>
      <c r="D10240" t="inlineStr">
        <is>
          <t>VÄRMLANDS LÄN</t>
        </is>
      </c>
      <c r="E10240" t="inlineStr">
        <is>
          <t>FILIPSTAD</t>
        </is>
      </c>
      <c r="F10240" t="inlineStr">
        <is>
          <t>Bergvik skog väst AB</t>
        </is>
      </c>
      <c r="G10240" t="n">
        <v>0.3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25809-2023</t>
        </is>
      </c>
      <c r="B10241" s="1" t="n">
        <v>45090</v>
      </c>
      <c r="C10241" s="1" t="n">
        <v>45810</v>
      </c>
      <c r="D10241" t="inlineStr">
        <is>
          <t>VÄRMLANDS LÄN</t>
        </is>
      </c>
      <c r="E10241" t="inlineStr">
        <is>
          <t>EDA</t>
        </is>
      </c>
      <c r="G10241" t="n">
        <v>1.1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25813-2023</t>
        </is>
      </c>
      <c r="B10242" s="1" t="n">
        <v>45090</v>
      </c>
      <c r="C10242" s="1" t="n">
        <v>45810</v>
      </c>
      <c r="D10242" t="inlineStr">
        <is>
          <t>VÄRMLANDS LÄN</t>
        </is>
      </c>
      <c r="E10242" t="inlineStr">
        <is>
          <t>EDA</t>
        </is>
      </c>
      <c r="G10242" t="n">
        <v>6.4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25803-2023</t>
        </is>
      </c>
      <c r="B10243" s="1" t="n">
        <v>45090</v>
      </c>
      <c r="C10243" s="1" t="n">
        <v>45810</v>
      </c>
      <c r="D10243" t="inlineStr">
        <is>
          <t>VÄRMLANDS LÄN</t>
        </is>
      </c>
      <c r="E10243" t="inlineStr">
        <is>
          <t>EDA</t>
        </is>
      </c>
      <c r="G10243" t="n">
        <v>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25807-2023</t>
        </is>
      </c>
      <c r="B10244" s="1" t="n">
        <v>45090</v>
      </c>
      <c r="C10244" s="1" t="n">
        <v>45810</v>
      </c>
      <c r="D10244" t="inlineStr">
        <is>
          <t>VÄRMLANDS LÄN</t>
        </is>
      </c>
      <c r="E10244" t="inlineStr">
        <is>
          <t>EDA</t>
        </is>
      </c>
      <c r="G10244" t="n">
        <v>0.9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25931-2023</t>
        </is>
      </c>
      <c r="B10245" s="1" t="n">
        <v>45090</v>
      </c>
      <c r="C10245" s="1" t="n">
        <v>45810</v>
      </c>
      <c r="D10245" t="inlineStr">
        <is>
          <t>VÄRMLANDS LÄN</t>
        </is>
      </c>
      <c r="E10245" t="inlineStr">
        <is>
          <t>ARVIKA</t>
        </is>
      </c>
      <c r="G10245" t="n">
        <v>1.1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25737-2023</t>
        </is>
      </c>
      <c r="B10246" s="1" t="n">
        <v>45090</v>
      </c>
      <c r="C10246" s="1" t="n">
        <v>45810</v>
      </c>
      <c r="D10246" t="inlineStr">
        <is>
          <t>VÄRMLANDS LÄN</t>
        </is>
      </c>
      <c r="E10246" t="inlineStr">
        <is>
          <t>FILIPSTAD</t>
        </is>
      </c>
      <c r="F10246" t="inlineStr">
        <is>
          <t>Bergvik skog väst AB</t>
        </is>
      </c>
      <c r="G10246" t="n">
        <v>1.8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25829-2023</t>
        </is>
      </c>
      <c r="B10247" s="1" t="n">
        <v>45090</v>
      </c>
      <c r="C10247" s="1" t="n">
        <v>45810</v>
      </c>
      <c r="D10247" t="inlineStr">
        <is>
          <t>VÄRMLANDS LÄN</t>
        </is>
      </c>
      <c r="E10247" t="inlineStr">
        <is>
          <t>SUNNE</t>
        </is>
      </c>
      <c r="F10247" t="inlineStr">
        <is>
          <t>Övriga Aktiebolag</t>
        </is>
      </c>
      <c r="G10247" t="n">
        <v>1.6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25932-2023</t>
        </is>
      </c>
      <c r="B10248" s="1" t="n">
        <v>45090</v>
      </c>
      <c r="C10248" s="1" t="n">
        <v>45810</v>
      </c>
      <c r="D10248" t="inlineStr">
        <is>
          <t>VÄRMLANDS LÄN</t>
        </is>
      </c>
      <c r="E10248" t="inlineStr">
        <is>
          <t>KARLSTAD</t>
        </is>
      </c>
      <c r="G10248" t="n">
        <v>2.5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25938-2023</t>
        </is>
      </c>
      <c r="B10249" s="1" t="n">
        <v>45090</v>
      </c>
      <c r="C10249" s="1" t="n">
        <v>45810</v>
      </c>
      <c r="D10249" t="inlineStr">
        <is>
          <t>VÄRMLANDS LÄN</t>
        </is>
      </c>
      <c r="E10249" t="inlineStr">
        <is>
          <t>ARVIKA</t>
        </is>
      </c>
      <c r="G10249" t="n">
        <v>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26804-2023</t>
        </is>
      </c>
      <c r="B10250" s="1" t="n">
        <v>45090</v>
      </c>
      <c r="C10250" s="1" t="n">
        <v>45810</v>
      </c>
      <c r="D10250" t="inlineStr">
        <is>
          <t>VÄRMLANDS LÄN</t>
        </is>
      </c>
      <c r="E10250" t="inlineStr">
        <is>
          <t>FILIPSTAD</t>
        </is>
      </c>
      <c r="G10250" t="n">
        <v>2.4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26818-2023</t>
        </is>
      </c>
      <c r="B10251" s="1" t="n">
        <v>45090</v>
      </c>
      <c r="C10251" s="1" t="n">
        <v>45810</v>
      </c>
      <c r="D10251" t="inlineStr">
        <is>
          <t>VÄRMLANDS LÄN</t>
        </is>
      </c>
      <c r="E10251" t="inlineStr">
        <is>
          <t>EDA</t>
        </is>
      </c>
      <c r="G10251" t="n">
        <v>2.7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26831-2023</t>
        </is>
      </c>
      <c r="B10252" s="1" t="n">
        <v>45090</v>
      </c>
      <c r="C10252" s="1" t="n">
        <v>45810</v>
      </c>
      <c r="D10252" t="inlineStr">
        <is>
          <t>VÄRMLANDS LÄN</t>
        </is>
      </c>
      <c r="E10252" t="inlineStr">
        <is>
          <t>EDA</t>
        </is>
      </c>
      <c r="G10252" t="n">
        <v>2.9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26824-2023</t>
        </is>
      </c>
      <c r="B10253" s="1" t="n">
        <v>45090</v>
      </c>
      <c r="C10253" s="1" t="n">
        <v>45810</v>
      </c>
      <c r="D10253" t="inlineStr">
        <is>
          <t>VÄRMLANDS LÄN</t>
        </is>
      </c>
      <c r="E10253" t="inlineStr">
        <is>
          <t>EDA</t>
        </is>
      </c>
      <c r="G10253" t="n">
        <v>1.2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26233-2023</t>
        </is>
      </c>
      <c r="B10254" s="1" t="n">
        <v>45091</v>
      </c>
      <c r="C10254" s="1" t="n">
        <v>45810</v>
      </c>
      <c r="D10254" t="inlineStr">
        <is>
          <t>VÄRMLANDS LÄN</t>
        </is>
      </c>
      <c r="E10254" t="inlineStr">
        <is>
          <t>ARVIKA</t>
        </is>
      </c>
      <c r="F10254" t="inlineStr">
        <is>
          <t>Bergvik skog väst AB</t>
        </is>
      </c>
      <c r="G10254" t="n">
        <v>4.7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26239-2023</t>
        </is>
      </c>
      <c r="B10255" s="1" t="n">
        <v>45091</v>
      </c>
      <c r="C10255" s="1" t="n">
        <v>45810</v>
      </c>
      <c r="D10255" t="inlineStr">
        <is>
          <t>VÄRMLANDS LÄN</t>
        </is>
      </c>
      <c r="E10255" t="inlineStr">
        <is>
          <t>HAGFORS</t>
        </is>
      </c>
      <c r="G10255" t="n">
        <v>0.9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26263-2023</t>
        </is>
      </c>
      <c r="B10256" s="1" t="n">
        <v>45091</v>
      </c>
      <c r="C10256" s="1" t="n">
        <v>45810</v>
      </c>
      <c r="D10256" t="inlineStr">
        <is>
          <t>VÄRMLANDS LÄN</t>
        </is>
      </c>
      <c r="E10256" t="inlineStr">
        <is>
          <t>KIL</t>
        </is>
      </c>
      <c r="G10256" t="n">
        <v>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26289-2023</t>
        </is>
      </c>
      <c r="B10257" s="1" t="n">
        <v>45091</v>
      </c>
      <c r="C10257" s="1" t="n">
        <v>45810</v>
      </c>
      <c r="D10257" t="inlineStr">
        <is>
          <t>VÄRMLANDS LÄN</t>
        </is>
      </c>
      <c r="E10257" t="inlineStr">
        <is>
          <t>SUNNE</t>
        </is>
      </c>
      <c r="G10257" t="n">
        <v>3.6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26309-2023</t>
        </is>
      </c>
      <c r="B10258" s="1" t="n">
        <v>45091</v>
      </c>
      <c r="C10258" s="1" t="n">
        <v>45810</v>
      </c>
      <c r="D10258" t="inlineStr">
        <is>
          <t>VÄRMLANDS LÄN</t>
        </is>
      </c>
      <c r="E10258" t="inlineStr">
        <is>
          <t>SUNNE</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26321-2023</t>
        </is>
      </c>
      <c r="B10259" s="1" t="n">
        <v>45091</v>
      </c>
      <c r="C10259" s="1" t="n">
        <v>45810</v>
      </c>
      <c r="D10259" t="inlineStr">
        <is>
          <t>VÄRMLANDS LÄN</t>
        </is>
      </c>
      <c r="E10259" t="inlineStr">
        <is>
          <t>ARVIKA</t>
        </is>
      </c>
      <c r="G10259" t="n">
        <v>2.4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26326-2023</t>
        </is>
      </c>
      <c r="B10260" s="1" t="n">
        <v>45091</v>
      </c>
      <c r="C10260" s="1" t="n">
        <v>45810</v>
      </c>
      <c r="D10260" t="inlineStr">
        <is>
          <t>VÄRMLANDS LÄN</t>
        </is>
      </c>
      <c r="E10260" t="inlineStr">
        <is>
          <t>EDA</t>
        </is>
      </c>
      <c r="G10260" t="n">
        <v>4.2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26340-2023</t>
        </is>
      </c>
      <c r="B10261" s="1" t="n">
        <v>45091</v>
      </c>
      <c r="C10261" s="1" t="n">
        <v>45810</v>
      </c>
      <c r="D10261" t="inlineStr">
        <is>
          <t>VÄRMLANDS LÄN</t>
        </is>
      </c>
      <c r="E10261" t="inlineStr">
        <is>
          <t>TORSBY</t>
        </is>
      </c>
      <c r="G10261" t="n">
        <v>2.2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26048-2023</t>
        </is>
      </c>
      <c r="B10262" s="1" t="n">
        <v>45091</v>
      </c>
      <c r="C10262" s="1" t="n">
        <v>45810</v>
      </c>
      <c r="D10262" t="inlineStr">
        <is>
          <t>VÄRMLANDS LÄN</t>
        </is>
      </c>
      <c r="E10262" t="inlineStr">
        <is>
          <t>EDA</t>
        </is>
      </c>
      <c r="G10262" t="n">
        <v>1.6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26222-2023</t>
        </is>
      </c>
      <c r="B10263" s="1" t="n">
        <v>45091</v>
      </c>
      <c r="C10263" s="1" t="n">
        <v>45810</v>
      </c>
      <c r="D10263" t="inlineStr">
        <is>
          <t>VÄRMLANDS LÄN</t>
        </is>
      </c>
      <c r="E10263" t="inlineStr">
        <is>
          <t>KARLSTAD</t>
        </is>
      </c>
      <c r="G10263" t="n">
        <v>2.6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26269-2023</t>
        </is>
      </c>
      <c r="B10264" s="1" t="n">
        <v>45091</v>
      </c>
      <c r="C10264" s="1" t="n">
        <v>45810</v>
      </c>
      <c r="D10264" t="inlineStr">
        <is>
          <t>VÄRMLANDS LÄN</t>
        </is>
      </c>
      <c r="E10264" t="inlineStr">
        <is>
          <t>KIL</t>
        </is>
      </c>
      <c r="G10264" t="n">
        <v>2.6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26324-2023</t>
        </is>
      </c>
      <c r="B10265" s="1" t="n">
        <v>45091</v>
      </c>
      <c r="C10265" s="1" t="n">
        <v>45810</v>
      </c>
      <c r="D10265" t="inlineStr">
        <is>
          <t>VÄRMLANDS LÄN</t>
        </is>
      </c>
      <c r="E10265" t="inlineStr">
        <is>
          <t>ARVIKA</t>
        </is>
      </c>
      <c r="G10265" t="n">
        <v>1.1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26280-2023</t>
        </is>
      </c>
      <c r="B10266" s="1" t="n">
        <v>45091</v>
      </c>
      <c r="C10266" s="1" t="n">
        <v>45810</v>
      </c>
      <c r="D10266" t="inlineStr">
        <is>
          <t>VÄRMLANDS LÄN</t>
        </is>
      </c>
      <c r="E10266" t="inlineStr">
        <is>
          <t>FILIPSTAD</t>
        </is>
      </c>
      <c r="F10266" t="inlineStr">
        <is>
          <t>Bergvik skog väst AB</t>
        </is>
      </c>
      <c r="G10266" t="n">
        <v>2.2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26302-2023</t>
        </is>
      </c>
      <c r="B10267" s="1" t="n">
        <v>45091</v>
      </c>
      <c r="C10267" s="1" t="n">
        <v>45810</v>
      </c>
      <c r="D10267" t="inlineStr">
        <is>
          <t>VÄRMLANDS LÄN</t>
        </is>
      </c>
      <c r="E10267" t="inlineStr">
        <is>
          <t>SUNNE</t>
        </is>
      </c>
      <c r="G10267" t="n">
        <v>1.2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26343-2023</t>
        </is>
      </c>
      <c r="B10268" s="1" t="n">
        <v>45091</v>
      </c>
      <c r="C10268" s="1" t="n">
        <v>45810</v>
      </c>
      <c r="D10268" t="inlineStr">
        <is>
          <t>VÄRMLANDS LÄN</t>
        </is>
      </c>
      <c r="E10268" t="inlineStr">
        <is>
          <t>TORSBY</t>
        </is>
      </c>
      <c r="G10268" t="n">
        <v>0.8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26174-2023</t>
        </is>
      </c>
      <c r="B10269" s="1" t="n">
        <v>45091</v>
      </c>
      <c r="C10269" s="1" t="n">
        <v>45810</v>
      </c>
      <c r="D10269" t="inlineStr">
        <is>
          <t>VÄRMLANDS LÄN</t>
        </is>
      </c>
      <c r="E10269" t="inlineStr">
        <is>
          <t>EDA</t>
        </is>
      </c>
      <c r="G10269" t="n">
        <v>3.3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26037-2023</t>
        </is>
      </c>
      <c r="B10270" s="1" t="n">
        <v>45091</v>
      </c>
      <c r="C10270" s="1" t="n">
        <v>45810</v>
      </c>
      <c r="D10270" t="inlineStr">
        <is>
          <t>VÄRMLANDS LÄN</t>
        </is>
      </c>
      <c r="E10270" t="inlineStr">
        <is>
          <t>FORSHAGA</t>
        </is>
      </c>
      <c r="G10270" t="n">
        <v>1.8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26042-2023</t>
        </is>
      </c>
      <c r="B10271" s="1" t="n">
        <v>45091</v>
      </c>
      <c r="C10271" s="1" t="n">
        <v>45810</v>
      </c>
      <c r="D10271" t="inlineStr">
        <is>
          <t>VÄRMLANDS LÄN</t>
        </is>
      </c>
      <c r="E10271" t="inlineStr">
        <is>
          <t>EDA</t>
        </is>
      </c>
      <c r="G10271" t="n">
        <v>2.1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26059-2023</t>
        </is>
      </c>
      <c r="B10272" s="1" t="n">
        <v>45091</v>
      </c>
      <c r="C10272" s="1" t="n">
        <v>45810</v>
      </c>
      <c r="D10272" t="inlineStr">
        <is>
          <t>VÄRMLANDS LÄN</t>
        </is>
      </c>
      <c r="E10272" t="inlineStr">
        <is>
          <t>KARLSTAD</t>
        </is>
      </c>
      <c r="G10272" t="n">
        <v>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26327-2023</t>
        </is>
      </c>
      <c r="B10273" s="1" t="n">
        <v>45091</v>
      </c>
      <c r="C10273" s="1" t="n">
        <v>45810</v>
      </c>
      <c r="D10273" t="inlineStr">
        <is>
          <t>VÄRMLANDS LÄN</t>
        </is>
      </c>
      <c r="E10273" t="inlineStr">
        <is>
          <t>TORSBY</t>
        </is>
      </c>
      <c r="F10273" t="inlineStr">
        <is>
          <t>Bergvik skog väst AB</t>
        </is>
      </c>
      <c r="G10273" t="n">
        <v>33.4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26167-2023</t>
        </is>
      </c>
      <c r="B10274" s="1" t="n">
        <v>45091</v>
      </c>
      <c r="C10274" s="1" t="n">
        <v>45810</v>
      </c>
      <c r="D10274" t="inlineStr">
        <is>
          <t>VÄRMLANDS LÄN</t>
        </is>
      </c>
      <c r="E10274" t="inlineStr">
        <is>
          <t>EDA</t>
        </is>
      </c>
      <c r="G10274" t="n">
        <v>6.1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26045-2023</t>
        </is>
      </c>
      <c r="B10275" s="1" t="n">
        <v>45091</v>
      </c>
      <c r="C10275" s="1" t="n">
        <v>45810</v>
      </c>
      <c r="D10275" t="inlineStr">
        <is>
          <t>VÄRMLANDS LÄN</t>
        </is>
      </c>
      <c r="E10275" t="inlineStr">
        <is>
          <t>EDA</t>
        </is>
      </c>
      <c r="G10275" t="n">
        <v>0.9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26080-2023</t>
        </is>
      </c>
      <c r="B10276" s="1" t="n">
        <v>45091</v>
      </c>
      <c r="C10276" s="1" t="n">
        <v>45810</v>
      </c>
      <c r="D10276" t="inlineStr">
        <is>
          <t>VÄRMLANDS LÄN</t>
        </is>
      </c>
      <c r="E10276" t="inlineStr">
        <is>
          <t>TORSBY</t>
        </is>
      </c>
      <c r="G10276" t="n">
        <v>3.4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26103-2023</t>
        </is>
      </c>
      <c r="B10277" s="1" t="n">
        <v>45091</v>
      </c>
      <c r="C10277" s="1" t="n">
        <v>45810</v>
      </c>
      <c r="D10277" t="inlineStr">
        <is>
          <t>VÄRMLANDS LÄN</t>
        </is>
      </c>
      <c r="E10277" t="inlineStr">
        <is>
          <t>FORSHAGA</t>
        </is>
      </c>
      <c r="G10277" t="n">
        <v>0.9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26111-2023</t>
        </is>
      </c>
      <c r="B10278" s="1" t="n">
        <v>45091</v>
      </c>
      <c r="C10278" s="1" t="n">
        <v>45810</v>
      </c>
      <c r="D10278" t="inlineStr">
        <is>
          <t>VÄRMLANDS LÄN</t>
        </is>
      </c>
      <c r="E10278" t="inlineStr">
        <is>
          <t>MUNKFORS</t>
        </is>
      </c>
      <c r="G10278" t="n">
        <v>5.2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26092-2023</t>
        </is>
      </c>
      <c r="B10279" s="1" t="n">
        <v>45091</v>
      </c>
      <c r="C10279" s="1" t="n">
        <v>45810</v>
      </c>
      <c r="D10279" t="inlineStr">
        <is>
          <t>VÄRMLANDS LÄN</t>
        </is>
      </c>
      <c r="E10279" t="inlineStr">
        <is>
          <t>TORSBY</t>
        </is>
      </c>
      <c r="G10279" t="n">
        <v>2.9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26979-2023</t>
        </is>
      </c>
      <c r="B10280" s="1" t="n">
        <v>45091</v>
      </c>
      <c r="C10280" s="1" t="n">
        <v>45810</v>
      </c>
      <c r="D10280" t="inlineStr">
        <is>
          <t>VÄRMLANDS LÄN</t>
        </is>
      </c>
      <c r="E10280" t="inlineStr">
        <is>
          <t>TORSBY</t>
        </is>
      </c>
      <c r="G10280" t="n">
        <v>1.9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26106-2023</t>
        </is>
      </c>
      <c r="B10281" s="1" t="n">
        <v>45091</v>
      </c>
      <c r="C10281" s="1" t="n">
        <v>45810</v>
      </c>
      <c r="D10281" t="inlineStr">
        <is>
          <t>VÄRMLANDS LÄN</t>
        </is>
      </c>
      <c r="E10281" t="inlineStr">
        <is>
          <t>FORSHAGA</t>
        </is>
      </c>
      <c r="G10281" t="n">
        <v>0.9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26376-2023</t>
        </is>
      </c>
      <c r="B10282" s="1" t="n">
        <v>45092</v>
      </c>
      <c r="C10282" s="1" t="n">
        <v>45810</v>
      </c>
      <c r="D10282" t="inlineStr">
        <is>
          <t>VÄRMLANDS LÄN</t>
        </is>
      </c>
      <c r="E10282" t="inlineStr">
        <is>
          <t>TORSBY</t>
        </is>
      </c>
      <c r="G10282" t="n">
        <v>9.6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26112-2023</t>
        </is>
      </c>
      <c r="B10283" s="1" t="n">
        <v>45091</v>
      </c>
      <c r="C10283" s="1" t="n">
        <v>45810</v>
      </c>
      <c r="D10283" t="inlineStr">
        <is>
          <t>VÄRMLANDS LÄN</t>
        </is>
      </c>
      <c r="E10283" t="inlineStr">
        <is>
          <t>KARLSTAD</t>
        </is>
      </c>
      <c r="G10283" t="n">
        <v>3.8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26144-2023</t>
        </is>
      </c>
      <c r="B10284" s="1" t="n">
        <v>45091</v>
      </c>
      <c r="C10284" s="1" t="n">
        <v>45810</v>
      </c>
      <c r="D10284" t="inlineStr">
        <is>
          <t>VÄRMLANDS LÄN</t>
        </is>
      </c>
      <c r="E10284" t="inlineStr">
        <is>
          <t>KARLSTAD</t>
        </is>
      </c>
      <c r="G10284" t="n">
        <v>0.7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26501-2023</t>
        </is>
      </c>
      <c r="B10285" s="1" t="n">
        <v>45092</v>
      </c>
      <c r="C10285" s="1" t="n">
        <v>45810</v>
      </c>
      <c r="D10285" t="inlineStr">
        <is>
          <t>VÄRMLANDS LÄN</t>
        </is>
      </c>
      <c r="E10285" t="inlineStr">
        <is>
          <t>EDA</t>
        </is>
      </c>
      <c r="G10285" t="n">
        <v>0.9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26387-2023</t>
        </is>
      </c>
      <c r="B10286" s="1" t="n">
        <v>45092</v>
      </c>
      <c r="C10286" s="1" t="n">
        <v>45810</v>
      </c>
      <c r="D10286" t="inlineStr">
        <is>
          <t>VÄRMLANDS LÄN</t>
        </is>
      </c>
      <c r="E10286" t="inlineStr">
        <is>
          <t>SÄFFLE</t>
        </is>
      </c>
      <c r="G10286" t="n">
        <v>4.9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26543-2023</t>
        </is>
      </c>
      <c r="B10287" s="1" t="n">
        <v>45092</v>
      </c>
      <c r="C10287" s="1" t="n">
        <v>45810</v>
      </c>
      <c r="D10287" t="inlineStr">
        <is>
          <t>VÄRMLANDS LÄN</t>
        </is>
      </c>
      <c r="E10287" t="inlineStr">
        <is>
          <t>KRISTINEHAMN</t>
        </is>
      </c>
      <c r="G10287" t="n">
        <v>2.5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26495-2023</t>
        </is>
      </c>
      <c r="B10288" s="1" t="n">
        <v>45092</v>
      </c>
      <c r="C10288" s="1" t="n">
        <v>45810</v>
      </c>
      <c r="D10288" t="inlineStr">
        <is>
          <t>VÄRMLANDS LÄN</t>
        </is>
      </c>
      <c r="E10288" t="inlineStr">
        <is>
          <t>EDA</t>
        </is>
      </c>
      <c r="G10288" t="n">
        <v>1.3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26504-2023</t>
        </is>
      </c>
      <c r="B10289" s="1" t="n">
        <v>45092</v>
      </c>
      <c r="C10289" s="1" t="n">
        <v>45810</v>
      </c>
      <c r="D10289" t="inlineStr">
        <is>
          <t>VÄRMLANDS LÄN</t>
        </is>
      </c>
      <c r="E10289" t="inlineStr">
        <is>
          <t>EDA</t>
        </is>
      </c>
      <c r="G10289" t="n">
        <v>0.7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26516-2023</t>
        </is>
      </c>
      <c r="B10290" s="1" t="n">
        <v>45092</v>
      </c>
      <c r="C10290" s="1" t="n">
        <v>45810</v>
      </c>
      <c r="D10290" t="inlineStr">
        <is>
          <t>VÄRMLANDS LÄN</t>
        </is>
      </c>
      <c r="E10290" t="inlineStr">
        <is>
          <t>ARVIKA</t>
        </is>
      </c>
      <c r="F10290" t="inlineStr">
        <is>
          <t>Bergvik skog väst AB</t>
        </is>
      </c>
      <c r="G10290" t="n">
        <v>20.2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26424-2023</t>
        </is>
      </c>
      <c r="B10291" s="1" t="n">
        <v>45092</v>
      </c>
      <c r="C10291" s="1" t="n">
        <v>45810</v>
      </c>
      <c r="D10291" t="inlineStr">
        <is>
          <t>VÄRMLANDS LÄN</t>
        </is>
      </c>
      <c r="E10291" t="inlineStr">
        <is>
          <t>ARVIKA</t>
        </is>
      </c>
      <c r="F10291" t="inlineStr">
        <is>
          <t>Bergvik skog väst AB</t>
        </is>
      </c>
      <c r="G10291" t="n">
        <v>0.5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26464-2023</t>
        </is>
      </c>
      <c r="B10292" s="1" t="n">
        <v>45092</v>
      </c>
      <c r="C10292" s="1" t="n">
        <v>45810</v>
      </c>
      <c r="D10292" t="inlineStr">
        <is>
          <t>VÄRMLANDS LÄN</t>
        </is>
      </c>
      <c r="E10292" t="inlineStr">
        <is>
          <t>EDA</t>
        </is>
      </c>
      <c r="G10292" t="n">
        <v>2.8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26515-2023</t>
        </is>
      </c>
      <c r="B10293" s="1" t="n">
        <v>45092</v>
      </c>
      <c r="C10293" s="1" t="n">
        <v>45810</v>
      </c>
      <c r="D10293" t="inlineStr">
        <is>
          <t>VÄRMLANDS LÄN</t>
        </is>
      </c>
      <c r="E10293" t="inlineStr">
        <is>
          <t>KARLSTAD</t>
        </is>
      </c>
      <c r="G10293" t="n">
        <v>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26520-2023</t>
        </is>
      </c>
      <c r="B10294" s="1" t="n">
        <v>45092</v>
      </c>
      <c r="C10294" s="1" t="n">
        <v>45810</v>
      </c>
      <c r="D10294" t="inlineStr">
        <is>
          <t>VÄRMLANDS LÄN</t>
        </is>
      </c>
      <c r="E10294" t="inlineStr">
        <is>
          <t>SUNNE</t>
        </is>
      </c>
      <c r="G10294" t="n">
        <v>4.9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26497-2023</t>
        </is>
      </c>
      <c r="B10295" s="1" t="n">
        <v>45092</v>
      </c>
      <c r="C10295" s="1" t="n">
        <v>45810</v>
      </c>
      <c r="D10295" t="inlineStr">
        <is>
          <t>VÄRMLANDS LÄN</t>
        </is>
      </c>
      <c r="E10295" t="inlineStr">
        <is>
          <t>SÄFFLE</t>
        </is>
      </c>
      <c r="G10295" t="n">
        <v>36.3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26533-2023</t>
        </is>
      </c>
      <c r="B10296" s="1" t="n">
        <v>45092</v>
      </c>
      <c r="C10296" s="1" t="n">
        <v>45810</v>
      </c>
      <c r="D10296" t="inlineStr">
        <is>
          <t>VÄRMLANDS LÄN</t>
        </is>
      </c>
      <c r="E10296" t="inlineStr">
        <is>
          <t>KRISTINEHAMN</t>
        </is>
      </c>
      <c r="G10296" t="n">
        <v>1.8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26540-2023</t>
        </is>
      </c>
      <c r="B10297" s="1" t="n">
        <v>45092</v>
      </c>
      <c r="C10297" s="1" t="n">
        <v>45810</v>
      </c>
      <c r="D10297" t="inlineStr">
        <is>
          <t>VÄRMLANDS LÄN</t>
        </is>
      </c>
      <c r="E10297" t="inlineStr">
        <is>
          <t>KARLSTAD</t>
        </is>
      </c>
      <c r="G10297" t="n">
        <v>2.7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26544-2023</t>
        </is>
      </c>
      <c r="B10298" s="1" t="n">
        <v>45092</v>
      </c>
      <c r="C10298" s="1" t="n">
        <v>45810</v>
      </c>
      <c r="D10298" t="inlineStr">
        <is>
          <t>VÄRMLANDS LÄN</t>
        </is>
      </c>
      <c r="E10298" t="inlineStr">
        <is>
          <t>ARVIKA</t>
        </is>
      </c>
      <c r="F10298" t="inlineStr">
        <is>
          <t>Bergvik skog väst AB</t>
        </is>
      </c>
      <c r="G10298" t="n">
        <v>1.2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26617-2023</t>
        </is>
      </c>
      <c r="B10299" s="1" t="n">
        <v>45092</v>
      </c>
      <c r="C10299" s="1" t="n">
        <v>45810</v>
      </c>
      <c r="D10299" t="inlineStr">
        <is>
          <t>VÄRMLANDS LÄN</t>
        </is>
      </c>
      <c r="E10299" t="inlineStr">
        <is>
          <t>KARLSTAD</t>
        </is>
      </c>
      <c r="G10299" t="n">
        <v>2.5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26603-2023</t>
        </is>
      </c>
      <c r="B10300" s="1" t="n">
        <v>45092</v>
      </c>
      <c r="C10300" s="1" t="n">
        <v>45810</v>
      </c>
      <c r="D10300" t="inlineStr">
        <is>
          <t>VÄRMLANDS LÄN</t>
        </is>
      </c>
      <c r="E10300" t="inlineStr">
        <is>
          <t>SUNNE</t>
        </is>
      </c>
      <c r="F10300" t="inlineStr">
        <is>
          <t>Bergvik skog väst AB</t>
        </is>
      </c>
      <c r="G10300" t="n">
        <v>9.4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26608-2023</t>
        </is>
      </c>
      <c r="B10301" s="1" t="n">
        <v>45092</v>
      </c>
      <c r="C10301" s="1" t="n">
        <v>45810</v>
      </c>
      <c r="D10301" t="inlineStr">
        <is>
          <t>VÄRMLANDS LÄN</t>
        </is>
      </c>
      <c r="E10301" t="inlineStr">
        <is>
          <t>SUNNE</t>
        </is>
      </c>
      <c r="G10301" t="n">
        <v>0.9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26616-2023</t>
        </is>
      </c>
      <c r="B10302" s="1" t="n">
        <v>45092</v>
      </c>
      <c r="C10302" s="1" t="n">
        <v>45810</v>
      </c>
      <c r="D10302" t="inlineStr">
        <is>
          <t>VÄRMLANDS LÄN</t>
        </is>
      </c>
      <c r="E10302" t="inlineStr">
        <is>
          <t>TORSBY</t>
        </is>
      </c>
      <c r="F10302" t="inlineStr">
        <is>
          <t>Bergvik skog väst AB</t>
        </is>
      </c>
      <c r="G10302" t="n">
        <v>30.3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26691-2023</t>
        </is>
      </c>
      <c r="B10303" s="1" t="n">
        <v>45093</v>
      </c>
      <c r="C10303" s="1" t="n">
        <v>45810</v>
      </c>
      <c r="D10303" t="inlineStr">
        <is>
          <t>VÄRMLANDS LÄN</t>
        </is>
      </c>
      <c r="E10303" t="inlineStr">
        <is>
          <t>EDA</t>
        </is>
      </c>
      <c r="G10303" t="n">
        <v>1.3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26704-2023</t>
        </is>
      </c>
      <c r="B10304" s="1" t="n">
        <v>45093</v>
      </c>
      <c r="C10304" s="1" t="n">
        <v>45810</v>
      </c>
      <c r="D10304" t="inlineStr">
        <is>
          <t>VÄRMLANDS LÄN</t>
        </is>
      </c>
      <c r="E10304" t="inlineStr">
        <is>
          <t>EDA</t>
        </is>
      </c>
      <c r="G10304" t="n">
        <v>2.3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26718-2023</t>
        </is>
      </c>
      <c r="B10305" s="1" t="n">
        <v>45093</v>
      </c>
      <c r="C10305" s="1" t="n">
        <v>45810</v>
      </c>
      <c r="D10305" t="inlineStr">
        <is>
          <t>VÄRMLANDS LÄN</t>
        </is>
      </c>
      <c r="E10305" t="inlineStr">
        <is>
          <t>ARVIKA</t>
        </is>
      </c>
      <c r="G10305" t="n">
        <v>1.8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26755-2023</t>
        </is>
      </c>
      <c r="B10306" s="1" t="n">
        <v>45093</v>
      </c>
      <c r="C10306" s="1" t="n">
        <v>45810</v>
      </c>
      <c r="D10306" t="inlineStr">
        <is>
          <t>VÄRMLANDS LÄN</t>
        </is>
      </c>
      <c r="E10306" t="inlineStr">
        <is>
          <t>HAGFORS</t>
        </is>
      </c>
      <c r="F10306" t="inlineStr">
        <is>
          <t>Kyrkan</t>
        </is>
      </c>
      <c r="G10306" t="n">
        <v>7.2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26777-2023</t>
        </is>
      </c>
      <c r="B10307" s="1" t="n">
        <v>45093</v>
      </c>
      <c r="C10307" s="1" t="n">
        <v>45810</v>
      </c>
      <c r="D10307" t="inlineStr">
        <is>
          <t>VÄRMLANDS LÄN</t>
        </is>
      </c>
      <c r="E10307" t="inlineStr">
        <is>
          <t>HAGFORS</t>
        </is>
      </c>
      <c r="F10307" t="inlineStr">
        <is>
          <t>Bergvik skog väst AB</t>
        </is>
      </c>
      <c r="G10307" t="n">
        <v>0.9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26814-2023</t>
        </is>
      </c>
      <c r="B10308" s="1" t="n">
        <v>45093</v>
      </c>
      <c r="C10308" s="1" t="n">
        <v>45810</v>
      </c>
      <c r="D10308" t="inlineStr">
        <is>
          <t>VÄRMLANDS LÄN</t>
        </is>
      </c>
      <c r="E10308" t="inlineStr">
        <is>
          <t>TORSBY</t>
        </is>
      </c>
      <c r="G10308" t="n">
        <v>5.8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26670-2023</t>
        </is>
      </c>
      <c r="B10309" s="1" t="n">
        <v>45093</v>
      </c>
      <c r="C10309" s="1" t="n">
        <v>45810</v>
      </c>
      <c r="D10309" t="inlineStr">
        <is>
          <t>VÄRMLANDS LÄN</t>
        </is>
      </c>
      <c r="E10309" t="inlineStr">
        <is>
          <t>KARLSTAD</t>
        </is>
      </c>
      <c r="G10309" t="n">
        <v>8.9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26681-2023</t>
        </is>
      </c>
      <c r="B10310" s="1" t="n">
        <v>45093</v>
      </c>
      <c r="C10310" s="1" t="n">
        <v>45810</v>
      </c>
      <c r="D10310" t="inlineStr">
        <is>
          <t>VÄRMLANDS LÄN</t>
        </is>
      </c>
      <c r="E10310" t="inlineStr">
        <is>
          <t>SUNNE</t>
        </is>
      </c>
      <c r="G10310" t="n">
        <v>1.9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26689-2023</t>
        </is>
      </c>
      <c r="B10311" s="1" t="n">
        <v>45093</v>
      </c>
      <c r="C10311" s="1" t="n">
        <v>45810</v>
      </c>
      <c r="D10311" t="inlineStr">
        <is>
          <t>VÄRMLANDS LÄN</t>
        </is>
      </c>
      <c r="E10311" t="inlineStr">
        <is>
          <t>ARVIKA</t>
        </is>
      </c>
      <c r="G10311" t="n">
        <v>1.4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26698-2023</t>
        </is>
      </c>
      <c r="B10312" s="1" t="n">
        <v>45093</v>
      </c>
      <c r="C10312" s="1" t="n">
        <v>45810</v>
      </c>
      <c r="D10312" t="inlineStr">
        <is>
          <t>VÄRMLANDS LÄN</t>
        </is>
      </c>
      <c r="E10312" t="inlineStr">
        <is>
          <t>ARVIKA</t>
        </is>
      </c>
      <c r="G10312" t="n">
        <v>1.1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26672-2023</t>
        </is>
      </c>
      <c r="B10313" s="1" t="n">
        <v>45093</v>
      </c>
      <c r="C10313" s="1" t="n">
        <v>45810</v>
      </c>
      <c r="D10313" t="inlineStr">
        <is>
          <t>VÄRMLANDS LÄN</t>
        </is>
      </c>
      <c r="E10313" t="inlineStr">
        <is>
          <t>KARLSTAD</t>
        </is>
      </c>
      <c r="G10313" t="n">
        <v>22.7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26697-2023</t>
        </is>
      </c>
      <c r="B10314" s="1" t="n">
        <v>45093</v>
      </c>
      <c r="C10314" s="1" t="n">
        <v>45810</v>
      </c>
      <c r="D10314" t="inlineStr">
        <is>
          <t>VÄRMLANDS LÄN</t>
        </is>
      </c>
      <c r="E10314" t="inlineStr">
        <is>
          <t>EDA</t>
        </is>
      </c>
      <c r="G10314" t="n">
        <v>3.1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26710-2023</t>
        </is>
      </c>
      <c r="B10315" s="1" t="n">
        <v>45093</v>
      </c>
      <c r="C10315" s="1" t="n">
        <v>45810</v>
      </c>
      <c r="D10315" t="inlineStr">
        <is>
          <t>VÄRMLANDS LÄN</t>
        </is>
      </c>
      <c r="E10315" t="inlineStr">
        <is>
          <t>ARVIKA</t>
        </is>
      </c>
      <c r="G10315" t="n">
        <v>1.2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26728-2023</t>
        </is>
      </c>
      <c r="B10316" s="1" t="n">
        <v>45093</v>
      </c>
      <c r="C10316" s="1" t="n">
        <v>45810</v>
      </c>
      <c r="D10316" t="inlineStr">
        <is>
          <t>VÄRMLANDS LÄN</t>
        </is>
      </c>
      <c r="E10316" t="inlineStr">
        <is>
          <t>ARVIKA</t>
        </is>
      </c>
      <c r="G10316" t="n">
        <v>2.2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26744-2023</t>
        </is>
      </c>
      <c r="B10317" s="1" t="n">
        <v>45093</v>
      </c>
      <c r="C10317" s="1" t="n">
        <v>45810</v>
      </c>
      <c r="D10317" t="inlineStr">
        <is>
          <t>VÄRMLANDS LÄN</t>
        </is>
      </c>
      <c r="E10317" t="inlineStr">
        <is>
          <t>HAGFORS</t>
        </is>
      </c>
      <c r="G10317" t="n">
        <v>3.7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26760-2023</t>
        </is>
      </c>
      <c r="B10318" s="1" t="n">
        <v>45093</v>
      </c>
      <c r="C10318" s="1" t="n">
        <v>45810</v>
      </c>
      <c r="D10318" t="inlineStr">
        <is>
          <t>VÄRMLANDS LÄN</t>
        </is>
      </c>
      <c r="E10318" t="inlineStr">
        <is>
          <t>HAGFORS</t>
        </is>
      </c>
      <c r="G10318" t="n">
        <v>2.9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26815-2023</t>
        </is>
      </c>
      <c r="B10319" s="1" t="n">
        <v>45093</v>
      </c>
      <c r="C10319" s="1" t="n">
        <v>45810</v>
      </c>
      <c r="D10319" t="inlineStr">
        <is>
          <t>VÄRMLANDS LÄN</t>
        </is>
      </c>
      <c r="E10319" t="inlineStr">
        <is>
          <t>GRUMS</t>
        </is>
      </c>
      <c r="G10319" t="n">
        <v>1.1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26840-2023</t>
        </is>
      </c>
      <c r="B10320" s="1" t="n">
        <v>45093</v>
      </c>
      <c r="C10320" s="1" t="n">
        <v>45810</v>
      </c>
      <c r="D10320" t="inlineStr">
        <is>
          <t>VÄRMLANDS LÄN</t>
        </is>
      </c>
      <c r="E10320" t="inlineStr">
        <is>
          <t>GRUMS</t>
        </is>
      </c>
      <c r="G10320" t="n">
        <v>1.1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26870-2023</t>
        </is>
      </c>
      <c r="B10321" s="1" t="n">
        <v>45093</v>
      </c>
      <c r="C10321" s="1" t="n">
        <v>45810</v>
      </c>
      <c r="D10321" t="inlineStr">
        <is>
          <t>VÄRMLANDS LÄN</t>
        </is>
      </c>
      <c r="E10321" t="inlineStr">
        <is>
          <t>HAGFORS</t>
        </is>
      </c>
      <c r="F10321" t="inlineStr">
        <is>
          <t>Bergvik skog väst AB</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26703-2023</t>
        </is>
      </c>
      <c r="B10322" s="1" t="n">
        <v>45093</v>
      </c>
      <c r="C10322" s="1" t="n">
        <v>45810</v>
      </c>
      <c r="D10322" t="inlineStr">
        <is>
          <t>VÄRMLANDS LÄN</t>
        </is>
      </c>
      <c r="E10322" t="inlineStr">
        <is>
          <t>ARVIKA</t>
        </is>
      </c>
      <c r="G10322" t="n">
        <v>1.4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26722-2023</t>
        </is>
      </c>
      <c r="B10323" s="1" t="n">
        <v>45093</v>
      </c>
      <c r="C10323" s="1" t="n">
        <v>45810</v>
      </c>
      <c r="D10323" t="inlineStr">
        <is>
          <t>VÄRMLANDS LÄN</t>
        </is>
      </c>
      <c r="E10323" t="inlineStr">
        <is>
          <t>ARVIKA</t>
        </is>
      </c>
      <c r="G10323" t="n">
        <v>2.9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26753-2023</t>
        </is>
      </c>
      <c r="B10324" s="1" t="n">
        <v>45093</v>
      </c>
      <c r="C10324" s="1" t="n">
        <v>45810</v>
      </c>
      <c r="D10324" t="inlineStr">
        <is>
          <t>VÄRMLANDS LÄN</t>
        </is>
      </c>
      <c r="E10324" t="inlineStr">
        <is>
          <t>TORSBY</t>
        </is>
      </c>
      <c r="G10324" t="n">
        <v>1.7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26790-2023</t>
        </is>
      </c>
      <c r="B10325" s="1" t="n">
        <v>45093</v>
      </c>
      <c r="C10325" s="1" t="n">
        <v>45810</v>
      </c>
      <c r="D10325" t="inlineStr">
        <is>
          <t>VÄRMLANDS LÄN</t>
        </is>
      </c>
      <c r="E10325" t="inlineStr">
        <is>
          <t>HAGFORS</t>
        </is>
      </c>
      <c r="F10325" t="inlineStr">
        <is>
          <t>Kyrkan</t>
        </is>
      </c>
      <c r="G10325" t="n">
        <v>5.1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26829-2023</t>
        </is>
      </c>
      <c r="B10326" s="1" t="n">
        <v>45093</v>
      </c>
      <c r="C10326" s="1" t="n">
        <v>45810</v>
      </c>
      <c r="D10326" t="inlineStr">
        <is>
          <t>VÄRMLANDS LÄN</t>
        </is>
      </c>
      <c r="E10326" t="inlineStr">
        <is>
          <t>GRUMS</t>
        </is>
      </c>
      <c r="G10326" t="n">
        <v>1.5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26849-2023</t>
        </is>
      </c>
      <c r="B10327" s="1" t="n">
        <v>45093</v>
      </c>
      <c r="C10327" s="1" t="n">
        <v>45810</v>
      </c>
      <c r="D10327" t="inlineStr">
        <is>
          <t>VÄRMLANDS LÄN</t>
        </is>
      </c>
      <c r="E10327" t="inlineStr">
        <is>
          <t>KIL</t>
        </is>
      </c>
      <c r="G10327" t="n">
        <v>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26853-2023</t>
        </is>
      </c>
      <c r="B10328" s="1" t="n">
        <v>45093</v>
      </c>
      <c r="C10328" s="1" t="n">
        <v>45810</v>
      </c>
      <c r="D10328" t="inlineStr">
        <is>
          <t>VÄRMLANDS LÄN</t>
        </is>
      </c>
      <c r="E10328" t="inlineStr">
        <is>
          <t>KIL</t>
        </is>
      </c>
      <c r="G10328" t="n">
        <v>1.6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26828-2023</t>
        </is>
      </c>
      <c r="B10329" s="1" t="n">
        <v>45093</v>
      </c>
      <c r="C10329" s="1" t="n">
        <v>45810</v>
      </c>
      <c r="D10329" t="inlineStr">
        <is>
          <t>VÄRMLANDS LÄN</t>
        </is>
      </c>
      <c r="E10329" t="inlineStr">
        <is>
          <t>SUNNE</t>
        </is>
      </c>
      <c r="G10329" t="n">
        <v>3.7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26844-2023</t>
        </is>
      </c>
      <c r="B10330" s="1" t="n">
        <v>45093</v>
      </c>
      <c r="C10330" s="1" t="n">
        <v>45810</v>
      </c>
      <c r="D10330" t="inlineStr">
        <is>
          <t>VÄRMLANDS LÄN</t>
        </is>
      </c>
      <c r="E10330" t="inlineStr">
        <is>
          <t>KIL</t>
        </is>
      </c>
      <c r="G10330" t="n">
        <v>2.9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26716-2023</t>
        </is>
      </c>
      <c r="B10331" s="1" t="n">
        <v>45093</v>
      </c>
      <c r="C10331" s="1" t="n">
        <v>45810</v>
      </c>
      <c r="D10331" t="inlineStr">
        <is>
          <t>VÄRMLANDS LÄN</t>
        </is>
      </c>
      <c r="E10331" t="inlineStr">
        <is>
          <t>ARVIKA</t>
        </is>
      </c>
      <c r="F10331" t="inlineStr">
        <is>
          <t>Bergvik skog väst AB</t>
        </is>
      </c>
      <c r="G10331" t="n">
        <v>2.1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26880-2023</t>
        </is>
      </c>
      <c r="B10332" s="1" t="n">
        <v>45093</v>
      </c>
      <c r="C10332" s="1" t="n">
        <v>45810</v>
      </c>
      <c r="D10332" t="inlineStr">
        <is>
          <t>VÄRMLANDS LÄN</t>
        </is>
      </c>
      <c r="E10332" t="inlineStr">
        <is>
          <t>ÅRJÄNG</t>
        </is>
      </c>
      <c r="G10332" t="n">
        <v>3.6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26779-2023</t>
        </is>
      </c>
      <c r="B10333" s="1" t="n">
        <v>45093</v>
      </c>
      <c r="C10333" s="1" t="n">
        <v>45810</v>
      </c>
      <c r="D10333" t="inlineStr">
        <is>
          <t>VÄRMLANDS LÄN</t>
        </is>
      </c>
      <c r="E10333" t="inlineStr">
        <is>
          <t>SÄFFLE</t>
        </is>
      </c>
      <c r="F10333" t="inlineStr">
        <is>
          <t>Bergvik skog väst AB</t>
        </is>
      </c>
      <c r="G10333" t="n">
        <v>5.9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26837-2023</t>
        </is>
      </c>
      <c r="B10334" s="1" t="n">
        <v>45093</v>
      </c>
      <c r="C10334" s="1" t="n">
        <v>45810</v>
      </c>
      <c r="D10334" t="inlineStr">
        <is>
          <t>VÄRMLANDS LÄN</t>
        </is>
      </c>
      <c r="E10334" t="inlineStr">
        <is>
          <t>KIL</t>
        </is>
      </c>
      <c r="G10334" t="n">
        <v>2.2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26841-2023</t>
        </is>
      </c>
      <c r="B10335" s="1" t="n">
        <v>45093</v>
      </c>
      <c r="C10335" s="1" t="n">
        <v>45810</v>
      </c>
      <c r="D10335" t="inlineStr">
        <is>
          <t>VÄRMLANDS LÄN</t>
        </is>
      </c>
      <c r="E10335" t="inlineStr">
        <is>
          <t>GRUMS</t>
        </is>
      </c>
      <c r="G10335" t="n">
        <v>1.6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26855-2023</t>
        </is>
      </c>
      <c r="B10336" s="1" t="n">
        <v>45093</v>
      </c>
      <c r="C10336" s="1" t="n">
        <v>45810</v>
      </c>
      <c r="D10336" t="inlineStr">
        <is>
          <t>VÄRMLANDS LÄN</t>
        </is>
      </c>
      <c r="E10336" t="inlineStr">
        <is>
          <t>TORSBY</t>
        </is>
      </c>
      <c r="G10336" t="n">
        <v>2.8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26879-2023</t>
        </is>
      </c>
      <c r="B10337" s="1" t="n">
        <v>45093</v>
      </c>
      <c r="C10337" s="1" t="n">
        <v>45810</v>
      </c>
      <c r="D10337" t="inlineStr">
        <is>
          <t>VÄRMLANDS LÄN</t>
        </is>
      </c>
      <c r="E10337" t="inlineStr">
        <is>
          <t>SUNNE</t>
        </is>
      </c>
      <c r="F10337" t="inlineStr">
        <is>
          <t>Bergvik skog väst AB</t>
        </is>
      </c>
      <c r="G10337" t="n">
        <v>9.6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26887-2023</t>
        </is>
      </c>
      <c r="B10338" s="1" t="n">
        <v>45093</v>
      </c>
      <c r="C10338" s="1" t="n">
        <v>45810</v>
      </c>
      <c r="D10338" t="inlineStr">
        <is>
          <t>VÄRMLANDS LÄN</t>
        </is>
      </c>
      <c r="E10338" t="inlineStr">
        <is>
          <t>SÄFFLE</t>
        </is>
      </c>
      <c r="F10338" t="inlineStr">
        <is>
          <t>Bergvik skog väst AB</t>
        </is>
      </c>
      <c r="G10338" t="n">
        <v>1.8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26891-2023</t>
        </is>
      </c>
      <c r="B10339" s="1" t="n">
        <v>45093</v>
      </c>
      <c r="C10339" s="1" t="n">
        <v>45810</v>
      </c>
      <c r="D10339" t="inlineStr">
        <is>
          <t>VÄRMLANDS LÄN</t>
        </is>
      </c>
      <c r="E10339" t="inlineStr">
        <is>
          <t>ÅRJÄNG</t>
        </is>
      </c>
      <c r="G10339" t="n">
        <v>7.4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26901-2023</t>
        </is>
      </c>
      <c r="B10340" s="1" t="n">
        <v>45093</v>
      </c>
      <c r="C10340" s="1" t="n">
        <v>45810</v>
      </c>
      <c r="D10340" t="inlineStr">
        <is>
          <t>VÄRMLANDS LÄN</t>
        </is>
      </c>
      <c r="E10340" t="inlineStr">
        <is>
          <t>SUNNE</t>
        </is>
      </c>
      <c r="G10340" t="n">
        <v>1.4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26941-2023</t>
        </is>
      </c>
      <c r="B10341" s="1" t="n">
        <v>45093</v>
      </c>
      <c r="C10341" s="1" t="n">
        <v>45810</v>
      </c>
      <c r="D10341" t="inlineStr">
        <is>
          <t>VÄRMLANDS LÄN</t>
        </is>
      </c>
      <c r="E10341" t="inlineStr">
        <is>
          <t>SUNNE</t>
        </is>
      </c>
      <c r="G10341" t="n">
        <v>5.1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27573-2023</t>
        </is>
      </c>
      <c r="B10342" s="1" t="n">
        <v>45093</v>
      </c>
      <c r="C10342" s="1" t="n">
        <v>45810</v>
      </c>
      <c r="D10342" t="inlineStr">
        <is>
          <t>VÄRMLANDS LÄN</t>
        </is>
      </c>
      <c r="E10342" t="inlineStr">
        <is>
          <t>SUNNE</t>
        </is>
      </c>
      <c r="G10342" t="n">
        <v>1.4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27727-2023</t>
        </is>
      </c>
      <c r="B10343" s="1" t="n">
        <v>45093</v>
      </c>
      <c r="C10343" s="1" t="n">
        <v>45810</v>
      </c>
      <c r="D10343" t="inlineStr">
        <is>
          <t>VÄRMLANDS LÄN</t>
        </is>
      </c>
      <c r="E10343" t="inlineStr">
        <is>
          <t>SUNNE</t>
        </is>
      </c>
      <c r="G10343" t="n">
        <v>1.6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28161-2023</t>
        </is>
      </c>
      <c r="B10344" s="1" t="n">
        <v>45093</v>
      </c>
      <c r="C10344" s="1" t="n">
        <v>45810</v>
      </c>
      <c r="D10344" t="inlineStr">
        <is>
          <t>VÄRMLANDS LÄN</t>
        </is>
      </c>
      <c r="E10344" t="inlineStr">
        <is>
          <t>FILIPSTAD</t>
        </is>
      </c>
      <c r="F10344" t="inlineStr">
        <is>
          <t>Kommuner</t>
        </is>
      </c>
      <c r="G10344" t="n">
        <v>15.4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27031-2023</t>
        </is>
      </c>
      <c r="B10345" s="1" t="n">
        <v>45095</v>
      </c>
      <c r="C10345" s="1" t="n">
        <v>45810</v>
      </c>
      <c r="D10345" t="inlineStr">
        <is>
          <t>VÄRMLANDS LÄN</t>
        </is>
      </c>
      <c r="E10345" t="inlineStr">
        <is>
          <t>SÄFFLE</t>
        </is>
      </c>
      <c r="G10345" t="n">
        <v>1.5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27045-2023</t>
        </is>
      </c>
      <c r="B10346" s="1" t="n">
        <v>45095</v>
      </c>
      <c r="C10346" s="1" t="n">
        <v>45810</v>
      </c>
      <c r="D10346" t="inlineStr">
        <is>
          <t>VÄRMLANDS LÄN</t>
        </is>
      </c>
      <c r="E10346" t="inlineStr">
        <is>
          <t>MUNKFORS</t>
        </is>
      </c>
      <c r="G10346" t="n">
        <v>2.1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27049-2023</t>
        </is>
      </c>
      <c r="B10347" s="1" t="n">
        <v>45095</v>
      </c>
      <c r="C10347" s="1" t="n">
        <v>45810</v>
      </c>
      <c r="D10347" t="inlineStr">
        <is>
          <t>VÄRMLANDS LÄN</t>
        </is>
      </c>
      <c r="E10347" t="inlineStr">
        <is>
          <t>KARLSTAD</t>
        </is>
      </c>
      <c r="G10347" t="n">
        <v>2.4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27053-2023</t>
        </is>
      </c>
      <c r="B10348" s="1" t="n">
        <v>45095</v>
      </c>
      <c r="C10348" s="1" t="n">
        <v>45810</v>
      </c>
      <c r="D10348" t="inlineStr">
        <is>
          <t>VÄRMLANDS LÄN</t>
        </is>
      </c>
      <c r="E10348" t="inlineStr">
        <is>
          <t>SUNNE</t>
        </is>
      </c>
      <c r="G10348" t="n">
        <v>4.4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27044-2023</t>
        </is>
      </c>
      <c r="B10349" s="1" t="n">
        <v>45095</v>
      </c>
      <c r="C10349" s="1" t="n">
        <v>45810</v>
      </c>
      <c r="D10349" t="inlineStr">
        <is>
          <t>VÄRMLANDS LÄN</t>
        </is>
      </c>
      <c r="E10349" t="inlineStr">
        <is>
          <t>MUNKFORS</t>
        </is>
      </c>
      <c r="G10349" t="n">
        <v>3.4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27033-2023</t>
        </is>
      </c>
      <c r="B10350" s="1" t="n">
        <v>45095</v>
      </c>
      <c r="C10350" s="1" t="n">
        <v>45810</v>
      </c>
      <c r="D10350" t="inlineStr">
        <is>
          <t>VÄRMLANDS LÄN</t>
        </is>
      </c>
      <c r="E10350" t="inlineStr">
        <is>
          <t>KRISTINEHAMN</t>
        </is>
      </c>
      <c r="G10350" t="n">
        <v>0.5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27042-2023</t>
        </is>
      </c>
      <c r="B10351" s="1" t="n">
        <v>45095</v>
      </c>
      <c r="C10351" s="1" t="n">
        <v>45810</v>
      </c>
      <c r="D10351" t="inlineStr">
        <is>
          <t>VÄRMLANDS LÄN</t>
        </is>
      </c>
      <c r="E10351" t="inlineStr">
        <is>
          <t>ARVIKA</t>
        </is>
      </c>
      <c r="G10351" t="n">
        <v>1.6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27050-2023</t>
        </is>
      </c>
      <c r="B10352" s="1" t="n">
        <v>45095</v>
      </c>
      <c r="C10352" s="1" t="n">
        <v>45810</v>
      </c>
      <c r="D10352" t="inlineStr">
        <is>
          <t>VÄRMLANDS LÄN</t>
        </is>
      </c>
      <c r="E10352" t="inlineStr">
        <is>
          <t>KARLSTAD</t>
        </is>
      </c>
      <c r="G10352" t="n">
        <v>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27059-2023</t>
        </is>
      </c>
      <c r="B10353" s="1" t="n">
        <v>45096</v>
      </c>
      <c r="C10353" s="1" t="n">
        <v>45810</v>
      </c>
      <c r="D10353" t="inlineStr">
        <is>
          <t>VÄRMLANDS LÄN</t>
        </is>
      </c>
      <c r="E10353" t="inlineStr">
        <is>
          <t>FILIPSTAD</t>
        </is>
      </c>
      <c r="F10353" t="inlineStr">
        <is>
          <t>Bergvik skog väst AB</t>
        </is>
      </c>
      <c r="G10353" t="n">
        <v>3.3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27080-2023</t>
        </is>
      </c>
      <c r="B10354" s="1" t="n">
        <v>45096</v>
      </c>
      <c r="C10354" s="1" t="n">
        <v>45810</v>
      </c>
      <c r="D10354" t="inlineStr">
        <is>
          <t>VÄRMLANDS LÄN</t>
        </is>
      </c>
      <c r="E10354" t="inlineStr">
        <is>
          <t>FILIPSTAD</t>
        </is>
      </c>
      <c r="G10354" t="n">
        <v>0.6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27176-2023</t>
        </is>
      </c>
      <c r="B10355" s="1" t="n">
        <v>45096</v>
      </c>
      <c r="C10355" s="1" t="n">
        <v>45810</v>
      </c>
      <c r="D10355" t="inlineStr">
        <is>
          <t>VÄRMLANDS LÄN</t>
        </is>
      </c>
      <c r="E10355" t="inlineStr">
        <is>
          <t>SÄFFLE</t>
        </is>
      </c>
      <c r="G10355" t="n">
        <v>4.5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27135-2023</t>
        </is>
      </c>
      <c r="B10356" s="1" t="n">
        <v>45096</v>
      </c>
      <c r="C10356" s="1" t="n">
        <v>45810</v>
      </c>
      <c r="D10356" t="inlineStr">
        <is>
          <t>VÄRMLANDS LÄN</t>
        </is>
      </c>
      <c r="E10356" t="inlineStr">
        <is>
          <t>SÄFFLE</t>
        </is>
      </c>
      <c r="G10356" t="n">
        <v>10.7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27218-2023</t>
        </is>
      </c>
      <c r="B10357" s="1" t="n">
        <v>45096</v>
      </c>
      <c r="C10357" s="1" t="n">
        <v>45810</v>
      </c>
      <c r="D10357" t="inlineStr">
        <is>
          <t>VÄRMLANDS LÄN</t>
        </is>
      </c>
      <c r="E10357" t="inlineStr">
        <is>
          <t>GRUMS</t>
        </is>
      </c>
      <c r="G10357" t="n">
        <v>1.2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27240-2023</t>
        </is>
      </c>
      <c r="B10358" s="1" t="n">
        <v>45096</v>
      </c>
      <c r="C10358" s="1" t="n">
        <v>45810</v>
      </c>
      <c r="D10358" t="inlineStr">
        <is>
          <t>VÄRMLANDS LÄN</t>
        </is>
      </c>
      <c r="E10358" t="inlineStr">
        <is>
          <t>ÅRJÄNG</t>
        </is>
      </c>
      <c r="G10358" t="n">
        <v>2.1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27149-2023</t>
        </is>
      </c>
      <c r="B10359" s="1" t="n">
        <v>45096</v>
      </c>
      <c r="C10359" s="1" t="n">
        <v>45810</v>
      </c>
      <c r="D10359" t="inlineStr">
        <is>
          <t>VÄRMLANDS LÄN</t>
        </is>
      </c>
      <c r="E10359" t="inlineStr">
        <is>
          <t>SUNNE</t>
        </is>
      </c>
      <c r="F10359" t="inlineStr">
        <is>
          <t>Bergvik skog väst AB</t>
        </is>
      </c>
      <c r="G10359" t="n">
        <v>2.9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27195-2023</t>
        </is>
      </c>
      <c r="B10360" s="1" t="n">
        <v>45096</v>
      </c>
      <c r="C10360" s="1" t="n">
        <v>45810</v>
      </c>
      <c r="D10360" t="inlineStr">
        <is>
          <t>VÄRMLANDS LÄN</t>
        </is>
      </c>
      <c r="E10360" t="inlineStr">
        <is>
          <t>TORSBY</t>
        </is>
      </c>
      <c r="G10360" t="n">
        <v>0.8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27222-2023</t>
        </is>
      </c>
      <c r="B10361" s="1" t="n">
        <v>45096</v>
      </c>
      <c r="C10361" s="1" t="n">
        <v>45810</v>
      </c>
      <c r="D10361" t="inlineStr">
        <is>
          <t>VÄRMLANDS LÄN</t>
        </is>
      </c>
      <c r="E10361" t="inlineStr">
        <is>
          <t>GRUMS</t>
        </is>
      </c>
      <c r="G10361" t="n">
        <v>1.3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27344-2023</t>
        </is>
      </c>
      <c r="B10362" s="1" t="n">
        <v>45096</v>
      </c>
      <c r="C10362" s="1" t="n">
        <v>45810</v>
      </c>
      <c r="D10362" t="inlineStr">
        <is>
          <t>VÄRMLANDS LÄN</t>
        </is>
      </c>
      <c r="E10362" t="inlineStr">
        <is>
          <t>KARLSTAD</t>
        </is>
      </c>
      <c r="G10362" t="n">
        <v>4.7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27332-2023</t>
        </is>
      </c>
      <c r="B10363" s="1" t="n">
        <v>45096</v>
      </c>
      <c r="C10363" s="1" t="n">
        <v>45810</v>
      </c>
      <c r="D10363" t="inlineStr">
        <is>
          <t>VÄRMLANDS LÄN</t>
        </is>
      </c>
      <c r="E10363" t="inlineStr">
        <is>
          <t>TORSBY</t>
        </is>
      </c>
      <c r="G10363" t="n">
        <v>2.8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27303-2023</t>
        </is>
      </c>
      <c r="B10364" s="1" t="n">
        <v>45096</v>
      </c>
      <c r="C10364" s="1" t="n">
        <v>45810</v>
      </c>
      <c r="D10364" t="inlineStr">
        <is>
          <t>VÄRMLANDS LÄN</t>
        </is>
      </c>
      <c r="E10364" t="inlineStr">
        <is>
          <t>EDA</t>
        </is>
      </c>
      <c r="F10364" t="inlineStr">
        <is>
          <t>Bergvik skog väst AB</t>
        </is>
      </c>
      <c r="G10364" t="n">
        <v>5.6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27314-2023</t>
        </is>
      </c>
      <c r="B10365" s="1" t="n">
        <v>45096</v>
      </c>
      <c r="C10365" s="1" t="n">
        <v>45810</v>
      </c>
      <c r="D10365" t="inlineStr">
        <is>
          <t>VÄRMLANDS LÄN</t>
        </is>
      </c>
      <c r="E10365" t="inlineStr">
        <is>
          <t>KARLSTAD</t>
        </is>
      </c>
      <c r="G10365" t="n">
        <v>2.3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27319-2023</t>
        </is>
      </c>
      <c r="B10366" s="1" t="n">
        <v>45096</v>
      </c>
      <c r="C10366" s="1" t="n">
        <v>45810</v>
      </c>
      <c r="D10366" t="inlineStr">
        <is>
          <t>VÄRMLANDS LÄN</t>
        </is>
      </c>
      <c r="E10366" t="inlineStr">
        <is>
          <t>FILIPSTAD</t>
        </is>
      </c>
      <c r="F10366" t="inlineStr">
        <is>
          <t>Bergvik skog väst AB</t>
        </is>
      </c>
      <c r="G10366" t="n">
        <v>27.6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27407-2023</t>
        </is>
      </c>
      <c r="B10367" s="1" t="n">
        <v>45097</v>
      </c>
      <c r="C10367" s="1" t="n">
        <v>45810</v>
      </c>
      <c r="D10367" t="inlineStr">
        <is>
          <t>VÄRMLANDS LÄN</t>
        </is>
      </c>
      <c r="E10367" t="inlineStr">
        <is>
          <t>SUNNE</t>
        </is>
      </c>
      <c r="F10367" t="inlineStr">
        <is>
          <t>Bergvik skog väst AB</t>
        </is>
      </c>
      <c r="G10367" t="n">
        <v>6.3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27411-2023</t>
        </is>
      </c>
      <c r="B10368" s="1" t="n">
        <v>45097</v>
      </c>
      <c r="C10368" s="1" t="n">
        <v>45810</v>
      </c>
      <c r="D10368" t="inlineStr">
        <is>
          <t>VÄRMLANDS LÄN</t>
        </is>
      </c>
      <c r="E10368" t="inlineStr">
        <is>
          <t>ÅRJÄNG</t>
        </is>
      </c>
      <c r="G10368" t="n">
        <v>0.7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27472-2023</t>
        </is>
      </c>
      <c r="B10369" s="1" t="n">
        <v>45097</v>
      </c>
      <c r="C10369" s="1" t="n">
        <v>45810</v>
      </c>
      <c r="D10369" t="inlineStr">
        <is>
          <t>VÄRMLANDS LÄN</t>
        </is>
      </c>
      <c r="E10369" t="inlineStr">
        <is>
          <t>TORSBY</t>
        </is>
      </c>
      <c r="F10369" t="inlineStr">
        <is>
          <t>Övriga Aktiebolag</t>
        </is>
      </c>
      <c r="G10369" t="n">
        <v>1.7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27410-2023</t>
        </is>
      </c>
      <c r="B10370" s="1" t="n">
        <v>45097</v>
      </c>
      <c r="C10370" s="1" t="n">
        <v>45810</v>
      </c>
      <c r="D10370" t="inlineStr">
        <is>
          <t>VÄRMLANDS LÄN</t>
        </is>
      </c>
      <c r="E10370" t="inlineStr">
        <is>
          <t>HAGFORS</t>
        </is>
      </c>
      <c r="F10370" t="inlineStr">
        <is>
          <t>Kyrkan</t>
        </is>
      </c>
      <c r="G10370" t="n">
        <v>3.1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27594-2023</t>
        </is>
      </c>
      <c r="B10371" s="1" t="n">
        <v>45097</v>
      </c>
      <c r="C10371" s="1" t="n">
        <v>45810</v>
      </c>
      <c r="D10371" t="inlineStr">
        <is>
          <t>VÄRMLANDS LÄN</t>
        </is>
      </c>
      <c r="E10371" t="inlineStr">
        <is>
          <t>TORSBY</t>
        </is>
      </c>
      <c r="G10371" t="n">
        <v>2.2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27611-2023</t>
        </is>
      </c>
      <c r="B10372" s="1" t="n">
        <v>45097</v>
      </c>
      <c r="C10372" s="1" t="n">
        <v>45810</v>
      </c>
      <c r="D10372" t="inlineStr">
        <is>
          <t>VÄRMLANDS LÄN</t>
        </is>
      </c>
      <c r="E10372" t="inlineStr">
        <is>
          <t>SUNNE</t>
        </is>
      </c>
      <c r="G10372" t="n">
        <v>3.3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27484-2023</t>
        </is>
      </c>
      <c r="B10373" s="1" t="n">
        <v>45097</v>
      </c>
      <c r="C10373" s="1" t="n">
        <v>45810</v>
      </c>
      <c r="D10373" t="inlineStr">
        <is>
          <t>VÄRMLANDS LÄN</t>
        </is>
      </c>
      <c r="E10373" t="inlineStr">
        <is>
          <t>ARVIKA</t>
        </is>
      </c>
      <c r="F10373" t="inlineStr">
        <is>
          <t>Bergvik skog väst AB</t>
        </is>
      </c>
      <c r="G10373" t="n">
        <v>1.9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27458-2023</t>
        </is>
      </c>
      <c r="B10374" s="1" t="n">
        <v>45097</v>
      </c>
      <c r="C10374" s="1" t="n">
        <v>45810</v>
      </c>
      <c r="D10374" t="inlineStr">
        <is>
          <t>VÄRMLANDS LÄN</t>
        </is>
      </c>
      <c r="E10374" t="inlineStr">
        <is>
          <t>TORSBY</t>
        </is>
      </c>
      <c r="G10374" t="n">
        <v>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27507-2023</t>
        </is>
      </c>
      <c r="B10375" s="1" t="n">
        <v>45097</v>
      </c>
      <c r="C10375" s="1" t="n">
        <v>45810</v>
      </c>
      <c r="D10375" t="inlineStr">
        <is>
          <t>VÄRMLANDS LÄN</t>
        </is>
      </c>
      <c r="E10375" t="inlineStr">
        <is>
          <t>KARLSTAD</t>
        </is>
      </c>
      <c r="G10375" t="n">
        <v>1.1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27515-2023</t>
        </is>
      </c>
      <c r="B10376" s="1" t="n">
        <v>45097</v>
      </c>
      <c r="C10376" s="1" t="n">
        <v>45810</v>
      </c>
      <c r="D10376" t="inlineStr">
        <is>
          <t>VÄRMLANDS LÄN</t>
        </is>
      </c>
      <c r="E10376" t="inlineStr">
        <is>
          <t>KRISTINEHAMN</t>
        </is>
      </c>
      <c r="G10376" t="n">
        <v>2.7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27758-2023</t>
        </is>
      </c>
      <c r="B10377" s="1" t="n">
        <v>45098</v>
      </c>
      <c r="C10377" s="1" t="n">
        <v>45810</v>
      </c>
      <c r="D10377" t="inlineStr">
        <is>
          <t>VÄRMLANDS LÄN</t>
        </is>
      </c>
      <c r="E10377" t="inlineStr">
        <is>
          <t>ARVIKA</t>
        </is>
      </c>
      <c r="G10377" t="n">
        <v>0.5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27755-2023</t>
        </is>
      </c>
      <c r="B10378" s="1" t="n">
        <v>45098</v>
      </c>
      <c r="C10378" s="1" t="n">
        <v>45810</v>
      </c>
      <c r="D10378" t="inlineStr">
        <is>
          <t>VÄRMLANDS LÄN</t>
        </is>
      </c>
      <c r="E10378" t="inlineStr">
        <is>
          <t>ARVIKA</t>
        </is>
      </c>
      <c r="G10378" t="n">
        <v>1.2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27760-2023</t>
        </is>
      </c>
      <c r="B10379" s="1" t="n">
        <v>45098</v>
      </c>
      <c r="C10379" s="1" t="n">
        <v>45810</v>
      </c>
      <c r="D10379" t="inlineStr">
        <is>
          <t>VÄRMLANDS LÄN</t>
        </is>
      </c>
      <c r="E10379" t="inlineStr">
        <is>
          <t>ARVIKA</t>
        </is>
      </c>
      <c r="G10379" t="n">
        <v>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27770-2023</t>
        </is>
      </c>
      <c r="B10380" s="1" t="n">
        <v>45098</v>
      </c>
      <c r="C10380" s="1" t="n">
        <v>45810</v>
      </c>
      <c r="D10380" t="inlineStr">
        <is>
          <t>VÄRMLANDS LÄN</t>
        </is>
      </c>
      <c r="E10380" t="inlineStr">
        <is>
          <t>ARVIKA</t>
        </is>
      </c>
      <c r="G10380" t="n">
        <v>0.6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27784-2023</t>
        </is>
      </c>
      <c r="B10381" s="1" t="n">
        <v>45098</v>
      </c>
      <c r="C10381" s="1" t="n">
        <v>45810</v>
      </c>
      <c r="D10381" t="inlineStr">
        <is>
          <t>VÄRMLANDS LÄN</t>
        </is>
      </c>
      <c r="E10381" t="inlineStr">
        <is>
          <t>EDA</t>
        </is>
      </c>
      <c r="G10381" t="n">
        <v>0.9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27792-2023</t>
        </is>
      </c>
      <c r="B10382" s="1" t="n">
        <v>45098</v>
      </c>
      <c r="C10382" s="1" t="n">
        <v>45810</v>
      </c>
      <c r="D10382" t="inlineStr">
        <is>
          <t>VÄRMLANDS LÄN</t>
        </is>
      </c>
      <c r="E10382" t="inlineStr">
        <is>
          <t>KIL</t>
        </is>
      </c>
      <c r="G10382" t="n">
        <v>0.3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27787-2023</t>
        </is>
      </c>
      <c r="B10383" s="1" t="n">
        <v>45098</v>
      </c>
      <c r="C10383" s="1" t="n">
        <v>45810</v>
      </c>
      <c r="D10383" t="inlineStr">
        <is>
          <t>VÄRMLANDS LÄN</t>
        </is>
      </c>
      <c r="E10383" t="inlineStr">
        <is>
          <t>TORSBY</t>
        </is>
      </c>
      <c r="G10383" t="n">
        <v>3.9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27821-2023</t>
        </is>
      </c>
      <c r="B10384" s="1" t="n">
        <v>45098</v>
      </c>
      <c r="C10384" s="1" t="n">
        <v>45810</v>
      </c>
      <c r="D10384" t="inlineStr">
        <is>
          <t>VÄRMLANDS LÄN</t>
        </is>
      </c>
      <c r="E10384" t="inlineStr">
        <is>
          <t>SÄFFLE</t>
        </is>
      </c>
      <c r="G10384" t="n">
        <v>1.2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27809-2023</t>
        </is>
      </c>
      <c r="B10385" s="1" t="n">
        <v>45098</v>
      </c>
      <c r="C10385" s="1" t="n">
        <v>45810</v>
      </c>
      <c r="D10385" t="inlineStr">
        <is>
          <t>VÄRMLANDS LÄN</t>
        </is>
      </c>
      <c r="E10385" t="inlineStr">
        <is>
          <t>SÄFFLE</t>
        </is>
      </c>
      <c r="G10385" t="n">
        <v>5.5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27861-2023</t>
        </is>
      </c>
      <c r="B10386" s="1" t="n">
        <v>45098</v>
      </c>
      <c r="C10386" s="1" t="n">
        <v>45810</v>
      </c>
      <c r="D10386" t="inlineStr">
        <is>
          <t>VÄRMLANDS LÄN</t>
        </is>
      </c>
      <c r="E10386" t="inlineStr">
        <is>
          <t>FILIPSTAD</t>
        </is>
      </c>
      <c r="F10386" t="inlineStr">
        <is>
          <t>Bergvik skog väst AB</t>
        </is>
      </c>
      <c r="G10386" t="n">
        <v>4.1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27886-2023</t>
        </is>
      </c>
      <c r="B10387" s="1" t="n">
        <v>45098</v>
      </c>
      <c r="C10387" s="1" t="n">
        <v>45810</v>
      </c>
      <c r="D10387" t="inlineStr">
        <is>
          <t>VÄRMLANDS LÄN</t>
        </is>
      </c>
      <c r="E10387" t="inlineStr">
        <is>
          <t>EDA</t>
        </is>
      </c>
      <c r="G10387" t="n">
        <v>2.1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27790-2023</t>
        </is>
      </c>
      <c r="B10388" s="1" t="n">
        <v>45098</v>
      </c>
      <c r="C10388" s="1" t="n">
        <v>45810</v>
      </c>
      <c r="D10388" t="inlineStr">
        <is>
          <t>VÄRMLANDS LÄN</t>
        </is>
      </c>
      <c r="E10388" t="inlineStr">
        <is>
          <t>KIL</t>
        </is>
      </c>
      <c r="G10388" t="n">
        <v>0.6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27798-2023</t>
        </is>
      </c>
      <c r="B10389" s="1" t="n">
        <v>45098</v>
      </c>
      <c r="C10389" s="1" t="n">
        <v>45810</v>
      </c>
      <c r="D10389" t="inlineStr">
        <is>
          <t>VÄRMLANDS LÄN</t>
        </is>
      </c>
      <c r="E10389" t="inlineStr">
        <is>
          <t>GRUMS</t>
        </is>
      </c>
      <c r="G10389" t="n">
        <v>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27837-2023</t>
        </is>
      </c>
      <c r="B10390" s="1" t="n">
        <v>45098</v>
      </c>
      <c r="C10390" s="1" t="n">
        <v>45810</v>
      </c>
      <c r="D10390" t="inlineStr">
        <is>
          <t>VÄRMLANDS LÄN</t>
        </is>
      </c>
      <c r="E10390" t="inlineStr">
        <is>
          <t>TORSBY</t>
        </is>
      </c>
      <c r="F10390" t="inlineStr">
        <is>
          <t>Bergvik skog väst AB</t>
        </is>
      </c>
      <c r="G10390" t="n">
        <v>1.8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27851-2023</t>
        </is>
      </c>
      <c r="B10391" s="1" t="n">
        <v>45098</v>
      </c>
      <c r="C10391" s="1" t="n">
        <v>45810</v>
      </c>
      <c r="D10391" t="inlineStr">
        <is>
          <t>VÄRMLANDS LÄN</t>
        </is>
      </c>
      <c r="E10391" t="inlineStr">
        <is>
          <t>TORSBY</t>
        </is>
      </c>
      <c r="F10391" t="inlineStr">
        <is>
          <t>Bergvik skog väst AB</t>
        </is>
      </c>
      <c r="G10391" t="n">
        <v>1.2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27806-2023</t>
        </is>
      </c>
      <c r="B10392" s="1" t="n">
        <v>45098</v>
      </c>
      <c r="C10392" s="1" t="n">
        <v>45810</v>
      </c>
      <c r="D10392" t="inlineStr">
        <is>
          <t>VÄRMLANDS LÄN</t>
        </is>
      </c>
      <c r="E10392" t="inlineStr">
        <is>
          <t>ARVIKA</t>
        </is>
      </c>
      <c r="G10392" t="n">
        <v>1.7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27811-2023</t>
        </is>
      </c>
      <c r="B10393" s="1" t="n">
        <v>45098</v>
      </c>
      <c r="C10393" s="1" t="n">
        <v>45810</v>
      </c>
      <c r="D10393" t="inlineStr">
        <is>
          <t>VÄRMLANDS LÄN</t>
        </is>
      </c>
      <c r="E10393" t="inlineStr">
        <is>
          <t>SÄFFLE</t>
        </is>
      </c>
      <c r="G10393" t="n">
        <v>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27815-2023</t>
        </is>
      </c>
      <c r="B10394" s="1" t="n">
        <v>45098</v>
      </c>
      <c r="C10394" s="1" t="n">
        <v>45810</v>
      </c>
      <c r="D10394" t="inlineStr">
        <is>
          <t>VÄRMLANDS LÄN</t>
        </is>
      </c>
      <c r="E10394" t="inlineStr">
        <is>
          <t>SÄFFLE</t>
        </is>
      </c>
      <c r="G10394" t="n">
        <v>3.5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27920-2023</t>
        </is>
      </c>
      <c r="B10395" s="1" t="n">
        <v>45098</v>
      </c>
      <c r="C10395" s="1" t="n">
        <v>45810</v>
      </c>
      <c r="D10395" t="inlineStr">
        <is>
          <t>VÄRMLANDS LÄN</t>
        </is>
      </c>
      <c r="E10395" t="inlineStr">
        <is>
          <t>TORSBY</t>
        </is>
      </c>
      <c r="F10395" t="inlineStr">
        <is>
          <t>Kyrkan</t>
        </is>
      </c>
      <c r="G10395" t="n">
        <v>14.7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27901-2023</t>
        </is>
      </c>
      <c r="B10396" s="1" t="n">
        <v>45098</v>
      </c>
      <c r="C10396" s="1" t="n">
        <v>45810</v>
      </c>
      <c r="D10396" t="inlineStr">
        <is>
          <t>VÄRMLANDS LÄN</t>
        </is>
      </c>
      <c r="E10396" t="inlineStr">
        <is>
          <t>MUNKFORS</t>
        </is>
      </c>
      <c r="F10396" t="inlineStr">
        <is>
          <t>Kyrkan</t>
        </is>
      </c>
      <c r="G10396" t="n">
        <v>0.6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27913-2023</t>
        </is>
      </c>
      <c r="B10397" s="1" t="n">
        <v>45098</v>
      </c>
      <c r="C10397" s="1" t="n">
        <v>45810</v>
      </c>
      <c r="D10397" t="inlineStr">
        <is>
          <t>VÄRMLANDS LÄN</t>
        </is>
      </c>
      <c r="E10397" t="inlineStr">
        <is>
          <t>ARVIKA</t>
        </is>
      </c>
      <c r="G10397" t="n">
        <v>2.5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27939-2023</t>
        </is>
      </c>
      <c r="B10398" s="1" t="n">
        <v>45098</v>
      </c>
      <c r="C10398" s="1" t="n">
        <v>45810</v>
      </c>
      <c r="D10398" t="inlineStr">
        <is>
          <t>VÄRMLANDS LÄN</t>
        </is>
      </c>
      <c r="E10398" t="inlineStr">
        <is>
          <t>KRISTINEHAMN</t>
        </is>
      </c>
      <c r="G10398" t="n">
        <v>1.8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27931-2023</t>
        </is>
      </c>
      <c r="B10399" s="1" t="n">
        <v>45098</v>
      </c>
      <c r="C10399" s="1" t="n">
        <v>45810</v>
      </c>
      <c r="D10399" t="inlineStr">
        <is>
          <t>VÄRMLANDS LÄN</t>
        </is>
      </c>
      <c r="E10399" t="inlineStr">
        <is>
          <t>SÄFFLE</t>
        </is>
      </c>
      <c r="G10399" t="n">
        <v>1.8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27972-2023</t>
        </is>
      </c>
      <c r="B10400" s="1" t="n">
        <v>45098</v>
      </c>
      <c r="C10400" s="1" t="n">
        <v>45810</v>
      </c>
      <c r="D10400" t="inlineStr">
        <is>
          <t>VÄRMLANDS LÄN</t>
        </is>
      </c>
      <c r="E10400" t="inlineStr">
        <is>
          <t>HAGFORS</t>
        </is>
      </c>
      <c r="G10400" t="n">
        <v>6.2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27953-2023</t>
        </is>
      </c>
      <c r="B10401" s="1" t="n">
        <v>45098</v>
      </c>
      <c r="C10401" s="1" t="n">
        <v>45810</v>
      </c>
      <c r="D10401" t="inlineStr">
        <is>
          <t>VÄRMLANDS LÄN</t>
        </is>
      </c>
      <c r="E10401" t="inlineStr">
        <is>
          <t>FILIPSTAD</t>
        </is>
      </c>
      <c r="F10401" t="inlineStr">
        <is>
          <t>Bergvik skog väst AB</t>
        </is>
      </c>
      <c r="G10401" t="n">
        <v>17.7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27961-2023</t>
        </is>
      </c>
      <c r="B10402" s="1" t="n">
        <v>45098</v>
      </c>
      <c r="C10402" s="1" t="n">
        <v>45810</v>
      </c>
      <c r="D10402" t="inlineStr">
        <is>
          <t>VÄRMLANDS LÄN</t>
        </is>
      </c>
      <c r="E10402" t="inlineStr">
        <is>
          <t>KRISTINEHAMN</t>
        </is>
      </c>
      <c r="G10402" t="n">
        <v>0.9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27991-2023</t>
        </is>
      </c>
      <c r="B10403" s="1" t="n">
        <v>45098</v>
      </c>
      <c r="C10403" s="1" t="n">
        <v>45810</v>
      </c>
      <c r="D10403" t="inlineStr">
        <is>
          <t>VÄRMLANDS LÄN</t>
        </is>
      </c>
      <c r="E10403" t="inlineStr">
        <is>
          <t>SUNNE</t>
        </is>
      </c>
      <c r="G10403" t="n">
        <v>13.9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27945-2023</t>
        </is>
      </c>
      <c r="B10404" s="1" t="n">
        <v>45098</v>
      </c>
      <c r="C10404" s="1" t="n">
        <v>45810</v>
      </c>
      <c r="D10404" t="inlineStr">
        <is>
          <t>VÄRMLANDS LÄN</t>
        </is>
      </c>
      <c r="E10404" t="inlineStr">
        <is>
          <t>SUNNE</t>
        </is>
      </c>
      <c r="G10404" t="n">
        <v>4.9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27951-2023</t>
        </is>
      </c>
      <c r="B10405" s="1" t="n">
        <v>45098</v>
      </c>
      <c r="C10405" s="1" t="n">
        <v>45810</v>
      </c>
      <c r="D10405" t="inlineStr">
        <is>
          <t>VÄRMLANDS LÄN</t>
        </is>
      </c>
      <c r="E10405" t="inlineStr">
        <is>
          <t>SUNNE</t>
        </is>
      </c>
      <c r="G10405" t="n">
        <v>2.8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28026-2023</t>
        </is>
      </c>
      <c r="B10406" s="1" t="n">
        <v>45099</v>
      </c>
      <c r="C10406" s="1" t="n">
        <v>45810</v>
      </c>
      <c r="D10406" t="inlineStr">
        <is>
          <t>VÄRMLANDS LÄN</t>
        </is>
      </c>
      <c r="E10406" t="inlineStr">
        <is>
          <t>SUNNE</t>
        </is>
      </c>
      <c r="G10406" t="n">
        <v>1.3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28025-2023</t>
        </is>
      </c>
      <c r="B10407" s="1" t="n">
        <v>45099</v>
      </c>
      <c r="C10407" s="1" t="n">
        <v>45810</v>
      </c>
      <c r="D10407" t="inlineStr">
        <is>
          <t>VÄRMLANDS LÄN</t>
        </is>
      </c>
      <c r="E10407" t="inlineStr">
        <is>
          <t>SUNNE</t>
        </is>
      </c>
      <c r="G10407" t="n">
        <v>5.6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29283-2023</t>
        </is>
      </c>
      <c r="B10408" s="1" t="n">
        <v>45098</v>
      </c>
      <c r="C10408" s="1" t="n">
        <v>45810</v>
      </c>
      <c r="D10408" t="inlineStr">
        <is>
          <t>VÄRMLANDS LÄN</t>
        </is>
      </c>
      <c r="E10408" t="inlineStr">
        <is>
          <t>KIL</t>
        </is>
      </c>
      <c r="G10408" t="n">
        <v>4.9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29749-2023</t>
        </is>
      </c>
      <c r="B10409" s="1" t="n">
        <v>45098</v>
      </c>
      <c r="C10409" s="1" t="n">
        <v>45810</v>
      </c>
      <c r="D10409" t="inlineStr">
        <is>
          <t>VÄRMLANDS LÄN</t>
        </is>
      </c>
      <c r="E10409" t="inlineStr">
        <is>
          <t>KARLSTAD</t>
        </is>
      </c>
      <c r="G10409" t="n">
        <v>0.9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28023-2023</t>
        </is>
      </c>
      <c r="B10410" s="1" t="n">
        <v>45099</v>
      </c>
      <c r="C10410" s="1" t="n">
        <v>45810</v>
      </c>
      <c r="D10410" t="inlineStr">
        <is>
          <t>VÄRMLANDS LÄN</t>
        </is>
      </c>
      <c r="E10410" t="inlineStr">
        <is>
          <t>SUNNE</t>
        </is>
      </c>
      <c r="G10410" t="n">
        <v>2.6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29554-2023</t>
        </is>
      </c>
      <c r="B10411" s="1" t="n">
        <v>45098</v>
      </c>
      <c r="C10411" s="1" t="n">
        <v>45810</v>
      </c>
      <c r="D10411" t="inlineStr">
        <is>
          <t>VÄRMLANDS LÄN</t>
        </is>
      </c>
      <c r="E10411" t="inlineStr">
        <is>
          <t>KARLSTAD</t>
        </is>
      </c>
      <c r="G10411" t="n">
        <v>2.8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29550-2023</t>
        </is>
      </c>
      <c r="B10412" s="1" t="n">
        <v>45098</v>
      </c>
      <c r="C10412" s="1" t="n">
        <v>45810</v>
      </c>
      <c r="D10412" t="inlineStr">
        <is>
          <t>VÄRMLANDS LÄN</t>
        </is>
      </c>
      <c r="E10412" t="inlineStr">
        <is>
          <t>KARLSTAD</t>
        </is>
      </c>
      <c r="G10412" t="n">
        <v>6.9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28045-2023</t>
        </is>
      </c>
      <c r="B10413" s="1" t="n">
        <v>45099</v>
      </c>
      <c r="C10413" s="1" t="n">
        <v>45810</v>
      </c>
      <c r="D10413" t="inlineStr">
        <is>
          <t>VÄRMLANDS LÄN</t>
        </is>
      </c>
      <c r="E10413" t="inlineStr">
        <is>
          <t>TORSBY</t>
        </is>
      </c>
      <c r="F10413" t="inlineStr">
        <is>
          <t>Bergvik skog väst AB</t>
        </is>
      </c>
      <c r="G10413" t="n">
        <v>11.5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28046-2023</t>
        </is>
      </c>
      <c r="B10414" s="1" t="n">
        <v>45099</v>
      </c>
      <c r="C10414" s="1" t="n">
        <v>45810</v>
      </c>
      <c r="D10414" t="inlineStr">
        <is>
          <t>VÄRMLANDS LÄN</t>
        </is>
      </c>
      <c r="E10414" t="inlineStr">
        <is>
          <t>ARVIKA</t>
        </is>
      </c>
      <c r="G10414" t="n">
        <v>2.4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28074-2023</t>
        </is>
      </c>
      <c r="B10415" s="1" t="n">
        <v>45099</v>
      </c>
      <c r="C10415" s="1" t="n">
        <v>45810</v>
      </c>
      <c r="D10415" t="inlineStr">
        <is>
          <t>VÄRMLANDS LÄN</t>
        </is>
      </c>
      <c r="E10415" t="inlineStr">
        <is>
          <t>TORSBY</t>
        </is>
      </c>
      <c r="G10415" t="n">
        <v>4.8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28092-2023</t>
        </is>
      </c>
      <c r="B10416" s="1" t="n">
        <v>45099</v>
      </c>
      <c r="C10416" s="1" t="n">
        <v>45810</v>
      </c>
      <c r="D10416" t="inlineStr">
        <is>
          <t>VÄRMLANDS LÄN</t>
        </is>
      </c>
      <c r="E10416" t="inlineStr">
        <is>
          <t>TORSBY</t>
        </is>
      </c>
      <c r="F10416" t="inlineStr">
        <is>
          <t>Bergvik skog väst AB</t>
        </is>
      </c>
      <c r="G10416" t="n">
        <v>2.1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28056-2023</t>
        </is>
      </c>
      <c r="B10417" s="1" t="n">
        <v>45099</v>
      </c>
      <c r="C10417" s="1" t="n">
        <v>45810</v>
      </c>
      <c r="D10417" t="inlineStr">
        <is>
          <t>VÄRMLANDS LÄN</t>
        </is>
      </c>
      <c r="E10417" t="inlineStr">
        <is>
          <t>KARLSTAD</t>
        </is>
      </c>
      <c r="G10417" t="n">
        <v>9.1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28167-2023</t>
        </is>
      </c>
      <c r="B10418" s="1" t="n">
        <v>45099</v>
      </c>
      <c r="C10418" s="1" t="n">
        <v>45810</v>
      </c>
      <c r="D10418" t="inlineStr">
        <is>
          <t>VÄRMLANDS LÄN</t>
        </is>
      </c>
      <c r="E10418" t="inlineStr">
        <is>
          <t>EDA</t>
        </is>
      </c>
      <c r="G10418" t="n">
        <v>3.9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28064-2023</t>
        </is>
      </c>
      <c r="B10419" s="1" t="n">
        <v>45099</v>
      </c>
      <c r="C10419" s="1" t="n">
        <v>45810</v>
      </c>
      <c r="D10419" t="inlineStr">
        <is>
          <t>VÄRMLANDS LÄN</t>
        </is>
      </c>
      <c r="E10419" t="inlineStr">
        <is>
          <t>ARVIKA</t>
        </is>
      </c>
      <c r="G10419" t="n">
        <v>2.9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28081-2023</t>
        </is>
      </c>
      <c r="B10420" s="1" t="n">
        <v>45099</v>
      </c>
      <c r="C10420" s="1" t="n">
        <v>45810</v>
      </c>
      <c r="D10420" t="inlineStr">
        <is>
          <t>VÄRMLANDS LÄN</t>
        </is>
      </c>
      <c r="E10420" t="inlineStr">
        <is>
          <t>ARVIKA</t>
        </is>
      </c>
      <c r="G10420" t="n">
        <v>19.4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28212-2023</t>
        </is>
      </c>
      <c r="B10421" s="1" t="n">
        <v>45099</v>
      </c>
      <c r="C10421" s="1" t="n">
        <v>45810</v>
      </c>
      <c r="D10421" t="inlineStr">
        <is>
          <t>VÄRMLANDS LÄN</t>
        </is>
      </c>
      <c r="E10421" t="inlineStr">
        <is>
          <t>KARLSTAD</t>
        </is>
      </c>
      <c r="G10421" t="n">
        <v>4.5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28172-2023</t>
        </is>
      </c>
      <c r="B10422" s="1" t="n">
        <v>45099</v>
      </c>
      <c r="C10422" s="1" t="n">
        <v>45810</v>
      </c>
      <c r="D10422" t="inlineStr">
        <is>
          <t>VÄRMLANDS LÄN</t>
        </is>
      </c>
      <c r="E10422" t="inlineStr">
        <is>
          <t>HAGFORS</t>
        </is>
      </c>
      <c r="F10422" t="inlineStr">
        <is>
          <t>Bergvik skog väst AB</t>
        </is>
      </c>
      <c r="G10422" t="n">
        <v>4.3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28151-2023</t>
        </is>
      </c>
      <c r="B10423" s="1" t="n">
        <v>45099</v>
      </c>
      <c r="C10423" s="1" t="n">
        <v>45810</v>
      </c>
      <c r="D10423" t="inlineStr">
        <is>
          <t>VÄRMLANDS LÄN</t>
        </is>
      </c>
      <c r="E10423" t="inlineStr">
        <is>
          <t>SÄFFLE</t>
        </is>
      </c>
      <c r="G10423" t="n">
        <v>1.7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28156-2023</t>
        </is>
      </c>
      <c r="B10424" s="1" t="n">
        <v>45099</v>
      </c>
      <c r="C10424" s="1" t="n">
        <v>45810</v>
      </c>
      <c r="D10424" t="inlineStr">
        <is>
          <t>VÄRMLANDS LÄN</t>
        </is>
      </c>
      <c r="E10424" t="inlineStr">
        <is>
          <t>SÄFFLE</t>
        </is>
      </c>
      <c r="G10424" t="n">
        <v>0.9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28201-2023</t>
        </is>
      </c>
      <c r="B10425" s="1" t="n">
        <v>45099</v>
      </c>
      <c r="C10425" s="1" t="n">
        <v>45810</v>
      </c>
      <c r="D10425" t="inlineStr">
        <is>
          <t>VÄRMLANDS LÄN</t>
        </is>
      </c>
      <c r="E10425" t="inlineStr">
        <is>
          <t>KARLSTAD</t>
        </is>
      </c>
      <c r="G10425" t="n">
        <v>2.7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28181-2023</t>
        </is>
      </c>
      <c r="B10426" s="1" t="n">
        <v>45099</v>
      </c>
      <c r="C10426" s="1" t="n">
        <v>45810</v>
      </c>
      <c r="D10426" t="inlineStr">
        <is>
          <t>VÄRMLANDS LÄN</t>
        </is>
      </c>
      <c r="E10426" t="inlineStr">
        <is>
          <t>KARLSTAD</t>
        </is>
      </c>
      <c r="G10426" t="n">
        <v>14.6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28190-2023</t>
        </is>
      </c>
      <c r="B10427" s="1" t="n">
        <v>45099</v>
      </c>
      <c r="C10427" s="1" t="n">
        <v>45810</v>
      </c>
      <c r="D10427" t="inlineStr">
        <is>
          <t>VÄRMLANDS LÄN</t>
        </is>
      </c>
      <c r="E10427" t="inlineStr">
        <is>
          <t>KARLSTAD</t>
        </is>
      </c>
      <c r="G10427" t="n">
        <v>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28128-2023</t>
        </is>
      </c>
      <c r="B10428" s="1" t="n">
        <v>45099</v>
      </c>
      <c r="C10428" s="1" t="n">
        <v>45810</v>
      </c>
      <c r="D10428" t="inlineStr">
        <is>
          <t>VÄRMLANDS LÄN</t>
        </is>
      </c>
      <c r="E10428" t="inlineStr">
        <is>
          <t>EDA</t>
        </is>
      </c>
      <c r="G10428" t="n">
        <v>6.9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28223-2023</t>
        </is>
      </c>
      <c r="B10429" s="1" t="n">
        <v>45099</v>
      </c>
      <c r="C10429" s="1" t="n">
        <v>45810</v>
      </c>
      <c r="D10429" t="inlineStr">
        <is>
          <t>VÄRMLANDS LÄN</t>
        </is>
      </c>
      <c r="E10429" t="inlineStr">
        <is>
          <t>FILIPSTAD</t>
        </is>
      </c>
      <c r="F10429" t="inlineStr">
        <is>
          <t>Kommuner</t>
        </is>
      </c>
      <c r="G10429" t="n">
        <v>5.2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28136-2023</t>
        </is>
      </c>
      <c r="B10430" s="1" t="n">
        <v>45099</v>
      </c>
      <c r="C10430" s="1" t="n">
        <v>45810</v>
      </c>
      <c r="D10430" t="inlineStr">
        <is>
          <t>VÄRMLANDS LÄN</t>
        </is>
      </c>
      <c r="E10430" t="inlineStr">
        <is>
          <t>SÄFFLE</t>
        </is>
      </c>
      <c r="G10430" t="n">
        <v>1.6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28234-2023</t>
        </is>
      </c>
      <c r="B10431" s="1" t="n">
        <v>45099</v>
      </c>
      <c r="C10431" s="1" t="n">
        <v>45810</v>
      </c>
      <c r="D10431" t="inlineStr">
        <is>
          <t>VÄRMLANDS LÄN</t>
        </is>
      </c>
      <c r="E10431" t="inlineStr">
        <is>
          <t>FILIPSTAD</t>
        </is>
      </c>
      <c r="F10431" t="inlineStr">
        <is>
          <t>Kommuner</t>
        </is>
      </c>
      <c r="G10431" t="n">
        <v>2.7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28208-2023</t>
        </is>
      </c>
      <c r="B10432" s="1" t="n">
        <v>45099</v>
      </c>
      <c r="C10432" s="1" t="n">
        <v>45810</v>
      </c>
      <c r="D10432" t="inlineStr">
        <is>
          <t>VÄRMLANDS LÄN</t>
        </is>
      </c>
      <c r="E10432" t="inlineStr">
        <is>
          <t>KARLSTAD</t>
        </is>
      </c>
      <c r="G10432" t="n">
        <v>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28225-2023</t>
        </is>
      </c>
      <c r="B10433" s="1" t="n">
        <v>45099</v>
      </c>
      <c r="C10433" s="1" t="n">
        <v>45810</v>
      </c>
      <c r="D10433" t="inlineStr">
        <is>
          <t>VÄRMLANDS LÄN</t>
        </is>
      </c>
      <c r="E10433" t="inlineStr">
        <is>
          <t>HAGFORS</t>
        </is>
      </c>
      <c r="F10433" t="inlineStr">
        <is>
          <t>Bergvik skog väst AB</t>
        </is>
      </c>
      <c r="G10433" t="n">
        <v>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28229-2023</t>
        </is>
      </c>
      <c r="B10434" s="1" t="n">
        <v>45099</v>
      </c>
      <c r="C10434" s="1" t="n">
        <v>45810</v>
      </c>
      <c r="D10434" t="inlineStr">
        <is>
          <t>VÄRMLANDS LÄN</t>
        </is>
      </c>
      <c r="E10434" t="inlineStr">
        <is>
          <t>FILIPSTAD</t>
        </is>
      </c>
      <c r="F10434" t="inlineStr">
        <is>
          <t>Kommuner</t>
        </is>
      </c>
      <c r="G10434" t="n">
        <v>12.7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28261-2023</t>
        </is>
      </c>
      <c r="B10435" s="1" t="n">
        <v>45099</v>
      </c>
      <c r="C10435" s="1" t="n">
        <v>45810</v>
      </c>
      <c r="D10435" t="inlineStr">
        <is>
          <t>VÄRMLANDS LÄN</t>
        </is>
      </c>
      <c r="E10435" t="inlineStr">
        <is>
          <t>SÄFFLE</t>
        </is>
      </c>
      <c r="G10435" t="n">
        <v>0.9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28251-2023</t>
        </is>
      </c>
      <c r="B10436" s="1" t="n">
        <v>45099</v>
      </c>
      <c r="C10436" s="1" t="n">
        <v>45810</v>
      </c>
      <c r="D10436" t="inlineStr">
        <is>
          <t>VÄRMLANDS LÄN</t>
        </is>
      </c>
      <c r="E10436" t="inlineStr">
        <is>
          <t>TORSBY</t>
        </is>
      </c>
      <c r="G10436" t="n">
        <v>2.8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28277-2023</t>
        </is>
      </c>
      <c r="B10437" s="1" t="n">
        <v>45099</v>
      </c>
      <c r="C10437" s="1" t="n">
        <v>45810</v>
      </c>
      <c r="D10437" t="inlineStr">
        <is>
          <t>VÄRMLANDS LÄN</t>
        </is>
      </c>
      <c r="E10437" t="inlineStr">
        <is>
          <t>SÄFFLE</t>
        </is>
      </c>
      <c r="G10437" t="n">
        <v>3.3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28287-2023</t>
        </is>
      </c>
      <c r="B10438" s="1" t="n">
        <v>45099</v>
      </c>
      <c r="C10438" s="1" t="n">
        <v>45810</v>
      </c>
      <c r="D10438" t="inlineStr">
        <is>
          <t>VÄRMLANDS LÄN</t>
        </is>
      </c>
      <c r="E10438" t="inlineStr">
        <is>
          <t>SÄFFLE</t>
        </is>
      </c>
      <c r="G10438" t="n">
        <v>1.4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28317-2023</t>
        </is>
      </c>
      <c r="B10439" s="1" t="n">
        <v>45099</v>
      </c>
      <c r="C10439" s="1" t="n">
        <v>45810</v>
      </c>
      <c r="D10439" t="inlineStr">
        <is>
          <t>VÄRMLANDS LÄN</t>
        </is>
      </c>
      <c r="E10439" t="inlineStr">
        <is>
          <t>ÅRJÄNG</t>
        </is>
      </c>
      <c r="G10439" t="n">
        <v>10.2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28321-2023</t>
        </is>
      </c>
      <c r="B10440" s="1" t="n">
        <v>45099</v>
      </c>
      <c r="C10440" s="1" t="n">
        <v>45810</v>
      </c>
      <c r="D10440" t="inlineStr">
        <is>
          <t>VÄRMLANDS LÄN</t>
        </is>
      </c>
      <c r="E10440" t="inlineStr">
        <is>
          <t>FORSHAGA</t>
        </is>
      </c>
      <c r="G10440" t="n">
        <v>1.9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30142-2023</t>
        </is>
      </c>
      <c r="B10441" s="1" t="n">
        <v>45099</v>
      </c>
      <c r="C10441" s="1" t="n">
        <v>45810</v>
      </c>
      <c r="D10441" t="inlineStr">
        <is>
          <t>VÄRMLANDS LÄN</t>
        </is>
      </c>
      <c r="E10441" t="inlineStr">
        <is>
          <t>TORSBY</t>
        </is>
      </c>
      <c r="G10441" t="n">
        <v>1.7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30148-2023</t>
        </is>
      </c>
      <c r="B10442" s="1" t="n">
        <v>45099</v>
      </c>
      <c r="C10442" s="1" t="n">
        <v>45810</v>
      </c>
      <c r="D10442" t="inlineStr">
        <is>
          <t>VÄRMLANDS LÄN</t>
        </is>
      </c>
      <c r="E10442" t="inlineStr">
        <is>
          <t>TORSBY</t>
        </is>
      </c>
      <c r="G10442" t="n">
        <v>3.7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30151-2023</t>
        </is>
      </c>
      <c r="B10443" s="1" t="n">
        <v>45099</v>
      </c>
      <c r="C10443" s="1" t="n">
        <v>45810</v>
      </c>
      <c r="D10443" t="inlineStr">
        <is>
          <t>VÄRMLANDS LÄN</t>
        </is>
      </c>
      <c r="E10443" t="inlineStr">
        <is>
          <t>TORSBY</t>
        </is>
      </c>
      <c r="G10443" t="n">
        <v>3.8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28499-2023</t>
        </is>
      </c>
      <c r="B10444" s="1" t="n">
        <v>45103</v>
      </c>
      <c r="C10444" s="1" t="n">
        <v>45810</v>
      </c>
      <c r="D10444" t="inlineStr">
        <is>
          <t>VÄRMLANDS LÄN</t>
        </is>
      </c>
      <c r="E10444" t="inlineStr">
        <is>
          <t>SUNNE</t>
        </is>
      </c>
      <c r="G10444" t="n">
        <v>1.9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28530-2023</t>
        </is>
      </c>
      <c r="B10445" s="1" t="n">
        <v>45103</v>
      </c>
      <c r="C10445" s="1" t="n">
        <v>45810</v>
      </c>
      <c r="D10445" t="inlineStr">
        <is>
          <t>VÄRMLANDS LÄN</t>
        </is>
      </c>
      <c r="E10445" t="inlineStr">
        <is>
          <t>KARLSTAD</t>
        </is>
      </c>
      <c r="G10445" t="n">
        <v>3.3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28584-2023</t>
        </is>
      </c>
      <c r="B10446" s="1" t="n">
        <v>45103</v>
      </c>
      <c r="C10446" s="1" t="n">
        <v>45810</v>
      </c>
      <c r="D10446" t="inlineStr">
        <is>
          <t>VÄRMLANDS LÄN</t>
        </is>
      </c>
      <c r="E10446" t="inlineStr">
        <is>
          <t>HAGFORS</t>
        </is>
      </c>
      <c r="G10446" t="n">
        <v>3.4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28594-2023</t>
        </is>
      </c>
      <c r="B10447" s="1" t="n">
        <v>45103</v>
      </c>
      <c r="C10447" s="1" t="n">
        <v>45810</v>
      </c>
      <c r="D10447" t="inlineStr">
        <is>
          <t>VÄRMLANDS LÄN</t>
        </is>
      </c>
      <c r="E10447" t="inlineStr">
        <is>
          <t>HAGFORS</t>
        </is>
      </c>
      <c r="G10447" t="n">
        <v>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28598-2023</t>
        </is>
      </c>
      <c r="B10448" s="1" t="n">
        <v>45103</v>
      </c>
      <c r="C10448" s="1" t="n">
        <v>45810</v>
      </c>
      <c r="D10448" t="inlineStr">
        <is>
          <t>VÄRMLANDS LÄN</t>
        </is>
      </c>
      <c r="E10448" t="inlineStr">
        <is>
          <t>TORSBY</t>
        </is>
      </c>
      <c r="G10448" t="n">
        <v>1.9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28627-2023</t>
        </is>
      </c>
      <c r="B10449" s="1" t="n">
        <v>45103</v>
      </c>
      <c r="C10449" s="1" t="n">
        <v>45810</v>
      </c>
      <c r="D10449" t="inlineStr">
        <is>
          <t>VÄRMLANDS LÄN</t>
        </is>
      </c>
      <c r="E10449" t="inlineStr">
        <is>
          <t>ARVIKA</t>
        </is>
      </c>
      <c r="F10449" t="inlineStr">
        <is>
          <t>Bergvik skog väst AB</t>
        </is>
      </c>
      <c r="G10449" t="n">
        <v>2.3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28586-2023</t>
        </is>
      </c>
      <c r="B10450" s="1" t="n">
        <v>45103</v>
      </c>
      <c r="C10450" s="1" t="n">
        <v>45810</v>
      </c>
      <c r="D10450" t="inlineStr">
        <is>
          <t>VÄRMLANDS LÄN</t>
        </is>
      </c>
      <c r="E10450" t="inlineStr">
        <is>
          <t>HAGFORS</t>
        </is>
      </c>
      <c r="G10450" t="n">
        <v>1.1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28654-2023</t>
        </is>
      </c>
      <c r="B10451" s="1" t="n">
        <v>45103</v>
      </c>
      <c r="C10451" s="1" t="n">
        <v>45810</v>
      </c>
      <c r="D10451" t="inlineStr">
        <is>
          <t>VÄRMLANDS LÄN</t>
        </is>
      </c>
      <c r="E10451" t="inlineStr">
        <is>
          <t>HAGFORS</t>
        </is>
      </c>
      <c r="G10451" t="n">
        <v>0.8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28613-2023</t>
        </is>
      </c>
      <c r="B10452" s="1" t="n">
        <v>45103</v>
      </c>
      <c r="C10452" s="1" t="n">
        <v>45810</v>
      </c>
      <c r="D10452" t="inlineStr">
        <is>
          <t>VÄRMLANDS LÄN</t>
        </is>
      </c>
      <c r="E10452" t="inlineStr">
        <is>
          <t>HAGFORS</t>
        </is>
      </c>
      <c r="F10452" t="inlineStr">
        <is>
          <t>Bergvik skog väst AB</t>
        </is>
      </c>
      <c r="G10452" t="n">
        <v>34.9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28686-2023</t>
        </is>
      </c>
      <c r="B10453" s="1" t="n">
        <v>45103</v>
      </c>
      <c r="C10453" s="1" t="n">
        <v>45810</v>
      </c>
      <c r="D10453" t="inlineStr">
        <is>
          <t>VÄRMLANDS LÄN</t>
        </is>
      </c>
      <c r="E10453" t="inlineStr">
        <is>
          <t>FILIPSTAD</t>
        </is>
      </c>
      <c r="G10453" t="n">
        <v>3.9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28618-2023</t>
        </is>
      </c>
      <c r="B10454" s="1" t="n">
        <v>45103</v>
      </c>
      <c r="C10454" s="1" t="n">
        <v>45810</v>
      </c>
      <c r="D10454" t="inlineStr">
        <is>
          <t>VÄRMLANDS LÄN</t>
        </is>
      </c>
      <c r="E10454" t="inlineStr">
        <is>
          <t>KIL</t>
        </is>
      </c>
      <c r="G10454" t="n">
        <v>15.7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28652-2023</t>
        </is>
      </c>
      <c r="B10455" s="1" t="n">
        <v>45103</v>
      </c>
      <c r="C10455" s="1" t="n">
        <v>45810</v>
      </c>
      <c r="D10455" t="inlineStr">
        <is>
          <t>VÄRMLANDS LÄN</t>
        </is>
      </c>
      <c r="E10455" t="inlineStr">
        <is>
          <t>TORSBY</t>
        </is>
      </c>
      <c r="F10455" t="inlineStr">
        <is>
          <t>Bergvik skog väst AB</t>
        </is>
      </c>
      <c r="G10455" t="n">
        <v>0.9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28773-2023</t>
        </is>
      </c>
      <c r="B10456" s="1" t="n">
        <v>45104</v>
      </c>
      <c r="C10456" s="1" t="n">
        <v>45810</v>
      </c>
      <c r="D10456" t="inlineStr">
        <is>
          <t>VÄRMLANDS LÄN</t>
        </is>
      </c>
      <c r="E10456" t="inlineStr">
        <is>
          <t>ARVIKA</t>
        </is>
      </c>
      <c r="G10456" t="n">
        <v>2.2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28818-2023</t>
        </is>
      </c>
      <c r="B10457" s="1" t="n">
        <v>45104</v>
      </c>
      <c r="C10457" s="1" t="n">
        <v>45810</v>
      </c>
      <c r="D10457" t="inlineStr">
        <is>
          <t>VÄRMLANDS LÄN</t>
        </is>
      </c>
      <c r="E10457" t="inlineStr">
        <is>
          <t>TORSBY</t>
        </is>
      </c>
      <c r="G10457" t="n">
        <v>3.2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28869-2023</t>
        </is>
      </c>
      <c r="B10458" s="1" t="n">
        <v>45104</v>
      </c>
      <c r="C10458" s="1" t="n">
        <v>45810</v>
      </c>
      <c r="D10458" t="inlineStr">
        <is>
          <t>VÄRMLANDS LÄN</t>
        </is>
      </c>
      <c r="E10458" t="inlineStr">
        <is>
          <t>TORSBY</t>
        </is>
      </c>
      <c r="F10458" t="inlineStr">
        <is>
          <t>Bergvik skog väst AB</t>
        </is>
      </c>
      <c r="G10458" t="n">
        <v>5.6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28904-2023</t>
        </is>
      </c>
      <c r="B10459" s="1" t="n">
        <v>45104</v>
      </c>
      <c r="C10459" s="1" t="n">
        <v>45810</v>
      </c>
      <c r="D10459" t="inlineStr">
        <is>
          <t>VÄRMLANDS LÄN</t>
        </is>
      </c>
      <c r="E10459" t="inlineStr">
        <is>
          <t>EDA</t>
        </is>
      </c>
      <c r="G10459" t="n">
        <v>0.8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28936-2023</t>
        </is>
      </c>
      <c r="B10460" s="1" t="n">
        <v>45104</v>
      </c>
      <c r="C10460" s="1" t="n">
        <v>45810</v>
      </c>
      <c r="D10460" t="inlineStr">
        <is>
          <t>VÄRMLANDS LÄN</t>
        </is>
      </c>
      <c r="E10460" t="inlineStr">
        <is>
          <t>EDA</t>
        </is>
      </c>
      <c r="G10460" t="n">
        <v>1.7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28948-2023</t>
        </is>
      </c>
      <c r="B10461" s="1" t="n">
        <v>45104</v>
      </c>
      <c r="C10461" s="1" t="n">
        <v>45810</v>
      </c>
      <c r="D10461" t="inlineStr">
        <is>
          <t>VÄRMLANDS LÄN</t>
        </is>
      </c>
      <c r="E10461" t="inlineStr">
        <is>
          <t>TORSBY</t>
        </is>
      </c>
      <c r="G10461" t="n">
        <v>0.6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29001-2023</t>
        </is>
      </c>
      <c r="B10462" s="1" t="n">
        <v>45104</v>
      </c>
      <c r="C10462" s="1" t="n">
        <v>45810</v>
      </c>
      <c r="D10462" t="inlineStr">
        <is>
          <t>VÄRMLANDS LÄN</t>
        </is>
      </c>
      <c r="E10462" t="inlineStr">
        <is>
          <t>SUNNE</t>
        </is>
      </c>
      <c r="G10462" t="n">
        <v>3.7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29017-2023</t>
        </is>
      </c>
      <c r="B10463" s="1" t="n">
        <v>45104</v>
      </c>
      <c r="C10463" s="1" t="n">
        <v>45810</v>
      </c>
      <c r="D10463" t="inlineStr">
        <is>
          <t>VÄRMLANDS LÄN</t>
        </is>
      </c>
      <c r="E10463" t="inlineStr">
        <is>
          <t>KRISTINEHAMN</t>
        </is>
      </c>
      <c r="G10463" t="n">
        <v>5.6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28864-2023</t>
        </is>
      </c>
      <c r="B10464" s="1" t="n">
        <v>45104</v>
      </c>
      <c r="C10464" s="1" t="n">
        <v>45810</v>
      </c>
      <c r="D10464" t="inlineStr">
        <is>
          <t>VÄRMLANDS LÄN</t>
        </is>
      </c>
      <c r="E10464" t="inlineStr">
        <is>
          <t>ÅRJÄNG</t>
        </is>
      </c>
      <c r="G10464" t="n">
        <v>2.9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28976-2023</t>
        </is>
      </c>
      <c r="B10465" s="1" t="n">
        <v>45104</v>
      </c>
      <c r="C10465" s="1" t="n">
        <v>45810</v>
      </c>
      <c r="D10465" t="inlineStr">
        <is>
          <t>VÄRMLANDS LÄN</t>
        </is>
      </c>
      <c r="E10465" t="inlineStr">
        <is>
          <t>SUNNE</t>
        </is>
      </c>
      <c r="G10465" t="n">
        <v>1.4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28994-2023</t>
        </is>
      </c>
      <c r="B10466" s="1" t="n">
        <v>45104</v>
      </c>
      <c r="C10466" s="1" t="n">
        <v>45810</v>
      </c>
      <c r="D10466" t="inlineStr">
        <is>
          <t>VÄRMLANDS LÄN</t>
        </is>
      </c>
      <c r="E10466" t="inlineStr">
        <is>
          <t>STORFORS</t>
        </is>
      </c>
      <c r="G10466" t="n">
        <v>1.9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29002-2023</t>
        </is>
      </c>
      <c r="B10467" s="1" t="n">
        <v>45104</v>
      </c>
      <c r="C10467" s="1" t="n">
        <v>45810</v>
      </c>
      <c r="D10467" t="inlineStr">
        <is>
          <t>VÄRMLANDS LÄN</t>
        </is>
      </c>
      <c r="E10467" t="inlineStr">
        <is>
          <t>STORFORS</t>
        </is>
      </c>
      <c r="G10467" t="n">
        <v>1.1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28814-2023</t>
        </is>
      </c>
      <c r="B10468" s="1" t="n">
        <v>45104</v>
      </c>
      <c r="C10468" s="1" t="n">
        <v>45810</v>
      </c>
      <c r="D10468" t="inlineStr">
        <is>
          <t>VÄRMLANDS LÄN</t>
        </is>
      </c>
      <c r="E10468" t="inlineStr">
        <is>
          <t>TORSBY</t>
        </is>
      </c>
      <c r="G10468" t="n">
        <v>14.3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28833-2023</t>
        </is>
      </c>
      <c r="B10469" s="1" t="n">
        <v>45104</v>
      </c>
      <c r="C10469" s="1" t="n">
        <v>45810</v>
      </c>
      <c r="D10469" t="inlineStr">
        <is>
          <t>VÄRMLANDS LÄN</t>
        </is>
      </c>
      <c r="E10469" t="inlineStr">
        <is>
          <t>ARVIKA</t>
        </is>
      </c>
      <c r="G10469" t="n">
        <v>1.1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28925-2023</t>
        </is>
      </c>
      <c r="B10470" s="1" t="n">
        <v>45104</v>
      </c>
      <c r="C10470" s="1" t="n">
        <v>45810</v>
      </c>
      <c r="D10470" t="inlineStr">
        <is>
          <t>VÄRMLANDS LÄN</t>
        </is>
      </c>
      <c r="E10470" t="inlineStr">
        <is>
          <t>SUNNE</t>
        </is>
      </c>
      <c r="G10470" t="n">
        <v>3.7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28992-2023</t>
        </is>
      </c>
      <c r="B10471" s="1" t="n">
        <v>45104</v>
      </c>
      <c r="C10471" s="1" t="n">
        <v>45810</v>
      </c>
      <c r="D10471" t="inlineStr">
        <is>
          <t>VÄRMLANDS LÄN</t>
        </is>
      </c>
      <c r="E10471" t="inlineStr">
        <is>
          <t>KARLSTAD</t>
        </is>
      </c>
      <c r="G10471" t="n">
        <v>1.6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28996-2023</t>
        </is>
      </c>
      <c r="B10472" s="1" t="n">
        <v>45104</v>
      </c>
      <c r="C10472" s="1" t="n">
        <v>45810</v>
      </c>
      <c r="D10472" t="inlineStr">
        <is>
          <t>VÄRMLANDS LÄN</t>
        </is>
      </c>
      <c r="E10472" t="inlineStr">
        <is>
          <t>KARLSTAD</t>
        </is>
      </c>
      <c r="G10472" t="n">
        <v>0.8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29020-2023</t>
        </is>
      </c>
      <c r="B10473" s="1" t="n">
        <v>45104</v>
      </c>
      <c r="C10473" s="1" t="n">
        <v>45810</v>
      </c>
      <c r="D10473" t="inlineStr">
        <is>
          <t>VÄRMLANDS LÄN</t>
        </is>
      </c>
      <c r="E10473" t="inlineStr">
        <is>
          <t>ARVIKA</t>
        </is>
      </c>
      <c r="G10473" t="n">
        <v>2.9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29043-2023</t>
        </is>
      </c>
      <c r="B10474" s="1" t="n">
        <v>45104</v>
      </c>
      <c r="C10474" s="1" t="n">
        <v>45810</v>
      </c>
      <c r="D10474" t="inlineStr">
        <is>
          <t>VÄRMLANDS LÄN</t>
        </is>
      </c>
      <c r="E10474" t="inlineStr">
        <is>
          <t>TORSBY</t>
        </is>
      </c>
      <c r="G10474" t="n">
        <v>1.5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29042-2023</t>
        </is>
      </c>
      <c r="B10475" s="1" t="n">
        <v>45104</v>
      </c>
      <c r="C10475" s="1" t="n">
        <v>45810</v>
      </c>
      <c r="D10475" t="inlineStr">
        <is>
          <t>VÄRMLANDS LÄN</t>
        </is>
      </c>
      <c r="E10475" t="inlineStr">
        <is>
          <t>TORSBY</t>
        </is>
      </c>
      <c r="G10475" t="n">
        <v>2.8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29101-2023</t>
        </is>
      </c>
      <c r="B10476" s="1" t="n">
        <v>45105</v>
      </c>
      <c r="C10476" s="1" t="n">
        <v>45810</v>
      </c>
      <c r="D10476" t="inlineStr">
        <is>
          <t>VÄRMLANDS LÄN</t>
        </is>
      </c>
      <c r="E10476" t="inlineStr">
        <is>
          <t>SUNNE</t>
        </is>
      </c>
      <c r="G10476" t="n">
        <v>7.9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29137-2023</t>
        </is>
      </c>
      <c r="B10477" s="1" t="n">
        <v>45105</v>
      </c>
      <c r="C10477" s="1" t="n">
        <v>45810</v>
      </c>
      <c r="D10477" t="inlineStr">
        <is>
          <t>VÄRMLANDS LÄN</t>
        </is>
      </c>
      <c r="E10477" t="inlineStr">
        <is>
          <t>TORSBY</t>
        </is>
      </c>
      <c r="G10477" t="n">
        <v>2.2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29230-2023</t>
        </is>
      </c>
      <c r="B10478" s="1" t="n">
        <v>45105</v>
      </c>
      <c r="C10478" s="1" t="n">
        <v>45810</v>
      </c>
      <c r="D10478" t="inlineStr">
        <is>
          <t>VÄRMLANDS LÄN</t>
        </is>
      </c>
      <c r="E10478" t="inlineStr">
        <is>
          <t>EDA</t>
        </is>
      </c>
      <c r="G10478" t="n">
        <v>0.8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29261-2023</t>
        </is>
      </c>
      <c r="B10479" s="1" t="n">
        <v>45105</v>
      </c>
      <c r="C10479" s="1" t="n">
        <v>45810</v>
      </c>
      <c r="D10479" t="inlineStr">
        <is>
          <t>VÄRMLANDS LÄN</t>
        </is>
      </c>
      <c r="E10479" t="inlineStr">
        <is>
          <t>ÅRJÄNG</t>
        </is>
      </c>
      <c r="G10479" t="n">
        <v>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29211-2023</t>
        </is>
      </c>
      <c r="B10480" s="1" t="n">
        <v>45105</v>
      </c>
      <c r="C10480" s="1" t="n">
        <v>45810</v>
      </c>
      <c r="D10480" t="inlineStr">
        <is>
          <t>VÄRMLANDS LÄN</t>
        </is>
      </c>
      <c r="E10480" t="inlineStr">
        <is>
          <t>SUNNE</t>
        </is>
      </c>
      <c r="G10480" t="n">
        <v>1.2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29216-2023</t>
        </is>
      </c>
      <c r="B10481" s="1" t="n">
        <v>45105</v>
      </c>
      <c r="C10481" s="1" t="n">
        <v>45810</v>
      </c>
      <c r="D10481" t="inlineStr">
        <is>
          <t>VÄRMLANDS LÄN</t>
        </is>
      </c>
      <c r="E10481" t="inlineStr">
        <is>
          <t>SUNNE</t>
        </is>
      </c>
      <c r="G10481" t="n">
        <v>6.8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29204-2023</t>
        </is>
      </c>
      <c r="B10482" s="1" t="n">
        <v>45105</v>
      </c>
      <c r="C10482" s="1" t="n">
        <v>45810</v>
      </c>
      <c r="D10482" t="inlineStr">
        <is>
          <t>VÄRMLANDS LÄN</t>
        </is>
      </c>
      <c r="E10482" t="inlineStr">
        <is>
          <t>ÅRJÄNG</t>
        </is>
      </c>
      <c r="G10482" t="n">
        <v>1.5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29228-2023</t>
        </is>
      </c>
      <c r="B10483" s="1" t="n">
        <v>45105</v>
      </c>
      <c r="C10483" s="1" t="n">
        <v>45810</v>
      </c>
      <c r="D10483" t="inlineStr">
        <is>
          <t>VÄRMLANDS LÄN</t>
        </is>
      </c>
      <c r="E10483" t="inlineStr">
        <is>
          <t>EDA</t>
        </is>
      </c>
      <c r="G10483" t="n">
        <v>2.3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29256-2023</t>
        </is>
      </c>
      <c r="B10484" s="1" t="n">
        <v>45105</v>
      </c>
      <c r="C10484" s="1" t="n">
        <v>45810</v>
      </c>
      <c r="D10484" t="inlineStr">
        <is>
          <t>VÄRMLANDS LÄN</t>
        </is>
      </c>
      <c r="E10484" t="inlineStr">
        <is>
          <t>TORSBY</t>
        </is>
      </c>
      <c r="G10484" t="n">
        <v>1.3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29271-2023</t>
        </is>
      </c>
      <c r="B10485" s="1" t="n">
        <v>45105</v>
      </c>
      <c r="C10485" s="1" t="n">
        <v>45810</v>
      </c>
      <c r="D10485" t="inlineStr">
        <is>
          <t>VÄRMLANDS LÄN</t>
        </is>
      </c>
      <c r="E10485" t="inlineStr">
        <is>
          <t>ARVIKA</t>
        </is>
      </c>
      <c r="G10485" t="n">
        <v>1.4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29286-2023</t>
        </is>
      </c>
      <c r="B10486" s="1" t="n">
        <v>45105</v>
      </c>
      <c r="C10486" s="1" t="n">
        <v>45810</v>
      </c>
      <c r="D10486" t="inlineStr">
        <is>
          <t>VÄRMLANDS LÄN</t>
        </is>
      </c>
      <c r="E10486" t="inlineStr">
        <is>
          <t>ÅRJÄNG</t>
        </is>
      </c>
      <c r="G10486" t="n">
        <v>2.2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29173-2023</t>
        </is>
      </c>
      <c r="B10487" s="1" t="n">
        <v>45105</v>
      </c>
      <c r="C10487" s="1" t="n">
        <v>45810</v>
      </c>
      <c r="D10487" t="inlineStr">
        <is>
          <t>VÄRMLANDS LÄN</t>
        </is>
      </c>
      <c r="E10487" t="inlineStr">
        <is>
          <t>SUNNE</t>
        </is>
      </c>
      <c r="G10487" t="n">
        <v>1.6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29202-2023</t>
        </is>
      </c>
      <c r="B10488" s="1" t="n">
        <v>45105</v>
      </c>
      <c r="C10488" s="1" t="n">
        <v>45810</v>
      </c>
      <c r="D10488" t="inlineStr">
        <is>
          <t>VÄRMLANDS LÄN</t>
        </is>
      </c>
      <c r="E10488" t="inlineStr">
        <is>
          <t>HAGFORS</t>
        </is>
      </c>
      <c r="F10488" t="inlineStr">
        <is>
          <t>Bergvik skog väst AB</t>
        </is>
      </c>
      <c r="G10488" t="n">
        <v>9.6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29221-2023</t>
        </is>
      </c>
      <c r="B10489" s="1" t="n">
        <v>45105</v>
      </c>
      <c r="C10489" s="1" t="n">
        <v>45810</v>
      </c>
      <c r="D10489" t="inlineStr">
        <is>
          <t>VÄRMLANDS LÄN</t>
        </is>
      </c>
      <c r="E10489" t="inlineStr">
        <is>
          <t>SÄFFLE</t>
        </is>
      </c>
      <c r="F10489" t="inlineStr">
        <is>
          <t>Bergvik skog väst AB</t>
        </is>
      </c>
      <c r="G10489" t="n">
        <v>3.1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29227-2023</t>
        </is>
      </c>
      <c r="B10490" s="1" t="n">
        <v>45105</v>
      </c>
      <c r="C10490" s="1" t="n">
        <v>45810</v>
      </c>
      <c r="D10490" t="inlineStr">
        <is>
          <t>VÄRMLANDS LÄN</t>
        </is>
      </c>
      <c r="E10490" t="inlineStr">
        <is>
          <t>KARLSTAD</t>
        </is>
      </c>
      <c r="G10490" t="n">
        <v>2.3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29231-2023</t>
        </is>
      </c>
      <c r="B10491" s="1" t="n">
        <v>45105</v>
      </c>
      <c r="C10491" s="1" t="n">
        <v>45810</v>
      </c>
      <c r="D10491" t="inlineStr">
        <is>
          <t>VÄRMLANDS LÄN</t>
        </is>
      </c>
      <c r="E10491" t="inlineStr">
        <is>
          <t>FORSHAGA</t>
        </is>
      </c>
      <c r="G10491" t="n">
        <v>1.9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29258-2023</t>
        </is>
      </c>
      <c r="B10492" s="1" t="n">
        <v>45105</v>
      </c>
      <c r="C10492" s="1" t="n">
        <v>45810</v>
      </c>
      <c r="D10492" t="inlineStr">
        <is>
          <t>VÄRMLANDS LÄN</t>
        </is>
      </c>
      <c r="E10492" t="inlineStr">
        <is>
          <t>SÄFFLE</t>
        </is>
      </c>
      <c r="F10492" t="inlineStr">
        <is>
          <t>Bergvik skog väst AB</t>
        </is>
      </c>
      <c r="G10492" t="n">
        <v>1.3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29263-2023</t>
        </is>
      </c>
      <c r="B10493" s="1" t="n">
        <v>45105</v>
      </c>
      <c r="C10493" s="1" t="n">
        <v>45810</v>
      </c>
      <c r="D10493" t="inlineStr">
        <is>
          <t>VÄRMLANDS LÄN</t>
        </is>
      </c>
      <c r="E10493" t="inlineStr">
        <is>
          <t>ÅRJÄNG</t>
        </is>
      </c>
      <c r="G10493" t="n">
        <v>2.5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29359-2023</t>
        </is>
      </c>
      <c r="B10494" s="1" t="n">
        <v>45106</v>
      </c>
      <c r="C10494" s="1" t="n">
        <v>45810</v>
      </c>
      <c r="D10494" t="inlineStr">
        <is>
          <t>VÄRMLANDS LÄN</t>
        </is>
      </c>
      <c r="E10494" t="inlineStr">
        <is>
          <t>KARLSTAD</t>
        </is>
      </c>
      <c r="G10494" t="n">
        <v>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29373-2023</t>
        </is>
      </c>
      <c r="B10495" s="1" t="n">
        <v>45106</v>
      </c>
      <c r="C10495" s="1" t="n">
        <v>45810</v>
      </c>
      <c r="D10495" t="inlineStr">
        <is>
          <t>VÄRMLANDS LÄN</t>
        </is>
      </c>
      <c r="E10495" t="inlineStr">
        <is>
          <t>HAGFORS</t>
        </is>
      </c>
      <c r="G10495" t="n">
        <v>1.6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29372-2023</t>
        </is>
      </c>
      <c r="B10496" s="1" t="n">
        <v>45106</v>
      </c>
      <c r="C10496" s="1" t="n">
        <v>45810</v>
      </c>
      <c r="D10496" t="inlineStr">
        <is>
          <t>VÄRMLANDS LÄN</t>
        </is>
      </c>
      <c r="E10496" t="inlineStr">
        <is>
          <t>HAGFORS</t>
        </is>
      </c>
      <c r="G10496" t="n">
        <v>0.7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29392-2023</t>
        </is>
      </c>
      <c r="B10497" s="1" t="n">
        <v>45106</v>
      </c>
      <c r="C10497" s="1" t="n">
        <v>45810</v>
      </c>
      <c r="D10497" t="inlineStr">
        <is>
          <t>VÄRMLANDS LÄN</t>
        </is>
      </c>
      <c r="E10497" t="inlineStr">
        <is>
          <t>ARVIKA</t>
        </is>
      </c>
      <c r="G10497" t="n">
        <v>1.2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29401-2023</t>
        </is>
      </c>
      <c r="B10498" s="1" t="n">
        <v>45106</v>
      </c>
      <c r="C10498" s="1" t="n">
        <v>45810</v>
      </c>
      <c r="D10498" t="inlineStr">
        <is>
          <t>VÄRMLANDS LÄN</t>
        </is>
      </c>
      <c r="E10498" t="inlineStr">
        <is>
          <t>EDA</t>
        </is>
      </c>
      <c r="G10498" t="n">
        <v>1.6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29429-2023</t>
        </is>
      </c>
      <c r="B10499" s="1" t="n">
        <v>45106</v>
      </c>
      <c r="C10499" s="1" t="n">
        <v>45810</v>
      </c>
      <c r="D10499" t="inlineStr">
        <is>
          <t>VÄRMLANDS LÄN</t>
        </is>
      </c>
      <c r="E10499" t="inlineStr">
        <is>
          <t>FILIPSTAD</t>
        </is>
      </c>
      <c r="F10499" t="inlineStr">
        <is>
          <t>Kyrkan</t>
        </is>
      </c>
      <c r="G10499" t="n">
        <v>1.8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29405-2023</t>
        </is>
      </c>
      <c r="B10500" s="1" t="n">
        <v>45106</v>
      </c>
      <c r="C10500" s="1" t="n">
        <v>45810</v>
      </c>
      <c r="D10500" t="inlineStr">
        <is>
          <t>VÄRMLANDS LÄN</t>
        </is>
      </c>
      <c r="E10500" t="inlineStr">
        <is>
          <t>ARVIKA</t>
        </is>
      </c>
      <c r="G10500" t="n">
        <v>3.8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29419-2023</t>
        </is>
      </c>
      <c r="B10501" s="1" t="n">
        <v>45106</v>
      </c>
      <c r="C10501" s="1" t="n">
        <v>45810</v>
      </c>
      <c r="D10501" t="inlineStr">
        <is>
          <t>VÄRMLANDS LÄN</t>
        </is>
      </c>
      <c r="E10501" t="inlineStr">
        <is>
          <t>STORFORS</t>
        </is>
      </c>
      <c r="F10501" t="inlineStr">
        <is>
          <t>Kyrkan</t>
        </is>
      </c>
      <c r="G10501" t="n">
        <v>1.7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29444-2023</t>
        </is>
      </c>
      <c r="B10502" s="1" t="n">
        <v>45106</v>
      </c>
      <c r="C10502" s="1" t="n">
        <v>45810</v>
      </c>
      <c r="D10502" t="inlineStr">
        <is>
          <t>VÄRMLANDS LÄN</t>
        </is>
      </c>
      <c r="E10502" t="inlineStr">
        <is>
          <t>FILIPSTAD</t>
        </is>
      </c>
      <c r="F10502" t="inlineStr">
        <is>
          <t>Bergvik skog väst AB</t>
        </is>
      </c>
      <c r="G10502" t="n">
        <v>14.1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29495-2023</t>
        </is>
      </c>
      <c r="B10503" s="1" t="n">
        <v>45106</v>
      </c>
      <c r="C10503" s="1" t="n">
        <v>45810</v>
      </c>
      <c r="D10503" t="inlineStr">
        <is>
          <t>VÄRMLANDS LÄN</t>
        </is>
      </c>
      <c r="E10503" t="inlineStr">
        <is>
          <t>STORFORS</t>
        </is>
      </c>
      <c r="F10503" t="inlineStr">
        <is>
          <t>Kyrkan</t>
        </is>
      </c>
      <c r="G10503" t="n">
        <v>0.9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29503-2023</t>
        </is>
      </c>
      <c r="B10504" s="1" t="n">
        <v>45106</v>
      </c>
      <c r="C10504" s="1" t="n">
        <v>45810</v>
      </c>
      <c r="D10504" t="inlineStr">
        <is>
          <t>VÄRMLANDS LÄN</t>
        </is>
      </c>
      <c r="E10504" t="inlineStr">
        <is>
          <t>KRISTINEHAMN</t>
        </is>
      </c>
      <c r="F10504" t="inlineStr">
        <is>
          <t>Sveaskog</t>
        </is>
      </c>
      <c r="G10504" t="n">
        <v>5.8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29376-2023</t>
        </is>
      </c>
      <c r="B10505" s="1" t="n">
        <v>45106</v>
      </c>
      <c r="C10505" s="1" t="n">
        <v>45810</v>
      </c>
      <c r="D10505" t="inlineStr">
        <is>
          <t>VÄRMLANDS LÄN</t>
        </is>
      </c>
      <c r="E10505" t="inlineStr">
        <is>
          <t>ÅRJÄNG</t>
        </is>
      </c>
      <c r="G10505" t="n">
        <v>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29384-2023</t>
        </is>
      </c>
      <c r="B10506" s="1" t="n">
        <v>45106</v>
      </c>
      <c r="C10506" s="1" t="n">
        <v>45810</v>
      </c>
      <c r="D10506" t="inlineStr">
        <is>
          <t>VÄRMLANDS LÄN</t>
        </is>
      </c>
      <c r="E10506" t="inlineStr">
        <is>
          <t>ARVIKA</t>
        </is>
      </c>
      <c r="G10506" t="n">
        <v>2.2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29393-2023</t>
        </is>
      </c>
      <c r="B10507" s="1" t="n">
        <v>45106</v>
      </c>
      <c r="C10507" s="1" t="n">
        <v>45810</v>
      </c>
      <c r="D10507" t="inlineStr">
        <is>
          <t>VÄRMLANDS LÄN</t>
        </is>
      </c>
      <c r="E10507" t="inlineStr">
        <is>
          <t>ARVIKA</t>
        </is>
      </c>
      <c r="G10507" t="n">
        <v>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29397-2023</t>
        </is>
      </c>
      <c r="B10508" s="1" t="n">
        <v>45106</v>
      </c>
      <c r="C10508" s="1" t="n">
        <v>45810</v>
      </c>
      <c r="D10508" t="inlineStr">
        <is>
          <t>VÄRMLANDS LÄN</t>
        </is>
      </c>
      <c r="E10508" t="inlineStr">
        <is>
          <t>ÅRJÄNG</t>
        </is>
      </c>
      <c r="G10508" t="n">
        <v>2.3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29506-2023</t>
        </is>
      </c>
      <c r="B10509" s="1" t="n">
        <v>45106</v>
      </c>
      <c r="C10509" s="1" t="n">
        <v>45810</v>
      </c>
      <c r="D10509" t="inlineStr">
        <is>
          <t>VÄRMLANDS LÄN</t>
        </is>
      </c>
      <c r="E10509" t="inlineStr">
        <is>
          <t>TORSBY</t>
        </is>
      </c>
      <c r="G10509" t="n">
        <v>4.8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29426-2023</t>
        </is>
      </c>
      <c r="B10510" s="1" t="n">
        <v>45106</v>
      </c>
      <c r="C10510" s="1" t="n">
        <v>45810</v>
      </c>
      <c r="D10510" t="inlineStr">
        <is>
          <t>VÄRMLANDS LÄN</t>
        </is>
      </c>
      <c r="E10510" t="inlineStr">
        <is>
          <t>FILIPSTAD</t>
        </is>
      </c>
      <c r="F10510" t="inlineStr">
        <is>
          <t>Kyrkan</t>
        </is>
      </c>
      <c r="G10510" t="n">
        <v>5.9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29547-2023</t>
        </is>
      </c>
      <c r="B10511" s="1" t="n">
        <v>45106</v>
      </c>
      <c r="C10511" s="1" t="n">
        <v>45810</v>
      </c>
      <c r="D10511" t="inlineStr">
        <is>
          <t>VÄRMLANDS LÄN</t>
        </is>
      </c>
      <c r="E10511" t="inlineStr">
        <is>
          <t>SÄFFLE</t>
        </is>
      </c>
      <c r="G10511" t="n">
        <v>4.8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29581-2023</t>
        </is>
      </c>
      <c r="B10512" s="1" t="n">
        <v>45106</v>
      </c>
      <c r="C10512" s="1" t="n">
        <v>45810</v>
      </c>
      <c r="D10512" t="inlineStr">
        <is>
          <t>VÄRMLANDS LÄN</t>
        </is>
      </c>
      <c r="E10512" t="inlineStr">
        <is>
          <t>TORSBY</t>
        </is>
      </c>
      <c r="F10512" t="inlineStr">
        <is>
          <t>Bergvik skog väst AB</t>
        </is>
      </c>
      <c r="G10512" t="n">
        <v>11.8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29497-2023</t>
        </is>
      </c>
      <c r="B10513" s="1" t="n">
        <v>45106</v>
      </c>
      <c r="C10513" s="1" t="n">
        <v>45810</v>
      </c>
      <c r="D10513" t="inlineStr">
        <is>
          <t>VÄRMLANDS LÄN</t>
        </is>
      </c>
      <c r="E10513" t="inlineStr">
        <is>
          <t>SÄFFLE</t>
        </is>
      </c>
      <c r="G10513" t="n">
        <v>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29594-2023</t>
        </is>
      </c>
      <c r="B10514" s="1" t="n">
        <v>45107</v>
      </c>
      <c r="C10514" s="1" t="n">
        <v>45810</v>
      </c>
      <c r="D10514" t="inlineStr">
        <is>
          <t>VÄRMLANDS LÄN</t>
        </is>
      </c>
      <c r="E10514" t="inlineStr">
        <is>
          <t>TORSBY</t>
        </is>
      </c>
      <c r="G10514" t="n">
        <v>3.4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29528-2023</t>
        </is>
      </c>
      <c r="B10515" s="1" t="n">
        <v>45106</v>
      </c>
      <c r="C10515" s="1" t="n">
        <v>45810</v>
      </c>
      <c r="D10515" t="inlineStr">
        <is>
          <t>VÄRMLANDS LÄN</t>
        </is>
      </c>
      <c r="E10515" t="inlineStr">
        <is>
          <t>SÄFFLE</t>
        </is>
      </c>
      <c r="G10515" t="n">
        <v>3.6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29545-2023</t>
        </is>
      </c>
      <c r="B10516" s="1" t="n">
        <v>45106</v>
      </c>
      <c r="C10516" s="1" t="n">
        <v>45810</v>
      </c>
      <c r="D10516" t="inlineStr">
        <is>
          <t>VÄRMLANDS LÄN</t>
        </is>
      </c>
      <c r="E10516" t="inlineStr">
        <is>
          <t>TORSBY</t>
        </is>
      </c>
      <c r="G10516" t="n">
        <v>6.1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29570-2023</t>
        </is>
      </c>
      <c r="B10517" s="1" t="n">
        <v>45106</v>
      </c>
      <c r="C10517" s="1" t="n">
        <v>45810</v>
      </c>
      <c r="D10517" t="inlineStr">
        <is>
          <t>VÄRMLANDS LÄN</t>
        </is>
      </c>
      <c r="E10517" t="inlineStr">
        <is>
          <t>ÅRJÄNG</t>
        </is>
      </c>
      <c r="G10517" t="n">
        <v>1.4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29421-2023</t>
        </is>
      </c>
      <c r="B10518" s="1" t="n">
        <v>45106</v>
      </c>
      <c r="C10518" s="1" t="n">
        <v>45810</v>
      </c>
      <c r="D10518" t="inlineStr">
        <is>
          <t>VÄRMLANDS LÄN</t>
        </is>
      </c>
      <c r="E10518" t="inlineStr">
        <is>
          <t>ARVIKA</t>
        </is>
      </c>
      <c r="G10518" t="n">
        <v>3.2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29470-2023</t>
        </is>
      </c>
      <c r="B10519" s="1" t="n">
        <v>45106</v>
      </c>
      <c r="C10519" s="1" t="n">
        <v>45810</v>
      </c>
      <c r="D10519" t="inlineStr">
        <is>
          <t>VÄRMLANDS LÄN</t>
        </is>
      </c>
      <c r="E10519" t="inlineStr">
        <is>
          <t>ÅRJÄNG</t>
        </is>
      </c>
      <c r="G10519" t="n">
        <v>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29504-2023</t>
        </is>
      </c>
      <c r="B10520" s="1" t="n">
        <v>45106</v>
      </c>
      <c r="C10520" s="1" t="n">
        <v>45810</v>
      </c>
      <c r="D10520" t="inlineStr">
        <is>
          <t>VÄRMLANDS LÄN</t>
        </is>
      </c>
      <c r="E10520" t="inlineStr">
        <is>
          <t>KRISTINEHAMN</t>
        </is>
      </c>
      <c r="F10520" t="inlineStr">
        <is>
          <t>Sveaskog</t>
        </is>
      </c>
      <c r="G10520" t="n">
        <v>5.7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29508-2023</t>
        </is>
      </c>
      <c r="B10521" s="1" t="n">
        <v>45106</v>
      </c>
      <c r="C10521" s="1" t="n">
        <v>45810</v>
      </c>
      <c r="D10521" t="inlineStr">
        <is>
          <t>VÄRMLANDS LÄN</t>
        </is>
      </c>
      <c r="E10521" t="inlineStr">
        <is>
          <t>SÄFFLE</t>
        </is>
      </c>
      <c r="G10521" t="n">
        <v>0.6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31657-2023</t>
        </is>
      </c>
      <c r="B10522" s="1" t="n">
        <v>45106</v>
      </c>
      <c r="C10522" s="1" t="n">
        <v>45810</v>
      </c>
      <c r="D10522" t="inlineStr">
        <is>
          <t>VÄRMLANDS LÄN</t>
        </is>
      </c>
      <c r="E10522" t="inlineStr">
        <is>
          <t>SÄFFLE</t>
        </is>
      </c>
      <c r="G10522" t="n">
        <v>2.7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31858-2023</t>
        </is>
      </c>
      <c r="B10523" s="1" t="n">
        <v>45106</v>
      </c>
      <c r="C10523" s="1" t="n">
        <v>45810</v>
      </c>
      <c r="D10523" t="inlineStr">
        <is>
          <t>VÄRMLANDS LÄN</t>
        </is>
      </c>
      <c r="E10523" t="inlineStr">
        <is>
          <t>TORSBY</t>
        </is>
      </c>
      <c r="G10523" t="n">
        <v>1.7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31860-2023</t>
        </is>
      </c>
      <c r="B10524" s="1" t="n">
        <v>45106</v>
      </c>
      <c r="C10524" s="1" t="n">
        <v>45810</v>
      </c>
      <c r="D10524" t="inlineStr">
        <is>
          <t>VÄRMLANDS LÄN</t>
        </is>
      </c>
      <c r="E10524" t="inlineStr">
        <is>
          <t>EDA</t>
        </is>
      </c>
      <c r="G10524" t="n">
        <v>3.1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29668-2023</t>
        </is>
      </c>
      <c r="B10525" s="1" t="n">
        <v>45107</v>
      </c>
      <c r="C10525" s="1" t="n">
        <v>45810</v>
      </c>
      <c r="D10525" t="inlineStr">
        <is>
          <t>VÄRMLANDS LÄN</t>
        </is>
      </c>
      <c r="E10525" t="inlineStr">
        <is>
          <t>FILIPSTAD</t>
        </is>
      </c>
      <c r="G10525" t="n">
        <v>2.3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29700-2023</t>
        </is>
      </c>
      <c r="B10526" s="1" t="n">
        <v>45107</v>
      </c>
      <c r="C10526" s="1" t="n">
        <v>45810</v>
      </c>
      <c r="D10526" t="inlineStr">
        <is>
          <t>VÄRMLANDS LÄN</t>
        </is>
      </c>
      <c r="E10526" t="inlineStr">
        <is>
          <t>ARVIKA</t>
        </is>
      </c>
      <c r="G10526" t="n">
        <v>2.1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29729-2023</t>
        </is>
      </c>
      <c r="B10527" s="1" t="n">
        <v>45107</v>
      </c>
      <c r="C10527" s="1" t="n">
        <v>45810</v>
      </c>
      <c r="D10527" t="inlineStr">
        <is>
          <t>VÄRMLANDS LÄN</t>
        </is>
      </c>
      <c r="E10527" t="inlineStr">
        <is>
          <t>GRUMS</t>
        </is>
      </c>
      <c r="G10527" t="n">
        <v>4.4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29742-2023</t>
        </is>
      </c>
      <c r="B10528" s="1" t="n">
        <v>45107</v>
      </c>
      <c r="C10528" s="1" t="n">
        <v>45810</v>
      </c>
      <c r="D10528" t="inlineStr">
        <is>
          <t>VÄRMLANDS LÄN</t>
        </is>
      </c>
      <c r="E10528" t="inlineStr">
        <is>
          <t>SUNNE</t>
        </is>
      </c>
      <c r="G10528" t="n">
        <v>0.7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29752-2023</t>
        </is>
      </c>
      <c r="B10529" s="1" t="n">
        <v>45107</v>
      </c>
      <c r="C10529" s="1" t="n">
        <v>45810</v>
      </c>
      <c r="D10529" t="inlineStr">
        <is>
          <t>VÄRMLANDS LÄN</t>
        </is>
      </c>
      <c r="E10529" t="inlineStr">
        <is>
          <t>GRUMS</t>
        </is>
      </c>
      <c r="G10529" t="n">
        <v>0.5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29764-2023</t>
        </is>
      </c>
      <c r="B10530" s="1" t="n">
        <v>45107</v>
      </c>
      <c r="C10530" s="1" t="n">
        <v>45810</v>
      </c>
      <c r="D10530" t="inlineStr">
        <is>
          <t>VÄRMLANDS LÄN</t>
        </is>
      </c>
      <c r="E10530" t="inlineStr">
        <is>
          <t>GRUMS</t>
        </is>
      </c>
      <c r="G10530" t="n">
        <v>0.7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29792-2023</t>
        </is>
      </c>
      <c r="B10531" s="1" t="n">
        <v>45107</v>
      </c>
      <c r="C10531" s="1" t="n">
        <v>45810</v>
      </c>
      <c r="D10531" t="inlineStr">
        <is>
          <t>VÄRMLANDS LÄN</t>
        </is>
      </c>
      <c r="E10531" t="inlineStr">
        <is>
          <t>TORSBY</t>
        </is>
      </c>
      <c r="G10531" t="n">
        <v>1.3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29796-2023</t>
        </is>
      </c>
      <c r="B10532" s="1" t="n">
        <v>45107</v>
      </c>
      <c r="C10532" s="1" t="n">
        <v>45810</v>
      </c>
      <c r="D10532" t="inlineStr">
        <is>
          <t>VÄRMLANDS LÄN</t>
        </is>
      </c>
      <c r="E10532" t="inlineStr">
        <is>
          <t>TORSBY</t>
        </is>
      </c>
      <c r="G10532" t="n">
        <v>0.6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29825-2023</t>
        </is>
      </c>
      <c r="B10533" s="1" t="n">
        <v>45107</v>
      </c>
      <c r="C10533" s="1" t="n">
        <v>45810</v>
      </c>
      <c r="D10533" t="inlineStr">
        <is>
          <t>VÄRMLANDS LÄN</t>
        </is>
      </c>
      <c r="E10533" t="inlineStr">
        <is>
          <t>FILIPSTAD</t>
        </is>
      </c>
      <c r="G10533" t="n">
        <v>0.3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29848-2023</t>
        </is>
      </c>
      <c r="B10534" s="1" t="n">
        <v>45107</v>
      </c>
      <c r="C10534" s="1" t="n">
        <v>45810</v>
      </c>
      <c r="D10534" t="inlineStr">
        <is>
          <t>VÄRMLANDS LÄN</t>
        </is>
      </c>
      <c r="E10534" t="inlineStr">
        <is>
          <t>ARVIKA</t>
        </is>
      </c>
      <c r="F10534" t="inlineStr">
        <is>
          <t>Bergvik skog väst AB</t>
        </is>
      </c>
      <c r="G10534" t="n">
        <v>11.2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29852-2023</t>
        </is>
      </c>
      <c r="B10535" s="1" t="n">
        <v>45107</v>
      </c>
      <c r="C10535" s="1" t="n">
        <v>45810</v>
      </c>
      <c r="D10535" t="inlineStr">
        <is>
          <t>VÄRMLANDS LÄN</t>
        </is>
      </c>
      <c r="E10535" t="inlineStr">
        <is>
          <t>GRUMS</t>
        </is>
      </c>
      <c r="G10535" t="n">
        <v>12.2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29736-2023</t>
        </is>
      </c>
      <c r="B10536" s="1" t="n">
        <v>45107</v>
      </c>
      <c r="C10536" s="1" t="n">
        <v>45810</v>
      </c>
      <c r="D10536" t="inlineStr">
        <is>
          <t>VÄRMLANDS LÄN</t>
        </is>
      </c>
      <c r="E10536" t="inlineStr">
        <is>
          <t>GRUMS</t>
        </is>
      </c>
      <c r="G10536" t="n">
        <v>0.7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29762-2023</t>
        </is>
      </c>
      <c r="B10537" s="1" t="n">
        <v>45107</v>
      </c>
      <c r="C10537" s="1" t="n">
        <v>45810</v>
      </c>
      <c r="D10537" t="inlineStr">
        <is>
          <t>VÄRMLANDS LÄN</t>
        </is>
      </c>
      <c r="E10537" t="inlineStr">
        <is>
          <t>GRUMS</t>
        </is>
      </c>
      <c r="G10537" t="n">
        <v>1.1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29855-2023</t>
        </is>
      </c>
      <c r="B10538" s="1" t="n">
        <v>45107</v>
      </c>
      <c r="C10538" s="1" t="n">
        <v>45810</v>
      </c>
      <c r="D10538" t="inlineStr">
        <is>
          <t>VÄRMLANDS LÄN</t>
        </is>
      </c>
      <c r="E10538" t="inlineStr">
        <is>
          <t>HAGFORS</t>
        </is>
      </c>
      <c r="G10538" t="n">
        <v>3.2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29912-2023</t>
        </is>
      </c>
      <c r="B10539" s="1" t="n">
        <v>45107</v>
      </c>
      <c r="C10539" s="1" t="n">
        <v>45810</v>
      </c>
      <c r="D10539" t="inlineStr">
        <is>
          <t>VÄRMLANDS LÄN</t>
        </is>
      </c>
      <c r="E10539" t="inlineStr">
        <is>
          <t>KRISTINEHAMN</t>
        </is>
      </c>
      <c r="F10539" t="inlineStr">
        <is>
          <t>Bergvik skog väst AB</t>
        </is>
      </c>
      <c r="G10539" t="n">
        <v>3.3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29839-2023</t>
        </is>
      </c>
      <c r="B10540" s="1" t="n">
        <v>45107</v>
      </c>
      <c r="C10540" s="1" t="n">
        <v>45810</v>
      </c>
      <c r="D10540" t="inlineStr">
        <is>
          <t>VÄRMLANDS LÄN</t>
        </is>
      </c>
      <c r="E10540" t="inlineStr">
        <is>
          <t>FORSHAGA</t>
        </is>
      </c>
      <c r="G10540" t="n">
        <v>5.4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29892-2023</t>
        </is>
      </c>
      <c r="B10541" s="1" t="n">
        <v>45107</v>
      </c>
      <c r="C10541" s="1" t="n">
        <v>45810</v>
      </c>
      <c r="D10541" t="inlineStr">
        <is>
          <t>VÄRMLANDS LÄN</t>
        </is>
      </c>
      <c r="E10541" t="inlineStr">
        <is>
          <t>KRISTINEHAMN</t>
        </is>
      </c>
      <c r="F10541" t="inlineStr">
        <is>
          <t>Bergvik skog väst AB</t>
        </is>
      </c>
      <c r="G10541" t="n">
        <v>3.4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29724-2023</t>
        </is>
      </c>
      <c r="B10542" s="1" t="n">
        <v>45107</v>
      </c>
      <c r="C10542" s="1" t="n">
        <v>45810</v>
      </c>
      <c r="D10542" t="inlineStr">
        <is>
          <t>VÄRMLANDS LÄN</t>
        </is>
      </c>
      <c r="E10542" t="inlineStr">
        <is>
          <t>GRUMS</t>
        </is>
      </c>
      <c r="G10542" t="n">
        <v>0.7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29737-2023</t>
        </is>
      </c>
      <c r="B10543" s="1" t="n">
        <v>45107</v>
      </c>
      <c r="C10543" s="1" t="n">
        <v>45810</v>
      </c>
      <c r="D10543" t="inlineStr">
        <is>
          <t>VÄRMLANDS LÄN</t>
        </is>
      </c>
      <c r="E10543" t="inlineStr">
        <is>
          <t>EDA</t>
        </is>
      </c>
      <c r="G10543" t="n">
        <v>5.3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29741-2023</t>
        </is>
      </c>
      <c r="B10544" s="1" t="n">
        <v>45107</v>
      </c>
      <c r="C10544" s="1" t="n">
        <v>45810</v>
      </c>
      <c r="D10544" t="inlineStr">
        <is>
          <t>VÄRMLANDS LÄN</t>
        </is>
      </c>
      <c r="E10544" t="inlineStr">
        <is>
          <t>GRUMS</t>
        </is>
      </c>
      <c r="G10544" t="n">
        <v>1.3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29746-2023</t>
        </is>
      </c>
      <c r="B10545" s="1" t="n">
        <v>45107</v>
      </c>
      <c r="C10545" s="1" t="n">
        <v>45810</v>
      </c>
      <c r="D10545" t="inlineStr">
        <is>
          <t>VÄRMLANDS LÄN</t>
        </is>
      </c>
      <c r="E10545" t="inlineStr">
        <is>
          <t>SUNNE</t>
        </is>
      </c>
      <c r="G10545" t="n">
        <v>0.1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29759-2023</t>
        </is>
      </c>
      <c r="B10546" s="1" t="n">
        <v>45107</v>
      </c>
      <c r="C10546" s="1" t="n">
        <v>45810</v>
      </c>
      <c r="D10546" t="inlineStr">
        <is>
          <t>VÄRMLANDS LÄN</t>
        </is>
      </c>
      <c r="E10546" t="inlineStr">
        <is>
          <t>GRUMS</t>
        </is>
      </c>
      <c r="G10546" t="n">
        <v>2.6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29779-2023</t>
        </is>
      </c>
      <c r="B10547" s="1" t="n">
        <v>45107</v>
      </c>
      <c r="C10547" s="1" t="n">
        <v>45810</v>
      </c>
      <c r="D10547" t="inlineStr">
        <is>
          <t>VÄRMLANDS LÄN</t>
        </is>
      </c>
      <c r="E10547" t="inlineStr">
        <is>
          <t>ARVIKA</t>
        </is>
      </c>
      <c r="F10547" t="inlineStr">
        <is>
          <t>Bergvik skog väst AB</t>
        </is>
      </c>
      <c r="G10547" t="n">
        <v>6.4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29795-2023</t>
        </is>
      </c>
      <c r="B10548" s="1" t="n">
        <v>45107</v>
      </c>
      <c r="C10548" s="1" t="n">
        <v>45810</v>
      </c>
      <c r="D10548" t="inlineStr">
        <is>
          <t>VÄRMLANDS LÄN</t>
        </is>
      </c>
      <c r="E10548" t="inlineStr">
        <is>
          <t>TORSBY</t>
        </is>
      </c>
      <c r="G10548" t="n">
        <v>1.4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29851-2023</t>
        </is>
      </c>
      <c r="B10549" s="1" t="n">
        <v>45107</v>
      </c>
      <c r="C10549" s="1" t="n">
        <v>45810</v>
      </c>
      <c r="D10549" t="inlineStr">
        <is>
          <t>VÄRMLANDS LÄN</t>
        </is>
      </c>
      <c r="E10549" t="inlineStr">
        <is>
          <t>EDA</t>
        </is>
      </c>
      <c r="G10549" t="n">
        <v>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32149-2023</t>
        </is>
      </c>
      <c r="B10550" s="1" t="n">
        <v>45107</v>
      </c>
      <c r="C10550" s="1" t="n">
        <v>45810</v>
      </c>
      <c r="D10550" t="inlineStr">
        <is>
          <t>VÄRMLANDS LÄN</t>
        </is>
      </c>
      <c r="E10550" t="inlineStr">
        <is>
          <t>HAGFORS</t>
        </is>
      </c>
      <c r="G10550" t="n">
        <v>9.1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31974-2023</t>
        </is>
      </c>
      <c r="B10551" s="1" t="n">
        <v>45107</v>
      </c>
      <c r="C10551" s="1" t="n">
        <v>45810</v>
      </c>
      <c r="D10551" t="inlineStr">
        <is>
          <t>VÄRMLANDS LÄN</t>
        </is>
      </c>
      <c r="E10551" t="inlineStr">
        <is>
          <t>GRUMS</t>
        </is>
      </c>
      <c r="G10551" t="n">
        <v>3.8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32102-2023</t>
        </is>
      </c>
      <c r="B10552" s="1" t="n">
        <v>45107</v>
      </c>
      <c r="C10552" s="1" t="n">
        <v>45810</v>
      </c>
      <c r="D10552" t="inlineStr">
        <is>
          <t>VÄRMLANDS LÄN</t>
        </is>
      </c>
      <c r="E10552" t="inlineStr">
        <is>
          <t>SÄFFLE</t>
        </is>
      </c>
      <c r="G10552" t="n">
        <v>0.8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32169-2023</t>
        </is>
      </c>
      <c r="B10553" s="1" t="n">
        <v>45107</v>
      </c>
      <c r="C10553" s="1" t="n">
        <v>45810</v>
      </c>
      <c r="D10553" t="inlineStr">
        <is>
          <t>VÄRMLANDS LÄN</t>
        </is>
      </c>
      <c r="E10553" t="inlineStr">
        <is>
          <t>KARLSTAD</t>
        </is>
      </c>
      <c r="G10553" t="n">
        <v>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31936-2023</t>
        </is>
      </c>
      <c r="B10554" s="1" t="n">
        <v>45107</v>
      </c>
      <c r="C10554" s="1" t="n">
        <v>45810</v>
      </c>
      <c r="D10554" t="inlineStr">
        <is>
          <t>VÄRMLANDS LÄN</t>
        </is>
      </c>
      <c r="E10554" t="inlineStr">
        <is>
          <t>TORSBY</t>
        </is>
      </c>
      <c r="G10554" t="n">
        <v>1.6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31964-2023</t>
        </is>
      </c>
      <c r="B10555" s="1" t="n">
        <v>45107</v>
      </c>
      <c r="C10555" s="1" t="n">
        <v>45810</v>
      </c>
      <c r="D10555" t="inlineStr">
        <is>
          <t>VÄRMLANDS LÄN</t>
        </is>
      </c>
      <c r="E10555" t="inlineStr">
        <is>
          <t>GRUMS</t>
        </is>
      </c>
      <c r="G10555" t="n">
        <v>2.3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32078-2023</t>
        </is>
      </c>
      <c r="B10556" s="1" t="n">
        <v>45107</v>
      </c>
      <c r="C10556" s="1" t="n">
        <v>45810</v>
      </c>
      <c r="D10556" t="inlineStr">
        <is>
          <t>VÄRMLANDS LÄN</t>
        </is>
      </c>
      <c r="E10556" t="inlineStr">
        <is>
          <t>SÄFFLE</t>
        </is>
      </c>
      <c r="G10556" t="n">
        <v>3.3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32111-2023</t>
        </is>
      </c>
      <c r="B10557" s="1" t="n">
        <v>45107</v>
      </c>
      <c r="C10557" s="1" t="n">
        <v>45810</v>
      </c>
      <c r="D10557" t="inlineStr">
        <is>
          <t>VÄRMLANDS LÄN</t>
        </is>
      </c>
      <c r="E10557" t="inlineStr">
        <is>
          <t>SÄFFLE</t>
        </is>
      </c>
      <c r="G10557" t="n">
        <v>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32147-2023</t>
        </is>
      </c>
      <c r="B10558" s="1" t="n">
        <v>45107</v>
      </c>
      <c r="C10558" s="1" t="n">
        <v>45810</v>
      </c>
      <c r="D10558" t="inlineStr">
        <is>
          <t>VÄRMLANDS LÄN</t>
        </is>
      </c>
      <c r="E10558" t="inlineStr">
        <is>
          <t>HAGFORS</t>
        </is>
      </c>
      <c r="G10558" t="n">
        <v>1.7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32096-2023</t>
        </is>
      </c>
      <c r="B10559" s="1" t="n">
        <v>45107</v>
      </c>
      <c r="C10559" s="1" t="n">
        <v>45810</v>
      </c>
      <c r="D10559" t="inlineStr">
        <is>
          <t>VÄRMLANDS LÄN</t>
        </is>
      </c>
      <c r="E10559" t="inlineStr">
        <is>
          <t>SÄFFLE</t>
        </is>
      </c>
      <c r="G10559" t="n">
        <v>0.6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31985-2023</t>
        </is>
      </c>
      <c r="B10560" s="1" t="n">
        <v>45107</v>
      </c>
      <c r="C10560" s="1" t="n">
        <v>45810</v>
      </c>
      <c r="D10560" t="inlineStr">
        <is>
          <t>VÄRMLANDS LÄN</t>
        </is>
      </c>
      <c r="E10560" t="inlineStr">
        <is>
          <t>SÄFFLE</t>
        </is>
      </c>
      <c r="G10560" t="n">
        <v>1.3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32259-2023</t>
        </is>
      </c>
      <c r="B10561" s="1" t="n">
        <v>45108</v>
      </c>
      <c r="C10561" s="1" t="n">
        <v>45810</v>
      </c>
      <c r="D10561" t="inlineStr">
        <is>
          <t>VÄRMLANDS LÄN</t>
        </is>
      </c>
      <c r="E10561" t="inlineStr">
        <is>
          <t>ÅRJÄNG</t>
        </is>
      </c>
      <c r="G10561" t="n">
        <v>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32270-2023</t>
        </is>
      </c>
      <c r="B10562" s="1" t="n">
        <v>45109</v>
      </c>
      <c r="C10562" s="1" t="n">
        <v>45810</v>
      </c>
      <c r="D10562" t="inlineStr">
        <is>
          <t>VÄRMLANDS LÄN</t>
        </is>
      </c>
      <c r="E10562" t="inlineStr">
        <is>
          <t>KIL</t>
        </is>
      </c>
      <c r="G10562" t="n">
        <v>0.8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32831-2023</t>
        </is>
      </c>
      <c r="B10563" s="1" t="n">
        <v>45109</v>
      </c>
      <c r="C10563" s="1" t="n">
        <v>45810</v>
      </c>
      <c r="D10563" t="inlineStr">
        <is>
          <t>VÄRMLANDS LÄN</t>
        </is>
      </c>
      <c r="E10563" t="inlineStr">
        <is>
          <t>ARVIKA</t>
        </is>
      </c>
      <c r="G10563" t="n">
        <v>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32806-2023</t>
        </is>
      </c>
      <c r="B10564" s="1" t="n">
        <v>45109</v>
      </c>
      <c r="C10564" s="1" t="n">
        <v>45810</v>
      </c>
      <c r="D10564" t="inlineStr">
        <is>
          <t>VÄRMLANDS LÄN</t>
        </is>
      </c>
      <c r="E10564" t="inlineStr">
        <is>
          <t>KIL</t>
        </is>
      </c>
      <c r="G10564" t="n">
        <v>0.7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32842-2023</t>
        </is>
      </c>
      <c r="B10565" s="1" t="n">
        <v>45109</v>
      </c>
      <c r="C10565" s="1" t="n">
        <v>45810</v>
      </c>
      <c r="D10565" t="inlineStr">
        <is>
          <t>VÄRMLANDS LÄN</t>
        </is>
      </c>
      <c r="E10565" t="inlineStr">
        <is>
          <t>KIL</t>
        </is>
      </c>
      <c r="G10565" t="n">
        <v>0.7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32823-2023</t>
        </is>
      </c>
      <c r="B10566" s="1" t="n">
        <v>45109</v>
      </c>
      <c r="C10566" s="1" t="n">
        <v>45810</v>
      </c>
      <c r="D10566" t="inlineStr">
        <is>
          <t>VÄRMLANDS LÄN</t>
        </is>
      </c>
      <c r="E10566" t="inlineStr">
        <is>
          <t>ARVIKA</t>
        </is>
      </c>
      <c r="G10566" t="n">
        <v>3.8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30004-2023</t>
        </is>
      </c>
      <c r="B10567" s="1" t="n">
        <v>45109</v>
      </c>
      <c r="C10567" s="1" t="n">
        <v>45810</v>
      </c>
      <c r="D10567" t="inlineStr">
        <is>
          <t>VÄRMLANDS LÄN</t>
        </is>
      </c>
      <c r="E10567" t="inlineStr">
        <is>
          <t>ARVIKA</t>
        </is>
      </c>
      <c r="G10567" t="n">
        <v>0.7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32839-2023</t>
        </is>
      </c>
      <c r="B10568" s="1" t="n">
        <v>45109</v>
      </c>
      <c r="C10568" s="1" t="n">
        <v>45810</v>
      </c>
      <c r="D10568" t="inlineStr">
        <is>
          <t>VÄRMLANDS LÄN</t>
        </is>
      </c>
      <c r="E10568" t="inlineStr">
        <is>
          <t>KIL</t>
        </is>
      </c>
      <c r="G10568" t="n">
        <v>1.8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30091-2023</t>
        </is>
      </c>
      <c r="B10569" s="1" t="n">
        <v>45110</v>
      </c>
      <c r="C10569" s="1" t="n">
        <v>45810</v>
      </c>
      <c r="D10569" t="inlineStr">
        <is>
          <t>VÄRMLANDS LÄN</t>
        </is>
      </c>
      <c r="E10569" t="inlineStr">
        <is>
          <t>KRISTINEHAMN</t>
        </is>
      </c>
      <c r="G10569" t="n">
        <v>28.2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30180-2023</t>
        </is>
      </c>
      <c r="B10570" s="1" t="n">
        <v>45110</v>
      </c>
      <c r="C10570" s="1" t="n">
        <v>45810</v>
      </c>
      <c r="D10570" t="inlineStr">
        <is>
          <t>VÄRMLANDS LÄN</t>
        </is>
      </c>
      <c r="E10570" t="inlineStr">
        <is>
          <t>HAGFORS</t>
        </is>
      </c>
      <c r="G10570" t="n">
        <v>3.4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30208-2023</t>
        </is>
      </c>
      <c r="B10571" s="1" t="n">
        <v>45110</v>
      </c>
      <c r="C10571" s="1" t="n">
        <v>45810</v>
      </c>
      <c r="D10571" t="inlineStr">
        <is>
          <t>VÄRMLANDS LÄN</t>
        </is>
      </c>
      <c r="E10571" t="inlineStr">
        <is>
          <t>TORSBY</t>
        </is>
      </c>
      <c r="G10571" t="n">
        <v>5.3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30213-2023</t>
        </is>
      </c>
      <c r="B10572" s="1" t="n">
        <v>45110</v>
      </c>
      <c r="C10572" s="1" t="n">
        <v>45810</v>
      </c>
      <c r="D10572" t="inlineStr">
        <is>
          <t>VÄRMLANDS LÄN</t>
        </is>
      </c>
      <c r="E10572" t="inlineStr">
        <is>
          <t>TORSBY</t>
        </is>
      </c>
      <c r="G10572" t="n">
        <v>1.6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30247-2023</t>
        </is>
      </c>
      <c r="B10573" s="1" t="n">
        <v>45110</v>
      </c>
      <c r="C10573" s="1" t="n">
        <v>45810</v>
      </c>
      <c r="D10573" t="inlineStr">
        <is>
          <t>VÄRMLANDS LÄN</t>
        </is>
      </c>
      <c r="E10573" t="inlineStr">
        <is>
          <t>EDA</t>
        </is>
      </c>
      <c r="G10573" t="n">
        <v>5.4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30037-2023</t>
        </is>
      </c>
      <c r="B10574" s="1" t="n">
        <v>45110</v>
      </c>
      <c r="C10574" s="1" t="n">
        <v>45810</v>
      </c>
      <c r="D10574" t="inlineStr">
        <is>
          <t>VÄRMLANDS LÄN</t>
        </is>
      </c>
      <c r="E10574" t="inlineStr">
        <is>
          <t>FILIPSTAD</t>
        </is>
      </c>
      <c r="F10574" t="inlineStr">
        <is>
          <t>Bergvik skog väst AB</t>
        </is>
      </c>
      <c r="G10574" t="n">
        <v>9.4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30100-2023</t>
        </is>
      </c>
      <c r="B10575" s="1" t="n">
        <v>45110</v>
      </c>
      <c r="C10575" s="1" t="n">
        <v>45810</v>
      </c>
      <c r="D10575" t="inlineStr">
        <is>
          <t>VÄRMLANDS LÄN</t>
        </is>
      </c>
      <c r="E10575" t="inlineStr">
        <is>
          <t>STORFORS</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30177-2023</t>
        </is>
      </c>
      <c r="B10576" s="1" t="n">
        <v>45110</v>
      </c>
      <c r="C10576" s="1" t="n">
        <v>45810</v>
      </c>
      <c r="D10576" t="inlineStr">
        <is>
          <t>VÄRMLANDS LÄN</t>
        </is>
      </c>
      <c r="E10576" t="inlineStr">
        <is>
          <t>HAGFORS</t>
        </is>
      </c>
      <c r="G10576" t="n">
        <v>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30257-2023</t>
        </is>
      </c>
      <c r="B10577" s="1" t="n">
        <v>45110</v>
      </c>
      <c r="C10577" s="1" t="n">
        <v>45810</v>
      </c>
      <c r="D10577" t="inlineStr">
        <is>
          <t>VÄRMLANDS LÄN</t>
        </is>
      </c>
      <c r="E10577" t="inlineStr">
        <is>
          <t>EDA</t>
        </is>
      </c>
      <c r="G10577" t="n">
        <v>0.7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30267-2023</t>
        </is>
      </c>
      <c r="B10578" s="1" t="n">
        <v>45110</v>
      </c>
      <c r="C10578" s="1" t="n">
        <v>45810</v>
      </c>
      <c r="D10578" t="inlineStr">
        <is>
          <t>VÄRMLANDS LÄN</t>
        </is>
      </c>
      <c r="E10578" t="inlineStr">
        <is>
          <t>TORSBY</t>
        </is>
      </c>
      <c r="G10578" t="n">
        <v>2.1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30038-2023</t>
        </is>
      </c>
      <c r="B10579" s="1" t="n">
        <v>45110</v>
      </c>
      <c r="C10579" s="1" t="n">
        <v>45810</v>
      </c>
      <c r="D10579" t="inlineStr">
        <is>
          <t>VÄRMLANDS LÄN</t>
        </is>
      </c>
      <c r="E10579" t="inlineStr">
        <is>
          <t>ÅRJÄNG</t>
        </is>
      </c>
      <c r="G10579" t="n">
        <v>2.8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30048-2023</t>
        </is>
      </c>
      <c r="B10580" s="1" t="n">
        <v>45110</v>
      </c>
      <c r="C10580" s="1" t="n">
        <v>45810</v>
      </c>
      <c r="D10580" t="inlineStr">
        <is>
          <t>VÄRMLANDS LÄN</t>
        </is>
      </c>
      <c r="E10580" t="inlineStr">
        <is>
          <t>ÅRJÄNG</t>
        </is>
      </c>
      <c r="G10580" t="n">
        <v>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30060-2023</t>
        </is>
      </c>
      <c r="B10581" s="1" t="n">
        <v>45110</v>
      </c>
      <c r="C10581" s="1" t="n">
        <v>45810</v>
      </c>
      <c r="D10581" t="inlineStr">
        <is>
          <t>VÄRMLANDS LÄN</t>
        </is>
      </c>
      <c r="E10581" t="inlineStr">
        <is>
          <t>KRISTINEHAMN</t>
        </is>
      </c>
      <c r="F10581" t="inlineStr">
        <is>
          <t>Bergvik skog väst AB</t>
        </is>
      </c>
      <c r="G10581" t="n">
        <v>7.4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30094-2023</t>
        </is>
      </c>
      <c r="B10582" s="1" t="n">
        <v>45110</v>
      </c>
      <c r="C10582" s="1" t="n">
        <v>45810</v>
      </c>
      <c r="D10582" t="inlineStr">
        <is>
          <t>VÄRMLANDS LÄN</t>
        </is>
      </c>
      <c r="E10582" t="inlineStr">
        <is>
          <t>KARLSTAD</t>
        </is>
      </c>
      <c r="G10582" t="n">
        <v>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30099-2023</t>
        </is>
      </c>
      <c r="B10583" s="1" t="n">
        <v>45110</v>
      </c>
      <c r="C10583" s="1" t="n">
        <v>45810</v>
      </c>
      <c r="D10583" t="inlineStr">
        <is>
          <t>VÄRMLANDS LÄN</t>
        </is>
      </c>
      <c r="E10583" t="inlineStr">
        <is>
          <t>KARLSTAD</t>
        </is>
      </c>
      <c r="G10583" t="n">
        <v>1.9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30104-2023</t>
        </is>
      </c>
      <c r="B10584" s="1" t="n">
        <v>45110</v>
      </c>
      <c r="C10584" s="1" t="n">
        <v>45810</v>
      </c>
      <c r="D10584" t="inlineStr">
        <is>
          <t>VÄRMLANDS LÄN</t>
        </is>
      </c>
      <c r="E10584" t="inlineStr">
        <is>
          <t>TORSBY</t>
        </is>
      </c>
      <c r="G10584" t="n">
        <v>1.5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32332-2023</t>
        </is>
      </c>
      <c r="B10585" s="1" t="n">
        <v>45110</v>
      </c>
      <c r="C10585" s="1" t="n">
        <v>45810</v>
      </c>
      <c r="D10585" t="inlineStr">
        <is>
          <t>VÄRMLANDS LÄN</t>
        </is>
      </c>
      <c r="E10585" t="inlineStr">
        <is>
          <t>TORSBY</t>
        </is>
      </c>
      <c r="G10585" t="n">
        <v>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30160-2023</t>
        </is>
      </c>
      <c r="B10586" s="1" t="n">
        <v>45110</v>
      </c>
      <c r="C10586" s="1" t="n">
        <v>45810</v>
      </c>
      <c r="D10586" t="inlineStr">
        <is>
          <t>VÄRMLANDS LÄN</t>
        </is>
      </c>
      <c r="E10586" t="inlineStr">
        <is>
          <t>TORSBY</t>
        </is>
      </c>
      <c r="G10586" t="n">
        <v>2.2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30249-2023</t>
        </is>
      </c>
      <c r="B10587" s="1" t="n">
        <v>45110</v>
      </c>
      <c r="C10587" s="1" t="n">
        <v>45810</v>
      </c>
      <c r="D10587" t="inlineStr">
        <is>
          <t>VÄRMLANDS LÄN</t>
        </is>
      </c>
      <c r="E10587" t="inlineStr">
        <is>
          <t>EDA</t>
        </is>
      </c>
      <c r="G10587" t="n">
        <v>1.8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30269-2023</t>
        </is>
      </c>
      <c r="B10588" s="1" t="n">
        <v>45110</v>
      </c>
      <c r="C10588" s="1" t="n">
        <v>45810</v>
      </c>
      <c r="D10588" t="inlineStr">
        <is>
          <t>VÄRMLANDS LÄN</t>
        </is>
      </c>
      <c r="E10588" t="inlineStr">
        <is>
          <t>TORSBY</t>
        </is>
      </c>
      <c r="G10588" t="n">
        <v>1.4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30110-2023</t>
        </is>
      </c>
      <c r="B10589" s="1" t="n">
        <v>45110</v>
      </c>
      <c r="C10589" s="1" t="n">
        <v>45810</v>
      </c>
      <c r="D10589" t="inlineStr">
        <is>
          <t>VÄRMLANDS LÄN</t>
        </is>
      </c>
      <c r="E10589" t="inlineStr">
        <is>
          <t>TORSBY</t>
        </is>
      </c>
      <c r="G10589" t="n">
        <v>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30207-2023</t>
        </is>
      </c>
      <c r="B10590" s="1" t="n">
        <v>45110</v>
      </c>
      <c r="C10590" s="1" t="n">
        <v>45810</v>
      </c>
      <c r="D10590" t="inlineStr">
        <is>
          <t>VÄRMLANDS LÄN</t>
        </is>
      </c>
      <c r="E10590" t="inlineStr">
        <is>
          <t>SUNNE</t>
        </is>
      </c>
      <c r="G10590" t="n">
        <v>1.5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30254-2023</t>
        </is>
      </c>
      <c r="B10591" s="1" t="n">
        <v>45110</v>
      </c>
      <c r="C10591" s="1" t="n">
        <v>45810</v>
      </c>
      <c r="D10591" t="inlineStr">
        <is>
          <t>VÄRMLANDS LÄN</t>
        </is>
      </c>
      <c r="E10591" t="inlineStr">
        <is>
          <t>EDA</t>
        </is>
      </c>
      <c r="G10591" t="n">
        <v>0.7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32414-2023</t>
        </is>
      </c>
      <c r="B10592" s="1" t="n">
        <v>45110</v>
      </c>
      <c r="C10592" s="1" t="n">
        <v>45810</v>
      </c>
      <c r="D10592" t="inlineStr">
        <is>
          <t>VÄRMLANDS LÄN</t>
        </is>
      </c>
      <c r="E10592" t="inlineStr">
        <is>
          <t>ÅRJÄNG</t>
        </is>
      </c>
      <c r="G10592" t="n">
        <v>1.7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32409-2023</t>
        </is>
      </c>
      <c r="B10593" s="1" t="n">
        <v>45110</v>
      </c>
      <c r="C10593" s="1" t="n">
        <v>45810</v>
      </c>
      <c r="D10593" t="inlineStr">
        <is>
          <t>VÄRMLANDS LÄN</t>
        </is>
      </c>
      <c r="E10593" t="inlineStr">
        <is>
          <t>KRISTINEHAMN</t>
        </is>
      </c>
      <c r="G10593" t="n">
        <v>0.9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32401-2023</t>
        </is>
      </c>
      <c r="B10594" s="1" t="n">
        <v>45110</v>
      </c>
      <c r="C10594" s="1" t="n">
        <v>45810</v>
      </c>
      <c r="D10594" t="inlineStr">
        <is>
          <t>VÄRMLANDS LÄN</t>
        </is>
      </c>
      <c r="E10594" t="inlineStr">
        <is>
          <t>HAGFORS</t>
        </is>
      </c>
      <c r="G10594" t="n">
        <v>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32405-2023</t>
        </is>
      </c>
      <c r="B10595" s="1" t="n">
        <v>45110</v>
      </c>
      <c r="C10595" s="1" t="n">
        <v>45810</v>
      </c>
      <c r="D10595" t="inlineStr">
        <is>
          <t>VÄRMLANDS LÄN</t>
        </is>
      </c>
      <c r="E10595" t="inlineStr">
        <is>
          <t>SUNNE</t>
        </is>
      </c>
      <c r="F10595" t="inlineStr">
        <is>
          <t>Övriga statliga verk och myndigheter</t>
        </is>
      </c>
      <c r="G10595" t="n">
        <v>4.2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32404-2023</t>
        </is>
      </c>
      <c r="B10596" s="1" t="n">
        <v>45110</v>
      </c>
      <c r="C10596" s="1" t="n">
        <v>45810</v>
      </c>
      <c r="D10596" t="inlineStr">
        <is>
          <t>VÄRMLANDS LÄN</t>
        </is>
      </c>
      <c r="E10596" t="inlineStr">
        <is>
          <t>KRISTINEHAMN</t>
        </is>
      </c>
      <c r="G10596" t="n">
        <v>1.4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30452-2023</t>
        </is>
      </c>
      <c r="B10597" s="1" t="n">
        <v>45111</v>
      </c>
      <c r="C10597" s="1" t="n">
        <v>45810</v>
      </c>
      <c r="D10597" t="inlineStr">
        <is>
          <t>VÄRMLANDS LÄN</t>
        </is>
      </c>
      <c r="E10597" t="inlineStr">
        <is>
          <t>EDA</t>
        </is>
      </c>
      <c r="G10597" t="n">
        <v>1.3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30500-2023</t>
        </is>
      </c>
      <c r="B10598" s="1" t="n">
        <v>45111</v>
      </c>
      <c r="C10598" s="1" t="n">
        <v>45810</v>
      </c>
      <c r="D10598" t="inlineStr">
        <is>
          <t>VÄRMLANDS LÄN</t>
        </is>
      </c>
      <c r="E10598" t="inlineStr">
        <is>
          <t>EDA</t>
        </is>
      </c>
      <c r="G10598" t="n">
        <v>2.7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30497-2023</t>
        </is>
      </c>
      <c r="B10599" s="1" t="n">
        <v>45111</v>
      </c>
      <c r="C10599" s="1" t="n">
        <v>45810</v>
      </c>
      <c r="D10599" t="inlineStr">
        <is>
          <t>VÄRMLANDS LÄN</t>
        </is>
      </c>
      <c r="E10599" t="inlineStr">
        <is>
          <t>SUNNE</t>
        </is>
      </c>
      <c r="G10599" t="n">
        <v>4.4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30457-2023</t>
        </is>
      </c>
      <c r="B10600" s="1" t="n">
        <v>45111</v>
      </c>
      <c r="C10600" s="1" t="n">
        <v>45810</v>
      </c>
      <c r="D10600" t="inlineStr">
        <is>
          <t>VÄRMLANDS LÄN</t>
        </is>
      </c>
      <c r="E10600" t="inlineStr">
        <is>
          <t>ARVIKA</t>
        </is>
      </c>
      <c r="G10600" t="n">
        <v>0.9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30530-2023</t>
        </is>
      </c>
      <c r="B10601" s="1" t="n">
        <v>45111</v>
      </c>
      <c r="C10601" s="1" t="n">
        <v>45810</v>
      </c>
      <c r="D10601" t="inlineStr">
        <is>
          <t>VÄRMLANDS LÄN</t>
        </is>
      </c>
      <c r="E10601" t="inlineStr">
        <is>
          <t>TORSBY</t>
        </is>
      </c>
      <c r="G10601" t="n">
        <v>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30455-2023</t>
        </is>
      </c>
      <c r="B10602" s="1" t="n">
        <v>45111</v>
      </c>
      <c r="C10602" s="1" t="n">
        <v>45810</v>
      </c>
      <c r="D10602" t="inlineStr">
        <is>
          <t>VÄRMLANDS LÄN</t>
        </is>
      </c>
      <c r="E10602" t="inlineStr">
        <is>
          <t>TORSBY</t>
        </is>
      </c>
      <c r="G10602" t="n">
        <v>1.8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30339-2023</t>
        </is>
      </c>
      <c r="B10603" s="1" t="n">
        <v>45111</v>
      </c>
      <c r="C10603" s="1" t="n">
        <v>45810</v>
      </c>
      <c r="D10603" t="inlineStr">
        <is>
          <t>VÄRMLANDS LÄN</t>
        </is>
      </c>
      <c r="E10603" t="inlineStr">
        <is>
          <t>KARLSTAD</t>
        </is>
      </c>
      <c r="G10603" t="n">
        <v>4.7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30370-2023</t>
        </is>
      </c>
      <c r="B10604" s="1" t="n">
        <v>45111</v>
      </c>
      <c r="C10604" s="1" t="n">
        <v>45810</v>
      </c>
      <c r="D10604" t="inlineStr">
        <is>
          <t>VÄRMLANDS LÄN</t>
        </is>
      </c>
      <c r="E10604" t="inlineStr">
        <is>
          <t>TORSBY</t>
        </is>
      </c>
      <c r="G10604" t="n">
        <v>2.9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30368-2023</t>
        </is>
      </c>
      <c r="B10605" s="1" t="n">
        <v>45111</v>
      </c>
      <c r="C10605" s="1" t="n">
        <v>45810</v>
      </c>
      <c r="D10605" t="inlineStr">
        <is>
          <t>VÄRMLANDS LÄN</t>
        </is>
      </c>
      <c r="E10605" t="inlineStr">
        <is>
          <t>KARLSTAD</t>
        </is>
      </c>
      <c r="G10605" t="n">
        <v>6.5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30533-2023</t>
        </is>
      </c>
      <c r="B10606" s="1" t="n">
        <v>45111</v>
      </c>
      <c r="C10606" s="1" t="n">
        <v>45810</v>
      </c>
      <c r="D10606" t="inlineStr">
        <is>
          <t>VÄRMLANDS LÄN</t>
        </is>
      </c>
      <c r="E10606" t="inlineStr">
        <is>
          <t>KARLSTAD</t>
        </is>
      </c>
      <c r="G10606" t="n">
        <v>1.3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30531-2023</t>
        </is>
      </c>
      <c r="B10607" s="1" t="n">
        <v>45111</v>
      </c>
      <c r="C10607" s="1" t="n">
        <v>45810</v>
      </c>
      <c r="D10607" t="inlineStr">
        <is>
          <t>VÄRMLANDS LÄN</t>
        </is>
      </c>
      <c r="E10607" t="inlineStr">
        <is>
          <t>TORSBY</t>
        </is>
      </c>
      <c r="G10607" t="n">
        <v>0.8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30336-2023</t>
        </is>
      </c>
      <c r="B10608" s="1" t="n">
        <v>45111</v>
      </c>
      <c r="C10608" s="1" t="n">
        <v>45810</v>
      </c>
      <c r="D10608" t="inlineStr">
        <is>
          <t>VÄRMLANDS LÄN</t>
        </is>
      </c>
      <c r="E10608" t="inlineStr">
        <is>
          <t>HAGFORS</t>
        </is>
      </c>
      <c r="G10608" t="n">
        <v>1.6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30344-2023</t>
        </is>
      </c>
      <c r="B10609" s="1" t="n">
        <v>45111</v>
      </c>
      <c r="C10609" s="1" t="n">
        <v>45810</v>
      </c>
      <c r="D10609" t="inlineStr">
        <is>
          <t>VÄRMLANDS LÄN</t>
        </is>
      </c>
      <c r="E10609" t="inlineStr">
        <is>
          <t>TORSBY</t>
        </is>
      </c>
      <c r="F10609" t="inlineStr">
        <is>
          <t>Bergvik skog väst AB</t>
        </is>
      </c>
      <c r="G10609" t="n">
        <v>9.4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30347-2023</t>
        </is>
      </c>
      <c r="B10610" s="1" t="n">
        <v>45111</v>
      </c>
      <c r="C10610" s="1" t="n">
        <v>45810</v>
      </c>
      <c r="D10610" t="inlineStr">
        <is>
          <t>VÄRMLANDS LÄN</t>
        </is>
      </c>
      <c r="E10610" t="inlineStr">
        <is>
          <t>EDA</t>
        </is>
      </c>
      <c r="G10610" t="n">
        <v>2.6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30548-2023</t>
        </is>
      </c>
      <c r="B10611" s="1" t="n">
        <v>45111</v>
      </c>
      <c r="C10611" s="1" t="n">
        <v>45810</v>
      </c>
      <c r="D10611" t="inlineStr">
        <is>
          <t>VÄRMLANDS LÄN</t>
        </is>
      </c>
      <c r="E10611" t="inlineStr">
        <is>
          <t>ÅRJÄNG</t>
        </is>
      </c>
      <c r="G10611" t="n">
        <v>4.7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30599-2023</t>
        </is>
      </c>
      <c r="B10612" s="1" t="n">
        <v>45112</v>
      </c>
      <c r="C10612" s="1" t="n">
        <v>45810</v>
      </c>
      <c r="D10612" t="inlineStr">
        <is>
          <t>VÄRMLANDS LÄN</t>
        </is>
      </c>
      <c r="E10612" t="inlineStr">
        <is>
          <t>KIL</t>
        </is>
      </c>
      <c r="G10612" t="n">
        <v>10.1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30670-2023</t>
        </is>
      </c>
      <c r="B10613" s="1" t="n">
        <v>45112</v>
      </c>
      <c r="C10613" s="1" t="n">
        <v>45810</v>
      </c>
      <c r="D10613" t="inlineStr">
        <is>
          <t>VÄRMLANDS LÄN</t>
        </is>
      </c>
      <c r="E10613" t="inlineStr">
        <is>
          <t>TORSBY</t>
        </is>
      </c>
      <c r="G10613" t="n">
        <v>3.4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30710-2023</t>
        </is>
      </c>
      <c r="B10614" s="1" t="n">
        <v>45112</v>
      </c>
      <c r="C10614" s="1" t="n">
        <v>45810</v>
      </c>
      <c r="D10614" t="inlineStr">
        <is>
          <t>VÄRMLANDS LÄN</t>
        </is>
      </c>
      <c r="E10614" t="inlineStr">
        <is>
          <t>ÅRJÄNG</t>
        </is>
      </c>
      <c r="G10614" t="n">
        <v>2.3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30587-2023</t>
        </is>
      </c>
      <c r="B10615" s="1" t="n">
        <v>45112</v>
      </c>
      <c r="C10615" s="1" t="n">
        <v>45810</v>
      </c>
      <c r="D10615" t="inlineStr">
        <is>
          <t>VÄRMLANDS LÄN</t>
        </is>
      </c>
      <c r="E10615" t="inlineStr">
        <is>
          <t>STORFORS</t>
        </is>
      </c>
      <c r="G10615" t="n">
        <v>1.7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30624-2023</t>
        </is>
      </c>
      <c r="B10616" s="1" t="n">
        <v>45112</v>
      </c>
      <c r="C10616" s="1" t="n">
        <v>45810</v>
      </c>
      <c r="D10616" t="inlineStr">
        <is>
          <t>VÄRMLANDS LÄN</t>
        </is>
      </c>
      <c r="E10616" t="inlineStr">
        <is>
          <t>TORSBY</t>
        </is>
      </c>
      <c r="G10616" t="n">
        <v>3.3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30679-2023</t>
        </is>
      </c>
      <c r="B10617" s="1" t="n">
        <v>45112</v>
      </c>
      <c r="C10617" s="1" t="n">
        <v>45810</v>
      </c>
      <c r="D10617" t="inlineStr">
        <is>
          <t>VÄRMLANDS LÄN</t>
        </is>
      </c>
      <c r="E10617" t="inlineStr">
        <is>
          <t>SUNNE</t>
        </is>
      </c>
      <c r="G10617" t="n">
        <v>0.9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30741-2023</t>
        </is>
      </c>
      <c r="B10618" s="1" t="n">
        <v>45112</v>
      </c>
      <c r="C10618" s="1" t="n">
        <v>45810</v>
      </c>
      <c r="D10618" t="inlineStr">
        <is>
          <t>VÄRMLANDS LÄN</t>
        </is>
      </c>
      <c r="E10618" t="inlineStr">
        <is>
          <t>TORSBY</t>
        </is>
      </c>
      <c r="G10618" t="n">
        <v>0.8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30712-2023</t>
        </is>
      </c>
      <c r="B10619" s="1" t="n">
        <v>45112</v>
      </c>
      <c r="C10619" s="1" t="n">
        <v>45810</v>
      </c>
      <c r="D10619" t="inlineStr">
        <is>
          <t>VÄRMLANDS LÄN</t>
        </is>
      </c>
      <c r="E10619" t="inlineStr">
        <is>
          <t>SUNNE</t>
        </is>
      </c>
      <c r="G10619" t="n">
        <v>0.5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30768-2023</t>
        </is>
      </c>
      <c r="B10620" s="1" t="n">
        <v>45112</v>
      </c>
      <c r="C10620" s="1" t="n">
        <v>45810</v>
      </c>
      <c r="D10620" t="inlineStr">
        <is>
          <t>VÄRMLANDS LÄN</t>
        </is>
      </c>
      <c r="E10620" t="inlineStr">
        <is>
          <t>ÅRJÄNG</t>
        </is>
      </c>
      <c r="G10620" t="n">
        <v>6.6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30677-2023</t>
        </is>
      </c>
      <c r="B10621" s="1" t="n">
        <v>45112</v>
      </c>
      <c r="C10621" s="1" t="n">
        <v>45810</v>
      </c>
      <c r="D10621" t="inlineStr">
        <is>
          <t>VÄRMLANDS LÄN</t>
        </is>
      </c>
      <c r="E10621" t="inlineStr">
        <is>
          <t>SUNNE</t>
        </is>
      </c>
      <c r="G10621" t="n">
        <v>1.6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32695-2023</t>
        </is>
      </c>
      <c r="B10622" s="1" t="n">
        <v>45112</v>
      </c>
      <c r="C10622" s="1" t="n">
        <v>45810</v>
      </c>
      <c r="D10622" t="inlineStr">
        <is>
          <t>VÄRMLANDS LÄN</t>
        </is>
      </c>
      <c r="E10622" t="inlineStr">
        <is>
          <t>HAGFORS</t>
        </is>
      </c>
      <c r="G10622" t="n">
        <v>2.6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32696-2023</t>
        </is>
      </c>
      <c r="B10623" s="1" t="n">
        <v>45112</v>
      </c>
      <c r="C10623" s="1" t="n">
        <v>45810</v>
      </c>
      <c r="D10623" t="inlineStr">
        <is>
          <t>VÄRMLANDS LÄN</t>
        </is>
      </c>
      <c r="E10623" t="inlineStr">
        <is>
          <t>HAGFORS</t>
        </is>
      </c>
      <c r="G10623" t="n">
        <v>0.9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32821-2023</t>
        </is>
      </c>
      <c r="B10624" s="1" t="n">
        <v>45112</v>
      </c>
      <c r="C10624" s="1" t="n">
        <v>45810</v>
      </c>
      <c r="D10624" t="inlineStr">
        <is>
          <t>VÄRMLANDS LÄN</t>
        </is>
      </c>
      <c r="E10624" t="inlineStr">
        <is>
          <t>KRISTINEHAMN</t>
        </is>
      </c>
      <c r="F10624" t="inlineStr">
        <is>
          <t>Kommuner</t>
        </is>
      </c>
      <c r="G10624" t="n">
        <v>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32875-2023</t>
        </is>
      </c>
      <c r="B10625" s="1" t="n">
        <v>45112</v>
      </c>
      <c r="C10625" s="1" t="n">
        <v>45810</v>
      </c>
      <c r="D10625" t="inlineStr">
        <is>
          <t>VÄRMLANDS LÄN</t>
        </is>
      </c>
      <c r="E10625" t="inlineStr">
        <is>
          <t>KARLSTAD</t>
        </is>
      </c>
      <c r="G10625" t="n">
        <v>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32697-2023</t>
        </is>
      </c>
      <c r="B10626" s="1" t="n">
        <v>45112</v>
      </c>
      <c r="C10626" s="1" t="n">
        <v>45810</v>
      </c>
      <c r="D10626" t="inlineStr">
        <is>
          <t>VÄRMLANDS LÄN</t>
        </is>
      </c>
      <c r="E10626" t="inlineStr">
        <is>
          <t>HAGFORS</t>
        </is>
      </c>
      <c r="G10626" t="n">
        <v>3.5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32878-2023</t>
        </is>
      </c>
      <c r="B10627" s="1" t="n">
        <v>45112</v>
      </c>
      <c r="C10627" s="1" t="n">
        <v>45810</v>
      </c>
      <c r="D10627" t="inlineStr">
        <is>
          <t>VÄRMLANDS LÄN</t>
        </is>
      </c>
      <c r="E10627" t="inlineStr">
        <is>
          <t>KARLSTAD</t>
        </is>
      </c>
      <c r="G10627" t="n">
        <v>8.199999999999999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30888-2023</t>
        </is>
      </c>
      <c r="B10628" s="1" t="n">
        <v>45113</v>
      </c>
      <c r="C10628" s="1" t="n">
        <v>45810</v>
      </c>
      <c r="D10628" t="inlineStr">
        <is>
          <t>VÄRMLANDS LÄN</t>
        </is>
      </c>
      <c r="E10628" t="inlineStr">
        <is>
          <t>SUNNE</t>
        </is>
      </c>
      <c r="G10628" t="n">
        <v>3.3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30919-2023</t>
        </is>
      </c>
      <c r="B10629" s="1" t="n">
        <v>45113</v>
      </c>
      <c r="C10629" s="1" t="n">
        <v>45810</v>
      </c>
      <c r="D10629" t="inlineStr">
        <is>
          <t>VÄRMLANDS LÄN</t>
        </is>
      </c>
      <c r="E10629" t="inlineStr">
        <is>
          <t>SÄFFLE</t>
        </is>
      </c>
      <c r="G10629" t="n">
        <v>4.1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30974-2023</t>
        </is>
      </c>
      <c r="B10630" s="1" t="n">
        <v>45113</v>
      </c>
      <c r="C10630" s="1" t="n">
        <v>45810</v>
      </c>
      <c r="D10630" t="inlineStr">
        <is>
          <t>VÄRMLANDS LÄN</t>
        </is>
      </c>
      <c r="E10630" t="inlineStr">
        <is>
          <t>SUNNE</t>
        </is>
      </c>
      <c r="G10630" t="n">
        <v>7.5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30989-2023</t>
        </is>
      </c>
      <c r="B10631" s="1" t="n">
        <v>45113</v>
      </c>
      <c r="C10631" s="1" t="n">
        <v>45810</v>
      </c>
      <c r="D10631" t="inlineStr">
        <is>
          <t>VÄRMLANDS LÄN</t>
        </is>
      </c>
      <c r="E10631" t="inlineStr">
        <is>
          <t>SUNNE</t>
        </is>
      </c>
      <c r="G10631" t="n">
        <v>0.7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31004-2023</t>
        </is>
      </c>
      <c r="B10632" s="1" t="n">
        <v>45113</v>
      </c>
      <c r="C10632" s="1" t="n">
        <v>45810</v>
      </c>
      <c r="D10632" t="inlineStr">
        <is>
          <t>VÄRMLANDS LÄN</t>
        </is>
      </c>
      <c r="E10632" t="inlineStr">
        <is>
          <t>ARVIKA</t>
        </is>
      </c>
      <c r="G10632" t="n">
        <v>2.3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30914-2023</t>
        </is>
      </c>
      <c r="B10633" s="1" t="n">
        <v>45113</v>
      </c>
      <c r="C10633" s="1" t="n">
        <v>45810</v>
      </c>
      <c r="D10633" t="inlineStr">
        <is>
          <t>VÄRMLANDS LÄN</t>
        </is>
      </c>
      <c r="E10633" t="inlineStr">
        <is>
          <t>GRUMS</t>
        </is>
      </c>
      <c r="G10633" t="n">
        <v>2.1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31052-2023</t>
        </is>
      </c>
      <c r="B10634" s="1" t="n">
        <v>45113</v>
      </c>
      <c r="C10634" s="1" t="n">
        <v>45810</v>
      </c>
      <c r="D10634" t="inlineStr">
        <is>
          <t>VÄRMLANDS LÄN</t>
        </is>
      </c>
      <c r="E10634" t="inlineStr">
        <is>
          <t>TORSBY</t>
        </is>
      </c>
      <c r="G10634" t="n">
        <v>2.2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31073-2023</t>
        </is>
      </c>
      <c r="B10635" s="1" t="n">
        <v>45113</v>
      </c>
      <c r="C10635" s="1" t="n">
        <v>45810</v>
      </c>
      <c r="D10635" t="inlineStr">
        <is>
          <t>VÄRMLANDS LÄN</t>
        </is>
      </c>
      <c r="E10635" t="inlineStr">
        <is>
          <t>SÄFFLE</t>
        </is>
      </c>
      <c r="G10635" t="n">
        <v>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31081-2023</t>
        </is>
      </c>
      <c r="B10636" s="1" t="n">
        <v>45113</v>
      </c>
      <c r="C10636" s="1" t="n">
        <v>45810</v>
      </c>
      <c r="D10636" t="inlineStr">
        <is>
          <t>VÄRMLANDS LÄN</t>
        </is>
      </c>
      <c r="E10636" t="inlineStr">
        <is>
          <t>SÄFFLE</t>
        </is>
      </c>
      <c r="G10636" t="n">
        <v>1.4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31086-2023</t>
        </is>
      </c>
      <c r="B10637" s="1" t="n">
        <v>45113</v>
      </c>
      <c r="C10637" s="1" t="n">
        <v>45810</v>
      </c>
      <c r="D10637" t="inlineStr">
        <is>
          <t>VÄRMLANDS LÄN</t>
        </is>
      </c>
      <c r="E10637" t="inlineStr">
        <is>
          <t>SÄFFLE</t>
        </is>
      </c>
      <c r="G10637" t="n">
        <v>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30995-2023</t>
        </is>
      </c>
      <c r="B10638" s="1" t="n">
        <v>45113</v>
      </c>
      <c r="C10638" s="1" t="n">
        <v>45810</v>
      </c>
      <c r="D10638" t="inlineStr">
        <is>
          <t>VÄRMLANDS LÄN</t>
        </is>
      </c>
      <c r="E10638" t="inlineStr">
        <is>
          <t>MUNKFORS</t>
        </is>
      </c>
      <c r="G10638" t="n">
        <v>4.4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31038-2023</t>
        </is>
      </c>
      <c r="B10639" s="1" t="n">
        <v>45113</v>
      </c>
      <c r="C10639" s="1" t="n">
        <v>45810</v>
      </c>
      <c r="D10639" t="inlineStr">
        <is>
          <t>VÄRMLANDS LÄN</t>
        </is>
      </c>
      <c r="E10639" t="inlineStr">
        <is>
          <t>SUNNE</t>
        </is>
      </c>
      <c r="G10639" t="n">
        <v>3.2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31020-2023</t>
        </is>
      </c>
      <c r="B10640" s="1" t="n">
        <v>45113</v>
      </c>
      <c r="C10640" s="1" t="n">
        <v>45810</v>
      </c>
      <c r="D10640" t="inlineStr">
        <is>
          <t>VÄRMLANDS LÄN</t>
        </is>
      </c>
      <c r="E10640" t="inlineStr">
        <is>
          <t>FILIPSTAD</t>
        </is>
      </c>
      <c r="G10640" t="n">
        <v>1.7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31034-2023</t>
        </is>
      </c>
      <c r="B10641" s="1" t="n">
        <v>45113</v>
      </c>
      <c r="C10641" s="1" t="n">
        <v>45810</v>
      </c>
      <c r="D10641" t="inlineStr">
        <is>
          <t>VÄRMLANDS LÄN</t>
        </is>
      </c>
      <c r="E10641" t="inlineStr">
        <is>
          <t>SUNNE</t>
        </is>
      </c>
      <c r="G10641" t="n">
        <v>3.2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31083-2023</t>
        </is>
      </c>
      <c r="B10642" s="1" t="n">
        <v>45113</v>
      </c>
      <c r="C10642" s="1" t="n">
        <v>45810</v>
      </c>
      <c r="D10642" t="inlineStr">
        <is>
          <t>VÄRMLANDS LÄN</t>
        </is>
      </c>
      <c r="E10642" t="inlineStr">
        <is>
          <t>ARVIKA</t>
        </is>
      </c>
      <c r="G10642" t="n">
        <v>0.6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31089-2023</t>
        </is>
      </c>
      <c r="B10643" s="1" t="n">
        <v>45113</v>
      </c>
      <c r="C10643" s="1" t="n">
        <v>45810</v>
      </c>
      <c r="D10643" t="inlineStr">
        <is>
          <t>VÄRMLANDS LÄN</t>
        </is>
      </c>
      <c r="E10643" t="inlineStr">
        <is>
          <t>SÄFFLE</t>
        </is>
      </c>
      <c r="G10643" t="n">
        <v>2.3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31109-2023</t>
        </is>
      </c>
      <c r="B10644" s="1" t="n">
        <v>45113</v>
      </c>
      <c r="C10644" s="1" t="n">
        <v>45810</v>
      </c>
      <c r="D10644" t="inlineStr">
        <is>
          <t>VÄRMLANDS LÄN</t>
        </is>
      </c>
      <c r="E10644" t="inlineStr">
        <is>
          <t>SUNNE</t>
        </is>
      </c>
      <c r="G10644" t="n">
        <v>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31053-2023</t>
        </is>
      </c>
      <c r="B10645" s="1" t="n">
        <v>45113</v>
      </c>
      <c r="C10645" s="1" t="n">
        <v>45810</v>
      </c>
      <c r="D10645" t="inlineStr">
        <is>
          <t>VÄRMLANDS LÄN</t>
        </is>
      </c>
      <c r="E10645" t="inlineStr">
        <is>
          <t>ARVIKA</t>
        </is>
      </c>
      <c r="G10645" t="n">
        <v>2.7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31069-2023</t>
        </is>
      </c>
      <c r="B10646" s="1" t="n">
        <v>45113</v>
      </c>
      <c r="C10646" s="1" t="n">
        <v>45810</v>
      </c>
      <c r="D10646" t="inlineStr">
        <is>
          <t>VÄRMLANDS LÄN</t>
        </is>
      </c>
      <c r="E10646" t="inlineStr">
        <is>
          <t>SÄFFLE</t>
        </is>
      </c>
      <c r="G10646" t="n">
        <v>2.3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31097-2023</t>
        </is>
      </c>
      <c r="B10647" s="1" t="n">
        <v>45113</v>
      </c>
      <c r="C10647" s="1" t="n">
        <v>45810</v>
      </c>
      <c r="D10647" t="inlineStr">
        <is>
          <t>VÄRMLANDS LÄN</t>
        </is>
      </c>
      <c r="E10647" t="inlineStr">
        <is>
          <t>HAGFORS</t>
        </is>
      </c>
      <c r="F10647" t="inlineStr">
        <is>
          <t>Bergvik skog väst AB</t>
        </is>
      </c>
      <c r="G10647" t="n">
        <v>8.6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31107-2023</t>
        </is>
      </c>
      <c r="B10648" s="1" t="n">
        <v>45113</v>
      </c>
      <c r="C10648" s="1" t="n">
        <v>45810</v>
      </c>
      <c r="D10648" t="inlineStr">
        <is>
          <t>VÄRMLANDS LÄN</t>
        </is>
      </c>
      <c r="E10648" t="inlineStr">
        <is>
          <t>FILIPSTAD</t>
        </is>
      </c>
      <c r="F10648" t="inlineStr">
        <is>
          <t>Bergvik skog väst AB</t>
        </is>
      </c>
      <c r="G10648" t="n">
        <v>4.5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31094-2023</t>
        </is>
      </c>
      <c r="B10649" s="1" t="n">
        <v>45113</v>
      </c>
      <c r="C10649" s="1" t="n">
        <v>45810</v>
      </c>
      <c r="D10649" t="inlineStr">
        <is>
          <t>VÄRMLANDS LÄN</t>
        </is>
      </c>
      <c r="E10649" t="inlineStr">
        <is>
          <t>SUNNE</t>
        </is>
      </c>
      <c r="G10649" t="n">
        <v>1.1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31112-2023</t>
        </is>
      </c>
      <c r="B10650" s="1" t="n">
        <v>45113</v>
      </c>
      <c r="C10650" s="1" t="n">
        <v>45810</v>
      </c>
      <c r="D10650" t="inlineStr">
        <is>
          <t>VÄRMLANDS LÄN</t>
        </is>
      </c>
      <c r="E10650" t="inlineStr">
        <is>
          <t>TORSBY</t>
        </is>
      </c>
      <c r="F10650" t="inlineStr">
        <is>
          <t>Bergvik skog väst AB</t>
        </is>
      </c>
      <c r="G10650" t="n">
        <v>1.5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32951-2023</t>
        </is>
      </c>
      <c r="B10651" s="1" t="n">
        <v>45113</v>
      </c>
      <c r="C10651" s="1" t="n">
        <v>45810</v>
      </c>
      <c r="D10651" t="inlineStr">
        <is>
          <t>VÄRMLANDS LÄN</t>
        </is>
      </c>
      <c r="E10651" t="inlineStr">
        <is>
          <t>ÅRJÄNG</t>
        </is>
      </c>
      <c r="G10651" t="n">
        <v>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32949-2023</t>
        </is>
      </c>
      <c r="B10652" s="1" t="n">
        <v>45113</v>
      </c>
      <c r="C10652" s="1" t="n">
        <v>45810</v>
      </c>
      <c r="D10652" t="inlineStr">
        <is>
          <t>VÄRMLANDS LÄN</t>
        </is>
      </c>
      <c r="E10652" t="inlineStr">
        <is>
          <t>ÅRJÄNG</t>
        </is>
      </c>
      <c r="G10652" t="n">
        <v>0.9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32991-2023</t>
        </is>
      </c>
      <c r="B10653" s="1" t="n">
        <v>45113</v>
      </c>
      <c r="C10653" s="1" t="n">
        <v>45810</v>
      </c>
      <c r="D10653" t="inlineStr">
        <is>
          <t>VÄRMLANDS LÄN</t>
        </is>
      </c>
      <c r="E10653" t="inlineStr">
        <is>
          <t>KRISTINEHAMN</t>
        </is>
      </c>
      <c r="G10653" t="n">
        <v>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31350-2023</t>
        </is>
      </c>
      <c r="B10654" s="1" t="n">
        <v>45114</v>
      </c>
      <c r="C10654" s="1" t="n">
        <v>45810</v>
      </c>
      <c r="D10654" t="inlineStr">
        <is>
          <t>VÄRMLANDS LÄN</t>
        </is>
      </c>
      <c r="E10654" t="inlineStr">
        <is>
          <t>FILIPSTAD</t>
        </is>
      </c>
      <c r="G10654" t="n">
        <v>1.2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31358-2023</t>
        </is>
      </c>
      <c r="B10655" s="1" t="n">
        <v>45114</v>
      </c>
      <c r="C10655" s="1" t="n">
        <v>45810</v>
      </c>
      <c r="D10655" t="inlineStr">
        <is>
          <t>VÄRMLANDS LÄN</t>
        </is>
      </c>
      <c r="E10655" t="inlineStr">
        <is>
          <t>FILIPSTAD</t>
        </is>
      </c>
      <c r="G10655" t="n">
        <v>2.6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31374-2023</t>
        </is>
      </c>
      <c r="B10656" s="1" t="n">
        <v>45114</v>
      </c>
      <c r="C10656" s="1" t="n">
        <v>45810</v>
      </c>
      <c r="D10656" t="inlineStr">
        <is>
          <t>VÄRMLANDS LÄN</t>
        </is>
      </c>
      <c r="E10656" t="inlineStr">
        <is>
          <t>KRISTINEHAMN</t>
        </is>
      </c>
      <c r="F10656" t="inlineStr">
        <is>
          <t>Sveaskog</t>
        </is>
      </c>
      <c r="G10656" t="n">
        <v>3.1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31379-2023</t>
        </is>
      </c>
      <c r="B10657" s="1" t="n">
        <v>45114</v>
      </c>
      <c r="C10657" s="1" t="n">
        <v>45810</v>
      </c>
      <c r="D10657" t="inlineStr">
        <is>
          <t>VÄRMLANDS LÄN</t>
        </is>
      </c>
      <c r="E10657" t="inlineStr">
        <is>
          <t>KRISTINEHAMN</t>
        </is>
      </c>
      <c r="F10657" t="inlineStr">
        <is>
          <t>Sveaskog</t>
        </is>
      </c>
      <c r="G10657" t="n">
        <v>4.1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31218-2023</t>
        </is>
      </c>
      <c r="B10658" s="1" t="n">
        <v>45114</v>
      </c>
      <c r="C10658" s="1" t="n">
        <v>45810</v>
      </c>
      <c r="D10658" t="inlineStr">
        <is>
          <t>VÄRMLANDS LÄN</t>
        </is>
      </c>
      <c r="E10658" t="inlineStr">
        <is>
          <t>EDA</t>
        </is>
      </c>
      <c r="G10658" t="n">
        <v>1.6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31393-2023</t>
        </is>
      </c>
      <c r="B10659" s="1" t="n">
        <v>45114</v>
      </c>
      <c r="C10659" s="1" t="n">
        <v>45810</v>
      </c>
      <c r="D10659" t="inlineStr">
        <is>
          <t>VÄRMLANDS LÄN</t>
        </is>
      </c>
      <c r="E10659" t="inlineStr">
        <is>
          <t>KRISTINEHAMN</t>
        </is>
      </c>
      <c r="F10659" t="inlineStr">
        <is>
          <t>Bergvik skog väst AB</t>
        </is>
      </c>
      <c r="G10659" t="n">
        <v>7.8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31398-2023</t>
        </is>
      </c>
      <c r="B10660" s="1" t="n">
        <v>45114</v>
      </c>
      <c r="C10660" s="1" t="n">
        <v>45810</v>
      </c>
      <c r="D10660" t="inlineStr">
        <is>
          <t>VÄRMLANDS LÄN</t>
        </is>
      </c>
      <c r="E10660" t="inlineStr">
        <is>
          <t>EDA</t>
        </is>
      </c>
      <c r="G10660" t="n">
        <v>2.2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31306-2023</t>
        </is>
      </c>
      <c r="B10661" s="1" t="n">
        <v>45114</v>
      </c>
      <c r="C10661" s="1" t="n">
        <v>45810</v>
      </c>
      <c r="D10661" t="inlineStr">
        <is>
          <t>VÄRMLANDS LÄN</t>
        </is>
      </c>
      <c r="E10661" t="inlineStr">
        <is>
          <t>FILIPSTAD</t>
        </is>
      </c>
      <c r="F10661" t="inlineStr">
        <is>
          <t>Bergvik skog väst AB</t>
        </is>
      </c>
      <c r="G10661" t="n">
        <v>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31339-2023</t>
        </is>
      </c>
      <c r="B10662" s="1" t="n">
        <v>45114</v>
      </c>
      <c r="C10662" s="1" t="n">
        <v>45810</v>
      </c>
      <c r="D10662" t="inlineStr">
        <is>
          <t>VÄRMLANDS LÄN</t>
        </is>
      </c>
      <c r="E10662" t="inlineStr">
        <is>
          <t>SUNNE</t>
        </is>
      </c>
      <c r="G10662" t="n">
        <v>0.8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31451-2023</t>
        </is>
      </c>
      <c r="B10663" s="1" t="n">
        <v>45114</v>
      </c>
      <c r="C10663" s="1" t="n">
        <v>45810</v>
      </c>
      <c r="D10663" t="inlineStr">
        <is>
          <t>VÄRMLANDS LÄN</t>
        </is>
      </c>
      <c r="E10663" t="inlineStr">
        <is>
          <t>FILIPSTAD</t>
        </is>
      </c>
      <c r="F10663" t="inlineStr">
        <is>
          <t>Bergvik skog väst AB</t>
        </is>
      </c>
      <c r="G10663" t="n">
        <v>3.3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31373-2023</t>
        </is>
      </c>
      <c r="B10664" s="1" t="n">
        <v>45114</v>
      </c>
      <c r="C10664" s="1" t="n">
        <v>45810</v>
      </c>
      <c r="D10664" t="inlineStr">
        <is>
          <t>VÄRMLANDS LÄN</t>
        </is>
      </c>
      <c r="E10664" t="inlineStr">
        <is>
          <t>KRISTINEHAMN</t>
        </is>
      </c>
      <c r="F10664" t="inlineStr">
        <is>
          <t>Sveaskog</t>
        </is>
      </c>
      <c r="G10664" t="n">
        <v>3.5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31392-2023</t>
        </is>
      </c>
      <c r="B10665" s="1" t="n">
        <v>45114</v>
      </c>
      <c r="C10665" s="1" t="n">
        <v>45810</v>
      </c>
      <c r="D10665" t="inlineStr">
        <is>
          <t>VÄRMLANDS LÄN</t>
        </is>
      </c>
      <c r="E10665" t="inlineStr">
        <is>
          <t>ÅRJÄNG</t>
        </is>
      </c>
      <c r="G10665" t="n">
        <v>1.5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31300-2023</t>
        </is>
      </c>
      <c r="B10666" s="1" t="n">
        <v>45114</v>
      </c>
      <c r="C10666" s="1" t="n">
        <v>45810</v>
      </c>
      <c r="D10666" t="inlineStr">
        <is>
          <t>VÄRMLANDS LÄN</t>
        </is>
      </c>
      <c r="E10666" t="inlineStr">
        <is>
          <t>FILIPSTAD</t>
        </is>
      </c>
      <c r="F10666" t="inlineStr">
        <is>
          <t>Bergvik skog väst AB</t>
        </is>
      </c>
      <c r="G10666" t="n">
        <v>4.6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31465-2023</t>
        </is>
      </c>
      <c r="B10667" s="1" t="n">
        <v>45114</v>
      </c>
      <c r="C10667" s="1" t="n">
        <v>45810</v>
      </c>
      <c r="D10667" t="inlineStr">
        <is>
          <t>VÄRMLANDS LÄN</t>
        </is>
      </c>
      <c r="E10667" t="inlineStr">
        <is>
          <t>TORSBY</t>
        </is>
      </c>
      <c r="G10667" t="n">
        <v>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31316-2023</t>
        </is>
      </c>
      <c r="B10668" s="1" t="n">
        <v>45114</v>
      </c>
      <c r="C10668" s="1" t="n">
        <v>45810</v>
      </c>
      <c r="D10668" t="inlineStr">
        <is>
          <t>VÄRMLANDS LÄN</t>
        </is>
      </c>
      <c r="E10668" t="inlineStr">
        <is>
          <t>KARLSTAD</t>
        </is>
      </c>
      <c r="G10668" t="n">
        <v>0.5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31322-2023</t>
        </is>
      </c>
      <c r="B10669" s="1" t="n">
        <v>45114</v>
      </c>
      <c r="C10669" s="1" t="n">
        <v>45810</v>
      </c>
      <c r="D10669" t="inlineStr">
        <is>
          <t>VÄRMLANDS LÄN</t>
        </is>
      </c>
      <c r="E10669" t="inlineStr">
        <is>
          <t>EDA</t>
        </is>
      </c>
      <c r="G10669" t="n">
        <v>1.1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31432-2023</t>
        </is>
      </c>
      <c r="B10670" s="1" t="n">
        <v>45114</v>
      </c>
      <c r="C10670" s="1" t="n">
        <v>45810</v>
      </c>
      <c r="D10670" t="inlineStr">
        <is>
          <t>VÄRMLANDS LÄN</t>
        </is>
      </c>
      <c r="E10670" t="inlineStr">
        <is>
          <t>KRISTINEHAMN</t>
        </is>
      </c>
      <c r="G10670" t="n">
        <v>3.9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31342-2023</t>
        </is>
      </c>
      <c r="B10671" s="1" t="n">
        <v>45114</v>
      </c>
      <c r="C10671" s="1" t="n">
        <v>45810</v>
      </c>
      <c r="D10671" t="inlineStr">
        <is>
          <t>VÄRMLANDS LÄN</t>
        </is>
      </c>
      <c r="E10671" t="inlineStr">
        <is>
          <t>FILIPSTAD</t>
        </is>
      </c>
      <c r="G10671" t="n">
        <v>4.5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31372-2023</t>
        </is>
      </c>
      <c r="B10672" s="1" t="n">
        <v>45114</v>
      </c>
      <c r="C10672" s="1" t="n">
        <v>45810</v>
      </c>
      <c r="D10672" t="inlineStr">
        <is>
          <t>VÄRMLANDS LÄN</t>
        </is>
      </c>
      <c r="E10672" t="inlineStr">
        <is>
          <t>STORFORS</t>
        </is>
      </c>
      <c r="F10672" t="inlineStr">
        <is>
          <t>Bergvik skog väst AB</t>
        </is>
      </c>
      <c r="G10672" t="n">
        <v>6.3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31299-2023</t>
        </is>
      </c>
      <c r="B10673" s="1" t="n">
        <v>45114</v>
      </c>
      <c r="C10673" s="1" t="n">
        <v>45810</v>
      </c>
      <c r="D10673" t="inlineStr">
        <is>
          <t>VÄRMLANDS LÄN</t>
        </is>
      </c>
      <c r="E10673" t="inlineStr">
        <is>
          <t>FILIPSTAD</t>
        </is>
      </c>
      <c r="F10673" t="inlineStr">
        <is>
          <t>Bergvik skog väst AB</t>
        </is>
      </c>
      <c r="G10673" t="n">
        <v>3.2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31351-2023</t>
        </is>
      </c>
      <c r="B10674" s="1" t="n">
        <v>45114</v>
      </c>
      <c r="C10674" s="1" t="n">
        <v>45810</v>
      </c>
      <c r="D10674" t="inlineStr">
        <is>
          <t>VÄRMLANDS LÄN</t>
        </is>
      </c>
      <c r="E10674" t="inlineStr">
        <is>
          <t>FILIPSTAD</t>
        </is>
      </c>
      <c r="F10674" t="inlineStr">
        <is>
          <t>Bergvik skog väst AB</t>
        </is>
      </c>
      <c r="G10674" t="n">
        <v>6.9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31434-2023</t>
        </is>
      </c>
      <c r="B10675" s="1" t="n">
        <v>45114</v>
      </c>
      <c r="C10675" s="1" t="n">
        <v>45810</v>
      </c>
      <c r="D10675" t="inlineStr">
        <is>
          <t>VÄRMLANDS LÄN</t>
        </is>
      </c>
      <c r="E10675" t="inlineStr">
        <is>
          <t>EDA</t>
        </is>
      </c>
      <c r="G10675" t="n">
        <v>1.4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31452-2023</t>
        </is>
      </c>
      <c r="B10676" s="1" t="n">
        <v>45114</v>
      </c>
      <c r="C10676" s="1" t="n">
        <v>45810</v>
      </c>
      <c r="D10676" t="inlineStr">
        <is>
          <t>VÄRMLANDS LÄN</t>
        </is>
      </c>
      <c r="E10676" t="inlineStr">
        <is>
          <t>ARVIKA</t>
        </is>
      </c>
      <c r="G10676" t="n">
        <v>4.7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31532-2023</t>
        </is>
      </c>
      <c r="B10677" s="1" t="n">
        <v>45116</v>
      </c>
      <c r="C10677" s="1" t="n">
        <v>45810</v>
      </c>
      <c r="D10677" t="inlineStr">
        <is>
          <t>VÄRMLANDS LÄN</t>
        </is>
      </c>
      <c r="E10677" t="inlineStr">
        <is>
          <t>ARVIKA</t>
        </is>
      </c>
      <c r="G10677" t="n">
        <v>2.5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31547-2023</t>
        </is>
      </c>
      <c r="B10678" s="1" t="n">
        <v>45117</v>
      </c>
      <c r="C10678" s="1" t="n">
        <v>45810</v>
      </c>
      <c r="D10678" t="inlineStr">
        <is>
          <t>VÄRMLANDS LÄN</t>
        </is>
      </c>
      <c r="E10678" t="inlineStr">
        <is>
          <t>TORSBY</t>
        </is>
      </c>
      <c r="G10678" t="n">
        <v>2.8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31615-2023</t>
        </is>
      </c>
      <c r="B10679" s="1" t="n">
        <v>45117</v>
      </c>
      <c r="C10679" s="1" t="n">
        <v>45810</v>
      </c>
      <c r="D10679" t="inlineStr">
        <is>
          <t>VÄRMLANDS LÄN</t>
        </is>
      </c>
      <c r="E10679" t="inlineStr">
        <is>
          <t>ARVIKA</t>
        </is>
      </c>
      <c r="G10679" t="n">
        <v>2.2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31548-2023</t>
        </is>
      </c>
      <c r="B10680" s="1" t="n">
        <v>45117</v>
      </c>
      <c r="C10680" s="1" t="n">
        <v>45810</v>
      </c>
      <c r="D10680" t="inlineStr">
        <is>
          <t>VÄRMLANDS LÄN</t>
        </is>
      </c>
      <c r="E10680" t="inlineStr">
        <is>
          <t>TORSBY</t>
        </is>
      </c>
      <c r="F10680" t="inlineStr">
        <is>
          <t>Bergvik skog väst AB</t>
        </is>
      </c>
      <c r="G10680" t="n">
        <v>15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31592-2023</t>
        </is>
      </c>
      <c r="B10681" s="1" t="n">
        <v>45117</v>
      </c>
      <c r="C10681" s="1" t="n">
        <v>45810</v>
      </c>
      <c r="D10681" t="inlineStr">
        <is>
          <t>VÄRMLANDS LÄN</t>
        </is>
      </c>
      <c r="E10681" t="inlineStr">
        <is>
          <t>ÅRJÄNG</t>
        </is>
      </c>
      <c r="G10681" t="n">
        <v>1.2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31605-2023</t>
        </is>
      </c>
      <c r="B10682" s="1" t="n">
        <v>45117</v>
      </c>
      <c r="C10682" s="1" t="n">
        <v>45810</v>
      </c>
      <c r="D10682" t="inlineStr">
        <is>
          <t>VÄRMLANDS LÄN</t>
        </is>
      </c>
      <c r="E10682" t="inlineStr">
        <is>
          <t>SUNNE</t>
        </is>
      </c>
      <c r="G10682" t="n">
        <v>0.9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31561-2023</t>
        </is>
      </c>
      <c r="B10683" s="1" t="n">
        <v>45117</v>
      </c>
      <c r="C10683" s="1" t="n">
        <v>45810</v>
      </c>
      <c r="D10683" t="inlineStr">
        <is>
          <t>VÄRMLANDS LÄN</t>
        </is>
      </c>
      <c r="E10683" t="inlineStr">
        <is>
          <t>GRUMS</t>
        </is>
      </c>
      <c r="G10683" t="n">
        <v>1.2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31583-2023</t>
        </is>
      </c>
      <c r="B10684" s="1" t="n">
        <v>45117</v>
      </c>
      <c r="C10684" s="1" t="n">
        <v>45810</v>
      </c>
      <c r="D10684" t="inlineStr">
        <is>
          <t>VÄRMLANDS LÄN</t>
        </is>
      </c>
      <c r="E10684" t="inlineStr">
        <is>
          <t>HAGFORS</t>
        </is>
      </c>
      <c r="F10684" t="inlineStr">
        <is>
          <t>Bergvik skog väst AB</t>
        </is>
      </c>
      <c r="G10684" t="n">
        <v>6.2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31602-2023</t>
        </is>
      </c>
      <c r="B10685" s="1" t="n">
        <v>45117</v>
      </c>
      <c r="C10685" s="1" t="n">
        <v>45810</v>
      </c>
      <c r="D10685" t="inlineStr">
        <is>
          <t>VÄRMLANDS LÄN</t>
        </is>
      </c>
      <c r="E10685" t="inlineStr">
        <is>
          <t>SUNNE</t>
        </is>
      </c>
      <c r="G10685" t="n">
        <v>1.6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31794-2023</t>
        </is>
      </c>
      <c r="B10686" s="1" t="n">
        <v>45118</v>
      </c>
      <c r="C10686" s="1" t="n">
        <v>45810</v>
      </c>
      <c r="D10686" t="inlineStr">
        <is>
          <t>VÄRMLANDS LÄN</t>
        </is>
      </c>
      <c r="E10686" t="inlineStr">
        <is>
          <t>ÅRJÄNG</t>
        </is>
      </c>
      <c r="G10686" t="n">
        <v>2.3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31826-2023</t>
        </is>
      </c>
      <c r="B10687" s="1" t="n">
        <v>45118</v>
      </c>
      <c r="C10687" s="1" t="n">
        <v>45810</v>
      </c>
      <c r="D10687" t="inlineStr">
        <is>
          <t>VÄRMLANDS LÄN</t>
        </is>
      </c>
      <c r="E10687" t="inlineStr">
        <is>
          <t>HAGFORS</t>
        </is>
      </c>
      <c r="F10687" t="inlineStr">
        <is>
          <t>Bergvik skog väst AB</t>
        </is>
      </c>
      <c r="G10687" t="n">
        <v>16.2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31874-2023</t>
        </is>
      </c>
      <c r="B10688" s="1" t="n">
        <v>45118</v>
      </c>
      <c r="C10688" s="1" t="n">
        <v>45810</v>
      </c>
      <c r="D10688" t="inlineStr">
        <is>
          <t>VÄRMLANDS LÄN</t>
        </is>
      </c>
      <c r="E10688" t="inlineStr">
        <is>
          <t>ARVIKA</t>
        </is>
      </c>
      <c r="G10688" t="n">
        <v>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31793-2023</t>
        </is>
      </c>
      <c r="B10689" s="1" t="n">
        <v>45118</v>
      </c>
      <c r="C10689" s="1" t="n">
        <v>45810</v>
      </c>
      <c r="D10689" t="inlineStr">
        <is>
          <t>VÄRMLANDS LÄN</t>
        </is>
      </c>
      <c r="E10689" t="inlineStr">
        <is>
          <t>ÅRJÄNG</t>
        </is>
      </c>
      <c r="G10689" t="n">
        <v>10.9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33506-2023</t>
        </is>
      </c>
      <c r="B10690" s="1" t="n">
        <v>45118</v>
      </c>
      <c r="C10690" s="1" t="n">
        <v>45810</v>
      </c>
      <c r="D10690" t="inlineStr">
        <is>
          <t>VÄRMLANDS LÄN</t>
        </is>
      </c>
      <c r="E10690" t="inlineStr">
        <is>
          <t>SUNNE</t>
        </is>
      </c>
      <c r="G10690" t="n">
        <v>1.3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33464-2023</t>
        </is>
      </c>
      <c r="B10691" s="1" t="n">
        <v>45118</v>
      </c>
      <c r="C10691" s="1" t="n">
        <v>45810</v>
      </c>
      <c r="D10691" t="inlineStr">
        <is>
          <t>VÄRMLANDS LÄN</t>
        </is>
      </c>
      <c r="E10691" t="inlineStr">
        <is>
          <t>KRISTINEHAMN</t>
        </is>
      </c>
      <c r="G10691" t="n">
        <v>1.4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33564-2023</t>
        </is>
      </c>
      <c r="B10692" s="1" t="n">
        <v>45118</v>
      </c>
      <c r="C10692" s="1" t="n">
        <v>45810</v>
      </c>
      <c r="D10692" t="inlineStr">
        <is>
          <t>VÄRMLANDS LÄN</t>
        </is>
      </c>
      <c r="E10692" t="inlineStr">
        <is>
          <t>KARLSTAD</t>
        </is>
      </c>
      <c r="G10692" t="n">
        <v>0.6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33505-2023</t>
        </is>
      </c>
      <c r="B10693" s="1" t="n">
        <v>45118</v>
      </c>
      <c r="C10693" s="1" t="n">
        <v>45810</v>
      </c>
      <c r="D10693" t="inlineStr">
        <is>
          <t>VÄRMLANDS LÄN</t>
        </is>
      </c>
      <c r="E10693" t="inlineStr">
        <is>
          <t>SUNNE</t>
        </is>
      </c>
      <c r="G10693" t="n">
        <v>4.6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33561-2023</t>
        </is>
      </c>
      <c r="B10694" s="1" t="n">
        <v>45118</v>
      </c>
      <c r="C10694" s="1" t="n">
        <v>45810</v>
      </c>
      <c r="D10694" t="inlineStr">
        <is>
          <t>VÄRMLANDS LÄN</t>
        </is>
      </c>
      <c r="E10694" t="inlineStr">
        <is>
          <t>KARLSTAD</t>
        </is>
      </c>
      <c r="G10694" t="n">
        <v>1.7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33567-2023</t>
        </is>
      </c>
      <c r="B10695" s="1" t="n">
        <v>45118</v>
      </c>
      <c r="C10695" s="1" t="n">
        <v>45810</v>
      </c>
      <c r="D10695" t="inlineStr">
        <is>
          <t>VÄRMLANDS LÄN</t>
        </is>
      </c>
      <c r="E10695" t="inlineStr">
        <is>
          <t>KARLSTAD</t>
        </is>
      </c>
      <c r="G10695" t="n">
        <v>1.5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32134-2023</t>
        </is>
      </c>
      <c r="B10696" s="1" t="n">
        <v>45119</v>
      </c>
      <c r="C10696" s="1" t="n">
        <v>45810</v>
      </c>
      <c r="D10696" t="inlineStr">
        <is>
          <t>VÄRMLANDS LÄN</t>
        </is>
      </c>
      <c r="E10696" t="inlineStr">
        <is>
          <t>SUNNE</t>
        </is>
      </c>
      <c r="G10696" t="n">
        <v>9.300000000000001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32161-2023</t>
        </is>
      </c>
      <c r="B10697" s="1" t="n">
        <v>45119</v>
      </c>
      <c r="C10697" s="1" t="n">
        <v>45810</v>
      </c>
      <c r="D10697" t="inlineStr">
        <is>
          <t>VÄRMLANDS LÄN</t>
        </is>
      </c>
      <c r="E10697" t="inlineStr">
        <is>
          <t>KRISTINEHAMN</t>
        </is>
      </c>
      <c r="G10697" t="n">
        <v>5.3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32058-2023</t>
        </is>
      </c>
      <c r="B10698" s="1" t="n">
        <v>45119</v>
      </c>
      <c r="C10698" s="1" t="n">
        <v>45810</v>
      </c>
      <c r="D10698" t="inlineStr">
        <is>
          <t>VÄRMLANDS LÄN</t>
        </is>
      </c>
      <c r="E10698" t="inlineStr">
        <is>
          <t>SÄFFLE</t>
        </is>
      </c>
      <c r="G10698" t="n">
        <v>4.6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32162-2023</t>
        </is>
      </c>
      <c r="B10699" s="1" t="n">
        <v>45119</v>
      </c>
      <c r="C10699" s="1" t="n">
        <v>45810</v>
      </c>
      <c r="D10699" t="inlineStr">
        <is>
          <t>VÄRMLANDS LÄN</t>
        </is>
      </c>
      <c r="E10699" t="inlineStr">
        <is>
          <t>ARVIKA</t>
        </is>
      </c>
      <c r="G10699" t="n">
        <v>6.6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32173-2023</t>
        </is>
      </c>
      <c r="B10700" s="1" t="n">
        <v>45119</v>
      </c>
      <c r="C10700" s="1" t="n">
        <v>45810</v>
      </c>
      <c r="D10700" t="inlineStr">
        <is>
          <t>VÄRMLANDS LÄN</t>
        </is>
      </c>
      <c r="E10700" t="inlineStr">
        <is>
          <t>KARLSTAD</t>
        </is>
      </c>
      <c r="G10700" t="n">
        <v>29.2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31980-2023</t>
        </is>
      </c>
      <c r="B10701" s="1" t="n">
        <v>45119</v>
      </c>
      <c r="C10701" s="1" t="n">
        <v>45810</v>
      </c>
      <c r="D10701" t="inlineStr">
        <is>
          <t>VÄRMLANDS LÄN</t>
        </is>
      </c>
      <c r="E10701" t="inlineStr">
        <is>
          <t>FORSHAGA</t>
        </is>
      </c>
      <c r="F10701" t="inlineStr">
        <is>
          <t>Bergvik skog väst AB</t>
        </is>
      </c>
      <c r="G10701" t="n">
        <v>2.3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32117-2023</t>
        </is>
      </c>
      <c r="B10702" s="1" t="n">
        <v>45119</v>
      </c>
      <c r="C10702" s="1" t="n">
        <v>45810</v>
      </c>
      <c r="D10702" t="inlineStr">
        <is>
          <t>VÄRMLANDS LÄN</t>
        </is>
      </c>
      <c r="E10702" t="inlineStr">
        <is>
          <t>SUNNE</t>
        </is>
      </c>
      <c r="G10702" t="n">
        <v>1.1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31988-2023</t>
        </is>
      </c>
      <c r="B10703" s="1" t="n">
        <v>45119</v>
      </c>
      <c r="C10703" s="1" t="n">
        <v>45810</v>
      </c>
      <c r="D10703" t="inlineStr">
        <is>
          <t>VÄRMLANDS LÄN</t>
        </is>
      </c>
      <c r="E10703" t="inlineStr">
        <is>
          <t>SÄFFLE</t>
        </is>
      </c>
      <c r="G10703" t="n">
        <v>2.2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32073-2023</t>
        </is>
      </c>
      <c r="B10704" s="1" t="n">
        <v>45119</v>
      </c>
      <c r="C10704" s="1" t="n">
        <v>45810</v>
      </c>
      <c r="D10704" t="inlineStr">
        <is>
          <t>VÄRMLANDS LÄN</t>
        </is>
      </c>
      <c r="E10704" t="inlineStr">
        <is>
          <t>EDA</t>
        </is>
      </c>
      <c r="G10704" t="n">
        <v>3.2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32083-2023</t>
        </is>
      </c>
      <c r="B10705" s="1" t="n">
        <v>45119</v>
      </c>
      <c r="C10705" s="1" t="n">
        <v>45810</v>
      </c>
      <c r="D10705" t="inlineStr">
        <is>
          <t>VÄRMLANDS LÄN</t>
        </is>
      </c>
      <c r="E10705" t="inlineStr">
        <is>
          <t>HAGFORS</t>
        </is>
      </c>
      <c r="F10705" t="inlineStr">
        <is>
          <t>Bergvik skog väst AB</t>
        </is>
      </c>
      <c r="G10705" t="n">
        <v>21.9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32174-2023</t>
        </is>
      </c>
      <c r="B10706" s="1" t="n">
        <v>45119</v>
      </c>
      <c r="C10706" s="1" t="n">
        <v>45810</v>
      </c>
      <c r="D10706" t="inlineStr">
        <is>
          <t>VÄRMLANDS LÄN</t>
        </is>
      </c>
      <c r="E10706" t="inlineStr">
        <is>
          <t>KARLSTAD</t>
        </is>
      </c>
      <c r="G10706" t="n">
        <v>1.8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33741-2023</t>
        </is>
      </c>
      <c r="B10707" s="1" t="n">
        <v>45119</v>
      </c>
      <c r="C10707" s="1" t="n">
        <v>45810</v>
      </c>
      <c r="D10707" t="inlineStr">
        <is>
          <t>VÄRMLANDS LÄN</t>
        </is>
      </c>
      <c r="E10707" t="inlineStr">
        <is>
          <t>TORSBY</t>
        </is>
      </c>
      <c r="F10707" t="inlineStr">
        <is>
          <t>Övriga Aktiebolag</t>
        </is>
      </c>
      <c r="G10707" t="n">
        <v>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33738-2023</t>
        </is>
      </c>
      <c r="B10708" s="1" t="n">
        <v>45119</v>
      </c>
      <c r="C10708" s="1" t="n">
        <v>45810</v>
      </c>
      <c r="D10708" t="inlineStr">
        <is>
          <t>VÄRMLANDS LÄN</t>
        </is>
      </c>
      <c r="E10708" t="inlineStr">
        <is>
          <t>TORSBY</t>
        </is>
      </c>
      <c r="F10708" t="inlineStr">
        <is>
          <t>Övriga Aktiebolag</t>
        </is>
      </c>
      <c r="G10708" t="n">
        <v>6.4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33687-2023</t>
        </is>
      </c>
      <c r="B10709" s="1" t="n">
        <v>45119</v>
      </c>
      <c r="C10709" s="1" t="n">
        <v>45810</v>
      </c>
      <c r="D10709" t="inlineStr">
        <is>
          <t>VÄRMLANDS LÄN</t>
        </is>
      </c>
      <c r="E10709" t="inlineStr">
        <is>
          <t>ÅRJÄNG</t>
        </is>
      </c>
      <c r="G10709" t="n">
        <v>7.8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33740-2023</t>
        </is>
      </c>
      <c r="B10710" s="1" t="n">
        <v>45119</v>
      </c>
      <c r="C10710" s="1" t="n">
        <v>45810</v>
      </c>
      <c r="D10710" t="inlineStr">
        <is>
          <t>VÄRMLANDS LÄN</t>
        </is>
      </c>
      <c r="E10710" t="inlineStr">
        <is>
          <t>TORSBY</t>
        </is>
      </c>
      <c r="F10710" t="inlineStr">
        <is>
          <t>Övriga Aktiebolag</t>
        </is>
      </c>
      <c r="G10710" t="n">
        <v>3.3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32257-2023</t>
        </is>
      </c>
      <c r="B10711" s="1" t="n">
        <v>45120</v>
      </c>
      <c r="C10711" s="1" t="n">
        <v>45810</v>
      </c>
      <c r="D10711" t="inlineStr">
        <is>
          <t>VÄRMLANDS LÄN</t>
        </is>
      </c>
      <c r="E10711" t="inlineStr">
        <is>
          <t>STORFORS</t>
        </is>
      </c>
      <c r="G10711" t="n">
        <v>1.3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32262-2023</t>
        </is>
      </c>
      <c r="B10712" s="1" t="n">
        <v>45120</v>
      </c>
      <c r="C10712" s="1" t="n">
        <v>45810</v>
      </c>
      <c r="D10712" t="inlineStr">
        <is>
          <t>VÄRMLANDS LÄN</t>
        </is>
      </c>
      <c r="E10712" t="inlineStr">
        <is>
          <t>FILIPSTAD</t>
        </is>
      </c>
      <c r="G10712" t="n">
        <v>1.8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32271-2023</t>
        </is>
      </c>
      <c r="B10713" s="1" t="n">
        <v>45120</v>
      </c>
      <c r="C10713" s="1" t="n">
        <v>45810</v>
      </c>
      <c r="D10713" t="inlineStr">
        <is>
          <t>VÄRMLANDS LÄN</t>
        </is>
      </c>
      <c r="E10713" t="inlineStr">
        <is>
          <t>SÄFFLE</t>
        </is>
      </c>
      <c r="G10713" t="n">
        <v>3.3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32434-2023</t>
        </is>
      </c>
      <c r="B10714" s="1" t="n">
        <v>45120</v>
      </c>
      <c r="C10714" s="1" t="n">
        <v>45810</v>
      </c>
      <c r="D10714" t="inlineStr">
        <is>
          <t>VÄRMLANDS LÄN</t>
        </is>
      </c>
      <c r="E10714" t="inlineStr">
        <is>
          <t>KARLSTAD</t>
        </is>
      </c>
      <c r="G10714" t="n">
        <v>3.2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32376-2023</t>
        </is>
      </c>
      <c r="B10715" s="1" t="n">
        <v>45120</v>
      </c>
      <c r="C10715" s="1" t="n">
        <v>45810</v>
      </c>
      <c r="D10715" t="inlineStr">
        <is>
          <t>VÄRMLANDS LÄN</t>
        </is>
      </c>
      <c r="E10715" t="inlineStr">
        <is>
          <t>FILIPSTAD</t>
        </is>
      </c>
      <c r="F10715" t="inlineStr">
        <is>
          <t>Bergvik skog väst AB</t>
        </is>
      </c>
      <c r="G10715" t="n">
        <v>2.4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32433-2023</t>
        </is>
      </c>
      <c r="B10716" s="1" t="n">
        <v>45120</v>
      </c>
      <c r="C10716" s="1" t="n">
        <v>45810</v>
      </c>
      <c r="D10716" t="inlineStr">
        <is>
          <t>VÄRMLANDS LÄN</t>
        </is>
      </c>
      <c r="E10716" t="inlineStr">
        <is>
          <t>KARLSTAD</t>
        </is>
      </c>
      <c r="G10716" t="n">
        <v>2.3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32280-2023</t>
        </is>
      </c>
      <c r="B10717" s="1" t="n">
        <v>45120</v>
      </c>
      <c r="C10717" s="1" t="n">
        <v>45810</v>
      </c>
      <c r="D10717" t="inlineStr">
        <is>
          <t>VÄRMLANDS LÄN</t>
        </is>
      </c>
      <c r="E10717" t="inlineStr">
        <is>
          <t>ARVIKA</t>
        </is>
      </c>
      <c r="G10717" t="n">
        <v>3.2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32367-2023</t>
        </is>
      </c>
      <c r="B10718" s="1" t="n">
        <v>45120</v>
      </c>
      <c r="C10718" s="1" t="n">
        <v>45810</v>
      </c>
      <c r="D10718" t="inlineStr">
        <is>
          <t>VÄRMLANDS LÄN</t>
        </is>
      </c>
      <c r="E10718" t="inlineStr">
        <is>
          <t>ÅRJÄNG</t>
        </is>
      </c>
      <c r="G10718" t="n">
        <v>2.8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32373-2023</t>
        </is>
      </c>
      <c r="B10719" s="1" t="n">
        <v>45120</v>
      </c>
      <c r="C10719" s="1" t="n">
        <v>45810</v>
      </c>
      <c r="D10719" t="inlineStr">
        <is>
          <t>VÄRMLANDS LÄN</t>
        </is>
      </c>
      <c r="E10719" t="inlineStr">
        <is>
          <t>ÅRJÄNG</t>
        </is>
      </c>
      <c r="G10719" t="n">
        <v>1.7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32435-2023</t>
        </is>
      </c>
      <c r="B10720" s="1" t="n">
        <v>45120</v>
      </c>
      <c r="C10720" s="1" t="n">
        <v>45810</v>
      </c>
      <c r="D10720" t="inlineStr">
        <is>
          <t>VÄRMLANDS LÄN</t>
        </is>
      </c>
      <c r="E10720" t="inlineStr">
        <is>
          <t>KARLSTAD</t>
        </is>
      </c>
      <c r="G10720" t="n">
        <v>4.9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33765-2023</t>
        </is>
      </c>
      <c r="B10721" s="1" t="n">
        <v>45120</v>
      </c>
      <c r="C10721" s="1" t="n">
        <v>45810</v>
      </c>
      <c r="D10721" t="inlineStr">
        <is>
          <t>VÄRMLANDS LÄN</t>
        </is>
      </c>
      <c r="E10721" t="inlineStr">
        <is>
          <t>ÅRJÄNG</t>
        </is>
      </c>
      <c r="G10721" t="n">
        <v>2.8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33782-2023</t>
        </is>
      </c>
      <c r="B10722" s="1" t="n">
        <v>45120</v>
      </c>
      <c r="C10722" s="1" t="n">
        <v>45810</v>
      </c>
      <c r="D10722" t="inlineStr">
        <is>
          <t>VÄRMLANDS LÄN</t>
        </is>
      </c>
      <c r="E10722" t="inlineStr">
        <is>
          <t>TORSBY</t>
        </is>
      </c>
      <c r="G10722" t="n">
        <v>4.1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33763-2023</t>
        </is>
      </c>
      <c r="B10723" s="1" t="n">
        <v>45120</v>
      </c>
      <c r="C10723" s="1" t="n">
        <v>45810</v>
      </c>
      <c r="D10723" t="inlineStr">
        <is>
          <t>VÄRMLANDS LÄN</t>
        </is>
      </c>
      <c r="E10723" t="inlineStr">
        <is>
          <t>ÅRJÄNG</t>
        </is>
      </c>
      <c r="G10723" t="n">
        <v>3.7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33755-2023</t>
        </is>
      </c>
      <c r="B10724" s="1" t="n">
        <v>45120</v>
      </c>
      <c r="C10724" s="1" t="n">
        <v>45810</v>
      </c>
      <c r="D10724" t="inlineStr">
        <is>
          <t>VÄRMLANDS LÄN</t>
        </is>
      </c>
      <c r="E10724" t="inlineStr">
        <is>
          <t>SÄFFLE</t>
        </is>
      </c>
      <c r="G10724" t="n">
        <v>11.9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32541-2023</t>
        </is>
      </c>
      <c r="B10725" s="1" t="n">
        <v>45121</v>
      </c>
      <c r="C10725" s="1" t="n">
        <v>45810</v>
      </c>
      <c r="D10725" t="inlineStr">
        <is>
          <t>VÄRMLANDS LÄN</t>
        </is>
      </c>
      <c r="E10725" t="inlineStr">
        <is>
          <t>ÅRJÄNG</t>
        </is>
      </c>
      <c r="G10725" t="n">
        <v>0.4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32576-2023</t>
        </is>
      </c>
      <c r="B10726" s="1" t="n">
        <v>45121</v>
      </c>
      <c r="C10726" s="1" t="n">
        <v>45810</v>
      </c>
      <c r="D10726" t="inlineStr">
        <is>
          <t>VÄRMLANDS LÄN</t>
        </is>
      </c>
      <c r="E10726" t="inlineStr">
        <is>
          <t>TORSBY</t>
        </is>
      </c>
      <c r="F10726" t="inlineStr">
        <is>
          <t>Bergvik skog väst AB</t>
        </is>
      </c>
      <c r="G10726" t="n">
        <v>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32613-2023</t>
        </is>
      </c>
      <c r="B10727" s="1" t="n">
        <v>45121</v>
      </c>
      <c r="C10727" s="1" t="n">
        <v>45810</v>
      </c>
      <c r="D10727" t="inlineStr">
        <is>
          <t>VÄRMLANDS LÄN</t>
        </is>
      </c>
      <c r="E10727" t="inlineStr">
        <is>
          <t>FORSHAGA</t>
        </is>
      </c>
      <c r="F10727" t="inlineStr">
        <is>
          <t>Kommuner</t>
        </is>
      </c>
      <c r="G10727" t="n">
        <v>3.3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32558-2023</t>
        </is>
      </c>
      <c r="B10728" s="1" t="n">
        <v>45121</v>
      </c>
      <c r="C10728" s="1" t="n">
        <v>45810</v>
      </c>
      <c r="D10728" t="inlineStr">
        <is>
          <t>VÄRMLANDS LÄN</t>
        </is>
      </c>
      <c r="E10728" t="inlineStr">
        <is>
          <t>KIL</t>
        </is>
      </c>
      <c r="F10728" t="inlineStr">
        <is>
          <t>Bergvik skog väst AB</t>
        </is>
      </c>
      <c r="G10728" t="n">
        <v>3.6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32584-2023</t>
        </is>
      </c>
      <c r="B10729" s="1" t="n">
        <v>45121</v>
      </c>
      <c r="C10729" s="1" t="n">
        <v>45810</v>
      </c>
      <c r="D10729" t="inlineStr">
        <is>
          <t>VÄRMLANDS LÄN</t>
        </is>
      </c>
      <c r="E10729" t="inlineStr">
        <is>
          <t>TORSBY</t>
        </is>
      </c>
      <c r="F10729" t="inlineStr">
        <is>
          <t>Bergvik skog väst AB</t>
        </is>
      </c>
      <c r="G10729" t="n">
        <v>2.8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32596-2023</t>
        </is>
      </c>
      <c r="B10730" s="1" t="n">
        <v>45121</v>
      </c>
      <c r="C10730" s="1" t="n">
        <v>45810</v>
      </c>
      <c r="D10730" t="inlineStr">
        <is>
          <t>VÄRMLANDS LÄN</t>
        </is>
      </c>
      <c r="E10730" t="inlineStr">
        <is>
          <t>SUNNE</t>
        </is>
      </c>
      <c r="G10730" t="n">
        <v>1.7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32627-2023</t>
        </is>
      </c>
      <c r="B10731" s="1" t="n">
        <v>45121</v>
      </c>
      <c r="C10731" s="1" t="n">
        <v>45810</v>
      </c>
      <c r="D10731" t="inlineStr">
        <is>
          <t>VÄRMLANDS LÄN</t>
        </is>
      </c>
      <c r="E10731" t="inlineStr">
        <is>
          <t>HAGFORS</t>
        </is>
      </c>
      <c r="G10731" t="n">
        <v>0.5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32577-2023</t>
        </is>
      </c>
      <c r="B10732" s="1" t="n">
        <v>45121</v>
      </c>
      <c r="C10732" s="1" t="n">
        <v>45810</v>
      </c>
      <c r="D10732" t="inlineStr">
        <is>
          <t>VÄRMLANDS LÄN</t>
        </is>
      </c>
      <c r="E10732" t="inlineStr">
        <is>
          <t>ARVIKA</t>
        </is>
      </c>
      <c r="G10732" t="n">
        <v>0.9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32599-2023</t>
        </is>
      </c>
      <c r="B10733" s="1" t="n">
        <v>45121</v>
      </c>
      <c r="C10733" s="1" t="n">
        <v>45810</v>
      </c>
      <c r="D10733" t="inlineStr">
        <is>
          <t>VÄRMLANDS LÄN</t>
        </is>
      </c>
      <c r="E10733" t="inlineStr">
        <is>
          <t>KIL</t>
        </is>
      </c>
      <c r="F10733" t="inlineStr">
        <is>
          <t>Bergvik skog väst AB</t>
        </is>
      </c>
      <c r="G10733" t="n">
        <v>3.5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32694-2023</t>
        </is>
      </c>
      <c r="B10734" s="1" t="n">
        <v>45121</v>
      </c>
      <c r="C10734" s="1" t="n">
        <v>45810</v>
      </c>
      <c r="D10734" t="inlineStr">
        <is>
          <t>VÄRMLANDS LÄN</t>
        </is>
      </c>
      <c r="E10734" t="inlineStr">
        <is>
          <t>FORSHAGA</t>
        </is>
      </c>
      <c r="F10734" t="inlineStr">
        <is>
          <t>Kommuner</t>
        </is>
      </c>
      <c r="G10734" t="n">
        <v>0.9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32680-2023</t>
        </is>
      </c>
      <c r="B10735" s="1" t="n">
        <v>45121</v>
      </c>
      <c r="C10735" s="1" t="n">
        <v>45810</v>
      </c>
      <c r="D10735" t="inlineStr">
        <is>
          <t>VÄRMLANDS LÄN</t>
        </is>
      </c>
      <c r="E10735" t="inlineStr">
        <is>
          <t>FORSHAGA</t>
        </is>
      </c>
      <c r="F10735" t="inlineStr">
        <is>
          <t>Kommuner</t>
        </is>
      </c>
      <c r="G10735" t="n">
        <v>1.7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33827-2023</t>
        </is>
      </c>
      <c r="B10736" s="1" t="n">
        <v>45121</v>
      </c>
      <c r="C10736" s="1" t="n">
        <v>45810</v>
      </c>
      <c r="D10736" t="inlineStr">
        <is>
          <t>VÄRMLANDS LÄN</t>
        </is>
      </c>
      <c r="E10736" t="inlineStr">
        <is>
          <t>ÅRJÄNG</t>
        </is>
      </c>
      <c r="G10736" t="n">
        <v>1.3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33818-2023</t>
        </is>
      </c>
      <c r="B10737" s="1" t="n">
        <v>45121</v>
      </c>
      <c r="C10737" s="1" t="n">
        <v>45810</v>
      </c>
      <c r="D10737" t="inlineStr">
        <is>
          <t>VÄRMLANDS LÄN</t>
        </is>
      </c>
      <c r="E10737" t="inlineStr">
        <is>
          <t>ÅRJÄNG</t>
        </is>
      </c>
      <c r="G10737" t="n">
        <v>6.8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33831-2023</t>
        </is>
      </c>
      <c r="B10738" s="1" t="n">
        <v>45121</v>
      </c>
      <c r="C10738" s="1" t="n">
        <v>45810</v>
      </c>
      <c r="D10738" t="inlineStr">
        <is>
          <t>VÄRMLANDS LÄN</t>
        </is>
      </c>
      <c r="E10738" t="inlineStr">
        <is>
          <t>ÅRJÄNG</t>
        </is>
      </c>
      <c r="G10738" t="n">
        <v>2.3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32565-2023</t>
        </is>
      </c>
      <c r="B10739" s="1" t="n">
        <v>45121</v>
      </c>
      <c r="C10739" s="1" t="n">
        <v>45810</v>
      </c>
      <c r="D10739" t="inlineStr">
        <is>
          <t>VÄRMLANDS LÄN</t>
        </is>
      </c>
      <c r="E10739" t="inlineStr">
        <is>
          <t>KRISTINEHAMN</t>
        </is>
      </c>
      <c r="G10739" t="n">
        <v>5.6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32569-2023</t>
        </is>
      </c>
      <c r="B10740" s="1" t="n">
        <v>45121</v>
      </c>
      <c r="C10740" s="1" t="n">
        <v>45810</v>
      </c>
      <c r="D10740" t="inlineStr">
        <is>
          <t>VÄRMLANDS LÄN</t>
        </is>
      </c>
      <c r="E10740" t="inlineStr">
        <is>
          <t>KRISTINEHAMN</t>
        </is>
      </c>
      <c r="G10740" t="n">
        <v>0.6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32601-2023</t>
        </is>
      </c>
      <c r="B10741" s="1" t="n">
        <v>45121</v>
      </c>
      <c r="C10741" s="1" t="n">
        <v>45810</v>
      </c>
      <c r="D10741" t="inlineStr">
        <is>
          <t>VÄRMLANDS LÄN</t>
        </is>
      </c>
      <c r="E10741" t="inlineStr">
        <is>
          <t>ARVIKA</t>
        </is>
      </c>
      <c r="G10741" t="n">
        <v>3.7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32619-2023</t>
        </is>
      </c>
      <c r="B10742" s="1" t="n">
        <v>45121</v>
      </c>
      <c r="C10742" s="1" t="n">
        <v>45810</v>
      </c>
      <c r="D10742" t="inlineStr">
        <is>
          <t>VÄRMLANDS LÄN</t>
        </is>
      </c>
      <c r="E10742" t="inlineStr">
        <is>
          <t>ARVIKA</t>
        </is>
      </c>
      <c r="G10742" t="n">
        <v>2.2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33829-2023</t>
        </is>
      </c>
      <c r="B10743" s="1" t="n">
        <v>45121</v>
      </c>
      <c r="C10743" s="1" t="n">
        <v>45810</v>
      </c>
      <c r="D10743" t="inlineStr">
        <is>
          <t>VÄRMLANDS LÄN</t>
        </is>
      </c>
      <c r="E10743" t="inlineStr">
        <is>
          <t>ÅRJÄNG</t>
        </is>
      </c>
      <c r="G10743" t="n">
        <v>2.8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32763-2023</t>
        </is>
      </c>
      <c r="B10744" s="1" t="n">
        <v>45123</v>
      </c>
      <c r="C10744" s="1" t="n">
        <v>45810</v>
      </c>
      <c r="D10744" t="inlineStr">
        <is>
          <t>VÄRMLANDS LÄN</t>
        </is>
      </c>
      <c r="E10744" t="inlineStr">
        <is>
          <t>SÄFFLE</t>
        </is>
      </c>
      <c r="G10744" t="n">
        <v>21.6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32796-2023</t>
        </is>
      </c>
      <c r="B10745" s="1" t="n">
        <v>45124</v>
      </c>
      <c r="C10745" s="1" t="n">
        <v>45810</v>
      </c>
      <c r="D10745" t="inlineStr">
        <is>
          <t>VÄRMLANDS LÄN</t>
        </is>
      </c>
      <c r="E10745" t="inlineStr">
        <is>
          <t>FORSHAGA</t>
        </is>
      </c>
      <c r="F10745" t="inlineStr">
        <is>
          <t>Kommuner</t>
        </is>
      </c>
      <c r="G10745" t="n">
        <v>5.7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32801-2023</t>
        </is>
      </c>
      <c r="B10746" s="1" t="n">
        <v>45124</v>
      </c>
      <c r="C10746" s="1" t="n">
        <v>45810</v>
      </c>
      <c r="D10746" t="inlineStr">
        <is>
          <t>VÄRMLANDS LÄN</t>
        </is>
      </c>
      <c r="E10746" t="inlineStr">
        <is>
          <t>FORSHAGA</t>
        </is>
      </c>
      <c r="F10746" t="inlineStr">
        <is>
          <t>Kommuner</t>
        </is>
      </c>
      <c r="G10746" t="n">
        <v>0.6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32805-2023</t>
        </is>
      </c>
      <c r="B10747" s="1" t="n">
        <v>45124</v>
      </c>
      <c r="C10747" s="1" t="n">
        <v>45810</v>
      </c>
      <c r="D10747" t="inlineStr">
        <is>
          <t>VÄRMLANDS LÄN</t>
        </is>
      </c>
      <c r="E10747" t="inlineStr">
        <is>
          <t>TORSBY</t>
        </is>
      </c>
      <c r="F10747" t="inlineStr">
        <is>
          <t>Bergvik skog väst AB</t>
        </is>
      </c>
      <c r="G10747" t="n">
        <v>2.2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32819-2023</t>
        </is>
      </c>
      <c r="B10748" s="1" t="n">
        <v>45124</v>
      </c>
      <c r="C10748" s="1" t="n">
        <v>45810</v>
      </c>
      <c r="D10748" t="inlineStr">
        <is>
          <t>VÄRMLANDS LÄN</t>
        </is>
      </c>
      <c r="E10748" t="inlineStr">
        <is>
          <t>TORSBY</t>
        </is>
      </c>
      <c r="G10748" t="n">
        <v>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32850-2023</t>
        </is>
      </c>
      <c r="B10749" s="1" t="n">
        <v>45124</v>
      </c>
      <c r="C10749" s="1" t="n">
        <v>45810</v>
      </c>
      <c r="D10749" t="inlineStr">
        <is>
          <t>VÄRMLANDS LÄN</t>
        </is>
      </c>
      <c r="E10749" t="inlineStr">
        <is>
          <t>FORSHAGA</t>
        </is>
      </c>
      <c r="F10749" t="inlineStr">
        <is>
          <t>Kommuner</t>
        </is>
      </c>
      <c r="G10749" t="n">
        <v>1.9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32856-2023</t>
        </is>
      </c>
      <c r="B10750" s="1" t="n">
        <v>45124</v>
      </c>
      <c r="C10750" s="1" t="n">
        <v>45810</v>
      </c>
      <c r="D10750" t="inlineStr">
        <is>
          <t>VÄRMLANDS LÄN</t>
        </is>
      </c>
      <c r="E10750" t="inlineStr">
        <is>
          <t>ARVIKA</t>
        </is>
      </c>
      <c r="G10750" t="n">
        <v>1.2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32787-2023</t>
        </is>
      </c>
      <c r="B10751" s="1" t="n">
        <v>45124</v>
      </c>
      <c r="C10751" s="1" t="n">
        <v>45810</v>
      </c>
      <c r="D10751" t="inlineStr">
        <is>
          <t>VÄRMLANDS LÄN</t>
        </is>
      </c>
      <c r="E10751" t="inlineStr">
        <is>
          <t>TORSBY</t>
        </is>
      </c>
      <c r="F10751" t="inlineStr">
        <is>
          <t>Bergvik skog väst AB</t>
        </is>
      </c>
      <c r="G10751" t="n">
        <v>1.4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32795-2023</t>
        </is>
      </c>
      <c r="B10752" s="1" t="n">
        <v>45124</v>
      </c>
      <c r="C10752" s="1" t="n">
        <v>45810</v>
      </c>
      <c r="D10752" t="inlineStr">
        <is>
          <t>VÄRMLANDS LÄN</t>
        </is>
      </c>
      <c r="E10752" t="inlineStr">
        <is>
          <t>FORSHAGA</t>
        </is>
      </c>
      <c r="F10752" t="inlineStr">
        <is>
          <t>Kommuner</t>
        </is>
      </c>
      <c r="G10752" t="n">
        <v>1.2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32804-2023</t>
        </is>
      </c>
      <c r="B10753" s="1" t="n">
        <v>45124</v>
      </c>
      <c r="C10753" s="1" t="n">
        <v>45810</v>
      </c>
      <c r="D10753" t="inlineStr">
        <is>
          <t>VÄRMLANDS LÄN</t>
        </is>
      </c>
      <c r="E10753" t="inlineStr">
        <is>
          <t>FILIPSTAD</t>
        </is>
      </c>
      <c r="F10753" t="inlineStr">
        <is>
          <t>Bergvik skog väst AB</t>
        </is>
      </c>
      <c r="G10753" t="n">
        <v>19.5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32825-2023</t>
        </is>
      </c>
      <c r="B10754" s="1" t="n">
        <v>45124</v>
      </c>
      <c r="C10754" s="1" t="n">
        <v>45810</v>
      </c>
      <c r="D10754" t="inlineStr">
        <is>
          <t>VÄRMLANDS LÄN</t>
        </is>
      </c>
      <c r="E10754" t="inlineStr">
        <is>
          <t>FORSHAGA</t>
        </is>
      </c>
      <c r="F10754" t="inlineStr">
        <is>
          <t>Kommuner</t>
        </is>
      </c>
      <c r="G10754" t="n">
        <v>5.4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32830-2023</t>
        </is>
      </c>
      <c r="B10755" s="1" t="n">
        <v>45124</v>
      </c>
      <c r="C10755" s="1" t="n">
        <v>45810</v>
      </c>
      <c r="D10755" t="inlineStr">
        <is>
          <t>VÄRMLANDS LÄN</t>
        </is>
      </c>
      <c r="E10755" t="inlineStr">
        <is>
          <t>FORSHAGA</t>
        </is>
      </c>
      <c r="F10755" t="inlineStr">
        <is>
          <t>Kommuner</t>
        </is>
      </c>
      <c r="G10755" t="n">
        <v>0.7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32835-2023</t>
        </is>
      </c>
      <c r="B10756" s="1" t="n">
        <v>45124</v>
      </c>
      <c r="C10756" s="1" t="n">
        <v>45810</v>
      </c>
      <c r="D10756" t="inlineStr">
        <is>
          <t>VÄRMLANDS LÄN</t>
        </is>
      </c>
      <c r="E10756" t="inlineStr">
        <is>
          <t>FORSHAGA</t>
        </is>
      </c>
      <c r="F10756" t="inlineStr">
        <is>
          <t>Kommuner</t>
        </is>
      </c>
      <c r="G10756" t="n">
        <v>2.8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32872-2023</t>
        </is>
      </c>
      <c r="B10757" s="1" t="n">
        <v>45124</v>
      </c>
      <c r="C10757" s="1" t="n">
        <v>45810</v>
      </c>
      <c r="D10757" t="inlineStr">
        <is>
          <t>VÄRMLANDS LÄN</t>
        </is>
      </c>
      <c r="E10757" t="inlineStr">
        <is>
          <t>ARVIKA</t>
        </is>
      </c>
      <c r="G10757" t="n">
        <v>3.6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32803-2023</t>
        </is>
      </c>
      <c r="B10758" s="1" t="n">
        <v>45124</v>
      </c>
      <c r="C10758" s="1" t="n">
        <v>45810</v>
      </c>
      <c r="D10758" t="inlineStr">
        <is>
          <t>VÄRMLANDS LÄN</t>
        </is>
      </c>
      <c r="E10758" t="inlineStr">
        <is>
          <t>FORSHAGA</t>
        </is>
      </c>
      <c r="F10758" t="inlineStr">
        <is>
          <t>Kommuner</t>
        </is>
      </c>
      <c r="G10758" t="n">
        <v>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32868-2023</t>
        </is>
      </c>
      <c r="B10759" s="1" t="n">
        <v>45124</v>
      </c>
      <c r="C10759" s="1" t="n">
        <v>45810</v>
      </c>
      <c r="D10759" t="inlineStr">
        <is>
          <t>VÄRMLANDS LÄN</t>
        </is>
      </c>
      <c r="E10759" t="inlineStr">
        <is>
          <t>ARVIKA</t>
        </is>
      </c>
      <c r="G10759" t="n">
        <v>4.5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32896-2023</t>
        </is>
      </c>
      <c r="B10760" s="1" t="n">
        <v>45124</v>
      </c>
      <c r="C10760" s="1" t="n">
        <v>45810</v>
      </c>
      <c r="D10760" t="inlineStr">
        <is>
          <t>VÄRMLANDS LÄN</t>
        </is>
      </c>
      <c r="E10760" t="inlineStr">
        <is>
          <t>GRUMS</t>
        </is>
      </c>
      <c r="G10760" t="n">
        <v>2.1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33948-2023</t>
        </is>
      </c>
      <c r="B10761" s="1" t="n">
        <v>45124</v>
      </c>
      <c r="C10761" s="1" t="n">
        <v>45810</v>
      </c>
      <c r="D10761" t="inlineStr">
        <is>
          <t>VÄRMLANDS LÄN</t>
        </is>
      </c>
      <c r="E10761" t="inlineStr">
        <is>
          <t>GRUMS</t>
        </is>
      </c>
      <c r="G10761" t="n">
        <v>5.5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33966-2023</t>
        </is>
      </c>
      <c r="B10762" s="1" t="n">
        <v>45124</v>
      </c>
      <c r="C10762" s="1" t="n">
        <v>45810</v>
      </c>
      <c r="D10762" t="inlineStr">
        <is>
          <t>VÄRMLANDS LÄN</t>
        </is>
      </c>
      <c r="E10762" t="inlineStr">
        <is>
          <t>FILIPSTAD</t>
        </is>
      </c>
      <c r="G10762" t="n">
        <v>3.3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33973-2023</t>
        </is>
      </c>
      <c r="B10763" s="1" t="n">
        <v>45124</v>
      </c>
      <c r="C10763" s="1" t="n">
        <v>45810</v>
      </c>
      <c r="D10763" t="inlineStr">
        <is>
          <t>VÄRMLANDS LÄN</t>
        </is>
      </c>
      <c r="E10763" t="inlineStr">
        <is>
          <t>FILIPSTAD</t>
        </is>
      </c>
      <c r="G10763" t="n">
        <v>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32815-2023</t>
        </is>
      </c>
      <c r="B10764" s="1" t="n">
        <v>45124</v>
      </c>
      <c r="C10764" s="1" t="n">
        <v>45810</v>
      </c>
      <c r="D10764" t="inlineStr">
        <is>
          <t>VÄRMLANDS LÄN</t>
        </is>
      </c>
      <c r="E10764" t="inlineStr">
        <is>
          <t>TORSBY</t>
        </is>
      </c>
      <c r="F10764" t="inlineStr">
        <is>
          <t>Bergvik skog väst AB</t>
        </is>
      </c>
      <c r="G10764" t="n">
        <v>3.4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32822-2023</t>
        </is>
      </c>
      <c r="B10765" s="1" t="n">
        <v>45124</v>
      </c>
      <c r="C10765" s="1" t="n">
        <v>45810</v>
      </c>
      <c r="D10765" t="inlineStr">
        <is>
          <t>VÄRMLANDS LÄN</t>
        </is>
      </c>
      <c r="E10765" t="inlineStr">
        <is>
          <t>FORSHAGA</t>
        </is>
      </c>
      <c r="F10765" t="inlineStr">
        <is>
          <t>Kommuner</t>
        </is>
      </c>
      <c r="G10765" t="n">
        <v>0.6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33967-2023</t>
        </is>
      </c>
      <c r="B10766" s="1" t="n">
        <v>45124</v>
      </c>
      <c r="C10766" s="1" t="n">
        <v>45810</v>
      </c>
      <c r="D10766" t="inlineStr">
        <is>
          <t>VÄRMLANDS LÄN</t>
        </is>
      </c>
      <c r="E10766" t="inlineStr">
        <is>
          <t>FILIPSTAD</t>
        </is>
      </c>
      <c r="G10766" t="n">
        <v>3.1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32851-2023</t>
        </is>
      </c>
      <c r="B10767" s="1" t="n">
        <v>45124</v>
      </c>
      <c r="C10767" s="1" t="n">
        <v>45810</v>
      </c>
      <c r="D10767" t="inlineStr">
        <is>
          <t>VÄRMLANDS LÄN</t>
        </is>
      </c>
      <c r="E10767" t="inlineStr">
        <is>
          <t>FORSHAGA</t>
        </is>
      </c>
      <c r="F10767" t="inlineStr">
        <is>
          <t>Kommuner</t>
        </is>
      </c>
      <c r="G10767" t="n">
        <v>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32858-2023</t>
        </is>
      </c>
      <c r="B10768" s="1" t="n">
        <v>45124</v>
      </c>
      <c r="C10768" s="1" t="n">
        <v>45810</v>
      </c>
      <c r="D10768" t="inlineStr">
        <is>
          <t>VÄRMLANDS LÄN</t>
        </is>
      </c>
      <c r="E10768" t="inlineStr">
        <is>
          <t>ARVIKA</t>
        </is>
      </c>
      <c r="G10768" t="n">
        <v>2.2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32864-2023</t>
        </is>
      </c>
      <c r="B10769" s="1" t="n">
        <v>45124</v>
      </c>
      <c r="C10769" s="1" t="n">
        <v>45810</v>
      </c>
      <c r="D10769" t="inlineStr">
        <is>
          <t>VÄRMLANDS LÄN</t>
        </is>
      </c>
      <c r="E10769" t="inlineStr">
        <is>
          <t>ARVIKA</t>
        </is>
      </c>
      <c r="G10769" t="n">
        <v>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32869-2023</t>
        </is>
      </c>
      <c r="B10770" s="1" t="n">
        <v>45124</v>
      </c>
      <c r="C10770" s="1" t="n">
        <v>45810</v>
      </c>
      <c r="D10770" t="inlineStr">
        <is>
          <t>VÄRMLANDS LÄN</t>
        </is>
      </c>
      <c r="E10770" t="inlineStr">
        <is>
          <t>ARVIKA</t>
        </is>
      </c>
      <c r="G10770" t="n">
        <v>1.2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33940-2023</t>
        </is>
      </c>
      <c r="B10771" s="1" t="n">
        <v>45124</v>
      </c>
      <c r="C10771" s="1" t="n">
        <v>45810</v>
      </c>
      <c r="D10771" t="inlineStr">
        <is>
          <t>VÄRMLANDS LÄN</t>
        </is>
      </c>
      <c r="E10771" t="inlineStr">
        <is>
          <t>KIL</t>
        </is>
      </c>
      <c r="G10771" t="n">
        <v>3.6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33971-2023</t>
        </is>
      </c>
      <c r="B10772" s="1" t="n">
        <v>45124</v>
      </c>
      <c r="C10772" s="1" t="n">
        <v>45810</v>
      </c>
      <c r="D10772" t="inlineStr">
        <is>
          <t>VÄRMLANDS LÄN</t>
        </is>
      </c>
      <c r="E10772" t="inlineStr">
        <is>
          <t>FILIPSTAD</t>
        </is>
      </c>
      <c r="G10772" t="n">
        <v>7.3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33969-2023</t>
        </is>
      </c>
      <c r="B10773" s="1" t="n">
        <v>45124</v>
      </c>
      <c r="C10773" s="1" t="n">
        <v>45810</v>
      </c>
      <c r="D10773" t="inlineStr">
        <is>
          <t>VÄRMLANDS LÄN</t>
        </is>
      </c>
      <c r="E10773" t="inlineStr">
        <is>
          <t>FILIPSTAD</t>
        </is>
      </c>
      <c r="G10773" t="n">
        <v>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34055-2023</t>
        </is>
      </c>
      <c r="B10774" s="1" t="n">
        <v>45125</v>
      </c>
      <c r="C10774" s="1" t="n">
        <v>45810</v>
      </c>
      <c r="D10774" t="inlineStr">
        <is>
          <t>VÄRMLANDS LÄN</t>
        </is>
      </c>
      <c r="E10774" t="inlineStr">
        <is>
          <t>SUNNE</t>
        </is>
      </c>
      <c r="G10774" t="n">
        <v>5.5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32916-2023</t>
        </is>
      </c>
      <c r="B10775" s="1" t="n">
        <v>45125</v>
      </c>
      <c r="C10775" s="1" t="n">
        <v>45810</v>
      </c>
      <c r="D10775" t="inlineStr">
        <is>
          <t>VÄRMLANDS LÄN</t>
        </is>
      </c>
      <c r="E10775" t="inlineStr">
        <is>
          <t>ARVIKA</t>
        </is>
      </c>
      <c r="G10775" t="n">
        <v>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32934-2023</t>
        </is>
      </c>
      <c r="B10776" s="1" t="n">
        <v>45125</v>
      </c>
      <c r="C10776" s="1" t="n">
        <v>45810</v>
      </c>
      <c r="D10776" t="inlineStr">
        <is>
          <t>VÄRMLANDS LÄN</t>
        </is>
      </c>
      <c r="E10776" t="inlineStr">
        <is>
          <t>SUNNE</t>
        </is>
      </c>
      <c r="G10776" t="n">
        <v>4.5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32950-2023</t>
        </is>
      </c>
      <c r="B10777" s="1" t="n">
        <v>45125</v>
      </c>
      <c r="C10777" s="1" t="n">
        <v>45810</v>
      </c>
      <c r="D10777" t="inlineStr">
        <is>
          <t>VÄRMLANDS LÄN</t>
        </is>
      </c>
      <c r="E10777" t="inlineStr">
        <is>
          <t>STORFORS</t>
        </is>
      </c>
      <c r="G10777" t="n">
        <v>3.5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33758-2023</t>
        </is>
      </c>
      <c r="B10778" s="1" t="n">
        <v>45125</v>
      </c>
      <c r="C10778" s="1" t="n">
        <v>45810</v>
      </c>
      <c r="D10778" t="inlineStr">
        <is>
          <t>VÄRMLANDS LÄN</t>
        </is>
      </c>
      <c r="E10778" t="inlineStr">
        <is>
          <t>TORSBY</t>
        </is>
      </c>
      <c r="G10778" t="n">
        <v>1.4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34049-2023</t>
        </is>
      </c>
      <c r="B10779" s="1" t="n">
        <v>45125</v>
      </c>
      <c r="C10779" s="1" t="n">
        <v>45810</v>
      </c>
      <c r="D10779" t="inlineStr">
        <is>
          <t>VÄRMLANDS LÄN</t>
        </is>
      </c>
      <c r="E10779" t="inlineStr">
        <is>
          <t>SUNNE</t>
        </is>
      </c>
      <c r="G10779" t="n">
        <v>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34059-2023</t>
        </is>
      </c>
      <c r="B10780" s="1" t="n">
        <v>45125</v>
      </c>
      <c r="C10780" s="1" t="n">
        <v>45810</v>
      </c>
      <c r="D10780" t="inlineStr">
        <is>
          <t>VÄRMLANDS LÄN</t>
        </is>
      </c>
      <c r="E10780" t="inlineStr">
        <is>
          <t>SUNNE</t>
        </is>
      </c>
      <c r="G10780" t="n">
        <v>3.3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32954-2023</t>
        </is>
      </c>
      <c r="B10781" s="1" t="n">
        <v>45125</v>
      </c>
      <c r="C10781" s="1" t="n">
        <v>45810</v>
      </c>
      <c r="D10781" t="inlineStr">
        <is>
          <t>VÄRMLANDS LÄN</t>
        </is>
      </c>
      <c r="E10781" t="inlineStr">
        <is>
          <t>STORFORS</t>
        </is>
      </c>
      <c r="G10781" t="n">
        <v>1.3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33030-2023</t>
        </is>
      </c>
      <c r="B10782" s="1" t="n">
        <v>45125</v>
      </c>
      <c r="C10782" s="1" t="n">
        <v>45810</v>
      </c>
      <c r="D10782" t="inlineStr">
        <is>
          <t>VÄRMLANDS LÄN</t>
        </is>
      </c>
      <c r="E10782" t="inlineStr">
        <is>
          <t>KARLSTAD</t>
        </is>
      </c>
      <c r="G10782" t="n">
        <v>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34053-2023</t>
        </is>
      </c>
      <c r="B10783" s="1" t="n">
        <v>45125</v>
      </c>
      <c r="C10783" s="1" t="n">
        <v>45810</v>
      </c>
      <c r="D10783" t="inlineStr">
        <is>
          <t>VÄRMLANDS LÄN</t>
        </is>
      </c>
      <c r="E10783" t="inlineStr">
        <is>
          <t>SUNNE</t>
        </is>
      </c>
      <c r="G10783" t="n">
        <v>3.4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34062-2023</t>
        </is>
      </c>
      <c r="B10784" s="1" t="n">
        <v>45125</v>
      </c>
      <c r="C10784" s="1" t="n">
        <v>45810</v>
      </c>
      <c r="D10784" t="inlineStr">
        <is>
          <t>VÄRMLANDS LÄN</t>
        </is>
      </c>
      <c r="E10784" t="inlineStr">
        <is>
          <t>SUNNE</t>
        </is>
      </c>
      <c r="G10784" t="n">
        <v>20.1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33144-2023</t>
        </is>
      </c>
      <c r="B10785" s="1" t="n">
        <v>45126</v>
      </c>
      <c r="C10785" s="1" t="n">
        <v>45810</v>
      </c>
      <c r="D10785" t="inlineStr">
        <is>
          <t>VÄRMLANDS LÄN</t>
        </is>
      </c>
      <c r="E10785" t="inlineStr">
        <is>
          <t>KARLSTAD</t>
        </is>
      </c>
      <c r="G10785" t="n">
        <v>7.6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33072-2023</t>
        </is>
      </c>
      <c r="B10786" s="1" t="n">
        <v>45126</v>
      </c>
      <c r="C10786" s="1" t="n">
        <v>45810</v>
      </c>
      <c r="D10786" t="inlineStr">
        <is>
          <t>VÄRMLANDS LÄN</t>
        </is>
      </c>
      <c r="E10786" t="inlineStr">
        <is>
          <t>TORSBY</t>
        </is>
      </c>
      <c r="G10786" t="n">
        <v>1.1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34097-2023</t>
        </is>
      </c>
      <c r="B10787" s="1" t="n">
        <v>45126</v>
      </c>
      <c r="C10787" s="1" t="n">
        <v>45810</v>
      </c>
      <c r="D10787" t="inlineStr">
        <is>
          <t>VÄRMLANDS LÄN</t>
        </is>
      </c>
      <c r="E10787" t="inlineStr">
        <is>
          <t>TORSBY</t>
        </is>
      </c>
      <c r="G10787" t="n">
        <v>0.8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33147-2023</t>
        </is>
      </c>
      <c r="B10788" s="1" t="n">
        <v>45126</v>
      </c>
      <c r="C10788" s="1" t="n">
        <v>45810</v>
      </c>
      <c r="D10788" t="inlineStr">
        <is>
          <t>VÄRMLANDS LÄN</t>
        </is>
      </c>
      <c r="E10788" t="inlineStr">
        <is>
          <t>KARLSTAD</t>
        </is>
      </c>
      <c r="G10788" t="n">
        <v>5.7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34104-2023</t>
        </is>
      </c>
      <c r="B10789" s="1" t="n">
        <v>45126</v>
      </c>
      <c r="C10789" s="1" t="n">
        <v>45810</v>
      </c>
      <c r="D10789" t="inlineStr">
        <is>
          <t>VÄRMLANDS LÄN</t>
        </is>
      </c>
      <c r="E10789" t="inlineStr">
        <is>
          <t>TORSBY</t>
        </is>
      </c>
      <c r="G10789" t="n">
        <v>0.5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34105-2023</t>
        </is>
      </c>
      <c r="B10790" s="1" t="n">
        <v>45126</v>
      </c>
      <c r="C10790" s="1" t="n">
        <v>45810</v>
      </c>
      <c r="D10790" t="inlineStr">
        <is>
          <t>VÄRMLANDS LÄN</t>
        </is>
      </c>
      <c r="E10790" t="inlineStr">
        <is>
          <t>TORSBY</t>
        </is>
      </c>
      <c r="G10790" t="n">
        <v>2.4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33252-2023</t>
        </is>
      </c>
      <c r="B10791" s="1" t="n">
        <v>45127</v>
      </c>
      <c r="C10791" s="1" t="n">
        <v>45810</v>
      </c>
      <c r="D10791" t="inlineStr">
        <is>
          <t>VÄRMLANDS LÄN</t>
        </is>
      </c>
      <c r="E10791" t="inlineStr">
        <is>
          <t>SÄFFLE</t>
        </is>
      </c>
      <c r="G10791" t="n">
        <v>10.6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33218-2023</t>
        </is>
      </c>
      <c r="B10792" s="1" t="n">
        <v>45127</v>
      </c>
      <c r="C10792" s="1" t="n">
        <v>45810</v>
      </c>
      <c r="D10792" t="inlineStr">
        <is>
          <t>VÄRMLANDS LÄN</t>
        </is>
      </c>
      <c r="E10792" t="inlineStr">
        <is>
          <t>FORSHAGA</t>
        </is>
      </c>
      <c r="F10792" t="inlineStr">
        <is>
          <t>Kommuner</t>
        </is>
      </c>
      <c r="G10792" t="n">
        <v>1.4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33227-2023</t>
        </is>
      </c>
      <c r="B10793" s="1" t="n">
        <v>45127</v>
      </c>
      <c r="C10793" s="1" t="n">
        <v>45810</v>
      </c>
      <c r="D10793" t="inlineStr">
        <is>
          <t>VÄRMLANDS LÄN</t>
        </is>
      </c>
      <c r="E10793" t="inlineStr">
        <is>
          <t>FORSHAGA</t>
        </is>
      </c>
      <c r="F10793" t="inlineStr">
        <is>
          <t>Kommuner</t>
        </is>
      </c>
      <c r="G10793" t="n">
        <v>2.9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33219-2023</t>
        </is>
      </c>
      <c r="B10794" s="1" t="n">
        <v>45127</v>
      </c>
      <c r="C10794" s="1" t="n">
        <v>45810</v>
      </c>
      <c r="D10794" t="inlineStr">
        <is>
          <t>VÄRMLANDS LÄN</t>
        </is>
      </c>
      <c r="E10794" t="inlineStr">
        <is>
          <t>FORSHAGA</t>
        </is>
      </c>
      <c r="F10794" t="inlineStr">
        <is>
          <t>Kommuner</t>
        </is>
      </c>
      <c r="G10794" t="n">
        <v>1.2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33224-2023</t>
        </is>
      </c>
      <c r="B10795" s="1" t="n">
        <v>45127</v>
      </c>
      <c r="C10795" s="1" t="n">
        <v>45810</v>
      </c>
      <c r="D10795" t="inlineStr">
        <is>
          <t>VÄRMLANDS LÄN</t>
        </is>
      </c>
      <c r="E10795" t="inlineStr">
        <is>
          <t>FORSHAGA</t>
        </is>
      </c>
      <c r="F10795" t="inlineStr">
        <is>
          <t>Kommuner</t>
        </is>
      </c>
      <c r="G10795" t="n">
        <v>1.3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33229-2023</t>
        </is>
      </c>
      <c r="B10796" s="1" t="n">
        <v>45127</v>
      </c>
      <c r="C10796" s="1" t="n">
        <v>45810</v>
      </c>
      <c r="D10796" t="inlineStr">
        <is>
          <t>VÄRMLANDS LÄN</t>
        </is>
      </c>
      <c r="E10796" t="inlineStr">
        <is>
          <t>FORSHAGA</t>
        </is>
      </c>
      <c r="F10796" t="inlineStr">
        <is>
          <t>Kommuner</t>
        </is>
      </c>
      <c r="G10796" t="n">
        <v>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33263-2023</t>
        </is>
      </c>
      <c r="B10797" s="1" t="n">
        <v>45127</v>
      </c>
      <c r="C10797" s="1" t="n">
        <v>45810</v>
      </c>
      <c r="D10797" t="inlineStr">
        <is>
          <t>VÄRMLANDS LÄN</t>
        </is>
      </c>
      <c r="E10797" t="inlineStr">
        <is>
          <t>TORSBY</t>
        </is>
      </c>
      <c r="G10797" t="n">
        <v>3.6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33245-2023</t>
        </is>
      </c>
      <c r="B10798" s="1" t="n">
        <v>45127</v>
      </c>
      <c r="C10798" s="1" t="n">
        <v>45810</v>
      </c>
      <c r="D10798" t="inlineStr">
        <is>
          <t>VÄRMLANDS LÄN</t>
        </is>
      </c>
      <c r="E10798" t="inlineStr">
        <is>
          <t>SÄFFLE</t>
        </is>
      </c>
      <c r="G10798" t="n">
        <v>1.8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33269-2023</t>
        </is>
      </c>
      <c r="B10799" s="1" t="n">
        <v>45127</v>
      </c>
      <c r="C10799" s="1" t="n">
        <v>45810</v>
      </c>
      <c r="D10799" t="inlineStr">
        <is>
          <t>VÄRMLANDS LÄN</t>
        </is>
      </c>
      <c r="E10799" t="inlineStr">
        <is>
          <t>KARLSTAD</t>
        </is>
      </c>
      <c r="G10799" t="n">
        <v>0.6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33222-2023</t>
        </is>
      </c>
      <c r="B10800" s="1" t="n">
        <v>45127</v>
      </c>
      <c r="C10800" s="1" t="n">
        <v>45810</v>
      </c>
      <c r="D10800" t="inlineStr">
        <is>
          <t>VÄRMLANDS LÄN</t>
        </is>
      </c>
      <c r="E10800" t="inlineStr">
        <is>
          <t>FORSHAGA</t>
        </is>
      </c>
      <c r="F10800" t="inlineStr">
        <is>
          <t>Kommuner</t>
        </is>
      </c>
      <c r="G10800" t="n">
        <v>5.9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33249-2023</t>
        </is>
      </c>
      <c r="B10801" s="1" t="n">
        <v>45127</v>
      </c>
      <c r="C10801" s="1" t="n">
        <v>45810</v>
      </c>
      <c r="D10801" t="inlineStr">
        <is>
          <t>VÄRMLANDS LÄN</t>
        </is>
      </c>
      <c r="E10801" t="inlineStr">
        <is>
          <t>TORSBY</t>
        </is>
      </c>
      <c r="G10801" t="n">
        <v>7.6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33253-2023</t>
        </is>
      </c>
      <c r="B10802" s="1" t="n">
        <v>45127</v>
      </c>
      <c r="C10802" s="1" t="n">
        <v>45810</v>
      </c>
      <c r="D10802" t="inlineStr">
        <is>
          <t>VÄRMLANDS LÄN</t>
        </is>
      </c>
      <c r="E10802" t="inlineStr">
        <is>
          <t>TORSBY</t>
        </is>
      </c>
      <c r="G10802" t="n">
        <v>1.3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33264-2023</t>
        </is>
      </c>
      <c r="B10803" s="1" t="n">
        <v>45127</v>
      </c>
      <c r="C10803" s="1" t="n">
        <v>45810</v>
      </c>
      <c r="D10803" t="inlineStr">
        <is>
          <t>VÄRMLANDS LÄN</t>
        </is>
      </c>
      <c r="E10803" t="inlineStr">
        <is>
          <t>TORSBY</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33268-2023</t>
        </is>
      </c>
      <c r="B10804" s="1" t="n">
        <v>45127</v>
      </c>
      <c r="C10804" s="1" t="n">
        <v>45810</v>
      </c>
      <c r="D10804" t="inlineStr">
        <is>
          <t>VÄRMLANDS LÄN</t>
        </is>
      </c>
      <c r="E10804" t="inlineStr">
        <is>
          <t>TORSBY</t>
        </is>
      </c>
      <c r="G10804" t="n">
        <v>1.3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34230-2023</t>
        </is>
      </c>
      <c r="B10805" s="1" t="n">
        <v>45127</v>
      </c>
      <c r="C10805" s="1" t="n">
        <v>45810</v>
      </c>
      <c r="D10805" t="inlineStr">
        <is>
          <t>VÄRMLANDS LÄN</t>
        </is>
      </c>
      <c r="E10805" t="inlineStr">
        <is>
          <t>KRISTINEHAMN</t>
        </is>
      </c>
      <c r="G10805" t="n">
        <v>3.4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33421-2023</t>
        </is>
      </c>
      <c r="B10806" s="1" t="n">
        <v>45128</v>
      </c>
      <c r="C10806" s="1" t="n">
        <v>45810</v>
      </c>
      <c r="D10806" t="inlineStr">
        <is>
          <t>VÄRMLANDS LÄN</t>
        </is>
      </c>
      <c r="E10806" t="inlineStr">
        <is>
          <t>EDA</t>
        </is>
      </c>
      <c r="G10806" t="n">
        <v>4.2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33515-2023</t>
        </is>
      </c>
      <c r="B10807" s="1" t="n">
        <v>45131</v>
      </c>
      <c r="C10807" s="1" t="n">
        <v>45810</v>
      </c>
      <c r="D10807" t="inlineStr">
        <is>
          <t>VÄRMLANDS LÄN</t>
        </is>
      </c>
      <c r="E10807" t="inlineStr">
        <is>
          <t>KARLSTAD</t>
        </is>
      </c>
      <c r="G10807" t="n">
        <v>1.8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33477-2023</t>
        </is>
      </c>
      <c r="B10808" s="1" t="n">
        <v>45131</v>
      </c>
      <c r="C10808" s="1" t="n">
        <v>45810</v>
      </c>
      <c r="D10808" t="inlineStr">
        <is>
          <t>VÄRMLANDS LÄN</t>
        </is>
      </c>
      <c r="E10808" t="inlineStr">
        <is>
          <t>ARVIKA</t>
        </is>
      </c>
      <c r="G10808" t="n">
        <v>0.6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33525-2023</t>
        </is>
      </c>
      <c r="B10809" s="1" t="n">
        <v>45131</v>
      </c>
      <c r="C10809" s="1" t="n">
        <v>45810</v>
      </c>
      <c r="D10809" t="inlineStr">
        <is>
          <t>VÄRMLANDS LÄN</t>
        </is>
      </c>
      <c r="E10809" t="inlineStr">
        <is>
          <t>ÅRJÄNG</t>
        </is>
      </c>
      <c r="G10809" t="n">
        <v>10.2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33574-2023</t>
        </is>
      </c>
      <c r="B10810" s="1" t="n">
        <v>45131</v>
      </c>
      <c r="C10810" s="1" t="n">
        <v>45810</v>
      </c>
      <c r="D10810" t="inlineStr">
        <is>
          <t>VÄRMLANDS LÄN</t>
        </is>
      </c>
      <c r="E10810" t="inlineStr">
        <is>
          <t>TORSBY</t>
        </is>
      </c>
      <c r="G10810" t="n">
        <v>5.4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33511-2023</t>
        </is>
      </c>
      <c r="B10811" s="1" t="n">
        <v>45131</v>
      </c>
      <c r="C10811" s="1" t="n">
        <v>45810</v>
      </c>
      <c r="D10811" t="inlineStr">
        <is>
          <t>VÄRMLANDS LÄN</t>
        </is>
      </c>
      <c r="E10811" t="inlineStr">
        <is>
          <t>KARLSTAD</t>
        </is>
      </c>
      <c r="G10811" t="n">
        <v>6.3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34347-2023</t>
        </is>
      </c>
      <c r="B10812" s="1" t="n">
        <v>45131</v>
      </c>
      <c r="C10812" s="1" t="n">
        <v>45810</v>
      </c>
      <c r="D10812" t="inlineStr">
        <is>
          <t>VÄRMLANDS LÄN</t>
        </is>
      </c>
      <c r="E10812" t="inlineStr">
        <is>
          <t>ARVIKA</t>
        </is>
      </c>
      <c r="F10812" t="inlineStr">
        <is>
          <t>Övriga Aktiebolag</t>
        </is>
      </c>
      <c r="G10812" t="n">
        <v>22.7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34380-2023</t>
        </is>
      </c>
      <c r="B10813" s="1" t="n">
        <v>45131</v>
      </c>
      <c r="C10813" s="1" t="n">
        <v>45810</v>
      </c>
      <c r="D10813" t="inlineStr">
        <is>
          <t>VÄRMLANDS LÄN</t>
        </is>
      </c>
      <c r="E10813" t="inlineStr">
        <is>
          <t>SUNNE</t>
        </is>
      </c>
      <c r="G10813" t="n">
        <v>1.7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34375-2023</t>
        </is>
      </c>
      <c r="B10814" s="1" t="n">
        <v>45131</v>
      </c>
      <c r="C10814" s="1" t="n">
        <v>45810</v>
      </c>
      <c r="D10814" t="inlineStr">
        <is>
          <t>VÄRMLANDS LÄN</t>
        </is>
      </c>
      <c r="E10814" t="inlineStr">
        <is>
          <t>SUNNE</t>
        </is>
      </c>
      <c r="G10814" t="n">
        <v>2.2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34366-2023</t>
        </is>
      </c>
      <c r="B10815" s="1" t="n">
        <v>45131</v>
      </c>
      <c r="C10815" s="1" t="n">
        <v>45810</v>
      </c>
      <c r="D10815" t="inlineStr">
        <is>
          <t>VÄRMLANDS LÄN</t>
        </is>
      </c>
      <c r="E10815" t="inlineStr">
        <is>
          <t>SUNNE</t>
        </is>
      </c>
      <c r="G10815" t="n">
        <v>3.2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33575-2023</t>
        </is>
      </c>
      <c r="B10816" s="1" t="n">
        <v>45131</v>
      </c>
      <c r="C10816" s="1" t="n">
        <v>45810</v>
      </c>
      <c r="D10816" t="inlineStr">
        <is>
          <t>VÄRMLANDS LÄN</t>
        </is>
      </c>
      <c r="E10816" t="inlineStr">
        <is>
          <t>EDA</t>
        </is>
      </c>
      <c r="G10816" t="n">
        <v>1.1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34374-2023</t>
        </is>
      </c>
      <c r="B10817" s="1" t="n">
        <v>45131</v>
      </c>
      <c r="C10817" s="1" t="n">
        <v>45810</v>
      </c>
      <c r="D10817" t="inlineStr">
        <is>
          <t>VÄRMLANDS LÄN</t>
        </is>
      </c>
      <c r="E10817" t="inlineStr">
        <is>
          <t>SUNNE</t>
        </is>
      </c>
      <c r="G10817" t="n">
        <v>11.7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33631-2023</t>
        </is>
      </c>
      <c r="B10818" s="1" t="n">
        <v>45132</v>
      </c>
      <c r="C10818" s="1" t="n">
        <v>45810</v>
      </c>
      <c r="D10818" t="inlineStr">
        <is>
          <t>VÄRMLANDS LÄN</t>
        </is>
      </c>
      <c r="E10818" t="inlineStr">
        <is>
          <t>SUNNE</t>
        </is>
      </c>
      <c r="G10818" t="n">
        <v>1.2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33645-2023</t>
        </is>
      </c>
      <c r="B10819" s="1" t="n">
        <v>45132</v>
      </c>
      <c r="C10819" s="1" t="n">
        <v>45810</v>
      </c>
      <c r="D10819" t="inlineStr">
        <is>
          <t>VÄRMLANDS LÄN</t>
        </is>
      </c>
      <c r="E10819" t="inlineStr">
        <is>
          <t>TORSBY</t>
        </is>
      </c>
      <c r="F10819" t="inlineStr">
        <is>
          <t>Bergvik skog väst AB</t>
        </is>
      </c>
      <c r="G10819" t="n">
        <v>12.4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33656-2023</t>
        </is>
      </c>
      <c r="B10820" s="1" t="n">
        <v>45132</v>
      </c>
      <c r="C10820" s="1" t="n">
        <v>45810</v>
      </c>
      <c r="D10820" t="inlineStr">
        <is>
          <t>VÄRMLANDS LÄN</t>
        </is>
      </c>
      <c r="E10820" t="inlineStr">
        <is>
          <t>TORSBY</t>
        </is>
      </c>
      <c r="F10820" t="inlineStr">
        <is>
          <t>Bergvik skog väst AB</t>
        </is>
      </c>
      <c r="G10820" t="n">
        <v>15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33652-2023</t>
        </is>
      </c>
      <c r="B10821" s="1" t="n">
        <v>45132</v>
      </c>
      <c r="C10821" s="1" t="n">
        <v>45810</v>
      </c>
      <c r="D10821" t="inlineStr">
        <is>
          <t>VÄRMLANDS LÄN</t>
        </is>
      </c>
      <c r="E10821" t="inlineStr">
        <is>
          <t>GRUMS</t>
        </is>
      </c>
      <c r="G10821" t="n">
        <v>2.2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34404-2023</t>
        </is>
      </c>
      <c r="B10822" s="1" t="n">
        <v>45132</v>
      </c>
      <c r="C10822" s="1" t="n">
        <v>45810</v>
      </c>
      <c r="D10822" t="inlineStr">
        <is>
          <t>VÄRMLANDS LÄN</t>
        </is>
      </c>
      <c r="E10822" t="inlineStr">
        <is>
          <t>HAGFORS</t>
        </is>
      </c>
      <c r="G10822" t="n">
        <v>1.3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34400-2023</t>
        </is>
      </c>
      <c r="B10823" s="1" t="n">
        <v>45132</v>
      </c>
      <c r="C10823" s="1" t="n">
        <v>45810</v>
      </c>
      <c r="D10823" t="inlineStr">
        <is>
          <t>VÄRMLANDS LÄN</t>
        </is>
      </c>
      <c r="E10823" t="inlineStr">
        <is>
          <t>ARVIKA</t>
        </is>
      </c>
      <c r="G10823" t="n">
        <v>2.2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33813-2023</t>
        </is>
      </c>
      <c r="B10824" s="1" t="n">
        <v>45133</v>
      </c>
      <c r="C10824" s="1" t="n">
        <v>45810</v>
      </c>
      <c r="D10824" t="inlineStr">
        <is>
          <t>VÄRMLANDS LÄN</t>
        </is>
      </c>
      <c r="E10824" t="inlineStr">
        <is>
          <t>TORSBY</t>
        </is>
      </c>
      <c r="F10824" t="inlineStr">
        <is>
          <t>Bergvik skog väst AB</t>
        </is>
      </c>
      <c r="G10824" t="n">
        <v>10.3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33839-2023</t>
        </is>
      </c>
      <c r="B10825" s="1" t="n">
        <v>45133</v>
      </c>
      <c r="C10825" s="1" t="n">
        <v>45810</v>
      </c>
      <c r="D10825" t="inlineStr">
        <is>
          <t>VÄRMLANDS LÄN</t>
        </is>
      </c>
      <c r="E10825" t="inlineStr">
        <is>
          <t>TORSBY</t>
        </is>
      </c>
      <c r="F10825" t="inlineStr">
        <is>
          <t>Bergvik skog väst AB</t>
        </is>
      </c>
      <c r="G10825" t="n">
        <v>8.5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33851-2023</t>
        </is>
      </c>
      <c r="B10826" s="1" t="n">
        <v>45133</v>
      </c>
      <c r="C10826" s="1" t="n">
        <v>45810</v>
      </c>
      <c r="D10826" t="inlineStr">
        <is>
          <t>VÄRMLANDS LÄN</t>
        </is>
      </c>
      <c r="E10826" t="inlineStr">
        <is>
          <t>ARVIKA</t>
        </is>
      </c>
      <c r="G10826" t="n">
        <v>8.800000000000001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33848-2023</t>
        </is>
      </c>
      <c r="B10827" s="1" t="n">
        <v>45133</v>
      </c>
      <c r="C10827" s="1" t="n">
        <v>45810</v>
      </c>
      <c r="D10827" t="inlineStr">
        <is>
          <t>VÄRMLANDS LÄN</t>
        </is>
      </c>
      <c r="E10827" t="inlineStr">
        <is>
          <t>TORSBY</t>
        </is>
      </c>
      <c r="F10827" t="inlineStr">
        <is>
          <t>Bergvik skog väst AB</t>
        </is>
      </c>
      <c r="G10827" t="n">
        <v>4.4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33857-2023</t>
        </is>
      </c>
      <c r="B10828" s="1" t="n">
        <v>45133</v>
      </c>
      <c r="C10828" s="1" t="n">
        <v>45810</v>
      </c>
      <c r="D10828" t="inlineStr">
        <is>
          <t>VÄRMLANDS LÄN</t>
        </is>
      </c>
      <c r="E10828" t="inlineStr">
        <is>
          <t>SÄFFLE</t>
        </is>
      </c>
      <c r="G10828" t="n">
        <v>29.5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34512-2023</t>
        </is>
      </c>
      <c r="B10829" s="1" t="n">
        <v>45133</v>
      </c>
      <c r="C10829" s="1" t="n">
        <v>45810</v>
      </c>
      <c r="D10829" t="inlineStr">
        <is>
          <t>VÄRMLANDS LÄN</t>
        </is>
      </c>
      <c r="E10829" t="inlineStr">
        <is>
          <t>FILIPSTAD</t>
        </is>
      </c>
      <c r="G10829" t="n">
        <v>1.7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33968-2023</t>
        </is>
      </c>
      <c r="B10830" s="1" t="n">
        <v>45134</v>
      </c>
      <c r="C10830" s="1" t="n">
        <v>45810</v>
      </c>
      <c r="D10830" t="inlineStr">
        <is>
          <t>VÄRMLANDS LÄN</t>
        </is>
      </c>
      <c r="E10830" t="inlineStr">
        <is>
          <t>EDA</t>
        </is>
      </c>
      <c r="G10830" t="n">
        <v>0.9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34122-2023</t>
        </is>
      </c>
      <c r="B10831" s="1" t="n">
        <v>45135</v>
      </c>
      <c r="C10831" s="1" t="n">
        <v>45810</v>
      </c>
      <c r="D10831" t="inlineStr">
        <is>
          <t>VÄRMLANDS LÄN</t>
        </is>
      </c>
      <c r="E10831" t="inlineStr">
        <is>
          <t>EDA</t>
        </is>
      </c>
      <c r="G10831" t="n">
        <v>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34124-2023</t>
        </is>
      </c>
      <c r="B10832" s="1" t="n">
        <v>45135</v>
      </c>
      <c r="C10832" s="1" t="n">
        <v>45810</v>
      </c>
      <c r="D10832" t="inlineStr">
        <is>
          <t>VÄRMLANDS LÄN</t>
        </is>
      </c>
      <c r="E10832" t="inlineStr">
        <is>
          <t>EDA</t>
        </is>
      </c>
      <c r="G10832" t="n">
        <v>0.8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34128-2023</t>
        </is>
      </c>
      <c r="B10833" s="1" t="n">
        <v>45135</v>
      </c>
      <c r="C10833" s="1" t="n">
        <v>45810</v>
      </c>
      <c r="D10833" t="inlineStr">
        <is>
          <t>VÄRMLANDS LÄN</t>
        </is>
      </c>
      <c r="E10833" t="inlineStr">
        <is>
          <t>EDA</t>
        </is>
      </c>
      <c r="G10833" t="n">
        <v>1.3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34574-2023</t>
        </is>
      </c>
      <c r="B10834" s="1" t="n">
        <v>45135</v>
      </c>
      <c r="C10834" s="1" t="n">
        <v>45810</v>
      </c>
      <c r="D10834" t="inlineStr">
        <is>
          <t>VÄRMLANDS LÄN</t>
        </is>
      </c>
      <c r="E10834" t="inlineStr">
        <is>
          <t>ÅRJÄNG</t>
        </is>
      </c>
      <c r="F10834" t="inlineStr">
        <is>
          <t>Övriga Aktiebolag</t>
        </is>
      </c>
      <c r="G10834" t="n">
        <v>5.9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34446-2023</t>
        </is>
      </c>
      <c r="B10835" s="1" t="n">
        <v>45135</v>
      </c>
      <c r="C10835" s="1" t="n">
        <v>45810</v>
      </c>
      <c r="D10835" t="inlineStr">
        <is>
          <t>VÄRMLANDS LÄN</t>
        </is>
      </c>
      <c r="E10835" t="inlineStr">
        <is>
          <t>ARVIKA</t>
        </is>
      </c>
      <c r="G10835" t="n">
        <v>1.1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34580-2023</t>
        </is>
      </c>
      <c r="B10836" s="1" t="n">
        <v>45135</v>
      </c>
      <c r="C10836" s="1" t="n">
        <v>45810</v>
      </c>
      <c r="D10836" t="inlineStr">
        <is>
          <t>VÄRMLANDS LÄN</t>
        </is>
      </c>
      <c r="E10836" t="inlineStr">
        <is>
          <t>ÅRJÄNG</t>
        </is>
      </c>
      <c r="F10836" t="inlineStr">
        <is>
          <t>Övriga Aktiebolag</t>
        </is>
      </c>
      <c r="G10836" t="n">
        <v>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34141-2023</t>
        </is>
      </c>
      <c r="B10837" s="1" t="n">
        <v>45136</v>
      </c>
      <c r="C10837" s="1" t="n">
        <v>45810</v>
      </c>
      <c r="D10837" t="inlineStr">
        <is>
          <t>VÄRMLANDS LÄN</t>
        </is>
      </c>
      <c r="E10837" t="inlineStr">
        <is>
          <t>SUNNE</t>
        </is>
      </c>
      <c r="G10837" t="n">
        <v>0.6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34157-2023</t>
        </is>
      </c>
      <c r="B10838" s="1" t="n">
        <v>45137</v>
      </c>
      <c r="C10838" s="1" t="n">
        <v>45810</v>
      </c>
      <c r="D10838" t="inlineStr">
        <is>
          <t>VÄRMLANDS LÄN</t>
        </is>
      </c>
      <c r="E10838" t="inlineStr">
        <is>
          <t>SÄFFLE</t>
        </is>
      </c>
      <c r="G10838" t="n">
        <v>1.9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34201-2023</t>
        </is>
      </c>
      <c r="B10839" s="1" t="n">
        <v>45138</v>
      </c>
      <c r="C10839" s="1" t="n">
        <v>45810</v>
      </c>
      <c r="D10839" t="inlineStr">
        <is>
          <t>VÄRMLANDS LÄN</t>
        </is>
      </c>
      <c r="E10839" t="inlineStr">
        <is>
          <t>ÅRJÄNG</t>
        </is>
      </c>
      <c r="G10839" t="n">
        <v>2.8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34207-2023</t>
        </is>
      </c>
      <c r="B10840" s="1" t="n">
        <v>45138</v>
      </c>
      <c r="C10840" s="1" t="n">
        <v>45810</v>
      </c>
      <c r="D10840" t="inlineStr">
        <is>
          <t>VÄRMLANDS LÄN</t>
        </is>
      </c>
      <c r="E10840" t="inlineStr">
        <is>
          <t>ÅRJÄNG</t>
        </is>
      </c>
      <c r="G10840" t="n">
        <v>1.9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34265-2023</t>
        </is>
      </c>
      <c r="B10841" s="1" t="n">
        <v>45138</v>
      </c>
      <c r="C10841" s="1" t="n">
        <v>45810</v>
      </c>
      <c r="D10841" t="inlineStr">
        <is>
          <t>VÄRMLANDS LÄN</t>
        </is>
      </c>
      <c r="E10841" t="inlineStr">
        <is>
          <t>SUNNE</t>
        </is>
      </c>
      <c r="G10841" t="n">
        <v>8.300000000000001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34280-2023</t>
        </is>
      </c>
      <c r="B10842" s="1" t="n">
        <v>45138</v>
      </c>
      <c r="C10842" s="1" t="n">
        <v>45810</v>
      </c>
      <c r="D10842" t="inlineStr">
        <is>
          <t>VÄRMLANDS LÄN</t>
        </is>
      </c>
      <c r="E10842" t="inlineStr">
        <is>
          <t>STORFORS</t>
        </is>
      </c>
      <c r="F10842" t="inlineStr">
        <is>
          <t>Kyrkan</t>
        </is>
      </c>
      <c r="G10842" t="n">
        <v>3.1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34297-2023</t>
        </is>
      </c>
      <c r="B10843" s="1" t="n">
        <v>45138</v>
      </c>
      <c r="C10843" s="1" t="n">
        <v>45810</v>
      </c>
      <c r="D10843" t="inlineStr">
        <is>
          <t>VÄRMLANDS LÄN</t>
        </is>
      </c>
      <c r="E10843" t="inlineStr">
        <is>
          <t>SUNNE</t>
        </is>
      </c>
      <c r="G10843" t="n">
        <v>2.6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34275-2023</t>
        </is>
      </c>
      <c r="B10844" s="1" t="n">
        <v>45138</v>
      </c>
      <c r="C10844" s="1" t="n">
        <v>45810</v>
      </c>
      <c r="D10844" t="inlineStr">
        <is>
          <t>VÄRMLANDS LÄN</t>
        </is>
      </c>
      <c r="E10844" t="inlineStr">
        <is>
          <t>SÄFFLE</t>
        </is>
      </c>
      <c r="G10844" t="n">
        <v>6.3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34389-2023</t>
        </is>
      </c>
      <c r="B10845" s="1" t="n">
        <v>45139</v>
      </c>
      <c r="C10845" s="1" t="n">
        <v>45810</v>
      </c>
      <c r="D10845" t="inlineStr">
        <is>
          <t>VÄRMLANDS LÄN</t>
        </is>
      </c>
      <c r="E10845" t="inlineStr">
        <is>
          <t>ÅRJÄNG</t>
        </is>
      </c>
      <c r="G10845" t="n">
        <v>1.8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34431-2023</t>
        </is>
      </c>
      <c r="B10846" s="1" t="n">
        <v>45139</v>
      </c>
      <c r="C10846" s="1" t="n">
        <v>45810</v>
      </c>
      <c r="D10846" t="inlineStr">
        <is>
          <t>VÄRMLANDS LÄN</t>
        </is>
      </c>
      <c r="E10846" t="inlineStr">
        <is>
          <t>EDA</t>
        </is>
      </c>
      <c r="G10846" t="n">
        <v>0.9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34358-2023</t>
        </is>
      </c>
      <c r="B10847" s="1" t="n">
        <v>45139</v>
      </c>
      <c r="C10847" s="1" t="n">
        <v>45810</v>
      </c>
      <c r="D10847" t="inlineStr">
        <is>
          <t>VÄRMLANDS LÄN</t>
        </is>
      </c>
      <c r="E10847" t="inlineStr">
        <is>
          <t>KIL</t>
        </is>
      </c>
      <c r="G10847" t="n">
        <v>4.2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34387-2023</t>
        </is>
      </c>
      <c r="B10848" s="1" t="n">
        <v>45139</v>
      </c>
      <c r="C10848" s="1" t="n">
        <v>45810</v>
      </c>
      <c r="D10848" t="inlineStr">
        <is>
          <t>VÄRMLANDS LÄN</t>
        </is>
      </c>
      <c r="E10848" t="inlineStr">
        <is>
          <t>ÅRJÄNG</t>
        </is>
      </c>
      <c r="G10848" t="n">
        <v>2.6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34410-2023</t>
        </is>
      </c>
      <c r="B10849" s="1" t="n">
        <v>45139</v>
      </c>
      <c r="C10849" s="1" t="n">
        <v>45810</v>
      </c>
      <c r="D10849" t="inlineStr">
        <is>
          <t>VÄRMLANDS LÄN</t>
        </is>
      </c>
      <c r="E10849" t="inlineStr">
        <is>
          <t>ÅRJÄNG</t>
        </is>
      </c>
      <c r="G10849" t="n">
        <v>0.6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34350-2023</t>
        </is>
      </c>
      <c r="B10850" s="1" t="n">
        <v>45139</v>
      </c>
      <c r="C10850" s="1" t="n">
        <v>45810</v>
      </c>
      <c r="D10850" t="inlineStr">
        <is>
          <t>VÄRMLANDS LÄN</t>
        </is>
      </c>
      <c r="E10850" t="inlineStr">
        <is>
          <t>ÅRJÄNG</t>
        </is>
      </c>
      <c r="G10850" t="n">
        <v>3.2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34405-2023</t>
        </is>
      </c>
      <c r="B10851" s="1" t="n">
        <v>45139</v>
      </c>
      <c r="C10851" s="1" t="n">
        <v>45810</v>
      </c>
      <c r="D10851" t="inlineStr">
        <is>
          <t>VÄRMLANDS LÄN</t>
        </is>
      </c>
      <c r="E10851" t="inlineStr">
        <is>
          <t>TORSBY</t>
        </is>
      </c>
      <c r="G10851" t="n">
        <v>4.6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34381-2023</t>
        </is>
      </c>
      <c r="B10852" s="1" t="n">
        <v>45139</v>
      </c>
      <c r="C10852" s="1" t="n">
        <v>45810</v>
      </c>
      <c r="D10852" t="inlineStr">
        <is>
          <t>VÄRMLANDS LÄN</t>
        </is>
      </c>
      <c r="E10852" t="inlineStr">
        <is>
          <t>SUNNE</t>
        </is>
      </c>
      <c r="G10852" t="n">
        <v>0.9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34409-2023</t>
        </is>
      </c>
      <c r="B10853" s="1" t="n">
        <v>45139</v>
      </c>
      <c r="C10853" s="1" t="n">
        <v>45810</v>
      </c>
      <c r="D10853" t="inlineStr">
        <is>
          <t>VÄRMLANDS LÄN</t>
        </is>
      </c>
      <c r="E10853" t="inlineStr">
        <is>
          <t>ÅRJÄNG</t>
        </is>
      </c>
      <c r="G10853" t="n">
        <v>4.6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34427-2023</t>
        </is>
      </c>
      <c r="B10854" s="1" t="n">
        <v>45139</v>
      </c>
      <c r="C10854" s="1" t="n">
        <v>45810</v>
      </c>
      <c r="D10854" t="inlineStr">
        <is>
          <t>VÄRMLANDS LÄN</t>
        </is>
      </c>
      <c r="E10854" t="inlineStr">
        <is>
          <t>TORSBY</t>
        </is>
      </c>
      <c r="G10854" t="n">
        <v>3.9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34469-2023</t>
        </is>
      </c>
      <c r="B10855" s="1" t="n">
        <v>45139</v>
      </c>
      <c r="C10855" s="1" t="n">
        <v>45810</v>
      </c>
      <c r="D10855" t="inlineStr">
        <is>
          <t>VÄRMLANDS LÄN</t>
        </is>
      </c>
      <c r="E10855" t="inlineStr">
        <is>
          <t>TORSBY</t>
        </is>
      </c>
      <c r="F10855" t="inlineStr">
        <is>
          <t>Bergvik skog väst AB</t>
        </is>
      </c>
      <c r="G10855" t="n">
        <v>13.2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34430-2023</t>
        </is>
      </c>
      <c r="B10856" s="1" t="n">
        <v>45139</v>
      </c>
      <c r="C10856" s="1" t="n">
        <v>45810</v>
      </c>
      <c r="D10856" t="inlineStr">
        <is>
          <t>VÄRMLANDS LÄN</t>
        </is>
      </c>
      <c r="E10856" t="inlineStr">
        <is>
          <t>TORSBY</t>
        </is>
      </c>
      <c r="G10856" t="n">
        <v>3.3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34526-2023</t>
        </is>
      </c>
      <c r="B10857" s="1" t="n">
        <v>45140</v>
      </c>
      <c r="C10857" s="1" t="n">
        <v>45810</v>
      </c>
      <c r="D10857" t="inlineStr">
        <is>
          <t>VÄRMLANDS LÄN</t>
        </is>
      </c>
      <c r="E10857" t="inlineStr">
        <is>
          <t>ÅRJÄNG</t>
        </is>
      </c>
      <c r="F10857" t="inlineStr">
        <is>
          <t>Kyrkan</t>
        </is>
      </c>
      <c r="G10857" t="n">
        <v>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34556-2023</t>
        </is>
      </c>
      <c r="B10858" s="1" t="n">
        <v>45140</v>
      </c>
      <c r="C10858" s="1" t="n">
        <v>45810</v>
      </c>
      <c r="D10858" t="inlineStr">
        <is>
          <t>VÄRMLANDS LÄN</t>
        </is>
      </c>
      <c r="E10858" t="inlineStr">
        <is>
          <t>SUNNE</t>
        </is>
      </c>
      <c r="G10858" t="n">
        <v>1.8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34585-2023</t>
        </is>
      </c>
      <c r="B10859" s="1" t="n">
        <v>45140</v>
      </c>
      <c r="C10859" s="1" t="n">
        <v>45810</v>
      </c>
      <c r="D10859" t="inlineStr">
        <is>
          <t>VÄRMLANDS LÄN</t>
        </is>
      </c>
      <c r="E10859" t="inlineStr">
        <is>
          <t>EDA</t>
        </is>
      </c>
      <c r="G10859" t="n">
        <v>3.1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34529-2023</t>
        </is>
      </c>
      <c r="B10860" s="1" t="n">
        <v>45140</v>
      </c>
      <c r="C10860" s="1" t="n">
        <v>45810</v>
      </c>
      <c r="D10860" t="inlineStr">
        <is>
          <t>VÄRMLANDS LÄN</t>
        </is>
      </c>
      <c r="E10860" t="inlineStr">
        <is>
          <t>HAGFORS</t>
        </is>
      </c>
      <c r="G10860" t="n">
        <v>0.9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34554-2023</t>
        </is>
      </c>
      <c r="B10861" s="1" t="n">
        <v>45140</v>
      </c>
      <c r="C10861" s="1" t="n">
        <v>45810</v>
      </c>
      <c r="D10861" t="inlineStr">
        <is>
          <t>VÄRMLANDS LÄN</t>
        </is>
      </c>
      <c r="E10861" t="inlineStr">
        <is>
          <t>SUNNE</t>
        </is>
      </c>
      <c r="G10861" t="n">
        <v>1.8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34546-2023</t>
        </is>
      </c>
      <c r="B10862" s="1" t="n">
        <v>45140</v>
      </c>
      <c r="C10862" s="1" t="n">
        <v>45810</v>
      </c>
      <c r="D10862" t="inlineStr">
        <is>
          <t>VÄRMLANDS LÄN</t>
        </is>
      </c>
      <c r="E10862" t="inlineStr">
        <is>
          <t>ARVIKA</t>
        </is>
      </c>
      <c r="G10862" t="n">
        <v>1.1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34559-2023</t>
        </is>
      </c>
      <c r="B10863" s="1" t="n">
        <v>45140</v>
      </c>
      <c r="C10863" s="1" t="n">
        <v>45810</v>
      </c>
      <c r="D10863" t="inlineStr">
        <is>
          <t>VÄRMLANDS LÄN</t>
        </is>
      </c>
      <c r="E10863" t="inlineStr">
        <is>
          <t>SUNNE</t>
        </is>
      </c>
      <c r="G10863" t="n">
        <v>5.5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34635-2023</t>
        </is>
      </c>
      <c r="B10864" s="1" t="n">
        <v>45140</v>
      </c>
      <c r="C10864" s="1" t="n">
        <v>45810</v>
      </c>
      <c r="D10864" t="inlineStr">
        <is>
          <t>VÄRMLANDS LÄN</t>
        </is>
      </c>
      <c r="E10864" t="inlineStr">
        <is>
          <t>EDA</t>
        </is>
      </c>
      <c r="G10864" t="n">
        <v>1.5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34633-2023</t>
        </is>
      </c>
      <c r="B10865" s="1" t="n">
        <v>45140</v>
      </c>
      <c r="C10865" s="1" t="n">
        <v>45810</v>
      </c>
      <c r="D10865" t="inlineStr">
        <is>
          <t>VÄRMLANDS LÄN</t>
        </is>
      </c>
      <c r="E10865" t="inlineStr">
        <is>
          <t>FORSHAGA</t>
        </is>
      </c>
      <c r="F10865" t="inlineStr">
        <is>
          <t>Bergvik skog väst AB</t>
        </is>
      </c>
      <c r="G10865" t="n">
        <v>5.9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34637-2023</t>
        </is>
      </c>
      <c r="B10866" s="1" t="n">
        <v>45140</v>
      </c>
      <c r="C10866" s="1" t="n">
        <v>45810</v>
      </c>
      <c r="D10866" t="inlineStr">
        <is>
          <t>VÄRMLANDS LÄN</t>
        </is>
      </c>
      <c r="E10866" t="inlineStr">
        <is>
          <t>EDA</t>
        </is>
      </c>
      <c r="G10866" t="n">
        <v>7.5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34675-2023</t>
        </is>
      </c>
      <c r="B10867" s="1" t="n">
        <v>45140</v>
      </c>
      <c r="C10867" s="1" t="n">
        <v>45810</v>
      </c>
      <c r="D10867" t="inlineStr">
        <is>
          <t>VÄRMLANDS LÄN</t>
        </is>
      </c>
      <c r="E10867" t="inlineStr">
        <is>
          <t>ARVIKA</t>
        </is>
      </c>
      <c r="G10867" t="n">
        <v>6.4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34594-2023</t>
        </is>
      </c>
      <c r="B10868" s="1" t="n">
        <v>45140</v>
      </c>
      <c r="C10868" s="1" t="n">
        <v>45810</v>
      </c>
      <c r="D10868" t="inlineStr">
        <is>
          <t>VÄRMLANDS LÄN</t>
        </is>
      </c>
      <c r="E10868" t="inlineStr">
        <is>
          <t>ARVIKA</t>
        </is>
      </c>
      <c r="G10868" t="n">
        <v>3.6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34618-2023</t>
        </is>
      </c>
      <c r="B10869" s="1" t="n">
        <v>45140</v>
      </c>
      <c r="C10869" s="1" t="n">
        <v>45810</v>
      </c>
      <c r="D10869" t="inlineStr">
        <is>
          <t>VÄRMLANDS LÄN</t>
        </is>
      </c>
      <c r="E10869" t="inlineStr">
        <is>
          <t>SÄFFLE</t>
        </is>
      </c>
      <c r="G10869" t="n">
        <v>1.1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34658-2023</t>
        </is>
      </c>
      <c r="B10870" s="1" t="n">
        <v>45140</v>
      </c>
      <c r="C10870" s="1" t="n">
        <v>45810</v>
      </c>
      <c r="D10870" t="inlineStr">
        <is>
          <t>VÄRMLANDS LÄN</t>
        </is>
      </c>
      <c r="E10870" t="inlineStr">
        <is>
          <t>TORSBY</t>
        </is>
      </c>
      <c r="G10870" t="n">
        <v>4.7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34634-2023</t>
        </is>
      </c>
      <c r="B10871" s="1" t="n">
        <v>45140</v>
      </c>
      <c r="C10871" s="1" t="n">
        <v>45810</v>
      </c>
      <c r="D10871" t="inlineStr">
        <is>
          <t>VÄRMLANDS LÄN</t>
        </is>
      </c>
      <c r="E10871" t="inlineStr">
        <is>
          <t>EDA</t>
        </is>
      </c>
      <c r="G10871" t="n">
        <v>4.3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34727-2023</t>
        </is>
      </c>
      <c r="B10872" s="1" t="n">
        <v>45141</v>
      </c>
      <c r="C10872" s="1" t="n">
        <v>45810</v>
      </c>
      <c r="D10872" t="inlineStr">
        <is>
          <t>VÄRMLANDS LÄN</t>
        </is>
      </c>
      <c r="E10872" t="inlineStr">
        <is>
          <t>KARLSTAD</t>
        </is>
      </c>
      <c r="G10872" t="n">
        <v>1.5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34788-2023</t>
        </is>
      </c>
      <c r="B10873" s="1" t="n">
        <v>45141</v>
      </c>
      <c r="C10873" s="1" t="n">
        <v>45810</v>
      </c>
      <c r="D10873" t="inlineStr">
        <is>
          <t>VÄRMLANDS LÄN</t>
        </is>
      </c>
      <c r="E10873" t="inlineStr">
        <is>
          <t>HAGFORS</t>
        </is>
      </c>
      <c r="G10873" t="n">
        <v>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34728-2023</t>
        </is>
      </c>
      <c r="B10874" s="1" t="n">
        <v>45141</v>
      </c>
      <c r="C10874" s="1" t="n">
        <v>45810</v>
      </c>
      <c r="D10874" t="inlineStr">
        <is>
          <t>VÄRMLANDS LÄN</t>
        </is>
      </c>
      <c r="E10874" t="inlineStr">
        <is>
          <t>KARLSTAD</t>
        </is>
      </c>
      <c r="G10874" t="n">
        <v>2.6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34726-2023</t>
        </is>
      </c>
      <c r="B10875" s="1" t="n">
        <v>45141</v>
      </c>
      <c r="C10875" s="1" t="n">
        <v>45810</v>
      </c>
      <c r="D10875" t="inlineStr">
        <is>
          <t>VÄRMLANDS LÄN</t>
        </is>
      </c>
      <c r="E10875" t="inlineStr">
        <is>
          <t>KARLSTAD</t>
        </is>
      </c>
      <c r="G10875" t="n">
        <v>0.5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34891-2023</t>
        </is>
      </c>
      <c r="B10876" s="1" t="n">
        <v>45141</v>
      </c>
      <c r="C10876" s="1" t="n">
        <v>45810</v>
      </c>
      <c r="D10876" t="inlineStr">
        <is>
          <t>VÄRMLANDS LÄN</t>
        </is>
      </c>
      <c r="E10876" t="inlineStr">
        <is>
          <t>KRISTINEHAMN</t>
        </is>
      </c>
      <c r="G10876" t="n">
        <v>3.7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34893-2023</t>
        </is>
      </c>
      <c r="B10877" s="1" t="n">
        <v>45141</v>
      </c>
      <c r="C10877" s="1" t="n">
        <v>45810</v>
      </c>
      <c r="D10877" t="inlineStr">
        <is>
          <t>VÄRMLANDS LÄN</t>
        </is>
      </c>
      <c r="E10877" t="inlineStr">
        <is>
          <t>KRISTINEHAMN</t>
        </is>
      </c>
      <c r="G10877" t="n">
        <v>1.6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34840-2023</t>
        </is>
      </c>
      <c r="B10878" s="1" t="n">
        <v>45141</v>
      </c>
      <c r="C10878" s="1" t="n">
        <v>45810</v>
      </c>
      <c r="D10878" t="inlineStr">
        <is>
          <t>VÄRMLANDS LÄN</t>
        </is>
      </c>
      <c r="E10878" t="inlineStr">
        <is>
          <t>ARVIKA</t>
        </is>
      </c>
      <c r="G10878" t="n">
        <v>0.6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34885-2023</t>
        </is>
      </c>
      <c r="B10879" s="1" t="n">
        <v>45141</v>
      </c>
      <c r="C10879" s="1" t="n">
        <v>45810</v>
      </c>
      <c r="D10879" t="inlineStr">
        <is>
          <t>VÄRMLANDS LÄN</t>
        </is>
      </c>
      <c r="E10879" t="inlineStr">
        <is>
          <t>SÄFFLE</t>
        </is>
      </c>
      <c r="G10879" t="n">
        <v>1.4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34914-2023</t>
        </is>
      </c>
      <c r="B10880" s="1" t="n">
        <v>45142</v>
      </c>
      <c r="C10880" s="1" t="n">
        <v>45810</v>
      </c>
      <c r="D10880" t="inlineStr">
        <is>
          <t>VÄRMLANDS LÄN</t>
        </is>
      </c>
      <c r="E10880" t="inlineStr">
        <is>
          <t>EDA</t>
        </is>
      </c>
      <c r="G10880" t="n">
        <v>0.8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34917-2023</t>
        </is>
      </c>
      <c r="B10881" s="1" t="n">
        <v>45142</v>
      </c>
      <c r="C10881" s="1" t="n">
        <v>45810</v>
      </c>
      <c r="D10881" t="inlineStr">
        <is>
          <t>VÄRMLANDS LÄN</t>
        </is>
      </c>
      <c r="E10881" t="inlineStr">
        <is>
          <t>EDA</t>
        </is>
      </c>
      <c r="G10881" t="n">
        <v>0.7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34944-2023</t>
        </is>
      </c>
      <c r="B10882" s="1" t="n">
        <v>45142</v>
      </c>
      <c r="C10882" s="1" t="n">
        <v>45810</v>
      </c>
      <c r="D10882" t="inlineStr">
        <is>
          <t>VÄRMLANDS LÄN</t>
        </is>
      </c>
      <c r="E10882" t="inlineStr">
        <is>
          <t>STORFORS</t>
        </is>
      </c>
      <c r="F10882" t="inlineStr">
        <is>
          <t>Bergvik skog väst AB</t>
        </is>
      </c>
      <c r="G10882" t="n">
        <v>12.5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34915-2023</t>
        </is>
      </c>
      <c r="B10883" s="1" t="n">
        <v>45142</v>
      </c>
      <c r="C10883" s="1" t="n">
        <v>45810</v>
      </c>
      <c r="D10883" t="inlineStr">
        <is>
          <t>VÄRMLANDS LÄN</t>
        </is>
      </c>
      <c r="E10883" t="inlineStr">
        <is>
          <t>STORFORS</t>
        </is>
      </c>
      <c r="F10883" t="inlineStr">
        <is>
          <t>Bergvik skog väst AB</t>
        </is>
      </c>
      <c r="G10883" t="n">
        <v>8.1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34975-2023</t>
        </is>
      </c>
      <c r="B10884" s="1" t="n">
        <v>45142</v>
      </c>
      <c r="C10884" s="1" t="n">
        <v>45810</v>
      </c>
      <c r="D10884" t="inlineStr">
        <is>
          <t>VÄRMLANDS LÄN</t>
        </is>
      </c>
      <c r="E10884" t="inlineStr">
        <is>
          <t>HAGFORS</t>
        </is>
      </c>
      <c r="F10884" t="inlineStr">
        <is>
          <t>Bergvik skog väst AB</t>
        </is>
      </c>
      <c r="G10884" t="n">
        <v>12.7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34955-2023</t>
        </is>
      </c>
      <c r="B10885" s="1" t="n">
        <v>45142</v>
      </c>
      <c r="C10885" s="1" t="n">
        <v>45810</v>
      </c>
      <c r="D10885" t="inlineStr">
        <is>
          <t>VÄRMLANDS LÄN</t>
        </is>
      </c>
      <c r="E10885" t="inlineStr">
        <is>
          <t>TORSBY</t>
        </is>
      </c>
      <c r="G10885" t="n">
        <v>7.6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35045-2023</t>
        </is>
      </c>
      <c r="B10886" s="1" t="n">
        <v>45145</v>
      </c>
      <c r="C10886" s="1" t="n">
        <v>45810</v>
      </c>
      <c r="D10886" t="inlineStr">
        <is>
          <t>VÄRMLANDS LÄN</t>
        </is>
      </c>
      <c r="E10886" t="inlineStr">
        <is>
          <t>ÅRJÄNG</t>
        </is>
      </c>
      <c r="G10886" t="n">
        <v>0.7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35055-2023</t>
        </is>
      </c>
      <c r="B10887" s="1" t="n">
        <v>45145</v>
      </c>
      <c r="C10887" s="1" t="n">
        <v>45810</v>
      </c>
      <c r="D10887" t="inlineStr">
        <is>
          <t>VÄRMLANDS LÄN</t>
        </is>
      </c>
      <c r="E10887" t="inlineStr">
        <is>
          <t>TORSBY</t>
        </is>
      </c>
      <c r="F10887" t="inlineStr">
        <is>
          <t>Bergvik skog väst AB</t>
        </is>
      </c>
      <c r="G10887" t="n">
        <v>16.4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35065-2023</t>
        </is>
      </c>
      <c r="B10888" s="1" t="n">
        <v>45145</v>
      </c>
      <c r="C10888" s="1" t="n">
        <v>45810</v>
      </c>
      <c r="D10888" t="inlineStr">
        <is>
          <t>VÄRMLANDS LÄN</t>
        </is>
      </c>
      <c r="E10888" t="inlineStr">
        <is>
          <t>HAGFORS</t>
        </is>
      </c>
      <c r="G10888" t="n">
        <v>13.5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35076-2023</t>
        </is>
      </c>
      <c r="B10889" s="1" t="n">
        <v>45145</v>
      </c>
      <c r="C10889" s="1" t="n">
        <v>45810</v>
      </c>
      <c r="D10889" t="inlineStr">
        <is>
          <t>VÄRMLANDS LÄN</t>
        </is>
      </c>
      <c r="E10889" t="inlineStr">
        <is>
          <t>KARLSTAD</t>
        </is>
      </c>
      <c r="G10889" t="n">
        <v>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35158-2023</t>
        </is>
      </c>
      <c r="B10890" s="1" t="n">
        <v>45145</v>
      </c>
      <c r="C10890" s="1" t="n">
        <v>45810</v>
      </c>
      <c r="D10890" t="inlineStr">
        <is>
          <t>VÄRMLANDS LÄN</t>
        </is>
      </c>
      <c r="E10890" t="inlineStr">
        <is>
          <t>EDA</t>
        </is>
      </c>
      <c r="G10890" t="n">
        <v>2.6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35162-2023</t>
        </is>
      </c>
      <c r="B10891" s="1" t="n">
        <v>45145</v>
      </c>
      <c r="C10891" s="1" t="n">
        <v>45810</v>
      </c>
      <c r="D10891" t="inlineStr">
        <is>
          <t>VÄRMLANDS LÄN</t>
        </is>
      </c>
      <c r="E10891" t="inlineStr">
        <is>
          <t>FORSHAGA</t>
        </is>
      </c>
      <c r="F10891" t="inlineStr">
        <is>
          <t>Bergvik skog väst AB</t>
        </is>
      </c>
      <c r="G10891" t="n">
        <v>1.9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35057-2023</t>
        </is>
      </c>
      <c r="B10892" s="1" t="n">
        <v>45145</v>
      </c>
      <c r="C10892" s="1" t="n">
        <v>45810</v>
      </c>
      <c r="D10892" t="inlineStr">
        <is>
          <t>VÄRMLANDS LÄN</t>
        </is>
      </c>
      <c r="E10892" t="inlineStr">
        <is>
          <t>TORSBY</t>
        </is>
      </c>
      <c r="G10892" t="n">
        <v>0.8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35110-2023</t>
        </is>
      </c>
      <c r="B10893" s="1" t="n">
        <v>45145</v>
      </c>
      <c r="C10893" s="1" t="n">
        <v>45810</v>
      </c>
      <c r="D10893" t="inlineStr">
        <is>
          <t>VÄRMLANDS LÄN</t>
        </is>
      </c>
      <c r="E10893" t="inlineStr">
        <is>
          <t>ÅRJÄNG</t>
        </is>
      </c>
      <c r="G10893" t="n">
        <v>1.9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35186-2023</t>
        </is>
      </c>
      <c r="B10894" s="1" t="n">
        <v>45145</v>
      </c>
      <c r="C10894" s="1" t="n">
        <v>45810</v>
      </c>
      <c r="D10894" t="inlineStr">
        <is>
          <t>VÄRMLANDS LÄN</t>
        </is>
      </c>
      <c r="E10894" t="inlineStr">
        <is>
          <t>TORSBY</t>
        </is>
      </c>
      <c r="F10894" t="inlineStr">
        <is>
          <t>Bergvik skog väst AB</t>
        </is>
      </c>
      <c r="G10894" t="n">
        <v>3.6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35126-2023</t>
        </is>
      </c>
      <c r="B10895" s="1" t="n">
        <v>45145</v>
      </c>
      <c r="C10895" s="1" t="n">
        <v>45810</v>
      </c>
      <c r="D10895" t="inlineStr">
        <is>
          <t>VÄRMLANDS LÄN</t>
        </is>
      </c>
      <c r="E10895" t="inlineStr">
        <is>
          <t>HAGFORS</t>
        </is>
      </c>
      <c r="F10895" t="inlineStr">
        <is>
          <t>Bergvik skog väst AB</t>
        </is>
      </c>
      <c r="G10895" t="n">
        <v>1.7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35195-2023</t>
        </is>
      </c>
      <c r="B10896" s="1" t="n">
        <v>45145</v>
      </c>
      <c r="C10896" s="1" t="n">
        <v>45810</v>
      </c>
      <c r="D10896" t="inlineStr">
        <is>
          <t>VÄRMLANDS LÄN</t>
        </is>
      </c>
      <c r="E10896" t="inlineStr">
        <is>
          <t>FORSHAGA</t>
        </is>
      </c>
      <c r="F10896" t="inlineStr">
        <is>
          <t>Bergvik skog väst AB</t>
        </is>
      </c>
      <c r="G10896" t="n">
        <v>2.6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35224-2023</t>
        </is>
      </c>
      <c r="B10897" s="1" t="n">
        <v>45145</v>
      </c>
      <c r="C10897" s="1" t="n">
        <v>45810</v>
      </c>
      <c r="D10897" t="inlineStr">
        <is>
          <t>VÄRMLANDS LÄN</t>
        </is>
      </c>
      <c r="E10897" t="inlineStr">
        <is>
          <t>SUNNE</t>
        </is>
      </c>
      <c r="G10897" t="n">
        <v>1.1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35039-2023</t>
        </is>
      </c>
      <c r="B10898" s="1" t="n">
        <v>45145</v>
      </c>
      <c r="C10898" s="1" t="n">
        <v>45810</v>
      </c>
      <c r="D10898" t="inlineStr">
        <is>
          <t>VÄRMLANDS LÄN</t>
        </is>
      </c>
      <c r="E10898" t="inlineStr">
        <is>
          <t>ÅRJÄNG</t>
        </is>
      </c>
      <c r="G10898" t="n">
        <v>5.4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35115-2023</t>
        </is>
      </c>
      <c r="B10899" s="1" t="n">
        <v>45145</v>
      </c>
      <c r="C10899" s="1" t="n">
        <v>45810</v>
      </c>
      <c r="D10899" t="inlineStr">
        <is>
          <t>VÄRMLANDS LÄN</t>
        </is>
      </c>
      <c r="E10899" t="inlineStr">
        <is>
          <t>TORSBY</t>
        </is>
      </c>
      <c r="G10899" t="n">
        <v>3.5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35143-2023</t>
        </is>
      </c>
      <c r="B10900" s="1" t="n">
        <v>45145</v>
      </c>
      <c r="C10900" s="1" t="n">
        <v>45810</v>
      </c>
      <c r="D10900" t="inlineStr">
        <is>
          <t>VÄRMLANDS LÄN</t>
        </is>
      </c>
      <c r="E10900" t="inlineStr">
        <is>
          <t>EDA</t>
        </is>
      </c>
      <c r="F10900" t="inlineStr">
        <is>
          <t>Bergvik skog väst AB</t>
        </is>
      </c>
      <c r="G10900" t="n">
        <v>12.3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35152-2023</t>
        </is>
      </c>
      <c r="B10901" s="1" t="n">
        <v>45145</v>
      </c>
      <c r="C10901" s="1" t="n">
        <v>45810</v>
      </c>
      <c r="D10901" t="inlineStr">
        <is>
          <t>VÄRMLANDS LÄN</t>
        </is>
      </c>
      <c r="E10901" t="inlineStr">
        <is>
          <t>ARVIKA</t>
        </is>
      </c>
      <c r="F10901" t="inlineStr">
        <is>
          <t>Bergvik skog väst AB</t>
        </is>
      </c>
      <c r="G10901" t="n">
        <v>3.3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35192-2023</t>
        </is>
      </c>
      <c r="B10902" s="1" t="n">
        <v>45145</v>
      </c>
      <c r="C10902" s="1" t="n">
        <v>45810</v>
      </c>
      <c r="D10902" t="inlineStr">
        <is>
          <t>VÄRMLANDS LÄN</t>
        </is>
      </c>
      <c r="E10902" t="inlineStr">
        <is>
          <t>EDA</t>
        </is>
      </c>
      <c r="G10902" t="n">
        <v>1.5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35196-2023</t>
        </is>
      </c>
      <c r="B10903" s="1" t="n">
        <v>45145</v>
      </c>
      <c r="C10903" s="1" t="n">
        <v>45810</v>
      </c>
      <c r="D10903" t="inlineStr">
        <is>
          <t>VÄRMLANDS LÄN</t>
        </is>
      </c>
      <c r="E10903" t="inlineStr">
        <is>
          <t>ARVIKA</t>
        </is>
      </c>
      <c r="F10903" t="inlineStr">
        <is>
          <t>Bergvik skog väst AB</t>
        </is>
      </c>
      <c r="G10903" t="n">
        <v>3.5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35053-2023</t>
        </is>
      </c>
      <c r="B10904" s="1" t="n">
        <v>45145</v>
      </c>
      <c r="C10904" s="1" t="n">
        <v>45810</v>
      </c>
      <c r="D10904" t="inlineStr">
        <is>
          <t>VÄRMLANDS LÄN</t>
        </is>
      </c>
      <c r="E10904" t="inlineStr">
        <is>
          <t>ÅRJÄNG</t>
        </is>
      </c>
      <c r="G10904" t="n">
        <v>1.4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35378-2023</t>
        </is>
      </c>
      <c r="B10905" s="1" t="n">
        <v>45145</v>
      </c>
      <c r="C10905" s="1" t="n">
        <v>45810</v>
      </c>
      <c r="D10905" t="inlineStr">
        <is>
          <t>VÄRMLANDS LÄN</t>
        </is>
      </c>
      <c r="E10905" t="inlineStr">
        <is>
          <t>KARLSTAD</t>
        </is>
      </c>
      <c r="G10905" t="n">
        <v>1.8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35120-2023</t>
        </is>
      </c>
      <c r="B10906" s="1" t="n">
        <v>45145</v>
      </c>
      <c r="C10906" s="1" t="n">
        <v>45810</v>
      </c>
      <c r="D10906" t="inlineStr">
        <is>
          <t>VÄRMLANDS LÄN</t>
        </is>
      </c>
      <c r="E10906" t="inlineStr">
        <is>
          <t>TORSBY</t>
        </is>
      </c>
      <c r="G10906" t="n">
        <v>16.9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35169-2023</t>
        </is>
      </c>
      <c r="B10907" s="1" t="n">
        <v>45145</v>
      </c>
      <c r="C10907" s="1" t="n">
        <v>45810</v>
      </c>
      <c r="D10907" t="inlineStr">
        <is>
          <t>VÄRMLANDS LÄN</t>
        </is>
      </c>
      <c r="E10907" t="inlineStr">
        <is>
          <t>EDA</t>
        </is>
      </c>
      <c r="G10907" t="n">
        <v>1.3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35226-2023</t>
        </is>
      </c>
      <c r="B10908" s="1" t="n">
        <v>45145</v>
      </c>
      <c r="C10908" s="1" t="n">
        <v>45810</v>
      </c>
      <c r="D10908" t="inlineStr">
        <is>
          <t>VÄRMLANDS LÄN</t>
        </is>
      </c>
      <c r="E10908" t="inlineStr">
        <is>
          <t>SUNNE</t>
        </is>
      </c>
      <c r="G10908" t="n">
        <v>0.8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35318-2023</t>
        </is>
      </c>
      <c r="B10909" s="1" t="n">
        <v>45146</v>
      </c>
      <c r="C10909" s="1" t="n">
        <v>45810</v>
      </c>
      <c r="D10909" t="inlineStr">
        <is>
          <t>VÄRMLANDS LÄN</t>
        </is>
      </c>
      <c r="E10909" t="inlineStr">
        <is>
          <t>SUNNE</t>
        </is>
      </c>
      <c r="G10909" t="n">
        <v>1.6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35340-2023</t>
        </is>
      </c>
      <c r="B10910" s="1" t="n">
        <v>45146</v>
      </c>
      <c r="C10910" s="1" t="n">
        <v>45810</v>
      </c>
      <c r="D10910" t="inlineStr">
        <is>
          <t>VÄRMLANDS LÄN</t>
        </is>
      </c>
      <c r="E10910" t="inlineStr">
        <is>
          <t>SUNNE</t>
        </is>
      </c>
      <c r="G10910" t="n">
        <v>0.8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35370-2023</t>
        </is>
      </c>
      <c r="B10911" s="1" t="n">
        <v>45146</v>
      </c>
      <c r="C10911" s="1" t="n">
        <v>45810</v>
      </c>
      <c r="D10911" t="inlineStr">
        <is>
          <t>VÄRMLANDS LÄN</t>
        </is>
      </c>
      <c r="E10911" t="inlineStr">
        <is>
          <t>STORFORS</t>
        </is>
      </c>
      <c r="F10911" t="inlineStr">
        <is>
          <t>Kyrkan</t>
        </is>
      </c>
      <c r="G10911" t="n">
        <v>5.4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35407-2023</t>
        </is>
      </c>
      <c r="B10912" s="1" t="n">
        <v>45146</v>
      </c>
      <c r="C10912" s="1" t="n">
        <v>45810</v>
      </c>
      <c r="D10912" t="inlineStr">
        <is>
          <t>VÄRMLANDS LÄN</t>
        </is>
      </c>
      <c r="E10912" t="inlineStr">
        <is>
          <t>SUNNE</t>
        </is>
      </c>
      <c r="G10912" t="n">
        <v>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35415-2023</t>
        </is>
      </c>
      <c r="B10913" s="1" t="n">
        <v>45146</v>
      </c>
      <c r="C10913" s="1" t="n">
        <v>45810</v>
      </c>
      <c r="D10913" t="inlineStr">
        <is>
          <t>VÄRMLANDS LÄN</t>
        </is>
      </c>
      <c r="E10913" t="inlineStr">
        <is>
          <t>TORSBY</t>
        </is>
      </c>
      <c r="F10913" t="inlineStr">
        <is>
          <t>Bergvik skog väst AB</t>
        </is>
      </c>
      <c r="G10913" t="n">
        <v>7.1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35316-2023</t>
        </is>
      </c>
      <c r="B10914" s="1" t="n">
        <v>45146</v>
      </c>
      <c r="C10914" s="1" t="n">
        <v>45810</v>
      </c>
      <c r="D10914" t="inlineStr">
        <is>
          <t>VÄRMLANDS LÄN</t>
        </is>
      </c>
      <c r="E10914" t="inlineStr">
        <is>
          <t>SUNNE</t>
        </is>
      </c>
      <c r="G10914" t="n">
        <v>19.3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35371-2023</t>
        </is>
      </c>
      <c r="B10915" s="1" t="n">
        <v>45146</v>
      </c>
      <c r="C10915" s="1" t="n">
        <v>45810</v>
      </c>
      <c r="D10915" t="inlineStr">
        <is>
          <t>VÄRMLANDS LÄN</t>
        </is>
      </c>
      <c r="E10915" t="inlineStr">
        <is>
          <t>SUNNE</t>
        </is>
      </c>
      <c r="F10915" t="inlineStr">
        <is>
          <t>Bergvik skog väst AB</t>
        </is>
      </c>
      <c r="G10915" t="n">
        <v>5.6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35409-2023</t>
        </is>
      </c>
      <c r="B10916" s="1" t="n">
        <v>45146</v>
      </c>
      <c r="C10916" s="1" t="n">
        <v>45810</v>
      </c>
      <c r="D10916" t="inlineStr">
        <is>
          <t>VÄRMLANDS LÄN</t>
        </is>
      </c>
      <c r="E10916" t="inlineStr">
        <is>
          <t>SUNNE</t>
        </is>
      </c>
      <c r="G10916" t="n">
        <v>0.8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35317-2023</t>
        </is>
      </c>
      <c r="B10917" s="1" t="n">
        <v>45146</v>
      </c>
      <c r="C10917" s="1" t="n">
        <v>45810</v>
      </c>
      <c r="D10917" t="inlineStr">
        <is>
          <t>VÄRMLANDS LÄN</t>
        </is>
      </c>
      <c r="E10917" t="inlineStr">
        <is>
          <t>EDA</t>
        </is>
      </c>
      <c r="G10917" t="n">
        <v>1.2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35322-2023</t>
        </is>
      </c>
      <c r="B10918" s="1" t="n">
        <v>45146</v>
      </c>
      <c r="C10918" s="1" t="n">
        <v>45810</v>
      </c>
      <c r="D10918" t="inlineStr">
        <is>
          <t>VÄRMLANDS LÄN</t>
        </is>
      </c>
      <c r="E10918" t="inlineStr">
        <is>
          <t>SUNNE</t>
        </is>
      </c>
      <c r="G10918" t="n">
        <v>0.7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35353-2023</t>
        </is>
      </c>
      <c r="B10919" s="1" t="n">
        <v>45146</v>
      </c>
      <c r="C10919" s="1" t="n">
        <v>45810</v>
      </c>
      <c r="D10919" t="inlineStr">
        <is>
          <t>VÄRMLANDS LÄN</t>
        </is>
      </c>
      <c r="E10919" t="inlineStr">
        <is>
          <t>SÄFFLE</t>
        </is>
      </c>
      <c r="G10919" t="n">
        <v>0.6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35358-2023</t>
        </is>
      </c>
      <c r="B10920" s="1" t="n">
        <v>45146</v>
      </c>
      <c r="C10920" s="1" t="n">
        <v>45810</v>
      </c>
      <c r="D10920" t="inlineStr">
        <is>
          <t>VÄRMLANDS LÄN</t>
        </is>
      </c>
      <c r="E10920" t="inlineStr">
        <is>
          <t>ARVIKA</t>
        </is>
      </c>
      <c r="G10920" t="n">
        <v>7.3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35459-2023</t>
        </is>
      </c>
      <c r="B10921" s="1" t="n">
        <v>45146</v>
      </c>
      <c r="C10921" s="1" t="n">
        <v>45810</v>
      </c>
      <c r="D10921" t="inlineStr">
        <is>
          <t>VÄRMLANDS LÄN</t>
        </is>
      </c>
      <c r="E10921" t="inlineStr">
        <is>
          <t>FORSHAGA</t>
        </is>
      </c>
      <c r="F10921" t="inlineStr">
        <is>
          <t>Kommuner</t>
        </is>
      </c>
      <c r="G10921" t="n">
        <v>1.5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35466-2023</t>
        </is>
      </c>
      <c r="B10922" s="1" t="n">
        <v>45146</v>
      </c>
      <c r="C10922" s="1" t="n">
        <v>45810</v>
      </c>
      <c r="D10922" t="inlineStr">
        <is>
          <t>VÄRMLANDS LÄN</t>
        </is>
      </c>
      <c r="E10922" t="inlineStr">
        <is>
          <t>FORSHAGA</t>
        </is>
      </c>
      <c r="F10922" t="inlineStr">
        <is>
          <t>Kommuner</t>
        </is>
      </c>
      <c r="G10922" t="n">
        <v>3.6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35533-2023</t>
        </is>
      </c>
      <c r="B10923" s="1" t="n">
        <v>45146</v>
      </c>
      <c r="C10923" s="1" t="n">
        <v>45810</v>
      </c>
      <c r="D10923" t="inlineStr">
        <is>
          <t>VÄRMLANDS LÄN</t>
        </is>
      </c>
      <c r="E10923" t="inlineStr">
        <is>
          <t>SÄFFLE</t>
        </is>
      </c>
      <c r="G10923" t="n">
        <v>6.6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35628-2023</t>
        </is>
      </c>
      <c r="B10924" s="1" t="n">
        <v>45146</v>
      </c>
      <c r="C10924" s="1" t="n">
        <v>45810</v>
      </c>
      <c r="D10924" t="inlineStr">
        <is>
          <t>VÄRMLANDS LÄN</t>
        </is>
      </c>
      <c r="E10924" t="inlineStr">
        <is>
          <t>ARVIKA</t>
        </is>
      </c>
      <c r="G10924" t="n">
        <v>1.8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35538-2023</t>
        </is>
      </c>
      <c r="B10925" s="1" t="n">
        <v>45146</v>
      </c>
      <c r="C10925" s="1" t="n">
        <v>45810</v>
      </c>
      <c r="D10925" t="inlineStr">
        <is>
          <t>VÄRMLANDS LÄN</t>
        </is>
      </c>
      <c r="E10925" t="inlineStr">
        <is>
          <t>SÄFFLE</t>
        </is>
      </c>
      <c r="G10925" t="n">
        <v>3.1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35613-2023</t>
        </is>
      </c>
      <c r="B10926" s="1" t="n">
        <v>45146</v>
      </c>
      <c r="C10926" s="1" t="n">
        <v>45810</v>
      </c>
      <c r="D10926" t="inlineStr">
        <is>
          <t>VÄRMLANDS LÄN</t>
        </is>
      </c>
      <c r="E10926" t="inlineStr">
        <is>
          <t>ARVIKA</t>
        </is>
      </c>
      <c r="G10926" t="n">
        <v>0.9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35436-2023</t>
        </is>
      </c>
      <c r="B10927" s="1" t="n">
        <v>45146</v>
      </c>
      <c r="C10927" s="1" t="n">
        <v>45810</v>
      </c>
      <c r="D10927" t="inlineStr">
        <is>
          <t>VÄRMLANDS LÄN</t>
        </is>
      </c>
      <c r="E10927" t="inlineStr">
        <is>
          <t>FORSHAGA</t>
        </is>
      </c>
      <c r="F10927" t="inlineStr">
        <is>
          <t>Bergvik skog väst AB</t>
        </is>
      </c>
      <c r="G10927" t="n">
        <v>1.3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35465-2023</t>
        </is>
      </c>
      <c r="B10928" s="1" t="n">
        <v>45146</v>
      </c>
      <c r="C10928" s="1" t="n">
        <v>45810</v>
      </c>
      <c r="D10928" t="inlineStr">
        <is>
          <t>VÄRMLANDS LÄN</t>
        </is>
      </c>
      <c r="E10928" t="inlineStr">
        <is>
          <t>FORSHAGA</t>
        </is>
      </c>
      <c r="F10928" t="inlineStr">
        <is>
          <t>Kommuner</t>
        </is>
      </c>
      <c r="G10928" t="n">
        <v>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35489-2023</t>
        </is>
      </c>
      <c r="B10929" s="1" t="n">
        <v>45146</v>
      </c>
      <c r="C10929" s="1" t="n">
        <v>45810</v>
      </c>
      <c r="D10929" t="inlineStr">
        <is>
          <t>VÄRMLANDS LÄN</t>
        </is>
      </c>
      <c r="E10929" t="inlineStr">
        <is>
          <t>MUNKFORS</t>
        </is>
      </c>
      <c r="G10929" t="n">
        <v>0.7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35634-2023</t>
        </is>
      </c>
      <c r="B10930" s="1" t="n">
        <v>45146</v>
      </c>
      <c r="C10930" s="1" t="n">
        <v>45810</v>
      </c>
      <c r="D10930" t="inlineStr">
        <is>
          <t>VÄRMLANDS LÄN</t>
        </is>
      </c>
      <c r="E10930" t="inlineStr">
        <is>
          <t>ARVIKA</t>
        </is>
      </c>
      <c r="G10930" t="n">
        <v>1.8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35558-2023</t>
        </is>
      </c>
      <c r="B10931" s="1" t="n">
        <v>45147</v>
      </c>
      <c r="C10931" s="1" t="n">
        <v>45810</v>
      </c>
      <c r="D10931" t="inlineStr">
        <is>
          <t>VÄRMLANDS LÄN</t>
        </is>
      </c>
      <c r="E10931" t="inlineStr">
        <is>
          <t>SUNNE</t>
        </is>
      </c>
      <c r="G10931" t="n">
        <v>2.4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35573-2023</t>
        </is>
      </c>
      <c r="B10932" s="1" t="n">
        <v>45147</v>
      </c>
      <c r="C10932" s="1" t="n">
        <v>45810</v>
      </c>
      <c r="D10932" t="inlineStr">
        <is>
          <t>VÄRMLANDS LÄN</t>
        </is>
      </c>
      <c r="E10932" t="inlineStr">
        <is>
          <t>FORSHAGA</t>
        </is>
      </c>
      <c r="F10932" t="inlineStr">
        <is>
          <t>Kommuner</t>
        </is>
      </c>
      <c r="G10932" t="n">
        <v>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35611-2023</t>
        </is>
      </c>
      <c r="B10933" s="1" t="n">
        <v>45147</v>
      </c>
      <c r="C10933" s="1" t="n">
        <v>45810</v>
      </c>
      <c r="D10933" t="inlineStr">
        <is>
          <t>VÄRMLANDS LÄN</t>
        </is>
      </c>
      <c r="E10933" t="inlineStr">
        <is>
          <t>SUNNE</t>
        </is>
      </c>
      <c r="G10933" t="n">
        <v>3.7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35616-2023</t>
        </is>
      </c>
      <c r="B10934" s="1" t="n">
        <v>45147</v>
      </c>
      <c r="C10934" s="1" t="n">
        <v>45810</v>
      </c>
      <c r="D10934" t="inlineStr">
        <is>
          <t>VÄRMLANDS LÄN</t>
        </is>
      </c>
      <c r="E10934" t="inlineStr">
        <is>
          <t>KARLSTAD</t>
        </is>
      </c>
      <c r="G10934" t="n">
        <v>1.6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35629-2023</t>
        </is>
      </c>
      <c r="B10935" s="1" t="n">
        <v>45147</v>
      </c>
      <c r="C10935" s="1" t="n">
        <v>45810</v>
      </c>
      <c r="D10935" t="inlineStr">
        <is>
          <t>VÄRMLANDS LÄN</t>
        </is>
      </c>
      <c r="E10935" t="inlineStr">
        <is>
          <t>TORSBY</t>
        </is>
      </c>
      <c r="G10935" t="n">
        <v>10.3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35674-2023</t>
        </is>
      </c>
      <c r="B10936" s="1" t="n">
        <v>45147</v>
      </c>
      <c r="C10936" s="1" t="n">
        <v>45810</v>
      </c>
      <c r="D10936" t="inlineStr">
        <is>
          <t>VÄRMLANDS LÄN</t>
        </is>
      </c>
      <c r="E10936" t="inlineStr">
        <is>
          <t>TORSBY</t>
        </is>
      </c>
      <c r="G10936" t="n">
        <v>25.4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35528-2023</t>
        </is>
      </c>
      <c r="B10937" s="1" t="n">
        <v>45147</v>
      </c>
      <c r="C10937" s="1" t="n">
        <v>45810</v>
      </c>
      <c r="D10937" t="inlineStr">
        <is>
          <t>VÄRMLANDS LÄN</t>
        </is>
      </c>
      <c r="E10937" t="inlineStr">
        <is>
          <t>ARVIKA</t>
        </is>
      </c>
      <c r="G10937" t="n">
        <v>7.2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35553-2023</t>
        </is>
      </c>
      <c r="B10938" s="1" t="n">
        <v>45147</v>
      </c>
      <c r="C10938" s="1" t="n">
        <v>45810</v>
      </c>
      <c r="D10938" t="inlineStr">
        <is>
          <t>VÄRMLANDS LÄN</t>
        </is>
      </c>
      <c r="E10938" t="inlineStr">
        <is>
          <t>TORSBY</t>
        </is>
      </c>
      <c r="G10938" t="n">
        <v>6.2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35574-2023</t>
        </is>
      </c>
      <c r="B10939" s="1" t="n">
        <v>45147</v>
      </c>
      <c r="C10939" s="1" t="n">
        <v>45810</v>
      </c>
      <c r="D10939" t="inlineStr">
        <is>
          <t>VÄRMLANDS LÄN</t>
        </is>
      </c>
      <c r="E10939" t="inlineStr">
        <is>
          <t>ARVIKA</t>
        </is>
      </c>
      <c r="G10939" t="n">
        <v>1.7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35579-2023</t>
        </is>
      </c>
      <c r="B10940" s="1" t="n">
        <v>45147</v>
      </c>
      <c r="C10940" s="1" t="n">
        <v>45810</v>
      </c>
      <c r="D10940" t="inlineStr">
        <is>
          <t>VÄRMLANDS LÄN</t>
        </is>
      </c>
      <c r="E10940" t="inlineStr">
        <is>
          <t>ARVIKA</t>
        </is>
      </c>
      <c r="G10940" t="n">
        <v>0.7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35571-2023</t>
        </is>
      </c>
      <c r="B10941" s="1" t="n">
        <v>45147</v>
      </c>
      <c r="C10941" s="1" t="n">
        <v>45810</v>
      </c>
      <c r="D10941" t="inlineStr">
        <is>
          <t>VÄRMLANDS LÄN</t>
        </is>
      </c>
      <c r="E10941" t="inlineStr">
        <is>
          <t>ARVIKA</t>
        </is>
      </c>
      <c r="G10941" t="n">
        <v>1.1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35664-2023</t>
        </is>
      </c>
      <c r="B10942" s="1" t="n">
        <v>45147</v>
      </c>
      <c r="C10942" s="1" t="n">
        <v>45810</v>
      </c>
      <c r="D10942" t="inlineStr">
        <is>
          <t>VÄRMLANDS LÄN</t>
        </is>
      </c>
      <c r="E10942" t="inlineStr">
        <is>
          <t>HAGFORS</t>
        </is>
      </c>
      <c r="G10942" t="n">
        <v>2.9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35668-2023</t>
        </is>
      </c>
      <c r="B10943" s="1" t="n">
        <v>45147</v>
      </c>
      <c r="C10943" s="1" t="n">
        <v>45810</v>
      </c>
      <c r="D10943" t="inlineStr">
        <is>
          <t>VÄRMLANDS LÄN</t>
        </is>
      </c>
      <c r="E10943" t="inlineStr">
        <is>
          <t>HAGFORS</t>
        </is>
      </c>
      <c r="G10943" t="n">
        <v>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35562-2023</t>
        </is>
      </c>
      <c r="B10944" s="1" t="n">
        <v>45147</v>
      </c>
      <c r="C10944" s="1" t="n">
        <v>45810</v>
      </c>
      <c r="D10944" t="inlineStr">
        <is>
          <t>VÄRMLANDS LÄN</t>
        </is>
      </c>
      <c r="E10944" t="inlineStr">
        <is>
          <t>SUNNE</t>
        </is>
      </c>
      <c r="G10944" t="n">
        <v>0.6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35572-2023</t>
        </is>
      </c>
      <c r="B10945" s="1" t="n">
        <v>45147</v>
      </c>
      <c r="C10945" s="1" t="n">
        <v>45810</v>
      </c>
      <c r="D10945" t="inlineStr">
        <is>
          <t>VÄRMLANDS LÄN</t>
        </is>
      </c>
      <c r="E10945" t="inlineStr">
        <is>
          <t>FORSHAGA</t>
        </is>
      </c>
      <c r="F10945" t="inlineStr">
        <is>
          <t>Kommuner</t>
        </is>
      </c>
      <c r="G10945" t="n">
        <v>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35657-2023</t>
        </is>
      </c>
      <c r="B10946" s="1" t="n">
        <v>45147</v>
      </c>
      <c r="C10946" s="1" t="n">
        <v>45810</v>
      </c>
      <c r="D10946" t="inlineStr">
        <is>
          <t>VÄRMLANDS LÄN</t>
        </is>
      </c>
      <c r="E10946" t="inlineStr">
        <is>
          <t>HAGFORS</t>
        </is>
      </c>
      <c r="G10946" t="n">
        <v>1.7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35677-2023</t>
        </is>
      </c>
      <c r="B10947" s="1" t="n">
        <v>45147</v>
      </c>
      <c r="C10947" s="1" t="n">
        <v>45810</v>
      </c>
      <c r="D10947" t="inlineStr">
        <is>
          <t>VÄRMLANDS LÄN</t>
        </is>
      </c>
      <c r="E10947" t="inlineStr">
        <is>
          <t>SUNNE</t>
        </is>
      </c>
      <c r="G10947" t="n">
        <v>3.5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35709-2023</t>
        </is>
      </c>
      <c r="B10948" s="1" t="n">
        <v>45147</v>
      </c>
      <c r="C10948" s="1" t="n">
        <v>45810</v>
      </c>
      <c r="D10948" t="inlineStr">
        <is>
          <t>VÄRMLANDS LÄN</t>
        </is>
      </c>
      <c r="E10948" t="inlineStr">
        <is>
          <t>SÄFFLE</t>
        </is>
      </c>
      <c r="G10948" t="n">
        <v>7.2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35729-2023</t>
        </is>
      </c>
      <c r="B10949" s="1" t="n">
        <v>45147</v>
      </c>
      <c r="C10949" s="1" t="n">
        <v>45810</v>
      </c>
      <c r="D10949" t="inlineStr">
        <is>
          <t>VÄRMLANDS LÄN</t>
        </is>
      </c>
      <c r="E10949" t="inlineStr">
        <is>
          <t>SÄFFLE</t>
        </is>
      </c>
      <c r="G10949" t="n">
        <v>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35775-2023</t>
        </is>
      </c>
      <c r="B10950" s="1" t="n">
        <v>45148</v>
      </c>
      <c r="C10950" s="1" t="n">
        <v>45810</v>
      </c>
      <c r="D10950" t="inlineStr">
        <is>
          <t>VÄRMLANDS LÄN</t>
        </is>
      </c>
      <c r="E10950" t="inlineStr">
        <is>
          <t>EDA</t>
        </is>
      </c>
      <c r="G10950" t="n">
        <v>1.7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35834-2023</t>
        </is>
      </c>
      <c r="B10951" s="1" t="n">
        <v>45148</v>
      </c>
      <c r="C10951" s="1" t="n">
        <v>45810</v>
      </c>
      <c r="D10951" t="inlineStr">
        <is>
          <t>VÄRMLANDS LÄN</t>
        </is>
      </c>
      <c r="E10951" t="inlineStr">
        <is>
          <t>FORSHAGA</t>
        </is>
      </c>
      <c r="F10951" t="inlineStr">
        <is>
          <t>Kommuner</t>
        </is>
      </c>
      <c r="G10951" t="n">
        <v>1.2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35831-2023</t>
        </is>
      </c>
      <c r="B10952" s="1" t="n">
        <v>45148</v>
      </c>
      <c r="C10952" s="1" t="n">
        <v>45810</v>
      </c>
      <c r="D10952" t="inlineStr">
        <is>
          <t>VÄRMLANDS LÄN</t>
        </is>
      </c>
      <c r="E10952" t="inlineStr">
        <is>
          <t>FORSHAGA</t>
        </is>
      </c>
      <c r="F10952" t="inlineStr">
        <is>
          <t>Kommuner</t>
        </is>
      </c>
      <c r="G10952" t="n">
        <v>2.2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35878-2023</t>
        </is>
      </c>
      <c r="B10953" s="1" t="n">
        <v>45148</v>
      </c>
      <c r="C10953" s="1" t="n">
        <v>45810</v>
      </c>
      <c r="D10953" t="inlineStr">
        <is>
          <t>VÄRMLANDS LÄN</t>
        </is>
      </c>
      <c r="E10953" t="inlineStr">
        <is>
          <t>SÄFFLE</t>
        </is>
      </c>
      <c r="G10953" t="n">
        <v>1.8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35882-2023</t>
        </is>
      </c>
      <c r="B10954" s="1" t="n">
        <v>45148</v>
      </c>
      <c r="C10954" s="1" t="n">
        <v>45810</v>
      </c>
      <c r="D10954" t="inlineStr">
        <is>
          <t>VÄRMLANDS LÄN</t>
        </is>
      </c>
      <c r="E10954" t="inlineStr">
        <is>
          <t>KARLSTAD</t>
        </is>
      </c>
      <c r="G10954" t="n">
        <v>2.8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35886-2023</t>
        </is>
      </c>
      <c r="B10955" s="1" t="n">
        <v>45148</v>
      </c>
      <c r="C10955" s="1" t="n">
        <v>45810</v>
      </c>
      <c r="D10955" t="inlineStr">
        <is>
          <t>VÄRMLANDS LÄN</t>
        </is>
      </c>
      <c r="E10955" t="inlineStr">
        <is>
          <t>HAGFORS</t>
        </is>
      </c>
      <c r="G10955" t="n">
        <v>1.3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35850-2023</t>
        </is>
      </c>
      <c r="B10956" s="1" t="n">
        <v>45148</v>
      </c>
      <c r="C10956" s="1" t="n">
        <v>45810</v>
      </c>
      <c r="D10956" t="inlineStr">
        <is>
          <t>VÄRMLANDS LÄN</t>
        </is>
      </c>
      <c r="E10956" t="inlineStr">
        <is>
          <t>FORSHAGA</t>
        </is>
      </c>
      <c r="F10956" t="inlineStr">
        <is>
          <t>Kommuner</t>
        </is>
      </c>
      <c r="G10956" t="n">
        <v>0.3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35855-2023</t>
        </is>
      </c>
      <c r="B10957" s="1" t="n">
        <v>45148</v>
      </c>
      <c r="C10957" s="1" t="n">
        <v>45810</v>
      </c>
      <c r="D10957" t="inlineStr">
        <is>
          <t>VÄRMLANDS LÄN</t>
        </is>
      </c>
      <c r="E10957" t="inlineStr">
        <is>
          <t>FORSHAGA</t>
        </is>
      </c>
      <c r="F10957" t="inlineStr">
        <is>
          <t>Kommuner</t>
        </is>
      </c>
      <c r="G10957" t="n">
        <v>0.2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35860-2023</t>
        </is>
      </c>
      <c r="B10958" s="1" t="n">
        <v>45148</v>
      </c>
      <c r="C10958" s="1" t="n">
        <v>45810</v>
      </c>
      <c r="D10958" t="inlineStr">
        <is>
          <t>VÄRMLANDS LÄN</t>
        </is>
      </c>
      <c r="E10958" t="inlineStr">
        <is>
          <t>FORSHAGA</t>
        </is>
      </c>
      <c r="F10958" t="inlineStr">
        <is>
          <t>Kommuner</t>
        </is>
      </c>
      <c r="G10958" t="n">
        <v>0.5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35879-2023</t>
        </is>
      </c>
      <c r="B10959" s="1" t="n">
        <v>45148</v>
      </c>
      <c r="C10959" s="1" t="n">
        <v>45810</v>
      </c>
      <c r="D10959" t="inlineStr">
        <is>
          <t>VÄRMLANDS LÄN</t>
        </is>
      </c>
      <c r="E10959" t="inlineStr">
        <is>
          <t>KARLSTAD</t>
        </is>
      </c>
      <c r="G10959" t="n">
        <v>2.4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35883-2023</t>
        </is>
      </c>
      <c r="B10960" s="1" t="n">
        <v>45148</v>
      </c>
      <c r="C10960" s="1" t="n">
        <v>45810</v>
      </c>
      <c r="D10960" t="inlineStr">
        <is>
          <t>VÄRMLANDS LÄN</t>
        </is>
      </c>
      <c r="E10960" t="inlineStr">
        <is>
          <t>HAGFORS</t>
        </is>
      </c>
      <c r="G10960" t="n">
        <v>11.3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35888-2023</t>
        </is>
      </c>
      <c r="B10961" s="1" t="n">
        <v>45148</v>
      </c>
      <c r="C10961" s="1" t="n">
        <v>45810</v>
      </c>
      <c r="D10961" t="inlineStr">
        <is>
          <t>VÄRMLANDS LÄN</t>
        </is>
      </c>
      <c r="E10961" t="inlineStr">
        <is>
          <t>HAGFORS</t>
        </is>
      </c>
      <c r="G10961" t="n">
        <v>3.7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35843-2023</t>
        </is>
      </c>
      <c r="B10962" s="1" t="n">
        <v>45148</v>
      </c>
      <c r="C10962" s="1" t="n">
        <v>45810</v>
      </c>
      <c r="D10962" t="inlineStr">
        <is>
          <t>VÄRMLANDS LÄN</t>
        </is>
      </c>
      <c r="E10962" t="inlineStr">
        <is>
          <t>SUNNE</t>
        </is>
      </c>
      <c r="G10962" t="n">
        <v>1.8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35851-2023</t>
        </is>
      </c>
      <c r="B10963" s="1" t="n">
        <v>45148</v>
      </c>
      <c r="C10963" s="1" t="n">
        <v>45810</v>
      </c>
      <c r="D10963" t="inlineStr">
        <is>
          <t>VÄRMLANDS LÄN</t>
        </is>
      </c>
      <c r="E10963" t="inlineStr">
        <is>
          <t>FORSHAGA</t>
        </is>
      </c>
      <c r="F10963" t="inlineStr">
        <is>
          <t>Kommuner</t>
        </is>
      </c>
      <c r="G10963" t="n">
        <v>0.8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35863-2023</t>
        </is>
      </c>
      <c r="B10964" s="1" t="n">
        <v>45148</v>
      </c>
      <c r="C10964" s="1" t="n">
        <v>45810</v>
      </c>
      <c r="D10964" t="inlineStr">
        <is>
          <t>VÄRMLANDS LÄN</t>
        </is>
      </c>
      <c r="E10964" t="inlineStr">
        <is>
          <t>FORSHAGA</t>
        </is>
      </c>
      <c r="F10964" t="inlineStr">
        <is>
          <t>Kommuner</t>
        </is>
      </c>
      <c r="G10964" t="n">
        <v>1.3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35956-2023</t>
        </is>
      </c>
      <c r="B10965" s="1" t="n">
        <v>45148</v>
      </c>
      <c r="C10965" s="1" t="n">
        <v>45810</v>
      </c>
      <c r="D10965" t="inlineStr">
        <is>
          <t>VÄRMLANDS LÄN</t>
        </is>
      </c>
      <c r="E10965" t="inlineStr">
        <is>
          <t>ÅRJÄNG</t>
        </is>
      </c>
      <c r="G10965" t="n">
        <v>1.6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35934-2023</t>
        </is>
      </c>
      <c r="B10966" s="1" t="n">
        <v>45148</v>
      </c>
      <c r="C10966" s="1" t="n">
        <v>45810</v>
      </c>
      <c r="D10966" t="inlineStr">
        <is>
          <t>VÄRMLANDS LÄN</t>
        </is>
      </c>
      <c r="E10966" t="inlineStr">
        <is>
          <t>TORSBY</t>
        </is>
      </c>
      <c r="G10966" t="n">
        <v>0.7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35938-2023</t>
        </is>
      </c>
      <c r="B10967" s="1" t="n">
        <v>45148</v>
      </c>
      <c r="C10967" s="1" t="n">
        <v>45810</v>
      </c>
      <c r="D10967" t="inlineStr">
        <is>
          <t>VÄRMLANDS LÄN</t>
        </is>
      </c>
      <c r="E10967" t="inlineStr">
        <is>
          <t>TORSBY</t>
        </is>
      </c>
      <c r="F10967" t="inlineStr">
        <is>
          <t>Bergvik skog väst AB</t>
        </is>
      </c>
      <c r="G10967" t="n">
        <v>5.8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36043-2023</t>
        </is>
      </c>
      <c r="B10968" s="1" t="n">
        <v>45148</v>
      </c>
      <c r="C10968" s="1" t="n">
        <v>45810</v>
      </c>
      <c r="D10968" t="inlineStr">
        <is>
          <t>VÄRMLANDS LÄN</t>
        </is>
      </c>
      <c r="E10968" t="inlineStr">
        <is>
          <t>TORSBY</t>
        </is>
      </c>
      <c r="G10968" t="n">
        <v>10.5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36030-2023</t>
        </is>
      </c>
      <c r="B10969" s="1" t="n">
        <v>45149</v>
      </c>
      <c r="C10969" s="1" t="n">
        <v>45810</v>
      </c>
      <c r="D10969" t="inlineStr">
        <is>
          <t>VÄRMLANDS LÄN</t>
        </is>
      </c>
      <c r="E10969" t="inlineStr">
        <is>
          <t>HAGFORS</t>
        </is>
      </c>
      <c r="G10969" t="n">
        <v>1.8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36050-2023</t>
        </is>
      </c>
      <c r="B10970" s="1" t="n">
        <v>45149</v>
      </c>
      <c r="C10970" s="1" t="n">
        <v>45810</v>
      </c>
      <c r="D10970" t="inlineStr">
        <is>
          <t>VÄRMLANDS LÄN</t>
        </is>
      </c>
      <c r="E10970" t="inlineStr">
        <is>
          <t>TORSBY</t>
        </is>
      </c>
      <c r="F10970" t="inlineStr">
        <is>
          <t>Kommuner</t>
        </is>
      </c>
      <c r="G10970" t="n">
        <v>0.7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36067-2023</t>
        </is>
      </c>
      <c r="B10971" s="1" t="n">
        <v>45149</v>
      </c>
      <c r="C10971" s="1" t="n">
        <v>45810</v>
      </c>
      <c r="D10971" t="inlineStr">
        <is>
          <t>VÄRMLANDS LÄN</t>
        </is>
      </c>
      <c r="E10971" t="inlineStr">
        <is>
          <t>FORSHAGA</t>
        </is>
      </c>
      <c r="F10971" t="inlineStr">
        <is>
          <t>Bergvik skog väst AB</t>
        </is>
      </c>
      <c r="G10971" t="n">
        <v>2.5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36001-2023</t>
        </is>
      </c>
      <c r="B10972" s="1" t="n">
        <v>45149</v>
      </c>
      <c r="C10972" s="1" t="n">
        <v>45810</v>
      </c>
      <c r="D10972" t="inlineStr">
        <is>
          <t>VÄRMLANDS LÄN</t>
        </is>
      </c>
      <c r="E10972" t="inlineStr">
        <is>
          <t>SÄFFLE</t>
        </is>
      </c>
      <c r="G10972" t="n">
        <v>8.300000000000001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36012-2023</t>
        </is>
      </c>
      <c r="B10973" s="1" t="n">
        <v>45149</v>
      </c>
      <c r="C10973" s="1" t="n">
        <v>45810</v>
      </c>
      <c r="D10973" t="inlineStr">
        <is>
          <t>VÄRMLANDS LÄN</t>
        </is>
      </c>
      <c r="E10973" t="inlineStr">
        <is>
          <t>SÄFFLE</t>
        </is>
      </c>
      <c r="G10973" t="n">
        <v>2.2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36023-2023</t>
        </is>
      </c>
      <c r="B10974" s="1" t="n">
        <v>45149</v>
      </c>
      <c r="C10974" s="1" t="n">
        <v>45810</v>
      </c>
      <c r="D10974" t="inlineStr">
        <is>
          <t>VÄRMLANDS LÄN</t>
        </is>
      </c>
      <c r="E10974" t="inlineStr">
        <is>
          <t>HAGFORS</t>
        </is>
      </c>
      <c r="G10974" t="n">
        <v>2.2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35992-2023</t>
        </is>
      </c>
      <c r="B10975" s="1" t="n">
        <v>45149</v>
      </c>
      <c r="C10975" s="1" t="n">
        <v>45810</v>
      </c>
      <c r="D10975" t="inlineStr">
        <is>
          <t>VÄRMLANDS LÄN</t>
        </is>
      </c>
      <c r="E10975" t="inlineStr">
        <is>
          <t>ARVIKA</t>
        </is>
      </c>
      <c r="F10975" t="inlineStr">
        <is>
          <t>Kyrkan</t>
        </is>
      </c>
      <c r="G10975" t="n">
        <v>2.1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36008-2023</t>
        </is>
      </c>
      <c r="B10976" s="1" t="n">
        <v>45149</v>
      </c>
      <c r="C10976" s="1" t="n">
        <v>45810</v>
      </c>
      <c r="D10976" t="inlineStr">
        <is>
          <t>VÄRMLANDS LÄN</t>
        </is>
      </c>
      <c r="E10976" t="inlineStr">
        <is>
          <t>SÄFFLE</t>
        </is>
      </c>
      <c r="G10976" t="n">
        <v>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36013-2023</t>
        </is>
      </c>
      <c r="B10977" s="1" t="n">
        <v>45149</v>
      </c>
      <c r="C10977" s="1" t="n">
        <v>45810</v>
      </c>
      <c r="D10977" t="inlineStr">
        <is>
          <t>VÄRMLANDS LÄN</t>
        </is>
      </c>
      <c r="E10977" t="inlineStr">
        <is>
          <t>HAGFORS</t>
        </is>
      </c>
      <c r="G10977" t="n">
        <v>3.9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36062-2023</t>
        </is>
      </c>
      <c r="B10978" s="1" t="n">
        <v>45149</v>
      </c>
      <c r="C10978" s="1" t="n">
        <v>45810</v>
      </c>
      <c r="D10978" t="inlineStr">
        <is>
          <t>VÄRMLANDS LÄN</t>
        </is>
      </c>
      <c r="E10978" t="inlineStr">
        <is>
          <t>TORSBY</t>
        </is>
      </c>
      <c r="F10978" t="inlineStr">
        <is>
          <t>Bergvik skog väst AB</t>
        </is>
      </c>
      <c r="G10978" t="n">
        <v>21.3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36066-2023</t>
        </is>
      </c>
      <c r="B10979" s="1" t="n">
        <v>45149</v>
      </c>
      <c r="C10979" s="1" t="n">
        <v>45810</v>
      </c>
      <c r="D10979" t="inlineStr">
        <is>
          <t>VÄRMLANDS LÄN</t>
        </is>
      </c>
      <c r="E10979" t="inlineStr">
        <is>
          <t>ÅRJÄNG</t>
        </is>
      </c>
      <c r="G10979" t="n">
        <v>2.6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36122-2023</t>
        </is>
      </c>
      <c r="B10980" s="1" t="n">
        <v>45149</v>
      </c>
      <c r="C10980" s="1" t="n">
        <v>45810</v>
      </c>
      <c r="D10980" t="inlineStr">
        <is>
          <t>VÄRMLANDS LÄN</t>
        </is>
      </c>
      <c r="E10980" t="inlineStr">
        <is>
          <t>KARLSTAD</t>
        </is>
      </c>
      <c r="G10980" t="n">
        <v>1.5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36103-2023</t>
        </is>
      </c>
      <c r="B10981" s="1" t="n">
        <v>45149</v>
      </c>
      <c r="C10981" s="1" t="n">
        <v>45810</v>
      </c>
      <c r="D10981" t="inlineStr">
        <is>
          <t>VÄRMLANDS LÄN</t>
        </is>
      </c>
      <c r="E10981" t="inlineStr">
        <is>
          <t>SUNNE</t>
        </is>
      </c>
      <c r="G10981" t="n">
        <v>1.6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36152-2023</t>
        </is>
      </c>
      <c r="B10982" s="1" t="n">
        <v>45149</v>
      </c>
      <c r="C10982" s="1" t="n">
        <v>45810</v>
      </c>
      <c r="D10982" t="inlineStr">
        <is>
          <t>VÄRMLANDS LÄN</t>
        </is>
      </c>
      <c r="E10982" t="inlineStr">
        <is>
          <t>HAGFORS</t>
        </is>
      </c>
      <c r="F10982" t="inlineStr">
        <is>
          <t>Bergvik skog väst AB</t>
        </is>
      </c>
      <c r="G10982" t="n">
        <v>3.1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36157-2023</t>
        </is>
      </c>
      <c r="B10983" s="1" t="n">
        <v>45149</v>
      </c>
      <c r="C10983" s="1" t="n">
        <v>45810</v>
      </c>
      <c r="D10983" t="inlineStr">
        <is>
          <t>VÄRMLANDS LÄN</t>
        </is>
      </c>
      <c r="E10983" t="inlineStr">
        <is>
          <t>EDA</t>
        </is>
      </c>
      <c r="F10983" t="inlineStr">
        <is>
          <t>Kommuner</t>
        </is>
      </c>
      <c r="G10983" t="n">
        <v>0.4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36177-2023</t>
        </is>
      </c>
      <c r="B10984" s="1" t="n">
        <v>45149</v>
      </c>
      <c r="C10984" s="1" t="n">
        <v>45810</v>
      </c>
      <c r="D10984" t="inlineStr">
        <is>
          <t>VÄRMLANDS LÄN</t>
        </is>
      </c>
      <c r="E10984" t="inlineStr">
        <is>
          <t>SUNNE</t>
        </is>
      </c>
      <c r="G10984" t="n">
        <v>2.6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36195-2023</t>
        </is>
      </c>
      <c r="B10985" s="1" t="n">
        <v>45149</v>
      </c>
      <c r="C10985" s="1" t="n">
        <v>45810</v>
      </c>
      <c r="D10985" t="inlineStr">
        <is>
          <t>VÄRMLANDS LÄN</t>
        </is>
      </c>
      <c r="E10985" t="inlineStr">
        <is>
          <t>ÅRJÄNG</t>
        </is>
      </c>
      <c r="G10985" t="n">
        <v>2.3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36399-2023</t>
        </is>
      </c>
      <c r="B10986" s="1" t="n">
        <v>45149</v>
      </c>
      <c r="C10986" s="1" t="n">
        <v>45810</v>
      </c>
      <c r="D10986" t="inlineStr">
        <is>
          <t>VÄRMLANDS LÄN</t>
        </is>
      </c>
      <c r="E10986" t="inlineStr">
        <is>
          <t>KARLSTAD</t>
        </is>
      </c>
      <c r="G10986" t="n">
        <v>4.2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36239-2023</t>
        </is>
      </c>
      <c r="B10987" s="1" t="n">
        <v>45150</v>
      </c>
      <c r="C10987" s="1" t="n">
        <v>45810</v>
      </c>
      <c r="D10987" t="inlineStr">
        <is>
          <t>VÄRMLANDS LÄN</t>
        </is>
      </c>
      <c r="E10987" t="inlineStr">
        <is>
          <t>TORSBY</t>
        </is>
      </c>
      <c r="G10987" t="n">
        <v>2.4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36377-2023</t>
        </is>
      </c>
      <c r="B10988" s="1" t="n">
        <v>45152</v>
      </c>
      <c r="C10988" s="1" t="n">
        <v>45810</v>
      </c>
      <c r="D10988" t="inlineStr">
        <is>
          <t>VÄRMLANDS LÄN</t>
        </is>
      </c>
      <c r="E10988" t="inlineStr">
        <is>
          <t>FILIPSTAD</t>
        </is>
      </c>
      <c r="F10988" t="inlineStr">
        <is>
          <t>Bergvik skog väst AB</t>
        </is>
      </c>
      <c r="G10988" t="n">
        <v>0.5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36277-2023</t>
        </is>
      </c>
      <c r="B10989" s="1" t="n">
        <v>45152</v>
      </c>
      <c r="C10989" s="1" t="n">
        <v>45810</v>
      </c>
      <c r="D10989" t="inlineStr">
        <is>
          <t>VÄRMLANDS LÄN</t>
        </is>
      </c>
      <c r="E10989" t="inlineStr">
        <is>
          <t>SUNNE</t>
        </is>
      </c>
      <c r="G10989" t="n">
        <v>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36287-2023</t>
        </is>
      </c>
      <c r="B10990" s="1" t="n">
        <v>45152</v>
      </c>
      <c r="C10990" s="1" t="n">
        <v>45810</v>
      </c>
      <c r="D10990" t="inlineStr">
        <is>
          <t>VÄRMLANDS LÄN</t>
        </is>
      </c>
      <c r="E10990" t="inlineStr">
        <is>
          <t>EDA</t>
        </is>
      </c>
      <c r="G10990" t="n">
        <v>3.2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36291-2023</t>
        </is>
      </c>
      <c r="B10991" s="1" t="n">
        <v>45152</v>
      </c>
      <c r="C10991" s="1" t="n">
        <v>45810</v>
      </c>
      <c r="D10991" t="inlineStr">
        <is>
          <t>VÄRMLANDS LÄN</t>
        </is>
      </c>
      <c r="E10991" t="inlineStr">
        <is>
          <t>FILIPSTAD</t>
        </is>
      </c>
      <c r="G10991" t="n">
        <v>1.1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36295-2023</t>
        </is>
      </c>
      <c r="B10992" s="1" t="n">
        <v>45152</v>
      </c>
      <c r="C10992" s="1" t="n">
        <v>45810</v>
      </c>
      <c r="D10992" t="inlineStr">
        <is>
          <t>VÄRMLANDS LÄN</t>
        </is>
      </c>
      <c r="E10992" t="inlineStr">
        <is>
          <t>EDA</t>
        </is>
      </c>
      <c r="G10992" t="n">
        <v>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36298-2023</t>
        </is>
      </c>
      <c r="B10993" s="1" t="n">
        <v>45152</v>
      </c>
      <c r="C10993" s="1" t="n">
        <v>45810</v>
      </c>
      <c r="D10993" t="inlineStr">
        <is>
          <t>VÄRMLANDS LÄN</t>
        </is>
      </c>
      <c r="E10993" t="inlineStr">
        <is>
          <t>EDA</t>
        </is>
      </c>
      <c r="G10993" t="n">
        <v>2.1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36344-2023</t>
        </is>
      </c>
      <c r="B10994" s="1" t="n">
        <v>45152</v>
      </c>
      <c r="C10994" s="1" t="n">
        <v>45810</v>
      </c>
      <c r="D10994" t="inlineStr">
        <is>
          <t>VÄRMLANDS LÄN</t>
        </is>
      </c>
      <c r="E10994" t="inlineStr">
        <is>
          <t>ÅRJÄNG</t>
        </is>
      </c>
      <c r="G10994" t="n">
        <v>7.7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36293-2023</t>
        </is>
      </c>
      <c r="B10995" s="1" t="n">
        <v>45152</v>
      </c>
      <c r="C10995" s="1" t="n">
        <v>45810</v>
      </c>
      <c r="D10995" t="inlineStr">
        <is>
          <t>VÄRMLANDS LÄN</t>
        </is>
      </c>
      <c r="E10995" t="inlineStr">
        <is>
          <t>HAGFORS</t>
        </is>
      </c>
      <c r="G10995" t="n">
        <v>5.9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36384-2023</t>
        </is>
      </c>
      <c r="B10996" s="1" t="n">
        <v>45152</v>
      </c>
      <c r="C10996" s="1" t="n">
        <v>45810</v>
      </c>
      <c r="D10996" t="inlineStr">
        <is>
          <t>VÄRMLANDS LÄN</t>
        </is>
      </c>
      <c r="E10996" t="inlineStr">
        <is>
          <t>GRUMS</t>
        </is>
      </c>
      <c r="G10996" t="n">
        <v>1.3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36420-2023</t>
        </is>
      </c>
      <c r="B10997" s="1" t="n">
        <v>45152</v>
      </c>
      <c r="C10997" s="1" t="n">
        <v>45810</v>
      </c>
      <c r="D10997" t="inlineStr">
        <is>
          <t>VÄRMLANDS LÄN</t>
        </is>
      </c>
      <c r="E10997" t="inlineStr">
        <is>
          <t>GRUMS</t>
        </is>
      </c>
      <c r="G10997" t="n">
        <v>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36309-2023</t>
        </is>
      </c>
      <c r="B10998" s="1" t="n">
        <v>45152</v>
      </c>
      <c r="C10998" s="1" t="n">
        <v>45810</v>
      </c>
      <c r="D10998" t="inlineStr">
        <is>
          <t>VÄRMLANDS LÄN</t>
        </is>
      </c>
      <c r="E10998" t="inlineStr">
        <is>
          <t>SUNNE</t>
        </is>
      </c>
      <c r="G10998" t="n">
        <v>3.2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36317-2023</t>
        </is>
      </c>
      <c r="B10999" s="1" t="n">
        <v>45152</v>
      </c>
      <c r="C10999" s="1" t="n">
        <v>45810</v>
      </c>
      <c r="D10999" t="inlineStr">
        <is>
          <t>VÄRMLANDS LÄN</t>
        </is>
      </c>
      <c r="E10999" t="inlineStr">
        <is>
          <t>FILIPSTAD</t>
        </is>
      </c>
      <c r="G10999" t="n">
        <v>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36462-2023</t>
        </is>
      </c>
      <c r="B11000" s="1" t="n">
        <v>45152</v>
      </c>
      <c r="C11000" s="1" t="n">
        <v>45810</v>
      </c>
      <c r="D11000" t="inlineStr">
        <is>
          <t>VÄRMLANDS LÄN</t>
        </is>
      </c>
      <c r="E11000" t="inlineStr">
        <is>
          <t>TORSBY</t>
        </is>
      </c>
      <c r="G11000" t="n">
        <v>3.7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36360-2023</t>
        </is>
      </c>
      <c r="B11001" s="1" t="n">
        <v>45152</v>
      </c>
      <c r="C11001" s="1" t="n">
        <v>45810</v>
      </c>
      <c r="D11001" t="inlineStr">
        <is>
          <t>VÄRMLANDS LÄN</t>
        </is>
      </c>
      <c r="E11001" t="inlineStr">
        <is>
          <t>HAGFORS</t>
        </is>
      </c>
      <c r="G11001" t="n">
        <v>1.5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36382-2023</t>
        </is>
      </c>
      <c r="B11002" s="1" t="n">
        <v>45152</v>
      </c>
      <c r="C11002" s="1" t="n">
        <v>45810</v>
      </c>
      <c r="D11002" t="inlineStr">
        <is>
          <t>VÄRMLANDS LÄN</t>
        </is>
      </c>
      <c r="E11002" t="inlineStr">
        <is>
          <t>GRUMS</t>
        </is>
      </c>
      <c r="G11002" t="n">
        <v>1.9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36421-2023</t>
        </is>
      </c>
      <c r="B11003" s="1" t="n">
        <v>45152</v>
      </c>
      <c r="C11003" s="1" t="n">
        <v>45810</v>
      </c>
      <c r="D11003" t="inlineStr">
        <is>
          <t>VÄRMLANDS LÄN</t>
        </is>
      </c>
      <c r="E11003" t="inlineStr">
        <is>
          <t>GRUMS</t>
        </is>
      </c>
      <c r="G11003" t="n">
        <v>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36446-2023</t>
        </is>
      </c>
      <c r="B11004" s="1" t="n">
        <v>45152</v>
      </c>
      <c r="C11004" s="1" t="n">
        <v>45810</v>
      </c>
      <c r="D11004" t="inlineStr">
        <is>
          <t>VÄRMLANDS LÄN</t>
        </is>
      </c>
      <c r="E11004" t="inlineStr">
        <is>
          <t>KRISTINEHAMN</t>
        </is>
      </c>
      <c r="G11004" t="n">
        <v>3.8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36454-2023</t>
        </is>
      </c>
      <c r="B11005" s="1" t="n">
        <v>45152</v>
      </c>
      <c r="C11005" s="1" t="n">
        <v>45810</v>
      </c>
      <c r="D11005" t="inlineStr">
        <is>
          <t>VÄRMLANDS LÄN</t>
        </is>
      </c>
      <c r="E11005" t="inlineStr">
        <is>
          <t>HAGFORS</t>
        </is>
      </c>
      <c r="F11005" t="inlineStr">
        <is>
          <t>Bergvik skog väst AB</t>
        </is>
      </c>
      <c r="G11005" t="n">
        <v>2.7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36468-2023</t>
        </is>
      </c>
      <c r="B11006" s="1" t="n">
        <v>45152</v>
      </c>
      <c r="C11006" s="1" t="n">
        <v>45810</v>
      </c>
      <c r="D11006" t="inlineStr">
        <is>
          <t>VÄRMLANDS LÄN</t>
        </is>
      </c>
      <c r="E11006" t="inlineStr">
        <is>
          <t>SUNNE</t>
        </is>
      </c>
      <c r="G11006" t="n">
        <v>2.2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36455-2023</t>
        </is>
      </c>
      <c r="B11007" s="1" t="n">
        <v>45152</v>
      </c>
      <c r="C11007" s="1" t="n">
        <v>45810</v>
      </c>
      <c r="D11007" t="inlineStr">
        <is>
          <t>VÄRMLANDS LÄN</t>
        </is>
      </c>
      <c r="E11007" t="inlineStr">
        <is>
          <t>ÅRJÄNG</t>
        </is>
      </c>
      <c r="G11007" t="n">
        <v>10.2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36460-2023</t>
        </is>
      </c>
      <c r="B11008" s="1" t="n">
        <v>45152</v>
      </c>
      <c r="C11008" s="1" t="n">
        <v>45810</v>
      </c>
      <c r="D11008" t="inlineStr">
        <is>
          <t>VÄRMLANDS LÄN</t>
        </is>
      </c>
      <c r="E11008" t="inlineStr">
        <is>
          <t>KARLSTAD</t>
        </is>
      </c>
      <c r="G11008" t="n">
        <v>1.9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36465-2023</t>
        </is>
      </c>
      <c r="B11009" s="1" t="n">
        <v>45152</v>
      </c>
      <c r="C11009" s="1" t="n">
        <v>45810</v>
      </c>
      <c r="D11009" t="inlineStr">
        <is>
          <t>VÄRMLANDS LÄN</t>
        </is>
      </c>
      <c r="E11009" t="inlineStr">
        <is>
          <t>SUNNE</t>
        </is>
      </c>
      <c r="G11009" t="n">
        <v>1.1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36578-2023</t>
        </is>
      </c>
      <c r="B11010" s="1" t="n">
        <v>45153</v>
      </c>
      <c r="C11010" s="1" t="n">
        <v>45810</v>
      </c>
      <c r="D11010" t="inlineStr">
        <is>
          <t>VÄRMLANDS LÄN</t>
        </is>
      </c>
      <c r="E11010" t="inlineStr">
        <is>
          <t>SUNNE</t>
        </is>
      </c>
      <c r="G11010" t="n">
        <v>6.7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36582-2023</t>
        </is>
      </c>
      <c r="B11011" s="1" t="n">
        <v>45153</v>
      </c>
      <c r="C11011" s="1" t="n">
        <v>45810</v>
      </c>
      <c r="D11011" t="inlineStr">
        <is>
          <t>VÄRMLANDS LÄN</t>
        </is>
      </c>
      <c r="E11011" t="inlineStr">
        <is>
          <t>TORSBY</t>
        </is>
      </c>
      <c r="G11011" t="n">
        <v>2.2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36644-2023</t>
        </is>
      </c>
      <c r="B11012" s="1" t="n">
        <v>45153</v>
      </c>
      <c r="C11012" s="1" t="n">
        <v>45810</v>
      </c>
      <c r="D11012" t="inlineStr">
        <is>
          <t>VÄRMLANDS LÄN</t>
        </is>
      </c>
      <c r="E11012" t="inlineStr">
        <is>
          <t>GRUMS</t>
        </is>
      </c>
      <c r="G11012" t="n">
        <v>0.5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36697-2023</t>
        </is>
      </c>
      <c r="B11013" s="1" t="n">
        <v>45153</v>
      </c>
      <c r="C11013" s="1" t="n">
        <v>45810</v>
      </c>
      <c r="D11013" t="inlineStr">
        <is>
          <t>VÄRMLANDS LÄN</t>
        </is>
      </c>
      <c r="E11013" t="inlineStr">
        <is>
          <t>STORFORS</t>
        </is>
      </c>
      <c r="F11013" t="inlineStr">
        <is>
          <t>Kyrkan</t>
        </is>
      </c>
      <c r="G11013" t="n">
        <v>0.8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36718-2023</t>
        </is>
      </c>
      <c r="B11014" s="1" t="n">
        <v>45153</v>
      </c>
      <c r="C11014" s="1" t="n">
        <v>45810</v>
      </c>
      <c r="D11014" t="inlineStr">
        <is>
          <t>VÄRMLANDS LÄN</t>
        </is>
      </c>
      <c r="E11014" t="inlineStr">
        <is>
          <t>EDA</t>
        </is>
      </c>
      <c r="G11014" t="n">
        <v>0.8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36598-2023</t>
        </is>
      </c>
      <c r="B11015" s="1" t="n">
        <v>45153</v>
      </c>
      <c r="C11015" s="1" t="n">
        <v>45810</v>
      </c>
      <c r="D11015" t="inlineStr">
        <is>
          <t>VÄRMLANDS LÄN</t>
        </is>
      </c>
      <c r="E11015" t="inlineStr">
        <is>
          <t>TORSBY</t>
        </is>
      </c>
      <c r="G11015" t="n">
        <v>3.4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36552-2023</t>
        </is>
      </c>
      <c r="B11016" s="1" t="n">
        <v>45153</v>
      </c>
      <c r="C11016" s="1" t="n">
        <v>45810</v>
      </c>
      <c r="D11016" t="inlineStr">
        <is>
          <t>VÄRMLANDS LÄN</t>
        </is>
      </c>
      <c r="E11016" t="inlineStr">
        <is>
          <t>TORSBY</t>
        </is>
      </c>
      <c r="G11016" t="n">
        <v>2.3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36518-2023</t>
        </is>
      </c>
      <c r="B11017" s="1" t="n">
        <v>45153</v>
      </c>
      <c r="C11017" s="1" t="n">
        <v>45810</v>
      </c>
      <c r="D11017" t="inlineStr">
        <is>
          <t>VÄRMLANDS LÄN</t>
        </is>
      </c>
      <c r="E11017" t="inlineStr">
        <is>
          <t>KARLSTAD</t>
        </is>
      </c>
      <c r="G11017" t="n">
        <v>1.6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36550-2023</t>
        </is>
      </c>
      <c r="B11018" s="1" t="n">
        <v>45153</v>
      </c>
      <c r="C11018" s="1" t="n">
        <v>45810</v>
      </c>
      <c r="D11018" t="inlineStr">
        <is>
          <t>VÄRMLANDS LÄN</t>
        </is>
      </c>
      <c r="E11018" t="inlineStr">
        <is>
          <t>SUNNE</t>
        </is>
      </c>
      <c r="G11018" t="n">
        <v>3.4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36646-2023</t>
        </is>
      </c>
      <c r="B11019" s="1" t="n">
        <v>45153</v>
      </c>
      <c r="C11019" s="1" t="n">
        <v>45810</v>
      </c>
      <c r="D11019" t="inlineStr">
        <is>
          <t>VÄRMLANDS LÄN</t>
        </is>
      </c>
      <c r="E11019" t="inlineStr">
        <is>
          <t>GRUMS</t>
        </is>
      </c>
      <c r="G11019" t="n">
        <v>2.4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36637-2023</t>
        </is>
      </c>
      <c r="B11020" s="1" t="n">
        <v>45153</v>
      </c>
      <c r="C11020" s="1" t="n">
        <v>45810</v>
      </c>
      <c r="D11020" t="inlineStr">
        <is>
          <t>VÄRMLANDS LÄN</t>
        </is>
      </c>
      <c r="E11020" t="inlineStr">
        <is>
          <t>FILIPSTAD</t>
        </is>
      </c>
      <c r="F11020" t="inlineStr">
        <is>
          <t>Bergvik skog väst AB</t>
        </is>
      </c>
      <c r="G11020" t="n">
        <v>7.5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36716-2023</t>
        </is>
      </c>
      <c r="B11021" s="1" t="n">
        <v>45153</v>
      </c>
      <c r="C11021" s="1" t="n">
        <v>45810</v>
      </c>
      <c r="D11021" t="inlineStr">
        <is>
          <t>VÄRMLANDS LÄN</t>
        </is>
      </c>
      <c r="E11021" t="inlineStr">
        <is>
          <t>EDA</t>
        </is>
      </c>
      <c r="G11021" t="n">
        <v>5.7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36674-2023</t>
        </is>
      </c>
      <c r="B11022" s="1" t="n">
        <v>45153</v>
      </c>
      <c r="C11022" s="1" t="n">
        <v>45810</v>
      </c>
      <c r="D11022" t="inlineStr">
        <is>
          <t>VÄRMLANDS LÄN</t>
        </is>
      </c>
      <c r="E11022" t="inlineStr">
        <is>
          <t>TORSBY</t>
        </is>
      </c>
      <c r="G11022" t="n">
        <v>4.9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36680-2023</t>
        </is>
      </c>
      <c r="B11023" s="1" t="n">
        <v>45153</v>
      </c>
      <c r="C11023" s="1" t="n">
        <v>45810</v>
      </c>
      <c r="D11023" t="inlineStr">
        <is>
          <t>VÄRMLANDS LÄN</t>
        </is>
      </c>
      <c r="E11023" t="inlineStr">
        <is>
          <t>FILIPSTAD</t>
        </is>
      </c>
      <c r="G11023" t="n">
        <v>0.3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36736-2023</t>
        </is>
      </c>
      <c r="B11024" s="1" t="n">
        <v>45153</v>
      </c>
      <c r="C11024" s="1" t="n">
        <v>45810</v>
      </c>
      <c r="D11024" t="inlineStr">
        <is>
          <t>VÄRMLANDS LÄN</t>
        </is>
      </c>
      <c r="E11024" t="inlineStr">
        <is>
          <t>TORSBY</t>
        </is>
      </c>
      <c r="G11024" t="n">
        <v>2.2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36690-2023</t>
        </is>
      </c>
      <c r="B11025" s="1" t="n">
        <v>45153</v>
      </c>
      <c r="C11025" s="1" t="n">
        <v>45810</v>
      </c>
      <c r="D11025" t="inlineStr">
        <is>
          <t>VÄRMLANDS LÄN</t>
        </is>
      </c>
      <c r="E11025" t="inlineStr">
        <is>
          <t>ARVIKA</t>
        </is>
      </c>
      <c r="F11025" t="inlineStr">
        <is>
          <t>Bergvik skog väst AB</t>
        </is>
      </c>
      <c r="G11025" t="n">
        <v>5.3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36696-2023</t>
        </is>
      </c>
      <c r="B11026" s="1" t="n">
        <v>45153</v>
      </c>
      <c r="C11026" s="1" t="n">
        <v>45810</v>
      </c>
      <c r="D11026" t="inlineStr">
        <is>
          <t>VÄRMLANDS LÄN</t>
        </is>
      </c>
      <c r="E11026" t="inlineStr">
        <is>
          <t>EDA</t>
        </is>
      </c>
      <c r="G11026" t="n">
        <v>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36717-2023</t>
        </is>
      </c>
      <c r="B11027" s="1" t="n">
        <v>45153</v>
      </c>
      <c r="C11027" s="1" t="n">
        <v>45810</v>
      </c>
      <c r="D11027" t="inlineStr">
        <is>
          <t>VÄRMLANDS LÄN</t>
        </is>
      </c>
      <c r="E11027" t="inlineStr">
        <is>
          <t>ARVIKA</t>
        </is>
      </c>
      <c r="F11027" t="inlineStr">
        <is>
          <t>Bergvik skog väst AB</t>
        </is>
      </c>
      <c r="G11027" t="n">
        <v>2.4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36729-2023</t>
        </is>
      </c>
      <c r="B11028" s="1" t="n">
        <v>45153</v>
      </c>
      <c r="C11028" s="1" t="n">
        <v>45810</v>
      </c>
      <c r="D11028" t="inlineStr">
        <is>
          <t>VÄRMLANDS LÄN</t>
        </is>
      </c>
      <c r="E11028" t="inlineStr">
        <is>
          <t>TORSBY</t>
        </is>
      </c>
      <c r="G11028" t="n">
        <v>1.2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36792-2023</t>
        </is>
      </c>
      <c r="B11029" s="1" t="n">
        <v>45154</v>
      </c>
      <c r="C11029" s="1" t="n">
        <v>45810</v>
      </c>
      <c r="D11029" t="inlineStr">
        <is>
          <t>VÄRMLANDS LÄN</t>
        </is>
      </c>
      <c r="E11029" t="inlineStr">
        <is>
          <t>KRISTINEHAMN</t>
        </is>
      </c>
      <c r="G11029" t="n">
        <v>4.2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36807-2023</t>
        </is>
      </c>
      <c r="B11030" s="1" t="n">
        <v>45154</v>
      </c>
      <c r="C11030" s="1" t="n">
        <v>45810</v>
      </c>
      <c r="D11030" t="inlineStr">
        <is>
          <t>VÄRMLANDS LÄN</t>
        </is>
      </c>
      <c r="E11030" t="inlineStr">
        <is>
          <t>SÄFFLE</t>
        </is>
      </c>
      <c r="F11030" t="inlineStr">
        <is>
          <t>Kyrkan</t>
        </is>
      </c>
      <c r="G11030" t="n">
        <v>7.9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36827-2023</t>
        </is>
      </c>
      <c r="B11031" s="1" t="n">
        <v>45154</v>
      </c>
      <c r="C11031" s="1" t="n">
        <v>45810</v>
      </c>
      <c r="D11031" t="inlineStr">
        <is>
          <t>VÄRMLANDS LÄN</t>
        </is>
      </c>
      <c r="E11031" t="inlineStr">
        <is>
          <t>TORSBY</t>
        </is>
      </c>
      <c r="F11031" t="inlineStr">
        <is>
          <t>Bergvik skog väst AB</t>
        </is>
      </c>
      <c r="G11031" t="n">
        <v>6.3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36789-2023</t>
        </is>
      </c>
      <c r="B11032" s="1" t="n">
        <v>45154</v>
      </c>
      <c r="C11032" s="1" t="n">
        <v>45810</v>
      </c>
      <c r="D11032" t="inlineStr">
        <is>
          <t>VÄRMLANDS LÄN</t>
        </is>
      </c>
      <c r="E11032" t="inlineStr">
        <is>
          <t>EDA</t>
        </is>
      </c>
      <c r="G11032" t="n">
        <v>1.1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36872-2023</t>
        </is>
      </c>
      <c r="B11033" s="1" t="n">
        <v>45154</v>
      </c>
      <c r="C11033" s="1" t="n">
        <v>45810</v>
      </c>
      <c r="D11033" t="inlineStr">
        <is>
          <t>VÄRMLANDS LÄN</t>
        </is>
      </c>
      <c r="E11033" t="inlineStr">
        <is>
          <t>HAGFORS</t>
        </is>
      </c>
      <c r="G11033" t="n">
        <v>0.8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36917-2023</t>
        </is>
      </c>
      <c r="B11034" s="1" t="n">
        <v>45154</v>
      </c>
      <c r="C11034" s="1" t="n">
        <v>45810</v>
      </c>
      <c r="D11034" t="inlineStr">
        <is>
          <t>VÄRMLANDS LÄN</t>
        </is>
      </c>
      <c r="E11034" t="inlineStr">
        <is>
          <t>KARLSTAD</t>
        </is>
      </c>
      <c r="G11034" t="n">
        <v>2.5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36829-2023</t>
        </is>
      </c>
      <c r="B11035" s="1" t="n">
        <v>45154</v>
      </c>
      <c r="C11035" s="1" t="n">
        <v>45810</v>
      </c>
      <c r="D11035" t="inlineStr">
        <is>
          <t>VÄRMLANDS LÄN</t>
        </is>
      </c>
      <c r="E11035" t="inlineStr">
        <is>
          <t>ARVIKA</t>
        </is>
      </c>
      <c r="G11035" t="n">
        <v>3.7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36897-2023</t>
        </is>
      </c>
      <c r="B11036" s="1" t="n">
        <v>45154</v>
      </c>
      <c r="C11036" s="1" t="n">
        <v>45810</v>
      </c>
      <c r="D11036" t="inlineStr">
        <is>
          <t>VÄRMLANDS LÄN</t>
        </is>
      </c>
      <c r="E11036" t="inlineStr">
        <is>
          <t>TORSBY</t>
        </is>
      </c>
      <c r="G11036" t="n">
        <v>1.6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36924-2023</t>
        </is>
      </c>
      <c r="B11037" s="1" t="n">
        <v>45154</v>
      </c>
      <c r="C11037" s="1" t="n">
        <v>45810</v>
      </c>
      <c r="D11037" t="inlineStr">
        <is>
          <t>VÄRMLANDS LÄN</t>
        </is>
      </c>
      <c r="E11037" t="inlineStr">
        <is>
          <t>SUNNE</t>
        </is>
      </c>
      <c r="G11037" t="n">
        <v>0.9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37191-2023</t>
        </is>
      </c>
      <c r="B11038" s="1" t="n">
        <v>45154</v>
      </c>
      <c r="C11038" s="1" t="n">
        <v>45810</v>
      </c>
      <c r="D11038" t="inlineStr">
        <is>
          <t>VÄRMLANDS LÄN</t>
        </is>
      </c>
      <c r="E11038" t="inlineStr">
        <is>
          <t>ÅRJÄNG</t>
        </is>
      </c>
      <c r="G11038" t="n">
        <v>0.7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36821-2023</t>
        </is>
      </c>
      <c r="B11039" s="1" t="n">
        <v>45154</v>
      </c>
      <c r="C11039" s="1" t="n">
        <v>45810</v>
      </c>
      <c r="D11039" t="inlineStr">
        <is>
          <t>VÄRMLANDS LÄN</t>
        </is>
      </c>
      <c r="E11039" t="inlineStr">
        <is>
          <t>HAGFORS</t>
        </is>
      </c>
      <c r="G11039" t="n">
        <v>5.7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37076-2023</t>
        </is>
      </c>
      <c r="B11040" s="1" t="n">
        <v>45154</v>
      </c>
      <c r="C11040" s="1" t="n">
        <v>45810</v>
      </c>
      <c r="D11040" t="inlineStr">
        <is>
          <t>VÄRMLANDS LÄN</t>
        </is>
      </c>
      <c r="E11040" t="inlineStr">
        <is>
          <t>KARLSTAD</t>
        </is>
      </c>
      <c r="F11040" t="inlineStr">
        <is>
          <t>Övriga statliga verk och myndigheter</t>
        </is>
      </c>
      <c r="G11040" t="n">
        <v>11.6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36947-2023</t>
        </is>
      </c>
      <c r="B11041" s="1" t="n">
        <v>45154</v>
      </c>
      <c r="C11041" s="1" t="n">
        <v>45810</v>
      </c>
      <c r="D11041" t="inlineStr">
        <is>
          <t>VÄRMLANDS LÄN</t>
        </is>
      </c>
      <c r="E11041" t="inlineStr">
        <is>
          <t>TORSBY</t>
        </is>
      </c>
      <c r="G11041" t="n">
        <v>1.1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37061-2023</t>
        </is>
      </c>
      <c r="B11042" s="1" t="n">
        <v>45155</v>
      </c>
      <c r="C11042" s="1" t="n">
        <v>45810</v>
      </c>
      <c r="D11042" t="inlineStr">
        <is>
          <t>VÄRMLANDS LÄN</t>
        </is>
      </c>
      <c r="E11042" t="inlineStr">
        <is>
          <t>ÅRJÄNG</t>
        </is>
      </c>
      <c r="G11042" t="n">
        <v>0.9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37029-2023</t>
        </is>
      </c>
      <c r="B11043" s="1" t="n">
        <v>45155</v>
      </c>
      <c r="C11043" s="1" t="n">
        <v>45810</v>
      </c>
      <c r="D11043" t="inlineStr">
        <is>
          <t>VÄRMLANDS LÄN</t>
        </is>
      </c>
      <c r="E11043" t="inlineStr">
        <is>
          <t>ARVIKA</t>
        </is>
      </c>
      <c r="G11043" t="n">
        <v>3.2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37033-2023</t>
        </is>
      </c>
      <c r="B11044" s="1" t="n">
        <v>45155</v>
      </c>
      <c r="C11044" s="1" t="n">
        <v>45810</v>
      </c>
      <c r="D11044" t="inlineStr">
        <is>
          <t>VÄRMLANDS LÄN</t>
        </is>
      </c>
      <c r="E11044" t="inlineStr">
        <is>
          <t>ARVIKA</t>
        </is>
      </c>
      <c r="G11044" t="n">
        <v>5.2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37085-2023</t>
        </is>
      </c>
      <c r="B11045" s="1" t="n">
        <v>45155</v>
      </c>
      <c r="C11045" s="1" t="n">
        <v>45810</v>
      </c>
      <c r="D11045" t="inlineStr">
        <is>
          <t>VÄRMLANDS LÄN</t>
        </is>
      </c>
      <c r="E11045" t="inlineStr">
        <is>
          <t>HAGFORS</t>
        </is>
      </c>
      <c r="F11045" t="inlineStr">
        <is>
          <t>Bergvik skog väst AB</t>
        </is>
      </c>
      <c r="G11045" t="n">
        <v>5.5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37094-2023</t>
        </is>
      </c>
      <c r="B11046" s="1" t="n">
        <v>45155</v>
      </c>
      <c r="C11046" s="1" t="n">
        <v>45810</v>
      </c>
      <c r="D11046" t="inlineStr">
        <is>
          <t>VÄRMLANDS LÄN</t>
        </is>
      </c>
      <c r="E11046" t="inlineStr">
        <is>
          <t>ÅRJÄNG</t>
        </is>
      </c>
      <c r="F11046" t="inlineStr">
        <is>
          <t>Kyrkan</t>
        </is>
      </c>
      <c r="G11046" t="n">
        <v>3.1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37135-2023</t>
        </is>
      </c>
      <c r="B11047" s="1" t="n">
        <v>45155</v>
      </c>
      <c r="C11047" s="1" t="n">
        <v>45810</v>
      </c>
      <c r="D11047" t="inlineStr">
        <is>
          <t>VÄRMLANDS LÄN</t>
        </is>
      </c>
      <c r="E11047" t="inlineStr">
        <is>
          <t>HAGFORS</t>
        </is>
      </c>
      <c r="F11047" t="inlineStr">
        <is>
          <t>Bergvik skog väst AB</t>
        </is>
      </c>
      <c r="G11047" t="n">
        <v>5.3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37048-2023</t>
        </is>
      </c>
      <c r="B11048" s="1" t="n">
        <v>45155</v>
      </c>
      <c r="C11048" s="1" t="n">
        <v>45810</v>
      </c>
      <c r="D11048" t="inlineStr">
        <is>
          <t>VÄRMLANDS LÄN</t>
        </is>
      </c>
      <c r="E11048" t="inlineStr">
        <is>
          <t>EDA</t>
        </is>
      </c>
      <c r="G11048" t="n">
        <v>2.4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37081-2023</t>
        </is>
      </c>
      <c r="B11049" s="1" t="n">
        <v>45155</v>
      </c>
      <c r="C11049" s="1" t="n">
        <v>45810</v>
      </c>
      <c r="D11049" t="inlineStr">
        <is>
          <t>VÄRMLANDS LÄN</t>
        </is>
      </c>
      <c r="E11049" t="inlineStr">
        <is>
          <t>TORSBY</t>
        </is>
      </c>
      <c r="G11049" t="n">
        <v>1.1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37108-2023</t>
        </is>
      </c>
      <c r="B11050" s="1" t="n">
        <v>45155</v>
      </c>
      <c r="C11050" s="1" t="n">
        <v>45810</v>
      </c>
      <c r="D11050" t="inlineStr">
        <is>
          <t>VÄRMLANDS LÄN</t>
        </is>
      </c>
      <c r="E11050" t="inlineStr">
        <is>
          <t>HAGFORS</t>
        </is>
      </c>
      <c r="G11050" t="n">
        <v>1.4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37119-2023</t>
        </is>
      </c>
      <c r="B11051" s="1" t="n">
        <v>45155</v>
      </c>
      <c r="C11051" s="1" t="n">
        <v>45810</v>
      </c>
      <c r="D11051" t="inlineStr">
        <is>
          <t>VÄRMLANDS LÄN</t>
        </is>
      </c>
      <c r="E11051" t="inlineStr">
        <is>
          <t>ÅRJÄNG</t>
        </is>
      </c>
      <c r="F11051" t="inlineStr">
        <is>
          <t>Kyrkan</t>
        </is>
      </c>
      <c r="G11051" t="n">
        <v>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37180-2023</t>
        </is>
      </c>
      <c r="B11052" s="1" t="n">
        <v>45155</v>
      </c>
      <c r="C11052" s="1" t="n">
        <v>45810</v>
      </c>
      <c r="D11052" t="inlineStr">
        <is>
          <t>VÄRMLANDS LÄN</t>
        </is>
      </c>
      <c r="E11052" t="inlineStr">
        <is>
          <t>SUNNE</t>
        </is>
      </c>
      <c r="G11052" t="n">
        <v>1.4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37152-2023</t>
        </is>
      </c>
      <c r="B11053" s="1" t="n">
        <v>45155</v>
      </c>
      <c r="C11053" s="1" t="n">
        <v>45810</v>
      </c>
      <c r="D11053" t="inlineStr">
        <is>
          <t>VÄRMLANDS LÄN</t>
        </is>
      </c>
      <c r="E11053" t="inlineStr">
        <is>
          <t>HAGFORS</t>
        </is>
      </c>
      <c r="F11053" t="inlineStr">
        <is>
          <t>Bergvik skog väst AB</t>
        </is>
      </c>
      <c r="G11053" t="n">
        <v>0.5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37188-2023</t>
        </is>
      </c>
      <c r="B11054" s="1" t="n">
        <v>45155</v>
      </c>
      <c r="C11054" s="1" t="n">
        <v>45810</v>
      </c>
      <c r="D11054" t="inlineStr">
        <is>
          <t>VÄRMLANDS LÄN</t>
        </is>
      </c>
      <c r="E11054" t="inlineStr">
        <is>
          <t>TORSBY</t>
        </is>
      </c>
      <c r="F11054" t="inlineStr">
        <is>
          <t>Bergvik skog väst AB</t>
        </is>
      </c>
      <c r="G11054" t="n">
        <v>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37298-2023</t>
        </is>
      </c>
      <c r="B11055" s="1" t="n">
        <v>45156</v>
      </c>
      <c r="C11055" s="1" t="n">
        <v>45810</v>
      </c>
      <c r="D11055" t="inlineStr">
        <is>
          <t>VÄRMLANDS LÄN</t>
        </is>
      </c>
      <c r="E11055" t="inlineStr">
        <is>
          <t>EDA</t>
        </is>
      </c>
      <c r="G11055" t="n">
        <v>1.4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37306-2023</t>
        </is>
      </c>
      <c r="B11056" s="1" t="n">
        <v>45156</v>
      </c>
      <c r="C11056" s="1" t="n">
        <v>45810</v>
      </c>
      <c r="D11056" t="inlineStr">
        <is>
          <t>VÄRMLANDS LÄN</t>
        </is>
      </c>
      <c r="E11056" t="inlineStr">
        <is>
          <t>SÄFFLE</t>
        </is>
      </c>
      <c r="G11056" t="n">
        <v>2.6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37334-2023</t>
        </is>
      </c>
      <c r="B11057" s="1" t="n">
        <v>45156</v>
      </c>
      <c r="C11057" s="1" t="n">
        <v>45810</v>
      </c>
      <c r="D11057" t="inlineStr">
        <is>
          <t>VÄRMLANDS LÄN</t>
        </is>
      </c>
      <c r="E11057" t="inlineStr">
        <is>
          <t>EDA</t>
        </is>
      </c>
      <c r="G11057" t="n">
        <v>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37420-2023</t>
        </is>
      </c>
      <c r="B11058" s="1" t="n">
        <v>45156</v>
      </c>
      <c r="C11058" s="1" t="n">
        <v>45810</v>
      </c>
      <c r="D11058" t="inlineStr">
        <is>
          <t>VÄRMLANDS LÄN</t>
        </is>
      </c>
      <c r="E11058" t="inlineStr">
        <is>
          <t>SÄFFLE</t>
        </is>
      </c>
      <c r="G11058" t="n">
        <v>3.4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37346-2023</t>
        </is>
      </c>
      <c r="B11059" s="1" t="n">
        <v>45156</v>
      </c>
      <c r="C11059" s="1" t="n">
        <v>45810</v>
      </c>
      <c r="D11059" t="inlineStr">
        <is>
          <t>VÄRMLANDS LÄN</t>
        </is>
      </c>
      <c r="E11059" t="inlineStr">
        <is>
          <t>TORSBY</t>
        </is>
      </c>
      <c r="G11059" t="n">
        <v>4.9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37357-2023</t>
        </is>
      </c>
      <c r="B11060" s="1" t="n">
        <v>45156</v>
      </c>
      <c r="C11060" s="1" t="n">
        <v>45810</v>
      </c>
      <c r="D11060" t="inlineStr">
        <is>
          <t>VÄRMLANDS LÄN</t>
        </is>
      </c>
      <c r="E11060" t="inlineStr">
        <is>
          <t>TORSBY</t>
        </is>
      </c>
      <c r="G11060" t="n">
        <v>0.7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37398-2023</t>
        </is>
      </c>
      <c r="B11061" s="1" t="n">
        <v>45156</v>
      </c>
      <c r="C11061" s="1" t="n">
        <v>45810</v>
      </c>
      <c r="D11061" t="inlineStr">
        <is>
          <t>VÄRMLANDS LÄN</t>
        </is>
      </c>
      <c r="E11061" t="inlineStr">
        <is>
          <t>ARVIKA</t>
        </is>
      </c>
      <c r="G11061" t="n">
        <v>2.3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37422-2023</t>
        </is>
      </c>
      <c r="B11062" s="1" t="n">
        <v>45156</v>
      </c>
      <c r="C11062" s="1" t="n">
        <v>45810</v>
      </c>
      <c r="D11062" t="inlineStr">
        <is>
          <t>VÄRMLANDS LÄN</t>
        </is>
      </c>
      <c r="E11062" t="inlineStr">
        <is>
          <t>SÄFFLE</t>
        </is>
      </c>
      <c r="G11062" t="n">
        <v>0.8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37305-2023</t>
        </is>
      </c>
      <c r="B11063" s="1" t="n">
        <v>45156</v>
      </c>
      <c r="C11063" s="1" t="n">
        <v>45810</v>
      </c>
      <c r="D11063" t="inlineStr">
        <is>
          <t>VÄRMLANDS LÄN</t>
        </is>
      </c>
      <c r="E11063" t="inlineStr">
        <is>
          <t>TORSBY</t>
        </is>
      </c>
      <c r="F11063" t="inlineStr">
        <is>
          <t>Bergvik skog väst AB</t>
        </is>
      </c>
      <c r="G11063" t="n">
        <v>28.8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37314-2023</t>
        </is>
      </c>
      <c r="B11064" s="1" t="n">
        <v>45156</v>
      </c>
      <c r="C11064" s="1" t="n">
        <v>45810</v>
      </c>
      <c r="D11064" t="inlineStr">
        <is>
          <t>VÄRMLANDS LÄN</t>
        </is>
      </c>
      <c r="E11064" t="inlineStr">
        <is>
          <t>TORSBY</t>
        </is>
      </c>
      <c r="G11064" t="n">
        <v>2.3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37359-2023</t>
        </is>
      </c>
      <c r="B11065" s="1" t="n">
        <v>45156</v>
      </c>
      <c r="C11065" s="1" t="n">
        <v>45810</v>
      </c>
      <c r="D11065" t="inlineStr">
        <is>
          <t>VÄRMLANDS LÄN</t>
        </is>
      </c>
      <c r="E11065" t="inlineStr">
        <is>
          <t>TORSBY</t>
        </is>
      </c>
      <c r="G11065" t="n">
        <v>0.7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37857-2023</t>
        </is>
      </c>
      <c r="B11066" s="1" t="n">
        <v>45158</v>
      </c>
      <c r="C11066" s="1" t="n">
        <v>45810</v>
      </c>
      <c r="D11066" t="inlineStr">
        <is>
          <t>VÄRMLANDS LÄN</t>
        </is>
      </c>
      <c r="E11066" t="inlineStr">
        <is>
          <t>ARVIKA</t>
        </is>
      </c>
      <c r="G11066" t="n">
        <v>1.9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37852-2023</t>
        </is>
      </c>
      <c r="B11067" s="1" t="n">
        <v>45158</v>
      </c>
      <c r="C11067" s="1" t="n">
        <v>45810</v>
      </c>
      <c r="D11067" t="inlineStr">
        <is>
          <t>VÄRMLANDS LÄN</t>
        </is>
      </c>
      <c r="E11067" t="inlineStr">
        <is>
          <t>ARVIKA</t>
        </is>
      </c>
      <c r="G11067" t="n">
        <v>0.9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37854-2023</t>
        </is>
      </c>
      <c r="B11068" s="1" t="n">
        <v>45158</v>
      </c>
      <c r="C11068" s="1" t="n">
        <v>45810</v>
      </c>
      <c r="D11068" t="inlineStr">
        <is>
          <t>VÄRMLANDS LÄN</t>
        </is>
      </c>
      <c r="E11068" t="inlineStr">
        <is>
          <t>ARVIKA</t>
        </is>
      </c>
      <c r="G11068" t="n">
        <v>1.2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37676-2023</t>
        </is>
      </c>
      <c r="B11069" s="1" t="n">
        <v>45159</v>
      </c>
      <c r="C11069" s="1" t="n">
        <v>45810</v>
      </c>
      <c r="D11069" t="inlineStr">
        <is>
          <t>VÄRMLANDS LÄN</t>
        </is>
      </c>
      <c r="E11069" t="inlineStr">
        <is>
          <t>GRUMS</t>
        </is>
      </c>
      <c r="G11069" t="n">
        <v>0.5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37705-2023</t>
        </is>
      </c>
      <c r="B11070" s="1" t="n">
        <v>45159</v>
      </c>
      <c r="C11070" s="1" t="n">
        <v>45810</v>
      </c>
      <c r="D11070" t="inlineStr">
        <is>
          <t>VÄRMLANDS LÄN</t>
        </is>
      </c>
      <c r="E11070" t="inlineStr">
        <is>
          <t>TORSBY</t>
        </is>
      </c>
      <c r="G11070" t="n">
        <v>0.7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37744-2023</t>
        </is>
      </c>
      <c r="B11071" s="1" t="n">
        <v>45159</v>
      </c>
      <c r="C11071" s="1" t="n">
        <v>45810</v>
      </c>
      <c r="D11071" t="inlineStr">
        <is>
          <t>VÄRMLANDS LÄN</t>
        </is>
      </c>
      <c r="E11071" t="inlineStr">
        <is>
          <t>SÄFFLE</t>
        </is>
      </c>
      <c r="G11071" t="n">
        <v>2.7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37768-2023</t>
        </is>
      </c>
      <c r="B11072" s="1" t="n">
        <v>45159</v>
      </c>
      <c r="C11072" s="1" t="n">
        <v>45810</v>
      </c>
      <c r="D11072" t="inlineStr">
        <is>
          <t>VÄRMLANDS LÄN</t>
        </is>
      </c>
      <c r="E11072" t="inlineStr">
        <is>
          <t>ÅRJÄNG</t>
        </is>
      </c>
      <c r="G11072" t="n">
        <v>7.4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37772-2023</t>
        </is>
      </c>
      <c r="B11073" s="1" t="n">
        <v>45159</v>
      </c>
      <c r="C11073" s="1" t="n">
        <v>45810</v>
      </c>
      <c r="D11073" t="inlineStr">
        <is>
          <t>VÄRMLANDS LÄN</t>
        </is>
      </c>
      <c r="E11073" t="inlineStr">
        <is>
          <t>ÅRJÄNG</t>
        </is>
      </c>
      <c r="G11073" t="n">
        <v>2.9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37622-2023</t>
        </is>
      </c>
      <c r="B11074" s="1" t="n">
        <v>45159</v>
      </c>
      <c r="C11074" s="1" t="n">
        <v>45810</v>
      </c>
      <c r="D11074" t="inlineStr">
        <is>
          <t>VÄRMLANDS LÄN</t>
        </is>
      </c>
      <c r="E11074" t="inlineStr">
        <is>
          <t>KRISTINEHAMN</t>
        </is>
      </c>
      <c r="F11074" t="inlineStr">
        <is>
          <t>Sveaskog</t>
        </is>
      </c>
      <c r="G11074" t="n">
        <v>1.9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37652-2023</t>
        </is>
      </c>
      <c r="B11075" s="1" t="n">
        <v>45159</v>
      </c>
      <c r="C11075" s="1" t="n">
        <v>45810</v>
      </c>
      <c r="D11075" t="inlineStr">
        <is>
          <t>VÄRMLANDS LÄN</t>
        </is>
      </c>
      <c r="E11075" t="inlineStr">
        <is>
          <t>ARVIKA</t>
        </is>
      </c>
      <c r="G11075" t="n">
        <v>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37559-2023</t>
        </is>
      </c>
      <c r="B11076" s="1" t="n">
        <v>45159</v>
      </c>
      <c r="C11076" s="1" t="n">
        <v>45810</v>
      </c>
      <c r="D11076" t="inlineStr">
        <is>
          <t>VÄRMLANDS LÄN</t>
        </is>
      </c>
      <c r="E11076" t="inlineStr">
        <is>
          <t>EDA</t>
        </is>
      </c>
      <c r="G11076" t="n">
        <v>1.7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37765-2023</t>
        </is>
      </c>
      <c r="B11077" s="1" t="n">
        <v>45159</v>
      </c>
      <c r="C11077" s="1" t="n">
        <v>45810</v>
      </c>
      <c r="D11077" t="inlineStr">
        <is>
          <t>VÄRMLANDS LÄN</t>
        </is>
      </c>
      <c r="E11077" t="inlineStr">
        <is>
          <t>ÅRJÄNG</t>
        </is>
      </c>
      <c r="G11077" t="n">
        <v>4.6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37577-2023</t>
        </is>
      </c>
      <c r="B11078" s="1" t="n">
        <v>45159</v>
      </c>
      <c r="C11078" s="1" t="n">
        <v>45810</v>
      </c>
      <c r="D11078" t="inlineStr">
        <is>
          <t>VÄRMLANDS LÄN</t>
        </is>
      </c>
      <c r="E11078" t="inlineStr">
        <is>
          <t>FILIPSTAD</t>
        </is>
      </c>
      <c r="G11078" t="n">
        <v>1.5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37604-2023</t>
        </is>
      </c>
      <c r="B11079" s="1" t="n">
        <v>45159</v>
      </c>
      <c r="C11079" s="1" t="n">
        <v>45810</v>
      </c>
      <c r="D11079" t="inlineStr">
        <is>
          <t>VÄRMLANDS LÄN</t>
        </is>
      </c>
      <c r="E11079" t="inlineStr">
        <is>
          <t>TORSBY</t>
        </is>
      </c>
      <c r="G11079" t="n">
        <v>1.2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37658-2023</t>
        </is>
      </c>
      <c r="B11080" s="1" t="n">
        <v>45159</v>
      </c>
      <c r="C11080" s="1" t="n">
        <v>45810</v>
      </c>
      <c r="D11080" t="inlineStr">
        <is>
          <t>VÄRMLANDS LÄN</t>
        </is>
      </c>
      <c r="E11080" t="inlineStr">
        <is>
          <t>ARVIKA</t>
        </is>
      </c>
      <c r="G11080" t="n">
        <v>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37623-2023</t>
        </is>
      </c>
      <c r="B11081" s="1" t="n">
        <v>45159</v>
      </c>
      <c r="C11081" s="1" t="n">
        <v>45810</v>
      </c>
      <c r="D11081" t="inlineStr">
        <is>
          <t>VÄRMLANDS LÄN</t>
        </is>
      </c>
      <c r="E11081" t="inlineStr">
        <is>
          <t>TORSBY</t>
        </is>
      </c>
      <c r="G11081" t="n">
        <v>1.4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37666-2023</t>
        </is>
      </c>
      <c r="B11082" s="1" t="n">
        <v>45159</v>
      </c>
      <c r="C11082" s="1" t="n">
        <v>45810</v>
      </c>
      <c r="D11082" t="inlineStr">
        <is>
          <t>VÄRMLANDS LÄN</t>
        </is>
      </c>
      <c r="E11082" t="inlineStr">
        <is>
          <t>SUNNE</t>
        </is>
      </c>
      <c r="G11082" t="n">
        <v>0.6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37648-2023</t>
        </is>
      </c>
      <c r="B11083" s="1" t="n">
        <v>45159</v>
      </c>
      <c r="C11083" s="1" t="n">
        <v>45810</v>
      </c>
      <c r="D11083" t="inlineStr">
        <is>
          <t>VÄRMLANDS LÄN</t>
        </is>
      </c>
      <c r="E11083" t="inlineStr">
        <is>
          <t>ARVIKA</t>
        </is>
      </c>
      <c r="G11083" t="n">
        <v>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37742-2023</t>
        </is>
      </c>
      <c r="B11084" s="1" t="n">
        <v>45159</v>
      </c>
      <c r="C11084" s="1" t="n">
        <v>45810</v>
      </c>
      <c r="D11084" t="inlineStr">
        <is>
          <t>VÄRMLANDS LÄN</t>
        </is>
      </c>
      <c r="E11084" t="inlineStr">
        <is>
          <t>KRISTINEHAMN</t>
        </is>
      </c>
      <c r="F11084" t="inlineStr">
        <is>
          <t>Sveaskog</t>
        </is>
      </c>
      <c r="G11084" t="n">
        <v>1.9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37797-2023</t>
        </is>
      </c>
      <c r="B11085" s="1" t="n">
        <v>45159</v>
      </c>
      <c r="C11085" s="1" t="n">
        <v>45810</v>
      </c>
      <c r="D11085" t="inlineStr">
        <is>
          <t>VÄRMLANDS LÄN</t>
        </is>
      </c>
      <c r="E11085" t="inlineStr">
        <is>
          <t>SUNNE</t>
        </is>
      </c>
      <c r="G11085" t="n">
        <v>7.9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37798-2023</t>
        </is>
      </c>
      <c r="B11086" s="1" t="n">
        <v>45160</v>
      </c>
      <c r="C11086" s="1" t="n">
        <v>45810</v>
      </c>
      <c r="D11086" t="inlineStr">
        <is>
          <t>VÄRMLANDS LÄN</t>
        </is>
      </c>
      <c r="E11086" t="inlineStr">
        <is>
          <t>SUNNE</t>
        </is>
      </c>
      <c r="G11086" t="n">
        <v>1.6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37879-2023</t>
        </is>
      </c>
      <c r="B11087" s="1" t="n">
        <v>45160</v>
      </c>
      <c r="C11087" s="1" t="n">
        <v>45810</v>
      </c>
      <c r="D11087" t="inlineStr">
        <is>
          <t>VÄRMLANDS LÄN</t>
        </is>
      </c>
      <c r="E11087" t="inlineStr">
        <is>
          <t>ARVIKA</t>
        </is>
      </c>
      <c r="G11087" t="n">
        <v>2.4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37869-2023</t>
        </is>
      </c>
      <c r="B11088" s="1" t="n">
        <v>45160</v>
      </c>
      <c r="C11088" s="1" t="n">
        <v>45810</v>
      </c>
      <c r="D11088" t="inlineStr">
        <is>
          <t>VÄRMLANDS LÄN</t>
        </is>
      </c>
      <c r="E11088" t="inlineStr">
        <is>
          <t>ARVIKA</t>
        </is>
      </c>
      <c r="G11088" t="n">
        <v>2.2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38020-2023</t>
        </is>
      </c>
      <c r="B11089" s="1" t="n">
        <v>45160</v>
      </c>
      <c r="C11089" s="1" t="n">
        <v>45810</v>
      </c>
      <c r="D11089" t="inlineStr">
        <is>
          <t>VÄRMLANDS LÄN</t>
        </is>
      </c>
      <c r="E11089" t="inlineStr">
        <is>
          <t>KARLSTAD</t>
        </is>
      </c>
      <c r="G11089" t="n">
        <v>7.2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37822-2023</t>
        </is>
      </c>
      <c r="B11090" s="1" t="n">
        <v>45160</v>
      </c>
      <c r="C11090" s="1" t="n">
        <v>45810</v>
      </c>
      <c r="D11090" t="inlineStr">
        <is>
          <t>VÄRMLANDS LÄN</t>
        </is>
      </c>
      <c r="E11090" t="inlineStr">
        <is>
          <t>TORSBY</t>
        </is>
      </c>
      <c r="G11090" t="n">
        <v>0.5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37911-2023</t>
        </is>
      </c>
      <c r="B11091" s="1" t="n">
        <v>45160</v>
      </c>
      <c r="C11091" s="1" t="n">
        <v>45810</v>
      </c>
      <c r="D11091" t="inlineStr">
        <is>
          <t>VÄRMLANDS LÄN</t>
        </is>
      </c>
      <c r="E11091" t="inlineStr">
        <is>
          <t>SUNNE</t>
        </is>
      </c>
      <c r="G11091" t="n">
        <v>5.4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38023-2023</t>
        </is>
      </c>
      <c r="B11092" s="1" t="n">
        <v>45160</v>
      </c>
      <c r="C11092" s="1" t="n">
        <v>45810</v>
      </c>
      <c r="D11092" t="inlineStr">
        <is>
          <t>VÄRMLANDS LÄN</t>
        </is>
      </c>
      <c r="E11092" t="inlineStr">
        <is>
          <t>KARLSTAD</t>
        </is>
      </c>
      <c r="G11092" t="n">
        <v>7.3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38038-2023</t>
        </is>
      </c>
      <c r="B11093" s="1" t="n">
        <v>45160</v>
      </c>
      <c r="C11093" s="1" t="n">
        <v>45810</v>
      </c>
      <c r="D11093" t="inlineStr">
        <is>
          <t>VÄRMLANDS LÄN</t>
        </is>
      </c>
      <c r="E11093" t="inlineStr">
        <is>
          <t>SUNNE</t>
        </is>
      </c>
      <c r="G11093" t="n">
        <v>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38085-2023</t>
        </is>
      </c>
      <c r="B11094" s="1" t="n">
        <v>45160</v>
      </c>
      <c r="C11094" s="1" t="n">
        <v>45810</v>
      </c>
      <c r="D11094" t="inlineStr">
        <is>
          <t>VÄRMLANDS LÄN</t>
        </is>
      </c>
      <c r="E11094" t="inlineStr">
        <is>
          <t>TORSBY</t>
        </is>
      </c>
      <c r="G11094" t="n">
        <v>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37936-2023</t>
        </is>
      </c>
      <c r="B11095" s="1" t="n">
        <v>45160</v>
      </c>
      <c r="C11095" s="1" t="n">
        <v>45810</v>
      </c>
      <c r="D11095" t="inlineStr">
        <is>
          <t>VÄRMLANDS LÄN</t>
        </is>
      </c>
      <c r="E11095" t="inlineStr">
        <is>
          <t>TORSBY</t>
        </is>
      </c>
      <c r="G11095" t="n">
        <v>0.7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38025-2023</t>
        </is>
      </c>
      <c r="B11096" s="1" t="n">
        <v>45160</v>
      </c>
      <c r="C11096" s="1" t="n">
        <v>45810</v>
      </c>
      <c r="D11096" t="inlineStr">
        <is>
          <t>VÄRMLANDS LÄN</t>
        </is>
      </c>
      <c r="E11096" t="inlineStr">
        <is>
          <t>KARLSTAD</t>
        </is>
      </c>
      <c r="G11096" t="n">
        <v>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38066-2023</t>
        </is>
      </c>
      <c r="B11097" s="1" t="n">
        <v>45160</v>
      </c>
      <c r="C11097" s="1" t="n">
        <v>45810</v>
      </c>
      <c r="D11097" t="inlineStr">
        <is>
          <t>VÄRMLANDS LÄN</t>
        </is>
      </c>
      <c r="E11097" t="inlineStr">
        <is>
          <t>SUNNE</t>
        </is>
      </c>
      <c r="G11097" t="n">
        <v>3.4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38084-2023</t>
        </is>
      </c>
      <c r="B11098" s="1" t="n">
        <v>45160</v>
      </c>
      <c r="C11098" s="1" t="n">
        <v>45810</v>
      </c>
      <c r="D11098" t="inlineStr">
        <is>
          <t>VÄRMLANDS LÄN</t>
        </is>
      </c>
      <c r="E11098" t="inlineStr">
        <is>
          <t>TORSBY</t>
        </is>
      </c>
      <c r="G11098" t="n">
        <v>1.4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38044-2023</t>
        </is>
      </c>
      <c r="B11099" s="1" t="n">
        <v>45160</v>
      </c>
      <c r="C11099" s="1" t="n">
        <v>45810</v>
      </c>
      <c r="D11099" t="inlineStr">
        <is>
          <t>VÄRMLANDS LÄN</t>
        </is>
      </c>
      <c r="E11099" t="inlineStr">
        <is>
          <t>TORSBY</t>
        </is>
      </c>
      <c r="G11099" t="n">
        <v>6.8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38086-2023</t>
        </is>
      </c>
      <c r="B11100" s="1" t="n">
        <v>45160</v>
      </c>
      <c r="C11100" s="1" t="n">
        <v>45810</v>
      </c>
      <c r="D11100" t="inlineStr">
        <is>
          <t>VÄRMLANDS LÄN</t>
        </is>
      </c>
      <c r="E11100" t="inlineStr">
        <is>
          <t>TORSBY</t>
        </is>
      </c>
      <c r="G11100" t="n">
        <v>6.2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38559-2023</t>
        </is>
      </c>
      <c r="B11101" s="1" t="n">
        <v>45160</v>
      </c>
      <c r="C11101" s="1" t="n">
        <v>45810</v>
      </c>
      <c r="D11101" t="inlineStr">
        <is>
          <t>VÄRMLANDS LÄN</t>
        </is>
      </c>
      <c r="E11101" t="inlineStr">
        <is>
          <t>KRISTINEHAMN</t>
        </is>
      </c>
      <c r="G11101" t="n">
        <v>4.8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38107-2023</t>
        </is>
      </c>
      <c r="B11102" s="1" t="n">
        <v>45161</v>
      </c>
      <c r="C11102" s="1" t="n">
        <v>45810</v>
      </c>
      <c r="D11102" t="inlineStr">
        <is>
          <t>VÄRMLANDS LÄN</t>
        </is>
      </c>
      <c r="E11102" t="inlineStr">
        <is>
          <t>ARVIKA</t>
        </is>
      </c>
      <c r="G11102" t="n">
        <v>1.7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38158-2023</t>
        </is>
      </c>
      <c r="B11103" s="1" t="n">
        <v>45161</v>
      </c>
      <c r="C11103" s="1" t="n">
        <v>45810</v>
      </c>
      <c r="D11103" t="inlineStr">
        <is>
          <t>VÄRMLANDS LÄN</t>
        </is>
      </c>
      <c r="E11103" t="inlineStr">
        <is>
          <t>ÅRJÄNG</t>
        </is>
      </c>
      <c r="G11103" t="n">
        <v>1.1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38104-2023</t>
        </is>
      </c>
      <c r="B11104" s="1" t="n">
        <v>45161</v>
      </c>
      <c r="C11104" s="1" t="n">
        <v>45810</v>
      </c>
      <c r="D11104" t="inlineStr">
        <is>
          <t>VÄRMLANDS LÄN</t>
        </is>
      </c>
      <c r="E11104" t="inlineStr">
        <is>
          <t>EDA</t>
        </is>
      </c>
      <c r="G11104" t="n">
        <v>0.6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38108-2023</t>
        </is>
      </c>
      <c r="B11105" s="1" t="n">
        <v>45161</v>
      </c>
      <c r="C11105" s="1" t="n">
        <v>45810</v>
      </c>
      <c r="D11105" t="inlineStr">
        <is>
          <t>VÄRMLANDS LÄN</t>
        </is>
      </c>
      <c r="E11105" t="inlineStr">
        <is>
          <t>EDA</t>
        </is>
      </c>
      <c r="G11105" t="n">
        <v>5.1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38163-2023</t>
        </is>
      </c>
      <c r="B11106" s="1" t="n">
        <v>45161</v>
      </c>
      <c r="C11106" s="1" t="n">
        <v>45810</v>
      </c>
      <c r="D11106" t="inlineStr">
        <is>
          <t>VÄRMLANDS LÄN</t>
        </is>
      </c>
      <c r="E11106" t="inlineStr">
        <is>
          <t>SUNNE</t>
        </is>
      </c>
      <c r="G11106" t="n">
        <v>2.7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38252-2023</t>
        </is>
      </c>
      <c r="B11107" s="1" t="n">
        <v>45161</v>
      </c>
      <c r="C11107" s="1" t="n">
        <v>45810</v>
      </c>
      <c r="D11107" t="inlineStr">
        <is>
          <t>VÄRMLANDS LÄN</t>
        </is>
      </c>
      <c r="E11107" t="inlineStr">
        <is>
          <t>TORSBY</t>
        </is>
      </c>
      <c r="G11107" t="n">
        <v>9.6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38232-2023</t>
        </is>
      </c>
      <c r="B11108" s="1" t="n">
        <v>45161</v>
      </c>
      <c r="C11108" s="1" t="n">
        <v>45810</v>
      </c>
      <c r="D11108" t="inlineStr">
        <is>
          <t>VÄRMLANDS LÄN</t>
        </is>
      </c>
      <c r="E11108" t="inlineStr">
        <is>
          <t>TORSBY</t>
        </is>
      </c>
      <c r="G11108" t="n">
        <v>0.6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38257-2023</t>
        </is>
      </c>
      <c r="B11109" s="1" t="n">
        <v>45161</v>
      </c>
      <c r="C11109" s="1" t="n">
        <v>45810</v>
      </c>
      <c r="D11109" t="inlineStr">
        <is>
          <t>VÄRMLANDS LÄN</t>
        </is>
      </c>
      <c r="E11109" t="inlineStr">
        <is>
          <t>TORSBY</t>
        </is>
      </c>
      <c r="G11109" t="n">
        <v>1.3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38318-2023</t>
        </is>
      </c>
      <c r="B11110" s="1" t="n">
        <v>45161</v>
      </c>
      <c r="C11110" s="1" t="n">
        <v>45810</v>
      </c>
      <c r="D11110" t="inlineStr">
        <is>
          <t>VÄRMLANDS LÄN</t>
        </is>
      </c>
      <c r="E11110" t="inlineStr">
        <is>
          <t>KRISTINEHAMN</t>
        </is>
      </c>
      <c r="G11110" t="n">
        <v>0.9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38317-2023</t>
        </is>
      </c>
      <c r="B11111" s="1" t="n">
        <v>45161</v>
      </c>
      <c r="C11111" s="1" t="n">
        <v>45810</v>
      </c>
      <c r="D11111" t="inlineStr">
        <is>
          <t>VÄRMLANDS LÄN</t>
        </is>
      </c>
      <c r="E11111" t="inlineStr">
        <is>
          <t>KARLSTAD</t>
        </is>
      </c>
      <c r="G11111" t="n">
        <v>2.5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38106-2023</t>
        </is>
      </c>
      <c r="B11112" s="1" t="n">
        <v>45161</v>
      </c>
      <c r="C11112" s="1" t="n">
        <v>45810</v>
      </c>
      <c r="D11112" t="inlineStr">
        <is>
          <t>VÄRMLANDS LÄN</t>
        </is>
      </c>
      <c r="E11112" t="inlineStr">
        <is>
          <t>ARVIKA</t>
        </is>
      </c>
      <c r="G11112" t="n">
        <v>4.6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38110-2023</t>
        </is>
      </c>
      <c r="B11113" s="1" t="n">
        <v>45161</v>
      </c>
      <c r="C11113" s="1" t="n">
        <v>45810</v>
      </c>
      <c r="D11113" t="inlineStr">
        <is>
          <t>VÄRMLANDS LÄN</t>
        </is>
      </c>
      <c r="E11113" t="inlineStr">
        <is>
          <t>EDA</t>
        </is>
      </c>
      <c r="G11113" t="n">
        <v>2.2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38169-2023</t>
        </is>
      </c>
      <c r="B11114" s="1" t="n">
        <v>45161</v>
      </c>
      <c r="C11114" s="1" t="n">
        <v>45810</v>
      </c>
      <c r="D11114" t="inlineStr">
        <is>
          <t>VÄRMLANDS LÄN</t>
        </is>
      </c>
      <c r="E11114" t="inlineStr">
        <is>
          <t>SUNNE</t>
        </is>
      </c>
      <c r="G11114" t="n">
        <v>2.3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38210-2023</t>
        </is>
      </c>
      <c r="B11115" s="1" t="n">
        <v>45161</v>
      </c>
      <c r="C11115" s="1" t="n">
        <v>45810</v>
      </c>
      <c r="D11115" t="inlineStr">
        <is>
          <t>VÄRMLANDS LÄN</t>
        </is>
      </c>
      <c r="E11115" t="inlineStr">
        <is>
          <t>EDA</t>
        </is>
      </c>
      <c r="G11115" t="n">
        <v>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38218-2023</t>
        </is>
      </c>
      <c r="B11116" s="1" t="n">
        <v>45161</v>
      </c>
      <c r="C11116" s="1" t="n">
        <v>45810</v>
      </c>
      <c r="D11116" t="inlineStr">
        <is>
          <t>VÄRMLANDS LÄN</t>
        </is>
      </c>
      <c r="E11116" t="inlineStr">
        <is>
          <t>SÄFFLE</t>
        </is>
      </c>
      <c r="G11116" t="n">
        <v>1.7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38263-2023</t>
        </is>
      </c>
      <c r="B11117" s="1" t="n">
        <v>45161</v>
      </c>
      <c r="C11117" s="1" t="n">
        <v>45810</v>
      </c>
      <c r="D11117" t="inlineStr">
        <is>
          <t>VÄRMLANDS LÄN</t>
        </is>
      </c>
      <c r="E11117" t="inlineStr">
        <is>
          <t>TORSBY</t>
        </is>
      </c>
      <c r="F11117" t="inlineStr">
        <is>
          <t>Kyrkan</t>
        </is>
      </c>
      <c r="G11117" t="n">
        <v>1.6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38316-2023</t>
        </is>
      </c>
      <c r="B11118" s="1" t="n">
        <v>45161</v>
      </c>
      <c r="C11118" s="1" t="n">
        <v>45810</v>
      </c>
      <c r="D11118" t="inlineStr">
        <is>
          <t>VÄRMLANDS LÄN</t>
        </is>
      </c>
      <c r="E11118" t="inlineStr">
        <is>
          <t>KARLSTAD</t>
        </is>
      </c>
      <c r="G11118" t="n">
        <v>1.7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38125-2023</t>
        </is>
      </c>
      <c r="B11119" s="1" t="n">
        <v>45161</v>
      </c>
      <c r="C11119" s="1" t="n">
        <v>45810</v>
      </c>
      <c r="D11119" t="inlineStr">
        <is>
          <t>VÄRMLANDS LÄN</t>
        </is>
      </c>
      <c r="E11119" t="inlineStr">
        <is>
          <t>EDA</t>
        </is>
      </c>
      <c r="G11119" t="n">
        <v>4.4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38160-2023</t>
        </is>
      </c>
      <c r="B11120" s="1" t="n">
        <v>45161</v>
      </c>
      <c r="C11120" s="1" t="n">
        <v>45810</v>
      </c>
      <c r="D11120" t="inlineStr">
        <is>
          <t>VÄRMLANDS LÄN</t>
        </is>
      </c>
      <c r="E11120" t="inlineStr">
        <is>
          <t>ÅRJÄNG</t>
        </is>
      </c>
      <c r="G11120" t="n">
        <v>3.1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38205-2023</t>
        </is>
      </c>
      <c r="B11121" s="1" t="n">
        <v>45161</v>
      </c>
      <c r="C11121" s="1" t="n">
        <v>45810</v>
      </c>
      <c r="D11121" t="inlineStr">
        <is>
          <t>VÄRMLANDS LÄN</t>
        </is>
      </c>
      <c r="E11121" t="inlineStr">
        <is>
          <t>HAGFORS</t>
        </is>
      </c>
      <c r="F11121" t="inlineStr">
        <is>
          <t>Bergvik skog väst AB</t>
        </is>
      </c>
      <c r="G11121" t="n">
        <v>6.3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38213-2023</t>
        </is>
      </c>
      <c r="B11122" s="1" t="n">
        <v>45161</v>
      </c>
      <c r="C11122" s="1" t="n">
        <v>45810</v>
      </c>
      <c r="D11122" t="inlineStr">
        <is>
          <t>VÄRMLANDS LÄN</t>
        </is>
      </c>
      <c r="E11122" t="inlineStr">
        <is>
          <t>SÄFFLE</t>
        </is>
      </c>
      <c r="G11122" t="n">
        <v>5.8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38286-2023</t>
        </is>
      </c>
      <c r="B11123" s="1" t="n">
        <v>45161</v>
      </c>
      <c r="C11123" s="1" t="n">
        <v>45810</v>
      </c>
      <c r="D11123" t="inlineStr">
        <is>
          <t>VÄRMLANDS LÄN</t>
        </is>
      </c>
      <c r="E11123" t="inlineStr">
        <is>
          <t>TORSBY</t>
        </is>
      </c>
      <c r="F11123" t="inlineStr">
        <is>
          <t>Kyrkan</t>
        </is>
      </c>
      <c r="G11123" t="n">
        <v>6.5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38319-2023</t>
        </is>
      </c>
      <c r="B11124" s="1" t="n">
        <v>45161</v>
      </c>
      <c r="C11124" s="1" t="n">
        <v>45810</v>
      </c>
      <c r="D11124" t="inlineStr">
        <is>
          <t>VÄRMLANDS LÄN</t>
        </is>
      </c>
      <c r="E11124" t="inlineStr">
        <is>
          <t>KARLSTAD</t>
        </is>
      </c>
      <c r="G11124" t="n">
        <v>3.5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38567-2023</t>
        </is>
      </c>
      <c r="B11125" s="1" t="n">
        <v>45161</v>
      </c>
      <c r="C11125" s="1" t="n">
        <v>45810</v>
      </c>
      <c r="D11125" t="inlineStr">
        <is>
          <t>VÄRMLANDS LÄN</t>
        </is>
      </c>
      <c r="E11125" t="inlineStr">
        <is>
          <t>ARVIKA</t>
        </is>
      </c>
      <c r="G11125" t="n">
        <v>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38435-2023</t>
        </is>
      </c>
      <c r="B11126" s="1" t="n">
        <v>45162</v>
      </c>
      <c r="C11126" s="1" t="n">
        <v>45810</v>
      </c>
      <c r="D11126" t="inlineStr">
        <is>
          <t>VÄRMLANDS LÄN</t>
        </is>
      </c>
      <c r="E11126" t="inlineStr">
        <is>
          <t>SUNNE</t>
        </is>
      </c>
      <c r="G11126" t="n">
        <v>3.1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39008-2023</t>
        </is>
      </c>
      <c r="B11127" s="1" t="n">
        <v>45162</v>
      </c>
      <c r="C11127" s="1" t="n">
        <v>45810</v>
      </c>
      <c r="D11127" t="inlineStr">
        <is>
          <t>VÄRMLANDS LÄN</t>
        </is>
      </c>
      <c r="E11127" t="inlineStr">
        <is>
          <t>ÅRJÄNG</t>
        </is>
      </c>
      <c r="G11127" t="n">
        <v>5.1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38575-2023</t>
        </is>
      </c>
      <c r="B11128" s="1" t="n">
        <v>45162</v>
      </c>
      <c r="C11128" s="1" t="n">
        <v>45810</v>
      </c>
      <c r="D11128" t="inlineStr">
        <is>
          <t>VÄRMLANDS LÄN</t>
        </is>
      </c>
      <c r="E11128" t="inlineStr">
        <is>
          <t>FORSHAGA</t>
        </is>
      </c>
      <c r="F11128" t="inlineStr">
        <is>
          <t>Kommuner</t>
        </is>
      </c>
      <c r="G11128" t="n">
        <v>4.9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38463-2023</t>
        </is>
      </c>
      <c r="B11129" s="1" t="n">
        <v>45162</v>
      </c>
      <c r="C11129" s="1" t="n">
        <v>45810</v>
      </c>
      <c r="D11129" t="inlineStr">
        <is>
          <t>VÄRMLANDS LÄN</t>
        </is>
      </c>
      <c r="E11129" t="inlineStr">
        <is>
          <t>FILIPSTAD</t>
        </is>
      </c>
      <c r="G11129" t="n">
        <v>4.6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38478-2023</t>
        </is>
      </c>
      <c r="B11130" s="1" t="n">
        <v>45162</v>
      </c>
      <c r="C11130" s="1" t="n">
        <v>45810</v>
      </c>
      <c r="D11130" t="inlineStr">
        <is>
          <t>VÄRMLANDS LÄN</t>
        </is>
      </c>
      <c r="E11130" t="inlineStr">
        <is>
          <t>ARVIKA</t>
        </is>
      </c>
      <c r="G11130" t="n">
        <v>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38405-2023</t>
        </is>
      </c>
      <c r="B11131" s="1" t="n">
        <v>45162</v>
      </c>
      <c r="C11131" s="1" t="n">
        <v>45810</v>
      </c>
      <c r="D11131" t="inlineStr">
        <is>
          <t>VÄRMLANDS LÄN</t>
        </is>
      </c>
      <c r="E11131" t="inlineStr">
        <is>
          <t>EDA</t>
        </is>
      </c>
      <c r="G11131" t="n">
        <v>0.9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38416-2023</t>
        </is>
      </c>
      <c r="B11132" s="1" t="n">
        <v>45162</v>
      </c>
      <c r="C11132" s="1" t="n">
        <v>45810</v>
      </c>
      <c r="D11132" t="inlineStr">
        <is>
          <t>VÄRMLANDS LÄN</t>
        </is>
      </c>
      <c r="E11132" t="inlineStr">
        <is>
          <t>KRISTINEHAMN</t>
        </is>
      </c>
      <c r="G11132" t="n">
        <v>0.9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38523-2023</t>
        </is>
      </c>
      <c r="B11133" s="1" t="n">
        <v>45162</v>
      </c>
      <c r="C11133" s="1" t="n">
        <v>45810</v>
      </c>
      <c r="D11133" t="inlineStr">
        <is>
          <t>VÄRMLANDS LÄN</t>
        </is>
      </c>
      <c r="E11133" t="inlineStr">
        <is>
          <t>GRUMS</t>
        </is>
      </c>
      <c r="G11133" t="n">
        <v>1.8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38536-2023</t>
        </is>
      </c>
      <c r="B11134" s="1" t="n">
        <v>45162</v>
      </c>
      <c r="C11134" s="1" t="n">
        <v>45810</v>
      </c>
      <c r="D11134" t="inlineStr">
        <is>
          <t>VÄRMLANDS LÄN</t>
        </is>
      </c>
      <c r="E11134" t="inlineStr">
        <is>
          <t>ARVIKA</t>
        </is>
      </c>
      <c r="G11134" t="n">
        <v>1.3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38541-2023</t>
        </is>
      </c>
      <c r="B11135" s="1" t="n">
        <v>45162</v>
      </c>
      <c r="C11135" s="1" t="n">
        <v>45810</v>
      </c>
      <c r="D11135" t="inlineStr">
        <is>
          <t>VÄRMLANDS LÄN</t>
        </is>
      </c>
      <c r="E11135" t="inlineStr">
        <is>
          <t>TORSBY</t>
        </is>
      </c>
      <c r="G11135" t="n">
        <v>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38531-2023</t>
        </is>
      </c>
      <c r="B11136" s="1" t="n">
        <v>45162</v>
      </c>
      <c r="C11136" s="1" t="n">
        <v>45810</v>
      </c>
      <c r="D11136" t="inlineStr">
        <is>
          <t>VÄRMLANDS LÄN</t>
        </is>
      </c>
      <c r="E11136" t="inlineStr">
        <is>
          <t>ARVIKA</t>
        </is>
      </c>
      <c r="G11136" t="n">
        <v>2.3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38555-2023</t>
        </is>
      </c>
      <c r="B11137" s="1" t="n">
        <v>45162</v>
      </c>
      <c r="C11137" s="1" t="n">
        <v>45810</v>
      </c>
      <c r="D11137" t="inlineStr">
        <is>
          <t>VÄRMLANDS LÄN</t>
        </is>
      </c>
      <c r="E11137" t="inlineStr">
        <is>
          <t>HAGFORS</t>
        </is>
      </c>
      <c r="G11137" t="n">
        <v>1.6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38612-2023</t>
        </is>
      </c>
      <c r="B11138" s="1" t="n">
        <v>45162</v>
      </c>
      <c r="C11138" s="1" t="n">
        <v>45810</v>
      </c>
      <c r="D11138" t="inlineStr">
        <is>
          <t>VÄRMLANDS LÄN</t>
        </is>
      </c>
      <c r="E11138" t="inlineStr">
        <is>
          <t>HAGFORS</t>
        </is>
      </c>
      <c r="G11138" t="n">
        <v>2.9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38622-2023</t>
        </is>
      </c>
      <c r="B11139" s="1" t="n">
        <v>45162</v>
      </c>
      <c r="C11139" s="1" t="n">
        <v>45810</v>
      </c>
      <c r="D11139" t="inlineStr">
        <is>
          <t>VÄRMLANDS LÄN</t>
        </is>
      </c>
      <c r="E11139" t="inlineStr">
        <is>
          <t>EDA</t>
        </is>
      </c>
      <c r="G11139" t="n">
        <v>3.4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38641-2023</t>
        </is>
      </c>
      <c r="B11140" s="1" t="n">
        <v>45162</v>
      </c>
      <c r="C11140" s="1" t="n">
        <v>45810</v>
      </c>
      <c r="D11140" t="inlineStr">
        <is>
          <t>VÄRMLANDS LÄN</t>
        </is>
      </c>
      <c r="E11140" t="inlineStr">
        <is>
          <t>TORSBY</t>
        </is>
      </c>
      <c r="G11140" t="n">
        <v>4.9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38637-2023</t>
        </is>
      </c>
      <c r="B11141" s="1" t="n">
        <v>45162</v>
      </c>
      <c r="C11141" s="1" t="n">
        <v>45810</v>
      </c>
      <c r="D11141" t="inlineStr">
        <is>
          <t>VÄRMLANDS LÄN</t>
        </is>
      </c>
      <c r="E11141" t="inlineStr">
        <is>
          <t>TORSBY</t>
        </is>
      </c>
      <c r="G11141" t="n">
        <v>1.8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38668-2023</t>
        </is>
      </c>
      <c r="B11142" s="1" t="n">
        <v>45162</v>
      </c>
      <c r="C11142" s="1" t="n">
        <v>45810</v>
      </c>
      <c r="D11142" t="inlineStr">
        <is>
          <t>VÄRMLANDS LÄN</t>
        </is>
      </c>
      <c r="E11142" t="inlineStr">
        <is>
          <t>TORSBY</t>
        </is>
      </c>
      <c r="G11142" t="n">
        <v>1.8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38616-2023</t>
        </is>
      </c>
      <c r="B11143" s="1" t="n">
        <v>45162</v>
      </c>
      <c r="C11143" s="1" t="n">
        <v>45810</v>
      </c>
      <c r="D11143" t="inlineStr">
        <is>
          <t>VÄRMLANDS LÄN</t>
        </is>
      </c>
      <c r="E11143" t="inlineStr">
        <is>
          <t>EDA</t>
        </is>
      </c>
      <c r="G11143" t="n">
        <v>5.5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38621-2023</t>
        </is>
      </c>
      <c r="B11144" s="1" t="n">
        <v>45162</v>
      </c>
      <c r="C11144" s="1" t="n">
        <v>45810</v>
      </c>
      <c r="D11144" t="inlineStr">
        <is>
          <t>VÄRMLANDS LÄN</t>
        </is>
      </c>
      <c r="E11144" t="inlineStr">
        <is>
          <t>SÄFFLE</t>
        </is>
      </c>
      <c r="G11144" t="n">
        <v>2.5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38840-2023</t>
        </is>
      </c>
      <c r="B11145" s="1" t="n">
        <v>45163</v>
      </c>
      <c r="C11145" s="1" t="n">
        <v>45810</v>
      </c>
      <c r="D11145" t="inlineStr">
        <is>
          <t>VÄRMLANDS LÄN</t>
        </is>
      </c>
      <c r="E11145" t="inlineStr">
        <is>
          <t>ÅRJÄNG</t>
        </is>
      </c>
      <c r="G11145" t="n">
        <v>2.4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38883-2023</t>
        </is>
      </c>
      <c r="B11146" s="1" t="n">
        <v>45163</v>
      </c>
      <c r="C11146" s="1" t="n">
        <v>45810</v>
      </c>
      <c r="D11146" t="inlineStr">
        <is>
          <t>VÄRMLANDS LÄN</t>
        </is>
      </c>
      <c r="E11146" t="inlineStr">
        <is>
          <t>KARLSTAD</t>
        </is>
      </c>
      <c r="G11146" t="n">
        <v>2.9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38908-2023</t>
        </is>
      </c>
      <c r="B11147" s="1" t="n">
        <v>45163</v>
      </c>
      <c r="C11147" s="1" t="n">
        <v>45810</v>
      </c>
      <c r="D11147" t="inlineStr">
        <is>
          <t>VÄRMLANDS LÄN</t>
        </is>
      </c>
      <c r="E11147" t="inlineStr">
        <is>
          <t>ARVIKA</t>
        </is>
      </c>
      <c r="F11147" t="inlineStr">
        <is>
          <t>Bergvik skog väst AB</t>
        </is>
      </c>
      <c r="G11147" t="n">
        <v>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38926-2023</t>
        </is>
      </c>
      <c r="B11148" s="1" t="n">
        <v>45163</v>
      </c>
      <c r="C11148" s="1" t="n">
        <v>45810</v>
      </c>
      <c r="D11148" t="inlineStr">
        <is>
          <t>VÄRMLANDS LÄN</t>
        </is>
      </c>
      <c r="E11148" t="inlineStr">
        <is>
          <t>ÅRJÄNG</t>
        </is>
      </c>
      <c r="G11148" t="n">
        <v>2.2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39025-2023</t>
        </is>
      </c>
      <c r="B11149" s="1" t="n">
        <v>45163</v>
      </c>
      <c r="C11149" s="1" t="n">
        <v>45810</v>
      </c>
      <c r="D11149" t="inlineStr">
        <is>
          <t>VÄRMLANDS LÄN</t>
        </is>
      </c>
      <c r="E11149" t="inlineStr">
        <is>
          <t>STORFORS</t>
        </is>
      </c>
      <c r="F11149" t="inlineStr">
        <is>
          <t>Kyrkan</t>
        </is>
      </c>
      <c r="G11149" t="n">
        <v>1.2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39408-2023</t>
        </is>
      </c>
      <c r="B11150" s="1" t="n">
        <v>45163</v>
      </c>
      <c r="C11150" s="1" t="n">
        <v>45810</v>
      </c>
      <c r="D11150" t="inlineStr">
        <is>
          <t>VÄRMLANDS LÄN</t>
        </is>
      </c>
      <c r="E11150" t="inlineStr">
        <is>
          <t>TORSBY</t>
        </is>
      </c>
      <c r="G11150" t="n">
        <v>7.4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38876-2023</t>
        </is>
      </c>
      <c r="B11151" s="1" t="n">
        <v>45163</v>
      </c>
      <c r="C11151" s="1" t="n">
        <v>45810</v>
      </c>
      <c r="D11151" t="inlineStr">
        <is>
          <t>VÄRMLANDS LÄN</t>
        </is>
      </c>
      <c r="E11151" t="inlineStr">
        <is>
          <t>HAGFORS</t>
        </is>
      </c>
      <c r="F11151" t="inlineStr">
        <is>
          <t>Bergvik skog väst AB</t>
        </is>
      </c>
      <c r="G11151" t="n">
        <v>14.6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38923-2023</t>
        </is>
      </c>
      <c r="B11152" s="1" t="n">
        <v>45163</v>
      </c>
      <c r="C11152" s="1" t="n">
        <v>45810</v>
      </c>
      <c r="D11152" t="inlineStr">
        <is>
          <t>VÄRMLANDS LÄN</t>
        </is>
      </c>
      <c r="E11152" t="inlineStr">
        <is>
          <t>HAGFORS</t>
        </is>
      </c>
      <c r="F11152" t="inlineStr">
        <is>
          <t>Bergvik skog väst AB</t>
        </is>
      </c>
      <c r="G11152" t="n">
        <v>6.8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38991-2023</t>
        </is>
      </c>
      <c r="B11153" s="1" t="n">
        <v>45163</v>
      </c>
      <c r="C11153" s="1" t="n">
        <v>45810</v>
      </c>
      <c r="D11153" t="inlineStr">
        <is>
          <t>VÄRMLANDS LÄN</t>
        </is>
      </c>
      <c r="E11153" t="inlineStr">
        <is>
          <t>TORSBY</t>
        </is>
      </c>
      <c r="G11153" t="n">
        <v>2.4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38982-2023</t>
        </is>
      </c>
      <c r="B11154" s="1" t="n">
        <v>45163</v>
      </c>
      <c r="C11154" s="1" t="n">
        <v>45810</v>
      </c>
      <c r="D11154" t="inlineStr">
        <is>
          <t>VÄRMLANDS LÄN</t>
        </is>
      </c>
      <c r="E11154" t="inlineStr">
        <is>
          <t>HAGFORS</t>
        </is>
      </c>
      <c r="G11154" t="n">
        <v>2.5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38722-2023</t>
        </is>
      </c>
      <c r="B11155" s="1" t="n">
        <v>45163</v>
      </c>
      <c r="C11155" s="1" t="n">
        <v>45810</v>
      </c>
      <c r="D11155" t="inlineStr">
        <is>
          <t>VÄRMLANDS LÄN</t>
        </is>
      </c>
      <c r="E11155" t="inlineStr">
        <is>
          <t>TORSBY</t>
        </is>
      </c>
      <c r="G11155" t="n">
        <v>1.9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38707-2023</t>
        </is>
      </c>
      <c r="B11156" s="1" t="n">
        <v>45163</v>
      </c>
      <c r="C11156" s="1" t="n">
        <v>45810</v>
      </c>
      <c r="D11156" t="inlineStr">
        <is>
          <t>VÄRMLANDS LÄN</t>
        </is>
      </c>
      <c r="E11156" t="inlineStr">
        <is>
          <t>ÅRJÄNG</t>
        </is>
      </c>
      <c r="G11156" t="n">
        <v>2.8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38933-2023</t>
        </is>
      </c>
      <c r="B11157" s="1" t="n">
        <v>45163</v>
      </c>
      <c r="C11157" s="1" t="n">
        <v>45810</v>
      </c>
      <c r="D11157" t="inlineStr">
        <is>
          <t>VÄRMLANDS LÄN</t>
        </is>
      </c>
      <c r="E11157" t="inlineStr">
        <is>
          <t>KARLSTAD</t>
        </is>
      </c>
      <c r="G11157" t="n">
        <v>1.2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38979-2023</t>
        </is>
      </c>
      <c r="B11158" s="1" t="n">
        <v>45163</v>
      </c>
      <c r="C11158" s="1" t="n">
        <v>45810</v>
      </c>
      <c r="D11158" t="inlineStr">
        <is>
          <t>VÄRMLANDS LÄN</t>
        </is>
      </c>
      <c r="E11158" t="inlineStr">
        <is>
          <t>TORSBY</t>
        </is>
      </c>
      <c r="G11158" t="n">
        <v>2.3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38756-2023</t>
        </is>
      </c>
      <c r="B11159" s="1" t="n">
        <v>45163</v>
      </c>
      <c r="C11159" s="1" t="n">
        <v>45810</v>
      </c>
      <c r="D11159" t="inlineStr">
        <is>
          <t>VÄRMLANDS LÄN</t>
        </is>
      </c>
      <c r="E11159" t="inlineStr">
        <is>
          <t>KIL</t>
        </is>
      </c>
      <c r="G11159" t="n">
        <v>4.2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38760-2023</t>
        </is>
      </c>
      <c r="B11160" s="1" t="n">
        <v>45163</v>
      </c>
      <c r="C11160" s="1" t="n">
        <v>45810</v>
      </c>
      <c r="D11160" t="inlineStr">
        <is>
          <t>VÄRMLANDS LÄN</t>
        </is>
      </c>
      <c r="E11160" t="inlineStr">
        <is>
          <t>KIL</t>
        </is>
      </c>
      <c r="G11160" t="n">
        <v>0.6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39597-2023</t>
        </is>
      </c>
      <c r="B11161" s="1" t="n">
        <v>45163</v>
      </c>
      <c r="C11161" s="1" t="n">
        <v>45810</v>
      </c>
      <c r="D11161" t="inlineStr">
        <is>
          <t>VÄRMLANDS LÄN</t>
        </is>
      </c>
      <c r="E11161" t="inlineStr">
        <is>
          <t>ARVIKA</t>
        </is>
      </c>
      <c r="G11161" t="n">
        <v>1.8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39601-2023</t>
        </is>
      </c>
      <c r="B11162" s="1" t="n">
        <v>45163</v>
      </c>
      <c r="C11162" s="1" t="n">
        <v>45810</v>
      </c>
      <c r="D11162" t="inlineStr">
        <is>
          <t>VÄRMLANDS LÄN</t>
        </is>
      </c>
      <c r="E11162" t="inlineStr">
        <is>
          <t>ARVIKA</t>
        </is>
      </c>
      <c r="G11162" t="n">
        <v>1.9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39096-2023</t>
        </is>
      </c>
      <c r="B11163" s="1" t="n">
        <v>45164</v>
      </c>
      <c r="C11163" s="1" t="n">
        <v>45810</v>
      </c>
      <c r="D11163" t="inlineStr">
        <is>
          <t>VÄRMLANDS LÄN</t>
        </is>
      </c>
      <c r="E11163" t="inlineStr">
        <is>
          <t>ÅRJÄNG</t>
        </is>
      </c>
      <c r="G11163" t="n">
        <v>5.1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39106-2023</t>
        </is>
      </c>
      <c r="B11164" s="1" t="n">
        <v>45164</v>
      </c>
      <c r="C11164" s="1" t="n">
        <v>45810</v>
      </c>
      <c r="D11164" t="inlineStr">
        <is>
          <t>VÄRMLANDS LÄN</t>
        </is>
      </c>
      <c r="E11164" t="inlineStr">
        <is>
          <t>KARLSTAD</t>
        </is>
      </c>
      <c r="G11164" t="n">
        <v>15.4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39086-2023</t>
        </is>
      </c>
      <c r="B11165" s="1" t="n">
        <v>45164</v>
      </c>
      <c r="C11165" s="1" t="n">
        <v>45810</v>
      </c>
      <c r="D11165" t="inlineStr">
        <is>
          <t>VÄRMLANDS LÄN</t>
        </is>
      </c>
      <c r="E11165" t="inlineStr">
        <is>
          <t>ARVIKA</t>
        </is>
      </c>
      <c r="G11165" t="n">
        <v>1.2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39090-2023</t>
        </is>
      </c>
      <c r="B11166" s="1" t="n">
        <v>45164</v>
      </c>
      <c r="C11166" s="1" t="n">
        <v>45810</v>
      </c>
      <c r="D11166" t="inlineStr">
        <is>
          <t>VÄRMLANDS LÄN</t>
        </is>
      </c>
      <c r="E11166" t="inlineStr">
        <is>
          <t>SÄFFLE</t>
        </is>
      </c>
      <c r="G11166" t="n">
        <v>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39098-2023</t>
        </is>
      </c>
      <c r="B11167" s="1" t="n">
        <v>45164</v>
      </c>
      <c r="C11167" s="1" t="n">
        <v>45810</v>
      </c>
      <c r="D11167" t="inlineStr">
        <is>
          <t>VÄRMLANDS LÄN</t>
        </is>
      </c>
      <c r="E11167" t="inlineStr">
        <is>
          <t>SUNNE</t>
        </is>
      </c>
      <c r="G11167" t="n">
        <v>1.5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39128-2023</t>
        </is>
      </c>
      <c r="B11168" s="1" t="n">
        <v>45165</v>
      </c>
      <c r="C11168" s="1" t="n">
        <v>45810</v>
      </c>
      <c r="D11168" t="inlineStr">
        <is>
          <t>VÄRMLANDS LÄN</t>
        </is>
      </c>
      <c r="E11168" t="inlineStr">
        <is>
          <t>SUNNE</t>
        </is>
      </c>
      <c r="G11168" t="n">
        <v>3.6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39140-2023</t>
        </is>
      </c>
      <c r="B11169" s="1" t="n">
        <v>45165</v>
      </c>
      <c r="C11169" s="1" t="n">
        <v>45810</v>
      </c>
      <c r="D11169" t="inlineStr">
        <is>
          <t>VÄRMLANDS LÄN</t>
        </is>
      </c>
      <c r="E11169" t="inlineStr">
        <is>
          <t>ARVIKA</t>
        </is>
      </c>
      <c r="G11169" t="n">
        <v>2.9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39131-2023</t>
        </is>
      </c>
      <c r="B11170" s="1" t="n">
        <v>45165</v>
      </c>
      <c r="C11170" s="1" t="n">
        <v>45810</v>
      </c>
      <c r="D11170" t="inlineStr">
        <is>
          <t>VÄRMLANDS LÄN</t>
        </is>
      </c>
      <c r="E11170" t="inlineStr">
        <is>
          <t>TORSBY</t>
        </is>
      </c>
      <c r="G11170" t="n">
        <v>0.8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39134-2023</t>
        </is>
      </c>
      <c r="B11171" s="1" t="n">
        <v>45165</v>
      </c>
      <c r="C11171" s="1" t="n">
        <v>45810</v>
      </c>
      <c r="D11171" t="inlineStr">
        <is>
          <t>VÄRMLANDS LÄN</t>
        </is>
      </c>
      <c r="E11171" t="inlineStr">
        <is>
          <t>TORSBY</t>
        </is>
      </c>
      <c r="G11171" t="n">
        <v>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39203-2023</t>
        </is>
      </c>
      <c r="B11172" s="1" t="n">
        <v>45166</v>
      </c>
      <c r="C11172" s="1" t="n">
        <v>45810</v>
      </c>
      <c r="D11172" t="inlineStr">
        <is>
          <t>VÄRMLANDS LÄN</t>
        </is>
      </c>
      <c r="E11172" t="inlineStr">
        <is>
          <t>FORSHAGA</t>
        </is>
      </c>
      <c r="F11172" t="inlineStr">
        <is>
          <t>Kommuner</t>
        </is>
      </c>
      <c r="G11172" t="n">
        <v>3.3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39213-2023</t>
        </is>
      </c>
      <c r="B11173" s="1" t="n">
        <v>45166</v>
      </c>
      <c r="C11173" s="1" t="n">
        <v>45810</v>
      </c>
      <c r="D11173" t="inlineStr">
        <is>
          <t>VÄRMLANDS LÄN</t>
        </is>
      </c>
      <c r="E11173" t="inlineStr">
        <is>
          <t>FORSHAGA</t>
        </is>
      </c>
      <c r="F11173" t="inlineStr">
        <is>
          <t>Kommuner</t>
        </is>
      </c>
      <c r="G11173" t="n">
        <v>2.4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39172-2023</t>
        </is>
      </c>
      <c r="B11174" s="1" t="n">
        <v>45166</v>
      </c>
      <c r="C11174" s="1" t="n">
        <v>45810</v>
      </c>
      <c r="D11174" t="inlineStr">
        <is>
          <t>VÄRMLANDS LÄN</t>
        </is>
      </c>
      <c r="E11174" t="inlineStr">
        <is>
          <t>EDA</t>
        </is>
      </c>
      <c r="G11174" t="n">
        <v>1.1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39201-2023</t>
        </is>
      </c>
      <c r="B11175" s="1" t="n">
        <v>45166</v>
      </c>
      <c r="C11175" s="1" t="n">
        <v>45810</v>
      </c>
      <c r="D11175" t="inlineStr">
        <is>
          <t>VÄRMLANDS LÄN</t>
        </is>
      </c>
      <c r="E11175" t="inlineStr">
        <is>
          <t>FORSHAGA</t>
        </is>
      </c>
      <c r="F11175" t="inlineStr">
        <is>
          <t>Kommuner</t>
        </is>
      </c>
      <c r="G11175" t="n">
        <v>3.2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39219-2023</t>
        </is>
      </c>
      <c r="B11176" s="1" t="n">
        <v>45166</v>
      </c>
      <c r="C11176" s="1" t="n">
        <v>45810</v>
      </c>
      <c r="D11176" t="inlineStr">
        <is>
          <t>VÄRMLANDS LÄN</t>
        </is>
      </c>
      <c r="E11176" t="inlineStr">
        <is>
          <t>ARVIKA</t>
        </is>
      </c>
      <c r="G11176" t="n">
        <v>1.4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39224-2023</t>
        </is>
      </c>
      <c r="B11177" s="1" t="n">
        <v>45166</v>
      </c>
      <c r="C11177" s="1" t="n">
        <v>45810</v>
      </c>
      <c r="D11177" t="inlineStr">
        <is>
          <t>VÄRMLANDS LÄN</t>
        </is>
      </c>
      <c r="E11177" t="inlineStr">
        <is>
          <t>SUNNE</t>
        </is>
      </c>
      <c r="F11177" t="inlineStr">
        <is>
          <t>Kyrkan</t>
        </is>
      </c>
      <c r="G11177" t="n">
        <v>0.6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39293-2023</t>
        </is>
      </c>
      <c r="B11178" s="1" t="n">
        <v>45166</v>
      </c>
      <c r="C11178" s="1" t="n">
        <v>45810</v>
      </c>
      <c r="D11178" t="inlineStr">
        <is>
          <t>VÄRMLANDS LÄN</t>
        </is>
      </c>
      <c r="E11178" t="inlineStr">
        <is>
          <t>HAGFORS</t>
        </is>
      </c>
      <c r="G11178" t="n">
        <v>1.3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39306-2023</t>
        </is>
      </c>
      <c r="B11179" s="1" t="n">
        <v>45166</v>
      </c>
      <c r="C11179" s="1" t="n">
        <v>45810</v>
      </c>
      <c r="D11179" t="inlineStr">
        <is>
          <t>VÄRMLANDS LÄN</t>
        </is>
      </c>
      <c r="E11179" t="inlineStr">
        <is>
          <t>ARVIKA</t>
        </is>
      </c>
      <c r="G11179" t="n">
        <v>2.7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39316-2023</t>
        </is>
      </c>
      <c r="B11180" s="1" t="n">
        <v>45166</v>
      </c>
      <c r="C11180" s="1" t="n">
        <v>45810</v>
      </c>
      <c r="D11180" t="inlineStr">
        <is>
          <t>VÄRMLANDS LÄN</t>
        </is>
      </c>
      <c r="E11180" t="inlineStr">
        <is>
          <t>SUNNE</t>
        </is>
      </c>
      <c r="G11180" t="n">
        <v>1.4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39178-2023</t>
        </is>
      </c>
      <c r="B11181" s="1" t="n">
        <v>45166</v>
      </c>
      <c r="C11181" s="1" t="n">
        <v>45810</v>
      </c>
      <c r="D11181" t="inlineStr">
        <is>
          <t>VÄRMLANDS LÄN</t>
        </is>
      </c>
      <c r="E11181" t="inlineStr">
        <is>
          <t>ÅRJÄNG</t>
        </is>
      </c>
      <c r="G11181" t="n">
        <v>2.1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39212-2023</t>
        </is>
      </c>
      <c r="B11182" s="1" t="n">
        <v>45166</v>
      </c>
      <c r="C11182" s="1" t="n">
        <v>45810</v>
      </c>
      <c r="D11182" t="inlineStr">
        <is>
          <t>VÄRMLANDS LÄN</t>
        </is>
      </c>
      <c r="E11182" t="inlineStr">
        <is>
          <t>ÅRJÄNG</t>
        </is>
      </c>
      <c r="G11182" t="n">
        <v>5.8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39390-2023</t>
        </is>
      </c>
      <c r="B11183" s="1" t="n">
        <v>45166</v>
      </c>
      <c r="C11183" s="1" t="n">
        <v>45810</v>
      </c>
      <c r="D11183" t="inlineStr">
        <is>
          <t>VÄRMLANDS LÄN</t>
        </is>
      </c>
      <c r="E11183" t="inlineStr">
        <is>
          <t>TORSBY</t>
        </is>
      </c>
      <c r="G11183" t="n">
        <v>9.800000000000001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39317-2023</t>
        </is>
      </c>
      <c r="B11184" s="1" t="n">
        <v>45166</v>
      </c>
      <c r="C11184" s="1" t="n">
        <v>45810</v>
      </c>
      <c r="D11184" t="inlineStr">
        <is>
          <t>VÄRMLANDS LÄN</t>
        </is>
      </c>
      <c r="E11184" t="inlineStr">
        <is>
          <t>ÅRJÄNG</t>
        </is>
      </c>
      <c r="G11184" t="n">
        <v>1.8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39339-2023</t>
        </is>
      </c>
      <c r="B11185" s="1" t="n">
        <v>45166</v>
      </c>
      <c r="C11185" s="1" t="n">
        <v>45810</v>
      </c>
      <c r="D11185" t="inlineStr">
        <is>
          <t>VÄRMLANDS LÄN</t>
        </is>
      </c>
      <c r="E11185" t="inlineStr">
        <is>
          <t>TORSBY</t>
        </is>
      </c>
      <c r="G11185" t="n">
        <v>5.5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39374-2023</t>
        </is>
      </c>
      <c r="B11186" s="1" t="n">
        <v>45166</v>
      </c>
      <c r="C11186" s="1" t="n">
        <v>45810</v>
      </c>
      <c r="D11186" t="inlineStr">
        <is>
          <t>VÄRMLANDS LÄN</t>
        </is>
      </c>
      <c r="E11186" t="inlineStr">
        <is>
          <t>TORSBY</t>
        </is>
      </c>
      <c r="G11186" t="n">
        <v>7.5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39434-2023</t>
        </is>
      </c>
      <c r="B11187" s="1" t="n">
        <v>45166</v>
      </c>
      <c r="C11187" s="1" t="n">
        <v>45810</v>
      </c>
      <c r="D11187" t="inlineStr">
        <is>
          <t>VÄRMLANDS LÄN</t>
        </is>
      </c>
      <c r="E11187" t="inlineStr">
        <is>
          <t>ÅRJÄNG</t>
        </is>
      </c>
      <c r="G11187" t="n">
        <v>0.3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39248-2023</t>
        </is>
      </c>
      <c r="B11188" s="1" t="n">
        <v>45166</v>
      </c>
      <c r="C11188" s="1" t="n">
        <v>45810</v>
      </c>
      <c r="D11188" t="inlineStr">
        <is>
          <t>VÄRMLANDS LÄN</t>
        </is>
      </c>
      <c r="E11188" t="inlineStr">
        <is>
          <t>KARLSTAD</t>
        </is>
      </c>
      <c r="G11188" t="n">
        <v>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39323-2023</t>
        </is>
      </c>
      <c r="B11189" s="1" t="n">
        <v>45166</v>
      </c>
      <c r="C11189" s="1" t="n">
        <v>45810</v>
      </c>
      <c r="D11189" t="inlineStr">
        <is>
          <t>VÄRMLANDS LÄN</t>
        </is>
      </c>
      <c r="E11189" t="inlineStr">
        <is>
          <t>ÅRJÄNG</t>
        </is>
      </c>
      <c r="F11189" t="inlineStr">
        <is>
          <t>Kyrkan</t>
        </is>
      </c>
      <c r="G11189" t="n">
        <v>7.8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39331-2023</t>
        </is>
      </c>
      <c r="B11190" s="1" t="n">
        <v>45166</v>
      </c>
      <c r="C11190" s="1" t="n">
        <v>45810</v>
      </c>
      <c r="D11190" t="inlineStr">
        <is>
          <t>VÄRMLANDS LÄN</t>
        </is>
      </c>
      <c r="E11190" t="inlineStr">
        <is>
          <t>ÅRJÄNG</t>
        </is>
      </c>
      <c r="F11190" t="inlineStr">
        <is>
          <t>Kyrkan</t>
        </is>
      </c>
      <c r="G11190" t="n">
        <v>1.1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39340-2023</t>
        </is>
      </c>
      <c r="B11191" s="1" t="n">
        <v>45166</v>
      </c>
      <c r="C11191" s="1" t="n">
        <v>45810</v>
      </c>
      <c r="D11191" t="inlineStr">
        <is>
          <t>VÄRMLANDS LÄN</t>
        </is>
      </c>
      <c r="E11191" t="inlineStr">
        <is>
          <t>EDA</t>
        </is>
      </c>
      <c r="G11191" t="n">
        <v>1.1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39358-2023</t>
        </is>
      </c>
      <c r="B11192" s="1" t="n">
        <v>45166</v>
      </c>
      <c r="C11192" s="1" t="n">
        <v>45810</v>
      </c>
      <c r="D11192" t="inlineStr">
        <is>
          <t>VÄRMLANDS LÄN</t>
        </is>
      </c>
      <c r="E11192" t="inlineStr">
        <is>
          <t>HAGFORS</t>
        </is>
      </c>
      <c r="G11192" t="n">
        <v>3.8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39396-2023</t>
        </is>
      </c>
      <c r="B11193" s="1" t="n">
        <v>45166</v>
      </c>
      <c r="C11193" s="1" t="n">
        <v>45810</v>
      </c>
      <c r="D11193" t="inlineStr">
        <is>
          <t>VÄRMLANDS LÄN</t>
        </is>
      </c>
      <c r="E11193" t="inlineStr">
        <is>
          <t>HAGFORS</t>
        </is>
      </c>
      <c r="G11193" t="n">
        <v>2.1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39492-2023</t>
        </is>
      </c>
      <c r="B11194" s="1" t="n">
        <v>45166</v>
      </c>
      <c r="C11194" s="1" t="n">
        <v>45810</v>
      </c>
      <c r="D11194" t="inlineStr">
        <is>
          <t>VÄRMLANDS LÄN</t>
        </is>
      </c>
      <c r="E11194" t="inlineStr">
        <is>
          <t>KIL</t>
        </is>
      </c>
      <c r="F11194" t="inlineStr">
        <is>
          <t>Kyrkan</t>
        </is>
      </c>
      <c r="G11194" t="n">
        <v>24.9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39512-2023</t>
        </is>
      </c>
      <c r="B11195" s="1" t="n">
        <v>45166</v>
      </c>
      <c r="C11195" s="1" t="n">
        <v>45810</v>
      </c>
      <c r="D11195" t="inlineStr">
        <is>
          <t>VÄRMLANDS LÄN</t>
        </is>
      </c>
      <c r="E11195" t="inlineStr">
        <is>
          <t>KIL</t>
        </is>
      </c>
      <c r="F11195" t="inlineStr">
        <is>
          <t>Kyrkan</t>
        </is>
      </c>
      <c r="G11195" t="n">
        <v>6.9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39677-2023</t>
        </is>
      </c>
      <c r="B11196" s="1" t="n">
        <v>45166</v>
      </c>
      <c r="C11196" s="1" t="n">
        <v>45810</v>
      </c>
      <c r="D11196" t="inlineStr">
        <is>
          <t>VÄRMLANDS LÄN</t>
        </is>
      </c>
      <c r="E11196" t="inlineStr">
        <is>
          <t>TORSBY</t>
        </is>
      </c>
      <c r="G11196" t="n">
        <v>2.5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39535-2023</t>
        </is>
      </c>
      <c r="B11197" s="1" t="n">
        <v>45167</v>
      </c>
      <c r="C11197" s="1" t="n">
        <v>45810</v>
      </c>
      <c r="D11197" t="inlineStr">
        <is>
          <t>VÄRMLANDS LÄN</t>
        </is>
      </c>
      <c r="E11197" t="inlineStr">
        <is>
          <t>ÅRJÄNG</t>
        </is>
      </c>
      <c r="G11197" t="n">
        <v>3.5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39642-2023</t>
        </is>
      </c>
      <c r="B11198" s="1" t="n">
        <v>45167</v>
      </c>
      <c r="C11198" s="1" t="n">
        <v>45810</v>
      </c>
      <c r="D11198" t="inlineStr">
        <is>
          <t>VÄRMLANDS LÄN</t>
        </is>
      </c>
      <c r="E11198" t="inlineStr">
        <is>
          <t>KARLSTAD</t>
        </is>
      </c>
      <c r="G11198" t="n">
        <v>2.5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39651-2023</t>
        </is>
      </c>
      <c r="B11199" s="1" t="n">
        <v>45167</v>
      </c>
      <c r="C11199" s="1" t="n">
        <v>45810</v>
      </c>
      <c r="D11199" t="inlineStr">
        <is>
          <t>VÄRMLANDS LÄN</t>
        </is>
      </c>
      <c r="E11199" t="inlineStr">
        <is>
          <t>FILIPSTAD</t>
        </is>
      </c>
      <c r="F11199" t="inlineStr">
        <is>
          <t>Bergvik skog väst AB</t>
        </is>
      </c>
      <c r="G11199" t="n">
        <v>9.9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39725-2023</t>
        </is>
      </c>
      <c r="B11200" s="1" t="n">
        <v>45167</v>
      </c>
      <c r="C11200" s="1" t="n">
        <v>45810</v>
      </c>
      <c r="D11200" t="inlineStr">
        <is>
          <t>VÄRMLANDS LÄN</t>
        </is>
      </c>
      <c r="E11200" t="inlineStr">
        <is>
          <t>FILIPSTAD</t>
        </is>
      </c>
      <c r="F11200" t="inlineStr">
        <is>
          <t>Bergvik skog väst AB</t>
        </is>
      </c>
      <c r="G11200" t="n">
        <v>17.6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39755-2023</t>
        </is>
      </c>
      <c r="B11201" s="1" t="n">
        <v>45167</v>
      </c>
      <c r="C11201" s="1" t="n">
        <v>45810</v>
      </c>
      <c r="D11201" t="inlineStr">
        <is>
          <t>VÄRMLANDS LÄN</t>
        </is>
      </c>
      <c r="E11201" t="inlineStr">
        <is>
          <t>KARLSTAD</t>
        </is>
      </c>
      <c r="G11201" t="n">
        <v>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39779-2023</t>
        </is>
      </c>
      <c r="B11202" s="1" t="n">
        <v>45167</v>
      </c>
      <c r="C11202" s="1" t="n">
        <v>45810</v>
      </c>
      <c r="D11202" t="inlineStr">
        <is>
          <t>VÄRMLANDS LÄN</t>
        </is>
      </c>
      <c r="E11202" t="inlineStr">
        <is>
          <t>KRISTINEHAMN</t>
        </is>
      </c>
      <c r="G11202" t="n">
        <v>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39555-2023</t>
        </is>
      </c>
      <c r="B11203" s="1" t="n">
        <v>45167</v>
      </c>
      <c r="C11203" s="1" t="n">
        <v>45810</v>
      </c>
      <c r="D11203" t="inlineStr">
        <is>
          <t>VÄRMLANDS LÄN</t>
        </is>
      </c>
      <c r="E11203" t="inlineStr">
        <is>
          <t>ÅRJÄNG</t>
        </is>
      </c>
      <c r="G11203" t="n">
        <v>2.4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39557-2023</t>
        </is>
      </c>
      <c r="B11204" s="1" t="n">
        <v>45167</v>
      </c>
      <c r="C11204" s="1" t="n">
        <v>45810</v>
      </c>
      <c r="D11204" t="inlineStr">
        <is>
          <t>VÄRMLANDS LÄN</t>
        </is>
      </c>
      <c r="E11204" t="inlineStr">
        <is>
          <t>ÅRJÄNG</t>
        </is>
      </c>
      <c r="G11204" t="n">
        <v>1.5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39571-2023</t>
        </is>
      </c>
      <c r="B11205" s="1" t="n">
        <v>45167</v>
      </c>
      <c r="C11205" s="1" t="n">
        <v>45810</v>
      </c>
      <c r="D11205" t="inlineStr">
        <is>
          <t>VÄRMLANDS LÄN</t>
        </is>
      </c>
      <c r="E11205" t="inlineStr">
        <is>
          <t>EDA</t>
        </is>
      </c>
      <c r="G11205" t="n">
        <v>3.7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39633-2023</t>
        </is>
      </c>
      <c r="B11206" s="1" t="n">
        <v>45167</v>
      </c>
      <c r="C11206" s="1" t="n">
        <v>45810</v>
      </c>
      <c r="D11206" t="inlineStr">
        <is>
          <t>VÄRMLANDS LÄN</t>
        </is>
      </c>
      <c r="E11206" t="inlineStr">
        <is>
          <t>FILIPSTAD</t>
        </is>
      </c>
      <c r="F11206" t="inlineStr">
        <is>
          <t>Bergvik skog väst AB</t>
        </is>
      </c>
      <c r="G11206" t="n">
        <v>3.5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39631-2023</t>
        </is>
      </c>
      <c r="B11207" s="1" t="n">
        <v>45167</v>
      </c>
      <c r="C11207" s="1" t="n">
        <v>45810</v>
      </c>
      <c r="D11207" t="inlineStr">
        <is>
          <t>VÄRMLANDS LÄN</t>
        </is>
      </c>
      <c r="E11207" t="inlineStr">
        <is>
          <t>FILIPSTAD</t>
        </is>
      </c>
      <c r="F11207" t="inlineStr">
        <is>
          <t>Bergvik skog väst AB</t>
        </is>
      </c>
      <c r="G11207" t="n">
        <v>2.6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39635-2023</t>
        </is>
      </c>
      <c r="B11208" s="1" t="n">
        <v>45167</v>
      </c>
      <c r="C11208" s="1" t="n">
        <v>45810</v>
      </c>
      <c r="D11208" t="inlineStr">
        <is>
          <t>VÄRMLANDS LÄN</t>
        </is>
      </c>
      <c r="E11208" t="inlineStr">
        <is>
          <t>GRUMS</t>
        </is>
      </c>
      <c r="G11208" t="n">
        <v>1.7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39648-2023</t>
        </is>
      </c>
      <c r="B11209" s="1" t="n">
        <v>45167</v>
      </c>
      <c r="C11209" s="1" t="n">
        <v>45810</v>
      </c>
      <c r="D11209" t="inlineStr">
        <is>
          <t>VÄRMLANDS LÄN</t>
        </is>
      </c>
      <c r="E11209" t="inlineStr">
        <is>
          <t>TORSBY</t>
        </is>
      </c>
      <c r="G11209" t="n">
        <v>1.9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39803-2023</t>
        </is>
      </c>
      <c r="B11210" s="1" t="n">
        <v>45168</v>
      </c>
      <c r="C11210" s="1" t="n">
        <v>45810</v>
      </c>
      <c r="D11210" t="inlineStr">
        <is>
          <t>VÄRMLANDS LÄN</t>
        </is>
      </c>
      <c r="E11210" t="inlineStr">
        <is>
          <t>FILIPSTAD</t>
        </is>
      </c>
      <c r="G11210" t="n">
        <v>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39566-2023</t>
        </is>
      </c>
      <c r="B11211" s="1" t="n">
        <v>45167</v>
      </c>
      <c r="C11211" s="1" t="n">
        <v>45810</v>
      </c>
      <c r="D11211" t="inlineStr">
        <is>
          <t>VÄRMLANDS LÄN</t>
        </is>
      </c>
      <c r="E11211" t="inlineStr">
        <is>
          <t>FILIPSTAD</t>
        </is>
      </c>
      <c r="F11211" t="inlineStr">
        <is>
          <t>Bergvik skog väst AB</t>
        </is>
      </c>
      <c r="G11211" t="n">
        <v>3.2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39709-2023</t>
        </is>
      </c>
      <c r="B11212" s="1" t="n">
        <v>45167</v>
      </c>
      <c r="C11212" s="1" t="n">
        <v>45810</v>
      </c>
      <c r="D11212" t="inlineStr">
        <is>
          <t>VÄRMLANDS LÄN</t>
        </is>
      </c>
      <c r="E11212" t="inlineStr">
        <is>
          <t>SÄFFLE</t>
        </is>
      </c>
      <c r="G11212" t="n">
        <v>2.3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39732-2023</t>
        </is>
      </c>
      <c r="B11213" s="1" t="n">
        <v>45167</v>
      </c>
      <c r="C11213" s="1" t="n">
        <v>45810</v>
      </c>
      <c r="D11213" t="inlineStr">
        <is>
          <t>VÄRMLANDS LÄN</t>
        </is>
      </c>
      <c r="E11213" t="inlineStr">
        <is>
          <t>TORSBY</t>
        </is>
      </c>
      <c r="G11213" t="n">
        <v>2.7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39777-2023</t>
        </is>
      </c>
      <c r="B11214" s="1" t="n">
        <v>45167</v>
      </c>
      <c r="C11214" s="1" t="n">
        <v>45810</v>
      </c>
      <c r="D11214" t="inlineStr">
        <is>
          <t>VÄRMLANDS LÄN</t>
        </is>
      </c>
      <c r="E11214" t="inlineStr">
        <is>
          <t>KRISTINEHAMN</t>
        </is>
      </c>
      <c r="G11214" t="n">
        <v>2.2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39781-2023</t>
        </is>
      </c>
      <c r="B11215" s="1" t="n">
        <v>45167</v>
      </c>
      <c r="C11215" s="1" t="n">
        <v>45810</v>
      </c>
      <c r="D11215" t="inlineStr">
        <is>
          <t>VÄRMLANDS LÄN</t>
        </is>
      </c>
      <c r="E11215" t="inlineStr">
        <is>
          <t>KRISTINEHAMN</t>
        </is>
      </c>
      <c r="G11215" t="n">
        <v>8.4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39951-2023</t>
        </is>
      </c>
      <c r="B11216" s="1" t="n">
        <v>45167</v>
      </c>
      <c r="C11216" s="1" t="n">
        <v>45810</v>
      </c>
      <c r="D11216" t="inlineStr">
        <is>
          <t>VÄRMLANDS LÄN</t>
        </is>
      </c>
      <c r="E11216" t="inlineStr">
        <is>
          <t>ARVIKA</t>
        </is>
      </c>
      <c r="G11216" t="n">
        <v>4.1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39776-2023</t>
        </is>
      </c>
      <c r="B11217" s="1" t="n">
        <v>45167</v>
      </c>
      <c r="C11217" s="1" t="n">
        <v>45810</v>
      </c>
      <c r="D11217" t="inlineStr">
        <is>
          <t>VÄRMLANDS LÄN</t>
        </is>
      </c>
      <c r="E11217" t="inlineStr">
        <is>
          <t>KRISTINEHAMN</t>
        </is>
      </c>
      <c r="G11217" t="n">
        <v>1.9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39690-2023</t>
        </is>
      </c>
      <c r="B11218" s="1" t="n">
        <v>45167</v>
      </c>
      <c r="C11218" s="1" t="n">
        <v>45810</v>
      </c>
      <c r="D11218" t="inlineStr">
        <is>
          <t>VÄRMLANDS LÄN</t>
        </is>
      </c>
      <c r="E11218" t="inlineStr">
        <is>
          <t>SUNNE</t>
        </is>
      </c>
      <c r="G11218" t="n">
        <v>4.2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39733-2023</t>
        </is>
      </c>
      <c r="B11219" s="1" t="n">
        <v>45167</v>
      </c>
      <c r="C11219" s="1" t="n">
        <v>45810</v>
      </c>
      <c r="D11219" t="inlineStr">
        <is>
          <t>VÄRMLANDS LÄN</t>
        </is>
      </c>
      <c r="E11219" t="inlineStr">
        <is>
          <t>EDA</t>
        </is>
      </c>
      <c r="G11219" t="n">
        <v>0.9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39778-2023</t>
        </is>
      </c>
      <c r="B11220" s="1" t="n">
        <v>45167</v>
      </c>
      <c r="C11220" s="1" t="n">
        <v>45810</v>
      </c>
      <c r="D11220" t="inlineStr">
        <is>
          <t>VÄRMLANDS LÄN</t>
        </is>
      </c>
      <c r="E11220" t="inlineStr">
        <is>
          <t>KRISTINEHAMN</t>
        </is>
      </c>
      <c r="G11220" t="n">
        <v>1.8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39844-2023</t>
        </is>
      </c>
      <c r="B11221" s="1" t="n">
        <v>45168</v>
      </c>
      <c r="C11221" s="1" t="n">
        <v>45810</v>
      </c>
      <c r="D11221" t="inlineStr">
        <is>
          <t>VÄRMLANDS LÄN</t>
        </is>
      </c>
      <c r="E11221" t="inlineStr">
        <is>
          <t>SÄFFLE</t>
        </is>
      </c>
      <c r="G11221" t="n">
        <v>2.9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39921-2023</t>
        </is>
      </c>
      <c r="B11222" s="1" t="n">
        <v>45168</v>
      </c>
      <c r="C11222" s="1" t="n">
        <v>45810</v>
      </c>
      <c r="D11222" t="inlineStr">
        <is>
          <t>VÄRMLANDS LÄN</t>
        </is>
      </c>
      <c r="E11222" t="inlineStr">
        <is>
          <t>TORSBY</t>
        </is>
      </c>
      <c r="G11222" t="n">
        <v>6.6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39949-2023</t>
        </is>
      </c>
      <c r="B11223" s="1" t="n">
        <v>45168</v>
      </c>
      <c r="C11223" s="1" t="n">
        <v>45810</v>
      </c>
      <c r="D11223" t="inlineStr">
        <is>
          <t>VÄRMLANDS LÄN</t>
        </is>
      </c>
      <c r="E11223" t="inlineStr">
        <is>
          <t>ÅRJÄNG</t>
        </is>
      </c>
      <c r="G11223" t="n">
        <v>2.5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39958-2023</t>
        </is>
      </c>
      <c r="B11224" s="1" t="n">
        <v>45168</v>
      </c>
      <c r="C11224" s="1" t="n">
        <v>45810</v>
      </c>
      <c r="D11224" t="inlineStr">
        <is>
          <t>VÄRMLANDS LÄN</t>
        </is>
      </c>
      <c r="E11224" t="inlineStr">
        <is>
          <t>KARLSTAD</t>
        </is>
      </c>
      <c r="G11224" t="n">
        <v>1.5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39839-2023</t>
        </is>
      </c>
      <c r="B11225" s="1" t="n">
        <v>45168</v>
      </c>
      <c r="C11225" s="1" t="n">
        <v>45810</v>
      </c>
      <c r="D11225" t="inlineStr">
        <is>
          <t>VÄRMLANDS LÄN</t>
        </is>
      </c>
      <c r="E11225" t="inlineStr">
        <is>
          <t>SÄFFLE</t>
        </is>
      </c>
      <c r="G11225" t="n">
        <v>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40001-2023</t>
        </is>
      </c>
      <c r="B11226" s="1" t="n">
        <v>45168</v>
      </c>
      <c r="C11226" s="1" t="n">
        <v>45810</v>
      </c>
      <c r="D11226" t="inlineStr">
        <is>
          <t>VÄRMLANDS LÄN</t>
        </is>
      </c>
      <c r="E11226" t="inlineStr">
        <is>
          <t>KARLSTAD</t>
        </is>
      </c>
      <c r="G11226" t="n">
        <v>1.1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40028-2023</t>
        </is>
      </c>
      <c r="B11227" s="1" t="n">
        <v>45168</v>
      </c>
      <c r="C11227" s="1" t="n">
        <v>45810</v>
      </c>
      <c r="D11227" t="inlineStr">
        <is>
          <t>VÄRMLANDS LÄN</t>
        </is>
      </c>
      <c r="E11227" t="inlineStr">
        <is>
          <t>SÄFFLE</t>
        </is>
      </c>
      <c r="G11227" t="n">
        <v>6.2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40033-2023</t>
        </is>
      </c>
      <c r="B11228" s="1" t="n">
        <v>45168</v>
      </c>
      <c r="C11228" s="1" t="n">
        <v>45810</v>
      </c>
      <c r="D11228" t="inlineStr">
        <is>
          <t>VÄRMLANDS LÄN</t>
        </is>
      </c>
      <c r="E11228" t="inlineStr">
        <is>
          <t>ARVIKA</t>
        </is>
      </c>
      <c r="G11228" t="n">
        <v>0.7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40044-2023</t>
        </is>
      </c>
      <c r="B11229" s="1" t="n">
        <v>45168</v>
      </c>
      <c r="C11229" s="1" t="n">
        <v>45810</v>
      </c>
      <c r="D11229" t="inlineStr">
        <is>
          <t>VÄRMLANDS LÄN</t>
        </is>
      </c>
      <c r="E11229" t="inlineStr">
        <is>
          <t>EDA</t>
        </is>
      </c>
      <c r="G11229" t="n">
        <v>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39929-2023</t>
        </is>
      </c>
      <c r="B11230" s="1" t="n">
        <v>45168</v>
      </c>
      <c r="C11230" s="1" t="n">
        <v>45810</v>
      </c>
      <c r="D11230" t="inlineStr">
        <is>
          <t>VÄRMLANDS LÄN</t>
        </is>
      </c>
      <c r="E11230" t="inlineStr">
        <is>
          <t>EDA</t>
        </is>
      </c>
      <c r="G11230" t="n">
        <v>2.9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39964-2023</t>
        </is>
      </c>
      <c r="B11231" s="1" t="n">
        <v>45168</v>
      </c>
      <c r="C11231" s="1" t="n">
        <v>45810</v>
      </c>
      <c r="D11231" t="inlineStr">
        <is>
          <t>VÄRMLANDS LÄN</t>
        </is>
      </c>
      <c r="E11231" t="inlineStr">
        <is>
          <t>KARLSTAD</t>
        </is>
      </c>
      <c r="G11231" t="n">
        <v>3.3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39980-2023</t>
        </is>
      </c>
      <c r="B11232" s="1" t="n">
        <v>45168</v>
      </c>
      <c r="C11232" s="1" t="n">
        <v>45810</v>
      </c>
      <c r="D11232" t="inlineStr">
        <is>
          <t>VÄRMLANDS LÄN</t>
        </is>
      </c>
      <c r="E11232" t="inlineStr">
        <is>
          <t>SUNNE</t>
        </is>
      </c>
      <c r="G11232" t="n">
        <v>6.2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39910-2023</t>
        </is>
      </c>
      <c r="B11233" s="1" t="n">
        <v>45168</v>
      </c>
      <c r="C11233" s="1" t="n">
        <v>45810</v>
      </c>
      <c r="D11233" t="inlineStr">
        <is>
          <t>VÄRMLANDS LÄN</t>
        </is>
      </c>
      <c r="E11233" t="inlineStr">
        <is>
          <t>TORSBY</t>
        </is>
      </c>
      <c r="F11233" t="inlineStr">
        <is>
          <t>Kyrkan</t>
        </is>
      </c>
      <c r="G11233" t="n">
        <v>11.6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39998-2023</t>
        </is>
      </c>
      <c r="B11234" s="1" t="n">
        <v>45168</v>
      </c>
      <c r="C11234" s="1" t="n">
        <v>45810</v>
      </c>
      <c r="D11234" t="inlineStr">
        <is>
          <t>VÄRMLANDS LÄN</t>
        </is>
      </c>
      <c r="E11234" t="inlineStr">
        <is>
          <t>STORFORS</t>
        </is>
      </c>
      <c r="G11234" t="n">
        <v>4.2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40007-2023</t>
        </is>
      </c>
      <c r="B11235" s="1" t="n">
        <v>45168</v>
      </c>
      <c r="C11235" s="1" t="n">
        <v>45810</v>
      </c>
      <c r="D11235" t="inlineStr">
        <is>
          <t>VÄRMLANDS LÄN</t>
        </is>
      </c>
      <c r="E11235" t="inlineStr">
        <is>
          <t>TORSBY</t>
        </is>
      </c>
      <c r="G11235" t="n">
        <v>2.5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39955-2023</t>
        </is>
      </c>
      <c r="B11236" s="1" t="n">
        <v>45168</v>
      </c>
      <c r="C11236" s="1" t="n">
        <v>45810</v>
      </c>
      <c r="D11236" t="inlineStr">
        <is>
          <t>VÄRMLANDS LÄN</t>
        </is>
      </c>
      <c r="E11236" t="inlineStr">
        <is>
          <t>KARLSTAD</t>
        </is>
      </c>
      <c r="G11236" t="n">
        <v>6.7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39963-2023</t>
        </is>
      </c>
      <c r="B11237" s="1" t="n">
        <v>45168</v>
      </c>
      <c r="C11237" s="1" t="n">
        <v>45810</v>
      </c>
      <c r="D11237" t="inlineStr">
        <is>
          <t>VÄRMLANDS LÄN</t>
        </is>
      </c>
      <c r="E11237" t="inlineStr">
        <is>
          <t>KARLSTAD</t>
        </is>
      </c>
      <c r="G11237" t="n">
        <v>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39993-2023</t>
        </is>
      </c>
      <c r="B11238" s="1" t="n">
        <v>45168</v>
      </c>
      <c r="C11238" s="1" t="n">
        <v>45810</v>
      </c>
      <c r="D11238" t="inlineStr">
        <is>
          <t>VÄRMLANDS LÄN</t>
        </is>
      </c>
      <c r="E11238" t="inlineStr">
        <is>
          <t>ARVIKA</t>
        </is>
      </c>
      <c r="G11238" t="n">
        <v>4.8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40352-2023</t>
        </is>
      </c>
      <c r="B11239" s="1" t="n">
        <v>45168</v>
      </c>
      <c r="C11239" s="1" t="n">
        <v>45810</v>
      </c>
      <c r="D11239" t="inlineStr">
        <is>
          <t>VÄRMLANDS LÄN</t>
        </is>
      </c>
      <c r="E11239" t="inlineStr">
        <is>
          <t>ÅRJÄNG</t>
        </is>
      </c>
      <c r="G11239" t="n">
        <v>3.4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39961-2023</t>
        </is>
      </c>
      <c r="B11240" s="1" t="n">
        <v>45168</v>
      </c>
      <c r="C11240" s="1" t="n">
        <v>45810</v>
      </c>
      <c r="D11240" t="inlineStr">
        <is>
          <t>VÄRMLANDS LÄN</t>
        </is>
      </c>
      <c r="E11240" t="inlineStr">
        <is>
          <t>KARLSTAD</t>
        </is>
      </c>
      <c r="G11240" t="n">
        <v>1.3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39969-2023</t>
        </is>
      </c>
      <c r="B11241" s="1" t="n">
        <v>45168</v>
      </c>
      <c r="C11241" s="1" t="n">
        <v>45810</v>
      </c>
      <c r="D11241" t="inlineStr">
        <is>
          <t>VÄRMLANDS LÄN</t>
        </is>
      </c>
      <c r="E11241" t="inlineStr">
        <is>
          <t>TORSBY</t>
        </is>
      </c>
      <c r="G11241" t="n">
        <v>4.4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40135-2023</t>
        </is>
      </c>
      <c r="B11242" s="1" t="n">
        <v>45169</v>
      </c>
      <c r="C11242" s="1" t="n">
        <v>45810</v>
      </c>
      <c r="D11242" t="inlineStr">
        <is>
          <t>VÄRMLANDS LÄN</t>
        </is>
      </c>
      <c r="E11242" t="inlineStr">
        <is>
          <t>ARVIKA</t>
        </is>
      </c>
      <c r="G11242" t="n">
        <v>1.1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40211-2023</t>
        </is>
      </c>
      <c r="B11243" s="1" t="n">
        <v>45169</v>
      </c>
      <c r="C11243" s="1" t="n">
        <v>45810</v>
      </c>
      <c r="D11243" t="inlineStr">
        <is>
          <t>VÄRMLANDS LÄN</t>
        </is>
      </c>
      <c r="E11243" t="inlineStr">
        <is>
          <t>SUNNE</t>
        </is>
      </c>
      <c r="F11243" t="inlineStr">
        <is>
          <t>Bergvik skog väst AB</t>
        </is>
      </c>
      <c r="G11243" t="n">
        <v>1.8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40207-2023</t>
        </is>
      </c>
      <c r="B11244" s="1" t="n">
        <v>45169</v>
      </c>
      <c r="C11244" s="1" t="n">
        <v>45810</v>
      </c>
      <c r="D11244" t="inlineStr">
        <is>
          <t>VÄRMLANDS LÄN</t>
        </is>
      </c>
      <c r="E11244" t="inlineStr">
        <is>
          <t>TORSBY</t>
        </is>
      </c>
      <c r="G11244" t="n">
        <v>0.6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40212-2023</t>
        </is>
      </c>
      <c r="B11245" s="1" t="n">
        <v>45169</v>
      </c>
      <c r="C11245" s="1" t="n">
        <v>45810</v>
      </c>
      <c r="D11245" t="inlineStr">
        <is>
          <t>VÄRMLANDS LÄN</t>
        </is>
      </c>
      <c r="E11245" t="inlineStr">
        <is>
          <t>ÅRJÄNG</t>
        </is>
      </c>
      <c r="G11245" t="n">
        <v>7.6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40239-2023</t>
        </is>
      </c>
      <c r="B11246" s="1" t="n">
        <v>45169</v>
      </c>
      <c r="C11246" s="1" t="n">
        <v>45810</v>
      </c>
      <c r="D11246" t="inlineStr">
        <is>
          <t>VÄRMLANDS LÄN</t>
        </is>
      </c>
      <c r="E11246" t="inlineStr">
        <is>
          <t>FILIPSTAD</t>
        </is>
      </c>
      <c r="F11246" t="inlineStr">
        <is>
          <t>Bergvik skog väst AB</t>
        </is>
      </c>
      <c r="G11246" t="n">
        <v>17.4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40244-2023</t>
        </is>
      </c>
      <c r="B11247" s="1" t="n">
        <v>45169</v>
      </c>
      <c r="C11247" s="1" t="n">
        <v>45810</v>
      </c>
      <c r="D11247" t="inlineStr">
        <is>
          <t>VÄRMLANDS LÄN</t>
        </is>
      </c>
      <c r="E11247" t="inlineStr">
        <is>
          <t>FILIPSTAD</t>
        </is>
      </c>
      <c r="F11247" t="inlineStr">
        <is>
          <t>Bergvik skog väst AB</t>
        </is>
      </c>
      <c r="G11247" t="n">
        <v>1.2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40362-2023</t>
        </is>
      </c>
      <c r="B11248" s="1" t="n">
        <v>45169</v>
      </c>
      <c r="C11248" s="1" t="n">
        <v>45810</v>
      </c>
      <c r="D11248" t="inlineStr">
        <is>
          <t>VÄRMLANDS LÄN</t>
        </is>
      </c>
      <c r="E11248" t="inlineStr">
        <is>
          <t>FILIPSTAD</t>
        </is>
      </c>
      <c r="G11248" t="n">
        <v>7.1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40228-2023</t>
        </is>
      </c>
      <c r="B11249" s="1" t="n">
        <v>45169</v>
      </c>
      <c r="C11249" s="1" t="n">
        <v>45810</v>
      </c>
      <c r="D11249" t="inlineStr">
        <is>
          <t>VÄRMLANDS LÄN</t>
        </is>
      </c>
      <c r="E11249" t="inlineStr">
        <is>
          <t>TORSBY</t>
        </is>
      </c>
      <c r="G11249" t="n">
        <v>1.5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40308-2023</t>
        </is>
      </c>
      <c r="B11250" s="1" t="n">
        <v>45169</v>
      </c>
      <c r="C11250" s="1" t="n">
        <v>45810</v>
      </c>
      <c r="D11250" t="inlineStr">
        <is>
          <t>VÄRMLANDS LÄN</t>
        </is>
      </c>
      <c r="E11250" t="inlineStr">
        <is>
          <t>ARVIKA</t>
        </is>
      </c>
      <c r="G11250" t="n">
        <v>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40322-2023</t>
        </is>
      </c>
      <c r="B11251" s="1" t="n">
        <v>45169</v>
      </c>
      <c r="C11251" s="1" t="n">
        <v>45810</v>
      </c>
      <c r="D11251" t="inlineStr">
        <is>
          <t>VÄRMLANDS LÄN</t>
        </is>
      </c>
      <c r="E11251" t="inlineStr">
        <is>
          <t>KIL</t>
        </is>
      </c>
      <c r="G11251" t="n">
        <v>2.2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40221-2023</t>
        </is>
      </c>
      <c r="B11252" s="1" t="n">
        <v>45169</v>
      </c>
      <c r="C11252" s="1" t="n">
        <v>45810</v>
      </c>
      <c r="D11252" t="inlineStr">
        <is>
          <t>VÄRMLANDS LÄN</t>
        </is>
      </c>
      <c r="E11252" t="inlineStr">
        <is>
          <t>SÄFFLE</t>
        </is>
      </c>
      <c r="G11252" t="n">
        <v>1.3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40246-2023</t>
        </is>
      </c>
      <c r="B11253" s="1" t="n">
        <v>45169</v>
      </c>
      <c r="C11253" s="1" t="n">
        <v>45810</v>
      </c>
      <c r="D11253" t="inlineStr">
        <is>
          <t>VÄRMLANDS LÄN</t>
        </is>
      </c>
      <c r="E11253" t="inlineStr">
        <is>
          <t>FILIPSTAD</t>
        </is>
      </c>
      <c r="F11253" t="inlineStr">
        <is>
          <t>Bergvik skog väst AB</t>
        </is>
      </c>
      <c r="G11253" t="n">
        <v>24.9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40250-2023</t>
        </is>
      </c>
      <c r="B11254" s="1" t="n">
        <v>45169</v>
      </c>
      <c r="C11254" s="1" t="n">
        <v>45810</v>
      </c>
      <c r="D11254" t="inlineStr">
        <is>
          <t>VÄRMLANDS LÄN</t>
        </is>
      </c>
      <c r="E11254" t="inlineStr">
        <is>
          <t>SUNNE</t>
        </is>
      </c>
      <c r="G11254" t="n">
        <v>3.1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40298-2023</t>
        </is>
      </c>
      <c r="B11255" s="1" t="n">
        <v>45169</v>
      </c>
      <c r="C11255" s="1" t="n">
        <v>45810</v>
      </c>
      <c r="D11255" t="inlineStr">
        <is>
          <t>VÄRMLANDS LÄN</t>
        </is>
      </c>
      <c r="E11255" t="inlineStr">
        <is>
          <t>ARVIKA</t>
        </is>
      </c>
      <c r="G11255" t="n">
        <v>1.1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40332-2023</t>
        </is>
      </c>
      <c r="B11256" s="1" t="n">
        <v>45169</v>
      </c>
      <c r="C11256" s="1" t="n">
        <v>45810</v>
      </c>
      <c r="D11256" t="inlineStr">
        <is>
          <t>VÄRMLANDS LÄN</t>
        </is>
      </c>
      <c r="E11256" t="inlineStr">
        <is>
          <t>HAGFORS</t>
        </is>
      </c>
      <c r="G11256" t="n">
        <v>6.3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40222-2023</t>
        </is>
      </c>
      <c r="B11257" s="1" t="n">
        <v>45169</v>
      </c>
      <c r="C11257" s="1" t="n">
        <v>45810</v>
      </c>
      <c r="D11257" t="inlineStr">
        <is>
          <t>VÄRMLANDS LÄN</t>
        </is>
      </c>
      <c r="E11257" t="inlineStr">
        <is>
          <t>TORSBY</t>
        </is>
      </c>
      <c r="G11257" t="n">
        <v>2.5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40299-2023</t>
        </is>
      </c>
      <c r="B11258" s="1" t="n">
        <v>45169</v>
      </c>
      <c r="C11258" s="1" t="n">
        <v>45810</v>
      </c>
      <c r="D11258" t="inlineStr">
        <is>
          <t>VÄRMLANDS LÄN</t>
        </is>
      </c>
      <c r="E11258" t="inlineStr">
        <is>
          <t>ARVIKA</t>
        </is>
      </c>
      <c r="G11258" t="n">
        <v>0.7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40311-2023</t>
        </is>
      </c>
      <c r="B11259" s="1" t="n">
        <v>45169</v>
      </c>
      <c r="C11259" s="1" t="n">
        <v>45810</v>
      </c>
      <c r="D11259" t="inlineStr">
        <is>
          <t>VÄRMLANDS LÄN</t>
        </is>
      </c>
      <c r="E11259" t="inlineStr">
        <is>
          <t>ARVIKA</t>
        </is>
      </c>
      <c r="G11259" t="n">
        <v>1.3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40316-2023</t>
        </is>
      </c>
      <c r="B11260" s="1" t="n">
        <v>45169</v>
      </c>
      <c r="C11260" s="1" t="n">
        <v>45810</v>
      </c>
      <c r="D11260" t="inlineStr">
        <is>
          <t>VÄRMLANDS LÄN</t>
        </is>
      </c>
      <c r="E11260" t="inlineStr">
        <is>
          <t>HAGFORS</t>
        </is>
      </c>
      <c r="F11260" t="inlineStr">
        <is>
          <t>Bergvik skog väst AB</t>
        </is>
      </c>
      <c r="G11260" t="n">
        <v>9.800000000000001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40468-2023</t>
        </is>
      </c>
      <c r="B11261" s="1" t="n">
        <v>45170</v>
      </c>
      <c r="C11261" s="1" t="n">
        <v>45810</v>
      </c>
      <c r="D11261" t="inlineStr">
        <is>
          <t>VÄRMLANDS LÄN</t>
        </is>
      </c>
      <c r="E11261" t="inlineStr">
        <is>
          <t>TORSBY</t>
        </is>
      </c>
      <c r="G11261" t="n">
        <v>1.8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40476-2023</t>
        </is>
      </c>
      <c r="B11262" s="1" t="n">
        <v>45170</v>
      </c>
      <c r="C11262" s="1" t="n">
        <v>45810</v>
      </c>
      <c r="D11262" t="inlineStr">
        <is>
          <t>VÄRMLANDS LÄN</t>
        </is>
      </c>
      <c r="E11262" t="inlineStr">
        <is>
          <t>SUNNE</t>
        </is>
      </c>
      <c r="G11262" t="n">
        <v>8.199999999999999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40484-2023</t>
        </is>
      </c>
      <c r="B11263" s="1" t="n">
        <v>45170</v>
      </c>
      <c r="C11263" s="1" t="n">
        <v>45810</v>
      </c>
      <c r="D11263" t="inlineStr">
        <is>
          <t>VÄRMLANDS LÄN</t>
        </is>
      </c>
      <c r="E11263" t="inlineStr">
        <is>
          <t>ARVIKA</t>
        </is>
      </c>
      <c r="G11263" t="n">
        <v>3.5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40488-2023</t>
        </is>
      </c>
      <c r="B11264" s="1" t="n">
        <v>45170</v>
      </c>
      <c r="C11264" s="1" t="n">
        <v>45810</v>
      </c>
      <c r="D11264" t="inlineStr">
        <is>
          <t>VÄRMLANDS LÄN</t>
        </is>
      </c>
      <c r="E11264" t="inlineStr">
        <is>
          <t>ARVIKA</t>
        </is>
      </c>
      <c r="G11264" t="n">
        <v>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40512-2023</t>
        </is>
      </c>
      <c r="B11265" s="1" t="n">
        <v>45170</v>
      </c>
      <c r="C11265" s="1" t="n">
        <v>45810</v>
      </c>
      <c r="D11265" t="inlineStr">
        <is>
          <t>VÄRMLANDS LÄN</t>
        </is>
      </c>
      <c r="E11265" t="inlineStr">
        <is>
          <t>TORSBY</t>
        </is>
      </c>
      <c r="G11265" t="n">
        <v>2.3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40458-2023</t>
        </is>
      </c>
      <c r="B11266" s="1" t="n">
        <v>45170</v>
      </c>
      <c r="C11266" s="1" t="n">
        <v>45810</v>
      </c>
      <c r="D11266" t="inlineStr">
        <is>
          <t>VÄRMLANDS LÄN</t>
        </is>
      </c>
      <c r="E11266" t="inlineStr">
        <is>
          <t>ÅRJÄNG</t>
        </is>
      </c>
      <c r="G11266" t="n">
        <v>17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40470-2023</t>
        </is>
      </c>
      <c r="B11267" s="1" t="n">
        <v>45170</v>
      </c>
      <c r="C11267" s="1" t="n">
        <v>45810</v>
      </c>
      <c r="D11267" t="inlineStr">
        <is>
          <t>VÄRMLANDS LÄN</t>
        </is>
      </c>
      <c r="E11267" t="inlineStr">
        <is>
          <t>TORSBY</t>
        </is>
      </c>
      <c r="G11267" t="n">
        <v>0.9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40538-2023</t>
        </is>
      </c>
      <c r="B11268" s="1" t="n">
        <v>45170</v>
      </c>
      <c r="C11268" s="1" t="n">
        <v>45810</v>
      </c>
      <c r="D11268" t="inlineStr">
        <is>
          <t>VÄRMLANDS LÄN</t>
        </is>
      </c>
      <c r="E11268" t="inlineStr">
        <is>
          <t>TORSBY</t>
        </is>
      </c>
      <c r="F11268" t="inlineStr">
        <is>
          <t>Bergvik skog väst AB</t>
        </is>
      </c>
      <c r="G11268" t="n">
        <v>31.4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40602-2023</t>
        </is>
      </c>
      <c r="B11269" s="1" t="n">
        <v>45170</v>
      </c>
      <c r="C11269" s="1" t="n">
        <v>45810</v>
      </c>
      <c r="D11269" t="inlineStr">
        <is>
          <t>VÄRMLANDS LÄN</t>
        </is>
      </c>
      <c r="E11269" t="inlineStr">
        <is>
          <t>SÄFFLE</t>
        </is>
      </c>
      <c r="G11269" t="n">
        <v>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40705-2023</t>
        </is>
      </c>
      <c r="B11270" s="1" t="n">
        <v>45170</v>
      </c>
      <c r="C11270" s="1" t="n">
        <v>45810</v>
      </c>
      <c r="D11270" t="inlineStr">
        <is>
          <t>VÄRMLANDS LÄN</t>
        </is>
      </c>
      <c r="E11270" t="inlineStr">
        <is>
          <t>ARVIKA</t>
        </is>
      </c>
      <c r="G11270" t="n">
        <v>1.9</v>
      </c>
      <c r="H11270" t="n">
        <v>0</v>
      </c>
      <c r="I11270" t="n">
        <v>0</v>
      </c>
      <c r="J11270" t="n">
        <v>0</v>
      </c>
      <c r="K11270" t="n">
        <v>0</v>
      </c>
      <c r="L11270" t="n">
        <v>0</v>
      </c>
      <c r="M11270" t="n">
        <v>0</v>
      </c>
      <c r="N11270" t="n">
        <v>0</v>
      </c>
      <c r="O11270" t="n">
        <v>0</v>
      </c>
      <c r="P11270" t="n">
        <v>0</v>
      </c>
      <c r="Q11270" t="n">
        <v>0</v>
      </c>
      <c r="R11270" s="2" t="inlineStr"/>
      <c r="U11270">
        <f>HYPERLINK("https://klasma.github.io/Logging_1784/knärot/A 40705-2023 karta knärot.png", "A 40705-2023")</f>
        <v/>
      </c>
      <c r="V11270">
        <f>HYPERLINK("https://klasma.github.io/Logging_1784/klagomål/A 40705-2023 FSC-klagomål.docx", "A 40705-2023")</f>
        <v/>
      </c>
      <c r="W11270">
        <f>HYPERLINK("https://klasma.github.io/Logging_1784/klagomålsmail/A 40705-2023 FSC-klagomål mail.docx", "A 40705-2023")</f>
        <v/>
      </c>
      <c r="X11270">
        <f>HYPERLINK("https://klasma.github.io/Logging_1784/tillsyn/A 40705-2023 tillsynsbegäran.docx", "A 40705-2023")</f>
        <v/>
      </c>
      <c r="Y11270">
        <f>HYPERLINK("https://klasma.github.io/Logging_1784/tillsynsmail/A 40705-2023 tillsynsbegäran mail.docx", "A 40705-2023")</f>
        <v/>
      </c>
    </row>
    <row r="11271" ht="15" customHeight="1">
      <c r="A11271" t="inlineStr">
        <is>
          <t>A 40715-2023</t>
        </is>
      </c>
      <c r="B11271" s="1" t="n">
        <v>45170</v>
      </c>
      <c r="C11271" s="1" t="n">
        <v>45810</v>
      </c>
      <c r="D11271" t="inlineStr">
        <is>
          <t>VÄRMLANDS LÄN</t>
        </is>
      </c>
      <c r="E11271" t="inlineStr">
        <is>
          <t>SÄFFLE</t>
        </is>
      </c>
      <c r="F11271" t="inlineStr">
        <is>
          <t>Bergvik skog väst AB</t>
        </is>
      </c>
      <c r="G11271" t="n">
        <v>2.8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40465-2023</t>
        </is>
      </c>
      <c r="B11272" s="1" t="n">
        <v>45170</v>
      </c>
      <c r="C11272" s="1" t="n">
        <v>45810</v>
      </c>
      <c r="D11272" t="inlineStr">
        <is>
          <t>VÄRMLANDS LÄN</t>
        </is>
      </c>
      <c r="E11272" t="inlineStr">
        <is>
          <t>ÅRJÄNG</t>
        </is>
      </c>
      <c r="G11272" t="n">
        <v>1.7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40612-2023</t>
        </is>
      </c>
      <c r="B11273" s="1" t="n">
        <v>45170</v>
      </c>
      <c r="C11273" s="1" t="n">
        <v>45810</v>
      </c>
      <c r="D11273" t="inlineStr">
        <is>
          <t>VÄRMLANDS LÄN</t>
        </is>
      </c>
      <c r="E11273" t="inlineStr">
        <is>
          <t>SUNNE</t>
        </is>
      </c>
      <c r="G11273" t="n">
        <v>2.1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40537-2023</t>
        </is>
      </c>
      <c r="B11274" s="1" t="n">
        <v>45170</v>
      </c>
      <c r="C11274" s="1" t="n">
        <v>45810</v>
      </c>
      <c r="D11274" t="inlineStr">
        <is>
          <t>VÄRMLANDS LÄN</t>
        </is>
      </c>
      <c r="E11274" t="inlineStr">
        <is>
          <t>HAGFORS</t>
        </is>
      </c>
      <c r="G11274" t="n">
        <v>2.8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40605-2023</t>
        </is>
      </c>
      <c r="B11275" s="1" t="n">
        <v>45170</v>
      </c>
      <c r="C11275" s="1" t="n">
        <v>45810</v>
      </c>
      <c r="D11275" t="inlineStr">
        <is>
          <t>VÄRMLANDS LÄN</t>
        </is>
      </c>
      <c r="E11275" t="inlineStr">
        <is>
          <t>SÄFFLE</t>
        </is>
      </c>
      <c r="G11275" t="n">
        <v>0.7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40611-2023</t>
        </is>
      </c>
      <c r="B11276" s="1" t="n">
        <v>45170</v>
      </c>
      <c r="C11276" s="1" t="n">
        <v>45810</v>
      </c>
      <c r="D11276" t="inlineStr">
        <is>
          <t>VÄRMLANDS LÄN</t>
        </is>
      </c>
      <c r="E11276" t="inlineStr">
        <is>
          <t>SUNNE</t>
        </is>
      </c>
      <c r="G11276" t="n">
        <v>1.3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40632-2023</t>
        </is>
      </c>
      <c r="B11277" s="1" t="n">
        <v>45170</v>
      </c>
      <c r="C11277" s="1" t="n">
        <v>45810</v>
      </c>
      <c r="D11277" t="inlineStr">
        <is>
          <t>VÄRMLANDS LÄN</t>
        </is>
      </c>
      <c r="E11277" t="inlineStr">
        <is>
          <t>SÄFFLE</t>
        </is>
      </c>
      <c r="F11277" t="inlineStr">
        <is>
          <t>Bergvik skog väst AB</t>
        </is>
      </c>
      <c r="G11277" t="n">
        <v>3.1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40713-2023</t>
        </is>
      </c>
      <c r="B11278" s="1" t="n">
        <v>45170</v>
      </c>
      <c r="C11278" s="1" t="n">
        <v>45810</v>
      </c>
      <c r="D11278" t="inlineStr">
        <is>
          <t>VÄRMLANDS LÄN</t>
        </is>
      </c>
      <c r="E11278" t="inlineStr">
        <is>
          <t>SÄFFLE</t>
        </is>
      </c>
      <c r="F11278" t="inlineStr">
        <is>
          <t>Bergvik skog väst AB</t>
        </is>
      </c>
      <c r="G11278" t="n">
        <v>1.8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40723-2023</t>
        </is>
      </c>
      <c r="B11279" s="1" t="n">
        <v>45170</v>
      </c>
      <c r="C11279" s="1" t="n">
        <v>45810</v>
      </c>
      <c r="D11279" t="inlineStr">
        <is>
          <t>VÄRMLANDS LÄN</t>
        </is>
      </c>
      <c r="E11279" t="inlineStr">
        <is>
          <t>SUNNE</t>
        </is>
      </c>
      <c r="G11279" t="n">
        <v>5.7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40727-2023</t>
        </is>
      </c>
      <c r="B11280" s="1" t="n">
        <v>45170</v>
      </c>
      <c r="C11280" s="1" t="n">
        <v>45810</v>
      </c>
      <c r="D11280" t="inlineStr">
        <is>
          <t>VÄRMLANDS LÄN</t>
        </is>
      </c>
      <c r="E11280" t="inlineStr">
        <is>
          <t>SUNNE</t>
        </is>
      </c>
      <c r="G11280" t="n">
        <v>2.3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41469-2023</t>
        </is>
      </c>
      <c r="B11281" s="1" t="n">
        <v>45170</v>
      </c>
      <c r="C11281" s="1" t="n">
        <v>45810</v>
      </c>
      <c r="D11281" t="inlineStr">
        <is>
          <t>VÄRMLANDS LÄN</t>
        </is>
      </c>
      <c r="E11281" t="inlineStr">
        <is>
          <t>TORSBY</t>
        </is>
      </c>
      <c r="G11281" t="n">
        <v>4.1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40808-2023</t>
        </is>
      </c>
      <c r="B11282" s="1" t="n">
        <v>45171</v>
      </c>
      <c r="C11282" s="1" t="n">
        <v>45810</v>
      </c>
      <c r="D11282" t="inlineStr">
        <is>
          <t>VÄRMLANDS LÄN</t>
        </is>
      </c>
      <c r="E11282" t="inlineStr">
        <is>
          <t>SÄFFLE</t>
        </is>
      </c>
      <c r="G11282" t="n">
        <v>0.3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40807-2023</t>
        </is>
      </c>
      <c r="B11283" s="1" t="n">
        <v>45171</v>
      </c>
      <c r="C11283" s="1" t="n">
        <v>45810</v>
      </c>
      <c r="D11283" t="inlineStr">
        <is>
          <t>VÄRMLANDS LÄN</t>
        </is>
      </c>
      <c r="E11283" t="inlineStr">
        <is>
          <t>SÄFFLE</t>
        </is>
      </c>
      <c r="G11283" t="n">
        <v>1.6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40835-2023</t>
        </is>
      </c>
      <c r="B11284" s="1" t="n">
        <v>45172</v>
      </c>
      <c r="C11284" s="1" t="n">
        <v>45810</v>
      </c>
      <c r="D11284" t="inlineStr">
        <is>
          <t>VÄRMLANDS LÄN</t>
        </is>
      </c>
      <c r="E11284" t="inlineStr">
        <is>
          <t>HAGFORS</t>
        </is>
      </c>
      <c r="G11284" t="n">
        <v>4.7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40838-2023</t>
        </is>
      </c>
      <c r="B11285" s="1" t="n">
        <v>45172</v>
      </c>
      <c r="C11285" s="1" t="n">
        <v>45810</v>
      </c>
      <c r="D11285" t="inlineStr">
        <is>
          <t>VÄRMLANDS LÄN</t>
        </is>
      </c>
      <c r="E11285" t="inlineStr">
        <is>
          <t>SUNNE</t>
        </is>
      </c>
      <c r="G11285" t="n">
        <v>2.5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40858-2023</t>
        </is>
      </c>
      <c r="B11286" s="1" t="n">
        <v>45173</v>
      </c>
      <c r="C11286" s="1" t="n">
        <v>45810</v>
      </c>
      <c r="D11286" t="inlineStr">
        <is>
          <t>VÄRMLANDS LÄN</t>
        </is>
      </c>
      <c r="E11286" t="inlineStr">
        <is>
          <t>TORSBY</t>
        </is>
      </c>
      <c r="G11286" t="n">
        <v>1.3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40853-2023</t>
        </is>
      </c>
      <c r="B11287" s="1" t="n">
        <v>45173</v>
      </c>
      <c r="C11287" s="1" t="n">
        <v>45810</v>
      </c>
      <c r="D11287" t="inlineStr">
        <is>
          <t>VÄRMLANDS LÄN</t>
        </is>
      </c>
      <c r="E11287" t="inlineStr">
        <is>
          <t>SÄFFLE</t>
        </is>
      </c>
      <c r="G11287" t="n">
        <v>4.1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40920-2023</t>
        </is>
      </c>
      <c r="B11288" s="1" t="n">
        <v>45173</v>
      </c>
      <c r="C11288" s="1" t="n">
        <v>45810</v>
      </c>
      <c r="D11288" t="inlineStr">
        <is>
          <t>VÄRMLANDS LÄN</t>
        </is>
      </c>
      <c r="E11288" t="inlineStr">
        <is>
          <t>EDA</t>
        </is>
      </c>
      <c r="G11288" t="n">
        <v>2.9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40971-2023</t>
        </is>
      </c>
      <c r="B11289" s="1" t="n">
        <v>45173</v>
      </c>
      <c r="C11289" s="1" t="n">
        <v>45810</v>
      </c>
      <c r="D11289" t="inlineStr">
        <is>
          <t>VÄRMLANDS LÄN</t>
        </is>
      </c>
      <c r="E11289" t="inlineStr">
        <is>
          <t>TORSBY</t>
        </is>
      </c>
      <c r="G11289" t="n">
        <v>6.1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40859-2023</t>
        </is>
      </c>
      <c r="B11290" s="1" t="n">
        <v>45173</v>
      </c>
      <c r="C11290" s="1" t="n">
        <v>45810</v>
      </c>
      <c r="D11290" t="inlineStr">
        <is>
          <t>VÄRMLANDS LÄN</t>
        </is>
      </c>
      <c r="E11290" t="inlineStr">
        <is>
          <t>SÄFFLE</t>
        </is>
      </c>
      <c r="G11290" t="n">
        <v>2.2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40863-2023</t>
        </is>
      </c>
      <c r="B11291" s="1" t="n">
        <v>45173</v>
      </c>
      <c r="C11291" s="1" t="n">
        <v>45810</v>
      </c>
      <c r="D11291" t="inlineStr">
        <is>
          <t>VÄRMLANDS LÄN</t>
        </is>
      </c>
      <c r="E11291" t="inlineStr">
        <is>
          <t>SÄFFLE</t>
        </is>
      </c>
      <c r="G11291" t="n">
        <v>0.7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40856-2023</t>
        </is>
      </c>
      <c r="B11292" s="1" t="n">
        <v>45173</v>
      </c>
      <c r="C11292" s="1" t="n">
        <v>45810</v>
      </c>
      <c r="D11292" t="inlineStr">
        <is>
          <t>VÄRMLANDS LÄN</t>
        </is>
      </c>
      <c r="E11292" t="inlineStr">
        <is>
          <t>SÄFFLE</t>
        </is>
      </c>
      <c r="G11292" t="n">
        <v>2.3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40868-2023</t>
        </is>
      </c>
      <c r="B11293" s="1" t="n">
        <v>45173</v>
      </c>
      <c r="C11293" s="1" t="n">
        <v>45810</v>
      </c>
      <c r="D11293" t="inlineStr">
        <is>
          <t>VÄRMLANDS LÄN</t>
        </is>
      </c>
      <c r="E11293" t="inlineStr">
        <is>
          <t>EDA</t>
        </is>
      </c>
      <c r="G11293" t="n">
        <v>4.5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41096-2023</t>
        </is>
      </c>
      <c r="B11294" s="1" t="n">
        <v>45173</v>
      </c>
      <c r="C11294" s="1" t="n">
        <v>45810</v>
      </c>
      <c r="D11294" t="inlineStr">
        <is>
          <t>VÄRMLANDS LÄN</t>
        </is>
      </c>
      <c r="E11294" t="inlineStr">
        <is>
          <t>TORSBY</t>
        </is>
      </c>
      <c r="F11294" t="inlineStr">
        <is>
          <t>Bergvik skog väst AB</t>
        </is>
      </c>
      <c r="G11294" t="n">
        <v>2.9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40959-2023</t>
        </is>
      </c>
      <c r="B11295" s="1" t="n">
        <v>45173</v>
      </c>
      <c r="C11295" s="1" t="n">
        <v>45810</v>
      </c>
      <c r="D11295" t="inlineStr">
        <is>
          <t>VÄRMLANDS LÄN</t>
        </is>
      </c>
      <c r="E11295" t="inlineStr">
        <is>
          <t>EDA</t>
        </is>
      </c>
      <c r="G11295" t="n">
        <v>1.1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41047-2023</t>
        </is>
      </c>
      <c r="B11296" s="1" t="n">
        <v>45173</v>
      </c>
      <c r="C11296" s="1" t="n">
        <v>45810</v>
      </c>
      <c r="D11296" t="inlineStr">
        <is>
          <t>VÄRMLANDS LÄN</t>
        </is>
      </c>
      <c r="E11296" t="inlineStr">
        <is>
          <t>EDA</t>
        </is>
      </c>
      <c r="G11296" t="n">
        <v>1.5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41051-2023</t>
        </is>
      </c>
      <c r="B11297" s="1" t="n">
        <v>45173</v>
      </c>
      <c r="C11297" s="1" t="n">
        <v>45810</v>
      </c>
      <c r="D11297" t="inlineStr">
        <is>
          <t>VÄRMLANDS LÄN</t>
        </is>
      </c>
      <c r="E11297" t="inlineStr">
        <is>
          <t>EDA</t>
        </is>
      </c>
      <c r="G11297" t="n">
        <v>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41056-2023</t>
        </is>
      </c>
      <c r="B11298" s="1" t="n">
        <v>45173</v>
      </c>
      <c r="C11298" s="1" t="n">
        <v>45810</v>
      </c>
      <c r="D11298" t="inlineStr">
        <is>
          <t>VÄRMLANDS LÄN</t>
        </is>
      </c>
      <c r="E11298" t="inlineStr">
        <is>
          <t>TORSBY</t>
        </is>
      </c>
      <c r="F11298" t="inlineStr">
        <is>
          <t>Bergvik skog väst AB</t>
        </is>
      </c>
      <c r="G11298" t="n">
        <v>1.3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41075-2023</t>
        </is>
      </c>
      <c r="B11299" s="1" t="n">
        <v>45173</v>
      </c>
      <c r="C11299" s="1" t="n">
        <v>45810</v>
      </c>
      <c r="D11299" t="inlineStr">
        <is>
          <t>VÄRMLANDS LÄN</t>
        </is>
      </c>
      <c r="E11299" t="inlineStr">
        <is>
          <t>FILIPSTAD</t>
        </is>
      </c>
      <c r="F11299" t="inlineStr">
        <is>
          <t>Bergvik skog väst AB</t>
        </is>
      </c>
      <c r="G11299" t="n">
        <v>3.2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41608-2023</t>
        </is>
      </c>
      <c r="B11300" s="1" t="n">
        <v>45173</v>
      </c>
      <c r="C11300" s="1" t="n">
        <v>45810</v>
      </c>
      <c r="D11300" t="inlineStr">
        <is>
          <t>VÄRMLANDS LÄN</t>
        </is>
      </c>
      <c r="E11300" t="inlineStr">
        <is>
          <t>HAGFORS</t>
        </is>
      </c>
      <c r="G11300" t="n">
        <v>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40896-2023</t>
        </is>
      </c>
      <c r="B11301" s="1" t="n">
        <v>45173</v>
      </c>
      <c r="C11301" s="1" t="n">
        <v>45810</v>
      </c>
      <c r="D11301" t="inlineStr">
        <is>
          <t>VÄRMLANDS LÄN</t>
        </is>
      </c>
      <c r="E11301" t="inlineStr">
        <is>
          <t>ARVIKA</t>
        </is>
      </c>
      <c r="G11301" t="n">
        <v>6.6</v>
      </c>
      <c r="H11301" t="n">
        <v>0</v>
      </c>
      <c r="I11301" t="n">
        <v>0</v>
      </c>
      <c r="J11301" t="n">
        <v>0</v>
      </c>
      <c r="K11301" t="n">
        <v>0</v>
      </c>
      <c r="L11301" t="n">
        <v>0</v>
      </c>
      <c r="M11301" t="n">
        <v>0</v>
      </c>
      <c r="N11301" t="n">
        <v>0</v>
      </c>
      <c r="O11301" t="n">
        <v>0</v>
      </c>
      <c r="P11301" t="n">
        <v>0</v>
      </c>
      <c r="Q11301" t="n">
        <v>0</v>
      </c>
      <c r="R11301" s="2" t="inlineStr"/>
      <c r="U11301">
        <f>HYPERLINK("https://klasma.github.io/Logging_1784/knärot/A 40896-2023 karta knärot.png", "A 40896-2023")</f>
        <v/>
      </c>
      <c r="V11301">
        <f>HYPERLINK("https://klasma.github.io/Logging_1784/klagomål/A 40896-2023 FSC-klagomål.docx", "A 40896-2023")</f>
        <v/>
      </c>
      <c r="W11301">
        <f>HYPERLINK("https://klasma.github.io/Logging_1784/klagomålsmail/A 40896-2023 FSC-klagomål mail.docx", "A 40896-2023")</f>
        <v/>
      </c>
      <c r="X11301">
        <f>HYPERLINK("https://klasma.github.io/Logging_1784/tillsyn/A 40896-2023 tillsynsbegäran.docx", "A 40896-2023")</f>
        <v/>
      </c>
      <c r="Y11301">
        <f>HYPERLINK("https://klasma.github.io/Logging_1784/tillsynsmail/A 40896-2023 tillsynsbegäran mail.docx", "A 40896-2023")</f>
        <v/>
      </c>
    </row>
    <row r="11302" ht="15" customHeight="1">
      <c r="A11302" t="inlineStr">
        <is>
          <t>A 41008-2023</t>
        </is>
      </c>
      <c r="B11302" s="1" t="n">
        <v>45173</v>
      </c>
      <c r="C11302" s="1" t="n">
        <v>45810</v>
      </c>
      <c r="D11302" t="inlineStr">
        <is>
          <t>VÄRMLANDS LÄN</t>
        </is>
      </c>
      <c r="E11302" t="inlineStr">
        <is>
          <t>SUNNE</t>
        </is>
      </c>
      <c r="F11302" t="inlineStr">
        <is>
          <t>Övriga Aktiebolag</t>
        </is>
      </c>
      <c r="G11302" t="n">
        <v>12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41022-2023</t>
        </is>
      </c>
      <c r="B11303" s="1" t="n">
        <v>45173</v>
      </c>
      <c r="C11303" s="1" t="n">
        <v>45810</v>
      </c>
      <c r="D11303" t="inlineStr">
        <is>
          <t>VÄRMLANDS LÄN</t>
        </is>
      </c>
      <c r="E11303" t="inlineStr">
        <is>
          <t>TORSBY</t>
        </is>
      </c>
      <c r="G11303" t="n">
        <v>3.8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41033-2023</t>
        </is>
      </c>
      <c r="B11304" s="1" t="n">
        <v>45173</v>
      </c>
      <c r="C11304" s="1" t="n">
        <v>45810</v>
      </c>
      <c r="D11304" t="inlineStr">
        <is>
          <t>VÄRMLANDS LÄN</t>
        </is>
      </c>
      <c r="E11304" t="inlineStr">
        <is>
          <t>EDA</t>
        </is>
      </c>
      <c r="G11304" t="n">
        <v>0.9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41050-2023</t>
        </is>
      </c>
      <c r="B11305" s="1" t="n">
        <v>45173</v>
      </c>
      <c r="C11305" s="1" t="n">
        <v>45810</v>
      </c>
      <c r="D11305" t="inlineStr">
        <is>
          <t>VÄRMLANDS LÄN</t>
        </is>
      </c>
      <c r="E11305" t="inlineStr">
        <is>
          <t>TORSBY</t>
        </is>
      </c>
      <c r="F11305" t="inlineStr">
        <is>
          <t>Bergvik skog väst AB</t>
        </is>
      </c>
      <c r="G11305" t="n">
        <v>0.5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41059-2023</t>
        </is>
      </c>
      <c r="B11306" s="1" t="n">
        <v>45173</v>
      </c>
      <c r="C11306" s="1" t="n">
        <v>45810</v>
      </c>
      <c r="D11306" t="inlineStr">
        <is>
          <t>VÄRMLANDS LÄN</t>
        </is>
      </c>
      <c r="E11306" t="inlineStr">
        <is>
          <t>TORSBY</t>
        </is>
      </c>
      <c r="F11306" t="inlineStr">
        <is>
          <t>Bergvik skog väst AB</t>
        </is>
      </c>
      <c r="G11306" t="n">
        <v>3.4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41189-2023</t>
        </is>
      </c>
      <c r="B11307" s="1" t="n">
        <v>45174</v>
      </c>
      <c r="C11307" s="1" t="n">
        <v>45810</v>
      </c>
      <c r="D11307" t="inlineStr">
        <is>
          <t>VÄRMLANDS LÄN</t>
        </is>
      </c>
      <c r="E11307" t="inlineStr">
        <is>
          <t>HAGFORS</t>
        </is>
      </c>
      <c r="G11307" t="n">
        <v>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41230-2023</t>
        </is>
      </c>
      <c r="B11308" s="1" t="n">
        <v>45174</v>
      </c>
      <c r="C11308" s="1" t="n">
        <v>45810</v>
      </c>
      <c r="D11308" t="inlineStr">
        <is>
          <t>VÄRMLANDS LÄN</t>
        </is>
      </c>
      <c r="E11308" t="inlineStr">
        <is>
          <t>KARLSTAD</t>
        </is>
      </c>
      <c r="G11308" t="n">
        <v>1.1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41247-2023</t>
        </is>
      </c>
      <c r="B11309" s="1" t="n">
        <v>45174</v>
      </c>
      <c r="C11309" s="1" t="n">
        <v>45810</v>
      </c>
      <c r="D11309" t="inlineStr">
        <is>
          <t>VÄRMLANDS LÄN</t>
        </is>
      </c>
      <c r="E11309" t="inlineStr">
        <is>
          <t>ARVIKA</t>
        </is>
      </c>
      <c r="F11309" t="inlineStr">
        <is>
          <t>Bergvik skog väst AB</t>
        </is>
      </c>
      <c r="G11309" t="n">
        <v>5.3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41303-2023</t>
        </is>
      </c>
      <c r="B11310" s="1" t="n">
        <v>45174</v>
      </c>
      <c r="C11310" s="1" t="n">
        <v>45810</v>
      </c>
      <c r="D11310" t="inlineStr">
        <is>
          <t>VÄRMLANDS LÄN</t>
        </is>
      </c>
      <c r="E11310" t="inlineStr">
        <is>
          <t>STORFORS</t>
        </is>
      </c>
      <c r="F11310" t="inlineStr">
        <is>
          <t>Bergvik skog väst AB</t>
        </is>
      </c>
      <c r="G11310" t="n">
        <v>20.3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41321-2023</t>
        </is>
      </c>
      <c r="B11311" s="1" t="n">
        <v>45174</v>
      </c>
      <c r="C11311" s="1" t="n">
        <v>45810</v>
      </c>
      <c r="D11311" t="inlineStr">
        <is>
          <t>VÄRMLANDS LÄN</t>
        </is>
      </c>
      <c r="E11311" t="inlineStr">
        <is>
          <t>KARLSTAD</t>
        </is>
      </c>
      <c r="G11311" t="n">
        <v>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41325-2023</t>
        </is>
      </c>
      <c r="B11312" s="1" t="n">
        <v>45174</v>
      </c>
      <c r="C11312" s="1" t="n">
        <v>45810</v>
      </c>
      <c r="D11312" t="inlineStr">
        <is>
          <t>VÄRMLANDS LÄN</t>
        </is>
      </c>
      <c r="E11312" t="inlineStr">
        <is>
          <t>STORFORS</t>
        </is>
      </c>
      <c r="F11312" t="inlineStr">
        <is>
          <t>Bergvik skog väst AB</t>
        </is>
      </c>
      <c r="G11312" t="n">
        <v>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41214-2023</t>
        </is>
      </c>
      <c r="B11313" s="1" t="n">
        <v>45174</v>
      </c>
      <c r="C11313" s="1" t="n">
        <v>45810</v>
      </c>
      <c r="D11313" t="inlineStr">
        <is>
          <t>VÄRMLANDS LÄN</t>
        </is>
      </c>
      <c r="E11313" t="inlineStr">
        <is>
          <t>STORFORS</t>
        </is>
      </c>
      <c r="F11313" t="inlineStr">
        <is>
          <t>Bergvik skog väst AB</t>
        </is>
      </c>
      <c r="G11313" t="n">
        <v>51.6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41304-2023</t>
        </is>
      </c>
      <c r="B11314" s="1" t="n">
        <v>45174</v>
      </c>
      <c r="C11314" s="1" t="n">
        <v>45810</v>
      </c>
      <c r="D11314" t="inlineStr">
        <is>
          <t>VÄRMLANDS LÄN</t>
        </is>
      </c>
      <c r="E11314" t="inlineStr">
        <is>
          <t>FILIPSTAD</t>
        </is>
      </c>
      <c r="G11314" t="n">
        <v>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41338-2023</t>
        </is>
      </c>
      <c r="B11315" s="1" t="n">
        <v>45174</v>
      </c>
      <c r="C11315" s="1" t="n">
        <v>45810</v>
      </c>
      <c r="D11315" t="inlineStr">
        <is>
          <t>VÄRMLANDS LÄN</t>
        </is>
      </c>
      <c r="E11315" t="inlineStr">
        <is>
          <t>KRISTINEHAMN</t>
        </is>
      </c>
      <c r="G11315" t="n">
        <v>1.1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41156-2023</t>
        </is>
      </c>
      <c r="B11316" s="1" t="n">
        <v>45174</v>
      </c>
      <c r="C11316" s="1" t="n">
        <v>45810</v>
      </c>
      <c r="D11316" t="inlineStr">
        <is>
          <t>VÄRMLANDS LÄN</t>
        </is>
      </c>
      <c r="E11316" t="inlineStr">
        <is>
          <t>TORSBY</t>
        </is>
      </c>
      <c r="F11316" t="inlineStr">
        <is>
          <t>Kyrkan</t>
        </is>
      </c>
      <c r="G11316" t="n">
        <v>3.1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41160-2023</t>
        </is>
      </c>
      <c r="B11317" s="1" t="n">
        <v>45174</v>
      </c>
      <c r="C11317" s="1" t="n">
        <v>45810</v>
      </c>
      <c r="D11317" t="inlineStr">
        <is>
          <t>VÄRMLANDS LÄN</t>
        </is>
      </c>
      <c r="E11317" t="inlineStr">
        <is>
          <t>TORSBY</t>
        </is>
      </c>
      <c r="F11317" t="inlineStr">
        <is>
          <t>Kyrkan</t>
        </is>
      </c>
      <c r="G11317" t="n">
        <v>2.7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41208-2023</t>
        </is>
      </c>
      <c r="B11318" s="1" t="n">
        <v>45174</v>
      </c>
      <c r="C11318" s="1" t="n">
        <v>45810</v>
      </c>
      <c r="D11318" t="inlineStr">
        <is>
          <t>VÄRMLANDS LÄN</t>
        </is>
      </c>
      <c r="E11318" t="inlineStr">
        <is>
          <t>SUNNE</t>
        </is>
      </c>
      <c r="G11318" t="n">
        <v>1.6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41246-2023</t>
        </is>
      </c>
      <c r="B11319" s="1" t="n">
        <v>45174</v>
      </c>
      <c r="C11319" s="1" t="n">
        <v>45810</v>
      </c>
      <c r="D11319" t="inlineStr">
        <is>
          <t>VÄRMLANDS LÄN</t>
        </is>
      </c>
      <c r="E11319" t="inlineStr">
        <is>
          <t>TORSBY</t>
        </is>
      </c>
      <c r="G11319" t="n">
        <v>0.8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41270-2023</t>
        </is>
      </c>
      <c r="B11320" s="1" t="n">
        <v>45174</v>
      </c>
      <c r="C11320" s="1" t="n">
        <v>45810</v>
      </c>
      <c r="D11320" t="inlineStr">
        <is>
          <t>VÄRMLANDS LÄN</t>
        </is>
      </c>
      <c r="E11320" t="inlineStr">
        <is>
          <t>TORSBY</t>
        </is>
      </c>
      <c r="G11320" t="n">
        <v>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41310-2023</t>
        </is>
      </c>
      <c r="B11321" s="1" t="n">
        <v>45174</v>
      </c>
      <c r="C11321" s="1" t="n">
        <v>45810</v>
      </c>
      <c r="D11321" t="inlineStr">
        <is>
          <t>VÄRMLANDS LÄN</t>
        </is>
      </c>
      <c r="E11321" t="inlineStr">
        <is>
          <t>ARVIKA</t>
        </is>
      </c>
      <c r="G11321" t="n">
        <v>0.5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41265-2023</t>
        </is>
      </c>
      <c r="B11322" s="1" t="n">
        <v>45174</v>
      </c>
      <c r="C11322" s="1" t="n">
        <v>45810</v>
      </c>
      <c r="D11322" t="inlineStr">
        <is>
          <t>VÄRMLANDS LÄN</t>
        </is>
      </c>
      <c r="E11322" t="inlineStr">
        <is>
          <t>STORFORS</t>
        </is>
      </c>
      <c r="F11322" t="inlineStr">
        <is>
          <t>Bergvik skog väst AB</t>
        </is>
      </c>
      <c r="G11322" t="n">
        <v>29.7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41269-2023</t>
        </is>
      </c>
      <c r="B11323" s="1" t="n">
        <v>45174</v>
      </c>
      <c r="C11323" s="1" t="n">
        <v>45810</v>
      </c>
      <c r="D11323" t="inlineStr">
        <is>
          <t>VÄRMLANDS LÄN</t>
        </is>
      </c>
      <c r="E11323" t="inlineStr">
        <is>
          <t>ÅRJÄNG</t>
        </is>
      </c>
      <c r="G11323" t="n">
        <v>2.1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41283-2023</t>
        </is>
      </c>
      <c r="B11324" s="1" t="n">
        <v>45174</v>
      </c>
      <c r="C11324" s="1" t="n">
        <v>45810</v>
      </c>
      <c r="D11324" t="inlineStr">
        <is>
          <t>VÄRMLANDS LÄN</t>
        </is>
      </c>
      <c r="E11324" t="inlineStr">
        <is>
          <t>ÅRJÄNG</t>
        </is>
      </c>
      <c r="G11324" t="n">
        <v>9.6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41319-2023</t>
        </is>
      </c>
      <c r="B11325" s="1" t="n">
        <v>45174</v>
      </c>
      <c r="C11325" s="1" t="n">
        <v>45810</v>
      </c>
      <c r="D11325" t="inlineStr">
        <is>
          <t>VÄRMLANDS LÄN</t>
        </is>
      </c>
      <c r="E11325" t="inlineStr">
        <is>
          <t>EDA</t>
        </is>
      </c>
      <c r="G11325" t="n">
        <v>2.2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41323-2023</t>
        </is>
      </c>
      <c r="B11326" s="1" t="n">
        <v>45174</v>
      </c>
      <c r="C11326" s="1" t="n">
        <v>45810</v>
      </c>
      <c r="D11326" t="inlineStr">
        <is>
          <t>VÄRMLANDS LÄN</t>
        </is>
      </c>
      <c r="E11326" t="inlineStr">
        <is>
          <t>EDA</t>
        </is>
      </c>
      <c r="G11326" t="n">
        <v>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41379-2023</t>
        </is>
      </c>
      <c r="B11327" s="1" t="n">
        <v>45174</v>
      </c>
      <c r="C11327" s="1" t="n">
        <v>45810</v>
      </c>
      <c r="D11327" t="inlineStr">
        <is>
          <t>VÄRMLANDS LÄN</t>
        </is>
      </c>
      <c r="E11327" t="inlineStr">
        <is>
          <t>SUNNE</t>
        </is>
      </c>
      <c r="G11327" t="n">
        <v>1.9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41709-2023</t>
        </is>
      </c>
      <c r="B11328" s="1" t="n">
        <v>45174</v>
      </c>
      <c r="C11328" s="1" t="n">
        <v>45810</v>
      </c>
      <c r="D11328" t="inlineStr">
        <is>
          <t>VÄRMLANDS LÄN</t>
        </is>
      </c>
      <c r="E11328" t="inlineStr">
        <is>
          <t>EDA</t>
        </is>
      </c>
      <c r="G11328" t="n">
        <v>3.2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42069-2023</t>
        </is>
      </c>
      <c r="B11329" s="1" t="n">
        <v>45174</v>
      </c>
      <c r="C11329" s="1" t="n">
        <v>45810</v>
      </c>
      <c r="D11329" t="inlineStr">
        <is>
          <t>VÄRMLANDS LÄN</t>
        </is>
      </c>
      <c r="E11329" t="inlineStr">
        <is>
          <t>TORSBY</t>
        </is>
      </c>
      <c r="G11329" t="n">
        <v>8.699999999999999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42060-2023</t>
        </is>
      </c>
      <c r="B11330" s="1" t="n">
        <v>45174</v>
      </c>
      <c r="C11330" s="1" t="n">
        <v>45810</v>
      </c>
      <c r="D11330" t="inlineStr">
        <is>
          <t>VÄRMLANDS LÄN</t>
        </is>
      </c>
      <c r="E11330" t="inlineStr">
        <is>
          <t>TORSBY</t>
        </is>
      </c>
      <c r="G11330" t="n">
        <v>9.6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41417-2023</t>
        </is>
      </c>
      <c r="B11331" s="1" t="n">
        <v>45175</v>
      </c>
      <c r="C11331" s="1" t="n">
        <v>45810</v>
      </c>
      <c r="D11331" t="inlineStr">
        <is>
          <t>VÄRMLANDS LÄN</t>
        </is>
      </c>
      <c r="E11331" t="inlineStr">
        <is>
          <t>EDA</t>
        </is>
      </c>
      <c r="G11331" t="n">
        <v>1.3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41429-2023</t>
        </is>
      </c>
      <c r="B11332" s="1" t="n">
        <v>45175</v>
      </c>
      <c r="C11332" s="1" t="n">
        <v>45810</v>
      </c>
      <c r="D11332" t="inlineStr">
        <is>
          <t>VÄRMLANDS LÄN</t>
        </is>
      </c>
      <c r="E11332" t="inlineStr">
        <is>
          <t>GRUMS</t>
        </is>
      </c>
      <c r="G11332" t="n">
        <v>0.8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41488-2023</t>
        </is>
      </c>
      <c r="B11333" s="1" t="n">
        <v>45175</v>
      </c>
      <c r="C11333" s="1" t="n">
        <v>45810</v>
      </c>
      <c r="D11333" t="inlineStr">
        <is>
          <t>VÄRMLANDS LÄN</t>
        </is>
      </c>
      <c r="E11333" t="inlineStr">
        <is>
          <t>TORSBY</t>
        </is>
      </c>
      <c r="F11333" t="inlineStr">
        <is>
          <t>Kyrkan</t>
        </is>
      </c>
      <c r="G11333" t="n">
        <v>4.1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41427-2023</t>
        </is>
      </c>
      <c r="B11334" s="1" t="n">
        <v>45175</v>
      </c>
      <c r="C11334" s="1" t="n">
        <v>45810</v>
      </c>
      <c r="D11334" t="inlineStr">
        <is>
          <t>VÄRMLANDS LÄN</t>
        </is>
      </c>
      <c r="E11334" t="inlineStr">
        <is>
          <t>GRUMS</t>
        </is>
      </c>
      <c r="G11334" t="n">
        <v>6.1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41468-2023</t>
        </is>
      </c>
      <c r="B11335" s="1" t="n">
        <v>45175</v>
      </c>
      <c r="C11335" s="1" t="n">
        <v>45810</v>
      </c>
      <c r="D11335" t="inlineStr">
        <is>
          <t>VÄRMLANDS LÄN</t>
        </is>
      </c>
      <c r="E11335" t="inlineStr">
        <is>
          <t>KIL</t>
        </is>
      </c>
      <c r="F11335" t="inlineStr">
        <is>
          <t>Kommuner</t>
        </is>
      </c>
      <c r="G11335" t="n">
        <v>3.8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41438-2023</t>
        </is>
      </c>
      <c r="B11336" s="1" t="n">
        <v>45175</v>
      </c>
      <c r="C11336" s="1" t="n">
        <v>45810</v>
      </c>
      <c r="D11336" t="inlineStr">
        <is>
          <t>VÄRMLANDS LÄN</t>
        </is>
      </c>
      <c r="E11336" t="inlineStr">
        <is>
          <t>TORSBY</t>
        </is>
      </c>
      <c r="F11336" t="inlineStr">
        <is>
          <t>Kyrkan</t>
        </is>
      </c>
      <c r="G11336" t="n">
        <v>8.199999999999999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41505-2023</t>
        </is>
      </c>
      <c r="B11337" s="1" t="n">
        <v>45175</v>
      </c>
      <c r="C11337" s="1" t="n">
        <v>45810</v>
      </c>
      <c r="D11337" t="inlineStr">
        <is>
          <t>VÄRMLANDS LÄN</t>
        </is>
      </c>
      <c r="E11337" t="inlineStr">
        <is>
          <t>EDA</t>
        </is>
      </c>
      <c r="G11337" t="n">
        <v>0.8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41510-2023</t>
        </is>
      </c>
      <c r="B11338" s="1" t="n">
        <v>45175</v>
      </c>
      <c r="C11338" s="1" t="n">
        <v>45810</v>
      </c>
      <c r="D11338" t="inlineStr">
        <is>
          <t>VÄRMLANDS LÄN</t>
        </is>
      </c>
      <c r="E11338" t="inlineStr">
        <is>
          <t>KARLSTAD</t>
        </is>
      </c>
      <c r="G11338" t="n">
        <v>0.5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41514-2023</t>
        </is>
      </c>
      <c r="B11339" s="1" t="n">
        <v>45175</v>
      </c>
      <c r="C11339" s="1" t="n">
        <v>45810</v>
      </c>
      <c r="D11339" t="inlineStr">
        <is>
          <t>VÄRMLANDS LÄN</t>
        </is>
      </c>
      <c r="E11339" t="inlineStr">
        <is>
          <t>EDA</t>
        </is>
      </c>
      <c r="G11339" t="n">
        <v>1.7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41534-2023</t>
        </is>
      </c>
      <c r="B11340" s="1" t="n">
        <v>45175</v>
      </c>
      <c r="C11340" s="1" t="n">
        <v>45810</v>
      </c>
      <c r="D11340" t="inlineStr">
        <is>
          <t>VÄRMLANDS LÄN</t>
        </is>
      </c>
      <c r="E11340" t="inlineStr">
        <is>
          <t>KARLSTAD</t>
        </is>
      </c>
      <c r="F11340" t="inlineStr">
        <is>
          <t>Övriga Aktiebolag</t>
        </is>
      </c>
      <c r="G11340" t="n">
        <v>1.3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41554-2023</t>
        </is>
      </c>
      <c r="B11341" s="1" t="n">
        <v>45175</v>
      </c>
      <c r="C11341" s="1" t="n">
        <v>45810</v>
      </c>
      <c r="D11341" t="inlineStr">
        <is>
          <t>VÄRMLANDS LÄN</t>
        </is>
      </c>
      <c r="E11341" t="inlineStr">
        <is>
          <t>STORFORS</t>
        </is>
      </c>
      <c r="G11341" t="n">
        <v>1.1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41508-2023</t>
        </is>
      </c>
      <c r="B11342" s="1" t="n">
        <v>45175</v>
      </c>
      <c r="C11342" s="1" t="n">
        <v>45810</v>
      </c>
      <c r="D11342" t="inlineStr">
        <is>
          <t>VÄRMLANDS LÄN</t>
        </is>
      </c>
      <c r="E11342" t="inlineStr">
        <is>
          <t>KARLSTAD</t>
        </is>
      </c>
      <c r="G11342" t="n">
        <v>1.3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41431-2023</t>
        </is>
      </c>
      <c r="B11343" s="1" t="n">
        <v>45175</v>
      </c>
      <c r="C11343" s="1" t="n">
        <v>45810</v>
      </c>
      <c r="D11343" t="inlineStr">
        <is>
          <t>VÄRMLANDS LÄN</t>
        </is>
      </c>
      <c r="E11343" t="inlineStr">
        <is>
          <t>TORSBY</t>
        </is>
      </c>
      <c r="F11343" t="inlineStr">
        <is>
          <t>Bergvik skog väst AB</t>
        </is>
      </c>
      <c r="G11343" t="n">
        <v>14.7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41551-2023</t>
        </is>
      </c>
      <c r="B11344" s="1" t="n">
        <v>45175</v>
      </c>
      <c r="C11344" s="1" t="n">
        <v>45810</v>
      </c>
      <c r="D11344" t="inlineStr">
        <is>
          <t>VÄRMLANDS LÄN</t>
        </is>
      </c>
      <c r="E11344" t="inlineStr">
        <is>
          <t>STORFORS</t>
        </is>
      </c>
      <c r="G11344" t="n">
        <v>0.8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41565-2023</t>
        </is>
      </c>
      <c r="B11345" s="1" t="n">
        <v>45175</v>
      </c>
      <c r="C11345" s="1" t="n">
        <v>45810</v>
      </c>
      <c r="D11345" t="inlineStr">
        <is>
          <t>VÄRMLANDS LÄN</t>
        </is>
      </c>
      <c r="E11345" t="inlineStr">
        <is>
          <t>KARLSTAD</t>
        </is>
      </c>
      <c r="F11345" t="inlineStr">
        <is>
          <t>Övriga Aktiebolag</t>
        </is>
      </c>
      <c r="G11345" t="n">
        <v>1.7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41563-2023</t>
        </is>
      </c>
      <c r="B11346" s="1" t="n">
        <v>45175</v>
      </c>
      <c r="C11346" s="1" t="n">
        <v>45810</v>
      </c>
      <c r="D11346" t="inlineStr">
        <is>
          <t>VÄRMLANDS LÄN</t>
        </is>
      </c>
      <c r="E11346" t="inlineStr">
        <is>
          <t>KARLSTAD</t>
        </is>
      </c>
      <c r="F11346" t="inlineStr">
        <is>
          <t>Övriga Aktiebolag</t>
        </is>
      </c>
      <c r="G11346" t="n">
        <v>1.6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41568-2023</t>
        </is>
      </c>
      <c r="B11347" s="1" t="n">
        <v>45175</v>
      </c>
      <c r="C11347" s="1" t="n">
        <v>45810</v>
      </c>
      <c r="D11347" t="inlineStr">
        <is>
          <t>VÄRMLANDS LÄN</t>
        </is>
      </c>
      <c r="E11347" t="inlineStr">
        <is>
          <t>KARLSTAD</t>
        </is>
      </c>
      <c r="F11347" t="inlineStr">
        <is>
          <t>Övriga Aktiebolag</t>
        </is>
      </c>
      <c r="G11347" t="n">
        <v>1.1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41603-2023</t>
        </is>
      </c>
      <c r="B11348" s="1" t="n">
        <v>45175</v>
      </c>
      <c r="C11348" s="1" t="n">
        <v>45810</v>
      </c>
      <c r="D11348" t="inlineStr">
        <is>
          <t>VÄRMLANDS LÄN</t>
        </is>
      </c>
      <c r="E11348" t="inlineStr">
        <is>
          <t>HAGFORS</t>
        </is>
      </c>
      <c r="G11348" t="n">
        <v>1.5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41607-2023</t>
        </is>
      </c>
      <c r="B11349" s="1" t="n">
        <v>45175</v>
      </c>
      <c r="C11349" s="1" t="n">
        <v>45810</v>
      </c>
      <c r="D11349" t="inlineStr">
        <is>
          <t>VÄRMLANDS LÄN</t>
        </is>
      </c>
      <c r="E11349" t="inlineStr">
        <is>
          <t>ARVIKA</t>
        </is>
      </c>
      <c r="G11349" t="n">
        <v>5.3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42349-2023</t>
        </is>
      </c>
      <c r="B11350" s="1" t="n">
        <v>45175</v>
      </c>
      <c r="C11350" s="1" t="n">
        <v>45810</v>
      </c>
      <c r="D11350" t="inlineStr">
        <is>
          <t>VÄRMLANDS LÄN</t>
        </is>
      </c>
      <c r="E11350" t="inlineStr">
        <is>
          <t>SUNNE</t>
        </is>
      </c>
      <c r="G11350" t="n">
        <v>0.9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41830-2023</t>
        </is>
      </c>
      <c r="B11351" s="1" t="n">
        <v>45176</v>
      </c>
      <c r="C11351" s="1" t="n">
        <v>45810</v>
      </c>
      <c r="D11351" t="inlineStr">
        <is>
          <t>VÄRMLANDS LÄN</t>
        </is>
      </c>
      <c r="E11351" t="inlineStr">
        <is>
          <t>SÄFFLE</t>
        </is>
      </c>
      <c r="F11351" t="inlineStr">
        <is>
          <t>Kyrkan</t>
        </is>
      </c>
      <c r="G11351" t="n">
        <v>9.1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41867-2023</t>
        </is>
      </c>
      <c r="B11352" s="1" t="n">
        <v>45176</v>
      </c>
      <c r="C11352" s="1" t="n">
        <v>45810</v>
      </c>
      <c r="D11352" t="inlineStr">
        <is>
          <t>VÄRMLANDS LÄN</t>
        </is>
      </c>
      <c r="E11352" t="inlineStr">
        <is>
          <t>TORSBY</t>
        </is>
      </c>
      <c r="F11352" t="inlineStr">
        <is>
          <t>Bergvik skog väst AB</t>
        </is>
      </c>
      <c r="G11352" t="n">
        <v>3.6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41717-2023</t>
        </is>
      </c>
      <c r="B11353" s="1" t="n">
        <v>45176</v>
      </c>
      <c r="C11353" s="1" t="n">
        <v>45810</v>
      </c>
      <c r="D11353" t="inlineStr">
        <is>
          <t>VÄRMLANDS LÄN</t>
        </is>
      </c>
      <c r="E11353" t="inlineStr">
        <is>
          <t>SUNNE</t>
        </is>
      </c>
      <c r="G11353" t="n">
        <v>0.6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41692-2023</t>
        </is>
      </c>
      <c r="B11354" s="1" t="n">
        <v>45176</v>
      </c>
      <c r="C11354" s="1" t="n">
        <v>45810</v>
      </c>
      <c r="D11354" t="inlineStr">
        <is>
          <t>VÄRMLANDS LÄN</t>
        </is>
      </c>
      <c r="E11354" t="inlineStr">
        <is>
          <t>ARVIKA</t>
        </is>
      </c>
      <c r="G11354" t="n">
        <v>3.5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41705-2023</t>
        </is>
      </c>
      <c r="B11355" s="1" t="n">
        <v>45176</v>
      </c>
      <c r="C11355" s="1" t="n">
        <v>45810</v>
      </c>
      <c r="D11355" t="inlineStr">
        <is>
          <t>VÄRMLANDS LÄN</t>
        </is>
      </c>
      <c r="E11355" t="inlineStr">
        <is>
          <t>EDA</t>
        </is>
      </c>
      <c r="G11355" t="n">
        <v>3.5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41687-2023</t>
        </is>
      </c>
      <c r="B11356" s="1" t="n">
        <v>45176</v>
      </c>
      <c r="C11356" s="1" t="n">
        <v>45810</v>
      </c>
      <c r="D11356" t="inlineStr">
        <is>
          <t>VÄRMLANDS LÄN</t>
        </is>
      </c>
      <c r="E11356" t="inlineStr">
        <is>
          <t>EDA</t>
        </is>
      </c>
      <c r="G11356" t="n">
        <v>1.9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41743-2023</t>
        </is>
      </c>
      <c r="B11357" s="1" t="n">
        <v>45176</v>
      </c>
      <c r="C11357" s="1" t="n">
        <v>45810</v>
      </c>
      <c r="D11357" t="inlineStr">
        <is>
          <t>VÄRMLANDS LÄN</t>
        </is>
      </c>
      <c r="E11357" t="inlineStr">
        <is>
          <t>EDA</t>
        </is>
      </c>
      <c r="G11357" t="n">
        <v>2.2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41804-2023</t>
        </is>
      </c>
      <c r="B11358" s="1" t="n">
        <v>45176</v>
      </c>
      <c r="C11358" s="1" t="n">
        <v>45810</v>
      </c>
      <c r="D11358" t="inlineStr">
        <is>
          <t>VÄRMLANDS LÄN</t>
        </is>
      </c>
      <c r="E11358" t="inlineStr">
        <is>
          <t>SÄFFLE</t>
        </is>
      </c>
      <c r="G11358" t="n">
        <v>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41833-2023</t>
        </is>
      </c>
      <c r="B11359" s="1" t="n">
        <v>45176</v>
      </c>
      <c r="C11359" s="1" t="n">
        <v>45810</v>
      </c>
      <c r="D11359" t="inlineStr">
        <is>
          <t>VÄRMLANDS LÄN</t>
        </is>
      </c>
      <c r="E11359" t="inlineStr">
        <is>
          <t>TORSBY</t>
        </is>
      </c>
      <c r="F11359" t="inlineStr">
        <is>
          <t>Bergvik skog väst AB</t>
        </is>
      </c>
      <c r="G11359" t="n">
        <v>21.7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41841-2023</t>
        </is>
      </c>
      <c r="B11360" s="1" t="n">
        <v>45176</v>
      </c>
      <c r="C11360" s="1" t="n">
        <v>45810</v>
      </c>
      <c r="D11360" t="inlineStr">
        <is>
          <t>VÄRMLANDS LÄN</t>
        </is>
      </c>
      <c r="E11360" t="inlineStr">
        <is>
          <t>TORSBY</t>
        </is>
      </c>
      <c r="G11360" t="n">
        <v>6.3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41846-2023</t>
        </is>
      </c>
      <c r="B11361" s="1" t="n">
        <v>45176</v>
      </c>
      <c r="C11361" s="1" t="n">
        <v>45810</v>
      </c>
      <c r="D11361" t="inlineStr">
        <is>
          <t>VÄRMLANDS LÄN</t>
        </is>
      </c>
      <c r="E11361" t="inlineStr">
        <is>
          <t>EDA</t>
        </is>
      </c>
      <c r="G11361" t="n">
        <v>4.2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41857-2023</t>
        </is>
      </c>
      <c r="B11362" s="1" t="n">
        <v>45176</v>
      </c>
      <c r="C11362" s="1" t="n">
        <v>45810</v>
      </c>
      <c r="D11362" t="inlineStr">
        <is>
          <t>VÄRMLANDS LÄN</t>
        </is>
      </c>
      <c r="E11362" t="inlineStr">
        <is>
          <t>KRISTINEHAMN</t>
        </is>
      </c>
      <c r="F11362" t="inlineStr">
        <is>
          <t>Naturvårdsverket</t>
        </is>
      </c>
      <c r="G11362" t="n">
        <v>1.8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41875-2023</t>
        </is>
      </c>
      <c r="B11363" s="1" t="n">
        <v>45176</v>
      </c>
      <c r="C11363" s="1" t="n">
        <v>45810</v>
      </c>
      <c r="D11363" t="inlineStr">
        <is>
          <t>VÄRMLANDS LÄN</t>
        </is>
      </c>
      <c r="E11363" t="inlineStr">
        <is>
          <t>STORFORS</t>
        </is>
      </c>
      <c r="G11363" t="n">
        <v>2.7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41885-2023</t>
        </is>
      </c>
      <c r="B11364" s="1" t="n">
        <v>45176</v>
      </c>
      <c r="C11364" s="1" t="n">
        <v>45810</v>
      </c>
      <c r="D11364" t="inlineStr">
        <is>
          <t>VÄRMLANDS LÄN</t>
        </is>
      </c>
      <c r="E11364" t="inlineStr">
        <is>
          <t>TORSBY</t>
        </is>
      </c>
      <c r="F11364" t="inlineStr">
        <is>
          <t>Bergvik skog väst AB</t>
        </is>
      </c>
      <c r="G11364" t="n">
        <v>3.7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41897-2023</t>
        </is>
      </c>
      <c r="B11365" s="1" t="n">
        <v>45176</v>
      </c>
      <c r="C11365" s="1" t="n">
        <v>45810</v>
      </c>
      <c r="D11365" t="inlineStr">
        <is>
          <t>VÄRMLANDS LÄN</t>
        </is>
      </c>
      <c r="E11365" t="inlineStr">
        <is>
          <t>HAMMARÖ</t>
        </is>
      </c>
      <c r="F11365" t="inlineStr">
        <is>
          <t>Övriga Aktiebolag</t>
        </is>
      </c>
      <c r="G11365" t="n">
        <v>2.2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41742-2023</t>
        </is>
      </c>
      <c r="B11366" s="1" t="n">
        <v>45176</v>
      </c>
      <c r="C11366" s="1" t="n">
        <v>45810</v>
      </c>
      <c r="D11366" t="inlineStr">
        <is>
          <t>VÄRMLANDS LÄN</t>
        </is>
      </c>
      <c r="E11366" t="inlineStr">
        <is>
          <t>EDA</t>
        </is>
      </c>
      <c r="G11366" t="n">
        <v>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41779-2023</t>
        </is>
      </c>
      <c r="B11367" s="1" t="n">
        <v>45176</v>
      </c>
      <c r="C11367" s="1" t="n">
        <v>45810</v>
      </c>
      <c r="D11367" t="inlineStr">
        <is>
          <t>VÄRMLANDS LÄN</t>
        </is>
      </c>
      <c r="E11367" t="inlineStr">
        <is>
          <t>EDA</t>
        </is>
      </c>
      <c r="G11367" t="n">
        <v>9.199999999999999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41836-2023</t>
        </is>
      </c>
      <c r="B11368" s="1" t="n">
        <v>45176</v>
      </c>
      <c r="C11368" s="1" t="n">
        <v>45810</v>
      </c>
      <c r="D11368" t="inlineStr">
        <is>
          <t>VÄRMLANDS LÄN</t>
        </is>
      </c>
      <c r="E11368" t="inlineStr">
        <is>
          <t>EDA</t>
        </is>
      </c>
      <c r="G11368" t="n">
        <v>1.9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41892-2023</t>
        </is>
      </c>
      <c r="B11369" s="1" t="n">
        <v>45176</v>
      </c>
      <c r="C11369" s="1" t="n">
        <v>45810</v>
      </c>
      <c r="D11369" t="inlineStr">
        <is>
          <t>VÄRMLANDS LÄN</t>
        </is>
      </c>
      <c r="E11369" t="inlineStr">
        <is>
          <t>HAMMARÖ</t>
        </is>
      </c>
      <c r="F11369" t="inlineStr">
        <is>
          <t>Övriga Aktiebolag</t>
        </is>
      </c>
      <c r="G11369" t="n">
        <v>1.2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41831-2023</t>
        </is>
      </c>
      <c r="B11370" s="1" t="n">
        <v>45176</v>
      </c>
      <c r="C11370" s="1" t="n">
        <v>45810</v>
      </c>
      <c r="D11370" t="inlineStr">
        <is>
          <t>VÄRMLANDS LÄN</t>
        </is>
      </c>
      <c r="E11370" t="inlineStr">
        <is>
          <t>SUNNE</t>
        </is>
      </c>
      <c r="G11370" t="n">
        <v>3.4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41843-2023</t>
        </is>
      </c>
      <c r="B11371" s="1" t="n">
        <v>45176</v>
      </c>
      <c r="C11371" s="1" t="n">
        <v>45810</v>
      </c>
      <c r="D11371" t="inlineStr">
        <is>
          <t>VÄRMLANDS LÄN</t>
        </is>
      </c>
      <c r="E11371" t="inlineStr">
        <is>
          <t>TORSBY</t>
        </is>
      </c>
      <c r="G11371" t="n">
        <v>2.2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41868-2023</t>
        </is>
      </c>
      <c r="B11372" s="1" t="n">
        <v>45176</v>
      </c>
      <c r="C11372" s="1" t="n">
        <v>45810</v>
      </c>
      <c r="D11372" t="inlineStr">
        <is>
          <t>VÄRMLANDS LÄN</t>
        </is>
      </c>
      <c r="E11372" t="inlineStr">
        <is>
          <t>TORSBY</t>
        </is>
      </c>
      <c r="F11372" t="inlineStr">
        <is>
          <t>Bergvik skog väst AB</t>
        </is>
      </c>
      <c r="G11372" t="n">
        <v>11.6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41878-2023</t>
        </is>
      </c>
      <c r="B11373" s="1" t="n">
        <v>45176</v>
      </c>
      <c r="C11373" s="1" t="n">
        <v>45810</v>
      </c>
      <c r="D11373" t="inlineStr">
        <is>
          <t>VÄRMLANDS LÄN</t>
        </is>
      </c>
      <c r="E11373" t="inlineStr">
        <is>
          <t>ARVIKA</t>
        </is>
      </c>
      <c r="G11373" t="n">
        <v>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41891-2023</t>
        </is>
      </c>
      <c r="B11374" s="1" t="n">
        <v>45176</v>
      </c>
      <c r="C11374" s="1" t="n">
        <v>45810</v>
      </c>
      <c r="D11374" t="inlineStr">
        <is>
          <t>VÄRMLANDS LÄN</t>
        </is>
      </c>
      <c r="E11374" t="inlineStr">
        <is>
          <t>HAMMARÖ</t>
        </is>
      </c>
      <c r="F11374" t="inlineStr">
        <is>
          <t>Övriga Aktiebolag</t>
        </is>
      </c>
      <c r="G11374" t="n">
        <v>0.7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41895-2023</t>
        </is>
      </c>
      <c r="B11375" s="1" t="n">
        <v>45176</v>
      </c>
      <c r="C11375" s="1" t="n">
        <v>45810</v>
      </c>
      <c r="D11375" t="inlineStr">
        <is>
          <t>VÄRMLANDS LÄN</t>
        </is>
      </c>
      <c r="E11375" t="inlineStr">
        <is>
          <t>HAMMARÖ</t>
        </is>
      </c>
      <c r="F11375" t="inlineStr">
        <is>
          <t>Övriga Aktiebolag</t>
        </is>
      </c>
      <c r="G11375" t="n">
        <v>0.6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41899-2023</t>
        </is>
      </c>
      <c r="B11376" s="1" t="n">
        <v>45176</v>
      </c>
      <c r="C11376" s="1" t="n">
        <v>45810</v>
      </c>
      <c r="D11376" t="inlineStr">
        <is>
          <t>VÄRMLANDS LÄN</t>
        </is>
      </c>
      <c r="E11376" t="inlineStr">
        <is>
          <t>HAMMARÖ</t>
        </is>
      </c>
      <c r="F11376" t="inlineStr">
        <is>
          <t>Övriga Aktiebolag</t>
        </is>
      </c>
      <c r="G11376" t="n">
        <v>1.8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42667-2023</t>
        </is>
      </c>
      <c r="B11377" s="1" t="n">
        <v>45176</v>
      </c>
      <c r="C11377" s="1" t="n">
        <v>45810</v>
      </c>
      <c r="D11377" t="inlineStr">
        <is>
          <t>VÄRMLANDS LÄN</t>
        </is>
      </c>
      <c r="E11377" t="inlineStr">
        <is>
          <t>ÅRJÄNG</t>
        </is>
      </c>
      <c r="G11377" t="n">
        <v>2.8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41943-2023</t>
        </is>
      </c>
      <c r="B11378" s="1" t="n">
        <v>45177</v>
      </c>
      <c r="C11378" s="1" t="n">
        <v>45810</v>
      </c>
      <c r="D11378" t="inlineStr">
        <is>
          <t>VÄRMLANDS LÄN</t>
        </is>
      </c>
      <c r="E11378" t="inlineStr">
        <is>
          <t>ARVIKA</t>
        </is>
      </c>
      <c r="G11378" t="n">
        <v>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41967-2023</t>
        </is>
      </c>
      <c r="B11379" s="1" t="n">
        <v>45177</v>
      </c>
      <c r="C11379" s="1" t="n">
        <v>45810</v>
      </c>
      <c r="D11379" t="inlineStr">
        <is>
          <t>VÄRMLANDS LÄN</t>
        </is>
      </c>
      <c r="E11379" t="inlineStr">
        <is>
          <t>SUNNE</t>
        </is>
      </c>
      <c r="G11379" t="n">
        <v>5.4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41986-2023</t>
        </is>
      </c>
      <c r="B11380" s="1" t="n">
        <v>45177</v>
      </c>
      <c r="C11380" s="1" t="n">
        <v>45810</v>
      </c>
      <c r="D11380" t="inlineStr">
        <is>
          <t>VÄRMLANDS LÄN</t>
        </is>
      </c>
      <c r="E11380" t="inlineStr">
        <is>
          <t>ARVIKA</t>
        </is>
      </c>
      <c r="G11380" t="n">
        <v>4.3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41985-2023</t>
        </is>
      </c>
      <c r="B11381" s="1" t="n">
        <v>45177</v>
      </c>
      <c r="C11381" s="1" t="n">
        <v>45810</v>
      </c>
      <c r="D11381" t="inlineStr">
        <is>
          <t>VÄRMLANDS LÄN</t>
        </is>
      </c>
      <c r="E11381" t="inlineStr">
        <is>
          <t>ARVIKA</t>
        </is>
      </c>
      <c r="F11381" t="inlineStr">
        <is>
          <t>Kyrkan</t>
        </is>
      </c>
      <c r="G11381" t="n">
        <v>1.2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41997-2023</t>
        </is>
      </c>
      <c r="B11382" s="1" t="n">
        <v>45177</v>
      </c>
      <c r="C11382" s="1" t="n">
        <v>45810</v>
      </c>
      <c r="D11382" t="inlineStr">
        <is>
          <t>VÄRMLANDS LÄN</t>
        </is>
      </c>
      <c r="E11382" t="inlineStr">
        <is>
          <t>SUNNE</t>
        </is>
      </c>
      <c r="G11382" t="n">
        <v>1.4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42017-2023</t>
        </is>
      </c>
      <c r="B11383" s="1" t="n">
        <v>45177</v>
      </c>
      <c r="C11383" s="1" t="n">
        <v>45810</v>
      </c>
      <c r="D11383" t="inlineStr">
        <is>
          <t>VÄRMLANDS LÄN</t>
        </is>
      </c>
      <c r="E11383" t="inlineStr">
        <is>
          <t>GRUMS</t>
        </is>
      </c>
      <c r="F11383" t="inlineStr">
        <is>
          <t>Bergvik skog väst AB</t>
        </is>
      </c>
      <c r="G11383" t="n">
        <v>10.8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42013-2023</t>
        </is>
      </c>
      <c r="B11384" s="1" t="n">
        <v>45177</v>
      </c>
      <c r="C11384" s="1" t="n">
        <v>45810</v>
      </c>
      <c r="D11384" t="inlineStr">
        <is>
          <t>VÄRMLANDS LÄN</t>
        </is>
      </c>
      <c r="E11384" t="inlineStr">
        <is>
          <t>ARVIKA</t>
        </is>
      </c>
      <c r="G11384" t="n">
        <v>4.4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42023-2023</t>
        </is>
      </c>
      <c r="B11385" s="1" t="n">
        <v>45177</v>
      </c>
      <c r="C11385" s="1" t="n">
        <v>45810</v>
      </c>
      <c r="D11385" t="inlineStr">
        <is>
          <t>VÄRMLANDS LÄN</t>
        </is>
      </c>
      <c r="E11385" t="inlineStr">
        <is>
          <t>ARVIKA</t>
        </is>
      </c>
      <c r="G11385" t="n">
        <v>1.2</v>
      </c>
      <c r="H11385" t="n">
        <v>0</v>
      </c>
      <c r="I11385" t="n">
        <v>0</v>
      </c>
      <c r="J11385" t="n">
        <v>0</v>
      </c>
      <c r="K11385" t="n">
        <v>0</v>
      </c>
      <c r="L11385" t="n">
        <v>0</v>
      </c>
      <c r="M11385" t="n">
        <v>0</v>
      </c>
      <c r="N11385" t="n">
        <v>0</v>
      </c>
      <c r="O11385" t="n">
        <v>0</v>
      </c>
      <c r="P11385" t="n">
        <v>0</v>
      </c>
      <c r="Q11385" t="n">
        <v>0</v>
      </c>
      <c r="R11385" s="2" t="inlineStr"/>
      <c r="U11385">
        <f>HYPERLINK("https://klasma.github.io/Logging_1784/knärot/A 42023-2023 karta knärot.png", "A 42023-2023")</f>
        <v/>
      </c>
      <c r="V11385">
        <f>HYPERLINK("https://klasma.github.io/Logging_1784/klagomål/A 42023-2023 FSC-klagomål.docx", "A 42023-2023")</f>
        <v/>
      </c>
      <c r="W11385">
        <f>HYPERLINK("https://klasma.github.io/Logging_1784/klagomålsmail/A 42023-2023 FSC-klagomål mail.docx", "A 42023-2023")</f>
        <v/>
      </c>
      <c r="X11385">
        <f>HYPERLINK("https://klasma.github.io/Logging_1784/tillsyn/A 42023-2023 tillsynsbegäran.docx", "A 42023-2023")</f>
        <v/>
      </c>
      <c r="Y11385">
        <f>HYPERLINK("https://klasma.github.io/Logging_1784/tillsynsmail/A 42023-2023 tillsynsbegäran mail.docx", "A 42023-2023")</f>
        <v/>
      </c>
    </row>
    <row r="11386" ht="15" customHeight="1">
      <c r="A11386" t="inlineStr">
        <is>
          <t>A 41941-2023</t>
        </is>
      </c>
      <c r="B11386" s="1" t="n">
        <v>45177</v>
      </c>
      <c r="C11386" s="1" t="n">
        <v>45810</v>
      </c>
      <c r="D11386" t="inlineStr">
        <is>
          <t>VÄRMLANDS LÄN</t>
        </is>
      </c>
      <c r="E11386" t="inlineStr">
        <is>
          <t>ARVIKA</t>
        </is>
      </c>
      <c r="G11386" t="n">
        <v>3.1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41954-2023</t>
        </is>
      </c>
      <c r="B11387" s="1" t="n">
        <v>45177</v>
      </c>
      <c r="C11387" s="1" t="n">
        <v>45810</v>
      </c>
      <c r="D11387" t="inlineStr">
        <is>
          <t>VÄRMLANDS LÄN</t>
        </is>
      </c>
      <c r="E11387" t="inlineStr">
        <is>
          <t>SUNNE</t>
        </is>
      </c>
      <c r="G11387" t="n">
        <v>1.2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41960-2023</t>
        </is>
      </c>
      <c r="B11388" s="1" t="n">
        <v>45177</v>
      </c>
      <c r="C11388" s="1" t="n">
        <v>45810</v>
      </c>
      <c r="D11388" t="inlineStr">
        <is>
          <t>VÄRMLANDS LÄN</t>
        </is>
      </c>
      <c r="E11388" t="inlineStr">
        <is>
          <t>KARLSTAD</t>
        </is>
      </c>
      <c r="G11388" t="n">
        <v>4.2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41983-2023</t>
        </is>
      </c>
      <c r="B11389" s="1" t="n">
        <v>45177</v>
      </c>
      <c r="C11389" s="1" t="n">
        <v>45810</v>
      </c>
      <c r="D11389" t="inlineStr">
        <is>
          <t>VÄRMLANDS LÄN</t>
        </is>
      </c>
      <c r="E11389" t="inlineStr">
        <is>
          <t>FILIPSTAD</t>
        </is>
      </c>
      <c r="G11389" t="n">
        <v>2.7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41996-2023</t>
        </is>
      </c>
      <c r="B11390" s="1" t="n">
        <v>45177</v>
      </c>
      <c r="C11390" s="1" t="n">
        <v>45810</v>
      </c>
      <c r="D11390" t="inlineStr">
        <is>
          <t>VÄRMLANDS LÄN</t>
        </is>
      </c>
      <c r="E11390" t="inlineStr">
        <is>
          <t>SUNNE</t>
        </is>
      </c>
      <c r="G11390" t="n">
        <v>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41944-2023</t>
        </is>
      </c>
      <c r="B11391" s="1" t="n">
        <v>45177</v>
      </c>
      <c r="C11391" s="1" t="n">
        <v>45810</v>
      </c>
      <c r="D11391" t="inlineStr">
        <is>
          <t>VÄRMLANDS LÄN</t>
        </is>
      </c>
      <c r="E11391" t="inlineStr">
        <is>
          <t>ARVIKA</t>
        </is>
      </c>
      <c r="G11391" t="n">
        <v>0.6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41963-2023</t>
        </is>
      </c>
      <c r="B11392" s="1" t="n">
        <v>45177</v>
      </c>
      <c r="C11392" s="1" t="n">
        <v>45810</v>
      </c>
      <c r="D11392" t="inlineStr">
        <is>
          <t>VÄRMLANDS LÄN</t>
        </is>
      </c>
      <c r="E11392" t="inlineStr">
        <is>
          <t>KARLSTAD</t>
        </is>
      </c>
      <c r="G11392" t="n">
        <v>1.8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41987-2023</t>
        </is>
      </c>
      <c r="B11393" s="1" t="n">
        <v>45177</v>
      </c>
      <c r="C11393" s="1" t="n">
        <v>45810</v>
      </c>
      <c r="D11393" t="inlineStr">
        <is>
          <t>VÄRMLANDS LÄN</t>
        </is>
      </c>
      <c r="E11393" t="inlineStr">
        <is>
          <t>KIL</t>
        </is>
      </c>
      <c r="F11393" t="inlineStr">
        <is>
          <t>Kyrkan</t>
        </is>
      </c>
      <c r="G11393" t="n">
        <v>8.699999999999999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42062-2023</t>
        </is>
      </c>
      <c r="B11394" s="1" t="n">
        <v>45177</v>
      </c>
      <c r="C11394" s="1" t="n">
        <v>45810</v>
      </c>
      <c r="D11394" t="inlineStr">
        <is>
          <t>VÄRMLANDS LÄN</t>
        </is>
      </c>
      <c r="E11394" t="inlineStr">
        <is>
          <t>TORSBY</t>
        </is>
      </c>
      <c r="G11394" t="n">
        <v>10.7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42079-2023</t>
        </is>
      </c>
      <c r="B11395" s="1" t="n">
        <v>45177</v>
      </c>
      <c r="C11395" s="1" t="n">
        <v>45810</v>
      </c>
      <c r="D11395" t="inlineStr">
        <is>
          <t>VÄRMLANDS LÄN</t>
        </is>
      </c>
      <c r="E11395" t="inlineStr">
        <is>
          <t>SUNNE</t>
        </is>
      </c>
      <c r="G11395" t="n">
        <v>0.7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42096-2023</t>
        </is>
      </c>
      <c r="B11396" s="1" t="n">
        <v>45177</v>
      </c>
      <c r="C11396" s="1" t="n">
        <v>45810</v>
      </c>
      <c r="D11396" t="inlineStr">
        <is>
          <t>VÄRMLANDS LÄN</t>
        </is>
      </c>
      <c r="E11396" t="inlineStr">
        <is>
          <t>KIL</t>
        </is>
      </c>
      <c r="G11396" t="n">
        <v>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42068-2023</t>
        </is>
      </c>
      <c r="B11397" s="1" t="n">
        <v>45177</v>
      </c>
      <c r="C11397" s="1" t="n">
        <v>45810</v>
      </c>
      <c r="D11397" t="inlineStr">
        <is>
          <t>VÄRMLANDS LÄN</t>
        </is>
      </c>
      <c r="E11397" t="inlineStr">
        <is>
          <t>ARVIKA</t>
        </is>
      </c>
      <c r="G11397" t="n">
        <v>0.7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42110-2023</t>
        </is>
      </c>
      <c r="B11398" s="1" t="n">
        <v>45177</v>
      </c>
      <c r="C11398" s="1" t="n">
        <v>45810</v>
      </c>
      <c r="D11398" t="inlineStr">
        <is>
          <t>VÄRMLANDS LÄN</t>
        </is>
      </c>
      <c r="E11398" t="inlineStr">
        <is>
          <t>FORSHAGA</t>
        </is>
      </c>
      <c r="G11398" t="n">
        <v>1.6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42165-2023</t>
        </is>
      </c>
      <c r="B11399" s="1" t="n">
        <v>45178</v>
      </c>
      <c r="C11399" s="1" t="n">
        <v>45810</v>
      </c>
      <c r="D11399" t="inlineStr">
        <is>
          <t>VÄRMLANDS LÄN</t>
        </is>
      </c>
      <c r="E11399" t="inlineStr">
        <is>
          <t>EDA</t>
        </is>
      </c>
      <c r="G11399" t="n">
        <v>15.6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42245-2023</t>
        </is>
      </c>
      <c r="B11400" s="1" t="n">
        <v>45180</v>
      </c>
      <c r="C11400" s="1" t="n">
        <v>45810</v>
      </c>
      <c r="D11400" t="inlineStr">
        <is>
          <t>VÄRMLANDS LÄN</t>
        </is>
      </c>
      <c r="E11400" t="inlineStr">
        <is>
          <t>TORSBY</t>
        </is>
      </c>
      <c r="F11400" t="inlineStr">
        <is>
          <t>Bergvik skog väst AB</t>
        </is>
      </c>
      <c r="G11400" t="n">
        <v>3.9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42351-2023</t>
        </is>
      </c>
      <c r="B11401" s="1" t="n">
        <v>45180</v>
      </c>
      <c r="C11401" s="1" t="n">
        <v>45810</v>
      </c>
      <c r="D11401" t="inlineStr">
        <is>
          <t>VÄRMLANDS LÄN</t>
        </is>
      </c>
      <c r="E11401" t="inlineStr">
        <is>
          <t>SUNNE</t>
        </is>
      </c>
      <c r="G11401" t="n">
        <v>1.7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42377-2023</t>
        </is>
      </c>
      <c r="B11402" s="1" t="n">
        <v>45180</v>
      </c>
      <c r="C11402" s="1" t="n">
        <v>45810</v>
      </c>
      <c r="D11402" t="inlineStr">
        <is>
          <t>VÄRMLANDS LÄN</t>
        </is>
      </c>
      <c r="E11402" t="inlineStr">
        <is>
          <t>SUNNE</t>
        </is>
      </c>
      <c r="G11402" t="n">
        <v>2.6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42453-2023</t>
        </is>
      </c>
      <c r="B11403" s="1" t="n">
        <v>45180</v>
      </c>
      <c r="C11403" s="1" t="n">
        <v>45810</v>
      </c>
      <c r="D11403" t="inlineStr">
        <is>
          <t>VÄRMLANDS LÄN</t>
        </is>
      </c>
      <c r="E11403" t="inlineStr">
        <is>
          <t>SUNNE</t>
        </is>
      </c>
      <c r="G11403" t="n">
        <v>1.3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42473-2023</t>
        </is>
      </c>
      <c r="B11404" s="1" t="n">
        <v>45180</v>
      </c>
      <c r="C11404" s="1" t="n">
        <v>45810</v>
      </c>
      <c r="D11404" t="inlineStr">
        <is>
          <t>VÄRMLANDS LÄN</t>
        </is>
      </c>
      <c r="E11404" t="inlineStr">
        <is>
          <t>TORSBY</t>
        </is>
      </c>
      <c r="F11404" t="inlineStr">
        <is>
          <t>Bergvik skog väst AB</t>
        </is>
      </c>
      <c r="G11404" t="n">
        <v>3.1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42321-2023</t>
        </is>
      </c>
      <c r="B11405" s="1" t="n">
        <v>45180</v>
      </c>
      <c r="C11405" s="1" t="n">
        <v>45810</v>
      </c>
      <c r="D11405" t="inlineStr">
        <is>
          <t>VÄRMLANDS LÄN</t>
        </is>
      </c>
      <c r="E11405" t="inlineStr">
        <is>
          <t>ARVIKA</t>
        </is>
      </c>
      <c r="F11405" t="inlineStr">
        <is>
          <t>Bergvik skog väst AB</t>
        </is>
      </c>
      <c r="G11405" t="n">
        <v>5.8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42350-2023</t>
        </is>
      </c>
      <c r="B11406" s="1" t="n">
        <v>45180</v>
      </c>
      <c r="C11406" s="1" t="n">
        <v>45810</v>
      </c>
      <c r="D11406" t="inlineStr">
        <is>
          <t>VÄRMLANDS LÄN</t>
        </is>
      </c>
      <c r="E11406" t="inlineStr">
        <is>
          <t>STORFORS</t>
        </is>
      </c>
      <c r="G11406" t="n">
        <v>1.6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42319-2023</t>
        </is>
      </c>
      <c r="B11407" s="1" t="n">
        <v>45180</v>
      </c>
      <c r="C11407" s="1" t="n">
        <v>45810</v>
      </c>
      <c r="D11407" t="inlineStr">
        <is>
          <t>VÄRMLANDS LÄN</t>
        </is>
      </c>
      <c r="E11407" t="inlineStr">
        <is>
          <t>SÄFFLE</t>
        </is>
      </c>
      <c r="G11407" t="n">
        <v>0.4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42403-2023</t>
        </is>
      </c>
      <c r="B11408" s="1" t="n">
        <v>45180</v>
      </c>
      <c r="C11408" s="1" t="n">
        <v>45810</v>
      </c>
      <c r="D11408" t="inlineStr">
        <is>
          <t>VÄRMLANDS LÄN</t>
        </is>
      </c>
      <c r="E11408" t="inlineStr">
        <is>
          <t>TORSBY</t>
        </is>
      </c>
      <c r="G11408" t="n">
        <v>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42423-2023</t>
        </is>
      </c>
      <c r="B11409" s="1" t="n">
        <v>45180</v>
      </c>
      <c r="C11409" s="1" t="n">
        <v>45810</v>
      </c>
      <c r="D11409" t="inlineStr">
        <is>
          <t>VÄRMLANDS LÄN</t>
        </is>
      </c>
      <c r="E11409" t="inlineStr">
        <is>
          <t>SÄFFLE</t>
        </is>
      </c>
      <c r="F11409" t="inlineStr">
        <is>
          <t>Kyrkan</t>
        </is>
      </c>
      <c r="G11409" t="n">
        <v>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42441-2023</t>
        </is>
      </c>
      <c r="B11410" s="1" t="n">
        <v>45180</v>
      </c>
      <c r="C11410" s="1" t="n">
        <v>45810</v>
      </c>
      <c r="D11410" t="inlineStr">
        <is>
          <t>VÄRMLANDS LÄN</t>
        </is>
      </c>
      <c r="E11410" t="inlineStr">
        <is>
          <t>ARVIKA</t>
        </is>
      </c>
      <c r="G11410" t="n">
        <v>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42474-2023</t>
        </is>
      </c>
      <c r="B11411" s="1" t="n">
        <v>45180</v>
      </c>
      <c r="C11411" s="1" t="n">
        <v>45810</v>
      </c>
      <c r="D11411" t="inlineStr">
        <is>
          <t>VÄRMLANDS LÄN</t>
        </is>
      </c>
      <c r="E11411" t="inlineStr">
        <is>
          <t>SUNNE</t>
        </is>
      </c>
      <c r="G11411" t="n">
        <v>2.4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42477-2023</t>
        </is>
      </c>
      <c r="B11412" s="1" t="n">
        <v>45180</v>
      </c>
      <c r="C11412" s="1" t="n">
        <v>45810</v>
      </c>
      <c r="D11412" t="inlineStr">
        <is>
          <t>VÄRMLANDS LÄN</t>
        </is>
      </c>
      <c r="E11412" t="inlineStr">
        <is>
          <t>SUNNE</t>
        </is>
      </c>
      <c r="G11412" t="n">
        <v>1.2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43239-2023</t>
        </is>
      </c>
      <c r="B11413" s="1" t="n">
        <v>45180</v>
      </c>
      <c r="C11413" s="1" t="n">
        <v>45810</v>
      </c>
      <c r="D11413" t="inlineStr">
        <is>
          <t>VÄRMLANDS LÄN</t>
        </is>
      </c>
      <c r="E11413" t="inlineStr">
        <is>
          <t>FILIPSTAD</t>
        </is>
      </c>
      <c r="G11413" t="n">
        <v>4.5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42299-2023</t>
        </is>
      </c>
      <c r="B11414" s="1" t="n">
        <v>45180</v>
      </c>
      <c r="C11414" s="1" t="n">
        <v>45810</v>
      </c>
      <c r="D11414" t="inlineStr">
        <is>
          <t>VÄRMLANDS LÄN</t>
        </is>
      </c>
      <c r="E11414" t="inlineStr">
        <is>
          <t>ARVIKA</t>
        </is>
      </c>
      <c r="G11414" t="n">
        <v>1.1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42344-2023</t>
        </is>
      </c>
      <c r="B11415" s="1" t="n">
        <v>45180</v>
      </c>
      <c r="C11415" s="1" t="n">
        <v>45810</v>
      </c>
      <c r="D11415" t="inlineStr">
        <is>
          <t>VÄRMLANDS LÄN</t>
        </is>
      </c>
      <c r="E11415" t="inlineStr">
        <is>
          <t>HAMMARÖ</t>
        </is>
      </c>
      <c r="F11415" t="inlineStr">
        <is>
          <t>Övriga Aktiebolag</t>
        </is>
      </c>
      <c r="G11415" t="n">
        <v>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42420-2023</t>
        </is>
      </c>
      <c r="B11416" s="1" t="n">
        <v>45180</v>
      </c>
      <c r="C11416" s="1" t="n">
        <v>45810</v>
      </c>
      <c r="D11416" t="inlineStr">
        <is>
          <t>VÄRMLANDS LÄN</t>
        </is>
      </c>
      <c r="E11416" t="inlineStr">
        <is>
          <t>TORSBY</t>
        </is>
      </c>
      <c r="F11416" t="inlineStr">
        <is>
          <t>Bergvik skog väst AB</t>
        </is>
      </c>
      <c r="G11416" t="n">
        <v>19.9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42442-2023</t>
        </is>
      </c>
      <c r="B11417" s="1" t="n">
        <v>45180</v>
      </c>
      <c r="C11417" s="1" t="n">
        <v>45810</v>
      </c>
      <c r="D11417" t="inlineStr">
        <is>
          <t>VÄRMLANDS LÄN</t>
        </is>
      </c>
      <c r="E11417" t="inlineStr">
        <is>
          <t>SUNNE</t>
        </is>
      </c>
      <c r="G11417" t="n">
        <v>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42447-2023</t>
        </is>
      </c>
      <c r="B11418" s="1" t="n">
        <v>45180</v>
      </c>
      <c r="C11418" s="1" t="n">
        <v>45810</v>
      </c>
      <c r="D11418" t="inlineStr">
        <is>
          <t>VÄRMLANDS LÄN</t>
        </is>
      </c>
      <c r="E11418" t="inlineStr">
        <is>
          <t>SUNNE</t>
        </is>
      </c>
      <c r="G11418" t="n">
        <v>1.4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43233-2023</t>
        </is>
      </c>
      <c r="B11419" s="1" t="n">
        <v>45180</v>
      </c>
      <c r="C11419" s="1" t="n">
        <v>45810</v>
      </c>
      <c r="D11419" t="inlineStr">
        <is>
          <t>VÄRMLANDS LÄN</t>
        </is>
      </c>
      <c r="E11419" t="inlineStr">
        <is>
          <t>FILIPSTAD</t>
        </is>
      </c>
      <c r="G11419" t="n">
        <v>2.4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42471-2023</t>
        </is>
      </c>
      <c r="B11420" s="1" t="n">
        <v>45180</v>
      </c>
      <c r="C11420" s="1" t="n">
        <v>45810</v>
      </c>
      <c r="D11420" t="inlineStr">
        <is>
          <t>VÄRMLANDS LÄN</t>
        </is>
      </c>
      <c r="E11420" t="inlineStr">
        <is>
          <t>SUNNE</t>
        </is>
      </c>
      <c r="G11420" t="n">
        <v>2.2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42480-2023</t>
        </is>
      </c>
      <c r="B11421" s="1" t="n">
        <v>45180</v>
      </c>
      <c r="C11421" s="1" t="n">
        <v>45810</v>
      </c>
      <c r="D11421" t="inlineStr">
        <is>
          <t>VÄRMLANDS LÄN</t>
        </is>
      </c>
      <c r="E11421" t="inlineStr">
        <is>
          <t>SUNNE</t>
        </is>
      </c>
      <c r="G11421" t="n">
        <v>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43208-2023</t>
        </is>
      </c>
      <c r="B11422" s="1" t="n">
        <v>45180</v>
      </c>
      <c r="C11422" s="1" t="n">
        <v>45810</v>
      </c>
      <c r="D11422" t="inlineStr">
        <is>
          <t>VÄRMLANDS LÄN</t>
        </is>
      </c>
      <c r="E11422" t="inlineStr">
        <is>
          <t>EDA</t>
        </is>
      </c>
      <c r="G11422" t="n">
        <v>21.2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43532-2023</t>
        </is>
      </c>
      <c r="B11423" s="1" t="n">
        <v>45181</v>
      </c>
      <c r="C11423" s="1" t="n">
        <v>45810</v>
      </c>
      <c r="D11423" t="inlineStr">
        <is>
          <t>VÄRMLANDS LÄN</t>
        </is>
      </c>
      <c r="E11423" t="inlineStr">
        <is>
          <t>TORSBY</t>
        </is>
      </c>
      <c r="G11423" t="n">
        <v>4.9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43529-2023</t>
        </is>
      </c>
      <c r="B11424" s="1" t="n">
        <v>45181</v>
      </c>
      <c r="C11424" s="1" t="n">
        <v>45810</v>
      </c>
      <c r="D11424" t="inlineStr">
        <is>
          <t>VÄRMLANDS LÄN</t>
        </is>
      </c>
      <c r="E11424" t="inlineStr">
        <is>
          <t>TORSBY</t>
        </is>
      </c>
      <c r="G11424" t="n">
        <v>2.7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43527-2023</t>
        </is>
      </c>
      <c r="B11425" s="1" t="n">
        <v>45181</v>
      </c>
      <c r="C11425" s="1" t="n">
        <v>45810</v>
      </c>
      <c r="D11425" t="inlineStr">
        <is>
          <t>VÄRMLANDS LÄN</t>
        </is>
      </c>
      <c r="E11425" t="inlineStr">
        <is>
          <t>TORSBY</t>
        </is>
      </c>
      <c r="G11425" t="n">
        <v>1.4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43536-2023</t>
        </is>
      </c>
      <c r="B11426" s="1" t="n">
        <v>45181</v>
      </c>
      <c r="C11426" s="1" t="n">
        <v>45810</v>
      </c>
      <c r="D11426" t="inlineStr">
        <is>
          <t>VÄRMLANDS LÄN</t>
        </is>
      </c>
      <c r="E11426" t="inlineStr">
        <is>
          <t>TORSBY</t>
        </is>
      </c>
      <c r="G11426" t="n">
        <v>0.6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43528-2023</t>
        </is>
      </c>
      <c r="B11427" s="1" t="n">
        <v>45181</v>
      </c>
      <c r="C11427" s="1" t="n">
        <v>45810</v>
      </c>
      <c r="D11427" t="inlineStr">
        <is>
          <t>VÄRMLANDS LÄN</t>
        </is>
      </c>
      <c r="E11427" t="inlineStr">
        <is>
          <t>TORSBY</t>
        </is>
      </c>
      <c r="G11427" t="n">
        <v>1.3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42526-2023</t>
        </is>
      </c>
      <c r="B11428" s="1" t="n">
        <v>45181</v>
      </c>
      <c r="C11428" s="1" t="n">
        <v>45810</v>
      </c>
      <c r="D11428" t="inlineStr">
        <is>
          <t>VÄRMLANDS LÄN</t>
        </is>
      </c>
      <c r="E11428" t="inlineStr">
        <is>
          <t>SUNNE</t>
        </is>
      </c>
      <c r="F11428" t="inlineStr">
        <is>
          <t>Bergvik skog väst AB</t>
        </is>
      </c>
      <c r="G11428" t="n">
        <v>2.1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42540-2023</t>
        </is>
      </c>
      <c r="B11429" s="1" t="n">
        <v>45181</v>
      </c>
      <c r="C11429" s="1" t="n">
        <v>45810</v>
      </c>
      <c r="D11429" t="inlineStr">
        <is>
          <t>VÄRMLANDS LÄN</t>
        </is>
      </c>
      <c r="E11429" t="inlineStr">
        <is>
          <t>SUNNE</t>
        </is>
      </c>
      <c r="G11429" t="n">
        <v>1.6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42560-2023</t>
        </is>
      </c>
      <c r="B11430" s="1" t="n">
        <v>45181</v>
      </c>
      <c r="C11430" s="1" t="n">
        <v>45810</v>
      </c>
      <c r="D11430" t="inlineStr">
        <is>
          <t>VÄRMLANDS LÄN</t>
        </is>
      </c>
      <c r="E11430" t="inlineStr">
        <is>
          <t>ARVIKA</t>
        </is>
      </c>
      <c r="F11430" t="inlineStr">
        <is>
          <t>Bergvik skog väst AB</t>
        </is>
      </c>
      <c r="G11430" t="n">
        <v>1.5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42539-2023</t>
        </is>
      </c>
      <c r="B11431" s="1" t="n">
        <v>45181</v>
      </c>
      <c r="C11431" s="1" t="n">
        <v>45810</v>
      </c>
      <c r="D11431" t="inlineStr">
        <is>
          <t>VÄRMLANDS LÄN</t>
        </is>
      </c>
      <c r="E11431" t="inlineStr">
        <is>
          <t>EDA</t>
        </is>
      </c>
      <c r="G11431" t="n">
        <v>1.4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42594-2023</t>
        </is>
      </c>
      <c r="B11432" s="1" t="n">
        <v>45181</v>
      </c>
      <c r="C11432" s="1" t="n">
        <v>45810</v>
      </c>
      <c r="D11432" t="inlineStr">
        <is>
          <t>VÄRMLANDS LÄN</t>
        </is>
      </c>
      <c r="E11432" t="inlineStr">
        <is>
          <t>KRISTINEHAMN</t>
        </is>
      </c>
      <c r="F11432" t="inlineStr">
        <is>
          <t>Sveaskog</t>
        </is>
      </c>
      <c r="G11432" t="n">
        <v>1.8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42597-2023</t>
        </is>
      </c>
      <c r="B11433" s="1" t="n">
        <v>45181</v>
      </c>
      <c r="C11433" s="1" t="n">
        <v>45810</v>
      </c>
      <c r="D11433" t="inlineStr">
        <is>
          <t>VÄRMLANDS LÄN</t>
        </is>
      </c>
      <c r="E11433" t="inlineStr">
        <is>
          <t>KRISTINEHAMN</t>
        </is>
      </c>
      <c r="F11433" t="inlineStr">
        <is>
          <t>Sveaskog</t>
        </is>
      </c>
      <c r="G11433" t="n">
        <v>2.1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42645-2023</t>
        </is>
      </c>
      <c r="B11434" s="1" t="n">
        <v>45181</v>
      </c>
      <c r="C11434" s="1" t="n">
        <v>45810</v>
      </c>
      <c r="D11434" t="inlineStr">
        <is>
          <t>VÄRMLANDS LÄN</t>
        </is>
      </c>
      <c r="E11434" t="inlineStr">
        <is>
          <t>TORSBY</t>
        </is>
      </c>
      <c r="G11434" t="n">
        <v>4.7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42652-2023</t>
        </is>
      </c>
      <c r="B11435" s="1" t="n">
        <v>45181</v>
      </c>
      <c r="C11435" s="1" t="n">
        <v>45810</v>
      </c>
      <c r="D11435" t="inlineStr">
        <is>
          <t>VÄRMLANDS LÄN</t>
        </is>
      </c>
      <c r="E11435" t="inlineStr">
        <is>
          <t>TORSBY</t>
        </is>
      </c>
      <c r="F11435" t="inlineStr">
        <is>
          <t>Bergvik skog väst AB</t>
        </is>
      </c>
      <c r="G11435" t="n">
        <v>2.3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42656-2023</t>
        </is>
      </c>
      <c r="B11436" s="1" t="n">
        <v>45181</v>
      </c>
      <c r="C11436" s="1" t="n">
        <v>45810</v>
      </c>
      <c r="D11436" t="inlineStr">
        <is>
          <t>VÄRMLANDS LÄN</t>
        </is>
      </c>
      <c r="E11436" t="inlineStr">
        <is>
          <t>TORSBY</t>
        </is>
      </c>
      <c r="G11436" t="n">
        <v>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42523-2023</t>
        </is>
      </c>
      <c r="B11437" s="1" t="n">
        <v>45181</v>
      </c>
      <c r="C11437" s="1" t="n">
        <v>45810</v>
      </c>
      <c r="D11437" t="inlineStr">
        <is>
          <t>VÄRMLANDS LÄN</t>
        </is>
      </c>
      <c r="E11437" t="inlineStr">
        <is>
          <t>SUNNE</t>
        </is>
      </c>
      <c r="G11437" t="n">
        <v>0.5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42741-2023</t>
        </is>
      </c>
      <c r="B11438" s="1" t="n">
        <v>45181</v>
      </c>
      <c r="C11438" s="1" t="n">
        <v>45810</v>
      </c>
      <c r="D11438" t="inlineStr">
        <is>
          <t>VÄRMLANDS LÄN</t>
        </is>
      </c>
      <c r="E11438" t="inlineStr">
        <is>
          <t>FORSHAGA</t>
        </is>
      </c>
      <c r="G11438" t="n">
        <v>0.7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42581-2023</t>
        </is>
      </c>
      <c r="B11439" s="1" t="n">
        <v>45181</v>
      </c>
      <c r="C11439" s="1" t="n">
        <v>45810</v>
      </c>
      <c r="D11439" t="inlineStr">
        <is>
          <t>VÄRMLANDS LÄN</t>
        </is>
      </c>
      <c r="E11439" t="inlineStr">
        <is>
          <t>TORSBY</t>
        </is>
      </c>
      <c r="G11439" t="n">
        <v>17.6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42593-2023</t>
        </is>
      </c>
      <c r="B11440" s="1" t="n">
        <v>45181</v>
      </c>
      <c r="C11440" s="1" t="n">
        <v>45810</v>
      </c>
      <c r="D11440" t="inlineStr">
        <is>
          <t>VÄRMLANDS LÄN</t>
        </is>
      </c>
      <c r="E11440" t="inlineStr">
        <is>
          <t>KRISTINEHAMN</t>
        </is>
      </c>
      <c r="F11440" t="inlineStr">
        <is>
          <t>Sveaskog</t>
        </is>
      </c>
      <c r="G11440" t="n">
        <v>6.7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42613-2023</t>
        </is>
      </c>
      <c r="B11441" s="1" t="n">
        <v>45181</v>
      </c>
      <c r="C11441" s="1" t="n">
        <v>45810</v>
      </c>
      <c r="D11441" t="inlineStr">
        <is>
          <t>VÄRMLANDS LÄN</t>
        </is>
      </c>
      <c r="E11441" t="inlineStr">
        <is>
          <t>TORSBY</t>
        </is>
      </c>
      <c r="G11441" t="n">
        <v>4.1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42635-2023</t>
        </is>
      </c>
      <c r="B11442" s="1" t="n">
        <v>45181</v>
      </c>
      <c r="C11442" s="1" t="n">
        <v>45810</v>
      </c>
      <c r="D11442" t="inlineStr">
        <is>
          <t>VÄRMLANDS LÄN</t>
        </is>
      </c>
      <c r="E11442" t="inlineStr">
        <is>
          <t>TORSBY</t>
        </is>
      </c>
      <c r="G11442" t="n">
        <v>16.1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42658-2023</t>
        </is>
      </c>
      <c r="B11443" s="1" t="n">
        <v>45181</v>
      </c>
      <c r="C11443" s="1" t="n">
        <v>45810</v>
      </c>
      <c r="D11443" t="inlineStr">
        <is>
          <t>VÄRMLANDS LÄN</t>
        </is>
      </c>
      <c r="E11443" t="inlineStr">
        <is>
          <t>TORSBY</t>
        </is>
      </c>
      <c r="F11443" t="inlineStr">
        <is>
          <t>Bergvik skog väst AB</t>
        </is>
      </c>
      <c r="G11443" t="n">
        <v>1.2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42710-2023</t>
        </is>
      </c>
      <c r="B11444" s="1" t="n">
        <v>45181</v>
      </c>
      <c r="C11444" s="1" t="n">
        <v>45810</v>
      </c>
      <c r="D11444" t="inlineStr">
        <is>
          <t>VÄRMLANDS LÄN</t>
        </is>
      </c>
      <c r="E11444" t="inlineStr">
        <is>
          <t>TORSBY</t>
        </is>
      </c>
      <c r="G11444" t="n">
        <v>1.9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42632-2023</t>
        </is>
      </c>
      <c r="B11445" s="1" t="n">
        <v>45181</v>
      </c>
      <c r="C11445" s="1" t="n">
        <v>45810</v>
      </c>
      <c r="D11445" t="inlineStr">
        <is>
          <t>VÄRMLANDS LÄN</t>
        </is>
      </c>
      <c r="E11445" t="inlineStr">
        <is>
          <t>TORSBY</t>
        </is>
      </c>
      <c r="G11445" t="n">
        <v>5.8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42637-2023</t>
        </is>
      </c>
      <c r="B11446" s="1" t="n">
        <v>45181</v>
      </c>
      <c r="C11446" s="1" t="n">
        <v>45810</v>
      </c>
      <c r="D11446" t="inlineStr">
        <is>
          <t>VÄRMLANDS LÄN</t>
        </is>
      </c>
      <c r="E11446" t="inlineStr">
        <is>
          <t>MUNKFORS</t>
        </is>
      </c>
      <c r="G11446" t="n">
        <v>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42735-2023</t>
        </is>
      </c>
      <c r="B11447" s="1" t="n">
        <v>45181</v>
      </c>
      <c r="C11447" s="1" t="n">
        <v>45810</v>
      </c>
      <c r="D11447" t="inlineStr">
        <is>
          <t>VÄRMLANDS LÄN</t>
        </is>
      </c>
      <c r="E11447" t="inlineStr">
        <is>
          <t>HAGFORS</t>
        </is>
      </c>
      <c r="F11447" t="inlineStr">
        <is>
          <t>Bergvik skog väst AB</t>
        </is>
      </c>
      <c r="G11447" t="n">
        <v>2.8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42879-2023</t>
        </is>
      </c>
      <c r="B11448" s="1" t="n">
        <v>45182</v>
      </c>
      <c r="C11448" s="1" t="n">
        <v>45810</v>
      </c>
      <c r="D11448" t="inlineStr">
        <is>
          <t>VÄRMLANDS LÄN</t>
        </is>
      </c>
      <c r="E11448" t="inlineStr">
        <is>
          <t>ARVIKA</t>
        </is>
      </c>
      <c r="G11448" t="n">
        <v>1.1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42892-2023</t>
        </is>
      </c>
      <c r="B11449" s="1" t="n">
        <v>45182</v>
      </c>
      <c r="C11449" s="1" t="n">
        <v>45810</v>
      </c>
      <c r="D11449" t="inlineStr">
        <is>
          <t>VÄRMLANDS LÄN</t>
        </is>
      </c>
      <c r="E11449" t="inlineStr">
        <is>
          <t>ARVIKA</t>
        </is>
      </c>
      <c r="G11449" t="n">
        <v>4.1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42913-2023</t>
        </is>
      </c>
      <c r="B11450" s="1" t="n">
        <v>45182</v>
      </c>
      <c r="C11450" s="1" t="n">
        <v>45810</v>
      </c>
      <c r="D11450" t="inlineStr">
        <is>
          <t>VÄRMLANDS LÄN</t>
        </is>
      </c>
      <c r="E11450" t="inlineStr">
        <is>
          <t>HAGFORS</t>
        </is>
      </c>
      <c r="F11450" t="inlineStr">
        <is>
          <t>Bergvik skog väst AB</t>
        </is>
      </c>
      <c r="G11450" t="n">
        <v>2.8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42957-2023</t>
        </is>
      </c>
      <c r="B11451" s="1" t="n">
        <v>45182</v>
      </c>
      <c r="C11451" s="1" t="n">
        <v>45810</v>
      </c>
      <c r="D11451" t="inlineStr">
        <is>
          <t>VÄRMLANDS LÄN</t>
        </is>
      </c>
      <c r="E11451" t="inlineStr">
        <is>
          <t>HAMMARÖ</t>
        </is>
      </c>
      <c r="F11451" t="inlineStr">
        <is>
          <t>Övriga Aktiebolag</t>
        </is>
      </c>
      <c r="G11451" t="n">
        <v>0.5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42997-2023</t>
        </is>
      </c>
      <c r="B11452" s="1" t="n">
        <v>45182</v>
      </c>
      <c r="C11452" s="1" t="n">
        <v>45810</v>
      </c>
      <c r="D11452" t="inlineStr">
        <is>
          <t>VÄRMLANDS LÄN</t>
        </is>
      </c>
      <c r="E11452" t="inlineStr">
        <is>
          <t>ARVIKA</t>
        </is>
      </c>
      <c r="G11452" t="n">
        <v>1.5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43002-2023</t>
        </is>
      </c>
      <c r="B11453" s="1" t="n">
        <v>45182</v>
      </c>
      <c r="C11453" s="1" t="n">
        <v>45810</v>
      </c>
      <c r="D11453" t="inlineStr">
        <is>
          <t>VÄRMLANDS LÄN</t>
        </is>
      </c>
      <c r="E11453" t="inlineStr">
        <is>
          <t>ARVIKA</t>
        </is>
      </c>
      <c r="G11453" t="n">
        <v>0.6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42867-2023</t>
        </is>
      </c>
      <c r="B11454" s="1" t="n">
        <v>45182</v>
      </c>
      <c r="C11454" s="1" t="n">
        <v>45810</v>
      </c>
      <c r="D11454" t="inlineStr">
        <is>
          <t>VÄRMLANDS LÄN</t>
        </is>
      </c>
      <c r="E11454" t="inlineStr">
        <is>
          <t>HAGFORS</t>
        </is>
      </c>
      <c r="F11454" t="inlineStr">
        <is>
          <t>Bergvik skog väst AB</t>
        </is>
      </c>
      <c r="G11454" t="n">
        <v>8.800000000000001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42872-2023</t>
        </is>
      </c>
      <c r="B11455" s="1" t="n">
        <v>45182</v>
      </c>
      <c r="C11455" s="1" t="n">
        <v>45810</v>
      </c>
      <c r="D11455" t="inlineStr">
        <is>
          <t>VÄRMLANDS LÄN</t>
        </is>
      </c>
      <c r="E11455" t="inlineStr">
        <is>
          <t>EDA</t>
        </is>
      </c>
      <c r="G11455" t="n">
        <v>11.2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42944-2023</t>
        </is>
      </c>
      <c r="B11456" s="1" t="n">
        <v>45182</v>
      </c>
      <c r="C11456" s="1" t="n">
        <v>45810</v>
      </c>
      <c r="D11456" t="inlineStr">
        <is>
          <t>VÄRMLANDS LÄN</t>
        </is>
      </c>
      <c r="E11456" t="inlineStr">
        <is>
          <t>TORSBY</t>
        </is>
      </c>
      <c r="F11456" t="inlineStr">
        <is>
          <t>Bergvik skog väst AB</t>
        </is>
      </c>
      <c r="G11456" t="n">
        <v>9.800000000000001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42890-2023</t>
        </is>
      </c>
      <c r="B11457" s="1" t="n">
        <v>45182</v>
      </c>
      <c r="C11457" s="1" t="n">
        <v>45810</v>
      </c>
      <c r="D11457" t="inlineStr">
        <is>
          <t>VÄRMLANDS LÄN</t>
        </is>
      </c>
      <c r="E11457" t="inlineStr">
        <is>
          <t>ARVIKA</t>
        </is>
      </c>
      <c r="G11457" t="n">
        <v>3.5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42894-2023</t>
        </is>
      </c>
      <c r="B11458" s="1" t="n">
        <v>45182</v>
      </c>
      <c r="C11458" s="1" t="n">
        <v>45810</v>
      </c>
      <c r="D11458" t="inlineStr">
        <is>
          <t>VÄRMLANDS LÄN</t>
        </is>
      </c>
      <c r="E11458" t="inlineStr">
        <is>
          <t>ARVIKA</t>
        </is>
      </c>
      <c r="G11458" t="n">
        <v>4.5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42951-2023</t>
        </is>
      </c>
      <c r="B11459" s="1" t="n">
        <v>45182</v>
      </c>
      <c r="C11459" s="1" t="n">
        <v>45810</v>
      </c>
      <c r="D11459" t="inlineStr">
        <is>
          <t>VÄRMLANDS LÄN</t>
        </is>
      </c>
      <c r="E11459" t="inlineStr">
        <is>
          <t>HAMMARÖ</t>
        </is>
      </c>
      <c r="F11459" t="inlineStr">
        <is>
          <t>Övriga Aktiebolag</t>
        </is>
      </c>
      <c r="G11459" t="n">
        <v>0.8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42955-2023</t>
        </is>
      </c>
      <c r="B11460" s="1" t="n">
        <v>45182</v>
      </c>
      <c r="C11460" s="1" t="n">
        <v>45810</v>
      </c>
      <c r="D11460" t="inlineStr">
        <is>
          <t>VÄRMLANDS LÄN</t>
        </is>
      </c>
      <c r="E11460" t="inlineStr">
        <is>
          <t>HAMMARÖ</t>
        </is>
      </c>
      <c r="F11460" t="inlineStr">
        <is>
          <t>Övriga Aktiebolag</t>
        </is>
      </c>
      <c r="G11460" t="n">
        <v>0.3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42960-2023</t>
        </is>
      </c>
      <c r="B11461" s="1" t="n">
        <v>45182</v>
      </c>
      <c r="C11461" s="1" t="n">
        <v>45810</v>
      </c>
      <c r="D11461" t="inlineStr">
        <is>
          <t>VÄRMLANDS LÄN</t>
        </is>
      </c>
      <c r="E11461" t="inlineStr">
        <is>
          <t>HAMMARÖ</t>
        </is>
      </c>
      <c r="F11461" t="inlineStr">
        <is>
          <t>Övriga Aktiebolag</t>
        </is>
      </c>
      <c r="G11461" t="n">
        <v>0.4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43067-2023</t>
        </is>
      </c>
      <c r="B11462" s="1" t="n">
        <v>45182</v>
      </c>
      <c r="C11462" s="1" t="n">
        <v>45810</v>
      </c>
      <c r="D11462" t="inlineStr">
        <is>
          <t>VÄRMLANDS LÄN</t>
        </is>
      </c>
      <c r="E11462" t="inlineStr">
        <is>
          <t>SUNNE</t>
        </is>
      </c>
      <c r="G11462" t="n">
        <v>4.9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42882-2023</t>
        </is>
      </c>
      <c r="B11463" s="1" t="n">
        <v>45182</v>
      </c>
      <c r="C11463" s="1" t="n">
        <v>45810</v>
      </c>
      <c r="D11463" t="inlineStr">
        <is>
          <t>VÄRMLANDS LÄN</t>
        </is>
      </c>
      <c r="E11463" t="inlineStr">
        <is>
          <t>ARVIKA</t>
        </is>
      </c>
      <c r="G11463" t="n">
        <v>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42985-2023</t>
        </is>
      </c>
      <c r="B11464" s="1" t="n">
        <v>45182</v>
      </c>
      <c r="C11464" s="1" t="n">
        <v>45810</v>
      </c>
      <c r="D11464" t="inlineStr">
        <is>
          <t>VÄRMLANDS LÄN</t>
        </is>
      </c>
      <c r="E11464" t="inlineStr">
        <is>
          <t>SUNNE</t>
        </is>
      </c>
      <c r="G11464" t="n">
        <v>5.6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43040-2023</t>
        </is>
      </c>
      <c r="B11465" s="1" t="n">
        <v>45182</v>
      </c>
      <c r="C11465" s="1" t="n">
        <v>45810</v>
      </c>
      <c r="D11465" t="inlineStr">
        <is>
          <t>VÄRMLANDS LÄN</t>
        </is>
      </c>
      <c r="E11465" t="inlineStr">
        <is>
          <t>ÅRJÄNG</t>
        </is>
      </c>
      <c r="G11465" t="n">
        <v>1.5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42807-2023</t>
        </is>
      </c>
      <c r="B11466" s="1" t="n">
        <v>45182</v>
      </c>
      <c r="C11466" s="1" t="n">
        <v>45810</v>
      </c>
      <c r="D11466" t="inlineStr">
        <is>
          <t>VÄRMLANDS LÄN</t>
        </is>
      </c>
      <c r="E11466" t="inlineStr">
        <is>
          <t>ARVIKA</t>
        </is>
      </c>
      <c r="G11466" t="n">
        <v>3.8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42895-2023</t>
        </is>
      </c>
      <c r="B11467" s="1" t="n">
        <v>45182</v>
      </c>
      <c r="C11467" s="1" t="n">
        <v>45810</v>
      </c>
      <c r="D11467" t="inlineStr">
        <is>
          <t>VÄRMLANDS LÄN</t>
        </is>
      </c>
      <c r="E11467" t="inlineStr">
        <is>
          <t>ARVIKA</t>
        </is>
      </c>
      <c r="G11467" t="n">
        <v>1.4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43084-2023</t>
        </is>
      </c>
      <c r="B11468" s="1" t="n">
        <v>45182</v>
      </c>
      <c r="C11468" s="1" t="n">
        <v>45810</v>
      </c>
      <c r="D11468" t="inlineStr">
        <is>
          <t>VÄRMLANDS LÄN</t>
        </is>
      </c>
      <c r="E11468" t="inlineStr">
        <is>
          <t>TORSBY</t>
        </is>
      </c>
      <c r="G11468" t="n">
        <v>2.7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43088-2023</t>
        </is>
      </c>
      <c r="B11469" s="1" t="n">
        <v>45182</v>
      </c>
      <c r="C11469" s="1" t="n">
        <v>45810</v>
      </c>
      <c r="D11469" t="inlineStr">
        <is>
          <t>VÄRMLANDS LÄN</t>
        </is>
      </c>
      <c r="E11469" t="inlineStr">
        <is>
          <t>SUNNE</t>
        </is>
      </c>
      <c r="G11469" t="n">
        <v>12.9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43015-2023</t>
        </is>
      </c>
      <c r="B11470" s="1" t="n">
        <v>45182</v>
      </c>
      <c r="C11470" s="1" t="n">
        <v>45810</v>
      </c>
      <c r="D11470" t="inlineStr">
        <is>
          <t>VÄRMLANDS LÄN</t>
        </is>
      </c>
      <c r="E11470" t="inlineStr">
        <is>
          <t>HAGFORS</t>
        </is>
      </c>
      <c r="F11470" t="inlineStr">
        <is>
          <t>Bergvik skog väst AB</t>
        </is>
      </c>
      <c r="G11470" t="n">
        <v>6.5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43041-2023</t>
        </is>
      </c>
      <c r="B11471" s="1" t="n">
        <v>45182</v>
      </c>
      <c r="C11471" s="1" t="n">
        <v>45810</v>
      </c>
      <c r="D11471" t="inlineStr">
        <is>
          <t>VÄRMLANDS LÄN</t>
        </is>
      </c>
      <c r="E11471" t="inlineStr">
        <is>
          <t>ÅRJÄNG</t>
        </is>
      </c>
      <c r="G11471" t="n">
        <v>3.5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42812-2023</t>
        </is>
      </c>
      <c r="B11472" s="1" t="n">
        <v>45182</v>
      </c>
      <c r="C11472" s="1" t="n">
        <v>45810</v>
      </c>
      <c r="D11472" t="inlineStr">
        <is>
          <t>VÄRMLANDS LÄN</t>
        </is>
      </c>
      <c r="E11472" t="inlineStr">
        <is>
          <t>ARVIKA</t>
        </is>
      </c>
      <c r="F11472" t="inlineStr">
        <is>
          <t>Bergvik skog väst AB</t>
        </is>
      </c>
      <c r="G11472" t="n">
        <v>3.5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43749-2023</t>
        </is>
      </c>
      <c r="B11473" s="1" t="n">
        <v>45182</v>
      </c>
      <c r="C11473" s="1" t="n">
        <v>45810</v>
      </c>
      <c r="D11473" t="inlineStr">
        <is>
          <t>VÄRMLANDS LÄN</t>
        </is>
      </c>
      <c r="E11473" t="inlineStr">
        <is>
          <t>ÅRJÄNG</t>
        </is>
      </c>
      <c r="G11473" t="n">
        <v>3.4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44083-2023</t>
        </is>
      </c>
      <c r="B11474" s="1" t="n">
        <v>45182</v>
      </c>
      <c r="C11474" s="1" t="n">
        <v>45810</v>
      </c>
      <c r="D11474" t="inlineStr">
        <is>
          <t>VÄRMLANDS LÄN</t>
        </is>
      </c>
      <c r="E11474" t="inlineStr">
        <is>
          <t>TORSBY</t>
        </is>
      </c>
      <c r="G11474" t="n">
        <v>1.9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44118-2023</t>
        </is>
      </c>
      <c r="B11475" s="1" t="n">
        <v>45182</v>
      </c>
      <c r="C11475" s="1" t="n">
        <v>45810</v>
      </c>
      <c r="D11475" t="inlineStr">
        <is>
          <t>VÄRMLANDS LÄN</t>
        </is>
      </c>
      <c r="E11475" t="inlineStr">
        <is>
          <t>HAGFORS</t>
        </is>
      </c>
      <c r="G11475" t="n">
        <v>2.1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44094-2023</t>
        </is>
      </c>
      <c r="B11476" s="1" t="n">
        <v>45182</v>
      </c>
      <c r="C11476" s="1" t="n">
        <v>45810</v>
      </c>
      <c r="D11476" t="inlineStr">
        <is>
          <t>VÄRMLANDS LÄN</t>
        </is>
      </c>
      <c r="E11476" t="inlineStr">
        <is>
          <t>TORSBY</t>
        </is>
      </c>
      <c r="G11476" t="n">
        <v>1.8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44091-2023</t>
        </is>
      </c>
      <c r="B11477" s="1" t="n">
        <v>45182</v>
      </c>
      <c r="C11477" s="1" t="n">
        <v>45810</v>
      </c>
      <c r="D11477" t="inlineStr">
        <is>
          <t>VÄRMLANDS LÄN</t>
        </is>
      </c>
      <c r="E11477" t="inlineStr">
        <is>
          <t>HAGFORS</t>
        </is>
      </c>
      <c r="G11477" t="n">
        <v>0.8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43179-2023</t>
        </is>
      </c>
      <c r="B11478" s="1" t="n">
        <v>45183</v>
      </c>
      <c r="C11478" s="1" t="n">
        <v>45810</v>
      </c>
      <c r="D11478" t="inlineStr">
        <is>
          <t>VÄRMLANDS LÄN</t>
        </is>
      </c>
      <c r="E11478" t="inlineStr">
        <is>
          <t>TORSBY</t>
        </is>
      </c>
      <c r="G11478" t="n">
        <v>2.1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43209-2023</t>
        </is>
      </c>
      <c r="B11479" s="1" t="n">
        <v>45183</v>
      </c>
      <c r="C11479" s="1" t="n">
        <v>45810</v>
      </c>
      <c r="D11479" t="inlineStr">
        <is>
          <t>VÄRMLANDS LÄN</t>
        </is>
      </c>
      <c r="E11479" t="inlineStr">
        <is>
          <t>FILIPSTAD</t>
        </is>
      </c>
      <c r="F11479" t="inlineStr">
        <is>
          <t>Bergvik skog väst AB</t>
        </is>
      </c>
      <c r="G11479" t="n">
        <v>8.9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43244-2023</t>
        </is>
      </c>
      <c r="B11480" s="1" t="n">
        <v>45183</v>
      </c>
      <c r="C11480" s="1" t="n">
        <v>45810</v>
      </c>
      <c r="D11480" t="inlineStr">
        <is>
          <t>VÄRMLANDS LÄN</t>
        </is>
      </c>
      <c r="E11480" t="inlineStr">
        <is>
          <t>ÅRJÄNG</t>
        </is>
      </c>
      <c r="G11480" t="n">
        <v>8.800000000000001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43307-2023</t>
        </is>
      </c>
      <c r="B11481" s="1" t="n">
        <v>45183</v>
      </c>
      <c r="C11481" s="1" t="n">
        <v>45810</v>
      </c>
      <c r="D11481" t="inlineStr">
        <is>
          <t>VÄRMLANDS LÄN</t>
        </is>
      </c>
      <c r="E11481" t="inlineStr">
        <is>
          <t>SUNNE</t>
        </is>
      </c>
      <c r="G11481" t="n">
        <v>3.1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43353-2023</t>
        </is>
      </c>
      <c r="B11482" s="1" t="n">
        <v>45183</v>
      </c>
      <c r="C11482" s="1" t="n">
        <v>45810</v>
      </c>
      <c r="D11482" t="inlineStr">
        <is>
          <t>VÄRMLANDS LÄN</t>
        </is>
      </c>
      <c r="E11482" t="inlineStr">
        <is>
          <t>MUNKFORS</t>
        </is>
      </c>
      <c r="G11482" t="n">
        <v>0.8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43357-2023</t>
        </is>
      </c>
      <c r="B11483" s="1" t="n">
        <v>45183</v>
      </c>
      <c r="C11483" s="1" t="n">
        <v>45810</v>
      </c>
      <c r="D11483" t="inlineStr">
        <is>
          <t>VÄRMLANDS LÄN</t>
        </is>
      </c>
      <c r="E11483" t="inlineStr">
        <is>
          <t>STORFORS</t>
        </is>
      </c>
      <c r="G11483" t="n">
        <v>1.7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43181-2023</t>
        </is>
      </c>
      <c r="B11484" s="1" t="n">
        <v>45183</v>
      </c>
      <c r="C11484" s="1" t="n">
        <v>45810</v>
      </c>
      <c r="D11484" t="inlineStr">
        <is>
          <t>VÄRMLANDS LÄN</t>
        </is>
      </c>
      <c r="E11484" t="inlineStr">
        <is>
          <t>GRUMS</t>
        </is>
      </c>
      <c r="G11484" t="n">
        <v>4.1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43361-2023</t>
        </is>
      </c>
      <c r="B11485" s="1" t="n">
        <v>45183</v>
      </c>
      <c r="C11485" s="1" t="n">
        <v>45810</v>
      </c>
      <c r="D11485" t="inlineStr">
        <is>
          <t>VÄRMLANDS LÄN</t>
        </is>
      </c>
      <c r="E11485" t="inlineStr">
        <is>
          <t>TORSBY</t>
        </is>
      </c>
      <c r="G11485" t="n">
        <v>3.5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43365-2023</t>
        </is>
      </c>
      <c r="B11486" s="1" t="n">
        <v>45183</v>
      </c>
      <c r="C11486" s="1" t="n">
        <v>45810</v>
      </c>
      <c r="D11486" t="inlineStr">
        <is>
          <t>VÄRMLANDS LÄN</t>
        </is>
      </c>
      <c r="E11486" t="inlineStr">
        <is>
          <t>ARVIKA</t>
        </is>
      </c>
      <c r="G11486" t="n">
        <v>2.9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43243-2023</t>
        </is>
      </c>
      <c r="B11487" s="1" t="n">
        <v>45183</v>
      </c>
      <c r="C11487" s="1" t="n">
        <v>45810</v>
      </c>
      <c r="D11487" t="inlineStr">
        <is>
          <t>VÄRMLANDS LÄN</t>
        </is>
      </c>
      <c r="E11487" t="inlineStr">
        <is>
          <t>FILIPSTAD</t>
        </is>
      </c>
      <c r="F11487" t="inlineStr">
        <is>
          <t>Bergvik skog väst AB</t>
        </is>
      </c>
      <c r="G11487" t="n">
        <v>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43260-2023</t>
        </is>
      </c>
      <c r="B11488" s="1" t="n">
        <v>45183</v>
      </c>
      <c r="C11488" s="1" t="n">
        <v>45810</v>
      </c>
      <c r="D11488" t="inlineStr">
        <is>
          <t>VÄRMLANDS LÄN</t>
        </is>
      </c>
      <c r="E11488" t="inlineStr">
        <is>
          <t>FILIPSTAD</t>
        </is>
      </c>
      <c r="F11488" t="inlineStr">
        <is>
          <t>Bergvik skog väst AB</t>
        </is>
      </c>
      <c r="G11488" t="n">
        <v>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43359-2023</t>
        </is>
      </c>
      <c r="B11489" s="1" t="n">
        <v>45183</v>
      </c>
      <c r="C11489" s="1" t="n">
        <v>45810</v>
      </c>
      <c r="D11489" t="inlineStr">
        <is>
          <t>VÄRMLANDS LÄN</t>
        </is>
      </c>
      <c r="E11489" t="inlineStr">
        <is>
          <t>STORFORS</t>
        </is>
      </c>
      <c r="G11489" t="n">
        <v>3.3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43352-2023</t>
        </is>
      </c>
      <c r="B11490" s="1" t="n">
        <v>45183</v>
      </c>
      <c r="C11490" s="1" t="n">
        <v>45810</v>
      </c>
      <c r="D11490" t="inlineStr">
        <is>
          <t>VÄRMLANDS LÄN</t>
        </is>
      </c>
      <c r="E11490" t="inlineStr">
        <is>
          <t>FILIPSTAD</t>
        </is>
      </c>
      <c r="F11490" t="inlineStr">
        <is>
          <t>Bergvik skog väst AB</t>
        </is>
      </c>
      <c r="G11490" t="n">
        <v>20</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43364-2023</t>
        </is>
      </c>
      <c r="B11491" s="1" t="n">
        <v>45183</v>
      </c>
      <c r="C11491" s="1" t="n">
        <v>45810</v>
      </c>
      <c r="D11491" t="inlineStr">
        <is>
          <t>VÄRMLANDS LÄN</t>
        </is>
      </c>
      <c r="E11491" t="inlineStr">
        <is>
          <t>ARVIKA</t>
        </is>
      </c>
      <c r="G11491" t="n">
        <v>0.8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43376-2023</t>
        </is>
      </c>
      <c r="B11492" s="1" t="n">
        <v>45183</v>
      </c>
      <c r="C11492" s="1" t="n">
        <v>45810</v>
      </c>
      <c r="D11492" t="inlineStr">
        <is>
          <t>VÄRMLANDS LÄN</t>
        </is>
      </c>
      <c r="E11492" t="inlineStr">
        <is>
          <t>SUNNE</t>
        </is>
      </c>
      <c r="G11492" t="n">
        <v>10.3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43235-2023</t>
        </is>
      </c>
      <c r="B11493" s="1" t="n">
        <v>45183</v>
      </c>
      <c r="C11493" s="1" t="n">
        <v>45810</v>
      </c>
      <c r="D11493" t="inlineStr">
        <is>
          <t>VÄRMLANDS LÄN</t>
        </is>
      </c>
      <c r="E11493" t="inlineStr">
        <is>
          <t>SÄFFLE</t>
        </is>
      </c>
      <c r="G11493" t="n">
        <v>1.1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43253-2023</t>
        </is>
      </c>
      <c r="B11494" s="1" t="n">
        <v>45183</v>
      </c>
      <c r="C11494" s="1" t="n">
        <v>45810</v>
      </c>
      <c r="D11494" t="inlineStr">
        <is>
          <t>VÄRMLANDS LÄN</t>
        </is>
      </c>
      <c r="E11494" t="inlineStr">
        <is>
          <t>ÅRJÄNG</t>
        </is>
      </c>
      <c r="G11494" t="n">
        <v>5.5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43284-2023</t>
        </is>
      </c>
      <c r="B11495" s="1" t="n">
        <v>45183</v>
      </c>
      <c r="C11495" s="1" t="n">
        <v>45810</v>
      </c>
      <c r="D11495" t="inlineStr">
        <is>
          <t>VÄRMLANDS LÄN</t>
        </is>
      </c>
      <c r="E11495" t="inlineStr">
        <is>
          <t>EDA</t>
        </is>
      </c>
      <c r="G11495" t="n">
        <v>1.1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43312-2023</t>
        </is>
      </c>
      <c r="B11496" s="1" t="n">
        <v>45183</v>
      </c>
      <c r="C11496" s="1" t="n">
        <v>45810</v>
      </c>
      <c r="D11496" t="inlineStr">
        <is>
          <t>VÄRMLANDS LÄN</t>
        </is>
      </c>
      <c r="E11496" t="inlineStr">
        <is>
          <t>SUNNE</t>
        </is>
      </c>
      <c r="G11496" t="n">
        <v>2.1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43320-2023</t>
        </is>
      </c>
      <c r="B11497" s="1" t="n">
        <v>45183</v>
      </c>
      <c r="C11497" s="1" t="n">
        <v>45810</v>
      </c>
      <c r="D11497" t="inlineStr">
        <is>
          <t>VÄRMLANDS LÄN</t>
        </is>
      </c>
      <c r="E11497" t="inlineStr">
        <is>
          <t>ARVIKA</t>
        </is>
      </c>
      <c r="F11497" t="inlineStr">
        <is>
          <t>Bergvik skog väst AB</t>
        </is>
      </c>
      <c r="G11497" t="n">
        <v>3.6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43358-2023</t>
        </is>
      </c>
      <c r="B11498" s="1" t="n">
        <v>45183</v>
      </c>
      <c r="C11498" s="1" t="n">
        <v>45810</v>
      </c>
      <c r="D11498" t="inlineStr">
        <is>
          <t>VÄRMLANDS LÄN</t>
        </is>
      </c>
      <c r="E11498" t="inlineStr">
        <is>
          <t>STORFORS</t>
        </is>
      </c>
      <c r="G11498" t="n">
        <v>1.4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43442-2023</t>
        </is>
      </c>
      <c r="B11499" s="1" t="n">
        <v>45184</v>
      </c>
      <c r="C11499" s="1" t="n">
        <v>45810</v>
      </c>
      <c r="D11499" t="inlineStr">
        <is>
          <t>VÄRMLANDS LÄN</t>
        </is>
      </c>
      <c r="E11499" t="inlineStr">
        <is>
          <t>EDA</t>
        </is>
      </c>
      <c r="G11499" t="n">
        <v>0.9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43461-2023</t>
        </is>
      </c>
      <c r="B11500" s="1" t="n">
        <v>45184</v>
      </c>
      <c r="C11500" s="1" t="n">
        <v>45810</v>
      </c>
      <c r="D11500" t="inlineStr">
        <is>
          <t>VÄRMLANDS LÄN</t>
        </is>
      </c>
      <c r="E11500" t="inlineStr">
        <is>
          <t>SUNNE</t>
        </is>
      </c>
      <c r="G11500" t="n">
        <v>0.9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43486-2023</t>
        </is>
      </c>
      <c r="B11501" s="1" t="n">
        <v>45184</v>
      </c>
      <c r="C11501" s="1" t="n">
        <v>45810</v>
      </c>
      <c r="D11501" t="inlineStr">
        <is>
          <t>VÄRMLANDS LÄN</t>
        </is>
      </c>
      <c r="E11501" t="inlineStr">
        <is>
          <t>SUNNE</t>
        </is>
      </c>
      <c r="G11501" t="n">
        <v>3.6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43448-2023</t>
        </is>
      </c>
      <c r="B11502" s="1" t="n">
        <v>45184</v>
      </c>
      <c r="C11502" s="1" t="n">
        <v>45810</v>
      </c>
      <c r="D11502" t="inlineStr">
        <is>
          <t>VÄRMLANDS LÄN</t>
        </is>
      </c>
      <c r="E11502" t="inlineStr">
        <is>
          <t>HAGFORS</t>
        </is>
      </c>
      <c r="F11502" t="inlineStr">
        <is>
          <t>Bergvik skog väst AB</t>
        </is>
      </c>
      <c r="G11502" t="n">
        <v>9.4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43484-2023</t>
        </is>
      </c>
      <c r="B11503" s="1" t="n">
        <v>45184</v>
      </c>
      <c r="C11503" s="1" t="n">
        <v>45810</v>
      </c>
      <c r="D11503" t="inlineStr">
        <is>
          <t>VÄRMLANDS LÄN</t>
        </is>
      </c>
      <c r="E11503" t="inlineStr">
        <is>
          <t>FILIPSTAD</t>
        </is>
      </c>
      <c r="F11503" t="inlineStr">
        <is>
          <t>Bergvik skog väst AB</t>
        </is>
      </c>
      <c r="G11503" t="n">
        <v>3.4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43519-2023</t>
        </is>
      </c>
      <c r="B11504" s="1" t="n">
        <v>45184</v>
      </c>
      <c r="C11504" s="1" t="n">
        <v>45810</v>
      </c>
      <c r="D11504" t="inlineStr">
        <is>
          <t>VÄRMLANDS LÄN</t>
        </is>
      </c>
      <c r="E11504" t="inlineStr">
        <is>
          <t>EDA</t>
        </is>
      </c>
      <c r="G11504" t="n">
        <v>2.5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43524-2023</t>
        </is>
      </c>
      <c r="B11505" s="1" t="n">
        <v>45184</v>
      </c>
      <c r="C11505" s="1" t="n">
        <v>45810</v>
      </c>
      <c r="D11505" t="inlineStr">
        <is>
          <t>VÄRMLANDS LÄN</t>
        </is>
      </c>
      <c r="E11505" t="inlineStr">
        <is>
          <t>EDA</t>
        </is>
      </c>
      <c r="G11505" t="n">
        <v>2.4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43542-2023</t>
        </is>
      </c>
      <c r="B11506" s="1" t="n">
        <v>45184</v>
      </c>
      <c r="C11506" s="1" t="n">
        <v>45810</v>
      </c>
      <c r="D11506" t="inlineStr">
        <is>
          <t>VÄRMLANDS LÄN</t>
        </is>
      </c>
      <c r="E11506" t="inlineStr">
        <is>
          <t>FILIPSTAD</t>
        </is>
      </c>
      <c r="F11506" t="inlineStr">
        <is>
          <t>Bergvik skog väst AB</t>
        </is>
      </c>
      <c r="G11506" t="n">
        <v>5.1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43554-2023</t>
        </is>
      </c>
      <c r="B11507" s="1" t="n">
        <v>45184</v>
      </c>
      <c r="C11507" s="1" t="n">
        <v>45810</v>
      </c>
      <c r="D11507" t="inlineStr">
        <is>
          <t>VÄRMLANDS LÄN</t>
        </is>
      </c>
      <c r="E11507" t="inlineStr">
        <is>
          <t>MUNKFORS</t>
        </is>
      </c>
      <c r="F11507" t="inlineStr">
        <is>
          <t>Bergvik skog väst AB</t>
        </is>
      </c>
      <c r="G11507" t="n">
        <v>2.5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43577-2023</t>
        </is>
      </c>
      <c r="B11508" s="1" t="n">
        <v>45184</v>
      </c>
      <c r="C11508" s="1" t="n">
        <v>45810</v>
      </c>
      <c r="D11508" t="inlineStr">
        <is>
          <t>VÄRMLANDS LÄN</t>
        </is>
      </c>
      <c r="E11508" t="inlineStr">
        <is>
          <t>FILIPSTAD</t>
        </is>
      </c>
      <c r="F11508" t="inlineStr">
        <is>
          <t>Bergvik skog väst AB</t>
        </is>
      </c>
      <c r="G11508" t="n">
        <v>24.7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43522-2023</t>
        </is>
      </c>
      <c r="B11509" s="1" t="n">
        <v>45184</v>
      </c>
      <c r="C11509" s="1" t="n">
        <v>45810</v>
      </c>
      <c r="D11509" t="inlineStr">
        <is>
          <t>VÄRMLANDS LÄN</t>
        </is>
      </c>
      <c r="E11509" t="inlineStr">
        <is>
          <t>EDA</t>
        </is>
      </c>
      <c r="G11509" t="n">
        <v>6.6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43540-2023</t>
        </is>
      </c>
      <c r="B11510" s="1" t="n">
        <v>45184</v>
      </c>
      <c r="C11510" s="1" t="n">
        <v>45810</v>
      </c>
      <c r="D11510" t="inlineStr">
        <is>
          <t>VÄRMLANDS LÄN</t>
        </is>
      </c>
      <c r="E11510" t="inlineStr">
        <is>
          <t>TORSBY</t>
        </is>
      </c>
      <c r="F11510" t="inlineStr">
        <is>
          <t>Bergvik skog väst AB</t>
        </is>
      </c>
      <c r="G11510" t="n">
        <v>11.3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43571-2023</t>
        </is>
      </c>
      <c r="B11511" s="1" t="n">
        <v>45184</v>
      </c>
      <c r="C11511" s="1" t="n">
        <v>45810</v>
      </c>
      <c r="D11511" t="inlineStr">
        <is>
          <t>VÄRMLANDS LÄN</t>
        </is>
      </c>
      <c r="E11511" t="inlineStr">
        <is>
          <t>FILIPSTAD</t>
        </is>
      </c>
      <c r="F11511" t="inlineStr">
        <is>
          <t>Bergvik skog väst AB</t>
        </is>
      </c>
      <c r="G11511" t="n">
        <v>1.4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43549-2023</t>
        </is>
      </c>
      <c r="B11512" s="1" t="n">
        <v>45184</v>
      </c>
      <c r="C11512" s="1" t="n">
        <v>45810</v>
      </c>
      <c r="D11512" t="inlineStr">
        <is>
          <t>VÄRMLANDS LÄN</t>
        </is>
      </c>
      <c r="E11512" t="inlineStr">
        <is>
          <t>MUNKFORS</t>
        </is>
      </c>
      <c r="F11512" t="inlineStr">
        <is>
          <t>Bergvik skog väst AB</t>
        </is>
      </c>
      <c r="G11512" t="n">
        <v>2.6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43545-2023</t>
        </is>
      </c>
      <c r="B11513" s="1" t="n">
        <v>45184</v>
      </c>
      <c r="C11513" s="1" t="n">
        <v>45810</v>
      </c>
      <c r="D11513" t="inlineStr">
        <is>
          <t>VÄRMLANDS LÄN</t>
        </is>
      </c>
      <c r="E11513" t="inlineStr">
        <is>
          <t>KARLSTAD</t>
        </is>
      </c>
      <c r="G11513" t="n">
        <v>2.3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43562-2023</t>
        </is>
      </c>
      <c r="B11514" s="1" t="n">
        <v>45184</v>
      </c>
      <c r="C11514" s="1" t="n">
        <v>45810</v>
      </c>
      <c r="D11514" t="inlineStr">
        <is>
          <t>VÄRMLANDS LÄN</t>
        </is>
      </c>
      <c r="E11514" t="inlineStr">
        <is>
          <t>TORSBY</t>
        </is>
      </c>
      <c r="F11514" t="inlineStr">
        <is>
          <t>Kommuner</t>
        </is>
      </c>
      <c r="G11514" t="n">
        <v>4.5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43599-2023</t>
        </is>
      </c>
      <c r="B11515" s="1" t="n">
        <v>45184</v>
      </c>
      <c r="C11515" s="1" t="n">
        <v>45810</v>
      </c>
      <c r="D11515" t="inlineStr">
        <is>
          <t>VÄRMLANDS LÄN</t>
        </is>
      </c>
      <c r="E11515" t="inlineStr">
        <is>
          <t>TORSBY</t>
        </is>
      </c>
      <c r="G11515" t="n">
        <v>1.6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43635-2023</t>
        </is>
      </c>
      <c r="B11516" s="1" t="n">
        <v>45186</v>
      </c>
      <c r="C11516" s="1" t="n">
        <v>45810</v>
      </c>
      <c r="D11516" t="inlineStr">
        <is>
          <t>VÄRMLANDS LÄN</t>
        </is>
      </c>
      <c r="E11516" t="inlineStr">
        <is>
          <t>FILIPSTAD</t>
        </is>
      </c>
      <c r="G11516" t="n">
        <v>15.3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43643-2023</t>
        </is>
      </c>
      <c r="B11517" s="1" t="n">
        <v>45186</v>
      </c>
      <c r="C11517" s="1" t="n">
        <v>45810</v>
      </c>
      <c r="D11517" t="inlineStr">
        <is>
          <t>VÄRMLANDS LÄN</t>
        </is>
      </c>
      <c r="E11517" t="inlineStr">
        <is>
          <t>MUNKFORS</t>
        </is>
      </c>
      <c r="F11517" t="inlineStr">
        <is>
          <t>Bergvik skog väst AB</t>
        </is>
      </c>
      <c r="G11517" t="n">
        <v>3.4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43641-2023</t>
        </is>
      </c>
      <c r="B11518" s="1" t="n">
        <v>45186</v>
      </c>
      <c r="C11518" s="1" t="n">
        <v>45810</v>
      </c>
      <c r="D11518" t="inlineStr">
        <is>
          <t>VÄRMLANDS LÄN</t>
        </is>
      </c>
      <c r="E11518" t="inlineStr">
        <is>
          <t>ARVIKA</t>
        </is>
      </c>
      <c r="G11518" t="n">
        <v>1.1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44828-2023</t>
        </is>
      </c>
      <c r="B11519" s="1" t="n">
        <v>45186</v>
      </c>
      <c r="C11519" s="1" t="n">
        <v>45810</v>
      </c>
      <c r="D11519" t="inlineStr">
        <is>
          <t>VÄRMLANDS LÄN</t>
        </is>
      </c>
      <c r="E11519" t="inlineStr">
        <is>
          <t>SÄFFLE</t>
        </is>
      </c>
      <c r="G11519" t="n">
        <v>1.6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43644-2023</t>
        </is>
      </c>
      <c r="B11520" s="1" t="n">
        <v>45187</v>
      </c>
      <c r="C11520" s="1" t="n">
        <v>45810</v>
      </c>
      <c r="D11520" t="inlineStr">
        <is>
          <t>VÄRMLANDS LÄN</t>
        </is>
      </c>
      <c r="E11520" t="inlineStr">
        <is>
          <t>ARVIKA</t>
        </is>
      </c>
      <c r="G11520" t="n">
        <v>5.4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43717-2023</t>
        </is>
      </c>
      <c r="B11521" s="1" t="n">
        <v>45187</v>
      </c>
      <c r="C11521" s="1" t="n">
        <v>45810</v>
      </c>
      <c r="D11521" t="inlineStr">
        <is>
          <t>VÄRMLANDS LÄN</t>
        </is>
      </c>
      <c r="E11521" t="inlineStr">
        <is>
          <t>FILIPSTAD</t>
        </is>
      </c>
      <c r="G11521" t="n">
        <v>5.1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43728-2023</t>
        </is>
      </c>
      <c r="B11522" s="1" t="n">
        <v>45187</v>
      </c>
      <c r="C11522" s="1" t="n">
        <v>45810</v>
      </c>
      <c r="D11522" t="inlineStr">
        <is>
          <t>VÄRMLANDS LÄN</t>
        </is>
      </c>
      <c r="E11522" t="inlineStr">
        <is>
          <t>EDA</t>
        </is>
      </c>
      <c r="G11522" t="n">
        <v>1.2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43663-2023</t>
        </is>
      </c>
      <c r="B11523" s="1" t="n">
        <v>45187</v>
      </c>
      <c r="C11523" s="1" t="n">
        <v>45810</v>
      </c>
      <c r="D11523" t="inlineStr">
        <is>
          <t>VÄRMLANDS LÄN</t>
        </is>
      </c>
      <c r="E11523" t="inlineStr">
        <is>
          <t>TORSBY</t>
        </is>
      </c>
      <c r="G11523" t="n">
        <v>8.300000000000001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43670-2023</t>
        </is>
      </c>
      <c r="B11524" s="1" t="n">
        <v>45187</v>
      </c>
      <c r="C11524" s="1" t="n">
        <v>45810</v>
      </c>
      <c r="D11524" t="inlineStr">
        <is>
          <t>VÄRMLANDS LÄN</t>
        </is>
      </c>
      <c r="E11524" t="inlineStr">
        <is>
          <t>TORSBY</t>
        </is>
      </c>
      <c r="G11524" t="n">
        <v>4.2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43835-2023</t>
        </is>
      </c>
      <c r="B11525" s="1" t="n">
        <v>45187</v>
      </c>
      <c r="C11525" s="1" t="n">
        <v>45810</v>
      </c>
      <c r="D11525" t="inlineStr">
        <is>
          <t>VÄRMLANDS LÄN</t>
        </is>
      </c>
      <c r="E11525" t="inlineStr">
        <is>
          <t>GRUMS</t>
        </is>
      </c>
      <c r="G11525" t="n">
        <v>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43868-2023</t>
        </is>
      </c>
      <c r="B11526" s="1" t="n">
        <v>45187</v>
      </c>
      <c r="C11526" s="1" t="n">
        <v>45810</v>
      </c>
      <c r="D11526" t="inlineStr">
        <is>
          <t>VÄRMLANDS LÄN</t>
        </is>
      </c>
      <c r="E11526" t="inlineStr">
        <is>
          <t>SUNNE</t>
        </is>
      </c>
      <c r="G11526" t="n">
        <v>1.1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43892-2023</t>
        </is>
      </c>
      <c r="B11527" s="1" t="n">
        <v>45187</v>
      </c>
      <c r="C11527" s="1" t="n">
        <v>45810</v>
      </c>
      <c r="D11527" t="inlineStr">
        <is>
          <t>VÄRMLANDS LÄN</t>
        </is>
      </c>
      <c r="E11527" t="inlineStr">
        <is>
          <t>HAGFORS</t>
        </is>
      </c>
      <c r="F11527" t="inlineStr">
        <is>
          <t>Bergvik skog väst AB</t>
        </is>
      </c>
      <c r="G11527" t="n">
        <v>21.7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43896-2023</t>
        </is>
      </c>
      <c r="B11528" s="1" t="n">
        <v>45187</v>
      </c>
      <c r="C11528" s="1" t="n">
        <v>45810</v>
      </c>
      <c r="D11528" t="inlineStr">
        <is>
          <t>VÄRMLANDS LÄN</t>
        </is>
      </c>
      <c r="E11528" t="inlineStr">
        <is>
          <t>EDA</t>
        </is>
      </c>
      <c r="G11528" t="n">
        <v>0.7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43931-2023</t>
        </is>
      </c>
      <c r="B11529" s="1" t="n">
        <v>45187</v>
      </c>
      <c r="C11529" s="1" t="n">
        <v>45810</v>
      </c>
      <c r="D11529" t="inlineStr">
        <is>
          <t>VÄRMLANDS LÄN</t>
        </is>
      </c>
      <c r="E11529" t="inlineStr">
        <is>
          <t>KRISTINEHAMN</t>
        </is>
      </c>
      <c r="G11529" t="n">
        <v>6.4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45265-2023</t>
        </is>
      </c>
      <c r="B11530" s="1" t="n">
        <v>45187</v>
      </c>
      <c r="C11530" s="1" t="n">
        <v>45810</v>
      </c>
      <c r="D11530" t="inlineStr">
        <is>
          <t>VÄRMLANDS LÄN</t>
        </is>
      </c>
      <c r="E11530" t="inlineStr">
        <is>
          <t>KARLSTAD</t>
        </is>
      </c>
      <c r="G11530" t="n">
        <v>1.3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45287-2023</t>
        </is>
      </c>
      <c r="B11531" s="1" t="n">
        <v>45187</v>
      </c>
      <c r="C11531" s="1" t="n">
        <v>45810</v>
      </c>
      <c r="D11531" t="inlineStr">
        <is>
          <t>VÄRMLANDS LÄN</t>
        </is>
      </c>
      <c r="E11531" t="inlineStr">
        <is>
          <t>KARLSTAD</t>
        </is>
      </c>
      <c r="G11531" t="n">
        <v>1.8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50709-2023</t>
        </is>
      </c>
      <c r="B11532" s="1" t="n">
        <v>45187</v>
      </c>
      <c r="C11532" s="1" t="n">
        <v>45810</v>
      </c>
      <c r="D11532" t="inlineStr">
        <is>
          <t>VÄRMLANDS LÄN</t>
        </is>
      </c>
      <c r="E11532" t="inlineStr">
        <is>
          <t>KARLSTAD</t>
        </is>
      </c>
      <c r="G11532" t="n">
        <v>3.4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44005-2023</t>
        </is>
      </c>
      <c r="B11533" s="1" t="n">
        <v>45188</v>
      </c>
      <c r="C11533" s="1" t="n">
        <v>45810</v>
      </c>
      <c r="D11533" t="inlineStr">
        <is>
          <t>VÄRMLANDS LÄN</t>
        </is>
      </c>
      <c r="E11533" t="inlineStr">
        <is>
          <t>ARVIKA</t>
        </is>
      </c>
      <c r="G11533" t="n">
        <v>6.6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44085-2023</t>
        </is>
      </c>
      <c r="B11534" s="1" t="n">
        <v>45188</v>
      </c>
      <c r="C11534" s="1" t="n">
        <v>45810</v>
      </c>
      <c r="D11534" t="inlineStr">
        <is>
          <t>VÄRMLANDS LÄN</t>
        </is>
      </c>
      <c r="E11534" t="inlineStr">
        <is>
          <t>KRISTINEHAMN</t>
        </is>
      </c>
      <c r="G11534" t="n">
        <v>1.8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44006-2023</t>
        </is>
      </c>
      <c r="B11535" s="1" t="n">
        <v>45188</v>
      </c>
      <c r="C11535" s="1" t="n">
        <v>45810</v>
      </c>
      <c r="D11535" t="inlineStr">
        <is>
          <t>VÄRMLANDS LÄN</t>
        </is>
      </c>
      <c r="E11535" t="inlineStr">
        <is>
          <t>EDA</t>
        </is>
      </c>
      <c r="G11535" t="n">
        <v>1.1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44047-2023</t>
        </is>
      </c>
      <c r="B11536" s="1" t="n">
        <v>45188</v>
      </c>
      <c r="C11536" s="1" t="n">
        <v>45810</v>
      </c>
      <c r="D11536" t="inlineStr">
        <is>
          <t>VÄRMLANDS LÄN</t>
        </is>
      </c>
      <c r="E11536" t="inlineStr">
        <is>
          <t>TORSBY</t>
        </is>
      </c>
      <c r="G11536" t="n">
        <v>1.2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44004-2023</t>
        </is>
      </c>
      <c r="B11537" s="1" t="n">
        <v>45188</v>
      </c>
      <c r="C11537" s="1" t="n">
        <v>45810</v>
      </c>
      <c r="D11537" t="inlineStr">
        <is>
          <t>VÄRMLANDS LÄN</t>
        </is>
      </c>
      <c r="E11537" t="inlineStr">
        <is>
          <t>ÅRJÄNG</t>
        </is>
      </c>
      <c r="G11537" t="n">
        <v>1.8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44104-2023</t>
        </is>
      </c>
      <c r="B11538" s="1" t="n">
        <v>45188</v>
      </c>
      <c r="C11538" s="1" t="n">
        <v>45810</v>
      </c>
      <c r="D11538" t="inlineStr">
        <is>
          <t>VÄRMLANDS LÄN</t>
        </is>
      </c>
      <c r="E11538" t="inlineStr">
        <is>
          <t>MUNKFORS</t>
        </is>
      </c>
      <c r="G11538" t="n">
        <v>2.1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44041-2023</t>
        </is>
      </c>
      <c r="B11539" s="1" t="n">
        <v>45188</v>
      </c>
      <c r="C11539" s="1" t="n">
        <v>45810</v>
      </c>
      <c r="D11539" t="inlineStr">
        <is>
          <t>VÄRMLANDS LÄN</t>
        </is>
      </c>
      <c r="E11539" t="inlineStr">
        <is>
          <t>MUNKFORS</t>
        </is>
      </c>
      <c r="G11539" t="n">
        <v>1.9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44150-2023</t>
        </is>
      </c>
      <c r="B11540" s="1" t="n">
        <v>45188</v>
      </c>
      <c r="C11540" s="1" t="n">
        <v>45810</v>
      </c>
      <c r="D11540" t="inlineStr">
        <is>
          <t>VÄRMLANDS LÄN</t>
        </is>
      </c>
      <c r="E11540" t="inlineStr">
        <is>
          <t>TORSBY</t>
        </is>
      </c>
      <c r="G11540" t="n">
        <v>2.3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44167-2023</t>
        </is>
      </c>
      <c r="B11541" s="1" t="n">
        <v>45188</v>
      </c>
      <c r="C11541" s="1" t="n">
        <v>45810</v>
      </c>
      <c r="D11541" t="inlineStr">
        <is>
          <t>VÄRMLANDS LÄN</t>
        </is>
      </c>
      <c r="E11541" t="inlineStr">
        <is>
          <t>FORSHAGA</t>
        </is>
      </c>
      <c r="F11541" t="inlineStr">
        <is>
          <t>Bergvik skog väst AB</t>
        </is>
      </c>
      <c r="G11541" t="n">
        <v>2.2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44134-2023</t>
        </is>
      </c>
      <c r="B11542" s="1" t="n">
        <v>45188</v>
      </c>
      <c r="C11542" s="1" t="n">
        <v>45810</v>
      </c>
      <c r="D11542" t="inlineStr">
        <is>
          <t>VÄRMLANDS LÄN</t>
        </is>
      </c>
      <c r="E11542" t="inlineStr">
        <is>
          <t>FILIPSTAD</t>
        </is>
      </c>
      <c r="G11542" t="n">
        <v>4.9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44220-2023</t>
        </is>
      </c>
      <c r="B11543" s="1" t="n">
        <v>45188</v>
      </c>
      <c r="C11543" s="1" t="n">
        <v>45810</v>
      </c>
      <c r="D11543" t="inlineStr">
        <is>
          <t>VÄRMLANDS LÄN</t>
        </is>
      </c>
      <c r="E11543" t="inlineStr">
        <is>
          <t>SUNNE</t>
        </is>
      </c>
      <c r="G11543" t="n">
        <v>2.1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44007-2023</t>
        </is>
      </c>
      <c r="B11544" s="1" t="n">
        <v>45188</v>
      </c>
      <c r="C11544" s="1" t="n">
        <v>45810</v>
      </c>
      <c r="D11544" t="inlineStr">
        <is>
          <t>VÄRMLANDS LÄN</t>
        </is>
      </c>
      <c r="E11544" t="inlineStr">
        <is>
          <t>ÅRJÄNG</t>
        </is>
      </c>
      <c r="G11544" t="n">
        <v>2.1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44242-2023</t>
        </is>
      </c>
      <c r="B11545" s="1" t="n">
        <v>45188</v>
      </c>
      <c r="C11545" s="1" t="n">
        <v>45810</v>
      </c>
      <c r="D11545" t="inlineStr">
        <is>
          <t>VÄRMLANDS LÄN</t>
        </is>
      </c>
      <c r="E11545" t="inlineStr">
        <is>
          <t>SUNNE</t>
        </is>
      </c>
      <c r="G11545" t="n">
        <v>5.1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44200-2023</t>
        </is>
      </c>
      <c r="B11546" s="1" t="n">
        <v>45188</v>
      </c>
      <c r="C11546" s="1" t="n">
        <v>45810</v>
      </c>
      <c r="D11546" t="inlineStr">
        <is>
          <t>VÄRMLANDS LÄN</t>
        </is>
      </c>
      <c r="E11546" t="inlineStr">
        <is>
          <t>SUNNE</t>
        </is>
      </c>
      <c r="G11546" t="n">
        <v>2.6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44213-2023</t>
        </is>
      </c>
      <c r="B11547" s="1" t="n">
        <v>45188</v>
      </c>
      <c r="C11547" s="1" t="n">
        <v>45810</v>
      </c>
      <c r="D11547" t="inlineStr">
        <is>
          <t>VÄRMLANDS LÄN</t>
        </is>
      </c>
      <c r="E11547" t="inlineStr">
        <is>
          <t>SUNNE</t>
        </is>
      </c>
      <c r="G11547" t="n">
        <v>4.2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44281-2023</t>
        </is>
      </c>
      <c r="B11548" s="1" t="n">
        <v>45188</v>
      </c>
      <c r="C11548" s="1" t="n">
        <v>45810</v>
      </c>
      <c r="D11548" t="inlineStr">
        <is>
          <t>VÄRMLANDS LÄN</t>
        </is>
      </c>
      <c r="E11548" t="inlineStr">
        <is>
          <t>FORSHAGA</t>
        </is>
      </c>
      <c r="F11548" t="inlineStr">
        <is>
          <t>Bergvik skog väst AB</t>
        </is>
      </c>
      <c r="G11548" t="n">
        <v>2.1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44044-2023</t>
        </is>
      </c>
      <c r="B11549" s="1" t="n">
        <v>45188</v>
      </c>
      <c r="C11549" s="1" t="n">
        <v>45810</v>
      </c>
      <c r="D11549" t="inlineStr">
        <is>
          <t>VÄRMLANDS LÄN</t>
        </is>
      </c>
      <c r="E11549" t="inlineStr">
        <is>
          <t>TORSBY</t>
        </is>
      </c>
      <c r="G11549" t="n">
        <v>10</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44048-2023</t>
        </is>
      </c>
      <c r="B11550" s="1" t="n">
        <v>45188</v>
      </c>
      <c r="C11550" s="1" t="n">
        <v>45810</v>
      </c>
      <c r="D11550" t="inlineStr">
        <is>
          <t>VÄRMLANDS LÄN</t>
        </is>
      </c>
      <c r="E11550" t="inlineStr">
        <is>
          <t>GRUMS</t>
        </is>
      </c>
      <c r="G11550" t="n">
        <v>2.5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44060-2023</t>
        </is>
      </c>
      <c r="B11551" s="1" t="n">
        <v>45188</v>
      </c>
      <c r="C11551" s="1" t="n">
        <v>45810</v>
      </c>
      <c r="D11551" t="inlineStr">
        <is>
          <t>VÄRMLANDS LÄN</t>
        </is>
      </c>
      <c r="E11551" t="inlineStr">
        <is>
          <t>KIL</t>
        </is>
      </c>
      <c r="G11551" t="n">
        <v>0.5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44284-2023</t>
        </is>
      </c>
      <c r="B11552" s="1" t="n">
        <v>45188</v>
      </c>
      <c r="C11552" s="1" t="n">
        <v>45810</v>
      </c>
      <c r="D11552" t="inlineStr">
        <is>
          <t>VÄRMLANDS LÄN</t>
        </is>
      </c>
      <c r="E11552" t="inlineStr">
        <is>
          <t>SUNNE</t>
        </is>
      </c>
      <c r="G11552" t="n">
        <v>2.5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44098-2023</t>
        </is>
      </c>
      <c r="B11553" s="1" t="n">
        <v>45188</v>
      </c>
      <c r="C11553" s="1" t="n">
        <v>45810</v>
      </c>
      <c r="D11553" t="inlineStr">
        <is>
          <t>VÄRMLANDS LÄN</t>
        </is>
      </c>
      <c r="E11553" t="inlineStr">
        <is>
          <t>MUNKFORS</t>
        </is>
      </c>
      <c r="G11553" t="n">
        <v>3.6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44119-2023</t>
        </is>
      </c>
      <c r="B11554" s="1" t="n">
        <v>45188</v>
      </c>
      <c r="C11554" s="1" t="n">
        <v>45810</v>
      </c>
      <c r="D11554" t="inlineStr">
        <is>
          <t>VÄRMLANDS LÄN</t>
        </is>
      </c>
      <c r="E11554" t="inlineStr">
        <is>
          <t>FILIPSTAD</t>
        </is>
      </c>
      <c r="G11554" t="n">
        <v>19.4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44127-2023</t>
        </is>
      </c>
      <c r="B11555" s="1" t="n">
        <v>45188</v>
      </c>
      <c r="C11555" s="1" t="n">
        <v>45810</v>
      </c>
      <c r="D11555" t="inlineStr">
        <is>
          <t>VÄRMLANDS LÄN</t>
        </is>
      </c>
      <c r="E11555" t="inlineStr">
        <is>
          <t>TORSBY</t>
        </is>
      </c>
      <c r="F11555" t="inlineStr">
        <is>
          <t>Bergvik skog väst AB</t>
        </is>
      </c>
      <c r="G11555" t="n">
        <v>8.5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44212-2023</t>
        </is>
      </c>
      <c r="B11556" s="1" t="n">
        <v>45188</v>
      </c>
      <c r="C11556" s="1" t="n">
        <v>45810</v>
      </c>
      <c r="D11556" t="inlineStr">
        <is>
          <t>VÄRMLANDS LÄN</t>
        </is>
      </c>
      <c r="E11556" t="inlineStr">
        <is>
          <t>SUNNE</t>
        </is>
      </c>
      <c r="G11556" t="n">
        <v>1.9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44216-2023</t>
        </is>
      </c>
      <c r="B11557" s="1" t="n">
        <v>45188</v>
      </c>
      <c r="C11557" s="1" t="n">
        <v>45810</v>
      </c>
      <c r="D11557" t="inlineStr">
        <is>
          <t>VÄRMLANDS LÄN</t>
        </is>
      </c>
      <c r="E11557" t="inlineStr">
        <is>
          <t>SUNNE</t>
        </is>
      </c>
      <c r="G11557" t="n">
        <v>3.8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44231-2023</t>
        </is>
      </c>
      <c r="B11558" s="1" t="n">
        <v>45188</v>
      </c>
      <c r="C11558" s="1" t="n">
        <v>45810</v>
      </c>
      <c r="D11558" t="inlineStr">
        <is>
          <t>VÄRMLANDS LÄN</t>
        </is>
      </c>
      <c r="E11558" t="inlineStr">
        <is>
          <t>SUNNE</t>
        </is>
      </c>
      <c r="G11558" t="n">
        <v>1.9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44262-2023</t>
        </is>
      </c>
      <c r="B11559" s="1" t="n">
        <v>45188</v>
      </c>
      <c r="C11559" s="1" t="n">
        <v>45810</v>
      </c>
      <c r="D11559" t="inlineStr">
        <is>
          <t>VÄRMLANDS LÄN</t>
        </is>
      </c>
      <c r="E11559" t="inlineStr">
        <is>
          <t>TORSBY</t>
        </is>
      </c>
      <c r="G11559" t="n">
        <v>2.7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44113-2023</t>
        </is>
      </c>
      <c r="B11560" s="1" t="n">
        <v>45188</v>
      </c>
      <c r="C11560" s="1" t="n">
        <v>45810</v>
      </c>
      <c r="D11560" t="inlineStr">
        <is>
          <t>VÄRMLANDS LÄN</t>
        </is>
      </c>
      <c r="E11560" t="inlineStr">
        <is>
          <t>TORSBY</t>
        </is>
      </c>
      <c r="G11560" t="n">
        <v>2.2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44215-2023</t>
        </is>
      </c>
      <c r="B11561" s="1" t="n">
        <v>45188</v>
      </c>
      <c r="C11561" s="1" t="n">
        <v>45810</v>
      </c>
      <c r="D11561" t="inlineStr">
        <is>
          <t>VÄRMLANDS LÄN</t>
        </is>
      </c>
      <c r="E11561" t="inlineStr">
        <is>
          <t>SUNNE</t>
        </is>
      </c>
      <c r="G11561" t="n">
        <v>1.5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44364-2023</t>
        </is>
      </c>
      <c r="B11562" s="1" t="n">
        <v>45188</v>
      </c>
      <c r="C11562" s="1" t="n">
        <v>45810</v>
      </c>
      <c r="D11562" t="inlineStr">
        <is>
          <t>VÄRMLANDS LÄN</t>
        </is>
      </c>
      <c r="E11562" t="inlineStr">
        <is>
          <t>KARLSTAD</t>
        </is>
      </c>
      <c r="G11562" t="n">
        <v>1.9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45473-2023</t>
        </is>
      </c>
      <c r="B11563" s="1" t="n">
        <v>45188</v>
      </c>
      <c r="C11563" s="1" t="n">
        <v>45810</v>
      </c>
      <c r="D11563" t="inlineStr">
        <is>
          <t>VÄRMLANDS LÄN</t>
        </is>
      </c>
      <c r="E11563" t="inlineStr">
        <is>
          <t>SUNNE</t>
        </is>
      </c>
      <c r="G11563" t="n">
        <v>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45438-2023</t>
        </is>
      </c>
      <c r="B11564" s="1" t="n">
        <v>45188</v>
      </c>
      <c r="C11564" s="1" t="n">
        <v>45810</v>
      </c>
      <c r="D11564" t="inlineStr">
        <is>
          <t>VÄRMLANDS LÄN</t>
        </is>
      </c>
      <c r="E11564" t="inlineStr">
        <is>
          <t>FORSHAGA</t>
        </is>
      </c>
      <c r="G11564" t="n">
        <v>2.6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44282-2023</t>
        </is>
      </c>
      <c r="B11565" s="1" t="n">
        <v>45188</v>
      </c>
      <c r="C11565" s="1" t="n">
        <v>45810</v>
      </c>
      <c r="D11565" t="inlineStr">
        <is>
          <t>VÄRMLANDS LÄN</t>
        </is>
      </c>
      <c r="E11565" t="inlineStr">
        <is>
          <t>ARVIKA</t>
        </is>
      </c>
      <c r="F11565" t="inlineStr">
        <is>
          <t>Bergvik skog väst AB</t>
        </is>
      </c>
      <c r="G11565" t="n">
        <v>6.9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45426-2023</t>
        </is>
      </c>
      <c r="B11566" s="1" t="n">
        <v>45188</v>
      </c>
      <c r="C11566" s="1" t="n">
        <v>45810</v>
      </c>
      <c r="D11566" t="inlineStr">
        <is>
          <t>VÄRMLANDS LÄN</t>
        </is>
      </c>
      <c r="E11566" t="inlineStr">
        <is>
          <t>SUNNE</t>
        </is>
      </c>
      <c r="G11566" t="n">
        <v>0.6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44424-2023</t>
        </is>
      </c>
      <c r="B11567" s="1" t="n">
        <v>45189</v>
      </c>
      <c r="C11567" s="1" t="n">
        <v>45810</v>
      </c>
      <c r="D11567" t="inlineStr">
        <is>
          <t>VÄRMLANDS LÄN</t>
        </is>
      </c>
      <c r="E11567" t="inlineStr">
        <is>
          <t>TORSBY</t>
        </is>
      </c>
      <c r="F11567" t="inlineStr">
        <is>
          <t>Kyrkan</t>
        </is>
      </c>
      <c r="G11567" t="n">
        <v>2.8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44421-2023</t>
        </is>
      </c>
      <c r="B11568" s="1" t="n">
        <v>45189</v>
      </c>
      <c r="C11568" s="1" t="n">
        <v>45810</v>
      </c>
      <c r="D11568" t="inlineStr">
        <is>
          <t>VÄRMLANDS LÄN</t>
        </is>
      </c>
      <c r="E11568" t="inlineStr">
        <is>
          <t>SUNNE</t>
        </is>
      </c>
      <c r="G11568" t="n">
        <v>1.2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44472-2023</t>
        </is>
      </c>
      <c r="B11569" s="1" t="n">
        <v>45189</v>
      </c>
      <c r="C11569" s="1" t="n">
        <v>45810</v>
      </c>
      <c r="D11569" t="inlineStr">
        <is>
          <t>VÄRMLANDS LÄN</t>
        </is>
      </c>
      <c r="E11569" t="inlineStr">
        <is>
          <t>SÄFFLE</t>
        </is>
      </c>
      <c r="G11569" t="n">
        <v>2.4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44474-2023</t>
        </is>
      </c>
      <c r="B11570" s="1" t="n">
        <v>45189</v>
      </c>
      <c r="C11570" s="1" t="n">
        <v>45810</v>
      </c>
      <c r="D11570" t="inlineStr">
        <is>
          <t>VÄRMLANDS LÄN</t>
        </is>
      </c>
      <c r="E11570" t="inlineStr">
        <is>
          <t>SÄFFLE</t>
        </is>
      </c>
      <c r="G11570" t="n">
        <v>4.1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44484-2023</t>
        </is>
      </c>
      <c r="B11571" s="1" t="n">
        <v>45189</v>
      </c>
      <c r="C11571" s="1" t="n">
        <v>45810</v>
      </c>
      <c r="D11571" t="inlineStr">
        <is>
          <t>VÄRMLANDS LÄN</t>
        </is>
      </c>
      <c r="E11571" t="inlineStr">
        <is>
          <t>SÄFFLE</t>
        </is>
      </c>
      <c r="G11571" t="n">
        <v>3.8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44490-2023</t>
        </is>
      </c>
      <c r="B11572" s="1" t="n">
        <v>45189</v>
      </c>
      <c r="C11572" s="1" t="n">
        <v>45810</v>
      </c>
      <c r="D11572" t="inlineStr">
        <is>
          <t>VÄRMLANDS LÄN</t>
        </is>
      </c>
      <c r="E11572" t="inlineStr">
        <is>
          <t>SÄFFLE</t>
        </is>
      </c>
      <c r="G11572" t="n">
        <v>0.7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44497-2023</t>
        </is>
      </c>
      <c r="B11573" s="1" t="n">
        <v>45189</v>
      </c>
      <c r="C11573" s="1" t="n">
        <v>45810</v>
      </c>
      <c r="D11573" t="inlineStr">
        <is>
          <t>VÄRMLANDS LÄN</t>
        </is>
      </c>
      <c r="E11573" t="inlineStr">
        <is>
          <t>TORSBY</t>
        </is>
      </c>
      <c r="G11573" t="n">
        <v>7.6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44503-2023</t>
        </is>
      </c>
      <c r="B11574" s="1" t="n">
        <v>45189</v>
      </c>
      <c r="C11574" s="1" t="n">
        <v>45810</v>
      </c>
      <c r="D11574" t="inlineStr">
        <is>
          <t>VÄRMLANDS LÄN</t>
        </is>
      </c>
      <c r="E11574" t="inlineStr">
        <is>
          <t>FILIPSTAD</t>
        </is>
      </c>
      <c r="F11574" t="inlineStr">
        <is>
          <t>Bergvik skog väst AB</t>
        </is>
      </c>
      <c r="G11574" t="n">
        <v>5.2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44507-2023</t>
        </is>
      </c>
      <c r="B11575" s="1" t="n">
        <v>45189</v>
      </c>
      <c r="C11575" s="1" t="n">
        <v>45810</v>
      </c>
      <c r="D11575" t="inlineStr">
        <is>
          <t>VÄRMLANDS LÄN</t>
        </is>
      </c>
      <c r="E11575" t="inlineStr">
        <is>
          <t>ARVIKA</t>
        </is>
      </c>
      <c r="G11575" t="n">
        <v>0.6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44519-2023</t>
        </is>
      </c>
      <c r="B11576" s="1" t="n">
        <v>45189</v>
      </c>
      <c r="C11576" s="1" t="n">
        <v>45810</v>
      </c>
      <c r="D11576" t="inlineStr">
        <is>
          <t>VÄRMLANDS LÄN</t>
        </is>
      </c>
      <c r="E11576" t="inlineStr">
        <is>
          <t>ARVIKA</t>
        </is>
      </c>
      <c r="G11576" t="n">
        <v>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44589-2023</t>
        </is>
      </c>
      <c r="B11577" s="1" t="n">
        <v>45189</v>
      </c>
      <c r="C11577" s="1" t="n">
        <v>45810</v>
      </c>
      <c r="D11577" t="inlineStr">
        <is>
          <t>VÄRMLANDS LÄN</t>
        </is>
      </c>
      <c r="E11577" t="inlineStr">
        <is>
          <t>SUNNE</t>
        </is>
      </c>
      <c r="G11577" t="n">
        <v>2.5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44643-2023</t>
        </is>
      </c>
      <c r="B11578" s="1" t="n">
        <v>45189</v>
      </c>
      <c r="C11578" s="1" t="n">
        <v>45810</v>
      </c>
      <c r="D11578" t="inlineStr">
        <is>
          <t>VÄRMLANDS LÄN</t>
        </is>
      </c>
      <c r="E11578" t="inlineStr">
        <is>
          <t>SÄFFLE</t>
        </is>
      </c>
      <c r="G11578" t="n">
        <v>1.4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44415-2023</t>
        </is>
      </c>
      <c r="B11579" s="1" t="n">
        <v>45189</v>
      </c>
      <c r="C11579" s="1" t="n">
        <v>45810</v>
      </c>
      <c r="D11579" t="inlineStr">
        <is>
          <t>VÄRMLANDS LÄN</t>
        </is>
      </c>
      <c r="E11579" t="inlineStr">
        <is>
          <t>ÅRJÄNG</t>
        </is>
      </c>
      <c r="G11579" t="n">
        <v>1.3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44477-2023</t>
        </is>
      </c>
      <c r="B11580" s="1" t="n">
        <v>45189</v>
      </c>
      <c r="C11580" s="1" t="n">
        <v>45810</v>
      </c>
      <c r="D11580" t="inlineStr">
        <is>
          <t>VÄRMLANDS LÄN</t>
        </is>
      </c>
      <c r="E11580" t="inlineStr">
        <is>
          <t>SÄFFLE</t>
        </is>
      </c>
      <c r="G11580" t="n">
        <v>2.2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44499-2023</t>
        </is>
      </c>
      <c r="B11581" s="1" t="n">
        <v>45189</v>
      </c>
      <c r="C11581" s="1" t="n">
        <v>45810</v>
      </c>
      <c r="D11581" t="inlineStr">
        <is>
          <t>VÄRMLANDS LÄN</t>
        </is>
      </c>
      <c r="E11581" t="inlineStr">
        <is>
          <t>SÄFFLE</t>
        </is>
      </c>
      <c r="G11581" t="n">
        <v>3.6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44515-2023</t>
        </is>
      </c>
      <c r="B11582" s="1" t="n">
        <v>45189</v>
      </c>
      <c r="C11582" s="1" t="n">
        <v>45810</v>
      </c>
      <c r="D11582" t="inlineStr">
        <is>
          <t>VÄRMLANDS LÄN</t>
        </is>
      </c>
      <c r="E11582" t="inlineStr">
        <is>
          <t>ARVIKA</t>
        </is>
      </c>
      <c r="G11582" t="n">
        <v>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44556-2023</t>
        </is>
      </c>
      <c r="B11583" s="1" t="n">
        <v>45189</v>
      </c>
      <c r="C11583" s="1" t="n">
        <v>45810</v>
      </c>
      <c r="D11583" t="inlineStr">
        <is>
          <t>VÄRMLANDS LÄN</t>
        </is>
      </c>
      <c r="E11583" t="inlineStr">
        <is>
          <t>ÅRJÄNG</t>
        </is>
      </c>
      <c r="G11583" t="n">
        <v>1.3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44562-2023</t>
        </is>
      </c>
      <c r="B11584" s="1" t="n">
        <v>45189</v>
      </c>
      <c r="C11584" s="1" t="n">
        <v>45810</v>
      </c>
      <c r="D11584" t="inlineStr">
        <is>
          <t>VÄRMLANDS LÄN</t>
        </is>
      </c>
      <c r="E11584" t="inlineStr">
        <is>
          <t>TORSBY</t>
        </is>
      </c>
      <c r="G11584" t="n">
        <v>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44606-2023</t>
        </is>
      </c>
      <c r="B11585" s="1" t="n">
        <v>45189</v>
      </c>
      <c r="C11585" s="1" t="n">
        <v>45810</v>
      </c>
      <c r="D11585" t="inlineStr">
        <is>
          <t>VÄRMLANDS LÄN</t>
        </is>
      </c>
      <c r="E11585" t="inlineStr">
        <is>
          <t>HAGFORS</t>
        </is>
      </c>
      <c r="F11585" t="inlineStr">
        <is>
          <t>Bergvik skog väst AB</t>
        </is>
      </c>
      <c r="G11585" t="n">
        <v>31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44641-2023</t>
        </is>
      </c>
      <c r="B11586" s="1" t="n">
        <v>45189</v>
      </c>
      <c r="C11586" s="1" t="n">
        <v>45810</v>
      </c>
      <c r="D11586" t="inlineStr">
        <is>
          <t>VÄRMLANDS LÄN</t>
        </is>
      </c>
      <c r="E11586" t="inlineStr">
        <is>
          <t>TORSBY</t>
        </is>
      </c>
      <c r="F11586" t="inlineStr">
        <is>
          <t>Bergvik skog väst AB</t>
        </is>
      </c>
      <c r="G11586" t="n">
        <v>20.3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44422-2023</t>
        </is>
      </c>
      <c r="B11587" s="1" t="n">
        <v>45189</v>
      </c>
      <c r="C11587" s="1" t="n">
        <v>45810</v>
      </c>
      <c r="D11587" t="inlineStr">
        <is>
          <t>VÄRMLANDS LÄN</t>
        </is>
      </c>
      <c r="E11587" t="inlineStr">
        <is>
          <t>SUNNE</t>
        </is>
      </c>
      <c r="G11587" t="n">
        <v>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44427-2023</t>
        </is>
      </c>
      <c r="B11588" s="1" t="n">
        <v>45189</v>
      </c>
      <c r="C11588" s="1" t="n">
        <v>45810</v>
      </c>
      <c r="D11588" t="inlineStr">
        <is>
          <t>VÄRMLANDS LÄN</t>
        </is>
      </c>
      <c r="E11588" t="inlineStr">
        <is>
          <t>SÄFFLE</t>
        </is>
      </c>
      <c r="G11588" t="n">
        <v>0.7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44657-2023</t>
        </is>
      </c>
      <c r="B11589" s="1" t="n">
        <v>45189</v>
      </c>
      <c r="C11589" s="1" t="n">
        <v>45810</v>
      </c>
      <c r="D11589" t="inlineStr">
        <is>
          <t>VÄRMLANDS LÄN</t>
        </is>
      </c>
      <c r="E11589" t="inlineStr">
        <is>
          <t>FILIPSTAD</t>
        </is>
      </c>
      <c r="F11589" t="inlineStr">
        <is>
          <t>Bergvik skog väst AB</t>
        </is>
      </c>
      <c r="G11589" t="n">
        <v>14.3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44485-2023</t>
        </is>
      </c>
      <c r="B11590" s="1" t="n">
        <v>45189</v>
      </c>
      <c r="C11590" s="1" t="n">
        <v>45810</v>
      </c>
      <c r="D11590" t="inlineStr">
        <is>
          <t>VÄRMLANDS LÄN</t>
        </is>
      </c>
      <c r="E11590" t="inlineStr">
        <is>
          <t>ARVIKA</t>
        </is>
      </c>
      <c r="G11590" t="n">
        <v>1.8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44504-2023</t>
        </is>
      </c>
      <c r="B11591" s="1" t="n">
        <v>45189</v>
      </c>
      <c r="C11591" s="1" t="n">
        <v>45810</v>
      </c>
      <c r="D11591" t="inlineStr">
        <is>
          <t>VÄRMLANDS LÄN</t>
        </is>
      </c>
      <c r="E11591" t="inlineStr">
        <is>
          <t>SÄFFLE</t>
        </is>
      </c>
      <c r="G11591" t="n">
        <v>2.3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44509-2023</t>
        </is>
      </c>
      <c r="B11592" s="1" t="n">
        <v>45189</v>
      </c>
      <c r="C11592" s="1" t="n">
        <v>45810</v>
      </c>
      <c r="D11592" t="inlineStr">
        <is>
          <t>VÄRMLANDS LÄN</t>
        </is>
      </c>
      <c r="E11592" t="inlineStr">
        <is>
          <t>FILIPSTAD</t>
        </is>
      </c>
      <c r="F11592" t="inlineStr">
        <is>
          <t>Bergvik skog väst AB</t>
        </is>
      </c>
      <c r="G11592" t="n">
        <v>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44514-2023</t>
        </is>
      </c>
      <c r="B11593" s="1" t="n">
        <v>45189</v>
      </c>
      <c r="C11593" s="1" t="n">
        <v>45810</v>
      </c>
      <c r="D11593" t="inlineStr">
        <is>
          <t>VÄRMLANDS LÄN</t>
        </is>
      </c>
      <c r="E11593" t="inlineStr">
        <is>
          <t>KIL</t>
        </is>
      </c>
      <c r="G11593" t="n">
        <v>1.9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44623-2023</t>
        </is>
      </c>
      <c r="B11594" s="1" t="n">
        <v>45189</v>
      </c>
      <c r="C11594" s="1" t="n">
        <v>45810</v>
      </c>
      <c r="D11594" t="inlineStr">
        <is>
          <t>VÄRMLANDS LÄN</t>
        </is>
      </c>
      <c r="E11594" t="inlineStr">
        <is>
          <t>SUNNE</t>
        </is>
      </c>
      <c r="G11594" t="n">
        <v>1.4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44645-2023</t>
        </is>
      </c>
      <c r="B11595" s="1" t="n">
        <v>45189</v>
      </c>
      <c r="C11595" s="1" t="n">
        <v>45810</v>
      </c>
      <c r="D11595" t="inlineStr">
        <is>
          <t>VÄRMLANDS LÄN</t>
        </is>
      </c>
      <c r="E11595" t="inlineStr">
        <is>
          <t>TORSBY</t>
        </is>
      </c>
      <c r="G11595" t="n">
        <v>1.2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44670-2023</t>
        </is>
      </c>
      <c r="B11596" s="1" t="n">
        <v>45189</v>
      </c>
      <c r="C11596" s="1" t="n">
        <v>45810</v>
      </c>
      <c r="D11596" t="inlineStr">
        <is>
          <t>VÄRMLANDS LÄN</t>
        </is>
      </c>
      <c r="E11596" t="inlineStr">
        <is>
          <t>TORSBY</t>
        </is>
      </c>
      <c r="G11596" t="n">
        <v>2.5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44674-2023</t>
        </is>
      </c>
      <c r="B11597" s="1" t="n">
        <v>45189</v>
      </c>
      <c r="C11597" s="1" t="n">
        <v>45810</v>
      </c>
      <c r="D11597" t="inlineStr">
        <is>
          <t>VÄRMLANDS LÄN</t>
        </is>
      </c>
      <c r="E11597" t="inlineStr">
        <is>
          <t>EDA</t>
        </is>
      </c>
      <c r="G11597" t="n">
        <v>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44728-2023</t>
        </is>
      </c>
      <c r="B11598" s="1" t="n">
        <v>45190</v>
      </c>
      <c r="C11598" s="1" t="n">
        <v>45810</v>
      </c>
      <c r="D11598" t="inlineStr">
        <is>
          <t>VÄRMLANDS LÄN</t>
        </is>
      </c>
      <c r="E11598" t="inlineStr">
        <is>
          <t>HAGFORS</t>
        </is>
      </c>
      <c r="G11598" t="n">
        <v>1.4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44702-2023</t>
        </is>
      </c>
      <c r="B11599" s="1" t="n">
        <v>45190</v>
      </c>
      <c r="C11599" s="1" t="n">
        <v>45810</v>
      </c>
      <c r="D11599" t="inlineStr">
        <is>
          <t>VÄRMLANDS LÄN</t>
        </is>
      </c>
      <c r="E11599" t="inlineStr">
        <is>
          <t>ÅRJÄNG</t>
        </is>
      </c>
      <c r="F11599" t="inlineStr">
        <is>
          <t>Bergvik skog väst AB</t>
        </is>
      </c>
      <c r="G11599" t="n">
        <v>3.4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44710-2023</t>
        </is>
      </c>
      <c r="B11600" s="1" t="n">
        <v>45190</v>
      </c>
      <c r="C11600" s="1" t="n">
        <v>45810</v>
      </c>
      <c r="D11600" t="inlineStr">
        <is>
          <t>VÄRMLANDS LÄN</t>
        </is>
      </c>
      <c r="E11600" t="inlineStr">
        <is>
          <t>TORSBY</t>
        </is>
      </c>
      <c r="G11600" t="n">
        <v>1.4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44703-2023</t>
        </is>
      </c>
      <c r="B11601" s="1" t="n">
        <v>45190</v>
      </c>
      <c r="C11601" s="1" t="n">
        <v>45810</v>
      </c>
      <c r="D11601" t="inlineStr">
        <is>
          <t>VÄRMLANDS LÄN</t>
        </is>
      </c>
      <c r="E11601" t="inlineStr">
        <is>
          <t>ÅRJÄNG</t>
        </is>
      </c>
      <c r="F11601" t="inlineStr">
        <is>
          <t>Bergvik skog väst AB</t>
        </is>
      </c>
      <c r="G11601" t="n">
        <v>13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44730-2023</t>
        </is>
      </c>
      <c r="B11602" s="1" t="n">
        <v>45190</v>
      </c>
      <c r="C11602" s="1" t="n">
        <v>45810</v>
      </c>
      <c r="D11602" t="inlineStr">
        <is>
          <t>VÄRMLANDS LÄN</t>
        </is>
      </c>
      <c r="E11602" t="inlineStr">
        <is>
          <t>TORSBY</t>
        </is>
      </c>
      <c r="G11602" t="n">
        <v>10.7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44787-2023</t>
        </is>
      </c>
      <c r="B11603" s="1" t="n">
        <v>45190</v>
      </c>
      <c r="C11603" s="1" t="n">
        <v>45810</v>
      </c>
      <c r="D11603" t="inlineStr">
        <is>
          <t>VÄRMLANDS LÄN</t>
        </is>
      </c>
      <c r="E11603" t="inlineStr">
        <is>
          <t>SUNNE</t>
        </is>
      </c>
      <c r="G11603" t="n">
        <v>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44792-2023</t>
        </is>
      </c>
      <c r="B11604" s="1" t="n">
        <v>45190</v>
      </c>
      <c r="C11604" s="1" t="n">
        <v>45810</v>
      </c>
      <c r="D11604" t="inlineStr">
        <is>
          <t>VÄRMLANDS LÄN</t>
        </is>
      </c>
      <c r="E11604" t="inlineStr">
        <is>
          <t>FILIPSTAD</t>
        </is>
      </c>
      <c r="G11604" t="n">
        <v>18.4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44849-2023</t>
        </is>
      </c>
      <c r="B11605" s="1" t="n">
        <v>45190</v>
      </c>
      <c r="C11605" s="1" t="n">
        <v>45810</v>
      </c>
      <c r="D11605" t="inlineStr">
        <is>
          <t>VÄRMLANDS LÄN</t>
        </is>
      </c>
      <c r="E11605" t="inlineStr">
        <is>
          <t>SUNNE</t>
        </is>
      </c>
      <c r="G11605" t="n">
        <v>1.5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44869-2023</t>
        </is>
      </c>
      <c r="B11606" s="1" t="n">
        <v>45190</v>
      </c>
      <c r="C11606" s="1" t="n">
        <v>45810</v>
      </c>
      <c r="D11606" t="inlineStr">
        <is>
          <t>VÄRMLANDS LÄN</t>
        </is>
      </c>
      <c r="E11606" t="inlineStr">
        <is>
          <t>SUNNE</t>
        </is>
      </c>
      <c r="G11606" t="n">
        <v>0.9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44854-2023</t>
        </is>
      </c>
      <c r="B11607" s="1" t="n">
        <v>45190</v>
      </c>
      <c r="C11607" s="1" t="n">
        <v>45810</v>
      </c>
      <c r="D11607" t="inlineStr">
        <is>
          <t>VÄRMLANDS LÄN</t>
        </is>
      </c>
      <c r="E11607" t="inlineStr">
        <is>
          <t>ÅRJÄNG</t>
        </is>
      </c>
      <c r="G11607" t="n">
        <v>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44818-2023</t>
        </is>
      </c>
      <c r="B11608" s="1" t="n">
        <v>45190</v>
      </c>
      <c r="C11608" s="1" t="n">
        <v>45810</v>
      </c>
      <c r="D11608" t="inlineStr">
        <is>
          <t>VÄRMLANDS LÄN</t>
        </is>
      </c>
      <c r="E11608" t="inlineStr">
        <is>
          <t>FILIPSTAD</t>
        </is>
      </c>
      <c r="F11608" t="inlineStr">
        <is>
          <t>Bergvik skog väst AB</t>
        </is>
      </c>
      <c r="G11608" t="n">
        <v>18.4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44907-2023</t>
        </is>
      </c>
      <c r="B11609" s="1" t="n">
        <v>45190</v>
      </c>
      <c r="C11609" s="1" t="n">
        <v>45810</v>
      </c>
      <c r="D11609" t="inlineStr">
        <is>
          <t>VÄRMLANDS LÄN</t>
        </is>
      </c>
      <c r="E11609" t="inlineStr">
        <is>
          <t>KRISTINEHAMN</t>
        </is>
      </c>
      <c r="F11609" t="inlineStr">
        <is>
          <t>Sveaskog</t>
        </is>
      </c>
      <c r="G11609" t="n">
        <v>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44868-2023</t>
        </is>
      </c>
      <c r="B11610" s="1" t="n">
        <v>45190</v>
      </c>
      <c r="C11610" s="1" t="n">
        <v>45810</v>
      </c>
      <c r="D11610" t="inlineStr">
        <is>
          <t>VÄRMLANDS LÄN</t>
        </is>
      </c>
      <c r="E11610" t="inlineStr">
        <is>
          <t>FILIPSTAD</t>
        </is>
      </c>
      <c r="F11610" t="inlineStr">
        <is>
          <t>Bergvik skog väst AB</t>
        </is>
      </c>
      <c r="G11610" t="n">
        <v>10.1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44900-2023</t>
        </is>
      </c>
      <c r="B11611" s="1" t="n">
        <v>45190</v>
      </c>
      <c r="C11611" s="1" t="n">
        <v>45810</v>
      </c>
      <c r="D11611" t="inlineStr">
        <is>
          <t>VÄRMLANDS LÄN</t>
        </is>
      </c>
      <c r="E11611" t="inlineStr">
        <is>
          <t>HAGFORS</t>
        </is>
      </c>
      <c r="F11611" t="inlineStr">
        <is>
          <t>Bergvik skog väst AB</t>
        </is>
      </c>
      <c r="G11611" t="n">
        <v>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44784-2023</t>
        </is>
      </c>
      <c r="B11612" s="1" t="n">
        <v>45190</v>
      </c>
      <c r="C11612" s="1" t="n">
        <v>45810</v>
      </c>
      <c r="D11612" t="inlineStr">
        <is>
          <t>VÄRMLANDS LÄN</t>
        </is>
      </c>
      <c r="E11612" t="inlineStr">
        <is>
          <t>SUNNE</t>
        </is>
      </c>
      <c r="G11612" t="n">
        <v>1.8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44793-2023</t>
        </is>
      </c>
      <c r="B11613" s="1" t="n">
        <v>45190</v>
      </c>
      <c r="C11613" s="1" t="n">
        <v>45810</v>
      </c>
      <c r="D11613" t="inlineStr">
        <is>
          <t>VÄRMLANDS LÄN</t>
        </is>
      </c>
      <c r="E11613" t="inlineStr">
        <is>
          <t>ÅRJÄNG</t>
        </is>
      </c>
      <c r="G11613" t="n">
        <v>1.1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44835-2023</t>
        </is>
      </c>
      <c r="B11614" s="1" t="n">
        <v>45190</v>
      </c>
      <c r="C11614" s="1" t="n">
        <v>45810</v>
      </c>
      <c r="D11614" t="inlineStr">
        <is>
          <t>VÄRMLANDS LÄN</t>
        </is>
      </c>
      <c r="E11614" t="inlineStr">
        <is>
          <t>HAGFORS</t>
        </is>
      </c>
      <c r="F11614" t="inlineStr">
        <is>
          <t>Bergvik skog väst AB</t>
        </is>
      </c>
      <c r="G11614" t="n">
        <v>2.4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44908-2023</t>
        </is>
      </c>
      <c r="B11615" s="1" t="n">
        <v>45190</v>
      </c>
      <c r="C11615" s="1" t="n">
        <v>45810</v>
      </c>
      <c r="D11615" t="inlineStr">
        <is>
          <t>VÄRMLANDS LÄN</t>
        </is>
      </c>
      <c r="E11615" t="inlineStr">
        <is>
          <t>KRISTINEHAMN</t>
        </is>
      </c>
      <c r="F11615" t="inlineStr">
        <is>
          <t>Sveaskog</t>
        </is>
      </c>
      <c r="G11615" t="n">
        <v>3.9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45081-2023</t>
        </is>
      </c>
      <c r="B11616" s="1" t="n">
        <v>45191</v>
      </c>
      <c r="C11616" s="1" t="n">
        <v>45810</v>
      </c>
      <c r="D11616" t="inlineStr">
        <is>
          <t>VÄRMLANDS LÄN</t>
        </is>
      </c>
      <c r="E11616" t="inlineStr">
        <is>
          <t>ARVIKA</t>
        </is>
      </c>
      <c r="G11616" t="n">
        <v>4.2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45086-2023</t>
        </is>
      </c>
      <c r="B11617" s="1" t="n">
        <v>45191</v>
      </c>
      <c r="C11617" s="1" t="n">
        <v>45810</v>
      </c>
      <c r="D11617" t="inlineStr">
        <is>
          <t>VÄRMLANDS LÄN</t>
        </is>
      </c>
      <c r="E11617" t="inlineStr">
        <is>
          <t>EDA</t>
        </is>
      </c>
      <c r="G11617" t="n">
        <v>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45134-2023</t>
        </is>
      </c>
      <c r="B11618" s="1" t="n">
        <v>45191</v>
      </c>
      <c r="C11618" s="1" t="n">
        <v>45810</v>
      </c>
      <c r="D11618" t="inlineStr">
        <is>
          <t>VÄRMLANDS LÄN</t>
        </is>
      </c>
      <c r="E11618" t="inlineStr">
        <is>
          <t>ÅRJÄNG</t>
        </is>
      </c>
      <c r="G11618" t="n">
        <v>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45146-2023</t>
        </is>
      </c>
      <c r="B11619" s="1" t="n">
        <v>45191</v>
      </c>
      <c r="C11619" s="1" t="n">
        <v>45810</v>
      </c>
      <c r="D11619" t="inlineStr">
        <is>
          <t>VÄRMLANDS LÄN</t>
        </is>
      </c>
      <c r="E11619" t="inlineStr">
        <is>
          <t>STORFORS</t>
        </is>
      </c>
      <c r="G11619" t="n">
        <v>1.1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45154-2023</t>
        </is>
      </c>
      <c r="B11620" s="1" t="n">
        <v>45191</v>
      </c>
      <c r="C11620" s="1" t="n">
        <v>45810</v>
      </c>
      <c r="D11620" t="inlineStr">
        <is>
          <t>VÄRMLANDS LÄN</t>
        </is>
      </c>
      <c r="E11620" t="inlineStr">
        <is>
          <t>STORFORS</t>
        </is>
      </c>
      <c r="G11620" t="n">
        <v>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45163-2023</t>
        </is>
      </c>
      <c r="B11621" s="1" t="n">
        <v>45191</v>
      </c>
      <c r="C11621" s="1" t="n">
        <v>45810</v>
      </c>
      <c r="D11621" t="inlineStr">
        <is>
          <t>VÄRMLANDS LÄN</t>
        </is>
      </c>
      <c r="E11621" t="inlineStr">
        <is>
          <t>SÄFFLE</t>
        </is>
      </c>
      <c r="G11621" t="n">
        <v>0.8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45167-2023</t>
        </is>
      </c>
      <c r="B11622" s="1" t="n">
        <v>45191</v>
      </c>
      <c r="C11622" s="1" t="n">
        <v>45810</v>
      </c>
      <c r="D11622" t="inlineStr">
        <is>
          <t>VÄRMLANDS LÄN</t>
        </is>
      </c>
      <c r="E11622" t="inlineStr">
        <is>
          <t>SÄFFLE</t>
        </is>
      </c>
      <c r="G11622" t="n">
        <v>1.9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45206-2023</t>
        </is>
      </c>
      <c r="B11623" s="1" t="n">
        <v>45191</v>
      </c>
      <c r="C11623" s="1" t="n">
        <v>45810</v>
      </c>
      <c r="D11623" t="inlineStr">
        <is>
          <t>VÄRMLANDS LÄN</t>
        </is>
      </c>
      <c r="E11623" t="inlineStr">
        <is>
          <t>SUNNE</t>
        </is>
      </c>
      <c r="G11623" t="n">
        <v>1.1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45224-2023</t>
        </is>
      </c>
      <c r="B11624" s="1" t="n">
        <v>45191</v>
      </c>
      <c r="C11624" s="1" t="n">
        <v>45810</v>
      </c>
      <c r="D11624" t="inlineStr">
        <is>
          <t>VÄRMLANDS LÄN</t>
        </is>
      </c>
      <c r="E11624" t="inlineStr">
        <is>
          <t>TORSBY</t>
        </is>
      </c>
      <c r="F11624" t="inlineStr">
        <is>
          <t>Bergvik skog väst AB</t>
        </is>
      </c>
      <c r="G11624" t="n">
        <v>1.1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45233-2023</t>
        </is>
      </c>
      <c r="B11625" s="1" t="n">
        <v>45191</v>
      </c>
      <c r="C11625" s="1" t="n">
        <v>45810</v>
      </c>
      <c r="D11625" t="inlineStr">
        <is>
          <t>VÄRMLANDS LÄN</t>
        </is>
      </c>
      <c r="E11625" t="inlineStr">
        <is>
          <t>SÄFFLE</t>
        </is>
      </c>
      <c r="G11625" t="n">
        <v>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45063-2023</t>
        </is>
      </c>
      <c r="B11626" s="1" t="n">
        <v>45191</v>
      </c>
      <c r="C11626" s="1" t="n">
        <v>45810</v>
      </c>
      <c r="D11626" t="inlineStr">
        <is>
          <t>VÄRMLANDS LÄN</t>
        </is>
      </c>
      <c r="E11626" t="inlineStr">
        <is>
          <t>ARVIKA</t>
        </is>
      </c>
      <c r="G11626" t="n">
        <v>4.8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45041-2023</t>
        </is>
      </c>
      <c r="B11627" s="1" t="n">
        <v>45191</v>
      </c>
      <c r="C11627" s="1" t="n">
        <v>45810</v>
      </c>
      <c r="D11627" t="inlineStr">
        <is>
          <t>VÄRMLANDS LÄN</t>
        </is>
      </c>
      <c r="E11627" t="inlineStr">
        <is>
          <t>TORSBY</t>
        </is>
      </c>
      <c r="F11627" t="inlineStr">
        <is>
          <t>Kyrkan</t>
        </is>
      </c>
      <c r="G11627" t="n">
        <v>9.4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45069-2023</t>
        </is>
      </c>
      <c r="B11628" s="1" t="n">
        <v>45191</v>
      </c>
      <c r="C11628" s="1" t="n">
        <v>45810</v>
      </c>
      <c r="D11628" t="inlineStr">
        <is>
          <t>VÄRMLANDS LÄN</t>
        </is>
      </c>
      <c r="E11628" t="inlineStr">
        <is>
          <t>ARVIKA</t>
        </is>
      </c>
      <c r="G11628" t="n">
        <v>0.7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45132-2023</t>
        </is>
      </c>
      <c r="B11629" s="1" t="n">
        <v>45191</v>
      </c>
      <c r="C11629" s="1" t="n">
        <v>45810</v>
      </c>
      <c r="D11629" t="inlineStr">
        <is>
          <t>VÄRMLANDS LÄN</t>
        </is>
      </c>
      <c r="E11629" t="inlineStr">
        <is>
          <t>ARVIKA</t>
        </is>
      </c>
      <c r="G11629" t="n">
        <v>2.2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45104-2023</t>
        </is>
      </c>
      <c r="B11630" s="1" t="n">
        <v>45191</v>
      </c>
      <c r="C11630" s="1" t="n">
        <v>45810</v>
      </c>
      <c r="D11630" t="inlineStr">
        <is>
          <t>VÄRMLANDS LÄN</t>
        </is>
      </c>
      <c r="E11630" t="inlineStr">
        <is>
          <t>HAGFORS</t>
        </is>
      </c>
      <c r="F11630" t="inlineStr">
        <is>
          <t>Bergvik skog väst AB</t>
        </is>
      </c>
      <c r="G11630" t="n">
        <v>6.6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45152-2023</t>
        </is>
      </c>
      <c r="B11631" s="1" t="n">
        <v>45191</v>
      </c>
      <c r="C11631" s="1" t="n">
        <v>45810</v>
      </c>
      <c r="D11631" t="inlineStr">
        <is>
          <t>VÄRMLANDS LÄN</t>
        </is>
      </c>
      <c r="E11631" t="inlineStr">
        <is>
          <t>TORSBY</t>
        </is>
      </c>
      <c r="G11631" t="n">
        <v>2.3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45165-2023</t>
        </is>
      </c>
      <c r="B11632" s="1" t="n">
        <v>45191</v>
      </c>
      <c r="C11632" s="1" t="n">
        <v>45810</v>
      </c>
      <c r="D11632" t="inlineStr">
        <is>
          <t>VÄRMLANDS LÄN</t>
        </is>
      </c>
      <c r="E11632" t="inlineStr">
        <is>
          <t>SÄFFLE</t>
        </is>
      </c>
      <c r="G11632" t="n">
        <v>1.7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45169-2023</t>
        </is>
      </c>
      <c r="B11633" s="1" t="n">
        <v>45191</v>
      </c>
      <c r="C11633" s="1" t="n">
        <v>45810</v>
      </c>
      <c r="D11633" t="inlineStr">
        <is>
          <t>VÄRMLANDS LÄN</t>
        </is>
      </c>
      <c r="E11633" t="inlineStr">
        <is>
          <t>TORSBY</t>
        </is>
      </c>
      <c r="G11633" t="n">
        <v>3.2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45177-2023</t>
        </is>
      </c>
      <c r="B11634" s="1" t="n">
        <v>45191</v>
      </c>
      <c r="C11634" s="1" t="n">
        <v>45810</v>
      </c>
      <c r="D11634" t="inlineStr">
        <is>
          <t>VÄRMLANDS LÄN</t>
        </is>
      </c>
      <c r="E11634" t="inlineStr">
        <is>
          <t>HAGFORS</t>
        </is>
      </c>
      <c r="F11634" t="inlineStr">
        <is>
          <t>Bergvik skog väst AB</t>
        </is>
      </c>
      <c r="G11634" t="n">
        <v>7.6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45147-2023</t>
        </is>
      </c>
      <c r="B11635" s="1" t="n">
        <v>45191</v>
      </c>
      <c r="C11635" s="1" t="n">
        <v>45810</v>
      </c>
      <c r="D11635" t="inlineStr">
        <is>
          <t>VÄRMLANDS LÄN</t>
        </is>
      </c>
      <c r="E11635" t="inlineStr">
        <is>
          <t>EDA</t>
        </is>
      </c>
      <c r="G11635" t="n">
        <v>2.3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45180-2023</t>
        </is>
      </c>
      <c r="B11636" s="1" t="n">
        <v>45191</v>
      </c>
      <c r="C11636" s="1" t="n">
        <v>45810</v>
      </c>
      <c r="D11636" t="inlineStr">
        <is>
          <t>VÄRMLANDS LÄN</t>
        </is>
      </c>
      <c r="E11636" t="inlineStr">
        <is>
          <t>SUNNE</t>
        </is>
      </c>
      <c r="G11636" t="n">
        <v>1.3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45231-2023</t>
        </is>
      </c>
      <c r="B11637" s="1" t="n">
        <v>45191</v>
      </c>
      <c r="C11637" s="1" t="n">
        <v>45810</v>
      </c>
      <c r="D11637" t="inlineStr">
        <is>
          <t>VÄRMLANDS LÄN</t>
        </is>
      </c>
      <c r="E11637" t="inlineStr">
        <is>
          <t>TORSBY</t>
        </is>
      </c>
      <c r="F11637" t="inlineStr">
        <is>
          <t>Bergvik skog väst AB</t>
        </is>
      </c>
      <c r="G11637" t="n">
        <v>7.8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45236-2023</t>
        </is>
      </c>
      <c r="B11638" s="1" t="n">
        <v>45191</v>
      </c>
      <c r="C11638" s="1" t="n">
        <v>45810</v>
      </c>
      <c r="D11638" t="inlineStr">
        <is>
          <t>VÄRMLANDS LÄN</t>
        </is>
      </c>
      <c r="E11638" t="inlineStr">
        <is>
          <t>SÄFFLE</t>
        </is>
      </c>
      <c r="G11638" t="n">
        <v>1.3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45282-2023</t>
        </is>
      </c>
      <c r="B11639" s="1" t="n">
        <v>45191</v>
      </c>
      <c r="C11639" s="1" t="n">
        <v>45810</v>
      </c>
      <c r="D11639" t="inlineStr">
        <is>
          <t>VÄRMLANDS LÄN</t>
        </is>
      </c>
      <c r="E11639" t="inlineStr">
        <is>
          <t>HAGFORS</t>
        </is>
      </c>
      <c r="F11639" t="inlineStr">
        <is>
          <t>Bergvik skog väst AB</t>
        </is>
      </c>
      <c r="G11639" t="n">
        <v>4.3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45297-2023</t>
        </is>
      </c>
      <c r="B11640" s="1" t="n">
        <v>45191</v>
      </c>
      <c r="C11640" s="1" t="n">
        <v>45810</v>
      </c>
      <c r="D11640" t="inlineStr">
        <is>
          <t>VÄRMLANDS LÄN</t>
        </is>
      </c>
      <c r="E11640" t="inlineStr">
        <is>
          <t>ARVIKA</t>
        </is>
      </c>
      <c r="G11640" t="n">
        <v>1.6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45296-2023</t>
        </is>
      </c>
      <c r="B11641" s="1" t="n">
        <v>45191</v>
      </c>
      <c r="C11641" s="1" t="n">
        <v>45810</v>
      </c>
      <c r="D11641" t="inlineStr">
        <is>
          <t>VÄRMLANDS LÄN</t>
        </is>
      </c>
      <c r="E11641" t="inlineStr">
        <is>
          <t>ARVIKA</t>
        </is>
      </c>
      <c r="G11641" t="n">
        <v>1.4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45300-2023</t>
        </is>
      </c>
      <c r="B11642" s="1" t="n">
        <v>45191</v>
      </c>
      <c r="C11642" s="1" t="n">
        <v>45810</v>
      </c>
      <c r="D11642" t="inlineStr">
        <is>
          <t>VÄRMLANDS LÄN</t>
        </is>
      </c>
      <c r="E11642" t="inlineStr">
        <is>
          <t>ARVIKA</t>
        </is>
      </c>
      <c r="G11642" t="n">
        <v>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45304-2023</t>
        </is>
      </c>
      <c r="B11643" s="1" t="n">
        <v>45191</v>
      </c>
      <c r="C11643" s="1" t="n">
        <v>45810</v>
      </c>
      <c r="D11643" t="inlineStr">
        <is>
          <t>VÄRMLANDS LÄN</t>
        </is>
      </c>
      <c r="E11643" t="inlineStr">
        <is>
          <t>SUNNE</t>
        </is>
      </c>
      <c r="G11643" t="n">
        <v>4.7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46333-2023</t>
        </is>
      </c>
      <c r="B11644" s="1" t="n">
        <v>45191</v>
      </c>
      <c r="C11644" s="1" t="n">
        <v>45810</v>
      </c>
      <c r="D11644" t="inlineStr">
        <is>
          <t>VÄRMLANDS LÄN</t>
        </is>
      </c>
      <c r="E11644" t="inlineStr">
        <is>
          <t>KRISTINEHAMN</t>
        </is>
      </c>
      <c r="G11644" t="n">
        <v>7.5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45178-2023</t>
        </is>
      </c>
      <c r="B11645" s="1" t="n">
        <v>45191</v>
      </c>
      <c r="C11645" s="1" t="n">
        <v>45810</v>
      </c>
      <c r="D11645" t="inlineStr">
        <is>
          <t>VÄRMLANDS LÄN</t>
        </is>
      </c>
      <c r="E11645" t="inlineStr">
        <is>
          <t>ARVIKA</t>
        </is>
      </c>
      <c r="G11645" t="n">
        <v>4.2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45228-2023</t>
        </is>
      </c>
      <c r="B11646" s="1" t="n">
        <v>45191</v>
      </c>
      <c r="C11646" s="1" t="n">
        <v>45810</v>
      </c>
      <c r="D11646" t="inlineStr">
        <is>
          <t>VÄRMLANDS LÄN</t>
        </is>
      </c>
      <c r="E11646" t="inlineStr">
        <is>
          <t>TORSBY</t>
        </is>
      </c>
      <c r="F11646" t="inlineStr">
        <is>
          <t>Bergvik skog väst AB</t>
        </is>
      </c>
      <c r="G11646" t="n">
        <v>26.8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45298-2023</t>
        </is>
      </c>
      <c r="B11647" s="1" t="n">
        <v>45191</v>
      </c>
      <c r="C11647" s="1" t="n">
        <v>45810</v>
      </c>
      <c r="D11647" t="inlineStr">
        <is>
          <t>VÄRMLANDS LÄN</t>
        </is>
      </c>
      <c r="E11647" t="inlineStr">
        <is>
          <t>ARVIKA</t>
        </is>
      </c>
      <c r="G11647" t="n">
        <v>4.5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45355-2023</t>
        </is>
      </c>
      <c r="B11648" s="1" t="n">
        <v>45192</v>
      </c>
      <c r="C11648" s="1" t="n">
        <v>45810</v>
      </c>
      <c r="D11648" t="inlineStr">
        <is>
          <t>VÄRMLANDS LÄN</t>
        </is>
      </c>
      <c r="E11648" t="inlineStr">
        <is>
          <t>EDA</t>
        </is>
      </c>
      <c r="G11648" t="n">
        <v>2.1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45389-2023</t>
        </is>
      </c>
      <c r="B11649" s="1" t="n">
        <v>45193</v>
      </c>
      <c r="C11649" s="1" t="n">
        <v>45810</v>
      </c>
      <c r="D11649" t="inlineStr">
        <is>
          <t>VÄRMLANDS LÄN</t>
        </is>
      </c>
      <c r="E11649" t="inlineStr">
        <is>
          <t>ÅRJÄNG</t>
        </is>
      </c>
      <c r="G11649" t="n">
        <v>2.2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45404-2023</t>
        </is>
      </c>
      <c r="B11650" s="1" t="n">
        <v>45194</v>
      </c>
      <c r="C11650" s="1" t="n">
        <v>45810</v>
      </c>
      <c r="D11650" t="inlineStr">
        <is>
          <t>VÄRMLANDS LÄN</t>
        </is>
      </c>
      <c r="E11650" t="inlineStr">
        <is>
          <t>EDA</t>
        </is>
      </c>
      <c r="G11650" t="n">
        <v>1.3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45599-2023</t>
        </is>
      </c>
      <c r="B11651" s="1" t="n">
        <v>45194</v>
      </c>
      <c r="C11651" s="1" t="n">
        <v>45810</v>
      </c>
      <c r="D11651" t="inlineStr">
        <is>
          <t>VÄRMLANDS LÄN</t>
        </is>
      </c>
      <c r="E11651" t="inlineStr">
        <is>
          <t>KIL</t>
        </is>
      </c>
      <c r="G11651" t="n">
        <v>3.4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45587-2023</t>
        </is>
      </c>
      <c r="B11652" s="1" t="n">
        <v>45194</v>
      </c>
      <c r="C11652" s="1" t="n">
        <v>45810</v>
      </c>
      <c r="D11652" t="inlineStr">
        <is>
          <t>VÄRMLANDS LÄN</t>
        </is>
      </c>
      <c r="E11652" t="inlineStr">
        <is>
          <t>TORSBY</t>
        </is>
      </c>
      <c r="G11652" t="n">
        <v>1.6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45605-2023</t>
        </is>
      </c>
      <c r="B11653" s="1" t="n">
        <v>45194</v>
      </c>
      <c r="C11653" s="1" t="n">
        <v>45810</v>
      </c>
      <c r="D11653" t="inlineStr">
        <is>
          <t>VÄRMLANDS LÄN</t>
        </is>
      </c>
      <c r="E11653" t="inlineStr">
        <is>
          <t>SUNNE</t>
        </is>
      </c>
      <c r="G11653" t="n">
        <v>2.5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45624-2023</t>
        </is>
      </c>
      <c r="B11654" s="1" t="n">
        <v>45194</v>
      </c>
      <c r="C11654" s="1" t="n">
        <v>45810</v>
      </c>
      <c r="D11654" t="inlineStr">
        <is>
          <t>VÄRMLANDS LÄN</t>
        </is>
      </c>
      <c r="E11654" t="inlineStr">
        <is>
          <t>SÄFFLE</t>
        </is>
      </c>
      <c r="G11654" t="n">
        <v>1.6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45634-2023</t>
        </is>
      </c>
      <c r="B11655" s="1" t="n">
        <v>45194</v>
      </c>
      <c r="C11655" s="1" t="n">
        <v>45810</v>
      </c>
      <c r="D11655" t="inlineStr">
        <is>
          <t>VÄRMLANDS LÄN</t>
        </is>
      </c>
      <c r="E11655" t="inlineStr">
        <is>
          <t>ÅRJÄNG</t>
        </is>
      </c>
      <c r="G11655" t="n">
        <v>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45641-2023</t>
        </is>
      </c>
      <c r="B11656" s="1" t="n">
        <v>45194</v>
      </c>
      <c r="C11656" s="1" t="n">
        <v>45810</v>
      </c>
      <c r="D11656" t="inlineStr">
        <is>
          <t>VÄRMLANDS LÄN</t>
        </is>
      </c>
      <c r="E11656" t="inlineStr">
        <is>
          <t>ÅRJÄNG</t>
        </is>
      </c>
      <c r="G11656" t="n">
        <v>3.9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45647-2023</t>
        </is>
      </c>
      <c r="B11657" s="1" t="n">
        <v>45194</v>
      </c>
      <c r="C11657" s="1" t="n">
        <v>45810</v>
      </c>
      <c r="D11657" t="inlineStr">
        <is>
          <t>VÄRMLANDS LÄN</t>
        </is>
      </c>
      <c r="E11657" t="inlineStr">
        <is>
          <t>SÄFFLE</t>
        </is>
      </c>
      <c r="G11657" t="n">
        <v>2.4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45405-2023</t>
        </is>
      </c>
      <c r="B11658" s="1" t="n">
        <v>45194</v>
      </c>
      <c r="C11658" s="1" t="n">
        <v>45810</v>
      </c>
      <c r="D11658" t="inlineStr">
        <is>
          <t>VÄRMLANDS LÄN</t>
        </is>
      </c>
      <c r="E11658" t="inlineStr">
        <is>
          <t>ARVIKA</t>
        </is>
      </c>
      <c r="G11658" t="n">
        <v>2.7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45579-2023</t>
        </is>
      </c>
      <c r="B11659" s="1" t="n">
        <v>45194</v>
      </c>
      <c r="C11659" s="1" t="n">
        <v>45810</v>
      </c>
      <c r="D11659" t="inlineStr">
        <is>
          <t>VÄRMLANDS LÄN</t>
        </is>
      </c>
      <c r="E11659" t="inlineStr">
        <is>
          <t>SUNNE</t>
        </is>
      </c>
      <c r="G11659" t="n">
        <v>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45597-2023</t>
        </is>
      </c>
      <c r="B11660" s="1" t="n">
        <v>45194</v>
      </c>
      <c r="C11660" s="1" t="n">
        <v>45810</v>
      </c>
      <c r="D11660" t="inlineStr">
        <is>
          <t>VÄRMLANDS LÄN</t>
        </is>
      </c>
      <c r="E11660" t="inlineStr">
        <is>
          <t>SUNNE</t>
        </is>
      </c>
      <c r="F11660" t="inlineStr">
        <is>
          <t>Bergvik skog väst AB</t>
        </is>
      </c>
      <c r="G11660" t="n">
        <v>6.6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45643-2023</t>
        </is>
      </c>
      <c r="B11661" s="1" t="n">
        <v>45194</v>
      </c>
      <c r="C11661" s="1" t="n">
        <v>45810</v>
      </c>
      <c r="D11661" t="inlineStr">
        <is>
          <t>VÄRMLANDS LÄN</t>
        </is>
      </c>
      <c r="E11661" t="inlineStr">
        <is>
          <t>ÅRJÄNG</t>
        </is>
      </c>
      <c r="G11661" t="n">
        <v>1.2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45649-2023</t>
        </is>
      </c>
      <c r="B11662" s="1" t="n">
        <v>45194</v>
      </c>
      <c r="C11662" s="1" t="n">
        <v>45810</v>
      </c>
      <c r="D11662" t="inlineStr">
        <is>
          <t>VÄRMLANDS LÄN</t>
        </is>
      </c>
      <c r="E11662" t="inlineStr">
        <is>
          <t>SÄFFLE</t>
        </is>
      </c>
      <c r="G11662" t="n">
        <v>0.7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45399-2023</t>
        </is>
      </c>
      <c r="B11663" s="1" t="n">
        <v>45194</v>
      </c>
      <c r="C11663" s="1" t="n">
        <v>45810</v>
      </c>
      <c r="D11663" t="inlineStr">
        <is>
          <t>VÄRMLANDS LÄN</t>
        </is>
      </c>
      <c r="E11663" t="inlineStr">
        <is>
          <t>TORSBY</t>
        </is>
      </c>
      <c r="G11663" t="n">
        <v>2.4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45403-2023</t>
        </is>
      </c>
      <c r="B11664" s="1" t="n">
        <v>45194</v>
      </c>
      <c r="C11664" s="1" t="n">
        <v>45810</v>
      </c>
      <c r="D11664" t="inlineStr">
        <is>
          <t>VÄRMLANDS LÄN</t>
        </is>
      </c>
      <c r="E11664" t="inlineStr">
        <is>
          <t>EDA</t>
        </is>
      </c>
      <c r="G11664" t="n">
        <v>0.7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45665-2023</t>
        </is>
      </c>
      <c r="B11665" s="1" t="n">
        <v>45194</v>
      </c>
      <c r="C11665" s="1" t="n">
        <v>45810</v>
      </c>
      <c r="D11665" t="inlineStr">
        <is>
          <t>VÄRMLANDS LÄN</t>
        </is>
      </c>
      <c r="E11665" t="inlineStr">
        <is>
          <t>SUNNE</t>
        </is>
      </c>
      <c r="G11665" t="n">
        <v>0.9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45520-2023</t>
        </is>
      </c>
      <c r="B11666" s="1" t="n">
        <v>45194</v>
      </c>
      <c r="C11666" s="1" t="n">
        <v>45810</v>
      </c>
      <c r="D11666" t="inlineStr">
        <is>
          <t>VÄRMLANDS LÄN</t>
        </is>
      </c>
      <c r="E11666" t="inlineStr">
        <is>
          <t>ARVIKA</t>
        </is>
      </c>
      <c r="G11666" t="n">
        <v>0.4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45553-2023</t>
        </is>
      </c>
      <c r="B11667" s="1" t="n">
        <v>45194</v>
      </c>
      <c r="C11667" s="1" t="n">
        <v>45810</v>
      </c>
      <c r="D11667" t="inlineStr">
        <is>
          <t>VÄRMLANDS LÄN</t>
        </is>
      </c>
      <c r="E11667" t="inlineStr">
        <is>
          <t>ARVIKA</t>
        </is>
      </c>
      <c r="G11667" t="n">
        <v>3.8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45563-2023</t>
        </is>
      </c>
      <c r="B11668" s="1" t="n">
        <v>45194</v>
      </c>
      <c r="C11668" s="1" t="n">
        <v>45810</v>
      </c>
      <c r="D11668" t="inlineStr">
        <is>
          <t>VÄRMLANDS LÄN</t>
        </is>
      </c>
      <c r="E11668" t="inlineStr">
        <is>
          <t>TORSBY</t>
        </is>
      </c>
      <c r="F11668" t="inlineStr">
        <is>
          <t>Bergvik skog väst AB</t>
        </is>
      </c>
      <c r="G11668" t="n">
        <v>22.6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45591-2023</t>
        </is>
      </c>
      <c r="B11669" s="1" t="n">
        <v>45194</v>
      </c>
      <c r="C11669" s="1" t="n">
        <v>45810</v>
      </c>
      <c r="D11669" t="inlineStr">
        <is>
          <t>VÄRMLANDS LÄN</t>
        </is>
      </c>
      <c r="E11669" t="inlineStr">
        <is>
          <t>KIL</t>
        </is>
      </c>
      <c r="G11669" t="n">
        <v>11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45595-2023</t>
        </is>
      </c>
      <c r="B11670" s="1" t="n">
        <v>45194</v>
      </c>
      <c r="C11670" s="1" t="n">
        <v>45810</v>
      </c>
      <c r="D11670" t="inlineStr">
        <is>
          <t>VÄRMLANDS LÄN</t>
        </is>
      </c>
      <c r="E11670" t="inlineStr">
        <is>
          <t>SÄFFLE</t>
        </is>
      </c>
      <c r="G11670" t="n">
        <v>3.9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46342-2023</t>
        </is>
      </c>
      <c r="B11671" s="1" t="n">
        <v>45194</v>
      </c>
      <c r="C11671" s="1" t="n">
        <v>45810</v>
      </c>
      <c r="D11671" t="inlineStr">
        <is>
          <t>VÄRMLANDS LÄN</t>
        </is>
      </c>
      <c r="E11671" t="inlineStr">
        <is>
          <t>SUNNE</t>
        </is>
      </c>
      <c r="G11671" t="n">
        <v>1.8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45870-2023</t>
        </is>
      </c>
      <c r="B11672" s="1" t="n">
        <v>45195</v>
      </c>
      <c r="C11672" s="1" t="n">
        <v>45810</v>
      </c>
      <c r="D11672" t="inlineStr">
        <is>
          <t>VÄRMLANDS LÄN</t>
        </is>
      </c>
      <c r="E11672" t="inlineStr">
        <is>
          <t>HAGFORS</t>
        </is>
      </c>
      <c r="G11672" t="n">
        <v>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45886-2023</t>
        </is>
      </c>
      <c r="B11673" s="1" t="n">
        <v>45195</v>
      </c>
      <c r="C11673" s="1" t="n">
        <v>45810</v>
      </c>
      <c r="D11673" t="inlineStr">
        <is>
          <t>VÄRMLANDS LÄN</t>
        </is>
      </c>
      <c r="E11673" t="inlineStr">
        <is>
          <t>EDA</t>
        </is>
      </c>
      <c r="G11673" t="n">
        <v>1.3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45765-2023</t>
        </is>
      </c>
      <c r="B11674" s="1" t="n">
        <v>45195</v>
      </c>
      <c r="C11674" s="1" t="n">
        <v>45810</v>
      </c>
      <c r="D11674" t="inlineStr">
        <is>
          <t>VÄRMLANDS LÄN</t>
        </is>
      </c>
      <c r="E11674" t="inlineStr">
        <is>
          <t>TORSBY</t>
        </is>
      </c>
      <c r="G11674" t="n">
        <v>4.3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46663-2023</t>
        </is>
      </c>
      <c r="B11675" s="1" t="n">
        <v>45195</v>
      </c>
      <c r="C11675" s="1" t="n">
        <v>45810</v>
      </c>
      <c r="D11675" t="inlineStr">
        <is>
          <t>VÄRMLANDS LÄN</t>
        </is>
      </c>
      <c r="E11675" t="inlineStr">
        <is>
          <t>ÅRJÄNG</t>
        </is>
      </c>
      <c r="G11675" t="n">
        <v>1.5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45872-2023</t>
        </is>
      </c>
      <c r="B11676" s="1" t="n">
        <v>45195</v>
      </c>
      <c r="C11676" s="1" t="n">
        <v>45810</v>
      </c>
      <c r="D11676" t="inlineStr">
        <is>
          <t>VÄRMLANDS LÄN</t>
        </is>
      </c>
      <c r="E11676" t="inlineStr">
        <is>
          <t>TORSBY</t>
        </is>
      </c>
      <c r="G11676" t="n">
        <v>3.1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45880-2023</t>
        </is>
      </c>
      <c r="B11677" s="1" t="n">
        <v>45195</v>
      </c>
      <c r="C11677" s="1" t="n">
        <v>45810</v>
      </c>
      <c r="D11677" t="inlineStr">
        <is>
          <t>VÄRMLANDS LÄN</t>
        </is>
      </c>
      <c r="E11677" t="inlineStr">
        <is>
          <t>EDA</t>
        </is>
      </c>
      <c r="G11677" t="n">
        <v>1.9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45889-2023</t>
        </is>
      </c>
      <c r="B11678" s="1" t="n">
        <v>45195</v>
      </c>
      <c r="C11678" s="1" t="n">
        <v>45810</v>
      </c>
      <c r="D11678" t="inlineStr">
        <is>
          <t>VÄRMLANDS LÄN</t>
        </is>
      </c>
      <c r="E11678" t="inlineStr">
        <is>
          <t>ÅRJÄNG</t>
        </is>
      </c>
      <c r="G11678" t="n">
        <v>14.5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45920-2023</t>
        </is>
      </c>
      <c r="B11679" s="1" t="n">
        <v>45195</v>
      </c>
      <c r="C11679" s="1" t="n">
        <v>45810</v>
      </c>
      <c r="D11679" t="inlineStr">
        <is>
          <t>VÄRMLANDS LÄN</t>
        </is>
      </c>
      <c r="E11679" t="inlineStr">
        <is>
          <t>MUNKFORS</t>
        </is>
      </c>
      <c r="G11679" t="n">
        <v>1.4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46978-2023</t>
        </is>
      </c>
      <c r="B11680" s="1" t="n">
        <v>45195</v>
      </c>
      <c r="C11680" s="1" t="n">
        <v>45810</v>
      </c>
      <c r="D11680" t="inlineStr">
        <is>
          <t>VÄRMLANDS LÄN</t>
        </is>
      </c>
      <c r="E11680" t="inlineStr">
        <is>
          <t>FILIPSTAD</t>
        </is>
      </c>
      <c r="F11680" t="inlineStr">
        <is>
          <t>Bergvik skog väst AB</t>
        </is>
      </c>
      <c r="G11680" t="n">
        <v>11.2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45712-2023</t>
        </is>
      </c>
      <c r="B11681" s="1" t="n">
        <v>45195</v>
      </c>
      <c r="C11681" s="1" t="n">
        <v>45810</v>
      </c>
      <c r="D11681" t="inlineStr">
        <is>
          <t>VÄRMLANDS LÄN</t>
        </is>
      </c>
      <c r="E11681" t="inlineStr">
        <is>
          <t>HAGFORS</t>
        </is>
      </c>
      <c r="F11681" t="inlineStr">
        <is>
          <t>Bergvik skog väst AB</t>
        </is>
      </c>
      <c r="G11681" t="n">
        <v>6.2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45775-2023</t>
        </is>
      </c>
      <c r="B11682" s="1" t="n">
        <v>45195</v>
      </c>
      <c r="C11682" s="1" t="n">
        <v>45810</v>
      </c>
      <c r="D11682" t="inlineStr">
        <is>
          <t>VÄRMLANDS LÄN</t>
        </is>
      </c>
      <c r="E11682" t="inlineStr">
        <is>
          <t>TORSBY</t>
        </is>
      </c>
      <c r="F11682" t="inlineStr">
        <is>
          <t>Bergvik skog väst AB</t>
        </is>
      </c>
      <c r="G11682" t="n">
        <v>34.2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45851-2023</t>
        </is>
      </c>
      <c r="B11683" s="1" t="n">
        <v>45195</v>
      </c>
      <c r="C11683" s="1" t="n">
        <v>45810</v>
      </c>
      <c r="D11683" t="inlineStr">
        <is>
          <t>VÄRMLANDS LÄN</t>
        </is>
      </c>
      <c r="E11683" t="inlineStr">
        <is>
          <t>HAGFORS</t>
        </is>
      </c>
      <c r="F11683" t="inlineStr">
        <is>
          <t>Bergvik skog väst AB</t>
        </is>
      </c>
      <c r="G11683" t="n">
        <v>14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45915-2023</t>
        </is>
      </c>
      <c r="B11684" s="1" t="n">
        <v>45195</v>
      </c>
      <c r="C11684" s="1" t="n">
        <v>45810</v>
      </c>
      <c r="D11684" t="inlineStr">
        <is>
          <t>VÄRMLANDS LÄN</t>
        </is>
      </c>
      <c r="E11684" t="inlineStr">
        <is>
          <t>GRUMS</t>
        </is>
      </c>
      <c r="G11684" t="n">
        <v>5.6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48908-2023</t>
        </is>
      </c>
      <c r="B11685" s="1" t="n">
        <v>45195</v>
      </c>
      <c r="C11685" s="1" t="n">
        <v>45810</v>
      </c>
      <c r="D11685" t="inlineStr">
        <is>
          <t>VÄRMLANDS LÄN</t>
        </is>
      </c>
      <c r="E11685" t="inlineStr">
        <is>
          <t>FILIPSTAD</t>
        </is>
      </c>
      <c r="F11685" t="inlineStr">
        <is>
          <t>Bergvik skog väst AB</t>
        </is>
      </c>
      <c r="G11685" t="n">
        <v>2.3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46003-2023</t>
        </is>
      </c>
      <c r="B11686" s="1" t="n">
        <v>45196</v>
      </c>
      <c r="C11686" s="1" t="n">
        <v>45810</v>
      </c>
      <c r="D11686" t="inlineStr">
        <is>
          <t>VÄRMLANDS LÄN</t>
        </is>
      </c>
      <c r="E11686" t="inlineStr">
        <is>
          <t>TORSBY</t>
        </is>
      </c>
      <c r="G11686" t="n">
        <v>1.3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46042-2023</t>
        </is>
      </c>
      <c r="B11687" s="1" t="n">
        <v>45196</v>
      </c>
      <c r="C11687" s="1" t="n">
        <v>45810</v>
      </c>
      <c r="D11687" t="inlineStr">
        <is>
          <t>VÄRMLANDS LÄN</t>
        </is>
      </c>
      <c r="E11687" t="inlineStr">
        <is>
          <t>SUNNE</t>
        </is>
      </c>
      <c r="G11687" t="n">
        <v>10.5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46048-2023</t>
        </is>
      </c>
      <c r="B11688" s="1" t="n">
        <v>45196</v>
      </c>
      <c r="C11688" s="1" t="n">
        <v>45810</v>
      </c>
      <c r="D11688" t="inlineStr">
        <is>
          <t>VÄRMLANDS LÄN</t>
        </is>
      </c>
      <c r="E11688" t="inlineStr">
        <is>
          <t>TORSBY</t>
        </is>
      </c>
      <c r="G11688" t="n">
        <v>1.6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46058-2023</t>
        </is>
      </c>
      <c r="B11689" s="1" t="n">
        <v>45196</v>
      </c>
      <c r="C11689" s="1" t="n">
        <v>45810</v>
      </c>
      <c r="D11689" t="inlineStr">
        <is>
          <t>VÄRMLANDS LÄN</t>
        </is>
      </c>
      <c r="E11689" t="inlineStr">
        <is>
          <t>SUNNE</t>
        </is>
      </c>
      <c r="G11689" t="n">
        <v>1.8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46073-2023</t>
        </is>
      </c>
      <c r="B11690" s="1" t="n">
        <v>45196</v>
      </c>
      <c r="C11690" s="1" t="n">
        <v>45810</v>
      </c>
      <c r="D11690" t="inlineStr">
        <is>
          <t>VÄRMLANDS LÄN</t>
        </is>
      </c>
      <c r="E11690" t="inlineStr">
        <is>
          <t>SUNNE</t>
        </is>
      </c>
      <c r="G11690" t="n">
        <v>0.7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46098-2023</t>
        </is>
      </c>
      <c r="B11691" s="1" t="n">
        <v>45196</v>
      </c>
      <c r="C11691" s="1" t="n">
        <v>45810</v>
      </c>
      <c r="D11691" t="inlineStr">
        <is>
          <t>VÄRMLANDS LÄN</t>
        </is>
      </c>
      <c r="E11691" t="inlineStr">
        <is>
          <t>KARLSTAD</t>
        </is>
      </c>
      <c r="G11691" t="n">
        <v>1.1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46109-2023</t>
        </is>
      </c>
      <c r="B11692" s="1" t="n">
        <v>45196</v>
      </c>
      <c r="C11692" s="1" t="n">
        <v>45810</v>
      </c>
      <c r="D11692" t="inlineStr">
        <is>
          <t>VÄRMLANDS LÄN</t>
        </is>
      </c>
      <c r="E11692" t="inlineStr">
        <is>
          <t>HAGFORS</t>
        </is>
      </c>
      <c r="F11692" t="inlineStr">
        <is>
          <t>Bergvik skog väst AB</t>
        </is>
      </c>
      <c r="G11692" t="n">
        <v>12.8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46138-2023</t>
        </is>
      </c>
      <c r="B11693" s="1" t="n">
        <v>45196</v>
      </c>
      <c r="C11693" s="1" t="n">
        <v>45810</v>
      </c>
      <c r="D11693" t="inlineStr">
        <is>
          <t>VÄRMLANDS LÄN</t>
        </is>
      </c>
      <c r="E11693" t="inlineStr">
        <is>
          <t>SUNNE</t>
        </is>
      </c>
      <c r="G11693" t="n">
        <v>0.6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46149-2023</t>
        </is>
      </c>
      <c r="B11694" s="1" t="n">
        <v>45196</v>
      </c>
      <c r="C11694" s="1" t="n">
        <v>45810</v>
      </c>
      <c r="D11694" t="inlineStr">
        <is>
          <t>VÄRMLANDS LÄN</t>
        </is>
      </c>
      <c r="E11694" t="inlineStr">
        <is>
          <t>MUNKFORS</t>
        </is>
      </c>
      <c r="G11694" t="n">
        <v>1.2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45987-2023</t>
        </is>
      </c>
      <c r="B11695" s="1" t="n">
        <v>45196</v>
      </c>
      <c r="C11695" s="1" t="n">
        <v>45810</v>
      </c>
      <c r="D11695" t="inlineStr">
        <is>
          <t>VÄRMLANDS LÄN</t>
        </is>
      </c>
      <c r="E11695" t="inlineStr">
        <is>
          <t>FILIPSTAD</t>
        </is>
      </c>
      <c r="G11695" t="n">
        <v>1.8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46001-2023</t>
        </is>
      </c>
      <c r="B11696" s="1" t="n">
        <v>45196</v>
      </c>
      <c r="C11696" s="1" t="n">
        <v>45810</v>
      </c>
      <c r="D11696" t="inlineStr">
        <is>
          <t>VÄRMLANDS LÄN</t>
        </is>
      </c>
      <c r="E11696" t="inlineStr">
        <is>
          <t>TORSBY</t>
        </is>
      </c>
      <c r="G11696" t="n">
        <v>3.9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46202-2023</t>
        </is>
      </c>
      <c r="B11697" s="1" t="n">
        <v>45196</v>
      </c>
      <c r="C11697" s="1" t="n">
        <v>45810</v>
      </c>
      <c r="D11697" t="inlineStr">
        <is>
          <t>VÄRMLANDS LÄN</t>
        </is>
      </c>
      <c r="E11697" t="inlineStr">
        <is>
          <t>TORSBY</t>
        </is>
      </c>
      <c r="F11697" t="inlineStr">
        <is>
          <t>Bergvik skog väst AB</t>
        </is>
      </c>
      <c r="G11697" t="n">
        <v>2.7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46233-2023</t>
        </is>
      </c>
      <c r="B11698" s="1" t="n">
        <v>45196</v>
      </c>
      <c r="C11698" s="1" t="n">
        <v>45810</v>
      </c>
      <c r="D11698" t="inlineStr">
        <is>
          <t>VÄRMLANDS LÄN</t>
        </is>
      </c>
      <c r="E11698" t="inlineStr">
        <is>
          <t>TORSBY</t>
        </is>
      </c>
      <c r="F11698" t="inlineStr">
        <is>
          <t>Kyrkan</t>
        </is>
      </c>
      <c r="G11698" t="n">
        <v>8.800000000000001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45992-2023</t>
        </is>
      </c>
      <c r="B11699" s="1" t="n">
        <v>45196</v>
      </c>
      <c r="C11699" s="1" t="n">
        <v>45810</v>
      </c>
      <c r="D11699" t="inlineStr">
        <is>
          <t>VÄRMLANDS LÄN</t>
        </is>
      </c>
      <c r="E11699" t="inlineStr">
        <is>
          <t>SUNNE</t>
        </is>
      </c>
      <c r="G11699" t="n">
        <v>1.1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46002-2023</t>
        </is>
      </c>
      <c r="B11700" s="1" t="n">
        <v>45196</v>
      </c>
      <c r="C11700" s="1" t="n">
        <v>45810</v>
      </c>
      <c r="D11700" t="inlineStr">
        <is>
          <t>VÄRMLANDS LÄN</t>
        </is>
      </c>
      <c r="E11700" t="inlineStr">
        <is>
          <t>ARVIKA</t>
        </is>
      </c>
      <c r="G11700" t="n">
        <v>2.6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46019-2023</t>
        </is>
      </c>
      <c r="B11701" s="1" t="n">
        <v>45196</v>
      </c>
      <c r="C11701" s="1" t="n">
        <v>45810</v>
      </c>
      <c r="D11701" t="inlineStr">
        <is>
          <t>VÄRMLANDS LÄN</t>
        </is>
      </c>
      <c r="E11701" t="inlineStr">
        <is>
          <t>KARLSTAD</t>
        </is>
      </c>
      <c r="G11701" t="n">
        <v>1.4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46071-2023</t>
        </is>
      </c>
      <c r="B11702" s="1" t="n">
        <v>45196</v>
      </c>
      <c r="C11702" s="1" t="n">
        <v>45810</v>
      </c>
      <c r="D11702" t="inlineStr">
        <is>
          <t>VÄRMLANDS LÄN</t>
        </is>
      </c>
      <c r="E11702" t="inlineStr">
        <is>
          <t>SUNNE</t>
        </is>
      </c>
      <c r="G11702" t="n">
        <v>0.4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46097-2023</t>
        </is>
      </c>
      <c r="B11703" s="1" t="n">
        <v>45196</v>
      </c>
      <c r="C11703" s="1" t="n">
        <v>45810</v>
      </c>
      <c r="D11703" t="inlineStr">
        <is>
          <t>VÄRMLANDS LÄN</t>
        </is>
      </c>
      <c r="E11703" t="inlineStr">
        <is>
          <t>KARLSTAD</t>
        </is>
      </c>
      <c r="G11703" t="n">
        <v>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46102-2023</t>
        </is>
      </c>
      <c r="B11704" s="1" t="n">
        <v>45196</v>
      </c>
      <c r="C11704" s="1" t="n">
        <v>45810</v>
      </c>
      <c r="D11704" t="inlineStr">
        <is>
          <t>VÄRMLANDS LÄN</t>
        </is>
      </c>
      <c r="E11704" t="inlineStr">
        <is>
          <t>SUNNE</t>
        </is>
      </c>
      <c r="G11704" t="n">
        <v>3.6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46108-2023</t>
        </is>
      </c>
      <c r="B11705" s="1" t="n">
        <v>45196</v>
      </c>
      <c r="C11705" s="1" t="n">
        <v>45810</v>
      </c>
      <c r="D11705" t="inlineStr">
        <is>
          <t>VÄRMLANDS LÄN</t>
        </is>
      </c>
      <c r="E11705" t="inlineStr">
        <is>
          <t>ARVIKA</t>
        </is>
      </c>
      <c r="G11705" t="n">
        <v>2.2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46112-2023</t>
        </is>
      </c>
      <c r="B11706" s="1" t="n">
        <v>45196</v>
      </c>
      <c r="C11706" s="1" t="n">
        <v>45810</v>
      </c>
      <c r="D11706" t="inlineStr">
        <is>
          <t>VÄRMLANDS LÄN</t>
        </is>
      </c>
      <c r="E11706" t="inlineStr">
        <is>
          <t>SUNNE</t>
        </is>
      </c>
      <c r="G11706" t="n">
        <v>1.4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46127-2023</t>
        </is>
      </c>
      <c r="B11707" s="1" t="n">
        <v>45196</v>
      </c>
      <c r="C11707" s="1" t="n">
        <v>45810</v>
      </c>
      <c r="D11707" t="inlineStr">
        <is>
          <t>VÄRMLANDS LÄN</t>
        </is>
      </c>
      <c r="E11707" t="inlineStr">
        <is>
          <t>TORSBY</t>
        </is>
      </c>
      <c r="G11707" t="n">
        <v>1.3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46147-2023</t>
        </is>
      </c>
      <c r="B11708" s="1" t="n">
        <v>45196</v>
      </c>
      <c r="C11708" s="1" t="n">
        <v>45810</v>
      </c>
      <c r="D11708" t="inlineStr">
        <is>
          <t>VÄRMLANDS LÄN</t>
        </is>
      </c>
      <c r="E11708" t="inlineStr">
        <is>
          <t>SUNNE</t>
        </is>
      </c>
      <c r="G11708" t="n">
        <v>0.7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46171-2023</t>
        </is>
      </c>
      <c r="B11709" s="1" t="n">
        <v>45196</v>
      </c>
      <c r="C11709" s="1" t="n">
        <v>45810</v>
      </c>
      <c r="D11709" t="inlineStr">
        <is>
          <t>VÄRMLANDS LÄN</t>
        </is>
      </c>
      <c r="E11709" t="inlineStr">
        <is>
          <t>ARVIKA</t>
        </is>
      </c>
      <c r="G11709" t="n">
        <v>3.6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46208-2023</t>
        </is>
      </c>
      <c r="B11710" s="1" t="n">
        <v>45196</v>
      </c>
      <c r="C11710" s="1" t="n">
        <v>45810</v>
      </c>
      <c r="D11710" t="inlineStr">
        <is>
          <t>VÄRMLANDS LÄN</t>
        </is>
      </c>
      <c r="E11710" t="inlineStr">
        <is>
          <t>HAGFORS</t>
        </is>
      </c>
      <c r="G11710" t="n">
        <v>0.5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46227-2023</t>
        </is>
      </c>
      <c r="B11711" s="1" t="n">
        <v>45196</v>
      </c>
      <c r="C11711" s="1" t="n">
        <v>45810</v>
      </c>
      <c r="D11711" t="inlineStr">
        <is>
          <t>VÄRMLANDS LÄN</t>
        </is>
      </c>
      <c r="E11711" t="inlineStr">
        <is>
          <t>EDA</t>
        </is>
      </c>
      <c r="G11711" t="n">
        <v>3.7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46249-2023</t>
        </is>
      </c>
      <c r="B11712" s="1" t="n">
        <v>45196</v>
      </c>
      <c r="C11712" s="1" t="n">
        <v>45810</v>
      </c>
      <c r="D11712" t="inlineStr">
        <is>
          <t>VÄRMLANDS LÄN</t>
        </is>
      </c>
      <c r="E11712" t="inlineStr">
        <is>
          <t>ÅRJÄNG</t>
        </is>
      </c>
      <c r="G11712" t="n">
        <v>1.7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46094-2023</t>
        </is>
      </c>
      <c r="B11713" s="1" t="n">
        <v>45196</v>
      </c>
      <c r="C11713" s="1" t="n">
        <v>45810</v>
      </c>
      <c r="D11713" t="inlineStr">
        <is>
          <t>VÄRMLANDS LÄN</t>
        </is>
      </c>
      <c r="E11713" t="inlineStr">
        <is>
          <t>ARVIKA</t>
        </is>
      </c>
      <c r="F11713" t="inlineStr">
        <is>
          <t>Bergvik skog väst AB</t>
        </is>
      </c>
      <c r="G11713" t="n">
        <v>5.6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46120-2023</t>
        </is>
      </c>
      <c r="B11714" s="1" t="n">
        <v>45196</v>
      </c>
      <c r="C11714" s="1" t="n">
        <v>45810</v>
      </c>
      <c r="D11714" t="inlineStr">
        <is>
          <t>VÄRMLANDS LÄN</t>
        </is>
      </c>
      <c r="E11714" t="inlineStr">
        <is>
          <t>SUNNE</t>
        </is>
      </c>
      <c r="G11714" t="n">
        <v>2.1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46151-2023</t>
        </is>
      </c>
      <c r="B11715" s="1" t="n">
        <v>45196</v>
      </c>
      <c r="C11715" s="1" t="n">
        <v>45810</v>
      </c>
      <c r="D11715" t="inlineStr">
        <is>
          <t>VÄRMLANDS LÄN</t>
        </is>
      </c>
      <c r="E11715" t="inlineStr">
        <is>
          <t>SUNNE</t>
        </is>
      </c>
      <c r="G11715" t="n">
        <v>1.2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46199-2023</t>
        </is>
      </c>
      <c r="B11716" s="1" t="n">
        <v>45196</v>
      </c>
      <c r="C11716" s="1" t="n">
        <v>45810</v>
      </c>
      <c r="D11716" t="inlineStr">
        <is>
          <t>VÄRMLANDS LÄN</t>
        </is>
      </c>
      <c r="E11716" t="inlineStr">
        <is>
          <t>TORSBY</t>
        </is>
      </c>
      <c r="F11716" t="inlineStr">
        <is>
          <t>Bergvik skog väst AB</t>
        </is>
      </c>
      <c r="G11716" t="n">
        <v>3.3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46220-2023</t>
        </is>
      </c>
      <c r="B11717" s="1" t="n">
        <v>45196</v>
      </c>
      <c r="C11717" s="1" t="n">
        <v>45810</v>
      </c>
      <c r="D11717" t="inlineStr">
        <is>
          <t>VÄRMLANDS LÄN</t>
        </is>
      </c>
      <c r="E11717" t="inlineStr">
        <is>
          <t>TORSBY</t>
        </is>
      </c>
      <c r="G11717" t="n">
        <v>7.4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47219-2023</t>
        </is>
      </c>
      <c r="B11718" s="1" t="n">
        <v>45196</v>
      </c>
      <c r="C11718" s="1" t="n">
        <v>45810</v>
      </c>
      <c r="D11718" t="inlineStr">
        <is>
          <t>VÄRMLANDS LÄN</t>
        </is>
      </c>
      <c r="E11718" t="inlineStr">
        <is>
          <t>SUNNE</t>
        </is>
      </c>
      <c r="G11718" t="n">
        <v>1.9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46079-2023</t>
        </is>
      </c>
      <c r="B11719" s="1" t="n">
        <v>45196</v>
      </c>
      <c r="C11719" s="1" t="n">
        <v>45810</v>
      </c>
      <c r="D11719" t="inlineStr">
        <is>
          <t>VÄRMLANDS LÄN</t>
        </is>
      </c>
      <c r="E11719" t="inlineStr">
        <is>
          <t>EDA</t>
        </is>
      </c>
      <c r="G11719" t="n">
        <v>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46096-2023</t>
        </is>
      </c>
      <c r="B11720" s="1" t="n">
        <v>45196</v>
      </c>
      <c r="C11720" s="1" t="n">
        <v>45810</v>
      </c>
      <c r="D11720" t="inlineStr">
        <is>
          <t>VÄRMLANDS LÄN</t>
        </is>
      </c>
      <c r="E11720" t="inlineStr">
        <is>
          <t>KARLSTAD</t>
        </is>
      </c>
      <c r="G11720" t="n">
        <v>7.2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46156-2023</t>
        </is>
      </c>
      <c r="B11721" s="1" t="n">
        <v>45196</v>
      </c>
      <c r="C11721" s="1" t="n">
        <v>45810</v>
      </c>
      <c r="D11721" t="inlineStr">
        <is>
          <t>VÄRMLANDS LÄN</t>
        </is>
      </c>
      <c r="E11721" t="inlineStr">
        <is>
          <t>TORSBY</t>
        </is>
      </c>
      <c r="G11721" t="n">
        <v>1.3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46174-2023</t>
        </is>
      </c>
      <c r="B11722" s="1" t="n">
        <v>45196</v>
      </c>
      <c r="C11722" s="1" t="n">
        <v>45810</v>
      </c>
      <c r="D11722" t="inlineStr">
        <is>
          <t>VÄRMLANDS LÄN</t>
        </is>
      </c>
      <c r="E11722" t="inlineStr">
        <is>
          <t>SUNNE</t>
        </is>
      </c>
      <c r="G11722" t="n">
        <v>1.2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46180-2023</t>
        </is>
      </c>
      <c r="B11723" s="1" t="n">
        <v>45196</v>
      </c>
      <c r="C11723" s="1" t="n">
        <v>45810</v>
      </c>
      <c r="D11723" t="inlineStr">
        <is>
          <t>VÄRMLANDS LÄN</t>
        </is>
      </c>
      <c r="E11723" t="inlineStr">
        <is>
          <t>TORSBY</t>
        </is>
      </c>
      <c r="F11723" t="inlineStr">
        <is>
          <t>Bergvik skog väst AB</t>
        </is>
      </c>
      <c r="G11723" t="n">
        <v>8.1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46195-2023</t>
        </is>
      </c>
      <c r="B11724" s="1" t="n">
        <v>45196</v>
      </c>
      <c r="C11724" s="1" t="n">
        <v>45810</v>
      </c>
      <c r="D11724" t="inlineStr">
        <is>
          <t>VÄRMLANDS LÄN</t>
        </is>
      </c>
      <c r="E11724" t="inlineStr">
        <is>
          <t>TORSBY</t>
        </is>
      </c>
      <c r="G11724" t="n">
        <v>2.3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46221-2023</t>
        </is>
      </c>
      <c r="B11725" s="1" t="n">
        <v>45196</v>
      </c>
      <c r="C11725" s="1" t="n">
        <v>45810</v>
      </c>
      <c r="D11725" t="inlineStr">
        <is>
          <t>VÄRMLANDS LÄN</t>
        </is>
      </c>
      <c r="E11725" t="inlineStr">
        <is>
          <t>TORSBY</t>
        </is>
      </c>
      <c r="G11725" t="n">
        <v>6.5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47227-2023</t>
        </is>
      </c>
      <c r="B11726" s="1" t="n">
        <v>45196</v>
      </c>
      <c r="C11726" s="1" t="n">
        <v>45810</v>
      </c>
      <c r="D11726" t="inlineStr">
        <is>
          <t>VÄRMLANDS LÄN</t>
        </is>
      </c>
      <c r="E11726" t="inlineStr">
        <is>
          <t>TORSBY</t>
        </is>
      </c>
      <c r="G11726" t="n">
        <v>10.4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47225-2023</t>
        </is>
      </c>
      <c r="B11727" s="1" t="n">
        <v>45196</v>
      </c>
      <c r="C11727" s="1" t="n">
        <v>45810</v>
      </c>
      <c r="D11727" t="inlineStr">
        <is>
          <t>VÄRMLANDS LÄN</t>
        </is>
      </c>
      <c r="E11727" t="inlineStr">
        <is>
          <t>SUNNE</t>
        </is>
      </c>
      <c r="G11727" t="n">
        <v>0.6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46293-2023</t>
        </is>
      </c>
      <c r="B11728" s="1" t="n">
        <v>45197</v>
      </c>
      <c r="C11728" s="1" t="n">
        <v>45810</v>
      </c>
      <c r="D11728" t="inlineStr">
        <is>
          <t>VÄRMLANDS LÄN</t>
        </is>
      </c>
      <c r="E11728" t="inlineStr">
        <is>
          <t>EDA</t>
        </is>
      </c>
      <c r="G11728" t="n">
        <v>0.5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46297-2023</t>
        </is>
      </c>
      <c r="B11729" s="1" t="n">
        <v>45197</v>
      </c>
      <c r="C11729" s="1" t="n">
        <v>45810</v>
      </c>
      <c r="D11729" t="inlineStr">
        <is>
          <t>VÄRMLANDS LÄN</t>
        </is>
      </c>
      <c r="E11729" t="inlineStr">
        <is>
          <t>EDA</t>
        </is>
      </c>
      <c r="G11729" t="n">
        <v>2.4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46338-2023</t>
        </is>
      </c>
      <c r="B11730" s="1" t="n">
        <v>45197</v>
      </c>
      <c r="C11730" s="1" t="n">
        <v>45810</v>
      </c>
      <c r="D11730" t="inlineStr">
        <is>
          <t>VÄRMLANDS LÄN</t>
        </is>
      </c>
      <c r="E11730" t="inlineStr">
        <is>
          <t>EDA</t>
        </is>
      </c>
      <c r="G11730" t="n">
        <v>1.5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46351-2023</t>
        </is>
      </c>
      <c r="B11731" s="1" t="n">
        <v>45197</v>
      </c>
      <c r="C11731" s="1" t="n">
        <v>45810</v>
      </c>
      <c r="D11731" t="inlineStr">
        <is>
          <t>VÄRMLANDS LÄN</t>
        </is>
      </c>
      <c r="E11731" t="inlineStr">
        <is>
          <t>ÅRJÄNG</t>
        </is>
      </c>
      <c r="G11731" t="n">
        <v>0.7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46376-2023</t>
        </is>
      </c>
      <c r="B11732" s="1" t="n">
        <v>45197</v>
      </c>
      <c r="C11732" s="1" t="n">
        <v>45810</v>
      </c>
      <c r="D11732" t="inlineStr">
        <is>
          <t>VÄRMLANDS LÄN</t>
        </is>
      </c>
      <c r="E11732" t="inlineStr">
        <is>
          <t>STORFORS</t>
        </is>
      </c>
      <c r="G11732" t="n">
        <v>0.7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46391-2023</t>
        </is>
      </c>
      <c r="B11733" s="1" t="n">
        <v>45197</v>
      </c>
      <c r="C11733" s="1" t="n">
        <v>45810</v>
      </c>
      <c r="D11733" t="inlineStr">
        <is>
          <t>VÄRMLANDS LÄN</t>
        </is>
      </c>
      <c r="E11733" t="inlineStr">
        <is>
          <t>SÄFFLE</t>
        </is>
      </c>
      <c r="G11733" t="n">
        <v>1.7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46419-2023</t>
        </is>
      </c>
      <c r="B11734" s="1" t="n">
        <v>45197</v>
      </c>
      <c r="C11734" s="1" t="n">
        <v>45810</v>
      </c>
      <c r="D11734" t="inlineStr">
        <is>
          <t>VÄRMLANDS LÄN</t>
        </is>
      </c>
      <c r="E11734" t="inlineStr">
        <is>
          <t>FILIPSTAD</t>
        </is>
      </c>
      <c r="F11734" t="inlineStr">
        <is>
          <t>Bergvik skog väst AB</t>
        </is>
      </c>
      <c r="G11734" t="n">
        <v>21.8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46441-2023</t>
        </is>
      </c>
      <c r="B11735" s="1" t="n">
        <v>45197</v>
      </c>
      <c r="C11735" s="1" t="n">
        <v>45810</v>
      </c>
      <c r="D11735" t="inlineStr">
        <is>
          <t>VÄRMLANDS LÄN</t>
        </is>
      </c>
      <c r="E11735" t="inlineStr">
        <is>
          <t>ÅRJÄNG</t>
        </is>
      </c>
      <c r="G11735" t="n">
        <v>1.5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46424-2023</t>
        </is>
      </c>
      <c r="B11736" s="1" t="n">
        <v>45197</v>
      </c>
      <c r="C11736" s="1" t="n">
        <v>45810</v>
      </c>
      <c r="D11736" t="inlineStr">
        <is>
          <t>VÄRMLANDS LÄN</t>
        </is>
      </c>
      <c r="E11736" t="inlineStr">
        <is>
          <t>TORSBY</t>
        </is>
      </c>
      <c r="G11736" t="n">
        <v>1.3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46449-2023</t>
        </is>
      </c>
      <c r="B11737" s="1" t="n">
        <v>45197</v>
      </c>
      <c r="C11737" s="1" t="n">
        <v>45810</v>
      </c>
      <c r="D11737" t="inlineStr">
        <is>
          <t>VÄRMLANDS LÄN</t>
        </is>
      </c>
      <c r="E11737" t="inlineStr">
        <is>
          <t>TORSBY</t>
        </is>
      </c>
      <c r="F11737" t="inlineStr">
        <is>
          <t>Bergvik skog väst AB</t>
        </is>
      </c>
      <c r="G11737" t="n">
        <v>5.9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46475-2023</t>
        </is>
      </c>
      <c r="B11738" s="1" t="n">
        <v>45197</v>
      </c>
      <c r="C11738" s="1" t="n">
        <v>45810</v>
      </c>
      <c r="D11738" t="inlineStr">
        <is>
          <t>VÄRMLANDS LÄN</t>
        </is>
      </c>
      <c r="E11738" t="inlineStr">
        <is>
          <t>HAGFORS</t>
        </is>
      </c>
      <c r="F11738" t="inlineStr">
        <is>
          <t>Bergvik skog väst AB</t>
        </is>
      </c>
      <c r="G11738" t="n">
        <v>2.5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46491-2023</t>
        </is>
      </c>
      <c r="B11739" s="1" t="n">
        <v>45197</v>
      </c>
      <c r="C11739" s="1" t="n">
        <v>45810</v>
      </c>
      <c r="D11739" t="inlineStr">
        <is>
          <t>VÄRMLANDS LÄN</t>
        </is>
      </c>
      <c r="E11739" t="inlineStr">
        <is>
          <t>ÅRJÄNG</t>
        </is>
      </c>
      <c r="F11739" t="inlineStr">
        <is>
          <t>Bergvik skog väst AB</t>
        </is>
      </c>
      <c r="G11739" t="n">
        <v>2.2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46512-2023</t>
        </is>
      </c>
      <c r="B11740" s="1" t="n">
        <v>45197</v>
      </c>
      <c r="C11740" s="1" t="n">
        <v>45810</v>
      </c>
      <c r="D11740" t="inlineStr">
        <is>
          <t>VÄRMLANDS LÄN</t>
        </is>
      </c>
      <c r="E11740" t="inlineStr">
        <is>
          <t>HAGFORS</t>
        </is>
      </c>
      <c r="F11740" t="inlineStr">
        <is>
          <t>Bergvik skog väst AB</t>
        </is>
      </c>
      <c r="G11740" t="n">
        <v>19.9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46516-2023</t>
        </is>
      </c>
      <c r="B11741" s="1" t="n">
        <v>45197</v>
      </c>
      <c r="C11741" s="1" t="n">
        <v>45810</v>
      </c>
      <c r="D11741" t="inlineStr">
        <is>
          <t>VÄRMLANDS LÄN</t>
        </is>
      </c>
      <c r="E11741" t="inlineStr">
        <is>
          <t>ARVIKA</t>
        </is>
      </c>
      <c r="G11741" t="n">
        <v>1.5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46515-2023</t>
        </is>
      </c>
      <c r="B11742" s="1" t="n">
        <v>45197</v>
      </c>
      <c r="C11742" s="1" t="n">
        <v>45810</v>
      </c>
      <c r="D11742" t="inlineStr">
        <is>
          <t>VÄRMLANDS LÄN</t>
        </is>
      </c>
      <c r="E11742" t="inlineStr">
        <is>
          <t>ARVIKA</t>
        </is>
      </c>
      <c r="G11742" t="n">
        <v>1.1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46379-2023</t>
        </is>
      </c>
      <c r="B11743" s="1" t="n">
        <v>45197</v>
      </c>
      <c r="C11743" s="1" t="n">
        <v>45810</v>
      </c>
      <c r="D11743" t="inlineStr">
        <is>
          <t>VÄRMLANDS LÄN</t>
        </is>
      </c>
      <c r="E11743" t="inlineStr">
        <is>
          <t>ARVIKA</t>
        </is>
      </c>
      <c r="F11743" t="inlineStr">
        <is>
          <t>Kyrkan</t>
        </is>
      </c>
      <c r="G11743" t="n">
        <v>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46403-2023</t>
        </is>
      </c>
      <c r="B11744" s="1" t="n">
        <v>45197</v>
      </c>
      <c r="C11744" s="1" t="n">
        <v>45810</v>
      </c>
      <c r="D11744" t="inlineStr">
        <is>
          <t>VÄRMLANDS LÄN</t>
        </is>
      </c>
      <c r="E11744" t="inlineStr">
        <is>
          <t>FILIPSTAD</t>
        </is>
      </c>
      <c r="G11744" t="n">
        <v>16.8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46447-2023</t>
        </is>
      </c>
      <c r="B11745" s="1" t="n">
        <v>45197</v>
      </c>
      <c r="C11745" s="1" t="n">
        <v>45810</v>
      </c>
      <c r="D11745" t="inlineStr">
        <is>
          <t>VÄRMLANDS LÄN</t>
        </is>
      </c>
      <c r="E11745" t="inlineStr">
        <is>
          <t>MUNKFORS</t>
        </is>
      </c>
      <c r="F11745" t="inlineStr">
        <is>
          <t>Bergvik skog väst AB</t>
        </is>
      </c>
      <c r="G11745" t="n">
        <v>1.4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46509-2023</t>
        </is>
      </c>
      <c r="B11746" s="1" t="n">
        <v>45197</v>
      </c>
      <c r="C11746" s="1" t="n">
        <v>45810</v>
      </c>
      <c r="D11746" t="inlineStr">
        <is>
          <t>VÄRMLANDS LÄN</t>
        </is>
      </c>
      <c r="E11746" t="inlineStr">
        <is>
          <t>TORSBY</t>
        </is>
      </c>
      <c r="F11746" t="inlineStr">
        <is>
          <t>Bergvik skog väst AB</t>
        </is>
      </c>
      <c r="G11746" t="n">
        <v>4.1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46513-2023</t>
        </is>
      </c>
      <c r="B11747" s="1" t="n">
        <v>45197</v>
      </c>
      <c r="C11747" s="1" t="n">
        <v>45810</v>
      </c>
      <c r="D11747" t="inlineStr">
        <is>
          <t>VÄRMLANDS LÄN</t>
        </is>
      </c>
      <c r="E11747" t="inlineStr">
        <is>
          <t>FILIPSTAD</t>
        </is>
      </c>
      <c r="F11747" t="inlineStr">
        <is>
          <t>Bergvik skog väst AB</t>
        </is>
      </c>
      <c r="G11747" t="n">
        <v>3.9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46330-2023</t>
        </is>
      </c>
      <c r="B11748" s="1" t="n">
        <v>45197</v>
      </c>
      <c r="C11748" s="1" t="n">
        <v>45810</v>
      </c>
      <c r="D11748" t="inlineStr">
        <is>
          <t>VÄRMLANDS LÄN</t>
        </is>
      </c>
      <c r="E11748" t="inlineStr">
        <is>
          <t>HAGFORS</t>
        </is>
      </c>
      <c r="F11748" t="inlineStr">
        <is>
          <t>Bergvik skog väst AB</t>
        </is>
      </c>
      <c r="G11748" t="n">
        <v>8.5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46340-2023</t>
        </is>
      </c>
      <c r="B11749" s="1" t="n">
        <v>45197</v>
      </c>
      <c r="C11749" s="1" t="n">
        <v>45810</v>
      </c>
      <c r="D11749" t="inlineStr">
        <is>
          <t>VÄRMLANDS LÄN</t>
        </is>
      </c>
      <c r="E11749" t="inlineStr">
        <is>
          <t>EDA</t>
        </is>
      </c>
      <c r="G11749" t="n">
        <v>3.1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46389-2023</t>
        </is>
      </c>
      <c r="B11750" s="1" t="n">
        <v>45197</v>
      </c>
      <c r="C11750" s="1" t="n">
        <v>45810</v>
      </c>
      <c r="D11750" t="inlineStr">
        <is>
          <t>VÄRMLANDS LÄN</t>
        </is>
      </c>
      <c r="E11750" t="inlineStr">
        <is>
          <t>STORFORS</t>
        </is>
      </c>
      <c r="G11750" t="n">
        <v>3.1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46405-2023</t>
        </is>
      </c>
      <c r="B11751" s="1" t="n">
        <v>45197</v>
      </c>
      <c r="C11751" s="1" t="n">
        <v>45810</v>
      </c>
      <c r="D11751" t="inlineStr">
        <is>
          <t>VÄRMLANDS LÄN</t>
        </is>
      </c>
      <c r="E11751" t="inlineStr">
        <is>
          <t>FILIPSTAD</t>
        </is>
      </c>
      <c r="F11751" t="inlineStr">
        <is>
          <t>Bergvik skog väst AB</t>
        </is>
      </c>
      <c r="G11751" t="n">
        <v>5.5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46489-2023</t>
        </is>
      </c>
      <c r="B11752" s="1" t="n">
        <v>45197</v>
      </c>
      <c r="C11752" s="1" t="n">
        <v>45810</v>
      </c>
      <c r="D11752" t="inlineStr">
        <is>
          <t>VÄRMLANDS LÄN</t>
        </is>
      </c>
      <c r="E11752" t="inlineStr">
        <is>
          <t>TORSBY</t>
        </is>
      </c>
      <c r="G11752" t="n">
        <v>2.3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46499-2023</t>
        </is>
      </c>
      <c r="B11753" s="1" t="n">
        <v>45197</v>
      </c>
      <c r="C11753" s="1" t="n">
        <v>45810</v>
      </c>
      <c r="D11753" t="inlineStr">
        <is>
          <t>VÄRMLANDS LÄN</t>
        </is>
      </c>
      <c r="E11753" t="inlineStr">
        <is>
          <t>ÅRJÄNG</t>
        </is>
      </c>
      <c r="F11753" t="inlineStr">
        <is>
          <t>Bergvik skog väst AB</t>
        </is>
      </c>
      <c r="G11753" t="n">
        <v>2.4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46530-2023</t>
        </is>
      </c>
      <c r="B11754" s="1" t="n">
        <v>45197</v>
      </c>
      <c r="C11754" s="1" t="n">
        <v>45810</v>
      </c>
      <c r="D11754" t="inlineStr">
        <is>
          <t>VÄRMLANDS LÄN</t>
        </is>
      </c>
      <c r="E11754" t="inlineStr">
        <is>
          <t>FORSHAGA</t>
        </is>
      </c>
      <c r="F11754" t="inlineStr">
        <is>
          <t>Bergvik skog väst AB</t>
        </is>
      </c>
      <c r="G11754" t="n">
        <v>4.1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46758-2023</t>
        </is>
      </c>
      <c r="B11755" s="1" t="n">
        <v>45198</v>
      </c>
      <c r="C11755" s="1" t="n">
        <v>45810</v>
      </c>
      <c r="D11755" t="inlineStr">
        <is>
          <t>VÄRMLANDS LÄN</t>
        </is>
      </c>
      <c r="E11755" t="inlineStr">
        <is>
          <t>ARVIKA</t>
        </is>
      </c>
      <c r="G11755" t="n">
        <v>1.5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46650-2023</t>
        </is>
      </c>
      <c r="B11756" s="1" t="n">
        <v>45198</v>
      </c>
      <c r="C11756" s="1" t="n">
        <v>45810</v>
      </c>
      <c r="D11756" t="inlineStr">
        <is>
          <t>VÄRMLANDS LÄN</t>
        </is>
      </c>
      <c r="E11756" t="inlineStr">
        <is>
          <t>ARVIKA</t>
        </is>
      </c>
      <c r="G11756" t="n">
        <v>3.1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46690-2023</t>
        </is>
      </c>
      <c r="B11757" s="1" t="n">
        <v>45198</v>
      </c>
      <c r="C11757" s="1" t="n">
        <v>45810</v>
      </c>
      <c r="D11757" t="inlineStr">
        <is>
          <t>VÄRMLANDS LÄN</t>
        </is>
      </c>
      <c r="E11757" t="inlineStr">
        <is>
          <t>ARVIKA</t>
        </is>
      </c>
      <c r="G11757" t="n">
        <v>2.1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46569-2023</t>
        </is>
      </c>
      <c r="B11758" s="1" t="n">
        <v>45198</v>
      </c>
      <c r="C11758" s="1" t="n">
        <v>45810</v>
      </c>
      <c r="D11758" t="inlineStr">
        <is>
          <t>VÄRMLANDS LÄN</t>
        </is>
      </c>
      <c r="E11758" t="inlineStr">
        <is>
          <t>ARVIKA</t>
        </is>
      </c>
      <c r="G11758" t="n">
        <v>0.8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46687-2023</t>
        </is>
      </c>
      <c r="B11759" s="1" t="n">
        <v>45198</v>
      </c>
      <c r="C11759" s="1" t="n">
        <v>45810</v>
      </c>
      <c r="D11759" t="inlineStr">
        <is>
          <t>VÄRMLANDS LÄN</t>
        </is>
      </c>
      <c r="E11759" t="inlineStr">
        <is>
          <t>ARVIKA</t>
        </is>
      </c>
      <c r="G11759" t="n">
        <v>14.9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46744-2023</t>
        </is>
      </c>
      <c r="B11760" s="1" t="n">
        <v>45198</v>
      </c>
      <c r="C11760" s="1" t="n">
        <v>45810</v>
      </c>
      <c r="D11760" t="inlineStr">
        <is>
          <t>VÄRMLANDS LÄN</t>
        </is>
      </c>
      <c r="E11760" t="inlineStr">
        <is>
          <t>MUNKFORS</t>
        </is>
      </c>
      <c r="G11760" t="n">
        <v>1.8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47938-2023</t>
        </is>
      </c>
      <c r="B11761" s="1" t="n">
        <v>45198</v>
      </c>
      <c r="C11761" s="1" t="n">
        <v>45810</v>
      </c>
      <c r="D11761" t="inlineStr">
        <is>
          <t>VÄRMLANDS LÄN</t>
        </is>
      </c>
      <c r="E11761" t="inlineStr">
        <is>
          <t>ÅRJÄNG</t>
        </is>
      </c>
      <c r="G11761" t="n">
        <v>1.3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47611-2023</t>
        </is>
      </c>
      <c r="B11762" s="1" t="n">
        <v>45198</v>
      </c>
      <c r="C11762" s="1" t="n">
        <v>45810</v>
      </c>
      <c r="D11762" t="inlineStr">
        <is>
          <t>VÄRMLANDS LÄN</t>
        </is>
      </c>
      <c r="E11762" t="inlineStr">
        <is>
          <t>KRISTINEHAMN</t>
        </is>
      </c>
      <c r="G11762" t="n">
        <v>0.8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47648-2023</t>
        </is>
      </c>
      <c r="B11763" s="1" t="n">
        <v>45198</v>
      </c>
      <c r="C11763" s="1" t="n">
        <v>45810</v>
      </c>
      <c r="D11763" t="inlineStr">
        <is>
          <t>VÄRMLANDS LÄN</t>
        </is>
      </c>
      <c r="E11763" t="inlineStr">
        <is>
          <t>KRISTINEHAMN</t>
        </is>
      </c>
      <c r="G11763" t="n">
        <v>1.6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48020-2023</t>
        </is>
      </c>
      <c r="B11764" s="1" t="n">
        <v>45198</v>
      </c>
      <c r="C11764" s="1" t="n">
        <v>45810</v>
      </c>
      <c r="D11764" t="inlineStr">
        <is>
          <t>VÄRMLANDS LÄN</t>
        </is>
      </c>
      <c r="E11764" t="inlineStr">
        <is>
          <t>ÅRJÄNG</t>
        </is>
      </c>
      <c r="G11764" t="n">
        <v>0.9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47928-2023</t>
        </is>
      </c>
      <c r="B11765" s="1" t="n">
        <v>45198</v>
      </c>
      <c r="C11765" s="1" t="n">
        <v>45810</v>
      </c>
      <c r="D11765" t="inlineStr">
        <is>
          <t>VÄRMLANDS LÄN</t>
        </is>
      </c>
      <c r="E11765" t="inlineStr">
        <is>
          <t>ÅRJÄNG</t>
        </is>
      </c>
      <c r="G11765" t="n">
        <v>1.9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47981-2023</t>
        </is>
      </c>
      <c r="B11766" s="1" t="n">
        <v>45198</v>
      </c>
      <c r="C11766" s="1" t="n">
        <v>45810</v>
      </c>
      <c r="D11766" t="inlineStr">
        <is>
          <t>VÄRMLANDS LÄN</t>
        </is>
      </c>
      <c r="E11766" t="inlineStr">
        <is>
          <t>ÅRJÄNG</t>
        </is>
      </c>
      <c r="G11766" t="n">
        <v>1.1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48014-2023</t>
        </is>
      </c>
      <c r="B11767" s="1" t="n">
        <v>45198</v>
      </c>
      <c r="C11767" s="1" t="n">
        <v>45810</v>
      </c>
      <c r="D11767" t="inlineStr">
        <is>
          <t>VÄRMLANDS LÄN</t>
        </is>
      </c>
      <c r="E11767" t="inlineStr">
        <is>
          <t>ÅRJÄNG</t>
        </is>
      </c>
      <c r="G11767" t="n">
        <v>1.1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48194-2023</t>
        </is>
      </c>
      <c r="B11768" s="1" t="n">
        <v>45199</v>
      </c>
      <c r="C11768" s="1" t="n">
        <v>45810</v>
      </c>
      <c r="D11768" t="inlineStr">
        <is>
          <t>VÄRMLANDS LÄN</t>
        </is>
      </c>
      <c r="E11768" t="inlineStr">
        <is>
          <t>SUNNE</t>
        </is>
      </c>
      <c r="G11768" t="n">
        <v>2.1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48203-2023</t>
        </is>
      </c>
      <c r="B11769" s="1" t="n">
        <v>45200</v>
      </c>
      <c r="C11769" s="1" t="n">
        <v>45810</v>
      </c>
      <c r="D11769" t="inlineStr">
        <is>
          <t>VÄRMLANDS LÄN</t>
        </is>
      </c>
      <c r="E11769" t="inlineStr">
        <is>
          <t>ÅRJÄNG</t>
        </is>
      </c>
      <c r="F11769" t="inlineStr">
        <is>
          <t>Övriga Aktiebolag</t>
        </is>
      </c>
      <c r="G11769" t="n">
        <v>3.1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47119-2023</t>
        </is>
      </c>
      <c r="B11770" s="1" t="n">
        <v>45201</v>
      </c>
      <c r="C11770" s="1" t="n">
        <v>45810</v>
      </c>
      <c r="D11770" t="inlineStr">
        <is>
          <t>VÄRMLANDS LÄN</t>
        </is>
      </c>
      <c r="E11770" t="inlineStr">
        <is>
          <t>TORSBY</t>
        </is>
      </c>
      <c r="F11770" t="inlineStr">
        <is>
          <t>Bergvik skog väst AB</t>
        </is>
      </c>
      <c r="G11770" t="n">
        <v>18.7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46880-2023</t>
        </is>
      </c>
      <c r="B11771" s="1" t="n">
        <v>45201</v>
      </c>
      <c r="C11771" s="1" t="n">
        <v>45810</v>
      </c>
      <c r="D11771" t="inlineStr">
        <is>
          <t>VÄRMLANDS LÄN</t>
        </is>
      </c>
      <c r="E11771" t="inlineStr">
        <is>
          <t>TORSBY</t>
        </is>
      </c>
      <c r="G11771" t="n">
        <v>0.8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47152-2023</t>
        </is>
      </c>
      <c r="B11772" s="1" t="n">
        <v>45201</v>
      </c>
      <c r="C11772" s="1" t="n">
        <v>45810</v>
      </c>
      <c r="D11772" t="inlineStr">
        <is>
          <t>VÄRMLANDS LÄN</t>
        </is>
      </c>
      <c r="E11772" t="inlineStr">
        <is>
          <t>GRUMS</t>
        </is>
      </c>
      <c r="G11772" t="n">
        <v>0.5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46938-2023</t>
        </is>
      </c>
      <c r="B11773" s="1" t="n">
        <v>45201</v>
      </c>
      <c r="C11773" s="1" t="n">
        <v>45810</v>
      </c>
      <c r="D11773" t="inlineStr">
        <is>
          <t>VÄRMLANDS LÄN</t>
        </is>
      </c>
      <c r="E11773" t="inlineStr">
        <is>
          <t>TORSBY</t>
        </is>
      </c>
      <c r="G11773" t="n">
        <v>6.6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47008-2023</t>
        </is>
      </c>
      <c r="B11774" s="1" t="n">
        <v>45201</v>
      </c>
      <c r="C11774" s="1" t="n">
        <v>45810</v>
      </c>
      <c r="D11774" t="inlineStr">
        <is>
          <t>VÄRMLANDS LÄN</t>
        </is>
      </c>
      <c r="E11774" t="inlineStr">
        <is>
          <t>HAMMARÖ</t>
        </is>
      </c>
      <c r="F11774" t="inlineStr">
        <is>
          <t>Kommuner</t>
        </is>
      </c>
      <c r="G11774" t="n">
        <v>3.3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47019-2023</t>
        </is>
      </c>
      <c r="B11775" s="1" t="n">
        <v>45201</v>
      </c>
      <c r="C11775" s="1" t="n">
        <v>45810</v>
      </c>
      <c r="D11775" t="inlineStr">
        <is>
          <t>VÄRMLANDS LÄN</t>
        </is>
      </c>
      <c r="E11775" t="inlineStr">
        <is>
          <t>HAGFORS</t>
        </is>
      </c>
      <c r="G11775" t="n">
        <v>2.2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47076-2023</t>
        </is>
      </c>
      <c r="B11776" s="1" t="n">
        <v>45201</v>
      </c>
      <c r="C11776" s="1" t="n">
        <v>45810</v>
      </c>
      <c r="D11776" t="inlineStr">
        <is>
          <t>VÄRMLANDS LÄN</t>
        </is>
      </c>
      <c r="E11776" t="inlineStr">
        <is>
          <t>SUNNE</t>
        </is>
      </c>
      <c r="G11776" t="n">
        <v>0.5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46961-2023</t>
        </is>
      </c>
      <c r="B11777" s="1" t="n">
        <v>45201</v>
      </c>
      <c r="C11777" s="1" t="n">
        <v>45810</v>
      </c>
      <c r="D11777" t="inlineStr">
        <is>
          <t>VÄRMLANDS LÄN</t>
        </is>
      </c>
      <c r="E11777" t="inlineStr">
        <is>
          <t>KARLSTAD</t>
        </is>
      </c>
      <c r="G11777" t="n">
        <v>1.4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47020-2023</t>
        </is>
      </c>
      <c r="B11778" s="1" t="n">
        <v>45201</v>
      </c>
      <c r="C11778" s="1" t="n">
        <v>45810</v>
      </c>
      <c r="D11778" t="inlineStr">
        <is>
          <t>VÄRMLANDS LÄN</t>
        </is>
      </c>
      <c r="E11778" t="inlineStr">
        <is>
          <t>HAGFORS</t>
        </is>
      </c>
      <c r="G11778" t="n">
        <v>3.4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47027-2023</t>
        </is>
      </c>
      <c r="B11779" s="1" t="n">
        <v>45201</v>
      </c>
      <c r="C11779" s="1" t="n">
        <v>45810</v>
      </c>
      <c r="D11779" t="inlineStr">
        <is>
          <t>VÄRMLANDS LÄN</t>
        </is>
      </c>
      <c r="E11779" t="inlineStr">
        <is>
          <t>HAGFORS</t>
        </is>
      </c>
      <c r="G11779" t="n">
        <v>7.7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47033-2023</t>
        </is>
      </c>
      <c r="B11780" s="1" t="n">
        <v>45201</v>
      </c>
      <c r="C11780" s="1" t="n">
        <v>45810</v>
      </c>
      <c r="D11780" t="inlineStr">
        <is>
          <t>VÄRMLANDS LÄN</t>
        </is>
      </c>
      <c r="E11780" t="inlineStr">
        <is>
          <t>HAGFORS</t>
        </is>
      </c>
      <c r="G11780" t="n">
        <v>2.3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46946-2023</t>
        </is>
      </c>
      <c r="B11781" s="1" t="n">
        <v>45201</v>
      </c>
      <c r="C11781" s="1" t="n">
        <v>45810</v>
      </c>
      <c r="D11781" t="inlineStr">
        <is>
          <t>VÄRMLANDS LÄN</t>
        </is>
      </c>
      <c r="E11781" t="inlineStr">
        <is>
          <t>SÄFFLE</t>
        </is>
      </c>
      <c r="G11781" t="n">
        <v>4.6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46967-2023</t>
        </is>
      </c>
      <c r="B11782" s="1" t="n">
        <v>45201</v>
      </c>
      <c r="C11782" s="1" t="n">
        <v>45810</v>
      </c>
      <c r="D11782" t="inlineStr">
        <is>
          <t>VÄRMLANDS LÄN</t>
        </is>
      </c>
      <c r="E11782" t="inlineStr">
        <is>
          <t>KARLSTAD</t>
        </is>
      </c>
      <c r="G11782" t="n">
        <v>2.2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46982-2023</t>
        </is>
      </c>
      <c r="B11783" s="1" t="n">
        <v>45201</v>
      </c>
      <c r="C11783" s="1" t="n">
        <v>45810</v>
      </c>
      <c r="D11783" t="inlineStr">
        <is>
          <t>VÄRMLANDS LÄN</t>
        </is>
      </c>
      <c r="E11783" t="inlineStr">
        <is>
          <t>HAMMARÖ</t>
        </is>
      </c>
      <c r="F11783" t="inlineStr">
        <is>
          <t>Kommuner</t>
        </is>
      </c>
      <c r="G11783" t="n">
        <v>3.8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47077-2023</t>
        </is>
      </c>
      <c r="B11784" s="1" t="n">
        <v>45201</v>
      </c>
      <c r="C11784" s="1" t="n">
        <v>45810</v>
      </c>
      <c r="D11784" t="inlineStr">
        <is>
          <t>VÄRMLANDS LÄN</t>
        </is>
      </c>
      <c r="E11784" t="inlineStr">
        <is>
          <t>TORSBY</t>
        </is>
      </c>
      <c r="G11784" t="n">
        <v>2.1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47017-2023</t>
        </is>
      </c>
      <c r="B11785" s="1" t="n">
        <v>45201</v>
      </c>
      <c r="C11785" s="1" t="n">
        <v>45810</v>
      </c>
      <c r="D11785" t="inlineStr">
        <is>
          <t>VÄRMLANDS LÄN</t>
        </is>
      </c>
      <c r="E11785" t="inlineStr">
        <is>
          <t>HAGFORS</t>
        </is>
      </c>
      <c r="G11785" t="n">
        <v>0.6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47021-2023</t>
        </is>
      </c>
      <c r="B11786" s="1" t="n">
        <v>45201</v>
      </c>
      <c r="C11786" s="1" t="n">
        <v>45810</v>
      </c>
      <c r="D11786" t="inlineStr">
        <is>
          <t>VÄRMLANDS LÄN</t>
        </is>
      </c>
      <c r="E11786" t="inlineStr">
        <is>
          <t>HAGFORS</t>
        </is>
      </c>
      <c r="G11786" t="n">
        <v>0.5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47028-2023</t>
        </is>
      </c>
      <c r="B11787" s="1" t="n">
        <v>45201</v>
      </c>
      <c r="C11787" s="1" t="n">
        <v>45810</v>
      </c>
      <c r="D11787" t="inlineStr">
        <is>
          <t>VÄRMLANDS LÄN</t>
        </is>
      </c>
      <c r="E11787" t="inlineStr">
        <is>
          <t>HAGFORS</t>
        </is>
      </c>
      <c r="G11787" t="n">
        <v>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46891-2023</t>
        </is>
      </c>
      <c r="B11788" s="1" t="n">
        <v>45201</v>
      </c>
      <c r="C11788" s="1" t="n">
        <v>45810</v>
      </c>
      <c r="D11788" t="inlineStr">
        <is>
          <t>VÄRMLANDS LÄN</t>
        </is>
      </c>
      <c r="E11788" t="inlineStr">
        <is>
          <t>ÅRJÄNG</t>
        </is>
      </c>
      <c r="G11788" t="n">
        <v>3.2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46899-2023</t>
        </is>
      </c>
      <c r="B11789" s="1" t="n">
        <v>45201</v>
      </c>
      <c r="C11789" s="1" t="n">
        <v>45810</v>
      </c>
      <c r="D11789" t="inlineStr">
        <is>
          <t>VÄRMLANDS LÄN</t>
        </is>
      </c>
      <c r="E11789" t="inlineStr">
        <is>
          <t>ÅRJÄNG</t>
        </is>
      </c>
      <c r="G11789" t="n">
        <v>2.7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46922-2023</t>
        </is>
      </c>
      <c r="B11790" s="1" t="n">
        <v>45201</v>
      </c>
      <c r="C11790" s="1" t="n">
        <v>45810</v>
      </c>
      <c r="D11790" t="inlineStr">
        <is>
          <t>VÄRMLANDS LÄN</t>
        </is>
      </c>
      <c r="E11790" t="inlineStr">
        <is>
          <t>HAGFORS</t>
        </is>
      </c>
      <c r="G11790" t="n">
        <v>1.2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47029-2023</t>
        </is>
      </c>
      <c r="B11791" s="1" t="n">
        <v>45201</v>
      </c>
      <c r="C11791" s="1" t="n">
        <v>45810</v>
      </c>
      <c r="D11791" t="inlineStr">
        <is>
          <t>VÄRMLANDS LÄN</t>
        </is>
      </c>
      <c r="E11791" t="inlineStr">
        <is>
          <t>HAGFORS</t>
        </is>
      </c>
      <c r="G11791" t="n">
        <v>5.7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48130-2023</t>
        </is>
      </c>
      <c r="B11792" s="1" t="n">
        <v>45201</v>
      </c>
      <c r="C11792" s="1" t="n">
        <v>45810</v>
      </c>
      <c r="D11792" t="inlineStr">
        <is>
          <t>VÄRMLANDS LÄN</t>
        </is>
      </c>
      <c r="E11792" t="inlineStr">
        <is>
          <t>ÅRJÄNG</t>
        </is>
      </c>
      <c r="G11792" t="n">
        <v>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48405-2023</t>
        </is>
      </c>
      <c r="B11793" s="1" t="n">
        <v>45201</v>
      </c>
      <c r="C11793" s="1" t="n">
        <v>45810</v>
      </c>
      <c r="D11793" t="inlineStr">
        <is>
          <t>VÄRMLANDS LÄN</t>
        </is>
      </c>
      <c r="E11793" t="inlineStr">
        <is>
          <t>KRISTINEHAMN</t>
        </is>
      </c>
      <c r="G11793" t="n">
        <v>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47275-2023</t>
        </is>
      </c>
      <c r="B11794" s="1" t="n">
        <v>45202</v>
      </c>
      <c r="C11794" s="1" t="n">
        <v>45810</v>
      </c>
      <c r="D11794" t="inlineStr">
        <is>
          <t>VÄRMLANDS LÄN</t>
        </is>
      </c>
      <c r="E11794" t="inlineStr">
        <is>
          <t>TORSBY</t>
        </is>
      </c>
      <c r="G11794" t="n">
        <v>8.1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47279-2023</t>
        </is>
      </c>
      <c r="B11795" s="1" t="n">
        <v>45202</v>
      </c>
      <c r="C11795" s="1" t="n">
        <v>45810</v>
      </c>
      <c r="D11795" t="inlineStr">
        <is>
          <t>VÄRMLANDS LÄN</t>
        </is>
      </c>
      <c r="E11795" t="inlineStr">
        <is>
          <t>STORFORS</t>
        </is>
      </c>
      <c r="F11795" t="inlineStr">
        <is>
          <t>Bergvik skog väst AB</t>
        </is>
      </c>
      <c r="G11795" t="n">
        <v>3.1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47241-2023</t>
        </is>
      </c>
      <c r="B11796" s="1" t="n">
        <v>45202</v>
      </c>
      <c r="C11796" s="1" t="n">
        <v>45810</v>
      </c>
      <c r="D11796" t="inlineStr">
        <is>
          <t>VÄRMLANDS LÄN</t>
        </is>
      </c>
      <c r="E11796" t="inlineStr">
        <is>
          <t>TORSBY</t>
        </is>
      </c>
      <c r="G11796" t="n">
        <v>1.7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47191-2023</t>
        </is>
      </c>
      <c r="B11797" s="1" t="n">
        <v>45202</v>
      </c>
      <c r="C11797" s="1" t="n">
        <v>45810</v>
      </c>
      <c r="D11797" t="inlineStr">
        <is>
          <t>VÄRMLANDS LÄN</t>
        </is>
      </c>
      <c r="E11797" t="inlineStr">
        <is>
          <t>ARVIKA</t>
        </is>
      </c>
      <c r="G11797" t="n">
        <v>7.7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47298-2023</t>
        </is>
      </c>
      <c r="B11798" s="1" t="n">
        <v>45202</v>
      </c>
      <c r="C11798" s="1" t="n">
        <v>45810</v>
      </c>
      <c r="D11798" t="inlineStr">
        <is>
          <t>VÄRMLANDS LÄN</t>
        </is>
      </c>
      <c r="E11798" t="inlineStr">
        <is>
          <t>SÄFFLE</t>
        </is>
      </c>
      <c r="G11798" t="n">
        <v>1.8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47343-2023</t>
        </is>
      </c>
      <c r="B11799" s="1" t="n">
        <v>45202</v>
      </c>
      <c r="C11799" s="1" t="n">
        <v>45810</v>
      </c>
      <c r="D11799" t="inlineStr">
        <is>
          <t>VÄRMLANDS LÄN</t>
        </is>
      </c>
      <c r="E11799" t="inlineStr">
        <is>
          <t>ARVIKA</t>
        </is>
      </c>
      <c r="G11799" t="n">
        <v>1.5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47344-2023</t>
        </is>
      </c>
      <c r="B11800" s="1" t="n">
        <v>45202</v>
      </c>
      <c r="C11800" s="1" t="n">
        <v>45810</v>
      </c>
      <c r="D11800" t="inlineStr">
        <is>
          <t>VÄRMLANDS LÄN</t>
        </is>
      </c>
      <c r="E11800" t="inlineStr">
        <is>
          <t>FILIPSTAD</t>
        </is>
      </c>
      <c r="F11800" t="inlineStr">
        <is>
          <t>Bergvik skog väst AB</t>
        </is>
      </c>
      <c r="G11800" t="n">
        <v>2.1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47368-2023</t>
        </is>
      </c>
      <c r="B11801" s="1" t="n">
        <v>45202</v>
      </c>
      <c r="C11801" s="1" t="n">
        <v>45810</v>
      </c>
      <c r="D11801" t="inlineStr">
        <is>
          <t>VÄRMLANDS LÄN</t>
        </is>
      </c>
      <c r="E11801" t="inlineStr">
        <is>
          <t>KRISTINEHAMN</t>
        </is>
      </c>
      <c r="G11801" t="n">
        <v>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47372-2023</t>
        </is>
      </c>
      <c r="B11802" s="1" t="n">
        <v>45202</v>
      </c>
      <c r="C11802" s="1" t="n">
        <v>45810</v>
      </c>
      <c r="D11802" t="inlineStr">
        <is>
          <t>VÄRMLANDS LÄN</t>
        </is>
      </c>
      <c r="E11802" t="inlineStr">
        <is>
          <t>HAGFORS</t>
        </is>
      </c>
      <c r="G11802" t="n">
        <v>1.6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47376-2023</t>
        </is>
      </c>
      <c r="B11803" s="1" t="n">
        <v>45202</v>
      </c>
      <c r="C11803" s="1" t="n">
        <v>45810</v>
      </c>
      <c r="D11803" t="inlineStr">
        <is>
          <t>VÄRMLANDS LÄN</t>
        </is>
      </c>
      <c r="E11803" t="inlineStr">
        <is>
          <t>ARVIKA</t>
        </is>
      </c>
      <c r="G11803" t="n">
        <v>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47361-2023</t>
        </is>
      </c>
      <c r="B11804" s="1" t="n">
        <v>45202</v>
      </c>
      <c r="C11804" s="1" t="n">
        <v>45810</v>
      </c>
      <c r="D11804" t="inlineStr">
        <is>
          <t>VÄRMLANDS LÄN</t>
        </is>
      </c>
      <c r="E11804" t="inlineStr">
        <is>
          <t>FILIPSTAD</t>
        </is>
      </c>
      <c r="F11804" t="inlineStr">
        <is>
          <t>Bergvik skog väst AB</t>
        </is>
      </c>
      <c r="G11804" t="n">
        <v>7.6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47373-2023</t>
        </is>
      </c>
      <c r="B11805" s="1" t="n">
        <v>45202</v>
      </c>
      <c r="C11805" s="1" t="n">
        <v>45810</v>
      </c>
      <c r="D11805" t="inlineStr">
        <is>
          <t>VÄRMLANDS LÄN</t>
        </is>
      </c>
      <c r="E11805" t="inlineStr">
        <is>
          <t>ARVIKA</t>
        </is>
      </c>
      <c r="G11805" t="n">
        <v>2.3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47377-2023</t>
        </is>
      </c>
      <c r="B11806" s="1" t="n">
        <v>45202</v>
      </c>
      <c r="C11806" s="1" t="n">
        <v>45810</v>
      </c>
      <c r="D11806" t="inlineStr">
        <is>
          <t>VÄRMLANDS LÄN</t>
        </is>
      </c>
      <c r="E11806" t="inlineStr">
        <is>
          <t>KRISTINEHAMN</t>
        </is>
      </c>
      <c r="G11806" t="n">
        <v>3.7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47381-2023</t>
        </is>
      </c>
      <c r="B11807" s="1" t="n">
        <v>45202</v>
      </c>
      <c r="C11807" s="1" t="n">
        <v>45810</v>
      </c>
      <c r="D11807" t="inlineStr">
        <is>
          <t>VÄRMLANDS LÄN</t>
        </is>
      </c>
      <c r="E11807" t="inlineStr">
        <is>
          <t>FILIPSTAD</t>
        </is>
      </c>
      <c r="F11807" t="inlineStr">
        <is>
          <t>Bergvik skog väst AB</t>
        </is>
      </c>
      <c r="G11807" t="n">
        <v>1.9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47386-2023</t>
        </is>
      </c>
      <c r="B11808" s="1" t="n">
        <v>45202</v>
      </c>
      <c r="C11808" s="1" t="n">
        <v>45810</v>
      </c>
      <c r="D11808" t="inlineStr">
        <is>
          <t>VÄRMLANDS LÄN</t>
        </is>
      </c>
      <c r="E11808" t="inlineStr">
        <is>
          <t>ARVIKA</t>
        </is>
      </c>
      <c r="G11808" t="n">
        <v>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47403-2023</t>
        </is>
      </c>
      <c r="B11809" s="1" t="n">
        <v>45202</v>
      </c>
      <c r="C11809" s="1" t="n">
        <v>45810</v>
      </c>
      <c r="D11809" t="inlineStr">
        <is>
          <t>VÄRMLANDS LÄN</t>
        </is>
      </c>
      <c r="E11809" t="inlineStr">
        <is>
          <t>FILIPSTAD</t>
        </is>
      </c>
      <c r="F11809" t="inlineStr">
        <is>
          <t>Bergvik skog väst AB</t>
        </is>
      </c>
      <c r="G11809" t="n">
        <v>17.9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47380-2023</t>
        </is>
      </c>
      <c r="B11810" s="1" t="n">
        <v>45202</v>
      </c>
      <c r="C11810" s="1" t="n">
        <v>45810</v>
      </c>
      <c r="D11810" t="inlineStr">
        <is>
          <t>VÄRMLANDS LÄN</t>
        </is>
      </c>
      <c r="E11810" t="inlineStr">
        <is>
          <t>ARVIKA</t>
        </is>
      </c>
      <c r="G11810" t="n">
        <v>1.2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47389-2023</t>
        </is>
      </c>
      <c r="B11811" s="1" t="n">
        <v>45202</v>
      </c>
      <c r="C11811" s="1" t="n">
        <v>45810</v>
      </c>
      <c r="D11811" t="inlineStr">
        <is>
          <t>VÄRMLANDS LÄN</t>
        </is>
      </c>
      <c r="E11811" t="inlineStr">
        <is>
          <t>KRISTINEHAMN</t>
        </is>
      </c>
      <c r="G11811" t="n">
        <v>3.4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47398-2023</t>
        </is>
      </c>
      <c r="B11812" s="1" t="n">
        <v>45202</v>
      </c>
      <c r="C11812" s="1" t="n">
        <v>45810</v>
      </c>
      <c r="D11812" t="inlineStr">
        <is>
          <t>VÄRMLANDS LÄN</t>
        </is>
      </c>
      <c r="E11812" t="inlineStr">
        <is>
          <t>KRISTINEHAMN</t>
        </is>
      </c>
      <c r="G11812" t="n">
        <v>2.8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47228-2023</t>
        </is>
      </c>
      <c r="B11813" s="1" t="n">
        <v>45202</v>
      </c>
      <c r="C11813" s="1" t="n">
        <v>45810</v>
      </c>
      <c r="D11813" t="inlineStr">
        <is>
          <t>VÄRMLANDS LÄN</t>
        </is>
      </c>
      <c r="E11813" t="inlineStr">
        <is>
          <t>ÅRJÄNG</t>
        </is>
      </c>
      <c r="G11813" t="n">
        <v>1.1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47439-2023</t>
        </is>
      </c>
      <c r="B11814" s="1" t="n">
        <v>45202</v>
      </c>
      <c r="C11814" s="1" t="n">
        <v>45810</v>
      </c>
      <c r="D11814" t="inlineStr">
        <is>
          <t>VÄRMLANDS LÄN</t>
        </is>
      </c>
      <c r="E11814" t="inlineStr">
        <is>
          <t>HAGFORS</t>
        </is>
      </c>
      <c r="F11814" t="inlineStr">
        <is>
          <t>Bergvik skog väst AB</t>
        </is>
      </c>
      <c r="G11814" t="n">
        <v>0.6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47339-2023</t>
        </is>
      </c>
      <c r="B11815" s="1" t="n">
        <v>45202</v>
      </c>
      <c r="C11815" s="1" t="n">
        <v>45810</v>
      </c>
      <c r="D11815" t="inlineStr">
        <is>
          <t>VÄRMLANDS LÄN</t>
        </is>
      </c>
      <c r="E11815" t="inlineStr">
        <is>
          <t>FILIPSTAD</t>
        </is>
      </c>
      <c r="F11815" t="inlineStr">
        <is>
          <t>Bergvik skog väst AB</t>
        </is>
      </c>
      <c r="G11815" t="n">
        <v>15.6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47383-2023</t>
        </is>
      </c>
      <c r="B11816" s="1" t="n">
        <v>45202</v>
      </c>
      <c r="C11816" s="1" t="n">
        <v>45810</v>
      </c>
      <c r="D11816" t="inlineStr">
        <is>
          <t>VÄRMLANDS LÄN</t>
        </is>
      </c>
      <c r="E11816" t="inlineStr">
        <is>
          <t>ARVIKA</t>
        </is>
      </c>
      <c r="G11816" t="n">
        <v>1.9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47416-2023</t>
        </is>
      </c>
      <c r="B11817" s="1" t="n">
        <v>45202</v>
      </c>
      <c r="C11817" s="1" t="n">
        <v>45810</v>
      </c>
      <c r="D11817" t="inlineStr">
        <is>
          <t>VÄRMLANDS LÄN</t>
        </is>
      </c>
      <c r="E11817" t="inlineStr">
        <is>
          <t>KRISTINEHAMN</t>
        </is>
      </c>
      <c r="G11817" t="n">
        <v>1.8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47424-2023</t>
        </is>
      </c>
      <c r="B11818" s="1" t="n">
        <v>45202</v>
      </c>
      <c r="C11818" s="1" t="n">
        <v>45810</v>
      </c>
      <c r="D11818" t="inlineStr">
        <is>
          <t>VÄRMLANDS LÄN</t>
        </is>
      </c>
      <c r="E11818" t="inlineStr">
        <is>
          <t>KRISTINEHAMN</t>
        </is>
      </c>
      <c r="G11818" t="n">
        <v>4.7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47443-2023</t>
        </is>
      </c>
      <c r="B11819" s="1" t="n">
        <v>45202</v>
      </c>
      <c r="C11819" s="1" t="n">
        <v>45810</v>
      </c>
      <c r="D11819" t="inlineStr">
        <is>
          <t>VÄRMLANDS LÄN</t>
        </is>
      </c>
      <c r="E11819" t="inlineStr">
        <is>
          <t>HAGFORS</t>
        </is>
      </c>
      <c r="F11819" t="inlineStr">
        <is>
          <t>Bergvik skog väst AB</t>
        </is>
      </c>
      <c r="G11819" t="n">
        <v>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47458-2023</t>
        </is>
      </c>
      <c r="B11820" s="1" t="n">
        <v>45202</v>
      </c>
      <c r="C11820" s="1" t="n">
        <v>45810</v>
      </c>
      <c r="D11820" t="inlineStr">
        <is>
          <t>VÄRMLANDS LÄN</t>
        </is>
      </c>
      <c r="E11820" t="inlineStr">
        <is>
          <t>FILIPSTAD</t>
        </is>
      </c>
      <c r="G11820" t="n">
        <v>4.5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47462-2023</t>
        </is>
      </c>
      <c r="B11821" s="1" t="n">
        <v>45202</v>
      </c>
      <c r="C11821" s="1" t="n">
        <v>45810</v>
      </c>
      <c r="D11821" t="inlineStr">
        <is>
          <t>VÄRMLANDS LÄN</t>
        </is>
      </c>
      <c r="E11821" t="inlineStr">
        <is>
          <t>KRISTINEHAMN</t>
        </is>
      </c>
      <c r="G11821" t="n">
        <v>8.800000000000001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47466-2023</t>
        </is>
      </c>
      <c r="B11822" s="1" t="n">
        <v>45202</v>
      </c>
      <c r="C11822" s="1" t="n">
        <v>45810</v>
      </c>
      <c r="D11822" t="inlineStr">
        <is>
          <t>VÄRMLANDS LÄN</t>
        </is>
      </c>
      <c r="E11822" t="inlineStr">
        <is>
          <t>KRISTINEHAMN</t>
        </is>
      </c>
      <c r="G11822" t="n">
        <v>0.8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48357-2023</t>
        </is>
      </c>
      <c r="B11823" s="1" t="n">
        <v>45202</v>
      </c>
      <c r="C11823" s="1" t="n">
        <v>45810</v>
      </c>
      <c r="D11823" t="inlineStr">
        <is>
          <t>VÄRMLANDS LÄN</t>
        </is>
      </c>
      <c r="E11823" t="inlineStr">
        <is>
          <t>ÅRJÄNG</t>
        </is>
      </c>
      <c r="G11823" t="n">
        <v>2.6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47355-2023</t>
        </is>
      </c>
      <c r="B11824" s="1" t="n">
        <v>45202</v>
      </c>
      <c r="C11824" s="1" t="n">
        <v>45810</v>
      </c>
      <c r="D11824" t="inlineStr">
        <is>
          <t>VÄRMLANDS LÄN</t>
        </is>
      </c>
      <c r="E11824" t="inlineStr">
        <is>
          <t>TORSBY</t>
        </is>
      </c>
      <c r="G11824" t="n">
        <v>3.5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47371-2023</t>
        </is>
      </c>
      <c r="B11825" s="1" t="n">
        <v>45202</v>
      </c>
      <c r="C11825" s="1" t="n">
        <v>45810</v>
      </c>
      <c r="D11825" t="inlineStr">
        <is>
          <t>VÄRMLANDS LÄN</t>
        </is>
      </c>
      <c r="E11825" t="inlineStr">
        <is>
          <t>KRISTINEHAMN</t>
        </is>
      </c>
      <c r="G11825" t="n">
        <v>10.1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47401-2023</t>
        </is>
      </c>
      <c r="B11826" s="1" t="n">
        <v>45202</v>
      </c>
      <c r="C11826" s="1" t="n">
        <v>45810</v>
      </c>
      <c r="D11826" t="inlineStr">
        <is>
          <t>VÄRMLANDS LÄN</t>
        </is>
      </c>
      <c r="E11826" t="inlineStr">
        <is>
          <t>TORSBY</t>
        </is>
      </c>
      <c r="G11826" t="n">
        <v>1.5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47409-2023</t>
        </is>
      </c>
      <c r="B11827" s="1" t="n">
        <v>45202</v>
      </c>
      <c r="C11827" s="1" t="n">
        <v>45810</v>
      </c>
      <c r="D11827" t="inlineStr">
        <is>
          <t>VÄRMLANDS LÄN</t>
        </is>
      </c>
      <c r="E11827" t="inlineStr">
        <is>
          <t>KRISTINEHAMN</t>
        </is>
      </c>
      <c r="G11827" t="n">
        <v>2.3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47455-2023</t>
        </is>
      </c>
      <c r="B11828" s="1" t="n">
        <v>45202</v>
      </c>
      <c r="C11828" s="1" t="n">
        <v>45810</v>
      </c>
      <c r="D11828" t="inlineStr">
        <is>
          <t>VÄRMLANDS LÄN</t>
        </is>
      </c>
      <c r="E11828" t="inlineStr">
        <is>
          <t>FILIPSTAD</t>
        </is>
      </c>
      <c r="F11828" t="inlineStr">
        <is>
          <t>Bergvik skog väst AB</t>
        </is>
      </c>
      <c r="G11828" t="n">
        <v>5.1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47465-2023</t>
        </is>
      </c>
      <c r="B11829" s="1" t="n">
        <v>45202</v>
      </c>
      <c r="C11829" s="1" t="n">
        <v>45810</v>
      </c>
      <c r="D11829" t="inlineStr">
        <is>
          <t>VÄRMLANDS LÄN</t>
        </is>
      </c>
      <c r="E11829" t="inlineStr">
        <is>
          <t>KRISTINEHAMN</t>
        </is>
      </c>
      <c r="G11829" t="n">
        <v>10.4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47469-2023</t>
        </is>
      </c>
      <c r="B11830" s="1" t="n">
        <v>45202</v>
      </c>
      <c r="C11830" s="1" t="n">
        <v>45810</v>
      </c>
      <c r="D11830" t="inlineStr">
        <is>
          <t>VÄRMLANDS LÄN</t>
        </is>
      </c>
      <c r="E11830" t="inlineStr">
        <is>
          <t>EDA</t>
        </is>
      </c>
      <c r="G11830" t="n">
        <v>3.1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47456-2023</t>
        </is>
      </c>
      <c r="B11831" s="1" t="n">
        <v>45202</v>
      </c>
      <c r="C11831" s="1" t="n">
        <v>45810</v>
      </c>
      <c r="D11831" t="inlineStr">
        <is>
          <t>VÄRMLANDS LÄN</t>
        </is>
      </c>
      <c r="E11831" t="inlineStr">
        <is>
          <t>SUNNE</t>
        </is>
      </c>
      <c r="G11831" t="n">
        <v>2.3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47460-2023</t>
        </is>
      </c>
      <c r="B11832" s="1" t="n">
        <v>45202</v>
      </c>
      <c r="C11832" s="1" t="n">
        <v>45810</v>
      </c>
      <c r="D11832" t="inlineStr">
        <is>
          <t>VÄRMLANDS LÄN</t>
        </is>
      </c>
      <c r="E11832" t="inlineStr">
        <is>
          <t>SUNNE</t>
        </is>
      </c>
      <c r="G11832" t="n">
        <v>14.2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47464-2023</t>
        </is>
      </c>
      <c r="B11833" s="1" t="n">
        <v>45202</v>
      </c>
      <c r="C11833" s="1" t="n">
        <v>45810</v>
      </c>
      <c r="D11833" t="inlineStr">
        <is>
          <t>VÄRMLANDS LÄN</t>
        </is>
      </c>
      <c r="E11833" t="inlineStr">
        <is>
          <t>ÅRJÄNG</t>
        </is>
      </c>
      <c r="G11833" t="n">
        <v>9.1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47467-2023</t>
        </is>
      </c>
      <c r="B11834" s="1" t="n">
        <v>45202</v>
      </c>
      <c r="C11834" s="1" t="n">
        <v>45810</v>
      </c>
      <c r="D11834" t="inlineStr">
        <is>
          <t>VÄRMLANDS LÄN</t>
        </is>
      </c>
      <c r="E11834" t="inlineStr">
        <is>
          <t>KRISTINEHAMN</t>
        </is>
      </c>
      <c r="G11834" t="n">
        <v>0.7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47573-2023</t>
        </is>
      </c>
      <c r="B11835" s="1" t="n">
        <v>45203</v>
      </c>
      <c r="C11835" s="1" t="n">
        <v>45810</v>
      </c>
      <c r="D11835" t="inlineStr">
        <is>
          <t>VÄRMLANDS LÄN</t>
        </is>
      </c>
      <c r="E11835" t="inlineStr">
        <is>
          <t>FILIPSTAD</t>
        </is>
      </c>
      <c r="F11835" t="inlineStr">
        <is>
          <t>Bergvik skog väst AB</t>
        </is>
      </c>
      <c r="G11835" t="n">
        <v>2.2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47578-2023</t>
        </is>
      </c>
      <c r="B11836" s="1" t="n">
        <v>45203</v>
      </c>
      <c r="C11836" s="1" t="n">
        <v>45810</v>
      </c>
      <c r="D11836" t="inlineStr">
        <is>
          <t>VÄRMLANDS LÄN</t>
        </is>
      </c>
      <c r="E11836" t="inlineStr">
        <is>
          <t>HAGFORS</t>
        </is>
      </c>
      <c r="F11836" t="inlineStr">
        <is>
          <t>Bergvik skog väst AB</t>
        </is>
      </c>
      <c r="G11836" t="n">
        <v>9.199999999999999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47599-2023</t>
        </is>
      </c>
      <c r="B11837" s="1" t="n">
        <v>45203</v>
      </c>
      <c r="C11837" s="1" t="n">
        <v>45810</v>
      </c>
      <c r="D11837" t="inlineStr">
        <is>
          <t>VÄRMLANDS LÄN</t>
        </is>
      </c>
      <c r="E11837" t="inlineStr">
        <is>
          <t>EDA</t>
        </is>
      </c>
      <c r="G11837" t="n">
        <v>7.4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47608-2023</t>
        </is>
      </c>
      <c r="B11838" s="1" t="n">
        <v>45203</v>
      </c>
      <c r="C11838" s="1" t="n">
        <v>45810</v>
      </c>
      <c r="D11838" t="inlineStr">
        <is>
          <t>VÄRMLANDS LÄN</t>
        </is>
      </c>
      <c r="E11838" t="inlineStr">
        <is>
          <t>KARLSTAD</t>
        </is>
      </c>
      <c r="G11838" t="n">
        <v>0.6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47624-2023</t>
        </is>
      </c>
      <c r="B11839" s="1" t="n">
        <v>45203</v>
      </c>
      <c r="C11839" s="1" t="n">
        <v>45810</v>
      </c>
      <c r="D11839" t="inlineStr">
        <is>
          <t>VÄRMLANDS LÄN</t>
        </is>
      </c>
      <c r="E11839" t="inlineStr">
        <is>
          <t>STORFORS</t>
        </is>
      </c>
      <c r="F11839" t="inlineStr">
        <is>
          <t>Kyrkan</t>
        </is>
      </c>
      <c r="G11839" t="n">
        <v>2.2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47660-2023</t>
        </is>
      </c>
      <c r="B11840" s="1" t="n">
        <v>45203</v>
      </c>
      <c r="C11840" s="1" t="n">
        <v>45810</v>
      </c>
      <c r="D11840" t="inlineStr">
        <is>
          <t>VÄRMLANDS LÄN</t>
        </is>
      </c>
      <c r="E11840" t="inlineStr">
        <is>
          <t>HAGFORS</t>
        </is>
      </c>
      <c r="F11840" t="inlineStr">
        <is>
          <t>Bergvik skog väst AB</t>
        </is>
      </c>
      <c r="G11840" t="n">
        <v>3.8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47520-2023</t>
        </is>
      </c>
      <c r="B11841" s="1" t="n">
        <v>45203</v>
      </c>
      <c r="C11841" s="1" t="n">
        <v>45810</v>
      </c>
      <c r="D11841" t="inlineStr">
        <is>
          <t>VÄRMLANDS LÄN</t>
        </is>
      </c>
      <c r="E11841" t="inlineStr">
        <is>
          <t>KARLSTAD</t>
        </is>
      </c>
      <c r="G11841" t="n">
        <v>1.1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47566-2023</t>
        </is>
      </c>
      <c r="B11842" s="1" t="n">
        <v>45203</v>
      </c>
      <c r="C11842" s="1" t="n">
        <v>45810</v>
      </c>
      <c r="D11842" t="inlineStr">
        <is>
          <t>VÄRMLANDS LÄN</t>
        </is>
      </c>
      <c r="E11842" t="inlineStr">
        <is>
          <t>EDA</t>
        </is>
      </c>
      <c r="G11842" t="n">
        <v>2.6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47704-2023</t>
        </is>
      </c>
      <c r="B11843" s="1" t="n">
        <v>45203</v>
      </c>
      <c r="C11843" s="1" t="n">
        <v>45810</v>
      </c>
      <c r="D11843" t="inlineStr">
        <is>
          <t>VÄRMLANDS LÄN</t>
        </is>
      </c>
      <c r="E11843" t="inlineStr">
        <is>
          <t>EDA</t>
        </is>
      </c>
      <c r="G11843" t="n">
        <v>0.8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47585-2023</t>
        </is>
      </c>
      <c r="B11844" s="1" t="n">
        <v>45203</v>
      </c>
      <c r="C11844" s="1" t="n">
        <v>45810</v>
      </c>
      <c r="D11844" t="inlineStr">
        <is>
          <t>VÄRMLANDS LÄN</t>
        </is>
      </c>
      <c r="E11844" t="inlineStr">
        <is>
          <t>FILIPSTAD</t>
        </is>
      </c>
      <c r="F11844" t="inlineStr">
        <is>
          <t>Bergvik skog väst AB</t>
        </is>
      </c>
      <c r="G11844" t="n">
        <v>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47512-2023</t>
        </is>
      </c>
      <c r="B11845" s="1" t="n">
        <v>45203</v>
      </c>
      <c r="C11845" s="1" t="n">
        <v>45810</v>
      </c>
      <c r="D11845" t="inlineStr">
        <is>
          <t>VÄRMLANDS LÄN</t>
        </is>
      </c>
      <c r="E11845" t="inlineStr">
        <is>
          <t>ARVIKA</t>
        </is>
      </c>
      <c r="G11845" t="n">
        <v>5.6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47536-2023</t>
        </is>
      </c>
      <c r="B11846" s="1" t="n">
        <v>45203</v>
      </c>
      <c r="C11846" s="1" t="n">
        <v>45810</v>
      </c>
      <c r="D11846" t="inlineStr">
        <is>
          <t>VÄRMLANDS LÄN</t>
        </is>
      </c>
      <c r="E11846" t="inlineStr">
        <is>
          <t>FILIPSTAD</t>
        </is>
      </c>
      <c r="F11846" t="inlineStr">
        <is>
          <t>Bergvik skog väst AB</t>
        </is>
      </c>
      <c r="G11846" t="n">
        <v>2.5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47720-2023</t>
        </is>
      </c>
      <c r="B11847" s="1" t="n">
        <v>45203</v>
      </c>
      <c r="C11847" s="1" t="n">
        <v>45810</v>
      </c>
      <c r="D11847" t="inlineStr">
        <is>
          <t>VÄRMLANDS LÄN</t>
        </is>
      </c>
      <c r="E11847" t="inlineStr">
        <is>
          <t>SUNNE</t>
        </is>
      </c>
      <c r="G11847" t="n">
        <v>0.7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47731-2023</t>
        </is>
      </c>
      <c r="B11848" s="1" t="n">
        <v>45203</v>
      </c>
      <c r="C11848" s="1" t="n">
        <v>45810</v>
      </c>
      <c r="D11848" t="inlineStr">
        <is>
          <t>VÄRMLANDS LÄN</t>
        </is>
      </c>
      <c r="E11848" t="inlineStr">
        <is>
          <t>KRISTINEHAMN</t>
        </is>
      </c>
      <c r="G11848" t="n">
        <v>0.6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47737-2023</t>
        </is>
      </c>
      <c r="B11849" s="1" t="n">
        <v>45203</v>
      </c>
      <c r="C11849" s="1" t="n">
        <v>45810</v>
      </c>
      <c r="D11849" t="inlineStr">
        <is>
          <t>VÄRMLANDS LÄN</t>
        </is>
      </c>
      <c r="E11849" t="inlineStr">
        <is>
          <t>TORSBY</t>
        </is>
      </c>
      <c r="F11849" t="inlineStr">
        <is>
          <t>Bergvik skog väst AB</t>
        </is>
      </c>
      <c r="G11849" t="n">
        <v>24.4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47615-2023</t>
        </is>
      </c>
      <c r="B11850" s="1" t="n">
        <v>45203</v>
      </c>
      <c r="C11850" s="1" t="n">
        <v>45810</v>
      </c>
      <c r="D11850" t="inlineStr">
        <is>
          <t>VÄRMLANDS LÄN</t>
        </is>
      </c>
      <c r="E11850" t="inlineStr">
        <is>
          <t>TORSBY</t>
        </is>
      </c>
      <c r="F11850" t="inlineStr">
        <is>
          <t>Bergvik skog väst AB</t>
        </is>
      </c>
      <c r="G11850" t="n">
        <v>2.8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47621-2023</t>
        </is>
      </c>
      <c r="B11851" s="1" t="n">
        <v>45203</v>
      </c>
      <c r="C11851" s="1" t="n">
        <v>45810</v>
      </c>
      <c r="D11851" t="inlineStr">
        <is>
          <t>VÄRMLANDS LÄN</t>
        </is>
      </c>
      <c r="E11851" t="inlineStr">
        <is>
          <t>SÄFFLE</t>
        </is>
      </c>
      <c r="G11851" t="n">
        <v>2.2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47750-2023</t>
        </is>
      </c>
      <c r="B11852" s="1" t="n">
        <v>45203</v>
      </c>
      <c r="C11852" s="1" t="n">
        <v>45810</v>
      </c>
      <c r="D11852" t="inlineStr">
        <is>
          <t>VÄRMLANDS LÄN</t>
        </is>
      </c>
      <c r="E11852" t="inlineStr">
        <is>
          <t>ÅRJÄNG</t>
        </is>
      </c>
      <c r="G11852" t="n">
        <v>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47754-2023</t>
        </is>
      </c>
      <c r="B11853" s="1" t="n">
        <v>45203</v>
      </c>
      <c r="C11853" s="1" t="n">
        <v>45810</v>
      </c>
      <c r="D11853" t="inlineStr">
        <is>
          <t>VÄRMLANDS LÄN</t>
        </is>
      </c>
      <c r="E11853" t="inlineStr">
        <is>
          <t>KRISTINEHAMN</t>
        </is>
      </c>
      <c r="G11853" t="n">
        <v>19.4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47770-2023</t>
        </is>
      </c>
      <c r="B11854" s="1" t="n">
        <v>45203</v>
      </c>
      <c r="C11854" s="1" t="n">
        <v>45810</v>
      </c>
      <c r="D11854" t="inlineStr">
        <is>
          <t>VÄRMLANDS LÄN</t>
        </is>
      </c>
      <c r="E11854" t="inlineStr">
        <is>
          <t>KRISTINEHAMN</t>
        </is>
      </c>
      <c r="G11854" t="n">
        <v>9.300000000000001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47619-2023</t>
        </is>
      </c>
      <c r="B11855" s="1" t="n">
        <v>45203</v>
      </c>
      <c r="C11855" s="1" t="n">
        <v>45810</v>
      </c>
      <c r="D11855" t="inlineStr">
        <is>
          <t>VÄRMLANDS LÄN</t>
        </is>
      </c>
      <c r="E11855" t="inlineStr">
        <is>
          <t>EDA</t>
        </is>
      </c>
      <c r="G11855" t="n">
        <v>1.2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47646-2023</t>
        </is>
      </c>
      <c r="B11856" s="1" t="n">
        <v>45203</v>
      </c>
      <c r="C11856" s="1" t="n">
        <v>45810</v>
      </c>
      <c r="D11856" t="inlineStr">
        <is>
          <t>VÄRMLANDS LÄN</t>
        </is>
      </c>
      <c r="E11856" t="inlineStr">
        <is>
          <t>MUNKFORS</t>
        </is>
      </c>
      <c r="G11856" t="n">
        <v>1.9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47659-2023</t>
        </is>
      </c>
      <c r="B11857" s="1" t="n">
        <v>45203</v>
      </c>
      <c r="C11857" s="1" t="n">
        <v>45810</v>
      </c>
      <c r="D11857" t="inlineStr">
        <is>
          <t>VÄRMLANDS LÄN</t>
        </is>
      </c>
      <c r="E11857" t="inlineStr">
        <is>
          <t>ÅRJÄNG</t>
        </is>
      </c>
      <c r="G11857" t="n">
        <v>3.8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47684-2023</t>
        </is>
      </c>
      <c r="B11858" s="1" t="n">
        <v>45203</v>
      </c>
      <c r="C11858" s="1" t="n">
        <v>45810</v>
      </c>
      <c r="D11858" t="inlineStr">
        <is>
          <t>VÄRMLANDS LÄN</t>
        </is>
      </c>
      <c r="E11858" t="inlineStr">
        <is>
          <t>SÄFFLE</t>
        </is>
      </c>
      <c r="G11858" t="n">
        <v>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47730-2023</t>
        </is>
      </c>
      <c r="B11859" s="1" t="n">
        <v>45203</v>
      </c>
      <c r="C11859" s="1" t="n">
        <v>45810</v>
      </c>
      <c r="D11859" t="inlineStr">
        <is>
          <t>VÄRMLANDS LÄN</t>
        </is>
      </c>
      <c r="E11859" t="inlineStr">
        <is>
          <t>TORSBY</t>
        </is>
      </c>
      <c r="G11859" t="n">
        <v>1.2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47765-2023</t>
        </is>
      </c>
      <c r="B11860" s="1" t="n">
        <v>45203</v>
      </c>
      <c r="C11860" s="1" t="n">
        <v>45810</v>
      </c>
      <c r="D11860" t="inlineStr">
        <is>
          <t>VÄRMLANDS LÄN</t>
        </is>
      </c>
      <c r="E11860" t="inlineStr">
        <is>
          <t>KRISTINEHAMN</t>
        </is>
      </c>
      <c r="G11860" t="n">
        <v>2.9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47732-2023</t>
        </is>
      </c>
      <c r="B11861" s="1" t="n">
        <v>45203</v>
      </c>
      <c r="C11861" s="1" t="n">
        <v>45810</v>
      </c>
      <c r="D11861" t="inlineStr">
        <is>
          <t>VÄRMLANDS LÄN</t>
        </is>
      </c>
      <c r="E11861" t="inlineStr">
        <is>
          <t>HAGFORS</t>
        </is>
      </c>
      <c r="F11861" t="inlineStr">
        <is>
          <t>Bergvik skog väst AB</t>
        </is>
      </c>
      <c r="G11861" t="n">
        <v>8.5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47516-2023</t>
        </is>
      </c>
      <c r="B11862" s="1" t="n">
        <v>45203</v>
      </c>
      <c r="C11862" s="1" t="n">
        <v>45810</v>
      </c>
      <c r="D11862" t="inlineStr">
        <is>
          <t>VÄRMLANDS LÄN</t>
        </is>
      </c>
      <c r="E11862" t="inlineStr">
        <is>
          <t>HAGFORS</t>
        </is>
      </c>
      <c r="G11862" t="n">
        <v>0.8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47549-2023</t>
        </is>
      </c>
      <c r="B11863" s="1" t="n">
        <v>45203</v>
      </c>
      <c r="C11863" s="1" t="n">
        <v>45810</v>
      </c>
      <c r="D11863" t="inlineStr">
        <is>
          <t>VÄRMLANDS LÄN</t>
        </is>
      </c>
      <c r="E11863" t="inlineStr">
        <is>
          <t>ARVIKA</t>
        </is>
      </c>
      <c r="G11863" t="n">
        <v>2.1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47688-2023</t>
        </is>
      </c>
      <c r="B11864" s="1" t="n">
        <v>45203</v>
      </c>
      <c r="C11864" s="1" t="n">
        <v>45810</v>
      </c>
      <c r="D11864" t="inlineStr">
        <is>
          <t>VÄRMLANDS LÄN</t>
        </is>
      </c>
      <c r="E11864" t="inlineStr">
        <is>
          <t>ÅRJÄNG</t>
        </is>
      </c>
      <c r="F11864" t="inlineStr">
        <is>
          <t>Övriga Aktiebolag</t>
        </is>
      </c>
      <c r="G11864" t="n">
        <v>20.3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47728-2023</t>
        </is>
      </c>
      <c r="B11865" s="1" t="n">
        <v>45203</v>
      </c>
      <c r="C11865" s="1" t="n">
        <v>45810</v>
      </c>
      <c r="D11865" t="inlineStr">
        <is>
          <t>VÄRMLANDS LÄN</t>
        </is>
      </c>
      <c r="E11865" t="inlineStr">
        <is>
          <t>STORFORS</t>
        </is>
      </c>
      <c r="G11865" t="n">
        <v>2.2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47734-2023</t>
        </is>
      </c>
      <c r="B11866" s="1" t="n">
        <v>45203</v>
      </c>
      <c r="C11866" s="1" t="n">
        <v>45810</v>
      </c>
      <c r="D11866" t="inlineStr">
        <is>
          <t>VÄRMLANDS LÄN</t>
        </is>
      </c>
      <c r="E11866" t="inlineStr">
        <is>
          <t>TORSBY</t>
        </is>
      </c>
      <c r="F11866" t="inlineStr">
        <is>
          <t>Bergvik skog väst AB</t>
        </is>
      </c>
      <c r="G11866" t="n">
        <v>23.3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47744-2023</t>
        </is>
      </c>
      <c r="B11867" s="1" t="n">
        <v>45203</v>
      </c>
      <c r="C11867" s="1" t="n">
        <v>45810</v>
      </c>
      <c r="D11867" t="inlineStr">
        <is>
          <t>VÄRMLANDS LÄN</t>
        </is>
      </c>
      <c r="E11867" t="inlineStr">
        <is>
          <t>ÅRJÄNG</t>
        </is>
      </c>
      <c r="G11867" t="n">
        <v>3.4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47756-2023</t>
        </is>
      </c>
      <c r="B11868" s="1" t="n">
        <v>45203</v>
      </c>
      <c r="C11868" s="1" t="n">
        <v>45810</v>
      </c>
      <c r="D11868" t="inlineStr">
        <is>
          <t>VÄRMLANDS LÄN</t>
        </is>
      </c>
      <c r="E11868" t="inlineStr">
        <is>
          <t>KRISTINEHAMN</t>
        </is>
      </c>
      <c r="G11868" t="n">
        <v>10</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48883-2023</t>
        </is>
      </c>
      <c r="B11869" s="1" t="n">
        <v>45203</v>
      </c>
      <c r="C11869" s="1" t="n">
        <v>45810</v>
      </c>
      <c r="D11869" t="inlineStr">
        <is>
          <t>VÄRMLANDS LÄN</t>
        </is>
      </c>
      <c r="E11869" t="inlineStr">
        <is>
          <t>SÄFFLE</t>
        </is>
      </c>
      <c r="G11869" t="n">
        <v>12.1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48894-2023</t>
        </is>
      </c>
      <c r="B11870" s="1" t="n">
        <v>45203</v>
      </c>
      <c r="C11870" s="1" t="n">
        <v>45810</v>
      </c>
      <c r="D11870" t="inlineStr">
        <is>
          <t>VÄRMLANDS LÄN</t>
        </is>
      </c>
      <c r="E11870" t="inlineStr">
        <is>
          <t>SÄFFLE</t>
        </is>
      </c>
      <c r="G11870" t="n">
        <v>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48724-2023</t>
        </is>
      </c>
      <c r="B11871" s="1" t="n">
        <v>45203</v>
      </c>
      <c r="C11871" s="1" t="n">
        <v>45810</v>
      </c>
      <c r="D11871" t="inlineStr">
        <is>
          <t>VÄRMLANDS LÄN</t>
        </is>
      </c>
      <c r="E11871" t="inlineStr">
        <is>
          <t>TORSBY</t>
        </is>
      </c>
      <c r="G11871" t="n">
        <v>5.1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47815-2023</t>
        </is>
      </c>
      <c r="B11872" s="1" t="n">
        <v>45204</v>
      </c>
      <c r="C11872" s="1" t="n">
        <v>45810</v>
      </c>
      <c r="D11872" t="inlineStr">
        <is>
          <t>VÄRMLANDS LÄN</t>
        </is>
      </c>
      <c r="E11872" t="inlineStr">
        <is>
          <t>EDA</t>
        </is>
      </c>
      <c r="G11872" t="n">
        <v>0.3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47829-2023</t>
        </is>
      </c>
      <c r="B11873" s="1" t="n">
        <v>45204</v>
      </c>
      <c r="C11873" s="1" t="n">
        <v>45810</v>
      </c>
      <c r="D11873" t="inlineStr">
        <is>
          <t>VÄRMLANDS LÄN</t>
        </is>
      </c>
      <c r="E11873" t="inlineStr">
        <is>
          <t>EDA</t>
        </is>
      </c>
      <c r="G11873" t="n">
        <v>6.9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47833-2023</t>
        </is>
      </c>
      <c r="B11874" s="1" t="n">
        <v>45204</v>
      </c>
      <c r="C11874" s="1" t="n">
        <v>45810</v>
      </c>
      <c r="D11874" t="inlineStr">
        <is>
          <t>VÄRMLANDS LÄN</t>
        </is>
      </c>
      <c r="E11874" t="inlineStr">
        <is>
          <t>ÅRJÄNG</t>
        </is>
      </c>
      <c r="G11874" t="n">
        <v>4.4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47797-2023</t>
        </is>
      </c>
      <c r="B11875" s="1" t="n">
        <v>45204</v>
      </c>
      <c r="C11875" s="1" t="n">
        <v>45810</v>
      </c>
      <c r="D11875" t="inlineStr">
        <is>
          <t>VÄRMLANDS LÄN</t>
        </is>
      </c>
      <c r="E11875" t="inlineStr">
        <is>
          <t>HAGFORS</t>
        </is>
      </c>
      <c r="G11875" t="n">
        <v>1.1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47809-2023</t>
        </is>
      </c>
      <c r="B11876" s="1" t="n">
        <v>45204</v>
      </c>
      <c r="C11876" s="1" t="n">
        <v>45810</v>
      </c>
      <c r="D11876" t="inlineStr">
        <is>
          <t>VÄRMLANDS LÄN</t>
        </is>
      </c>
      <c r="E11876" t="inlineStr">
        <is>
          <t>ARVIKA</t>
        </is>
      </c>
      <c r="G11876" t="n">
        <v>2.3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47814-2023</t>
        </is>
      </c>
      <c r="B11877" s="1" t="n">
        <v>45204</v>
      </c>
      <c r="C11877" s="1" t="n">
        <v>45810</v>
      </c>
      <c r="D11877" t="inlineStr">
        <is>
          <t>VÄRMLANDS LÄN</t>
        </is>
      </c>
      <c r="E11877" t="inlineStr">
        <is>
          <t>EDA</t>
        </is>
      </c>
      <c r="G11877" t="n">
        <v>0.8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47842-2023</t>
        </is>
      </c>
      <c r="B11878" s="1" t="n">
        <v>45204</v>
      </c>
      <c r="C11878" s="1" t="n">
        <v>45810</v>
      </c>
      <c r="D11878" t="inlineStr">
        <is>
          <t>VÄRMLANDS LÄN</t>
        </is>
      </c>
      <c r="E11878" t="inlineStr">
        <is>
          <t>TORSBY</t>
        </is>
      </c>
      <c r="G11878" t="n">
        <v>7.3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47897-2023</t>
        </is>
      </c>
      <c r="B11879" s="1" t="n">
        <v>45204</v>
      </c>
      <c r="C11879" s="1" t="n">
        <v>45810</v>
      </c>
      <c r="D11879" t="inlineStr">
        <is>
          <t>VÄRMLANDS LÄN</t>
        </is>
      </c>
      <c r="E11879" t="inlineStr">
        <is>
          <t>KARLSTAD</t>
        </is>
      </c>
      <c r="G11879" t="n">
        <v>3.9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47901-2023</t>
        </is>
      </c>
      <c r="B11880" s="1" t="n">
        <v>45204</v>
      </c>
      <c r="C11880" s="1" t="n">
        <v>45810</v>
      </c>
      <c r="D11880" t="inlineStr">
        <is>
          <t>VÄRMLANDS LÄN</t>
        </is>
      </c>
      <c r="E11880" t="inlineStr">
        <is>
          <t>SÄFFLE</t>
        </is>
      </c>
      <c r="G11880" t="n">
        <v>1.5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47944-2023</t>
        </is>
      </c>
      <c r="B11881" s="1" t="n">
        <v>45204</v>
      </c>
      <c r="C11881" s="1" t="n">
        <v>45810</v>
      </c>
      <c r="D11881" t="inlineStr">
        <is>
          <t>VÄRMLANDS LÄN</t>
        </is>
      </c>
      <c r="E11881" t="inlineStr">
        <is>
          <t>HAGFORS</t>
        </is>
      </c>
      <c r="F11881" t="inlineStr">
        <is>
          <t>Bergvik skog väst AB</t>
        </is>
      </c>
      <c r="G11881" t="n">
        <v>2.3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47894-2023</t>
        </is>
      </c>
      <c r="B11882" s="1" t="n">
        <v>45204</v>
      </c>
      <c r="C11882" s="1" t="n">
        <v>45810</v>
      </c>
      <c r="D11882" t="inlineStr">
        <is>
          <t>VÄRMLANDS LÄN</t>
        </is>
      </c>
      <c r="E11882" t="inlineStr">
        <is>
          <t>STORFORS</t>
        </is>
      </c>
      <c r="F11882" t="inlineStr">
        <is>
          <t>Bergvik skog väst AB</t>
        </is>
      </c>
      <c r="G11882" t="n">
        <v>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48018-2023</t>
        </is>
      </c>
      <c r="B11883" s="1" t="n">
        <v>45204</v>
      </c>
      <c r="C11883" s="1" t="n">
        <v>45810</v>
      </c>
      <c r="D11883" t="inlineStr">
        <is>
          <t>VÄRMLANDS LÄN</t>
        </is>
      </c>
      <c r="E11883" t="inlineStr">
        <is>
          <t>HAGFORS</t>
        </is>
      </c>
      <c r="F11883" t="inlineStr">
        <is>
          <t>Bergvik skog väst AB</t>
        </is>
      </c>
      <c r="G11883" t="n">
        <v>4.2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47961-2023</t>
        </is>
      </c>
      <c r="B11884" s="1" t="n">
        <v>45204</v>
      </c>
      <c r="C11884" s="1" t="n">
        <v>45810</v>
      </c>
      <c r="D11884" t="inlineStr">
        <is>
          <t>VÄRMLANDS LÄN</t>
        </is>
      </c>
      <c r="E11884" t="inlineStr">
        <is>
          <t>SUNNE</t>
        </is>
      </c>
      <c r="G11884" t="n">
        <v>6.7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47929-2023</t>
        </is>
      </c>
      <c r="B11885" s="1" t="n">
        <v>45204</v>
      </c>
      <c r="C11885" s="1" t="n">
        <v>45810</v>
      </c>
      <c r="D11885" t="inlineStr">
        <is>
          <t>VÄRMLANDS LÄN</t>
        </is>
      </c>
      <c r="E11885" t="inlineStr">
        <is>
          <t>KARLSTAD</t>
        </is>
      </c>
      <c r="F11885" t="inlineStr">
        <is>
          <t>Kommuner</t>
        </is>
      </c>
      <c r="G11885" t="n">
        <v>0.6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48028-2023</t>
        </is>
      </c>
      <c r="B11886" s="1" t="n">
        <v>45204</v>
      </c>
      <c r="C11886" s="1" t="n">
        <v>45810</v>
      </c>
      <c r="D11886" t="inlineStr">
        <is>
          <t>VÄRMLANDS LÄN</t>
        </is>
      </c>
      <c r="E11886" t="inlineStr">
        <is>
          <t>SUNNE</t>
        </is>
      </c>
      <c r="G11886" t="n">
        <v>9.199999999999999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48021-2023</t>
        </is>
      </c>
      <c r="B11887" s="1" t="n">
        <v>45204</v>
      </c>
      <c r="C11887" s="1" t="n">
        <v>45810</v>
      </c>
      <c r="D11887" t="inlineStr">
        <is>
          <t>VÄRMLANDS LÄN</t>
        </is>
      </c>
      <c r="E11887" t="inlineStr">
        <is>
          <t>SUNNE</t>
        </is>
      </c>
      <c r="G11887" t="n">
        <v>1.5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48053-2023</t>
        </is>
      </c>
      <c r="B11888" s="1" t="n">
        <v>45204</v>
      </c>
      <c r="C11888" s="1" t="n">
        <v>45810</v>
      </c>
      <c r="D11888" t="inlineStr">
        <is>
          <t>VÄRMLANDS LÄN</t>
        </is>
      </c>
      <c r="E11888" t="inlineStr">
        <is>
          <t>SUNNE</t>
        </is>
      </c>
      <c r="G11888" t="n">
        <v>8.9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48054-2023</t>
        </is>
      </c>
      <c r="B11889" s="1" t="n">
        <v>45204</v>
      </c>
      <c r="C11889" s="1" t="n">
        <v>45810</v>
      </c>
      <c r="D11889" t="inlineStr">
        <is>
          <t>VÄRMLANDS LÄN</t>
        </is>
      </c>
      <c r="E11889" t="inlineStr">
        <is>
          <t>SUNNE</t>
        </is>
      </c>
      <c r="G11889" t="n">
        <v>3.7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47796-2023</t>
        </is>
      </c>
      <c r="B11890" s="1" t="n">
        <v>45204</v>
      </c>
      <c r="C11890" s="1" t="n">
        <v>45810</v>
      </c>
      <c r="D11890" t="inlineStr">
        <is>
          <t>VÄRMLANDS LÄN</t>
        </is>
      </c>
      <c r="E11890" t="inlineStr">
        <is>
          <t>EDA</t>
        </is>
      </c>
      <c r="G11890" t="n">
        <v>0.6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47857-2023</t>
        </is>
      </c>
      <c r="B11891" s="1" t="n">
        <v>45204</v>
      </c>
      <c r="C11891" s="1" t="n">
        <v>45810</v>
      </c>
      <c r="D11891" t="inlineStr">
        <is>
          <t>VÄRMLANDS LÄN</t>
        </is>
      </c>
      <c r="E11891" t="inlineStr">
        <is>
          <t>ARVIKA</t>
        </is>
      </c>
      <c r="G11891" t="n">
        <v>1.1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48040-2023</t>
        </is>
      </c>
      <c r="B11892" s="1" t="n">
        <v>45204</v>
      </c>
      <c r="C11892" s="1" t="n">
        <v>45810</v>
      </c>
      <c r="D11892" t="inlineStr">
        <is>
          <t>VÄRMLANDS LÄN</t>
        </is>
      </c>
      <c r="E11892" t="inlineStr">
        <is>
          <t>FILIPSTAD</t>
        </is>
      </c>
      <c r="G11892" t="n">
        <v>4.2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48052-2023</t>
        </is>
      </c>
      <c r="B11893" s="1" t="n">
        <v>45204</v>
      </c>
      <c r="C11893" s="1" t="n">
        <v>45810</v>
      </c>
      <c r="D11893" t="inlineStr">
        <is>
          <t>VÄRMLANDS LÄN</t>
        </is>
      </c>
      <c r="E11893" t="inlineStr">
        <is>
          <t>SUNNE</t>
        </is>
      </c>
      <c r="G11893" t="n">
        <v>11.9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48878-2023</t>
        </is>
      </c>
      <c r="B11894" s="1" t="n">
        <v>45204</v>
      </c>
      <c r="C11894" s="1" t="n">
        <v>45810</v>
      </c>
      <c r="D11894" t="inlineStr">
        <is>
          <t>VÄRMLANDS LÄN</t>
        </is>
      </c>
      <c r="E11894" t="inlineStr">
        <is>
          <t>SÄFFLE</t>
        </is>
      </c>
      <c r="G11894" t="n">
        <v>0.9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48106-2023</t>
        </is>
      </c>
      <c r="B11895" s="1" t="n">
        <v>45205</v>
      </c>
      <c r="C11895" s="1" t="n">
        <v>45810</v>
      </c>
      <c r="D11895" t="inlineStr">
        <is>
          <t>VÄRMLANDS LÄN</t>
        </is>
      </c>
      <c r="E11895" t="inlineStr">
        <is>
          <t>TORSBY</t>
        </is>
      </c>
      <c r="G11895" t="n">
        <v>3.9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48108-2023</t>
        </is>
      </c>
      <c r="B11896" s="1" t="n">
        <v>45205</v>
      </c>
      <c r="C11896" s="1" t="n">
        <v>45810</v>
      </c>
      <c r="D11896" t="inlineStr">
        <is>
          <t>VÄRMLANDS LÄN</t>
        </is>
      </c>
      <c r="E11896" t="inlineStr">
        <is>
          <t>SUNNE</t>
        </is>
      </c>
      <c r="G11896" t="n">
        <v>0.8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48145-2023</t>
        </is>
      </c>
      <c r="B11897" s="1" t="n">
        <v>45205</v>
      </c>
      <c r="C11897" s="1" t="n">
        <v>45810</v>
      </c>
      <c r="D11897" t="inlineStr">
        <is>
          <t>VÄRMLANDS LÄN</t>
        </is>
      </c>
      <c r="E11897" t="inlineStr">
        <is>
          <t>TORSBY</t>
        </is>
      </c>
      <c r="G11897" t="n">
        <v>1.3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48178-2023</t>
        </is>
      </c>
      <c r="B11898" s="1" t="n">
        <v>45205</v>
      </c>
      <c r="C11898" s="1" t="n">
        <v>45810</v>
      </c>
      <c r="D11898" t="inlineStr">
        <is>
          <t>VÄRMLANDS LÄN</t>
        </is>
      </c>
      <c r="E11898" t="inlineStr">
        <is>
          <t>SUNNE</t>
        </is>
      </c>
      <c r="G11898" t="n">
        <v>1.3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48141-2023</t>
        </is>
      </c>
      <c r="B11899" s="1" t="n">
        <v>45205</v>
      </c>
      <c r="C11899" s="1" t="n">
        <v>45810</v>
      </c>
      <c r="D11899" t="inlineStr">
        <is>
          <t>VÄRMLANDS LÄN</t>
        </is>
      </c>
      <c r="E11899" t="inlineStr">
        <is>
          <t>HAGFORS</t>
        </is>
      </c>
      <c r="F11899" t="inlineStr">
        <is>
          <t>Bergvik skog väst AB</t>
        </is>
      </c>
      <c r="G11899" t="n">
        <v>2.2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48236-2023</t>
        </is>
      </c>
      <c r="B11900" s="1" t="n">
        <v>45205</v>
      </c>
      <c r="C11900" s="1" t="n">
        <v>45810</v>
      </c>
      <c r="D11900" t="inlineStr">
        <is>
          <t>VÄRMLANDS LÄN</t>
        </is>
      </c>
      <c r="E11900" t="inlineStr">
        <is>
          <t>TORSBY</t>
        </is>
      </c>
      <c r="G11900" t="n">
        <v>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48155-2023</t>
        </is>
      </c>
      <c r="B11901" s="1" t="n">
        <v>45205</v>
      </c>
      <c r="C11901" s="1" t="n">
        <v>45810</v>
      </c>
      <c r="D11901" t="inlineStr">
        <is>
          <t>VÄRMLANDS LÄN</t>
        </is>
      </c>
      <c r="E11901" t="inlineStr">
        <is>
          <t>TORSBY</t>
        </is>
      </c>
      <c r="F11901" t="inlineStr">
        <is>
          <t>Kyrkan</t>
        </is>
      </c>
      <c r="G11901" t="n">
        <v>1.8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48170-2023</t>
        </is>
      </c>
      <c r="B11902" s="1" t="n">
        <v>45205</v>
      </c>
      <c r="C11902" s="1" t="n">
        <v>45810</v>
      </c>
      <c r="D11902" t="inlineStr">
        <is>
          <t>VÄRMLANDS LÄN</t>
        </is>
      </c>
      <c r="E11902" t="inlineStr">
        <is>
          <t>TORSBY</t>
        </is>
      </c>
      <c r="G11902" t="n">
        <v>1.6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48184-2023</t>
        </is>
      </c>
      <c r="B11903" s="1" t="n">
        <v>45205</v>
      </c>
      <c r="C11903" s="1" t="n">
        <v>45810</v>
      </c>
      <c r="D11903" t="inlineStr">
        <is>
          <t>VÄRMLANDS LÄN</t>
        </is>
      </c>
      <c r="E11903" t="inlineStr">
        <is>
          <t>SÄFFLE</t>
        </is>
      </c>
      <c r="G11903" t="n">
        <v>1.1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48324-2023</t>
        </is>
      </c>
      <c r="B11904" s="1" t="n">
        <v>45205</v>
      </c>
      <c r="C11904" s="1" t="n">
        <v>45810</v>
      </c>
      <c r="D11904" t="inlineStr">
        <is>
          <t>VÄRMLANDS LÄN</t>
        </is>
      </c>
      <c r="E11904" t="inlineStr">
        <is>
          <t>TORSBY</t>
        </is>
      </c>
      <c r="F11904" t="inlineStr">
        <is>
          <t>Bergvik skog väst AB</t>
        </is>
      </c>
      <c r="G11904" t="n">
        <v>6.8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48381-2023</t>
        </is>
      </c>
      <c r="B11905" s="1" t="n">
        <v>45205</v>
      </c>
      <c r="C11905" s="1" t="n">
        <v>45810</v>
      </c>
      <c r="D11905" t="inlineStr">
        <is>
          <t>VÄRMLANDS LÄN</t>
        </is>
      </c>
      <c r="E11905" t="inlineStr">
        <is>
          <t>TORSBY</t>
        </is>
      </c>
      <c r="G11905" t="n">
        <v>1.9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48294-2023</t>
        </is>
      </c>
      <c r="B11906" s="1" t="n">
        <v>45205</v>
      </c>
      <c r="C11906" s="1" t="n">
        <v>45810</v>
      </c>
      <c r="D11906" t="inlineStr">
        <is>
          <t>VÄRMLANDS LÄN</t>
        </is>
      </c>
      <c r="E11906" t="inlineStr">
        <is>
          <t>ARVIKA</t>
        </is>
      </c>
      <c r="F11906" t="inlineStr">
        <is>
          <t>Bergvik skog väst AB</t>
        </is>
      </c>
      <c r="G11906" t="n">
        <v>10.1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48384-2023</t>
        </is>
      </c>
      <c r="B11907" s="1" t="n">
        <v>45205</v>
      </c>
      <c r="C11907" s="1" t="n">
        <v>45810</v>
      </c>
      <c r="D11907" t="inlineStr">
        <is>
          <t>VÄRMLANDS LÄN</t>
        </is>
      </c>
      <c r="E11907" t="inlineStr">
        <is>
          <t>TORSBY</t>
        </is>
      </c>
      <c r="G11907" t="n">
        <v>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48383-2023</t>
        </is>
      </c>
      <c r="B11908" s="1" t="n">
        <v>45205</v>
      </c>
      <c r="C11908" s="1" t="n">
        <v>45810</v>
      </c>
      <c r="D11908" t="inlineStr">
        <is>
          <t>VÄRMLANDS LÄN</t>
        </is>
      </c>
      <c r="E11908" t="inlineStr">
        <is>
          <t>TORSBY</t>
        </is>
      </c>
      <c r="G11908" t="n">
        <v>4.1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48453-2023</t>
        </is>
      </c>
      <c r="B11909" s="1" t="n">
        <v>45206</v>
      </c>
      <c r="C11909" s="1" t="n">
        <v>45810</v>
      </c>
      <c r="D11909" t="inlineStr">
        <is>
          <t>VÄRMLANDS LÄN</t>
        </is>
      </c>
      <c r="E11909" t="inlineStr">
        <is>
          <t>ÅRJÄNG</t>
        </is>
      </c>
      <c r="G11909" t="n">
        <v>3.5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48457-2023</t>
        </is>
      </c>
      <c r="B11910" s="1" t="n">
        <v>45206</v>
      </c>
      <c r="C11910" s="1" t="n">
        <v>45810</v>
      </c>
      <c r="D11910" t="inlineStr">
        <is>
          <t>VÄRMLANDS LÄN</t>
        </is>
      </c>
      <c r="E11910" t="inlineStr">
        <is>
          <t>ARVIKA</t>
        </is>
      </c>
      <c r="G11910" t="n">
        <v>1.7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48444-2023</t>
        </is>
      </c>
      <c r="B11911" s="1" t="n">
        <v>45206</v>
      </c>
      <c r="C11911" s="1" t="n">
        <v>45810</v>
      </c>
      <c r="D11911" t="inlineStr">
        <is>
          <t>VÄRMLANDS LÄN</t>
        </is>
      </c>
      <c r="E11911" t="inlineStr">
        <is>
          <t>ÅRJÄNG</t>
        </is>
      </c>
      <c r="G11911" t="n">
        <v>0.9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48456-2023</t>
        </is>
      </c>
      <c r="B11912" s="1" t="n">
        <v>45206</v>
      </c>
      <c r="C11912" s="1" t="n">
        <v>45810</v>
      </c>
      <c r="D11912" t="inlineStr">
        <is>
          <t>VÄRMLANDS LÄN</t>
        </is>
      </c>
      <c r="E11912" t="inlineStr">
        <is>
          <t>TORSBY</t>
        </is>
      </c>
      <c r="G11912" t="n">
        <v>1.4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48455-2023</t>
        </is>
      </c>
      <c r="B11913" s="1" t="n">
        <v>45206</v>
      </c>
      <c r="C11913" s="1" t="n">
        <v>45810</v>
      </c>
      <c r="D11913" t="inlineStr">
        <is>
          <t>VÄRMLANDS LÄN</t>
        </is>
      </c>
      <c r="E11913" t="inlineStr">
        <is>
          <t>EDA</t>
        </is>
      </c>
      <c r="G11913" t="n">
        <v>0.6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48442-2023</t>
        </is>
      </c>
      <c r="B11914" s="1" t="n">
        <v>45206</v>
      </c>
      <c r="C11914" s="1" t="n">
        <v>45810</v>
      </c>
      <c r="D11914" t="inlineStr">
        <is>
          <t>VÄRMLANDS LÄN</t>
        </is>
      </c>
      <c r="E11914" t="inlineStr">
        <is>
          <t>ÅRJÄNG</t>
        </is>
      </c>
      <c r="G11914" t="n">
        <v>10.4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48462-2023</t>
        </is>
      </c>
      <c r="B11915" s="1" t="n">
        <v>45206</v>
      </c>
      <c r="C11915" s="1" t="n">
        <v>45810</v>
      </c>
      <c r="D11915" t="inlineStr">
        <is>
          <t>VÄRMLANDS LÄN</t>
        </is>
      </c>
      <c r="E11915" t="inlineStr">
        <is>
          <t>ARVIKA</t>
        </is>
      </c>
      <c r="G11915" t="n">
        <v>0.7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49599-2023</t>
        </is>
      </c>
      <c r="B11916" s="1" t="n">
        <v>45207</v>
      </c>
      <c r="C11916" s="1" t="n">
        <v>45810</v>
      </c>
      <c r="D11916" t="inlineStr">
        <is>
          <t>VÄRMLANDS LÄN</t>
        </is>
      </c>
      <c r="E11916" t="inlineStr">
        <is>
          <t>ARVIKA</t>
        </is>
      </c>
      <c r="G11916" t="n">
        <v>0.7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49602-2023</t>
        </is>
      </c>
      <c r="B11917" s="1" t="n">
        <v>45207</v>
      </c>
      <c r="C11917" s="1" t="n">
        <v>45810</v>
      </c>
      <c r="D11917" t="inlineStr">
        <is>
          <t>VÄRMLANDS LÄN</t>
        </is>
      </c>
      <c r="E11917" t="inlineStr">
        <is>
          <t>ARVIKA</t>
        </is>
      </c>
      <c r="G11917" t="n">
        <v>0.9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49603-2023</t>
        </is>
      </c>
      <c r="B11918" s="1" t="n">
        <v>45207</v>
      </c>
      <c r="C11918" s="1" t="n">
        <v>45810</v>
      </c>
      <c r="D11918" t="inlineStr">
        <is>
          <t>VÄRMLANDS LÄN</t>
        </is>
      </c>
      <c r="E11918" t="inlineStr">
        <is>
          <t>ARVIKA</t>
        </is>
      </c>
      <c r="G11918" t="n">
        <v>1.1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48510-2023</t>
        </is>
      </c>
      <c r="B11919" s="1" t="n">
        <v>45207</v>
      </c>
      <c r="C11919" s="1" t="n">
        <v>45810</v>
      </c>
      <c r="D11919" t="inlineStr">
        <is>
          <t>VÄRMLANDS LÄN</t>
        </is>
      </c>
      <c r="E11919" t="inlineStr">
        <is>
          <t>ARVIKA</t>
        </is>
      </c>
      <c r="G11919" t="n">
        <v>0.3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49604-2023</t>
        </is>
      </c>
      <c r="B11920" s="1" t="n">
        <v>45207</v>
      </c>
      <c r="C11920" s="1" t="n">
        <v>45810</v>
      </c>
      <c r="D11920" t="inlineStr">
        <is>
          <t>VÄRMLANDS LÄN</t>
        </is>
      </c>
      <c r="E11920" t="inlineStr">
        <is>
          <t>KIL</t>
        </is>
      </c>
      <c r="G11920" t="n">
        <v>0.8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48593-2023</t>
        </is>
      </c>
      <c r="B11921" s="1" t="n">
        <v>45208</v>
      </c>
      <c r="C11921" s="1" t="n">
        <v>45810</v>
      </c>
      <c r="D11921" t="inlineStr">
        <is>
          <t>VÄRMLANDS LÄN</t>
        </is>
      </c>
      <c r="E11921" t="inlineStr">
        <is>
          <t>KRISTINEHAMN</t>
        </is>
      </c>
      <c r="F11921" t="inlineStr">
        <is>
          <t>Naturvårdsverket</t>
        </is>
      </c>
      <c r="G11921" t="n">
        <v>1.6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48551-2023</t>
        </is>
      </c>
      <c r="B11922" s="1" t="n">
        <v>45208</v>
      </c>
      <c r="C11922" s="1" t="n">
        <v>45810</v>
      </c>
      <c r="D11922" t="inlineStr">
        <is>
          <t>VÄRMLANDS LÄN</t>
        </is>
      </c>
      <c r="E11922" t="inlineStr">
        <is>
          <t>GRUMS</t>
        </is>
      </c>
      <c r="G11922" t="n">
        <v>0.7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48561-2023</t>
        </is>
      </c>
      <c r="B11923" s="1" t="n">
        <v>45208</v>
      </c>
      <c r="C11923" s="1" t="n">
        <v>45810</v>
      </c>
      <c r="D11923" t="inlineStr">
        <is>
          <t>VÄRMLANDS LÄN</t>
        </is>
      </c>
      <c r="E11923" t="inlineStr">
        <is>
          <t>ÅRJÄNG</t>
        </is>
      </c>
      <c r="G11923" t="n">
        <v>1.2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48625-2023</t>
        </is>
      </c>
      <c r="B11924" s="1" t="n">
        <v>45208</v>
      </c>
      <c r="C11924" s="1" t="n">
        <v>45810</v>
      </c>
      <c r="D11924" t="inlineStr">
        <is>
          <t>VÄRMLANDS LÄN</t>
        </is>
      </c>
      <c r="E11924" t="inlineStr">
        <is>
          <t>TORSBY</t>
        </is>
      </c>
      <c r="F11924" t="inlineStr">
        <is>
          <t>Bergvik skog väst AB</t>
        </is>
      </c>
      <c r="G11924" t="n">
        <v>3.3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48616-2023</t>
        </is>
      </c>
      <c r="B11925" s="1" t="n">
        <v>45208</v>
      </c>
      <c r="C11925" s="1" t="n">
        <v>45810</v>
      </c>
      <c r="D11925" t="inlineStr">
        <is>
          <t>VÄRMLANDS LÄN</t>
        </is>
      </c>
      <c r="E11925" t="inlineStr">
        <is>
          <t>KARLSTAD</t>
        </is>
      </c>
      <c r="G11925" t="n">
        <v>3.1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48643-2023</t>
        </is>
      </c>
      <c r="B11926" s="1" t="n">
        <v>45208</v>
      </c>
      <c r="C11926" s="1" t="n">
        <v>45810</v>
      </c>
      <c r="D11926" t="inlineStr">
        <is>
          <t>VÄRMLANDS LÄN</t>
        </is>
      </c>
      <c r="E11926" t="inlineStr">
        <is>
          <t>KRISTINEHAMN</t>
        </is>
      </c>
      <c r="F11926" t="inlineStr">
        <is>
          <t>Naturvårdsverket</t>
        </is>
      </c>
      <c r="G11926" t="n">
        <v>5.5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48660-2023</t>
        </is>
      </c>
      <c r="B11927" s="1" t="n">
        <v>45208</v>
      </c>
      <c r="C11927" s="1" t="n">
        <v>45810</v>
      </c>
      <c r="D11927" t="inlineStr">
        <is>
          <t>VÄRMLANDS LÄN</t>
        </is>
      </c>
      <c r="E11927" t="inlineStr">
        <is>
          <t>HAGFORS</t>
        </is>
      </c>
      <c r="F11927" t="inlineStr">
        <is>
          <t>Bergvik skog väst AB</t>
        </is>
      </c>
      <c r="G11927" t="n">
        <v>9.9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48692-2023</t>
        </is>
      </c>
      <c r="B11928" s="1" t="n">
        <v>45208</v>
      </c>
      <c r="C11928" s="1" t="n">
        <v>45810</v>
      </c>
      <c r="D11928" t="inlineStr">
        <is>
          <t>VÄRMLANDS LÄN</t>
        </is>
      </c>
      <c r="E11928" t="inlineStr">
        <is>
          <t>KRISTINEHAMN</t>
        </is>
      </c>
      <c r="F11928" t="inlineStr">
        <is>
          <t>Bergvik skog väst AB</t>
        </is>
      </c>
      <c r="G11928" t="n">
        <v>20.5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48635-2023</t>
        </is>
      </c>
      <c r="B11929" s="1" t="n">
        <v>45208</v>
      </c>
      <c r="C11929" s="1" t="n">
        <v>45810</v>
      </c>
      <c r="D11929" t="inlineStr">
        <is>
          <t>VÄRMLANDS LÄN</t>
        </is>
      </c>
      <c r="E11929" t="inlineStr">
        <is>
          <t>HAGFORS</t>
        </is>
      </c>
      <c r="F11929" t="inlineStr">
        <is>
          <t>Bergvik skog väst AB</t>
        </is>
      </c>
      <c r="G11929" t="n">
        <v>10.7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48727-2023</t>
        </is>
      </c>
      <c r="B11930" s="1" t="n">
        <v>45208</v>
      </c>
      <c r="C11930" s="1" t="n">
        <v>45810</v>
      </c>
      <c r="D11930" t="inlineStr">
        <is>
          <t>VÄRMLANDS LÄN</t>
        </is>
      </c>
      <c r="E11930" t="inlineStr">
        <is>
          <t>TORSBY</t>
        </is>
      </c>
      <c r="G11930" t="n">
        <v>2.9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48710-2023</t>
        </is>
      </c>
      <c r="B11931" s="1" t="n">
        <v>45208</v>
      </c>
      <c r="C11931" s="1" t="n">
        <v>45810</v>
      </c>
      <c r="D11931" t="inlineStr">
        <is>
          <t>VÄRMLANDS LÄN</t>
        </is>
      </c>
      <c r="E11931" t="inlineStr">
        <is>
          <t>ARVIKA</t>
        </is>
      </c>
      <c r="G11931" t="n">
        <v>1.9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48713-2023</t>
        </is>
      </c>
      <c r="B11932" s="1" t="n">
        <v>45208</v>
      </c>
      <c r="C11932" s="1" t="n">
        <v>45810</v>
      </c>
      <c r="D11932" t="inlineStr">
        <is>
          <t>VÄRMLANDS LÄN</t>
        </is>
      </c>
      <c r="E11932" t="inlineStr">
        <is>
          <t>ARVIKA</t>
        </is>
      </c>
      <c r="G11932" t="n">
        <v>0.7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48753-2023</t>
        </is>
      </c>
      <c r="B11933" s="1" t="n">
        <v>45208</v>
      </c>
      <c r="C11933" s="1" t="n">
        <v>45810</v>
      </c>
      <c r="D11933" t="inlineStr">
        <is>
          <t>VÄRMLANDS LÄN</t>
        </is>
      </c>
      <c r="E11933" t="inlineStr">
        <is>
          <t>TORSBY</t>
        </is>
      </c>
      <c r="G11933" t="n">
        <v>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48762-2023</t>
        </is>
      </c>
      <c r="B11934" s="1" t="n">
        <v>45208</v>
      </c>
      <c r="C11934" s="1" t="n">
        <v>45810</v>
      </c>
      <c r="D11934" t="inlineStr">
        <is>
          <t>VÄRMLANDS LÄN</t>
        </is>
      </c>
      <c r="E11934" t="inlineStr">
        <is>
          <t>TORSBY</t>
        </is>
      </c>
      <c r="G11934" t="n">
        <v>4.2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48524-2023</t>
        </is>
      </c>
      <c r="B11935" s="1" t="n">
        <v>45208</v>
      </c>
      <c r="C11935" s="1" t="n">
        <v>45810</v>
      </c>
      <c r="D11935" t="inlineStr">
        <is>
          <t>VÄRMLANDS LÄN</t>
        </is>
      </c>
      <c r="E11935" t="inlineStr">
        <is>
          <t>FILIPSTAD</t>
        </is>
      </c>
      <c r="G11935" t="n">
        <v>2.1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48553-2023</t>
        </is>
      </c>
      <c r="B11936" s="1" t="n">
        <v>45208</v>
      </c>
      <c r="C11936" s="1" t="n">
        <v>45810</v>
      </c>
      <c r="D11936" t="inlineStr">
        <is>
          <t>VÄRMLANDS LÄN</t>
        </is>
      </c>
      <c r="E11936" t="inlineStr">
        <is>
          <t>GRUMS</t>
        </is>
      </c>
      <c r="G11936" t="n">
        <v>1.7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48711-2023</t>
        </is>
      </c>
      <c r="B11937" s="1" t="n">
        <v>45208</v>
      </c>
      <c r="C11937" s="1" t="n">
        <v>45810</v>
      </c>
      <c r="D11937" t="inlineStr">
        <is>
          <t>VÄRMLANDS LÄN</t>
        </is>
      </c>
      <c r="E11937" t="inlineStr">
        <is>
          <t>ARVIKA</t>
        </is>
      </c>
      <c r="G11937" t="n">
        <v>1.9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49717-2023</t>
        </is>
      </c>
      <c r="B11938" s="1" t="n">
        <v>45208</v>
      </c>
      <c r="C11938" s="1" t="n">
        <v>45810</v>
      </c>
      <c r="D11938" t="inlineStr">
        <is>
          <t>VÄRMLANDS LÄN</t>
        </is>
      </c>
      <c r="E11938" t="inlineStr">
        <is>
          <t>TORSBY</t>
        </is>
      </c>
      <c r="G11938" t="n">
        <v>5.9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50083-2023</t>
        </is>
      </c>
      <c r="B11939" s="1" t="n">
        <v>45208</v>
      </c>
      <c r="C11939" s="1" t="n">
        <v>45810</v>
      </c>
      <c r="D11939" t="inlineStr">
        <is>
          <t>VÄRMLANDS LÄN</t>
        </is>
      </c>
      <c r="E11939" t="inlineStr">
        <is>
          <t>SÄFFLE</t>
        </is>
      </c>
      <c r="G11939" t="n">
        <v>5.4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50103-2023</t>
        </is>
      </c>
      <c r="B11940" s="1" t="n">
        <v>45208</v>
      </c>
      <c r="C11940" s="1" t="n">
        <v>45810</v>
      </c>
      <c r="D11940" t="inlineStr">
        <is>
          <t>VÄRMLANDS LÄN</t>
        </is>
      </c>
      <c r="E11940" t="inlineStr">
        <is>
          <t>KRISTINEHAMN</t>
        </is>
      </c>
      <c r="G11940" t="n">
        <v>3.5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50076-2023</t>
        </is>
      </c>
      <c r="B11941" s="1" t="n">
        <v>45208</v>
      </c>
      <c r="C11941" s="1" t="n">
        <v>45810</v>
      </c>
      <c r="D11941" t="inlineStr">
        <is>
          <t>VÄRMLANDS LÄN</t>
        </is>
      </c>
      <c r="E11941" t="inlineStr">
        <is>
          <t>SÄFFLE</t>
        </is>
      </c>
      <c r="G11941" t="n">
        <v>3.3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50166-2023</t>
        </is>
      </c>
      <c r="B11942" s="1" t="n">
        <v>45208</v>
      </c>
      <c r="C11942" s="1" t="n">
        <v>45810</v>
      </c>
      <c r="D11942" t="inlineStr">
        <is>
          <t>VÄRMLANDS LÄN</t>
        </is>
      </c>
      <c r="E11942" t="inlineStr">
        <is>
          <t>TORSBY</t>
        </is>
      </c>
      <c r="G11942" t="n">
        <v>2.7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50149-2023</t>
        </is>
      </c>
      <c r="B11943" s="1" t="n">
        <v>45208</v>
      </c>
      <c r="C11943" s="1" t="n">
        <v>45810</v>
      </c>
      <c r="D11943" t="inlineStr">
        <is>
          <t>VÄRMLANDS LÄN</t>
        </is>
      </c>
      <c r="E11943" t="inlineStr">
        <is>
          <t>TORSBY</t>
        </is>
      </c>
      <c r="G11943" t="n">
        <v>4.2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48812-2023</t>
        </is>
      </c>
      <c r="B11944" s="1" t="n">
        <v>45209</v>
      </c>
      <c r="C11944" s="1" t="n">
        <v>45810</v>
      </c>
      <c r="D11944" t="inlineStr">
        <is>
          <t>VÄRMLANDS LÄN</t>
        </is>
      </c>
      <c r="E11944" t="inlineStr">
        <is>
          <t>SUNNE</t>
        </is>
      </c>
      <c r="G11944" t="n">
        <v>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48805-2023</t>
        </is>
      </c>
      <c r="B11945" s="1" t="n">
        <v>45209</v>
      </c>
      <c r="C11945" s="1" t="n">
        <v>45810</v>
      </c>
      <c r="D11945" t="inlineStr">
        <is>
          <t>VÄRMLANDS LÄN</t>
        </is>
      </c>
      <c r="E11945" t="inlineStr">
        <is>
          <t>TORSBY</t>
        </is>
      </c>
      <c r="G11945" t="n">
        <v>2.8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48814-2023</t>
        </is>
      </c>
      <c r="B11946" s="1" t="n">
        <v>45209</v>
      </c>
      <c r="C11946" s="1" t="n">
        <v>45810</v>
      </c>
      <c r="D11946" t="inlineStr">
        <is>
          <t>VÄRMLANDS LÄN</t>
        </is>
      </c>
      <c r="E11946" t="inlineStr">
        <is>
          <t>SUNNE</t>
        </is>
      </c>
      <c r="G11946" t="n">
        <v>7.7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48820-2023</t>
        </is>
      </c>
      <c r="B11947" s="1" t="n">
        <v>45209</v>
      </c>
      <c r="C11947" s="1" t="n">
        <v>45810</v>
      </c>
      <c r="D11947" t="inlineStr">
        <is>
          <t>VÄRMLANDS LÄN</t>
        </is>
      </c>
      <c r="E11947" t="inlineStr">
        <is>
          <t>HAGFORS</t>
        </is>
      </c>
      <c r="F11947" t="inlineStr">
        <is>
          <t>Bergvik skog väst AB</t>
        </is>
      </c>
      <c r="G11947" t="n">
        <v>23.8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48842-2023</t>
        </is>
      </c>
      <c r="B11948" s="1" t="n">
        <v>45209</v>
      </c>
      <c r="C11948" s="1" t="n">
        <v>45810</v>
      </c>
      <c r="D11948" t="inlineStr">
        <is>
          <t>VÄRMLANDS LÄN</t>
        </is>
      </c>
      <c r="E11948" t="inlineStr">
        <is>
          <t>TORSBY</t>
        </is>
      </c>
      <c r="G11948" t="n">
        <v>2.6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48967-2023</t>
        </is>
      </c>
      <c r="B11949" s="1" t="n">
        <v>45209</v>
      </c>
      <c r="C11949" s="1" t="n">
        <v>45810</v>
      </c>
      <c r="D11949" t="inlineStr">
        <is>
          <t>VÄRMLANDS LÄN</t>
        </is>
      </c>
      <c r="E11949" t="inlineStr">
        <is>
          <t>MUNKFORS</t>
        </is>
      </c>
      <c r="F11949" t="inlineStr">
        <is>
          <t>Bergvik skog väst AB</t>
        </is>
      </c>
      <c r="G11949" t="n">
        <v>8.699999999999999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48929-2023</t>
        </is>
      </c>
      <c r="B11950" s="1" t="n">
        <v>45209</v>
      </c>
      <c r="C11950" s="1" t="n">
        <v>45810</v>
      </c>
      <c r="D11950" t="inlineStr">
        <is>
          <t>VÄRMLANDS LÄN</t>
        </is>
      </c>
      <c r="E11950" t="inlineStr">
        <is>
          <t>EDA</t>
        </is>
      </c>
      <c r="G11950" t="n">
        <v>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48975-2023</t>
        </is>
      </c>
      <c r="B11951" s="1" t="n">
        <v>45209</v>
      </c>
      <c r="C11951" s="1" t="n">
        <v>45810</v>
      </c>
      <c r="D11951" t="inlineStr">
        <is>
          <t>VÄRMLANDS LÄN</t>
        </is>
      </c>
      <c r="E11951" t="inlineStr">
        <is>
          <t>ARVIKA</t>
        </is>
      </c>
      <c r="G11951" t="n">
        <v>0.8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48928-2023</t>
        </is>
      </c>
      <c r="B11952" s="1" t="n">
        <v>45209</v>
      </c>
      <c r="C11952" s="1" t="n">
        <v>45810</v>
      </c>
      <c r="D11952" t="inlineStr">
        <is>
          <t>VÄRMLANDS LÄN</t>
        </is>
      </c>
      <c r="E11952" t="inlineStr">
        <is>
          <t>HAGFORS</t>
        </is>
      </c>
      <c r="G11952" t="n">
        <v>0.7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48963-2023</t>
        </is>
      </c>
      <c r="B11953" s="1" t="n">
        <v>45209</v>
      </c>
      <c r="C11953" s="1" t="n">
        <v>45810</v>
      </c>
      <c r="D11953" t="inlineStr">
        <is>
          <t>VÄRMLANDS LÄN</t>
        </is>
      </c>
      <c r="E11953" t="inlineStr">
        <is>
          <t>FILIPSTAD</t>
        </is>
      </c>
      <c r="F11953" t="inlineStr">
        <is>
          <t>Bergvik skog väst AB</t>
        </is>
      </c>
      <c r="G11953" t="n">
        <v>6.7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48981-2023</t>
        </is>
      </c>
      <c r="B11954" s="1" t="n">
        <v>45209</v>
      </c>
      <c r="C11954" s="1" t="n">
        <v>45810</v>
      </c>
      <c r="D11954" t="inlineStr">
        <is>
          <t>VÄRMLANDS LÄN</t>
        </is>
      </c>
      <c r="E11954" t="inlineStr">
        <is>
          <t>EDA</t>
        </is>
      </c>
      <c r="G11954" t="n">
        <v>3.9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49024-2023</t>
        </is>
      </c>
      <c r="B11955" s="1" t="n">
        <v>45209</v>
      </c>
      <c r="C11955" s="1" t="n">
        <v>45810</v>
      </c>
      <c r="D11955" t="inlineStr">
        <is>
          <t>VÄRMLANDS LÄN</t>
        </is>
      </c>
      <c r="E11955" t="inlineStr">
        <is>
          <t>KRISTINEHAMN</t>
        </is>
      </c>
      <c r="G11955" t="n">
        <v>6.8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49054-2023</t>
        </is>
      </c>
      <c r="B11956" s="1" t="n">
        <v>45210</v>
      </c>
      <c r="C11956" s="1" t="n">
        <v>45810</v>
      </c>
      <c r="D11956" t="inlineStr">
        <is>
          <t>VÄRMLANDS LÄN</t>
        </is>
      </c>
      <c r="E11956" t="inlineStr">
        <is>
          <t>ARVIKA</t>
        </is>
      </c>
      <c r="G11956" t="n">
        <v>1.1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49067-2023</t>
        </is>
      </c>
      <c r="B11957" s="1" t="n">
        <v>45210</v>
      </c>
      <c r="C11957" s="1" t="n">
        <v>45810</v>
      </c>
      <c r="D11957" t="inlineStr">
        <is>
          <t>VÄRMLANDS LÄN</t>
        </is>
      </c>
      <c r="E11957" t="inlineStr">
        <is>
          <t>KRISTINEHAMN</t>
        </is>
      </c>
      <c r="G11957" t="n">
        <v>1.3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49214-2023</t>
        </is>
      </c>
      <c r="B11958" s="1" t="n">
        <v>45210</v>
      </c>
      <c r="C11958" s="1" t="n">
        <v>45810</v>
      </c>
      <c r="D11958" t="inlineStr">
        <is>
          <t>VÄRMLANDS LÄN</t>
        </is>
      </c>
      <c r="E11958" t="inlineStr">
        <is>
          <t>SUNNE</t>
        </is>
      </c>
      <c r="F11958" t="inlineStr">
        <is>
          <t>Kommuner</t>
        </is>
      </c>
      <c r="G11958" t="n">
        <v>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49145-2023</t>
        </is>
      </c>
      <c r="B11959" s="1" t="n">
        <v>45210</v>
      </c>
      <c r="C11959" s="1" t="n">
        <v>45810</v>
      </c>
      <c r="D11959" t="inlineStr">
        <is>
          <t>VÄRMLANDS LÄN</t>
        </is>
      </c>
      <c r="E11959" t="inlineStr">
        <is>
          <t>KRISTINEHAMN</t>
        </is>
      </c>
      <c r="G11959" t="n">
        <v>0.8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49167-2023</t>
        </is>
      </c>
      <c r="B11960" s="1" t="n">
        <v>45210</v>
      </c>
      <c r="C11960" s="1" t="n">
        <v>45810</v>
      </c>
      <c r="D11960" t="inlineStr">
        <is>
          <t>VÄRMLANDS LÄN</t>
        </is>
      </c>
      <c r="E11960" t="inlineStr">
        <is>
          <t>FILIPSTAD</t>
        </is>
      </c>
      <c r="F11960" t="inlineStr">
        <is>
          <t>Bergvik skog väst AB</t>
        </is>
      </c>
      <c r="G11960" t="n">
        <v>27.4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49208-2023</t>
        </is>
      </c>
      <c r="B11961" s="1" t="n">
        <v>45210</v>
      </c>
      <c r="C11961" s="1" t="n">
        <v>45810</v>
      </c>
      <c r="D11961" t="inlineStr">
        <is>
          <t>VÄRMLANDS LÄN</t>
        </is>
      </c>
      <c r="E11961" t="inlineStr">
        <is>
          <t>FILIPSTAD</t>
        </is>
      </c>
      <c r="F11961" t="inlineStr">
        <is>
          <t>Bergvik skog väst AB</t>
        </is>
      </c>
      <c r="G11961" t="n">
        <v>10.4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49222-2023</t>
        </is>
      </c>
      <c r="B11962" s="1" t="n">
        <v>45210</v>
      </c>
      <c r="C11962" s="1" t="n">
        <v>45810</v>
      </c>
      <c r="D11962" t="inlineStr">
        <is>
          <t>VÄRMLANDS LÄN</t>
        </is>
      </c>
      <c r="E11962" t="inlineStr">
        <is>
          <t>EDA</t>
        </is>
      </c>
      <c r="G11962" t="n">
        <v>3.4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49293-2023</t>
        </is>
      </c>
      <c r="B11963" s="1" t="n">
        <v>45210</v>
      </c>
      <c r="C11963" s="1" t="n">
        <v>45810</v>
      </c>
      <c r="D11963" t="inlineStr">
        <is>
          <t>VÄRMLANDS LÄN</t>
        </is>
      </c>
      <c r="E11963" t="inlineStr">
        <is>
          <t>KRISTINEHAMN</t>
        </is>
      </c>
      <c r="G11963" t="n">
        <v>3.5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49097-2023</t>
        </is>
      </c>
      <c r="B11964" s="1" t="n">
        <v>45210</v>
      </c>
      <c r="C11964" s="1" t="n">
        <v>45810</v>
      </c>
      <c r="D11964" t="inlineStr">
        <is>
          <t>VÄRMLANDS LÄN</t>
        </is>
      </c>
      <c r="E11964" t="inlineStr">
        <is>
          <t>ARVIKA</t>
        </is>
      </c>
      <c r="G11964" t="n">
        <v>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49057-2023</t>
        </is>
      </c>
      <c r="B11965" s="1" t="n">
        <v>45210</v>
      </c>
      <c r="C11965" s="1" t="n">
        <v>45810</v>
      </c>
      <c r="D11965" t="inlineStr">
        <is>
          <t>VÄRMLANDS LÄN</t>
        </is>
      </c>
      <c r="E11965" t="inlineStr">
        <is>
          <t>SÄFFLE</t>
        </is>
      </c>
      <c r="G11965" t="n">
        <v>1.3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49164-2023</t>
        </is>
      </c>
      <c r="B11966" s="1" t="n">
        <v>45210</v>
      </c>
      <c r="C11966" s="1" t="n">
        <v>45810</v>
      </c>
      <c r="D11966" t="inlineStr">
        <is>
          <t>VÄRMLANDS LÄN</t>
        </is>
      </c>
      <c r="E11966" t="inlineStr">
        <is>
          <t>KARLSTAD</t>
        </is>
      </c>
      <c r="G11966" t="n">
        <v>4.4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49213-2023</t>
        </is>
      </c>
      <c r="B11967" s="1" t="n">
        <v>45210</v>
      </c>
      <c r="C11967" s="1" t="n">
        <v>45810</v>
      </c>
      <c r="D11967" t="inlineStr">
        <is>
          <t>VÄRMLANDS LÄN</t>
        </is>
      </c>
      <c r="E11967" t="inlineStr">
        <is>
          <t>SUNNE</t>
        </is>
      </c>
      <c r="F11967" t="inlineStr">
        <is>
          <t>Kommuner</t>
        </is>
      </c>
      <c r="G11967" t="n">
        <v>0.8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49217-2023</t>
        </is>
      </c>
      <c r="B11968" s="1" t="n">
        <v>45210</v>
      </c>
      <c r="C11968" s="1" t="n">
        <v>45810</v>
      </c>
      <c r="D11968" t="inlineStr">
        <is>
          <t>VÄRMLANDS LÄN</t>
        </is>
      </c>
      <c r="E11968" t="inlineStr">
        <is>
          <t>SUNNE</t>
        </is>
      </c>
      <c r="F11968" t="inlineStr">
        <is>
          <t>Kommuner</t>
        </is>
      </c>
      <c r="G11968" t="n">
        <v>1.4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49227-2023</t>
        </is>
      </c>
      <c r="B11969" s="1" t="n">
        <v>45210</v>
      </c>
      <c r="C11969" s="1" t="n">
        <v>45810</v>
      </c>
      <c r="D11969" t="inlineStr">
        <is>
          <t>VÄRMLANDS LÄN</t>
        </is>
      </c>
      <c r="E11969" t="inlineStr">
        <is>
          <t>EDA</t>
        </is>
      </c>
      <c r="G11969" t="n">
        <v>13.5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49245-2023</t>
        </is>
      </c>
      <c r="B11970" s="1" t="n">
        <v>45210</v>
      </c>
      <c r="C11970" s="1" t="n">
        <v>45810</v>
      </c>
      <c r="D11970" t="inlineStr">
        <is>
          <t>VÄRMLANDS LÄN</t>
        </is>
      </c>
      <c r="E11970" t="inlineStr">
        <is>
          <t>ARVIKA</t>
        </is>
      </c>
      <c r="G11970" t="n">
        <v>0.9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49250-2023</t>
        </is>
      </c>
      <c r="B11971" s="1" t="n">
        <v>45210</v>
      </c>
      <c r="C11971" s="1" t="n">
        <v>45810</v>
      </c>
      <c r="D11971" t="inlineStr">
        <is>
          <t>VÄRMLANDS LÄN</t>
        </is>
      </c>
      <c r="E11971" t="inlineStr">
        <is>
          <t>ARVIKA</t>
        </is>
      </c>
      <c r="G11971" t="n">
        <v>0.7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49149-2023</t>
        </is>
      </c>
      <c r="B11972" s="1" t="n">
        <v>45210</v>
      </c>
      <c r="C11972" s="1" t="n">
        <v>45810</v>
      </c>
      <c r="D11972" t="inlineStr">
        <is>
          <t>VÄRMLANDS LÄN</t>
        </is>
      </c>
      <c r="E11972" t="inlineStr">
        <is>
          <t>KRISTINEHAMN</t>
        </is>
      </c>
      <c r="G11972" t="n">
        <v>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49170-2023</t>
        </is>
      </c>
      <c r="B11973" s="1" t="n">
        <v>45210</v>
      </c>
      <c r="C11973" s="1" t="n">
        <v>45810</v>
      </c>
      <c r="D11973" t="inlineStr">
        <is>
          <t>VÄRMLANDS LÄN</t>
        </is>
      </c>
      <c r="E11973" t="inlineStr">
        <is>
          <t>TORSBY</t>
        </is>
      </c>
      <c r="G11973" t="n">
        <v>3.2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49179-2023</t>
        </is>
      </c>
      <c r="B11974" s="1" t="n">
        <v>45210</v>
      </c>
      <c r="C11974" s="1" t="n">
        <v>45810</v>
      </c>
      <c r="D11974" t="inlineStr">
        <is>
          <t>VÄRMLANDS LÄN</t>
        </is>
      </c>
      <c r="E11974" t="inlineStr">
        <is>
          <t>TORSBY</t>
        </is>
      </c>
      <c r="G11974" t="n">
        <v>0.8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49229-2023</t>
        </is>
      </c>
      <c r="B11975" s="1" t="n">
        <v>45210</v>
      </c>
      <c r="C11975" s="1" t="n">
        <v>45810</v>
      </c>
      <c r="D11975" t="inlineStr">
        <is>
          <t>VÄRMLANDS LÄN</t>
        </is>
      </c>
      <c r="E11975" t="inlineStr">
        <is>
          <t>EDA</t>
        </is>
      </c>
      <c r="G11975" t="n">
        <v>0.9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49294-2023</t>
        </is>
      </c>
      <c r="B11976" s="1" t="n">
        <v>45210</v>
      </c>
      <c r="C11976" s="1" t="n">
        <v>45810</v>
      </c>
      <c r="D11976" t="inlineStr">
        <is>
          <t>VÄRMLANDS LÄN</t>
        </is>
      </c>
      <c r="E11976" t="inlineStr">
        <is>
          <t>KRISTINEHAMN</t>
        </is>
      </c>
      <c r="G11976" t="n">
        <v>1.6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49295-2023</t>
        </is>
      </c>
      <c r="B11977" s="1" t="n">
        <v>45210</v>
      </c>
      <c r="C11977" s="1" t="n">
        <v>45810</v>
      </c>
      <c r="D11977" t="inlineStr">
        <is>
          <t>VÄRMLANDS LÄN</t>
        </is>
      </c>
      <c r="E11977" t="inlineStr">
        <is>
          <t>ARVIKA</t>
        </is>
      </c>
      <c r="G11977" t="n">
        <v>0.2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49337-2023</t>
        </is>
      </c>
      <c r="B11978" s="1" t="n">
        <v>45211</v>
      </c>
      <c r="C11978" s="1" t="n">
        <v>45810</v>
      </c>
      <c r="D11978" t="inlineStr">
        <is>
          <t>VÄRMLANDS LÄN</t>
        </is>
      </c>
      <c r="E11978" t="inlineStr">
        <is>
          <t>ARVIKA</t>
        </is>
      </c>
      <c r="G11978" t="n">
        <v>1.1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49296-2023</t>
        </is>
      </c>
      <c r="B11979" s="1" t="n">
        <v>45210</v>
      </c>
      <c r="C11979" s="1" t="n">
        <v>45810</v>
      </c>
      <c r="D11979" t="inlineStr">
        <is>
          <t>VÄRMLANDS LÄN</t>
        </is>
      </c>
      <c r="E11979" t="inlineStr">
        <is>
          <t>TORSBY</t>
        </is>
      </c>
      <c r="G11979" t="n">
        <v>6.7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49312-2023</t>
        </is>
      </c>
      <c r="B11980" s="1" t="n">
        <v>45210</v>
      </c>
      <c r="C11980" s="1" t="n">
        <v>45810</v>
      </c>
      <c r="D11980" t="inlineStr">
        <is>
          <t>VÄRMLANDS LÄN</t>
        </is>
      </c>
      <c r="E11980" t="inlineStr">
        <is>
          <t>ARVIKA</t>
        </is>
      </c>
      <c r="G11980" t="n">
        <v>1.3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50580-2023</t>
        </is>
      </c>
      <c r="B11981" s="1" t="n">
        <v>45210</v>
      </c>
      <c r="C11981" s="1" t="n">
        <v>45810</v>
      </c>
      <c r="D11981" t="inlineStr">
        <is>
          <t>VÄRMLANDS LÄN</t>
        </is>
      </c>
      <c r="E11981" t="inlineStr">
        <is>
          <t>ARVIKA</t>
        </is>
      </c>
      <c r="G11981" t="n">
        <v>2.7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50602-2023</t>
        </is>
      </c>
      <c r="B11982" s="1" t="n">
        <v>45210</v>
      </c>
      <c r="C11982" s="1" t="n">
        <v>45810</v>
      </c>
      <c r="D11982" t="inlineStr">
        <is>
          <t>VÄRMLANDS LÄN</t>
        </is>
      </c>
      <c r="E11982" t="inlineStr">
        <is>
          <t>ARVIKA</t>
        </is>
      </c>
      <c r="G11982" t="n">
        <v>2.1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50563-2023</t>
        </is>
      </c>
      <c r="B11983" s="1" t="n">
        <v>45210</v>
      </c>
      <c r="C11983" s="1" t="n">
        <v>45810</v>
      </c>
      <c r="D11983" t="inlineStr">
        <is>
          <t>VÄRMLANDS LÄN</t>
        </is>
      </c>
      <c r="E11983" t="inlineStr">
        <is>
          <t>ARVIKA</t>
        </is>
      </c>
      <c r="G11983" t="n">
        <v>1.8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50584-2023</t>
        </is>
      </c>
      <c r="B11984" s="1" t="n">
        <v>45210</v>
      </c>
      <c r="C11984" s="1" t="n">
        <v>45810</v>
      </c>
      <c r="D11984" t="inlineStr">
        <is>
          <t>VÄRMLANDS LÄN</t>
        </is>
      </c>
      <c r="E11984" t="inlineStr">
        <is>
          <t>ARVIKA</t>
        </is>
      </c>
      <c r="G11984" t="n">
        <v>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49520-2023</t>
        </is>
      </c>
      <c r="B11985" s="1" t="n">
        <v>45211</v>
      </c>
      <c r="C11985" s="1" t="n">
        <v>45810</v>
      </c>
      <c r="D11985" t="inlineStr">
        <is>
          <t>VÄRMLANDS LÄN</t>
        </is>
      </c>
      <c r="E11985" t="inlineStr">
        <is>
          <t>SÄFFLE</t>
        </is>
      </c>
      <c r="G11985" t="n">
        <v>2.3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49436-2023</t>
        </is>
      </c>
      <c r="B11986" s="1" t="n">
        <v>45211</v>
      </c>
      <c r="C11986" s="1" t="n">
        <v>45810</v>
      </c>
      <c r="D11986" t="inlineStr">
        <is>
          <t>VÄRMLANDS LÄN</t>
        </is>
      </c>
      <c r="E11986" t="inlineStr">
        <is>
          <t>FILIPSTAD</t>
        </is>
      </c>
      <c r="F11986" t="inlineStr">
        <is>
          <t>Bergvik skog väst AB</t>
        </is>
      </c>
      <c r="G11986" t="n">
        <v>15.7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49500-2023</t>
        </is>
      </c>
      <c r="B11987" s="1" t="n">
        <v>45211</v>
      </c>
      <c r="C11987" s="1" t="n">
        <v>45810</v>
      </c>
      <c r="D11987" t="inlineStr">
        <is>
          <t>VÄRMLANDS LÄN</t>
        </is>
      </c>
      <c r="E11987" t="inlineStr">
        <is>
          <t>MUNKFORS</t>
        </is>
      </c>
      <c r="G11987" t="n">
        <v>0.7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49528-2023</t>
        </is>
      </c>
      <c r="B11988" s="1" t="n">
        <v>45211</v>
      </c>
      <c r="C11988" s="1" t="n">
        <v>45810</v>
      </c>
      <c r="D11988" t="inlineStr">
        <is>
          <t>VÄRMLANDS LÄN</t>
        </is>
      </c>
      <c r="E11988" t="inlineStr">
        <is>
          <t>SÄFFLE</t>
        </is>
      </c>
      <c r="G11988" t="n">
        <v>1.4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49585-2023</t>
        </is>
      </c>
      <c r="B11989" s="1" t="n">
        <v>45211</v>
      </c>
      <c r="C11989" s="1" t="n">
        <v>45810</v>
      </c>
      <c r="D11989" t="inlineStr">
        <is>
          <t>VÄRMLANDS LÄN</t>
        </is>
      </c>
      <c r="E11989" t="inlineStr">
        <is>
          <t>HAGFORS</t>
        </is>
      </c>
      <c r="G11989" t="n">
        <v>2.2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49628-2023</t>
        </is>
      </c>
      <c r="B11990" s="1" t="n">
        <v>45211</v>
      </c>
      <c r="C11990" s="1" t="n">
        <v>45810</v>
      </c>
      <c r="D11990" t="inlineStr">
        <is>
          <t>VÄRMLANDS LÄN</t>
        </is>
      </c>
      <c r="E11990" t="inlineStr">
        <is>
          <t>KARLSTAD</t>
        </is>
      </c>
      <c r="G11990" t="n">
        <v>2.5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51079-2023</t>
        </is>
      </c>
      <c r="B11991" s="1" t="n">
        <v>45211</v>
      </c>
      <c r="C11991" s="1" t="n">
        <v>45810</v>
      </c>
      <c r="D11991" t="inlineStr">
        <is>
          <t>VÄRMLANDS LÄN</t>
        </is>
      </c>
      <c r="E11991" t="inlineStr">
        <is>
          <t>TORSBY</t>
        </is>
      </c>
      <c r="G11991" t="n">
        <v>2.7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50931-2023</t>
        </is>
      </c>
      <c r="B11992" s="1" t="n">
        <v>45211</v>
      </c>
      <c r="C11992" s="1" t="n">
        <v>45810</v>
      </c>
      <c r="D11992" t="inlineStr">
        <is>
          <t>VÄRMLANDS LÄN</t>
        </is>
      </c>
      <c r="E11992" t="inlineStr">
        <is>
          <t>HAGFORS</t>
        </is>
      </c>
      <c r="G11992" t="n">
        <v>3.2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50929-2023</t>
        </is>
      </c>
      <c r="B11993" s="1" t="n">
        <v>45211</v>
      </c>
      <c r="C11993" s="1" t="n">
        <v>45810</v>
      </c>
      <c r="D11993" t="inlineStr">
        <is>
          <t>VÄRMLANDS LÄN</t>
        </is>
      </c>
      <c r="E11993" t="inlineStr">
        <is>
          <t>HAGFORS</t>
        </is>
      </c>
      <c r="G11993" t="n">
        <v>1.6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50933-2023</t>
        </is>
      </c>
      <c r="B11994" s="1" t="n">
        <v>45211</v>
      </c>
      <c r="C11994" s="1" t="n">
        <v>45810</v>
      </c>
      <c r="D11994" t="inlineStr">
        <is>
          <t>VÄRMLANDS LÄN</t>
        </is>
      </c>
      <c r="E11994" t="inlineStr">
        <is>
          <t>HAGFORS</t>
        </is>
      </c>
      <c r="G11994" t="n">
        <v>1.8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50999-2023</t>
        </is>
      </c>
      <c r="B11995" s="1" t="n">
        <v>45211</v>
      </c>
      <c r="C11995" s="1" t="n">
        <v>45810</v>
      </c>
      <c r="D11995" t="inlineStr">
        <is>
          <t>VÄRMLANDS LÄN</t>
        </is>
      </c>
      <c r="E11995" t="inlineStr">
        <is>
          <t>KRISTINEHAMN</t>
        </is>
      </c>
      <c r="G11995" t="n">
        <v>4.5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50922-2023</t>
        </is>
      </c>
      <c r="B11996" s="1" t="n">
        <v>45211</v>
      </c>
      <c r="C11996" s="1" t="n">
        <v>45810</v>
      </c>
      <c r="D11996" t="inlineStr">
        <is>
          <t>VÄRMLANDS LÄN</t>
        </is>
      </c>
      <c r="E11996" t="inlineStr">
        <is>
          <t>HAGFORS</t>
        </is>
      </c>
      <c r="G11996" t="n">
        <v>3.2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51076-2023</t>
        </is>
      </c>
      <c r="B11997" s="1" t="n">
        <v>45211</v>
      </c>
      <c r="C11997" s="1" t="n">
        <v>45810</v>
      </c>
      <c r="D11997" t="inlineStr">
        <is>
          <t>VÄRMLANDS LÄN</t>
        </is>
      </c>
      <c r="E11997" t="inlineStr">
        <is>
          <t>SUNNE</t>
        </is>
      </c>
      <c r="G11997" t="n">
        <v>1.3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49683-2023</t>
        </is>
      </c>
      <c r="B11998" s="1" t="n">
        <v>45212</v>
      </c>
      <c r="C11998" s="1" t="n">
        <v>45810</v>
      </c>
      <c r="D11998" t="inlineStr">
        <is>
          <t>VÄRMLANDS LÄN</t>
        </is>
      </c>
      <c r="E11998" t="inlineStr">
        <is>
          <t>SUNNE</t>
        </is>
      </c>
      <c r="F11998" t="inlineStr">
        <is>
          <t>Kommuner</t>
        </is>
      </c>
      <c r="G11998" t="n">
        <v>4.3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49755-2023</t>
        </is>
      </c>
      <c r="B11999" s="1" t="n">
        <v>45212</v>
      </c>
      <c r="C11999" s="1" t="n">
        <v>45810</v>
      </c>
      <c r="D11999" t="inlineStr">
        <is>
          <t>VÄRMLANDS LÄN</t>
        </is>
      </c>
      <c r="E11999" t="inlineStr">
        <is>
          <t>TORSBY</t>
        </is>
      </c>
      <c r="F11999" t="inlineStr">
        <is>
          <t>Bergvik skog väst AB</t>
        </is>
      </c>
      <c r="G11999" t="n">
        <v>8.1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49732-2023</t>
        </is>
      </c>
      <c r="B12000" s="1" t="n">
        <v>45212</v>
      </c>
      <c r="C12000" s="1" t="n">
        <v>45810</v>
      </c>
      <c r="D12000" t="inlineStr">
        <is>
          <t>VÄRMLANDS LÄN</t>
        </is>
      </c>
      <c r="E12000" t="inlineStr">
        <is>
          <t>HAGFORS</t>
        </is>
      </c>
      <c r="F12000" t="inlineStr">
        <is>
          <t>Bergvik skog väst AB</t>
        </is>
      </c>
      <c r="G12000" t="n">
        <v>4.1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49738-2023</t>
        </is>
      </c>
      <c r="B12001" s="1" t="n">
        <v>45212</v>
      </c>
      <c r="C12001" s="1" t="n">
        <v>45810</v>
      </c>
      <c r="D12001" t="inlineStr">
        <is>
          <t>VÄRMLANDS LÄN</t>
        </is>
      </c>
      <c r="E12001" t="inlineStr">
        <is>
          <t>STORFORS</t>
        </is>
      </c>
      <c r="G12001" t="n">
        <v>1.1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49777-2023</t>
        </is>
      </c>
      <c r="B12002" s="1" t="n">
        <v>45212</v>
      </c>
      <c r="C12002" s="1" t="n">
        <v>45810</v>
      </c>
      <c r="D12002" t="inlineStr">
        <is>
          <t>VÄRMLANDS LÄN</t>
        </is>
      </c>
      <c r="E12002" t="inlineStr">
        <is>
          <t>TORSBY</t>
        </is>
      </c>
      <c r="G12002" t="n">
        <v>8.800000000000001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49766-2023</t>
        </is>
      </c>
      <c r="B12003" s="1" t="n">
        <v>45212</v>
      </c>
      <c r="C12003" s="1" t="n">
        <v>45810</v>
      </c>
      <c r="D12003" t="inlineStr">
        <is>
          <t>VÄRMLANDS LÄN</t>
        </is>
      </c>
      <c r="E12003" t="inlineStr">
        <is>
          <t>HAGFORS</t>
        </is>
      </c>
      <c r="F12003" t="inlineStr">
        <is>
          <t>Bergvik skog väst AB</t>
        </is>
      </c>
      <c r="G12003" t="n">
        <v>5.1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49815-2023</t>
        </is>
      </c>
      <c r="B12004" s="1" t="n">
        <v>45212</v>
      </c>
      <c r="C12004" s="1" t="n">
        <v>45810</v>
      </c>
      <c r="D12004" t="inlineStr">
        <is>
          <t>VÄRMLANDS LÄN</t>
        </is>
      </c>
      <c r="E12004" t="inlineStr">
        <is>
          <t>TORSBY</t>
        </is>
      </c>
      <c r="F12004" t="inlineStr">
        <is>
          <t>Bergvik skog väst AB</t>
        </is>
      </c>
      <c r="G12004" t="n">
        <v>4.2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49770-2023</t>
        </is>
      </c>
      <c r="B12005" s="1" t="n">
        <v>45212</v>
      </c>
      <c r="C12005" s="1" t="n">
        <v>45810</v>
      </c>
      <c r="D12005" t="inlineStr">
        <is>
          <t>VÄRMLANDS LÄN</t>
        </is>
      </c>
      <c r="E12005" t="inlineStr">
        <is>
          <t>SÄFFLE</t>
        </is>
      </c>
      <c r="G12005" t="n">
        <v>7.1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49741-2023</t>
        </is>
      </c>
      <c r="B12006" s="1" t="n">
        <v>45212</v>
      </c>
      <c r="C12006" s="1" t="n">
        <v>45810</v>
      </c>
      <c r="D12006" t="inlineStr">
        <is>
          <t>VÄRMLANDS LÄN</t>
        </is>
      </c>
      <c r="E12006" t="inlineStr">
        <is>
          <t>STORFORS</t>
        </is>
      </c>
      <c r="G12006" t="n">
        <v>2.1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49745-2023</t>
        </is>
      </c>
      <c r="B12007" s="1" t="n">
        <v>45212</v>
      </c>
      <c r="C12007" s="1" t="n">
        <v>45810</v>
      </c>
      <c r="D12007" t="inlineStr">
        <is>
          <t>VÄRMLANDS LÄN</t>
        </is>
      </c>
      <c r="E12007" t="inlineStr">
        <is>
          <t>TORSBY</t>
        </is>
      </c>
      <c r="F12007" t="inlineStr">
        <is>
          <t>Bergvik skog väst AB</t>
        </is>
      </c>
      <c r="G12007" t="n">
        <v>4.1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49753-2023</t>
        </is>
      </c>
      <c r="B12008" s="1" t="n">
        <v>45212</v>
      </c>
      <c r="C12008" s="1" t="n">
        <v>45810</v>
      </c>
      <c r="D12008" t="inlineStr">
        <is>
          <t>VÄRMLANDS LÄN</t>
        </is>
      </c>
      <c r="E12008" t="inlineStr">
        <is>
          <t>HAGFORS</t>
        </is>
      </c>
      <c r="F12008" t="inlineStr">
        <is>
          <t>Bergvik skog väst AB</t>
        </is>
      </c>
      <c r="G12008" t="n">
        <v>5.1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49769-2023</t>
        </is>
      </c>
      <c r="B12009" s="1" t="n">
        <v>45212</v>
      </c>
      <c r="C12009" s="1" t="n">
        <v>45810</v>
      </c>
      <c r="D12009" t="inlineStr">
        <is>
          <t>VÄRMLANDS LÄN</t>
        </is>
      </c>
      <c r="E12009" t="inlineStr">
        <is>
          <t>SUNNE</t>
        </is>
      </c>
      <c r="G12009" t="n">
        <v>1.6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49773-2023</t>
        </is>
      </c>
      <c r="B12010" s="1" t="n">
        <v>45212</v>
      </c>
      <c r="C12010" s="1" t="n">
        <v>45810</v>
      </c>
      <c r="D12010" t="inlineStr">
        <is>
          <t>VÄRMLANDS LÄN</t>
        </is>
      </c>
      <c r="E12010" t="inlineStr">
        <is>
          <t>HAGFORS</t>
        </is>
      </c>
      <c r="F12010" t="inlineStr">
        <is>
          <t>Bergvik skog väst AB</t>
        </is>
      </c>
      <c r="G12010" t="n">
        <v>15.9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49779-2023</t>
        </is>
      </c>
      <c r="B12011" s="1" t="n">
        <v>45212</v>
      </c>
      <c r="C12011" s="1" t="n">
        <v>45810</v>
      </c>
      <c r="D12011" t="inlineStr">
        <is>
          <t>VÄRMLANDS LÄN</t>
        </is>
      </c>
      <c r="E12011" t="inlineStr">
        <is>
          <t>SUNNE</t>
        </is>
      </c>
      <c r="G12011" t="n">
        <v>1.3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49818-2023</t>
        </is>
      </c>
      <c r="B12012" s="1" t="n">
        <v>45212</v>
      </c>
      <c r="C12012" s="1" t="n">
        <v>45810</v>
      </c>
      <c r="D12012" t="inlineStr">
        <is>
          <t>VÄRMLANDS LÄN</t>
        </is>
      </c>
      <c r="E12012" t="inlineStr">
        <is>
          <t>FILIPSTAD</t>
        </is>
      </c>
      <c r="F12012" t="inlineStr">
        <is>
          <t>Bergvik skog väst AB</t>
        </is>
      </c>
      <c r="G12012" t="n">
        <v>4.1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49850-2023</t>
        </is>
      </c>
      <c r="B12013" s="1" t="n">
        <v>45212</v>
      </c>
      <c r="C12013" s="1" t="n">
        <v>45810</v>
      </c>
      <c r="D12013" t="inlineStr">
        <is>
          <t>VÄRMLANDS LÄN</t>
        </is>
      </c>
      <c r="E12013" t="inlineStr">
        <is>
          <t>ARVIKA</t>
        </is>
      </c>
      <c r="G12013" t="n">
        <v>4.7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49849-2023</t>
        </is>
      </c>
      <c r="B12014" s="1" t="n">
        <v>45212</v>
      </c>
      <c r="C12014" s="1" t="n">
        <v>45810</v>
      </c>
      <c r="D12014" t="inlineStr">
        <is>
          <t>VÄRMLANDS LÄN</t>
        </is>
      </c>
      <c r="E12014" t="inlineStr">
        <is>
          <t>ARVIKA</t>
        </is>
      </c>
      <c r="G12014" t="n">
        <v>1.7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51144-2023</t>
        </is>
      </c>
      <c r="B12015" s="1" t="n">
        <v>45212</v>
      </c>
      <c r="C12015" s="1" t="n">
        <v>45810</v>
      </c>
      <c r="D12015" t="inlineStr">
        <is>
          <t>VÄRMLANDS LÄN</t>
        </is>
      </c>
      <c r="E12015" t="inlineStr">
        <is>
          <t>TORSBY</t>
        </is>
      </c>
      <c r="G12015" t="n">
        <v>7.3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49927-2023</t>
        </is>
      </c>
      <c r="B12016" s="1" t="n">
        <v>45214</v>
      </c>
      <c r="C12016" s="1" t="n">
        <v>45810</v>
      </c>
      <c r="D12016" t="inlineStr">
        <is>
          <t>VÄRMLANDS LÄN</t>
        </is>
      </c>
      <c r="E12016" t="inlineStr">
        <is>
          <t>EDA</t>
        </is>
      </c>
      <c r="G12016" t="n">
        <v>0.7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49947-2023</t>
        </is>
      </c>
      <c r="B12017" s="1" t="n">
        <v>45215</v>
      </c>
      <c r="C12017" s="1" t="n">
        <v>45810</v>
      </c>
      <c r="D12017" t="inlineStr">
        <is>
          <t>VÄRMLANDS LÄN</t>
        </is>
      </c>
      <c r="E12017" t="inlineStr">
        <is>
          <t>EDA</t>
        </is>
      </c>
      <c r="G12017" t="n">
        <v>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49978-2023</t>
        </is>
      </c>
      <c r="B12018" s="1" t="n">
        <v>45215</v>
      </c>
      <c r="C12018" s="1" t="n">
        <v>45810</v>
      </c>
      <c r="D12018" t="inlineStr">
        <is>
          <t>VÄRMLANDS LÄN</t>
        </is>
      </c>
      <c r="E12018" t="inlineStr">
        <is>
          <t>ÅRJÄNG</t>
        </is>
      </c>
      <c r="G12018" t="n">
        <v>7.1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49982-2023</t>
        </is>
      </c>
      <c r="B12019" s="1" t="n">
        <v>45215</v>
      </c>
      <c r="C12019" s="1" t="n">
        <v>45810</v>
      </c>
      <c r="D12019" t="inlineStr">
        <is>
          <t>VÄRMLANDS LÄN</t>
        </is>
      </c>
      <c r="E12019" t="inlineStr">
        <is>
          <t>TORSBY</t>
        </is>
      </c>
      <c r="G12019" t="n">
        <v>2.3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49946-2023</t>
        </is>
      </c>
      <c r="B12020" s="1" t="n">
        <v>45215</v>
      </c>
      <c r="C12020" s="1" t="n">
        <v>45810</v>
      </c>
      <c r="D12020" t="inlineStr">
        <is>
          <t>VÄRMLANDS LÄN</t>
        </is>
      </c>
      <c r="E12020" t="inlineStr">
        <is>
          <t>KIL</t>
        </is>
      </c>
      <c r="G12020" t="n">
        <v>0.8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50067-2023</t>
        </is>
      </c>
      <c r="B12021" s="1" t="n">
        <v>45215</v>
      </c>
      <c r="C12021" s="1" t="n">
        <v>45810</v>
      </c>
      <c r="D12021" t="inlineStr">
        <is>
          <t>VÄRMLANDS LÄN</t>
        </is>
      </c>
      <c r="E12021" t="inlineStr">
        <is>
          <t>ARVIKA</t>
        </is>
      </c>
      <c r="G12021" t="n">
        <v>2.7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50101-2023</t>
        </is>
      </c>
      <c r="B12022" s="1" t="n">
        <v>45215</v>
      </c>
      <c r="C12022" s="1" t="n">
        <v>45810</v>
      </c>
      <c r="D12022" t="inlineStr">
        <is>
          <t>VÄRMLANDS LÄN</t>
        </is>
      </c>
      <c r="E12022" t="inlineStr">
        <is>
          <t>SUNNE</t>
        </is>
      </c>
      <c r="G12022" t="n">
        <v>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50147-2023</t>
        </is>
      </c>
      <c r="B12023" s="1" t="n">
        <v>45215</v>
      </c>
      <c r="C12023" s="1" t="n">
        <v>45810</v>
      </c>
      <c r="D12023" t="inlineStr">
        <is>
          <t>VÄRMLANDS LÄN</t>
        </is>
      </c>
      <c r="E12023" t="inlineStr">
        <is>
          <t>TORSBY</t>
        </is>
      </c>
      <c r="G12023" t="n">
        <v>0.7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50068-2023</t>
        </is>
      </c>
      <c r="B12024" s="1" t="n">
        <v>45215</v>
      </c>
      <c r="C12024" s="1" t="n">
        <v>45810</v>
      </c>
      <c r="D12024" t="inlineStr">
        <is>
          <t>VÄRMLANDS LÄN</t>
        </is>
      </c>
      <c r="E12024" t="inlineStr">
        <is>
          <t>ARVIKA</t>
        </is>
      </c>
      <c r="G12024" t="n">
        <v>1.5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50138-2023</t>
        </is>
      </c>
      <c r="B12025" s="1" t="n">
        <v>45215</v>
      </c>
      <c r="C12025" s="1" t="n">
        <v>45810</v>
      </c>
      <c r="D12025" t="inlineStr">
        <is>
          <t>VÄRMLANDS LÄN</t>
        </is>
      </c>
      <c r="E12025" t="inlineStr">
        <is>
          <t>TORSBY</t>
        </is>
      </c>
      <c r="G12025" t="n">
        <v>2.6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50144-2023</t>
        </is>
      </c>
      <c r="B12026" s="1" t="n">
        <v>45215</v>
      </c>
      <c r="C12026" s="1" t="n">
        <v>45810</v>
      </c>
      <c r="D12026" t="inlineStr">
        <is>
          <t>VÄRMLANDS LÄN</t>
        </is>
      </c>
      <c r="E12026" t="inlineStr">
        <is>
          <t>TORSBY</t>
        </is>
      </c>
      <c r="G12026" t="n">
        <v>7.8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50171-2023</t>
        </is>
      </c>
      <c r="B12027" s="1" t="n">
        <v>45215</v>
      </c>
      <c r="C12027" s="1" t="n">
        <v>45810</v>
      </c>
      <c r="D12027" t="inlineStr">
        <is>
          <t>VÄRMLANDS LÄN</t>
        </is>
      </c>
      <c r="E12027" t="inlineStr">
        <is>
          <t>TORSBY</t>
        </is>
      </c>
      <c r="G12027" t="n">
        <v>2.2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50199-2023</t>
        </is>
      </c>
      <c r="B12028" s="1" t="n">
        <v>45215</v>
      </c>
      <c r="C12028" s="1" t="n">
        <v>45810</v>
      </c>
      <c r="D12028" t="inlineStr">
        <is>
          <t>VÄRMLANDS LÄN</t>
        </is>
      </c>
      <c r="E12028" t="inlineStr">
        <is>
          <t>HAGFORS</t>
        </is>
      </c>
      <c r="F12028" t="inlineStr">
        <is>
          <t>Bergvik skog väst AB</t>
        </is>
      </c>
      <c r="G12028" t="n">
        <v>43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51493-2023</t>
        </is>
      </c>
      <c r="B12029" s="1" t="n">
        <v>45215</v>
      </c>
      <c r="C12029" s="1" t="n">
        <v>45810</v>
      </c>
      <c r="D12029" t="inlineStr">
        <is>
          <t>VÄRMLANDS LÄN</t>
        </is>
      </c>
      <c r="E12029" t="inlineStr">
        <is>
          <t>ÅRJÄNG</t>
        </is>
      </c>
      <c r="F12029" t="inlineStr">
        <is>
          <t>Övriga Aktiebolag</t>
        </is>
      </c>
      <c r="G12029" t="n">
        <v>9.1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50080-2023</t>
        </is>
      </c>
      <c r="B12030" s="1" t="n">
        <v>45215</v>
      </c>
      <c r="C12030" s="1" t="n">
        <v>45810</v>
      </c>
      <c r="D12030" t="inlineStr">
        <is>
          <t>VÄRMLANDS LÄN</t>
        </is>
      </c>
      <c r="E12030" t="inlineStr">
        <is>
          <t>SÄFFLE</t>
        </is>
      </c>
      <c r="G12030" t="n">
        <v>1.4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50130-2023</t>
        </is>
      </c>
      <c r="B12031" s="1" t="n">
        <v>45215</v>
      </c>
      <c r="C12031" s="1" t="n">
        <v>45810</v>
      </c>
      <c r="D12031" t="inlineStr">
        <is>
          <t>VÄRMLANDS LÄN</t>
        </is>
      </c>
      <c r="E12031" t="inlineStr">
        <is>
          <t>SUNNE</t>
        </is>
      </c>
      <c r="G12031" t="n">
        <v>1.7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50167-2023</t>
        </is>
      </c>
      <c r="B12032" s="1" t="n">
        <v>45215</v>
      </c>
      <c r="C12032" s="1" t="n">
        <v>45810</v>
      </c>
      <c r="D12032" t="inlineStr">
        <is>
          <t>VÄRMLANDS LÄN</t>
        </is>
      </c>
      <c r="E12032" t="inlineStr">
        <is>
          <t>ARVIKA</t>
        </is>
      </c>
      <c r="G12032" t="n">
        <v>1.8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50145-2023</t>
        </is>
      </c>
      <c r="B12033" s="1" t="n">
        <v>45215</v>
      </c>
      <c r="C12033" s="1" t="n">
        <v>45810</v>
      </c>
      <c r="D12033" t="inlineStr">
        <is>
          <t>VÄRMLANDS LÄN</t>
        </is>
      </c>
      <c r="E12033" t="inlineStr">
        <is>
          <t>FORSHAGA</t>
        </is>
      </c>
      <c r="F12033" t="inlineStr">
        <is>
          <t>Bergvik skog väst AB</t>
        </is>
      </c>
      <c r="G12033" t="n">
        <v>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50398-2023</t>
        </is>
      </c>
      <c r="B12034" s="1" t="n">
        <v>45216</v>
      </c>
      <c r="C12034" s="1" t="n">
        <v>45810</v>
      </c>
      <c r="D12034" t="inlineStr">
        <is>
          <t>VÄRMLANDS LÄN</t>
        </is>
      </c>
      <c r="E12034" t="inlineStr">
        <is>
          <t>ARVIKA</t>
        </is>
      </c>
      <c r="G12034" t="n">
        <v>5.2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50353-2023</t>
        </is>
      </c>
      <c r="B12035" s="1" t="n">
        <v>45216</v>
      </c>
      <c r="C12035" s="1" t="n">
        <v>45810</v>
      </c>
      <c r="D12035" t="inlineStr">
        <is>
          <t>VÄRMLANDS LÄN</t>
        </is>
      </c>
      <c r="E12035" t="inlineStr">
        <is>
          <t>SUNNE</t>
        </is>
      </c>
      <c r="G12035" t="n">
        <v>0.6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50348-2023</t>
        </is>
      </c>
      <c r="B12036" s="1" t="n">
        <v>45216</v>
      </c>
      <c r="C12036" s="1" t="n">
        <v>45810</v>
      </c>
      <c r="D12036" t="inlineStr">
        <is>
          <t>VÄRMLANDS LÄN</t>
        </is>
      </c>
      <c r="E12036" t="inlineStr">
        <is>
          <t>SUNNE</t>
        </is>
      </c>
      <c r="G12036" t="n">
        <v>0.9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50469-2023</t>
        </is>
      </c>
      <c r="B12037" s="1" t="n">
        <v>45216</v>
      </c>
      <c r="C12037" s="1" t="n">
        <v>45810</v>
      </c>
      <c r="D12037" t="inlineStr">
        <is>
          <t>VÄRMLANDS LÄN</t>
        </is>
      </c>
      <c r="E12037" t="inlineStr">
        <is>
          <t>SUNNE</t>
        </is>
      </c>
      <c r="G12037" t="n">
        <v>2.9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50445-2023</t>
        </is>
      </c>
      <c r="B12038" s="1" t="n">
        <v>45216</v>
      </c>
      <c r="C12038" s="1" t="n">
        <v>45810</v>
      </c>
      <c r="D12038" t="inlineStr">
        <is>
          <t>VÄRMLANDS LÄN</t>
        </is>
      </c>
      <c r="E12038" t="inlineStr">
        <is>
          <t>TORSBY</t>
        </is>
      </c>
      <c r="G12038" t="n">
        <v>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50429-2023</t>
        </is>
      </c>
      <c r="B12039" s="1" t="n">
        <v>45216</v>
      </c>
      <c r="C12039" s="1" t="n">
        <v>45810</v>
      </c>
      <c r="D12039" t="inlineStr">
        <is>
          <t>VÄRMLANDS LÄN</t>
        </is>
      </c>
      <c r="E12039" t="inlineStr">
        <is>
          <t>TORSBY</t>
        </is>
      </c>
      <c r="G12039" t="n">
        <v>1.6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50425-2023</t>
        </is>
      </c>
      <c r="B12040" s="1" t="n">
        <v>45216</v>
      </c>
      <c r="C12040" s="1" t="n">
        <v>45810</v>
      </c>
      <c r="D12040" t="inlineStr">
        <is>
          <t>VÄRMLANDS LÄN</t>
        </is>
      </c>
      <c r="E12040" t="inlineStr">
        <is>
          <t>SUNNE</t>
        </is>
      </c>
      <c r="G12040" t="n">
        <v>0.8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50421-2023</t>
        </is>
      </c>
      <c r="B12041" s="1" t="n">
        <v>45216</v>
      </c>
      <c r="C12041" s="1" t="n">
        <v>45810</v>
      </c>
      <c r="D12041" t="inlineStr">
        <is>
          <t>VÄRMLANDS LÄN</t>
        </is>
      </c>
      <c r="E12041" t="inlineStr">
        <is>
          <t>MUNKFORS</t>
        </is>
      </c>
      <c r="G12041" t="n">
        <v>1.8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50393-2023</t>
        </is>
      </c>
      <c r="B12042" s="1" t="n">
        <v>45216</v>
      </c>
      <c r="C12042" s="1" t="n">
        <v>45810</v>
      </c>
      <c r="D12042" t="inlineStr">
        <is>
          <t>VÄRMLANDS LÄN</t>
        </is>
      </c>
      <c r="E12042" t="inlineStr">
        <is>
          <t>ARVIKA</t>
        </is>
      </c>
      <c r="G12042" t="n">
        <v>1.6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50371-2023</t>
        </is>
      </c>
      <c r="B12043" s="1" t="n">
        <v>45216</v>
      </c>
      <c r="C12043" s="1" t="n">
        <v>45810</v>
      </c>
      <c r="D12043" t="inlineStr">
        <is>
          <t>VÄRMLANDS LÄN</t>
        </is>
      </c>
      <c r="E12043" t="inlineStr">
        <is>
          <t>ARVIKA</t>
        </is>
      </c>
      <c r="G12043" t="n">
        <v>6.5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50346-2023</t>
        </is>
      </c>
      <c r="B12044" s="1" t="n">
        <v>45216</v>
      </c>
      <c r="C12044" s="1" t="n">
        <v>45810</v>
      </c>
      <c r="D12044" t="inlineStr">
        <is>
          <t>VÄRMLANDS LÄN</t>
        </is>
      </c>
      <c r="E12044" t="inlineStr">
        <is>
          <t>SUNNE</t>
        </is>
      </c>
      <c r="G12044" t="n">
        <v>0.9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50467-2023</t>
        </is>
      </c>
      <c r="B12045" s="1" t="n">
        <v>45216</v>
      </c>
      <c r="C12045" s="1" t="n">
        <v>45810</v>
      </c>
      <c r="D12045" t="inlineStr">
        <is>
          <t>VÄRMLANDS LÄN</t>
        </is>
      </c>
      <c r="E12045" t="inlineStr">
        <is>
          <t>SUNNE</t>
        </is>
      </c>
      <c r="G12045" t="n">
        <v>2.2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50455-2023</t>
        </is>
      </c>
      <c r="B12046" s="1" t="n">
        <v>45216</v>
      </c>
      <c r="C12046" s="1" t="n">
        <v>45810</v>
      </c>
      <c r="D12046" t="inlineStr">
        <is>
          <t>VÄRMLANDS LÄN</t>
        </is>
      </c>
      <c r="E12046" t="inlineStr">
        <is>
          <t>SUNNE</t>
        </is>
      </c>
      <c r="G12046" t="n">
        <v>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50439-2023</t>
        </is>
      </c>
      <c r="B12047" s="1" t="n">
        <v>45216</v>
      </c>
      <c r="C12047" s="1" t="n">
        <v>45810</v>
      </c>
      <c r="D12047" t="inlineStr">
        <is>
          <t>VÄRMLANDS LÄN</t>
        </is>
      </c>
      <c r="E12047" t="inlineStr">
        <is>
          <t>TORSBY</t>
        </is>
      </c>
      <c r="G12047" t="n">
        <v>0.8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50234-2023</t>
        </is>
      </c>
      <c r="B12048" s="1" t="n">
        <v>45216</v>
      </c>
      <c r="C12048" s="1" t="n">
        <v>45810</v>
      </c>
      <c r="D12048" t="inlineStr">
        <is>
          <t>VÄRMLANDS LÄN</t>
        </is>
      </c>
      <c r="E12048" t="inlineStr">
        <is>
          <t>ARVIKA</t>
        </is>
      </c>
      <c r="G12048" t="n">
        <v>1.3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50318-2023</t>
        </is>
      </c>
      <c r="B12049" s="1" t="n">
        <v>45216</v>
      </c>
      <c r="C12049" s="1" t="n">
        <v>45810</v>
      </c>
      <c r="D12049" t="inlineStr">
        <is>
          <t>VÄRMLANDS LÄN</t>
        </is>
      </c>
      <c r="E12049" t="inlineStr">
        <is>
          <t>HAGFORS</t>
        </is>
      </c>
      <c r="F12049" t="inlineStr">
        <is>
          <t>Bergvik skog väst AB</t>
        </is>
      </c>
      <c r="G12049" t="n">
        <v>18.1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50243-2023</t>
        </is>
      </c>
      <c r="B12050" s="1" t="n">
        <v>45216</v>
      </c>
      <c r="C12050" s="1" t="n">
        <v>45810</v>
      </c>
      <c r="D12050" t="inlineStr">
        <is>
          <t>VÄRMLANDS LÄN</t>
        </is>
      </c>
      <c r="E12050" t="inlineStr">
        <is>
          <t>FILIPSTAD</t>
        </is>
      </c>
      <c r="F12050" t="inlineStr">
        <is>
          <t>Bergvik skog väst AB</t>
        </is>
      </c>
      <c r="G12050" t="n">
        <v>1.1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50253-2023</t>
        </is>
      </c>
      <c r="B12051" s="1" t="n">
        <v>45216</v>
      </c>
      <c r="C12051" s="1" t="n">
        <v>45810</v>
      </c>
      <c r="D12051" t="inlineStr">
        <is>
          <t>VÄRMLANDS LÄN</t>
        </is>
      </c>
      <c r="E12051" t="inlineStr">
        <is>
          <t>HAGFORS</t>
        </is>
      </c>
      <c r="F12051" t="inlineStr">
        <is>
          <t>Bergvik skog väst AB</t>
        </is>
      </c>
      <c r="G12051" t="n">
        <v>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50428-2023</t>
        </is>
      </c>
      <c r="B12052" s="1" t="n">
        <v>45216</v>
      </c>
      <c r="C12052" s="1" t="n">
        <v>45810</v>
      </c>
      <c r="D12052" t="inlineStr">
        <is>
          <t>VÄRMLANDS LÄN</t>
        </is>
      </c>
      <c r="E12052" t="inlineStr">
        <is>
          <t>MUNKFORS</t>
        </is>
      </c>
      <c r="G12052" t="n">
        <v>1.4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50396-2023</t>
        </is>
      </c>
      <c r="B12053" s="1" t="n">
        <v>45216</v>
      </c>
      <c r="C12053" s="1" t="n">
        <v>45810</v>
      </c>
      <c r="D12053" t="inlineStr">
        <is>
          <t>VÄRMLANDS LÄN</t>
        </is>
      </c>
      <c r="E12053" t="inlineStr">
        <is>
          <t>ARVIKA</t>
        </is>
      </c>
      <c r="G12053" t="n">
        <v>2.9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50337-2023</t>
        </is>
      </c>
      <c r="B12054" s="1" t="n">
        <v>45216</v>
      </c>
      <c r="C12054" s="1" t="n">
        <v>45810</v>
      </c>
      <c r="D12054" t="inlineStr">
        <is>
          <t>VÄRMLANDS LÄN</t>
        </is>
      </c>
      <c r="E12054" t="inlineStr">
        <is>
          <t>HAGFORS</t>
        </is>
      </c>
      <c r="F12054" t="inlineStr">
        <is>
          <t>Bergvik skog väst AB</t>
        </is>
      </c>
      <c r="G12054" t="n">
        <v>4.6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50618-2023</t>
        </is>
      </c>
      <c r="B12055" s="1" t="n">
        <v>45217</v>
      </c>
      <c r="C12055" s="1" t="n">
        <v>45810</v>
      </c>
      <c r="D12055" t="inlineStr">
        <is>
          <t>VÄRMLANDS LÄN</t>
        </is>
      </c>
      <c r="E12055" t="inlineStr">
        <is>
          <t>HAGFORS</t>
        </is>
      </c>
      <c r="F12055" t="inlineStr">
        <is>
          <t>Bergvik skog väst AB</t>
        </is>
      </c>
      <c r="G12055" t="n">
        <v>5.1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50522-2023</t>
        </is>
      </c>
      <c r="B12056" s="1" t="n">
        <v>45217</v>
      </c>
      <c r="C12056" s="1" t="n">
        <v>45810</v>
      </c>
      <c r="D12056" t="inlineStr">
        <is>
          <t>VÄRMLANDS LÄN</t>
        </is>
      </c>
      <c r="E12056" t="inlineStr">
        <is>
          <t>KRISTINEHAMN</t>
        </is>
      </c>
      <c r="F12056" t="inlineStr">
        <is>
          <t>Naturvårdsverket</t>
        </is>
      </c>
      <c r="G12056" t="n">
        <v>7.7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50526-2023</t>
        </is>
      </c>
      <c r="B12057" s="1" t="n">
        <v>45217</v>
      </c>
      <c r="C12057" s="1" t="n">
        <v>45810</v>
      </c>
      <c r="D12057" t="inlineStr">
        <is>
          <t>VÄRMLANDS LÄN</t>
        </is>
      </c>
      <c r="E12057" t="inlineStr">
        <is>
          <t>KARLSTAD</t>
        </is>
      </c>
      <c r="G12057" t="n">
        <v>1.6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50530-2023</t>
        </is>
      </c>
      <c r="B12058" s="1" t="n">
        <v>45217</v>
      </c>
      <c r="C12058" s="1" t="n">
        <v>45810</v>
      </c>
      <c r="D12058" t="inlineStr">
        <is>
          <t>VÄRMLANDS LÄN</t>
        </is>
      </c>
      <c r="E12058" t="inlineStr">
        <is>
          <t>ARVIKA</t>
        </is>
      </c>
      <c r="G12058" t="n">
        <v>1.6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50538-2023</t>
        </is>
      </c>
      <c r="B12059" s="1" t="n">
        <v>45217</v>
      </c>
      <c r="C12059" s="1" t="n">
        <v>45810</v>
      </c>
      <c r="D12059" t="inlineStr">
        <is>
          <t>VÄRMLANDS LÄN</t>
        </is>
      </c>
      <c r="E12059" t="inlineStr">
        <is>
          <t>HAGFORS</t>
        </is>
      </c>
      <c r="F12059" t="inlineStr">
        <is>
          <t>Bergvik skog väst AB</t>
        </is>
      </c>
      <c r="G12059" t="n">
        <v>31.9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50537-2023</t>
        </is>
      </c>
      <c r="B12060" s="1" t="n">
        <v>45217</v>
      </c>
      <c r="C12060" s="1" t="n">
        <v>45810</v>
      </c>
      <c r="D12060" t="inlineStr">
        <is>
          <t>VÄRMLANDS LÄN</t>
        </is>
      </c>
      <c r="E12060" t="inlineStr">
        <is>
          <t>ÅRJÄNG</t>
        </is>
      </c>
      <c r="G12060" t="n">
        <v>0.5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50605-2023</t>
        </is>
      </c>
      <c r="B12061" s="1" t="n">
        <v>45217</v>
      </c>
      <c r="C12061" s="1" t="n">
        <v>45810</v>
      </c>
      <c r="D12061" t="inlineStr">
        <is>
          <t>VÄRMLANDS LÄN</t>
        </is>
      </c>
      <c r="E12061" t="inlineStr">
        <is>
          <t>HAGFORS</t>
        </is>
      </c>
      <c r="F12061" t="inlineStr">
        <is>
          <t>Bergvik skog väst AB</t>
        </is>
      </c>
      <c r="G12061" t="n">
        <v>6.1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50614-2023</t>
        </is>
      </c>
      <c r="B12062" s="1" t="n">
        <v>45217</v>
      </c>
      <c r="C12062" s="1" t="n">
        <v>45810</v>
      </c>
      <c r="D12062" t="inlineStr">
        <is>
          <t>VÄRMLANDS LÄN</t>
        </is>
      </c>
      <c r="E12062" t="inlineStr">
        <is>
          <t>HAGFORS</t>
        </is>
      </c>
      <c r="F12062" t="inlineStr">
        <is>
          <t>Bergvik skog väst AB</t>
        </is>
      </c>
      <c r="G12062" t="n">
        <v>11.3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50619-2023</t>
        </is>
      </c>
      <c r="B12063" s="1" t="n">
        <v>45217</v>
      </c>
      <c r="C12063" s="1" t="n">
        <v>45810</v>
      </c>
      <c r="D12063" t="inlineStr">
        <is>
          <t>VÄRMLANDS LÄN</t>
        </is>
      </c>
      <c r="E12063" t="inlineStr">
        <is>
          <t>SUNNE</t>
        </is>
      </c>
      <c r="G12063" t="n">
        <v>1.6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50660-2023</t>
        </is>
      </c>
      <c r="B12064" s="1" t="n">
        <v>45217</v>
      </c>
      <c r="C12064" s="1" t="n">
        <v>45810</v>
      </c>
      <c r="D12064" t="inlineStr">
        <is>
          <t>VÄRMLANDS LÄN</t>
        </is>
      </c>
      <c r="E12064" t="inlineStr">
        <is>
          <t>TORSBY</t>
        </is>
      </c>
      <c r="F12064" t="inlineStr">
        <is>
          <t>Bergvik skog väst AB</t>
        </is>
      </c>
      <c r="G12064" t="n">
        <v>26.5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50735-2023</t>
        </is>
      </c>
      <c r="B12065" s="1" t="n">
        <v>45217</v>
      </c>
      <c r="C12065" s="1" t="n">
        <v>45810</v>
      </c>
      <c r="D12065" t="inlineStr">
        <is>
          <t>VÄRMLANDS LÄN</t>
        </is>
      </c>
      <c r="E12065" t="inlineStr">
        <is>
          <t>KIL</t>
        </is>
      </c>
      <c r="G12065" t="n">
        <v>4.9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50788-2023</t>
        </is>
      </c>
      <c r="B12066" s="1" t="n">
        <v>45217</v>
      </c>
      <c r="C12066" s="1" t="n">
        <v>45810</v>
      </c>
      <c r="D12066" t="inlineStr">
        <is>
          <t>VÄRMLANDS LÄN</t>
        </is>
      </c>
      <c r="E12066" t="inlineStr">
        <is>
          <t>ÅRJÄNG</t>
        </is>
      </c>
      <c r="G12066" t="n">
        <v>0.6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50792-2023</t>
        </is>
      </c>
      <c r="B12067" s="1" t="n">
        <v>45217</v>
      </c>
      <c r="C12067" s="1" t="n">
        <v>45810</v>
      </c>
      <c r="D12067" t="inlineStr">
        <is>
          <t>VÄRMLANDS LÄN</t>
        </is>
      </c>
      <c r="E12067" t="inlineStr">
        <is>
          <t>ARVIKA</t>
        </is>
      </c>
      <c r="G12067" t="n">
        <v>10.4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50817-2023</t>
        </is>
      </c>
      <c r="B12068" s="1" t="n">
        <v>45217</v>
      </c>
      <c r="C12068" s="1" t="n">
        <v>45810</v>
      </c>
      <c r="D12068" t="inlineStr">
        <is>
          <t>VÄRMLANDS LÄN</t>
        </is>
      </c>
      <c r="E12068" t="inlineStr">
        <is>
          <t>FORSHAGA</t>
        </is>
      </c>
      <c r="F12068" t="inlineStr">
        <is>
          <t>Bergvik skog väst AB</t>
        </is>
      </c>
      <c r="G12068" t="n">
        <v>1.8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50523-2023</t>
        </is>
      </c>
      <c r="B12069" s="1" t="n">
        <v>45217</v>
      </c>
      <c r="C12069" s="1" t="n">
        <v>45810</v>
      </c>
      <c r="D12069" t="inlineStr">
        <is>
          <t>VÄRMLANDS LÄN</t>
        </is>
      </c>
      <c r="E12069" t="inlineStr">
        <is>
          <t>TORSBY</t>
        </is>
      </c>
      <c r="G12069" t="n">
        <v>0.9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50608-2023</t>
        </is>
      </c>
      <c r="B12070" s="1" t="n">
        <v>45217</v>
      </c>
      <c r="C12070" s="1" t="n">
        <v>45810</v>
      </c>
      <c r="D12070" t="inlineStr">
        <is>
          <t>VÄRMLANDS LÄN</t>
        </is>
      </c>
      <c r="E12070" t="inlineStr">
        <is>
          <t>TORSBY</t>
        </is>
      </c>
      <c r="G12070" t="n">
        <v>2.9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50635-2023</t>
        </is>
      </c>
      <c r="B12071" s="1" t="n">
        <v>45217</v>
      </c>
      <c r="C12071" s="1" t="n">
        <v>45810</v>
      </c>
      <c r="D12071" t="inlineStr">
        <is>
          <t>VÄRMLANDS LÄN</t>
        </is>
      </c>
      <c r="E12071" t="inlineStr">
        <is>
          <t>FORSHAGA</t>
        </is>
      </c>
      <c r="G12071" t="n">
        <v>1.6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50592-2023</t>
        </is>
      </c>
      <c r="B12072" s="1" t="n">
        <v>45217</v>
      </c>
      <c r="C12072" s="1" t="n">
        <v>45810</v>
      </c>
      <c r="D12072" t="inlineStr">
        <is>
          <t>VÄRMLANDS LÄN</t>
        </is>
      </c>
      <c r="E12072" t="inlineStr">
        <is>
          <t>ARVIKA</t>
        </is>
      </c>
      <c r="F12072" t="inlineStr">
        <is>
          <t>Bergvik skog väst AB</t>
        </is>
      </c>
      <c r="G12072" t="n">
        <v>1.3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50640-2023</t>
        </is>
      </c>
      <c r="B12073" s="1" t="n">
        <v>45217</v>
      </c>
      <c r="C12073" s="1" t="n">
        <v>45810</v>
      </c>
      <c r="D12073" t="inlineStr">
        <is>
          <t>VÄRMLANDS LÄN</t>
        </is>
      </c>
      <c r="E12073" t="inlineStr">
        <is>
          <t>GRUMS</t>
        </is>
      </c>
      <c r="G12073" t="n">
        <v>1.2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50645-2023</t>
        </is>
      </c>
      <c r="B12074" s="1" t="n">
        <v>45217</v>
      </c>
      <c r="C12074" s="1" t="n">
        <v>45810</v>
      </c>
      <c r="D12074" t="inlineStr">
        <is>
          <t>VÄRMLANDS LÄN</t>
        </is>
      </c>
      <c r="E12074" t="inlineStr">
        <is>
          <t>ARVIKA</t>
        </is>
      </c>
      <c r="F12074" t="inlineStr">
        <is>
          <t>Bergvik skog väst AB</t>
        </is>
      </c>
      <c r="G12074" t="n">
        <v>4.8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50680-2023</t>
        </is>
      </c>
      <c r="B12075" s="1" t="n">
        <v>45217</v>
      </c>
      <c r="C12075" s="1" t="n">
        <v>45810</v>
      </c>
      <c r="D12075" t="inlineStr">
        <is>
          <t>VÄRMLANDS LÄN</t>
        </is>
      </c>
      <c r="E12075" t="inlineStr">
        <is>
          <t>TORSBY</t>
        </is>
      </c>
      <c r="F12075" t="inlineStr">
        <is>
          <t>Bergvik skog väst AB</t>
        </is>
      </c>
      <c r="G12075" t="n">
        <v>0.6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50686-2023</t>
        </is>
      </c>
      <c r="B12076" s="1" t="n">
        <v>45217</v>
      </c>
      <c r="C12076" s="1" t="n">
        <v>45810</v>
      </c>
      <c r="D12076" t="inlineStr">
        <is>
          <t>VÄRMLANDS LÄN</t>
        </is>
      </c>
      <c r="E12076" t="inlineStr">
        <is>
          <t>HAGFORS</t>
        </is>
      </c>
      <c r="F12076" t="inlineStr">
        <is>
          <t>Bergvik skog väst AB</t>
        </is>
      </c>
      <c r="G12076" t="n">
        <v>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50815-2023</t>
        </is>
      </c>
      <c r="B12077" s="1" t="n">
        <v>45217</v>
      </c>
      <c r="C12077" s="1" t="n">
        <v>45810</v>
      </c>
      <c r="D12077" t="inlineStr">
        <is>
          <t>VÄRMLANDS LÄN</t>
        </is>
      </c>
      <c r="E12077" t="inlineStr">
        <is>
          <t>FORSHAGA</t>
        </is>
      </c>
      <c r="F12077" t="inlineStr">
        <is>
          <t>Bergvik skog väst AB</t>
        </is>
      </c>
      <c r="G12077" t="n">
        <v>2.7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50820-2023</t>
        </is>
      </c>
      <c r="B12078" s="1" t="n">
        <v>45217</v>
      </c>
      <c r="C12078" s="1" t="n">
        <v>45810</v>
      </c>
      <c r="D12078" t="inlineStr">
        <is>
          <t>VÄRMLANDS LÄN</t>
        </is>
      </c>
      <c r="E12078" t="inlineStr">
        <is>
          <t>HAGFORS</t>
        </is>
      </c>
      <c r="G12078" t="n">
        <v>2.2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50857-2023</t>
        </is>
      </c>
      <c r="B12079" s="1" t="n">
        <v>45218</v>
      </c>
      <c r="C12079" s="1" t="n">
        <v>45810</v>
      </c>
      <c r="D12079" t="inlineStr">
        <is>
          <t>VÄRMLANDS LÄN</t>
        </is>
      </c>
      <c r="E12079" t="inlineStr">
        <is>
          <t>ARVIKA</t>
        </is>
      </c>
      <c r="G12079" t="n">
        <v>0.9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50881-2023</t>
        </is>
      </c>
      <c r="B12080" s="1" t="n">
        <v>45218</v>
      </c>
      <c r="C12080" s="1" t="n">
        <v>45810</v>
      </c>
      <c r="D12080" t="inlineStr">
        <is>
          <t>VÄRMLANDS LÄN</t>
        </is>
      </c>
      <c r="E12080" t="inlineStr">
        <is>
          <t>SUNNE</t>
        </is>
      </c>
      <c r="G12080" t="n">
        <v>3.2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50877-2023</t>
        </is>
      </c>
      <c r="B12081" s="1" t="n">
        <v>45218</v>
      </c>
      <c r="C12081" s="1" t="n">
        <v>45810</v>
      </c>
      <c r="D12081" t="inlineStr">
        <is>
          <t>VÄRMLANDS LÄN</t>
        </is>
      </c>
      <c r="E12081" t="inlineStr">
        <is>
          <t>SUNNE</t>
        </is>
      </c>
      <c r="G12081" t="n">
        <v>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50903-2023</t>
        </is>
      </c>
      <c r="B12082" s="1" t="n">
        <v>45218</v>
      </c>
      <c r="C12082" s="1" t="n">
        <v>45810</v>
      </c>
      <c r="D12082" t="inlineStr">
        <is>
          <t>VÄRMLANDS LÄN</t>
        </is>
      </c>
      <c r="E12082" t="inlineStr">
        <is>
          <t>EDA</t>
        </is>
      </c>
      <c r="G12082" t="n">
        <v>2.2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50906-2023</t>
        </is>
      </c>
      <c r="B12083" s="1" t="n">
        <v>45218</v>
      </c>
      <c r="C12083" s="1" t="n">
        <v>45810</v>
      </c>
      <c r="D12083" t="inlineStr">
        <is>
          <t>VÄRMLANDS LÄN</t>
        </is>
      </c>
      <c r="E12083" t="inlineStr">
        <is>
          <t>EDA</t>
        </is>
      </c>
      <c r="G12083" t="n">
        <v>1.2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50918-2023</t>
        </is>
      </c>
      <c r="B12084" s="1" t="n">
        <v>45218</v>
      </c>
      <c r="C12084" s="1" t="n">
        <v>45810</v>
      </c>
      <c r="D12084" t="inlineStr">
        <is>
          <t>VÄRMLANDS LÄN</t>
        </is>
      </c>
      <c r="E12084" t="inlineStr">
        <is>
          <t>ÅRJÄNG</t>
        </is>
      </c>
      <c r="G12084" t="n">
        <v>0.9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50904-2023</t>
        </is>
      </c>
      <c r="B12085" s="1" t="n">
        <v>45218</v>
      </c>
      <c r="C12085" s="1" t="n">
        <v>45810</v>
      </c>
      <c r="D12085" t="inlineStr">
        <is>
          <t>VÄRMLANDS LÄN</t>
        </is>
      </c>
      <c r="E12085" t="inlineStr">
        <is>
          <t>FILIPSTAD</t>
        </is>
      </c>
      <c r="G12085" t="n">
        <v>2.1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50911-2023</t>
        </is>
      </c>
      <c r="B12086" s="1" t="n">
        <v>45218</v>
      </c>
      <c r="C12086" s="1" t="n">
        <v>45810</v>
      </c>
      <c r="D12086" t="inlineStr">
        <is>
          <t>VÄRMLANDS LÄN</t>
        </is>
      </c>
      <c r="E12086" t="inlineStr">
        <is>
          <t>ARVIKA</t>
        </is>
      </c>
      <c r="F12086" t="inlineStr">
        <is>
          <t>Kyrkan</t>
        </is>
      </c>
      <c r="G12086" t="n">
        <v>5.3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50936-2023</t>
        </is>
      </c>
      <c r="B12087" s="1" t="n">
        <v>45218</v>
      </c>
      <c r="C12087" s="1" t="n">
        <v>45810</v>
      </c>
      <c r="D12087" t="inlineStr">
        <is>
          <t>VÄRMLANDS LÄN</t>
        </is>
      </c>
      <c r="E12087" t="inlineStr">
        <is>
          <t>ARVIKA</t>
        </is>
      </c>
      <c r="G12087" t="n">
        <v>2.3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51008-2023</t>
        </is>
      </c>
      <c r="B12088" s="1" t="n">
        <v>45218</v>
      </c>
      <c r="C12088" s="1" t="n">
        <v>45810</v>
      </c>
      <c r="D12088" t="inlineStr">
        <is>
          <t>VÄRMLANDS LÄN</t>
        </is>
      </c>
      <c r="E12088" t="inlineStr">
        <is>
          <t>HAMMARÖ</t>
        </is>
      </c>
      <c r="F12088" t="inlineStr">
        <is>
          <t>Kommuner</t>
        </is>
      </c>
      <c r="G12088" t="n">
        <v>0.5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50852-2023</t>
        </is>
      </c>
      <c r="B12089" s="1" t="n">
        <v>45218</v>
      </c>
      <c r="C12089" s="1" t="n">
        <v>45810</v>
      </c>
      <c r="D12089" t="inlineStr">
        <is>
          <t>VÄRMLANDS LÄN</t>
        </is>
      </c>
      <c r="E12089" t="inlineStr">
        <is>
          <t>TORSBY</t>
        </is>
      </c>
      <c r="G12089" t="n">
        <v>3.8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50895-2023</t>
        </is>
      </c>
      <c r="B12090" s="1" t="n">
        <v>45218</v>
      </c>
      <c r="C12090" s="1" t="n">
        <v>45810</v>
      </c>
      <c r="D12090" t="inlineStr">
        <is>
          <t>VÄRMLANDS LÄN</t>
        </is>
      </c>
      <c r="E12090" t="inlineStr">
        <is>
          <t>KARLSTAD</t>
        </is>
      </c>
      <c r="G12090" t="n">
        <v>2.5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50973-2023</t>
        </is>
      </c>
      <c r="B12091" s="1" t="n">
        <v>45218</v>
      </c>
      <c r="C12091" s="1" t="n">
        <v>45810</v>
      </c>
      <c r="D12091" t="inlineStr">
        <is>
          <t>VÄRMLANDS LÄN</t>
        </is>
      </c>
      <c r="E12091" t="inlineStr">
        <is>
          <t>TORSBY</t>
        </is>
      </c>
      <c r="G12091" t="n">
        <v>10.7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50941-2023</t>
        </is>
      </c>
      <c r="B12092" s="1" t="n">
        <v>45218</v>
      </c>
      <c r="C12092" s="1" t="n">
        <v>45810</v>
      </c>
      <c r="D12092" t="inlineStr">
        <is>
          <t>VÄRMLANDS LÄN</t>
        </is>
      </c>
      <c r="E12092" t="inlineStr">
        <is>
          <t>ÅRJÄNG</t>
        </is>
      </c>
      <c r="G12092" t="n">
        <v>1.1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50971-2023</t>
        </is>
      </c>
      <c r="B12093" s="1" t="n">
        <v>45218</v>
      </c>
      <c r="C12093" s="1" t="n">
        <v>45810</v>
      </c>
      <c r="D12093" t="inlineStr">
        <is>
          <t>VÄRMLANDS LÄN</t>
        </is>
      </c>
      <c r="E12093" t="inlineStr">
        <is>
          <t>MUNKFORS</t>
        </is>
      </c>
      <c r="G12093" t="n">
        <v>4.7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50995-2023</t>
        </is>
      </c>
      <c r="B12094" s="1" t="n">
        <v>45218</v>
      </c>
      <c r="C12094" s="1" t="n">
        <v>45810</v>
      </c>
      <c r="D12094" t="inlineStr">
        <is>
          <t>VÄRMLANDS LÄN</t>
        </is>
      </c>
      <c r="E12094" t="inlineStr">
        <is>
          <t>FILIPSTAD</t>
        </is>
      </c>
      <c r="F12094" t="inlineStr">
        <is>
          <t>Bergvik skog väst AB</t>
        </is>
      </c>
      <c r="G12094" t="n">
        <v>2.2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51084-2023</t>
        </is>
      </c>
      <c r="B12095" s="1" t="n">
        <v>45218</v>
      </c>
      <c r="C12095" s="1" t="n">
        <v>45810</v>
      </c>
      <c r="D12095" t="inlineStr">
        <is>
          <t>VÄRMLANDS LÄN</t>
        </is>
      </c>
      <c r="E12095" t="inlineStr">
        <is>
          <t>SUNNE</t>
        </is>
      </c>
      <c r="G12095" t="n">
        <v>4.7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51088-2023</t>
        </is>
      </c>
      <c r="B12096" s="1" t="n">
        <v>45218</v>
      </c>
      <c r="C12096" s="1" t="n">
        <v>45810</v>
      </c>
      <c r="D12096" t="inlineStr">
        <is>
          <t>VÄRMLANDS LÄN</t>
        </is>
      </c>
      <c r="E12096" t="inlineStr">
        <is>
          <t>KARLSTAD</t>
        </is>
      </c>
      <c r="G12096" t="n">
        <v>9.800000000000001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50932-2023</t>
        </is>
      </c>
      <c r="B12097" s="1" t="n">
        <v>45218</v>
      </c>
      <c r="C12097" s="1" t="n">
        <v>45810</v>
      </c>
      <c r="D12097" t="inlineStr">
        <is>
          <t>VÄRMLANDS LÄN</t>
        </is>
      </c>
      <c r="E12097" t="inlineStr">
        <is>
          <t>ÅRJÄNG</t>
        </is>
      </c>
      <c r="G12097" t="n">
        <v>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50996-2023</t>
        </is>
      </c>
      <c r="B12098" s="1" t="n">
        <v>45218</v>
      </c>
      <c r="C12098" s="1" t="n">
        <v>45810</v>
      </c>
      <c r="D12098" t="inlineStr">
        <is>
          <t>VÄRMLANDS LÄN</t>
        </is>
      </c>
      <c r="E12098" t="inlineStr">
        <is>
          <t>SUNNE</t>
        </is>
      </c>
      <c r="G12098" t="n">
        <v>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51014-2023</t>
        </is>
      </c>
      <c r="B12099" s="1" t="n">
        <v>45218</v>
      </c>
      <c r="C12099" s="1" t="n">
        <v>45810</v>
      </c>
      <c r="D12099" t="inlineStr">
        <is>
          <t>VÄRMLANDS LÄN</t>
        </is>
      </c>
      <c r="E12099" t="inlineStr">
        <is>
          <t>FILIPSTAD</t>
        </is>
      </c>
      <c r="G12099" t="n">
        <v>1.1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51335-2023</t>
        </is>
      </c>
      <c r="B12100" s="1" t="n">
        <v>45219</v>
      </c>
      <c r="C12100" s="1" t="n">
        <v>45810</v>
      </c>
      <c r="D12100" t="inlineStr">
        <is>
          <t>VÄRMLANDS LÄN</t>
        </is>
      </c>
      <c r="E12100" t="inlineStr">
        <is>
          <t>ÅRJÄNG</t>
        </is>
      </c>
      <c r="G12100" t="n">
        <v>0.6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51302-2023</t>
        </is>
      </c>
      <c r="B12101" s="1" t="n">
        <v>45219</v>
      </c>
      <c r="C12101" s="1" t="n">
        <v>45810</v>
      </c>
      <c r="D12101" t="inlineStr">
        <is>
          <t>VÄRMLANDS LÄN</t>
        </is>
      </c>
      <c r="E12101" t="inlineStr">
        <is>
          <t>HAGFORS</t>
        </is>
      </c>
      <c r="F12101" t="inlineStr">
        <is>
          <t>Bergvik skog väst AB</t>
        </is>
      </c>
      <c r="G12101" t="n">
        <v>1.6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51199-2023</t>
        </is>
      </c>
      <c r="B12102" s="1" t="n">
        <v>45219</v>
      </c>
      <c r="C12102" s="1" t="n">
        <v>45810</v>
      </c>
      <c r="D12102" t="inlineStr">
        <is>
          <t>VÄRMLANDS LÄN</t>
        </is>
      </c>
      <c r="E12102" t="inlineStr">
        <is>
          <t>TORSBY</t>
        </is>
      </c>
      <c r="G12102" t="n">
        <v>4.8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51143-2023</t>
        </is>
      </c>
      <c r="B12103" s="1" t="n">
        <v>45219</v>
      </c>
      <c r="C12103" s="1" t="n">
        <v>45810</v>
      </c>
      <c r="D12103" t="inlineStr">
        <is>
          <t>VÄRMLANDS LÄN</t>
        </is>
      </c>
      <c r="E12103" t="inlineStr">
        <is>
          <t>SUNNE</t>
        </is>
      </c>
      <c r="F12103" t="inlineStr">
        <is>
          <t>Bergvik skog väst AB</t>
        </is>
      </c>
      <c r="G12103" t="n">
        <v>9.5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51215-2023</t>
        </is>
      </c>
      <c r="B12104" s="1" t="n">
        <v>45219</v>
      </c>
      <c r="C12104" s="1" t="n">
        <v>45810</v>
      </c>
      <c r="D12104" t="inlineStr">
        <is>
          <t>VÄRMLANDS LÄN</t>
        </is>
      </c>
      <c r="E12104" t="inlineStr">
        <is>
          <t>TORSBY</t>
        </is>
      </c>
      <c r="G12104" t="n">
        <v>2.5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51296-2023</t>
        </is>
      </c>
      <c r="B12105" s="1" t="n">
        <v>45219</v>
      </c>
      <c r="C12105" s="1" t="n">
        <v>45810</v>
      </c>
      <c r="D12105" t="inlineStr">
        <is>
          <t>VÄRMLANDS LÄN</t>
        </is>
      </c>
      <c r="E12105" t="inlineStr">
        <is>
          <t>HAGFORS</t>
        </is>
      </c>
      <c r="F12105" t="inlineStr">
        <is>
          <t>Bergvik skog väst AB</t>
        </is>
      </c>
      <c r="G12105" t="n">
        <v>9.1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52799-2023</t>
        </is>
      </c>
      <c r="B12106" s="1" t="n">
        <v>45219</v>
      </c>
      <c r="C12106" s="1" t="n">
        <v>45810</v>
      </c>
      <c r="D12106" t="inlineStr">
        <is>
          <t>VÄRMLANDS LÄN</t>
        </is>
      </c>
      <c r="E12106" t="inlineStr">
        <is>
          <t>KARLSTAD</t>
        </is>
      </c>
      <c r="G12106" t="n">
        <v>4.3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51343-2023</t>
        </is>
      </c>
      <c r="B12107" s="1" t="n">
        <v>45219</v>
      </c>
      <c r="C12107" s="1" t="n">
        <v>45810</v>
      </c>
      <c r="D12107" t="inlineStr">
        <is>
          <t>VÄRMLANDS LÄN</t>
        </is>
      </c>
      <c r="E12107" t="inlineStr">
        <is>
          <t>TORSBY</t>
        </is>
      </c>
      <c r="F12107" t="inlineStr">
        <is>
          <t>Bergvik skog väst AB</t>
        </is>
      </c>
      <c r="G12107" t="n">
        <v>1.8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51318-2023</t>
        </is>
      </c>
      <c r="B12108" s="1" t="n">
        <v>45219</v>
      </c>
      <c r="C12108" s="1" t="n">
        <v>45810</v>
      </c>
      <c r="D12108" t="inlineStr">
        <is>
          <t>VÄRMLANDS LÄN</t>
        </is>
      </c>
      <c r="E12108" t="inlineStr">
        <is>
          <t>SUNNE</t>
        </is>
      </c>
      <c r="G12108" t="n">
        <v>10.2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51304-2023</t>
        </is>
      </c>
      <c r="B12109" s="1" t="n">
        <v>45219</v>
      </c>
      <c r="C12109" s="1" t="n">
        <v>45810</v>
      </c>
      <c r="D12109" t="inlineStr">
        <is>
          <t>VÄRMLANDS LÄN</t>
        </is>
      </c>
      <c r="E12109" t="inlineStr">
        <is>
          <t>HAGFORS</t>
        </is>
      </c>
      <c r="F12109" t="inlineStr">
        <is>
          <t>Bergvik skog väst AB</t>
        </is>
      </c>
      <c r="G12109" t="n">
        <v>2.1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51258-2023</t>
        </is>
      </c>
      <c r="B12110" s="1" t="n">
        <v>45219</v>
      </c>
      <c r="C12110" s="1" t="n">
        <v>45810</v>
      </c>
      <c r="D12110" t="inlineStr">
        <is>
          <t>VÄRMLANDS LÄN</t>
        </is>
      </c>
      <c r="E12110" t="inlineStr">
        <is>
          <t>HAGFORS</t>
        </is>
      </c>
      <c r="F12110" t="inlineStr">
        <is>
          <t>Bergvik skog väst AB</t>
        </is>
      </c>
      <c r="G12110" t="n">
        <v>5.5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51235-2023</t>
        </is>
      </c>
      <c r="B12111" s="1" t="n">
        <v>45219</v>
      </c>
      <c r="C12111" s="1" t="n">
        <v>45810</v>
      </c>
      <c r="D12111" t="inlineStr">
        <is>
          <t>VÄRMLANDS LÄN</t>
        </is>
      </c>
      <c r="E12111" t="inlineStr">
        <is>
          <t>STORFORS</t>
        </is>
      </c>
      <c r="G12111" t="n">
        <v>1.2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51169-2023</t>
        </is>
      </c>
      <c r="B12112" s="1" t="n">
        <v>45219</v>
      </c>
      <c r="C12112" s="1" t="n">
        <v>45810</v>
      </c>
      <c r="D12112" t="inlineStr">
        <is>
          <t>VÄRMLANDS LÄN</t>
        </is>
      </c>
      <c r="E12112" t="inlineStr">
        <is>
          <t>ÅRJÄNG</t>
        </is>
      </c>
      <c r="F12112" t="inlineStr">
        <is>
          <t>Bergvik skog väst AB</t>
        </is>
      </c>
      <c r="G12112" t="n">
        <v>3.1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51225-2023</t>
        </is>
      </c>
      <c r="B12113" s="1" t="n">
        <v>45219</v>
      </c>
      <c r="C12113" s="1" t="n">
        <v>45810</v>
      </c>
      <c r="D12113" t="inlineStr">
        <is>
          <t>VÄRMLANDS LÄN</t>
        </is>
      </c>
      <c r="E12113" t="inlineStr">
        <is>
          <t>HAGFORS</t>
        </is>
      </c>
      <c r="F12113" t="inlineStr">
        <is>
          <t>Bergvik skog väst AB</t>
        </is>
      </c>
      <c r="G12113" t="n">
        <v>9.4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51229-2023</t>
        </is>
      </c>
      <c r="B12114" s="1" t="n">
        <v>45219</v>
      </c>
      <c r="C12114" s="1" t="n">
        <v>45810</v>
      </c>
      <c r="D12114" t="inlineStr">
        <is>
          <t>VÄRMLANDS LÄN</t>
        </is>
      </c>
      <c r="E12114" t="inlineStr">
        <is>
          <t>HAGFORS</t>
        </is>
      </c>
      <c r="F12114" t="inlineStr">
        <is>
          <t>Bergvik skog väst AB</t>
        </is>
      </c>
      <c r="G12114" t="n">
        <v>8.6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51307-2023</t>
        </is>
      </c>
      <c r="B12115" s="1" t="n">
        <v>45219</v>
      </c>
      <c r="C12115" s="1" t="n">
        <v>45810</v>
      </c>
      <c r="D12115" t="inlineStr">
        <is>
          <t>VÄRMLANDS LÄN</t>
        </is>
      </c>
      <c r="E12115" t="inlineStr">
        <is>
          <t>HAGFORS</t>
        </is>
      </c>
      <c r="F12115" t="inlineStr">
        <is>
          <t>Bergvik skog väst AB</t>
        </is>
      </c>
      <c r="G12115" t="n">
        <v>9.9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51349-2023</t>
        </is>
      </c>
      <c r="B12116" s="1" t="n">
        <v>45219</v>
      </c>
      <c r="C12116" s="1" t="n">
        <v>45810</v>
      </c>
      <c r="D12116" t="inlineStr">
        <is>
          <t>VÄRMLANDS LÄN</t>
        </is>
      </c>
      <c r="E12116" t="inlineStr">
        <is>
          <t>KARLSTAD</t>
        </is>
      </c>
      <c r="G12116" t="n">
        <v>1.7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51386-2023</t>
        </is>
      </c>
      <c r="B12117" s="1" t="n">
        <v>45219</v>
      </c>
      <c r="C12117" s="1" t="n">
        <v>45810</v>
      </c>
      <c r="D12117" t="inlineStr">
        <is>
          <t>VÄRMLANDS LÄN</t>
        </is>
      </c>
      <c r="E12117" t="inlineStr">
        <is>
          <t>TORSBY</t>
        </is>
      </c>
      <c r="G12117" t="n">
        <v>1.9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51183-2023</t>
        </is>
      </c>
      <c r="B12118" s="1" t="n">
        <v>45219</v>
      </c>
      <c r="C12118" s="1" t="n">
        <v>45810</v>
      </c>
      <c r="D12118" t="inlineStr">
        <is>
          <t>VÄRMLANDS LÄN</t>
        </is>
      </c>
      <c r="E12118" t="inlineStr">
        <is>
          <t>SUNNE</t>
        </is>
      </c>
      <c r="F12118" t="inlineStr">
        <is>
          <t>Bergvik skog väst AB</t>
        </is>
      </c>
      <c r="G12118" t="n">
        <v>7.6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51218-2023</t>
        </is>
      </c>
      <c r="B12119" s="1" t="n">
        <v>45219</v>
      </c>
      <c r="C12119" s="1" t="n">
        <v>45810</v>
      </c>
      <c r="D12119" t="inlineStr">
        <is>
          <t>VÄRMLANDS LÄN</t>
        </is>
      </c>
      <c r="E12119" t="inlineStr">
        <is>
          <t>STORFORS</t>
        </is>
      </c>
      <c r="G12119" t="n">
        <v>1.3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51299-2023</t>
        </is>
      </c>
      <c r="B12120" s="1" t="n">
        <v>45219</v>
      </c>
      <c r="C12120" s="1" t="n">
        <v>45810</v>
      </c>
      <c r="D12120" t="inlineStr">
        <is>
          <t>VÄRMLANDS LÄN</t>
        </is>
      </c>
      <c r="E12120" t="inlineStr">
        <is>
          <t>HAGFORS</t>
        </is>
      </c>
      <c r="F12120" t="inlineStr">
        <is>
          <t>Bergvik skog väst AB</t>
        </is>
      </c>
      <c r="G12120" t="n">
        <v>4.9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51309-2023</t>
        </is>
      </c>
      <c r="B12121" s="1" t="n">
        <v>45219</v>
      </c>
      <c r="C12121" s="1" t="n">
        <v>45810</v>
      </c>
      <c r="D12121" t="inlineStr">
        <is>
          <t>VÄRMLANDS LÄN</t>
        </is>
      </c>
      <c r="E12121" t="inlineStr">
        <is>
          <t>TORSBY</t>
        </is>
      </c>
      <c r="F12121" t="inlineStr">
        <is>
          <t>Bergvik skog väst AB</t>
        </is>
      </c>
      <c r="G12121" t="n">
        <v>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51459-2023</t>
        </is>
      </c>
      <c r="B12122" s="1" t="n">
        <v>45221</v>
      </c>
      <c r="C12122" s="1" t="n">
        <v>45810</v>
      </c>
      <c r="D12122" t="inlineStr">
        <is>
          <t>VÄRMLANDS LÄN</t>
        </is>
      </c>
      <c r="E12122" t="inlineStr">
        <is>
          <t>SÄFFLE</t>
        </is>
      </c>
      <c r="G12122" t="n">
        <v>2.8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51468-2023</t>
        </is>
      </c>
      <c r="B12123" s="1" t="n">
        <v>45221</v>
      </c>
      <c r="C12123" s="1" t="n">
        <v>45810</v>
      </c>
      <c r="D12123" t="inlineStr">
        <is>
          <t>VÄRMLANDS LÄN</t>
        </is>
      </c>
      <c r="E12123" t="inlineStr">
        <is>
          <t>EDA</t>
        </is>
      </c>
      <c r="F12123" t="inlineStr">
        <is>
          <t>Kommuner</t>
        </is>
      </c>
      <c r="G12123" t="n">
        <v>0.9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51469-2023</t>
        </is>
      </c>
      <c r="B12124" s="1" t="n">
        <v>45221</v>
      </c>
      <c r="C12124" s="1" t="n">
        <v>45810</v>
      </c>
      <c r="D12124" t="inlineStr">
        <is>
          <t>VÄRMLANDS LÄN</t>
        </is>
      </c>
      <c r="E12124" t="inlineStr">
        <is>
          <t>EDA</t>
        </is>
      </c>
      <c r="F12124" t="inlineStr">
        <is>
          <t>Kommuner</t>
        </is>
      </c>
      <c r="G12124" t="n">
        <v>0.8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51471-2023</t>
        </is>
      </c>
      <c r="B12125" s="1" t="n">
        <v>45221</v>
      </c>
      <c r="C12125" s="1" t="n">
        <v>45810</v>
      </c>
      <c r="D12125" t="inlineStr">
        <is>
          <t>VÄRMLANDS LÄN</t>
        </is>
      </c>
      <c r="E12125" t="inlineStr">
        <is>
          <t>EDA</t>
        </is>
      </c>
      <c r="F12125" t="inlineStr">
        <is>
          <t>Kommuner</t>
        </is>
      </c>
      <c r="G12125" t="n">
        <v>6.4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52803-2023</t>
        </is>
      </c>
      <c r="B12126" s="1" t="n">
        <v>45221</v>
      </c>
      <c r="C12126" s="1" t="n">
        <v>45810</v>
      </c>
      <c r="D12126" t="inlineStr">
        <is>
          <t>VÄRMLANDS LÄN</t>
        </is>
      </c>
      <c r="E12126" t="inlineStr">
        <is>
          <t>ÅRJÄNG</t>
        </is>
      </c>
      <c r="G12126" t="n">
        <v>2.4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51512-2023</t>
        </is>
      </c>
      <c r="B12127" s="1" t="n">
        <v>45222</v>
      </c>
      <c r="C12127" s="1" t="n">
        <v>45810</v>
      </c>
      <c r="D12127" t="inlineStr">
        <is>
          <t>VÄRMLANDS LÄN</t>
        </is>
      </c>
      <c r="E12127" t="inlineStr">
        <is>
          <t>EDA</t>
        </is>
      </c>
      <c r="G12127" t="n">
        <v>7.1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51654-2023</t>
        </is>
      </c>
      <c r="B12128" s="1" t="n">
        <v>45222</v>
      </c>
      <c r="C12128" s="1" t="n">
        <v>45810</v>
      </c>
      <c r="D12128" t="inlineStr">
        <is>
          <t>VÄRMLANDS LÄN</t>
        </is>
      </c>
      <c r="E12128" t="inlineStr">
        <is>
          <t>FILIPSTAD</t>
        </is>
      </c>
      <c r="F12128" t="inlineStr">
        <is>
          <t>Bergvik skog väst AB</t>
        </is>
      </c>
      <c r="G12128" t="n">
        <v>11.4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51698-2023</t>
        </is>
      </c>
      <c r="B12129" s="1" t="n">
        <v>45222</v>
      </c>
      <c r="C12129" s="1" t="n">
        <v>45810</v>
      </c>
      <c r="D12129" t="inlineStr">
        <is>
          <t>VÄRMLANDS LÄN</t>
        </is>
      </c>
      <c r="E12129" t="inlineStr">
        <is>
          <t>ARVIKA</t>
        </is>
      </c>
      <c r="F12129" t="inlineStr">
        <is>
          <t>Bergvik skog väst AB</t>
        </is>
      </c>
      <c r="G12129" t="n">
        <v>6.4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51751-2023</t>
        </is>
      </c>
      <c r="B12130" s="1" t="n">
        <v>45222</v>
      </c>
      <c r="C12130" s="1" t="n">
        <v>45810</v>
      </c>
      <c r="D12130" t="inlineStr">
        <is>
          <t>VÄRMLANDS LÄN</t>
        </is>
      </c>
      <c r="E12130" t="inlineStr">
        <is>
          <t>TORSBY</t>
        </is>
      </c>
      <c r="G12130" t="n">
        <v>3.4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51509-2023</t>
        </is>
      </c>
      <c r="B12131" s="1" t="n">
        <v>45222</v>
      </c>
      <c r="C12131" s="1" t="n">
        <v>45810</v>
      </c>
      <c r="D12131" t="inlineStr">
        <is>
          <t>VÄRMLANDS LÄN</t>
        </is>
      </c>
      <c r="E12131" t="inlineStr">
        <is>
          <t>KARLSTAD</t>
        </is>
      </c>
      <c r="G12131" t="n">
        <v>0.8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51600-2023</t>
        </is>
      </c>
      <c r="B12132" s="1" t="n">
        <v>45222</v>
      </c>
      <c r="C12132" s="1" t="n">
        <v>45810</v>
      </c>
      <c r="D12132" t="inlineStr">
        <is>
          <t>VÄRMLANDS LÄN</t>
        </is>
      </c>
      <c r="E12132" t="inlineStr">
        <is>
          <t>SÄFFLE</t>
        </is>
      </c>
      <c r="G12132" t="n">
        <v>2.9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51651-2023</t>
        </is>
      </c>
      <c r="B12133" s="1" t="n">
        <v>45222</v>
      </c>
      <c r="C12133" s="1" t="n">
        <v>45810</v>
      </c>
      <c r="D12133" t="inlineStr">
        <is>
          <t>VÄRMLANDS LÄN</t>
        </is>
      </c>
      <c r="E12133" t="inlineStr">
        <is>
          <t>KARLSTAD</t>
        </is>
      </c>
      <c r="G12133" t="n">
        <v>4.1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51666-2023</t>
        </is>
      </c>
      <c r="B12134" s="1" t="n">
        <v>45222</v>
      </c>
      <c r="C12134" s="1" t="n">
        <v>45810</v>
      </c>
      <c r="D12134" t="inlineStr">
        <is>
          <t>VÄRMLANDS LÄN</t>
        </is>
      </c>
      <c r="E12134" t="inlineStr">
        <is>
          <t>KRISTINEHAMN</t>
        </is>
      </c>
      <c r="F12134" t="inlineStr">
        <is>
          <t>Bergvik skog väst AB</t>
        </is>
      </c>
      <c r="G12134" t="n">
        <v>4.6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51679-2023</t>
        </is>
      </c>
      <c r="B12135" s="1" t="n">
        <v>45222</v>
      </c>
      <c r="C12135" s="1" t="n">
        <v>45810</v>
      </c>
      <c r="D12135" t="inlineStr">
        <is>
          <t>VÄRMLANDS LÄN</t>
        </is>
      </c>
      <c r="E12135" t="inlineStr">
        <is>
          <t>HAGFORS</t>
        </is>
      </c>
      <c r="F12135" t="inlineStr">
        <is>
          <t>Bergvik skog väst AB</t>
        </is>
      </c>
      <c r="G12135" t="n">
        <v>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51691-2023</t>
        </is>
      </c>
      <c r="B12136" s="1" t="n">
        <v>45222</v>
      </c>
      <c r="C12136" s="1" t="n">
        <v>45810</v>
      </c>
      <c r="D12136" t="inlineStr">
        <is>
          <t>VÄRMLANDS LÄN</t>
        </is>
      </c>
      <c r="E12136" t="inlineStr">
        <is>
          <t>SUNNE</t>
        </is>
      </c>
      <c r="G12136" t="n">
        <v>4.8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51704-2023</t>
        </is>
      </c>
      <c r="B12137" s="1" t="n">
        <v>45222</v>
      </c>
      <c r="C12137" s="1" t="n">
        <v>45810</v>
      </c>
      <c r="D12137" t="inlineStr">
        <is>
          <t>VÄRMLANDS LÄN</t>
        </is>
      </c>
      <c r="E12137" t="inlineStr">
        <is>
          <t>EDA</t>
        </is>
      </c>
      <c r="G12137" t="n">
        <v>1.5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51760-2023</t>
        </is>
      </c>
      <c r="B12138" s="1" t="n">
        <v>45222</v>
      </c>
      <c r="C12138" s="1" t="n">
        <v>45810</v>
      </c>
      <c r="D12138" t="inlineStr">
        <is>
          <t>VÄRMLANDS LÄN</t>
        </is>
      </c>
      <c r="E12138" t="inlineStr">
        <is>
          <t>KARLSTAD</t>
        </is>
      </c>
      <c r="G12138" t="n">
        <v>0.6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51788-2023</t>
        </is>
      </c>
      <c r="B12139" s="1" t="n">
        <v>45222</v>
      </c>
      <c r="C12139" s="1" t="n">
        <v>45810</v>
      </c>
      <c r="D12139" t="inlineStr">
        <is>
          <t>VÄRMLANDS LÄN</t>
        </is>
      </c>
      <c r="E12139" t="inlineStr">
        <is>
          <t>TORSBY</t>
        </is>
      </c>
      <c r="G12139" t="n">
        <v>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51616-2023</t>
        </is>
      </c>
      <c r="B12140" s="1" t="n">
        <v>45222</v>
      </c>
      <c r="C12140" s="1" t="n">
        <v>45810</v>
      </c>
      <c r="D12140" t="inlineStr">
        <is>
          <t>VÄRMLANDS LÄN</t>
        </is>
      </c>
      <c r="E12140" t="inlineStr">
        <is>
          <t>KRISTINEHAMN</t>
        </is>
      </c>
      <c r="G12140" t="n">
        <v>1.1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51675-2023</t>
        </is>
      </c>
      <c r="B12141" s="1" t="n">
        <v>45222</v>
      </c>
      <c r="C12141" s="1" t="n">
        <v>45810</v>
      </c>
      <c r="D12141" t="inlineStr">
        <is>
          <t>VÄRMLANDS LÄN</t>
        </is>
      </c>
      <c r="E12141" t="inlineStr">
        <is>
          <t>EDA</t>
        </is>
      </c>
      <c r="G12141" t="n">
        <v>1.3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51692-2023</t>
        </is>
      </c>
      <c r="B12142" s="1" t="n">
        <v>45222</v>
      </c>
      <c r="C12142" s="1" t="n">
        <v>45810</v>
      </c>
      <c r="D12142" t="inlineStr">
        <is>
          <t>VÄRMLANDS LÄN</t>
        </is>
      </c>
      <c r="E12142" t="inlineStr">
        <is>
          <t>EDA</t>
        </is>
      </c>
      <c r="G12142" t="n">
        <v>2.1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51696-2023</t>
        </is>
      </c>
      <c r="B12143" s="1" t="n">
        <v>45222</v>
      </c>
      <c r="C12143" s="1" t="n">
        <v>45810</v>
      </c>
      <c r="D12143" t="inlineStr">
        <is>
          <t>VÄRMLANDS LÄN</t>
        </is>
      </c>
      <c r="E12143" t="inlineStr">
        <is>
          <t>SUNNE</t>
        </is>
      </c>
      <c r="G12143" t="n">
        <v>5.1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51700-2023</t>
        </is>
      </c>
      <c r="B12144" s="1" t="n">
        <v>45222</v>
      </c>
      <c r="C12144" s="1" t="n">
        <v>45810</v>
      </c>
      <c r="D12144" t="inlineStr">
        <is>
          <t>VÄRMLANDS LÄN</t>
        </is>
      </c>
      <c r="E12144" t="inlineStr">
        <is>
          <t>KRISTINEHAMN</t>
        </is>
      </c>
      <c r="F12144" t="inlineStr">
        <is>
          <t>Bergvik skog väst AB</t>
        </is>
      </c>
      <c r="G12144" t="n">
        <v>6.8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51745-2023</t>
        </is>
      </c>
      <c r="B12145" s="1" t="n">
        <v>45222</v>
      </c>
      <c r="C12145" s="1" t="n">
        <v>45810</v>
      </c>
      <c r="D12145" t="inlineStr">
        <is>
          <t>VÄRMLANDS LÄN</t>
        </is>
      </c>
      <c r="E12145" t="inlineStr">
        <is>
          <t>KARLSTAD</t>
        </is>
      </c>
      <c r="G12145" t="n">
        <v>4.2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51753-2023</t>
        </is>
      </c>
      <c r="B12146" s="1" t="n">
        <v>45222</v>
      </c>
      <c r="C12146" s="1" t="n">
        <v>45810</v>
      </c>
      <c r="D12146" t="inlineStr">
        <is>
          <t>VÄRMLANDS LÄN</t>
        </is>
      </c>
      <c r="E12146" t="inlineStr">
        <is>
          <t>TORSBY</t>
        </is>
      </c>
      <c r="G12146" t="n">
        <v>0.8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53210-2023</t>
        </is>
      </c>
      <c r="B12147" s="1" t="n">
        <v>45222</v>
      </c>
      <c r="C12147" s="1" t="n">
        <v>45810</v>
      </c>
      <c r="D12147" t="inlineStr">
        <is>
          <t>VÄRMLANDS LÄN</t>
        </is>
      </c>
      <c r="E12147" t="inlineStr">
        <is>
          <t>FILIPSTAD</t>
        </is>
      </c>
      <c r="G12147" t="n">
        <v>4.9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51511-2023</t>
        </is>
      </c>
      <c r="B12148" s="1" t="n">
        <v>45222</v>
      </c>
      <c r="C12148" s="1" t="n">
        <v>45810</v>
      </c>
      <c r="D12148" t="inlineStr">
        <is>
          <t>VÄRMLANDS LÄN</t>
        </is>
      </c>
      <c r="E12148" t="inlineStr">
        <is>
          <t>KARLSTAD</t>
        </is>
      </c>
      <c r="G12148" t="n">
        <v>0.5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51593-2023</t>
        </is>
      </c>
      <c r="B12149" s="1" t="n">
        <v>45222</v>
      </c>
      <c r="C12149" s="1" t="n">
        <v>45810</v>
      </c>
      <c r="D12149" t="inlineStr">
        <is>
          <t>VÄRMLANDS LÄN</t>
        </is>
      </c>
      <c r="E12149" t="inlineStr">
        <is>
          <t>SÄFFLE</t>
        </is>
      </c>
      <c r="G12149" t="n">
        <v>2.1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51598-2023</t>
        </is>
      </c>
      <c r="B12150" s="1" t="n">
        <v>45222</v>
      </c>
      <c r="C12150" s="1" t="n">
        <v>45810</v>
      </c>
      <c r="D12150" t="inlineStr">
        <is>
          <t>VÄRMLANDS LÄN</t>
        </is>
      </c>
      <c r="E12150" t="inlineStr">
        <is>
          <t>SÄFFLE</t>
        </is>
      </c>
      <c r="G12150" t="n">
        <v>0.7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51602-2023</t>
        </is>
      </c>
      <c r="B12151" s="1" t="n">
        <v>45222</v>
      </c>
      <c r="C12151" s="1" t="n">
        <v>45810</v>
      </c>
      <c r="D12151" t="inlineStr">
        <is>
          <t>VÄRMLANDS LÄN</t>
        </is>
      </c>
      <c r="E12151" t="inlineStr">
        <is>
          <t>SÄFFLE</t>
        </is>
      </c>
      <c r="G12151" t="n">
        <v>0.4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51658-2023</t>
        </is>
      </c>
      <c r="B12152" s="1" t="n">
        <v>45222</v>
      </c>
      <c r="C12152" s="1" t="n">
        <v>45810</v>
      </c>
      <c r="D12152" t="inlineStr">
        <is>
          <t>VÄRMLANDS LÄN</t>
        </is>
      </c>
      <c r="E12152" t="inlineStr">
        <is>
          <t>ARVIKA</t>
        </is>
      </c>
      <c r="F12152" t="inlineStr">
        <is>
          <t>Bergvik skog väst AB</t>
        </is>
      </c>
      <c r="G12152" t="n">
        <v>4.6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51663-2023</t>
        </is>
      </c>
      <c r="B12153" s="1" t="n">
        <v>45222</v>
      </c>
      <c r="C12153" s="1" t="n">
        <v>45810</v>
      </c>
      <c r="D12153" t="inlineStr">
        <is>
          <t>VÄRMLANDS LÄN</t>
        </is>
      </c>
      <c r="E12153" t="inlineStr">
        <is>
          <t>KARLSTAD</t>
        </is>
      </c>
      <c r="G12153" t="n">
        <v>4.9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51668-2023</t>
        </is>
      </c>
      <c r="B12154" s="1" t="n">
        <v>45222</v>
      </c>
      <c r="C12154" s="1" t="n">
        <v>45810</v>
      </c>
      <c r="D12154" t="inlineStr">
        <is>
          <t>VÄRMLANDS LÄN</t>
        </is>
      </c>
      <c r="E12154" t="inlineStr">
        <is>
          <t>ARVIKA</t>
        </is>
      </c>
      <c r="F12154" t="inlineStr">
        <is>
          <t>Bergvik skog väst AB</t>
        </is>
      </c>
      <c r="G12154" t="n">
        <v>2.4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51672-2023</t>
        </is>
      </c>
      <c r="B12155" s="1" t="n">
        <v>45222</v>
      </c>
      <c r="C12155" s="1" t="n">
        <v>45810</v>
      </c>
      <c r="D12155" t="inlineStr">
        <is>
          <t>VÄRMLANDS LÄN</t>
        </is>
      </c>
      <c r="E12155" t="inlineStr">
        <is>
          <t>ARVIKA</t>
        </is>
      </c>
      <c r="F12155" t="inlineStr">
        <is>
          <t>Bergvik skog väst AB</t>
        </is>
      </c>
      <c r="G12155" t="n">
        <v>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51758-2023</t>
        </is>
      </c>
      <c r="B12156" s="1" t="n">
        <v>45222</v>
      </c>
      <c r="C12156" s="1" t="n">
        <v>45810</v>
      </c>
      <c r="D12156" t="inlineStr">
        <is>
          <t>VÄRMLANDS LÄN</t>
        </is>
      </c>
      <c r="E12156" t="inlineStr">
        <is>
          <t>KARLSTAD</t>
        </is>
      </c>
      <c r="G12156" t="n">
        <v>1.8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51851-2023</t>
        </is>
      </c>
      <c r="B12157" s="1" t="n">
        <v>45223</v>
      </c>
      <c r="C12157" s="1" t="n">
        <v>45810</v>
      </c>
      <c r="D12157" t="inlineStr">
        <is>
          <t>VÄRMLANDS LÄN</t>
        </is>
      </c>
      <c r="E12157" t="inlineStr">
        <is>
          <t>SUNNE</t>
        </is>
      </c>
      <c r="G12157" t="n">
        <v>0.6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51888-2023</t>
        </is>
      </c>
      <c r="B12158" s="1" t="n">
        <v>45223</v>
      </c>
      <c r="C12158" s="1" t="n">
        <v>45810</v>
      </c>
      <c r="D12158" t="inlineStr">
        <is>
          <t>VÄRMLANDS LÄN</t>
        </is>
      </c>
      <c r="E12158" t="inlineStr">
        <is>
          <t>KRISTINEHAMN</t>
        </is>
      </c>
      <c r="G12158" t="n">
        <v>0.9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51846-2023</t>
        </is>
      </c>
      <c r="B12159" s="1" t="n">
        <v>45223</v>
      </c>
      <c r="C12159" s="1" t="n">
        <v>45810</v>
      </c>
      <c r="D12159" t="inlineStr">
        <is>
          <t>VÄRMLANDS LÄN</t>
        </is>
      </c>
      <c r="E12159" t="inlineStr">
        <is>
          <t>SUNNE</t>
        </is>
      </c>
      <c r="G12159" t="n">
        <v>0.9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51886-2023</t>
        </is>
      </c>
      <c r="B12160" s="1" t="n">
        <v>45223</v>
      </c>
      <c r="C12160" s="1" t="n">
        <v>45810</v>
      </c>
      <c r="D12160" t="inlineStr">
        <is>
          <t>VÄRMLANDS LÄN</t>
        </is>
      </c>
      <c r="E12160" t="inlineStr">
        <is>
          <t>KRISTINEHAMN</t>
        </is>
      </c>
      <c r="G12160" t="n">
        <v>1.7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51985-2023</t>
        </is>
      </c>
      <c r="B12161" s="1" t="n">
        <v>45223</v>
      </c>
      <c r="C12161" s="1" t="n">
        <v>45810</v>
      </c>
      <c r="D12161" t="inlineStr">
        <is>
          <t>VÄRMLANDS LÄN</t>
        </is>
      </c>
      <c r="E12161" t="inlineStr">
        <is>
          <t>FILIPSTAD</t>
        </is>
      </c>
      <c r="F12161" t="inlineStr">
        <is>
          <t>Bergvik skog väst AB</t>
        </is>
      </c>
      <c r="G12161" t="n">
        <v>6.7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52042-2023</t>
        </is>
      </c>
      <c r="B12162" s="1" t="n">
        <v>45223</v>
      </c>
      <c r="C12162" s="1" t="n">
        <v>45810</v>
      </c>
      <c r="D12162" t="inlineStr">
        <is>
          <t>VÄRMLANDS LÄN</t>
        </is>
      </c>
      <c r="E12162" t="inlineStr">
        <is>
          <t>SUNNE</t>
        </is>
      </c>
      <c r="G12162" t="n">
        <v>1.4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52056-2023</t>
        </is>
      </c>
      <c r="B12163" s="1" t="n">
        <v>45223</v>
      </c>
      <c r="C12163" s="1" t="n">
        <v>45810</v>
      </c>
      <c r="D12163" t="inlineStr">
        <is>
          <t>VÄRMLANDS LÄN</t>
        </is>
      </c>
      <c r="E12163" t="inlineStr">
        <is>
          <t>KARLSTAD</t>
        </is>
      </c>
      <c r="G12163" t="n">
        <v>1.5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52078-2023</t>
        </is>
      </c>
      <c r="B12164" s="1" t="n">
        <v>45223</v>
      </c>
      <c r="C12164" s="1" t="n">
        <v>45810</v>
      </c>
      <c r="D12164" t="inlineStr">
        <is>
          <t>VÄRMLANDS LÄN</t>
        </is>
      </c>
      <c r="E12164" t="inlineStr">
        <is>
          <t>TORSBY</t>
        </is>
      </c>
      <c r="G12164" t="n">
        <v>7.1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51891-2023</t>
        </is>
      </c>
      <c r="B12165" s="1" t="n">
        <v>45223</v>
      </c>
      <c r="C12165" s="1" t="n">
        <v>45810</v>
      </c>
      <c r="D12165" t="inlineStr">
        <is>
          <t>VÄRMLANDS LÄN</t>
        </is>
      </c>
      <c r="E12165" t="inlineStr">
        <is>
          <t>HAGFORS</t>
        </is>
      </c>
      <c r="F12165" t="inlineStr">
        <is>
          <t>Bergvik skog väst AB</t>
        </is>
      </c>
      <c r="G12165" t="n">
        <v>2.6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52077-2023</t>
        </is>
      </c>
      <c r="B12166" s="1" t="n">
        <v>45223</v>
      </c>
      <c r="C12166" s="1" t="n">
        <v>45810</v>
      </c>
      <c r="D12166" t="inlineStr">
        <is>
          <t>VÄRMLANDS LÄN</t>
        </is>
      </c>
      <c r="E12166" t="inlineStr">
        <is>
          <t>ARVIKA</t>
        </is>
      </c>
      <c r="G12166" t="n">
        <v>3.9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51842-2023</t>
        </is>
      </c>
      <c r="B12167" s="1" t="n">
        <v>45223</v>
      </c>
      <c r="C12167" s="1" t="n">
        <v>45810</v>
      </c>
      <c r="D12167" t="inlineStr">
        <is>
          <t>VÄRMLANDS LÄN</t>
        </is>
      </c>
      <c r="E12167" t="inlineStr">
        <is>
          <t>SUNNE</t>
        </is>
      </c>
      <c r="G12167" t="n">
        <v>0.7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51857-2023</t>
        </is>
      </c>
      <c r="B12168" s="1" t="n">
        <v>45223</v>
      </c>
      <c r="C12168" s="1" t="n">
        <v>45810</v>
      </c>
      <c r="D12168" t="inlineStr">
        <is>
          <t>VÄRMLANDS LÄN</t>
        </is>
      </c>
      <c r="E12168" t="inlineStr">
        <is>
          <t>SUNNE</t>
        </is>
      </c>
      <c r="G12168" t="n">
        <v>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51865-2023</t>
        </is>
      </c>
      <c r="B12169" s="1" t="n">
        <v>45223</v>
      </c>
      <c r="C12169" s="1" t="n">
        <v>45810</v>
      </c>
      <c r="D12169" t="inlineStr">
        <is>
          <t>VÄRMLANDS LÄN</t>
        </is>
      </c>
      <c r="E12169" t="inlineStr">
        <is>
          <t>EDA</t>
        </is>
      </c>
      <c r="G12169" t="n">
        <v>2.5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51869-2023</t>
        </is>
      </c>
      <c r="B12170" s="1" t="n">
        <v>45223</v>
      </c>
      <c r="C12170" s="1" t="n">
        <v>45810</v>
      </c>
      <c r="D12170" t="inlineStr">
        <is>
          <t>VÄRMLANDS LÄN</t>
        </is>
      </c>
      <c r="E12170" t="inlineStr">
        <is>
          <t>SUNNE</t>
        </is>
      </c>
      <c r="G12170" t="n">
        <v>2.1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51915-2023</t>
        </is>
      </c>
      <c r="B12171" s="1" t="n">
        <v>45223</v>
      </c>
      <c r="C12171" s="1" t="n">
        <v>45810</v>
      </c>
      <c r="D12171" t="inlineStr">
        <is>
          <t>VÄRMLANDS LÄN</t>
        </is>
      </c>
      <c r="E12171" t="inlineStr">
        <is>
          <t>HAGFORS</t>
        </is>
      </c>
      <c r="F12171" t="inlineStr">
        <is>
          <t>Bergvik skog väst AB</t>
        </is>
      </c>
      <c r="G12171" t="n">
        <v>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51945-2023</t>
        </is>
      </c>
      <c r="B12172" s="1" t="n">
        <v>45223</v>
      </c>
      <c r="C12172" s="1" t="n">
        <v>45810</v>
      </c>
      <c r="D12172" t="inlineStr">
        <is>
          <t>VÄRMLANDS LÄN</t>
        </is>
      </c>
      <c r="E12172" t="inlineStr">
        <is>
          <t>FILIPSTAD</t>
        </is>
      </c>
      <c r="F12172" t="inlineStr">
        <is>
          <t>Bergvik skog väst AB</t>
        </is>
      </c>
      <c r="G12172" t="n">
        <v>4.6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52050-2023</t>
        </is>
      </c>
      <c r="B12173" s="1" t="n">
        <v>45223</v>
      </c>
      <c r="C12173" s="1" t="n">
        <v>45810</v>
      </c>
      <c r="D12173" t="inlineStr">
        <is>
          <t>VÄRMLANDS LÄN</t>
        </is>
      </c>
      <c r="E12173" t="inlineStr">
        <is>
          <t>TORSBY</t>
        </is>
      </c>
      <c r="G12173" t="n">
        <v>1.7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52067-2023</t>
        </is>
      </c>
      <c r="B12174" s="1" t="n">
        <v>45223</v>
      </c>
      <c r="C12174" s="1" t="n">
        <v>45810</v>
      </c>
      <c r="D12174" t="inlineStr">
        <is>
          <t>VÄRMLANDS LÄN</t>
        </is>
      </c>
      <c r="E12174" t="inlineStr">
        <is>
          <t>TORSBY</t>
        </is>
      </c>
      <c r="F12174" t="inlineStr">
        <is>
          <t>Bergvik skog väst AB</t>
        </is>
      </c>
      <c r="G12174" t="n">
        <v>40.4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53502-2023</t>
        </is>
      </c>
      <c r="B12175" s="1" t="n">
        <v>45223</v>
      </c>
      <c r="C12175" s="1" t="n">
        <v>45810</v>
      </c>
      <c r="D12175" t="inlineStr">
        <is>
          <t>VÄRMLANDS LÄN</t>
        </is>
      </c>
      <c r="E12175" t="inlineStr">
        <is>
          <t>SÄFFLE</t>
        </is>
      </c>
      <c r="G12175" t="n">
        <v>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53440-2023</t>
        </is>
      </c>
      <c r="B12176" s="1" t="n">
        <v>45223</v>
      </c>
      <c r="C12176" s="1" t="n">
        <v>45810</v>
      </c>
      <c r="D12176" t="inlineStr">
        <is>
          <t>VÄRMLANDS LÄN</t>
        </is>
      </c>
      <c r="E12176" t="inlineStr">
        <is>
          <t>SÄFFLE</t>
        </is>
      </c>
      <c r="G12176" t="n">
        <v>19.1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53499-2023</t>
        </is>
      </c>
      <c r="B12177" s="1" t="n">
        <v>45223</v>
      </c>
      <c r="C12177" s="1" t="n">
        <v>45810</v>
      </c>
      <c r="D12177" t="inlineStr">
        <is>
          <t>VÄRMLANDS LÄN</t>
        </is>
      </c>
      <c r="E12177" t="inlineStr">
        <is>
          <t>TORSBY</t>
        </is>
      </c>
      <c r="G12177" t="n">
        <v>4.3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52338-2023</t>
        </is>
      </c>
      <c r="B12178" s="1" t="n">
        <v>45224</v>
      </c>
      <c r="C12178" s="1" t="n">
        <v>45810</v>
      </c>
      <c r="D12178" t="inlineStr">
        <is>
          <t>VÄRMLANDS LÄN</t>
        </is>
      </c>
      <c r="E12178" t="inlineStr">
        <is>
          <t>EDA</t>
        </is>
      </c>
      <c r="F12178" t="inlineStr">
        <is>
          <t>Bergvik skog väst AB</t>
        </is>
      </c>
      <c r="G12178" t="n">
        <v>0.8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52255-2023</t>
        </is>
      </c>
      <c r="B12179" s="1" t="n">
        <v>45224</v>
      </c>
      <c r="C12179" s="1" t="n">
        <v>45810</v>
      </c>
      <c r="D12179" t="inlineStr">
        <is>
          <t>VÄRMLANDS LÄN</t>
        </is>
      </c>
      <c r="E12179" t="inlineStr">
        <is>
          <t>HAGFORS</t>
        </is>
      </c>
      <c r="F12179" t="inlineStr">
        <is>
          <t>Bergvik skog väst AB</t>
        </is>
      </c>
      <c r="G12179" t="n">
        <v>25.1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52275-2023</t>
        </is>
      </c>
      <c r="B12180" s="1" t="n">
        <v>45224</v>
      </c>
      <c r="C12180" s="1" t="n">
        <v>45810</v>
      </c>
      <c r="D12180" t="inlineStr">
        <is>
          <t>VÄRMLANDS LÄN</t>
        </is>
      </c>
      <c r="E12180" t="inlineStr">
        <is>
          <t>TORSBY</t>
        </is>
      </c>
      <c r="G12180" t="n">
        <v>1.5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52344-2023</t>
        </is>
      </c>
      <c r="B12181" s="1" t="n">
        <v>45224</v>
      </c>
      <c r="C12181" s="1" t="n">
        <v>45810</v>
      </c>
      <c r="D12181" t="inlineStr">
        <is>
          <t>VÄRMLANDS LÄN</t>
        </is>
      </c>
      <c r="E12181" t="inlineStr">
        <is>
          <t>SUNNE</t>
        </is>
      </c>
      <c r="G12181" t="n">
        <v>0.8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52224-2023</t>
        </is>
      </c>
      <c r="B12182" s="1" t="n">
        <v>45224</v>
      </c>
      <c r="C12182" s="1" t="n">
        <v>45810</v>
      </c>
      <c r="D12182" t="inlineStr">
        <is>
          <t>VÄRMLANDS LÄN</t>
        </is>
      </c>
      <c r="E12182" t="inlineStr">
        <is>
          <t>HAGFORS</t>
        </is>
      </c>
      <c r="G12182" t="n">
        <v>0</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52264-2023</t>
        </is>
      </c>
      <c r="B12183" s="1" t="n">
        <v>45224</v>
      </c>
      <c r="C12183" s="1" t="n">
        <v>45810</v>
      </c>
      <c r="D12183" t="inlineStr">
        <is>
          <t>VÄRMLANDS LÄN</t>
        </is>
      </c>
      <c r="E12183" t="inlineStr">
        <is>
          <t>KRISTINEHAMN</t>
        </is>
      </c>
      <c r="G12183" t="n">
        <v>0.9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52187-2023</t>
        </is>
      </c>
      <c r="B12184" s="1" t="n">
        <v>45224</v>
      </c>
      <c r="C12184" s="1" t="n">
        <v>45810</v>
      </c>
      <c r="D12184" t="inlineStr">
        <is>
          <t>VÄRMLANDS LÄN</t>
        </is>
      </c>
      <c r="E12184" t="inlineStr">
        <is>
          <t>EDA</t>
        </is>
      </c>
      <c r="G12184" t="n">
        <v>1.5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52236-2023</t>
        </is>
      </c>
      <c r="B12185" s="1" t="n">
        <v>45224</v>
      </c>
      <c r="C12185" s="1" t="n">
        <v>45810</v>
      </c>
      <c r="D12185" t="inlineStr">
        <is>
          <t>VÄRMLANDS LÄN</t>
        </is>
      </c>
      <c r="E12185" t="inlineStr">
        <is>
          <t>SUNNE</t>
        </is>
      </c>
      <c r="G12185" t="n">
        <v>1.1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52278-2023</t>
        </is>
      </c>
      <c r="B12186" s="1" t="n">
        <v>45224</v>
      </c>
      <c r="C12186" s="1" t="n">
        <v>45810</v>
      </c>
      <c r="D12186" t="inlineStr">
        <is>
          <t>VÄRMLANDS LÄN</t>
        </is>
      </c>
      <c r="E12186" t="inlineStr">
        <is>
          <t>ÅRJÄNG</t>
        </is>
      </c>
      <c r="G12186" t="n">
        <v>3.1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52385-2023</t>
        </is>
      </c>
      <c r="B12187" s="1" t="n">
        <v>45224</v>
      </c>
      <c r="C12187" s="1" t="n">
        <v>45810</v>
      </c>
      <c r="D12187" t="inlineStr">
        <is>
          <t>VÄRMLANDS LÄN</t>
        </is>
      </c>
      <c r="E12187" t="inlineStr">
        <is>
          <t>TORSBY</t>
        </is>
      </c>
      <c r="G12187" t="n">
        <v>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53652-2023</t>
        </is>
      </c>
      <c r="B12188" s="1" t="n">
        <v>45224</v>
      </c>
      <c r="C12188" s="1" t="n">
        <v>45810</v>
      </c>
      <c r="D12188" t="inlineStr">
        <is>
          <t>VÄRMLANDS LÄN</t>
        </is>
      </c>
      <c r="E12188" t="inlineStr">
        <is>
          <t>TORSBY</t>
        </is>
      </c>
      <c r="F12188" t="inlineStr">
        <is>
          <t>Övriga statliga verk och myndigheter</t>
        </is>
      </c>
      <c r="G12188" t="n">
        <v>0.8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52351-2023</t>
        </is>
      </c>
      <c r="B12189" s="1" t="n">
        <v>45224</v>
      </c>
      <c r="C12189" s="1" t="n">
        <v>45810</v>
      </c>
      <c r="D12189" t="inlineStr">
        <is>
          <t>VÄRMLANDS LÄN</t>
        </is>
      </c>
      <c r="E12189" t="inlineStr">
        <is>
          <t>SUNNE</t>
        </is>
      </c>
      <c r="G12189" t="n">
        <v>3.3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52521-2023</t>
        </is>
      </c>
      <c r="B12190" s="1" t="n">
        <v>45225</v>
      </c>
      <c r="C12190" s="1" t="n">
        <v>45810</v>
      </c>
      <c r="D12190" t="inlineStr">
        <is>
          <t>VÄRMLANDS LÄN</t>
        </is>
      </c>
      <c r="E12190" t="inlineStr">
        <is>
          <t>SUNNE</t>
        </is>
      </c>
      <c r="G12190" t="n">
        <v>1.1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52541-2023</t>
        </is>
      </c>
      <c r="B12191" s="1" t="n">
        <v>45225</v>
      </c>
      <c r="C12191" s="1" t="n">
        <v>45810</v>
      </c>
      <c r="D12191" t="inlineStr">
        <is>
          <t>VÄRMLANDS LÄN</t>
        </is>
      </c>
      <c r="E12191" t="inlineStr">
        <is>
          <t>TORSBY</t>
        </is>
      </c>
      <c r="G12191" t="n">
        <v>2.4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52580-2023</t>
        </is>
      </c>
      <c r="B12192" s="1" t="n">
        <v>45225</v>
      </c>
      <c r="C12192" s="1" t="n">
        <v>45810</v>
      </c>
      <c r="D12192" t="inlineStr">
        <is>
          <t>VÄRMLANDS LÄN</t>
        </is>
      </c>
      <c r="E12192" t="inlineStr">
        <is>
          <t>TORSBY</t>
        </is>
      </c>
      <c r="G12192" t="n">
        <v>3.3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52512-2023</t>
        </is>
      </c>
      <c r="B12193" s="1" t="n">
        <v>45225</v>
      </c>
      <c r="C12193" s="1" t="n">
        <v>45810</v>
      </c>
      <c r="D12193" t="inlineStr">
        <is>
          <t>VÄRMLANDS LÄN</t>
        </is>
      </c>
      <c r="E12193" t="inlineStr">
        <is>
          <t>SUNNE</t>
        </is>
      </c>
      <c r="G12193" t="n">
        <v>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52555-2023</t>
        </is>
      </c>
      <c r="B12194" s="1" t="n">
        <v>45225</v>
      </c>
      <c r="C12194" s="1" t="n">
        <v>45810</v>
      </c>
      <c r="D12194" t="inlineStr">
        <is>
          <t>VÄRMLANDS LÄN</t>
        </is>
      </c>
      <c r="E12194" t="inlineStr">
        <is>
          <t>TORSBY</t>
        </is>
      </c>
      <c r="G12194" t="n">
        <v>1.1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52532-2023</t>
        </is>
      </c>
      <c r="B12195" s="1" t="n">
        <v>45225</v>
      </c>
      <c r="C12195" s="1" t="n">
        <v>45810</v>
      </c>
      <c r="D12195" t="inlineStr">
        <is>
          <t>VÄRMLANDS LÄN</t>
        </is>
      </c>
      <c r="E12195" t="inlineStr">
        <is>
          <t>TORSBY</t>
        </is>
      </c>
      <c r="G12195" t="n">
        <v>0.4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52591-2023</t>
        </is>
      </c>
      <c r="B12196" s="1" t="n">
        <v>45225</v>
      </c>
      <c r="C12196" s="1" t="n">
        <v>45810</v>
      </c>
      <c r="D12196" t="inlineStr">
        <is>
          <t>VÄRMLANDS LÄN</t>
        </is>
      </c>
      <c r="E12196" t="inlineStr">
        <is>
          <t>TORSBY</t>
        </is>
      </c>
      <c r="G12196" t="n">
        <v>1.2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52692-2023</t>
        </is>
      </c>
      <c r="B12197" s="1" t="n">
        <v>45225</v>
      </c>
      <c r="C12197" s="1" t="n">
        <v>45810</v>
      </c>
      <c r="D12197" t="inlineStr">
        <is>
          <t>VÄRMLANDS LÄN</t>
        </is>
      </c>
      <c r="E12197" t="inlineStr">
        <is>
          <t>KRISTINEHAMN</t>
        </is>
      </c>
      <c r="G12197" t="n">
        <v>0.8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52757-2023</t>
        </is>
      </c>
      <c r="B12198" s="1" t="n">
        <v>45226</v>
      </c>
      <c r="C12198" s="1" t="n">
        <v>45810</v>
      </c>
      <c r="D12198" t="inlineStr">
        <is>
          <t>VÄRMLANDS LÄN</t>
        </is>
      </c>
      <c r="E12198" t="inlineStr">
        <is>
          <t>KARLSTAD</t>
        </is>
      </c>
      <c r="G12198" t="n">
        <v>3.6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54158-2023</t>
        </is>
      </c>
      <c r="B12199" s="1" t="n">
        <v>45225</v>
      </c>
      <c r="C12199" s="1" t="n">
        <v>45810</v>
      </c>
      <c r="D12199" t="inlineStr">
        <is>
          <t>VÄRMLANDS LÄN</t>
        </is>
      </c>
      <c r="E12199" t="inlineStr">
        <is>
          <t>ÅRJÄNG</t>
        </is>
      </c>
      <c r="G12199" t="n">
        <v>0.8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54552-2023</t>
        </is>
      </c>
      <c r="B12200" s="1" t="n">
        <v>45226</v>
      </c>
      <c r="C12200" s="1" t="n">
        <v>45810</v>
      </c>
      <c r="D12200" t="inlineStr">
        <is>
          <t>VÄRMLANDS LÄN</t>
        </is>
      </c>
      <c r="E12200" t="inlineStr">
        <is>
          <t>KRISTINEHAMN</t>
        </is>
      </c>
      <c r="G12200" t="n">
        <v>0.5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54535-2023</t>
        </is>
      </c>
      <c r="B12201" s="1" t="n">
        <v>45226</v>
      </c>
      <c r="C12201" s="1" t="n">
        <v>45810</v>
      </c>
      <c r="D12201" t="inlineStr">
        <is>
          <t>VÄRMLANDS LÄN</t>
        </is>
      </c>
      <c r="E12201" t="inlineStr">
        <is>
          <t>SUNNE</t>
        </is>
      </c>
      <c r="G12201" t="n">
        <v>3.5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52824-2023</t>
        </is>
      </c>
      <c r="B12202" s="1" t="n">
        <v>45226</v>
      </c>
      <c r="C12202" s="1" t="n">
        <v>45810</v>
      </c>
      <c r="D12202" t="inlineStr">
        <is>
          <t>VÄRMLANDS LÄN</t>
        </is>
      </c>
      <c r="E12202" t="inlineStr">
        <is>
          <t>HAGFORS</t>
        </is>
      </c>
      <c r="F12202" t="inlineStr">
        <is>
          <t>Bergvik skog väst AB</t>
        </is>
      </c>
      <c r="G12202" t="n">
        <v>0.9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52828-2023</t>
        </is>
      </c>
      <c r="B12203" s="1" t="n">
        <v>45226</v>
      </c>
      <c r="C12203" s="1" t="n">
        <v>45810</v>
      </c>
      <c r="D12203" t="inlineStr">
        <is>
          <t>VÄRMLANDS LÄN</t>
        </is>
      </c>
      <c r="E12203" t="inlineStr">
        <is>
          <t>HAGFORS</t>
        </is>
      </c>
      <c r="F12203" t="inlineStr">
        <is>
          <t>Bergvik skog väst AB</t>
        </is>
      </c>
      <c r="G12203" t="n">
        <v>0.5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52836-2023</t>
        </is>
      </c>
      <c r="B12204" s="1" t="n">
        <v>45226</v>
      </c>
      <c r="C12204" s="1" t="n">
        <v>45810</v>
      </c>
      <c r="D12204" t="inlineStr">
        <is>
          <t>VÄRMLANDS LÄN</t>
        </is>
      </c>
      <c r="E12204" t="inlineStr">
        <is>
          <t>EDA</t>
        </is>
      </c>
      <c r="G12204" t="n">
        <v>2.2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52862-2023</t>
        </is>
      </c>
      <c r="B12205" s="1" t="n">
        <v>45226</v>
      </c>
      <c r="C12205" s="1" t="n">
        <v>45810</v>
      </c>
      <c r="D12205" t="inlineStr">
        <is>
          <t>VÄRMLANDS LÄN</t>
        </is>
      </c>
      <c r="E12205" t="inlineStr">
        <is>
          <t>SUNNE</t>
        </is>
      </c>
      <c r="G12205" t="n">
        <v>1.2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52872-2023</t>
        </is>
      </c>
      <c r="B12206" s="1" t="n">
        <v>45226</v>
      </c>
      <c r="C12206" s="1" t="n">
        <v>45810</v>
      </c>
      <c r="D12206" t="inlineStr">
        <is>
          <t>VÄRMLANDS LÄN</t>
        </is>
      </c>
      <c r="E12206" t="inlineStr">
        <is>
          <t>STORFORS</t>
        </is>
      </c>
      <c r="F12206" t="inlineStr">
        <is>
          <t>Bergvik skog väst AB</t>
        </is>
      </c>
      <c r="G12206" t="n">
        <v>3.7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52984-2023</t>
        </is>
      </c>
      <c r="B12207" s="1" t="n">
        <v>45226</v>
      </c>
      <c r="C12207" s="1" t="n">
        <v>45810</v>
      </c>
      <c r="D12207" t="inlineStr">
        <is>
          <t>VÄRMLANDS LÄN</t>
        </is>
      </c>
      <c r="E12207" t="inlineStr">
        <is>
          <t>TORSBY</t>
        </is>
      </c>
      <c r="F12207" t="inlineStr">
        <is>
          <t>Bergvik skog väst AB</t>
        </is>
      </c>
      <c r="G12207" t="n">
        <v>34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54429-2023</t>
        </is>
      </c>
      <c r="B12208" s="1" t="n">
        <v>45226</v>
      </c>
      <c r="C12208" s="1" t="n">
        <v>45810</v>
      </c>
      <c r="D12208" t="inlineStr">
        <is>
          <t>VÄRMLANDS LÄN</t>
        </is>
      </c>
      <c r="E12208" t="inlineStr">
        <is>
          <t>SÄFFLE</t>
        </is>
      </c>
      <c r="G12208" t="n">
        <v>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52823-2023</t>
        </is>
      </c>
      <c r="B12209" s="1" t="n">
        <v>45226</v>
      </c>
      <c r="C12209" s="1" t="n">
        <v>45810</v>
      </c>
      <c r="D12209" t="inlineStr">
        <is>
          <t>VÄRMLANDS LÄN</t>
        </is>
      </c>
      <c r="E12209" t="inlineStr">
        <is>
          <t>EDA</t>
        </is>
      </c>
      <c r="G12209" t="n">
        <v>1.1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52994-2023</t>
        </is>
      </c>
      <c r="B12210" s="1" t="n">
        <v>45226</v>
      </c>
      <c r="C12210" s="1" t="n">
        <v>45810</v>
      </c>
      <c r="D12210" t="inlineStr">
        <is>
          <t>VÄRMLANDS LÄN</t>
        </is>
      </c>
      <c r="E12210" t="inlineStr">
        <is>
          <t>FILIPSTAD</t>
        </is>
      </c>
      <c r="F12210" t="inlineStr">
        <is>
          <t>Bergvik skog väst AB</t>
        </is>
      </c>
      <c r="G12210" t="n">
        <v>2.9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52839-2023</t>
        </is>
      </c>
      <c r="B12211" s="1" t="n">
        <v>45226</v>
      </c>
      <c r="C12211" s="1" t="n">
        <v>45810</v>
      </c>
      <c r="D12211" t="inlineStr">
        <is>
          <t>VÄRMLANDS LÄN</t>
        </is>
      </c>
      <c r="E12211" t="inlineStr">
        <is>
          <t>ARVIKA</t>
        </is>
      </c>
      <c r="F12211" t="inlineStr">
        <is>
          <t>Bergvik skog väst AB</t>
        </is>
      </c>
      <c r="G12211" t="n">
        <v>1.5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52982-2023</t>
        </is>
      </c>
      <c r="B12212" s="1" t="n">
        <v>45226</v>
      </c>
      <c r="C12212" s="1" t="n">
        <v>45810</v>
      </c>
      <c r="D12212" t="inlineStr">
        <is>
          <t>VÄRMLANDS LÄN</t>
        </is>
      </c>
      <c r="E12212" t="inlineStr">
        <is>
          <t>TORSBY</t>
        </is>
      </c>
      <c r="G12212" t="n">
        <v>35.5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52923-2023</t>
        </is>
      </c>
      <c r="B12213" s="1" t="n">
        <v>45226</v>
      </c>
      <c r="C12213" s="1" t="n">
        <v>45810</v>
      </c>
      <c r="D12213" t="inlineStr">
        <is>
          <t>VÄRMLANDS LÄN</t>
        </is>
      </c>
      <c r="E12213" t="inlineStr">
        <is>
          <t>HAGFORS</t>
        </is>
      </c>
      <c r="F12213" t="inlineStr">
        <is>
          <t>Bergvik skog väst AB</t>
        </is>
      </c>
      <c r="G12213" t="n">
        <v>1.2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52924-2023</t>
        </is>
      </c>
      <c r="B12214" s="1" t="n">
        <v>45226</v>
      </c>
      <c r="C12214" s="1" t="n">
        <v>45810</v>
      </c>
      <c r="D12214" t="inlineStr">
        <is>
          <t>VÄRMLANDS LÄN</t>
        </is>
      </c>
      <c r="E12214" t="inlineStr">
        <is>
          <t>HAGFORS</t>
        </is>
      </c>
      <c r="F12214" t="inlineStr">
        <is>
          <t>Bergvik skog väst AB</t>
        </is>
      </c>
      <c r="G12214" t="n">
        <v>1.8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52979-2023</t>
        </is>
      </c>
      <c r="B12215" s="1" t="n">
        <v>45226</v>
      </c>
      <c r="C12215" s="1" t="n">
        <v>45810</v>
      </c>
      <c r="D12215" t="inlineStr">
        <is>
          <t>VÄRMLANDS LÄN</t>
        </is>
      </c>
      <c r="E12215" t="inlineStr">
        <is>
          <t>STORFORS</t>
        </is>
      </c>
      <c r="F12215" t="inlineStr">
        <is>
          <t>Bergvik skog väst AB</t>
        </is>
      </c>
      <c r="G12215" t="n">
        <v>13.6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52838-2023</t>
        </is>
      </c>
      <c r="B12216" s="1" t="n">
        <v>45226</v>
      </c>
      <c r="C12216" s="1" t="n">
        <v>45810</v>
      </c>
      <c r="D12216" t="inlineStr">
        <is>
          <t>VÄRMLANDS LÄN</t>
        </is>
      </c>
      <c r="E12216" t="inlineStr">
        <is>
          <t>HAGFORS</t>
        </is>
      </c>
      <c r="F12216" t="inlineStr">
        <is>
          <t>Bergvik skog väst AB</t>
        </is>
      </c>
      <c r="G12216" t="n">
        <v>2.8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52834-2023</t>
        </is>
      </c>
      <c r="B12217" s="1" t="n">
        <v>45226</v>
      </c>
      <c r="C12217" s="1" t="n">
        <v>45810</v>
      </c>
      <c r="D12217" t="inlineStr">
        <is>
          <t>VÄRMLANDS LÄN</t>
        </is>
      </c>
      <c r="E12217" t="inlineStr">
        <is>
          <t>STORFORS</t>
        </is>
      </c>
      <c r="F12217" t="inlineStr">
        <is>
          <t>Bergvik skog väst AB</t>
        </is>
      </c>
      <c r="G12217" t="n">
        <v>2.4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52830-2023</t>
        </is>
      </c>
      <c r="B12218" s="1" t="n">
        <v>45226</v>
      </c>
      <c r="C12218" s="1" t="n">
        <v>45810</v>
      </c>
      <c r="D12218" t="inlineStr">
        <is>
          <t>VÄRMLANDS LÄN</t>
        </is>
      </c>
      <c r="E12218" t="inlineStr">
        <is>
          <t>HAGFORS</t>
        </is>
      </c>
      <c r="F12218" t="inlineStr">
        <is>
          <t>Bergvik skog väst AB</t>
        </is>
      </c>
      <c r="G12218" t="n">
        <v>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52995-2023</t>
        </is>
      </c>
      <c r="B12219" s="1" t="n">
        <v>45226</v>
      </c>
      <c r="C12219" s="1" t="n">
        <v>45810</v>
      </c>
      <c r="D12219" t="inlineStr">
        <is>
          <t>VÄRMLANDS LÄN</t>
        </is>
      </c>
      <c r="E12219" t="inlineStr">
        <is>
          <t>SUNNE</t>
        </is>
      </c>
      <c r="G12219" t="n">
        <v>9.199999999999999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52810-2023</t>
        </is>
      </c>
      <c r="B12220" s="1" t="n">
        <v>45226</v>
      </c>
      <c r="C12220" s="1" t="n">
        <v>45810</v>
      </c>
      <c r="D12220" t="inlineStr">
        <is>
          <t>VÄRMLANDS LÄN</t>
        </is>
      </c>
      <c r="E12220" t="inlineStr">
        <is>
          <t>TORSBY</t>
        </is>
      </c>
      <c r="G12220" t="n">
        <v>1.5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54548-2023</t>
        </is>
      </c>
      <c r="B12221" s="1" t="n">
        <v>45226</v>
      </c>
      <c r="C12221" s="1" t="n">
        <v>45810</v>
      </c>
      <c r="D12221" t="inlineStr">
        <is>
          <t>VÄRMLANDS LÄN</t>
        </is>
      </c>
      <c r="E12221" t="inlineStr">
        <is>
          <t>KRISTINEHAMN</t>
        </is>
      </c>
      <c r="G12221" t="n">
        <v>1.2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52998-2023</t>
        </is>
      </c>
      <c r="B12222" s="1" t="n">
        <v>45226</v>
      </c>
      <c r="C12222" s="1" t="n">
        <v>45810</v>
      </c>
      <c r="D12222" t="inlineStr">
        <is>
          <t>VÄRMLANDS LÄN</t>
        </is>
      </c>
      <c r="E12222" t="inlineStr">
        <is>
          <t>SUNNE</t>
        </is>
      </c>
      <c r="G12222" t="n">
        <v>1.1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52977-2023</t>
        </is>
      </c>
      <c r="B12223" s="1" t="n">
        <v>45226</v>
      </c>
      <c r="C12223" s="1" t="n">
        <v>45810</v>
      </c>
      <c r="D12223" t="inlineStr">
        <is>
          <t>VÄRMLANDS LÄN</t>
        </is>
      </c>
      <c r="E12223" t="inlineStr">
        <is>
          <t>HAGFORS</t>
        </is>
      </c>
      <c r="G12223" t="n">
        <v>3.2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52849-2023</t>
        </is>
      </c>
      <c r="B12224" s="1" t="n">
        <v>45226</v>
      </c>
      <c r="C12224" s="1" t="n">
        <v>45810</v>
      </c>
      <c r="D12224" t="inlineStr">
        <is>
          <t>VÄRMLANDS LÄN</t>
        </is>
      </c>
      <c r="E12224" t="inlineStr">
        <is>
          <t>FILIPSTAD</t>
        </is>
      </c>
      <c r="F12224" t="inlineStr">
        <is>
          <t>Bergvik skog väst AB</t>
        </is>
      </c>
      <c r="G12224" t="n">
        <v>5.9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52820-2023</t>
        </is>
      </c>
      <c r="B12225" s="1" t="n">
        <v>45226</v>
      </c>
      <c r="C12225" s="1" t="n">
        <v>45810</v>
      </c>
      <c r="D12225" t="inlineStr">
        <is>
          <t>VÄRMLANDS LÄN</t>
        </is>
      </c>
      <c r="E12225" t="inlineStr">
        <is>
          <t>SUNNE</t>
        </is>
      </c>
      <c r="G12225" t="n">
        <v>7.4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54591-2023</t>
        </is>
      </c>
      <c r="B12226" s="1" t="n">
        <v>45227</v>
      </c>
      <c r="C12226" s="1" t="n">
        <v>45810</v>
      </c>
      <c r="D12226" t="inlineStr">
        <is>
          <t>VÄRMLANDS LÄN</t>
        </is>
      </c>
      <c r="E12226" t="inlineStr">
        <is>
          <t>ÅRJÄNG</t>
        </is>
      </c>
      <c r="F12226" t="inlineStr">
        <is>
          <t>Övriga Aktiebolag</t>
        </is>
      </c>
      <c r="G12226" t="n">
        <v>3.3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53103-2023</t>
        </is>
      </c>
      <c r="B12227" s="1" t="n">
        <v>45228</v>
      </c>
      <c r="C12227" s="1" t="n">
        <v>45810</v>
      </c>
      <c r="D12227" t="inlineStr">
        <is>
          <t>VÄRMLANDS LÄN</t>
        </is>
      </c>
      <c r="E12227" t="inlineStr">
        <is>
          <t>TORSBY</t>
        </is>
      </c>
      <c r="G12227" t="n">
        <v>6.6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53116-2023</t>
        </is>
      </c>
      <c r="B12228" s="1" t="n">
        <v>45228</v>
      </c>
      <c r="C12228" s="1" t="n">
        <v>45810</v>
      </c>
      <c r="D12228" t="inlineStr">
        <is>
          <t>VÄRMLANDS LÄN</t>
        </is>
      </c>
      <c r="E12228" t="inlineStr">
        <is>
          <t>TORSBY</t>
        </is>
      </c>
      <c r="G12228" t="n">
        <v>0.9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53137-2023</t>
        </is>
      </c>
      <c r="B12229" s="1" t="n">
        <v>45229</v>
      </c>
      <c r="C12229" s="1" t="n">
        <v>45810</v>
      </c>
      <c r="D12229" t="inlineStr">
        <is>
          <t>VÄRMLANDS LÄN</t>
        </is>
      </c>
      <c r="E12229" t="inlineStr">
        <is>
          <t>GRUMS</t>
        </is>
      </c>
      <c r="G12229" t="n">
        <v>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53150-2023</t>
        </is>
      </c>
      <c r="B12230" s="1" t="n">
        <v>45229</v>
      </c>
      <c r="C12230" s="1" t="n">
        <v>45810</v>
      </c>
      <c r="D12230" t="inlineStr">
        <is>
          <t>VÄRMLANDS LÄN</t>
        </is>
      </c>
      <c r="E12230" t="inlineStr">
        <is>
          <t>KARLSTAD</t>
        </is>
      </c>
      <c r="G12230" t="n">
        <v>4.7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53175-2023</t>
        </is>
      </c>
      <c r="B12231" s="1" t="n">
        <v>45229</v>
      </c>
      <c r="C12231" s="1" t="n">
        <v>45810</v>
      </c>
      <c r="D12231" t="inlineStr">
        <is>
          <t>VÄRMLANDS LÄN</t>
        </is>
      </c>
      <c r="E12231" t="inlineStr">
        <is>
          <t>HAGFORS</t>
        </is>
      </c>
      <c r="F12231" t="inlineStr">
        <is>
          <t>Bergvik skog väst AB</t>
        </is>
      </c>
      <c r="G12231" t="n">
        <v>12.6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53203-2023</t>
        </is>
      </c>
      <c r="B12232" s="1" t="n">
        <v>45229</v>
      </c>
      <c r="C12232" s="1" t="n">
        <v>45810</v>
      </c>
      <c r="D12232" t="inlineStr">
        <is>
          <t>VÄRMLANDS LÄN</t>
        </is>
      </c>
      <c r="E12232" t="inlineStr">
        <is>
          <t>ARVIKA</t>
        </is>
      </c>
      <c r="G12232" t="n">
        <v>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53263-2023</t>
        </is>
      </c>
      <c r="B12233" s="1" t="n">
        <v>45229</v>
      </c>
      <c r="C12233" s="1" t="n">
        <v>45810</v>
      </c>
      <c r="D12233" t="inlineStr">
        <is>
          <t>VÄRMLANDS LÄN</t>
        </is>
      </c>
      <c r="E12233" t="inlineStr">
        <is>
          <t>EDA</t>
        </is>
      </c>
      <c r="F12233" t="inlineStr">
        <is>
          <t>Bergvik skog väst AB</t>
        </is>
      </c>
      <c r="G12233" t="n">
        <v>8.5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53144-2023</t>
        </is>
      </c>
      <c r="B12234" s="1" t="n">
        <v>45229</v>
      </c>
      <c r="C12234" s="1" t="n">
        <v>45810</v>
      </c>
      <c r="D12234" t="inlineStr">
        <is>
          <t>VÄRMLANDS LÄN</t>
        </is>
      </c>
      <c r="E12234" t="inlineStr">
        <is>
          <t>SUNNE</t>
        </is>
      </c>
      <c r="G12234" t="n">
        <v>3.3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53148-2023</t>
        </is>
      </c>
      <c r="B12235" s="1" t="n">
        <v>45229</v>
      </c>
      <c r="C12235" s="1" t="n">
        <v>45810</v>
      </c>
      <c r="D12235" t="inlineStr">
        <is>
          <t>VÄRMLANDS LÄN</t>
        </is>
      </c>
      <c r="E12235" t="inlineStr">
        <is>
          <t>GRUMS</t>
        </is>
      </c>
      <c r="G12235" t="n">
        <v>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53245-2023</t>
        </is>
      </c>
      <c r="B12236" s="1" t="n">
        <v>45229</v>
      </c>
      <c r="C12236" s="1" t="n">
        <v>45810</v>
      </c>
      <c r="D12236" t="inlineStr">
        <is>
          <t>VÄRMLANDS LÄN</t>
        </is>
      </c>
      <c r="E12236" t="inlineStr">
        <is>
          <t>EDA</t>
        </is>
      </c>
      <c r="F12236" t="inlineStr">
        <is>
          <t>Bergvik skog väst AB</t>
        </is>
      </c>
      <c r="G12236" t="n">
        <v>1.7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53250-2023</t>
        </is>
      </c>
      <c r="B12237" s="1" t="n">
        <v>45229</v>
      </c>
      <c r="C12237" s="1" t="n">
        <v>45810</v>
      </c>
      <c r="D12237" t="inlineStr">
        <is>
          <t>VÄRMLANDS LÄN</t>
        </is>
      </c>
      <c r="E12237" t="inlineStr">
        <is>
          <t>KARLSTAD</t>
        </is>
      </c>
      <c r="G12237" t="n">
        <v>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53288-2023</t>
        </is>
      </c>
      <c r="B12238" s="1" t="n">
        <v>45229</v>
      </c>
      <c r="C12238" s="1" t="n">
        <v>45810</v>
      </c>
      <c r="D12238" t="inlineStr">
        <is>
          <t>VÄRMLANDS LÄN</t>
        </is>
      </c>
      <c r="E12238" t="inlineStr">
        <is>
          <t>HAMMARÖ</t>
        </is>
      </c>
      <c r="F12238" t="inlineStr">
        <is>
          <t>Övriga Aktiebolag</t>
        </is>
      </c>
      <c r="G12238" t="n">
        <v>0.1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53300-2023</t>
        </is>
      </c>
      <c r="B12239" s="1" t="n">
        <v>45229</v>
      </c>
      <c r="C12239" s="1" t="n">
        <v>45810</v>
      </c>
      <c r="D12239" t="inlineStr">
        <is>
          <t>VÄRMLANDS LÄN</t>
        </is>
      </c>
      <c r="E12239" t="inlineStr">
        <is>
          <t>SÄFFLE</t>
        </is>
      </c>
      <c r="G12239" t="n">
        <v>0.6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53416-2023</t>
        </is>
      </c>
      <c r="B12240" s="1" t="n">
        <v>45229</v>
      </c>
      <c r="C12240" s="1" t="n">
        <v>45810</v>
      </c>
      <c r="D12240" t="inlineStr">
        <is>
          <t>VÄRMLANDS LÄN</t>
        </is>
      </c>
      <c r="E12240" t="inlineStr">
        <is>
          <t>KIL</t>
        </is>
      </c>
      <c r="G12240" t="n">
        <v>2.5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53332-2023</t>
        </is>
      </c>
      <c r="B12241" s="1" t="n">
        <v>45229</v>
      </c>
      <c r="C12241" s="1" t="n">
        <v>45810</v>
      </c>
      <c r="D12241" t="inlineStr">
        <is>
          <t>VÄRMLANDS LÄN</t>
        </is>
      </c>
      <c r="E12241" t="inlineStr">
        <is>
          <t>ÅRJÄNG</t>
        </is>
      </c>
      <c r="G12241" t="n">
        <v>1.9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53346-2023</t>
        </is>
      </c>
      <c r="B12242" s="1" t="n">
        <v>45229</v>
      </c>
      <c r="C12242" s="1" t="n">
        <v>45810</v>
      </c>
      <c r="D12242" t="inlineStr">
        <is>
          <t>VÄRMLANDS LÄN</t>
        </is>
      </c>
      <c r="E12242" t="inlineStr">
        <is>
          <t>TORSBY</t>
        </is>
      </c>
      <c r="G12242" t="n">
        <v>5.4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53414-2023</t>
        </is>
      </c>
      <c r="B12243" s="1" t="n">
        <v>45229</v>
      </c>
      <c r="C12243" s="1" t="n">
        <v>45810</v>
      </c>
      <c r="D12243" t="inlineStr">
        <is>
          <t>VÄRMLANDS LÄN</t>
        </is>
      </c>
      <c r="E12243" t="inlineStr">
        <is>
          <t>KIL</t>
        </is>
      </c>
      <c r="G12243" t="n">
        <v>1.1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53202-2023</t>
        </is>
      </c>
      <c r="B12244" s="1" t="n">
        <v>45229</v>
      </c>
      <c r="C12244" s="1" t="n">
        <v>45810</v>
      </c>
      <c r="D12244" t="inlineStr">
        <is>
          <t>VÄRMLANDS LÄN</t>
        </is>
      </c>
      <c r="E12244" t="inlineStr">
        <is>
          <t>STORFORS</t>
        </is>
      </c>
      <c r="G12244" t="n">
        <v>7.6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53305-2023</t>
        </is>
      </c>
      <c r="B12245" s="1" t="n">
        <v>45229</v>
      </c>
      <c r="C12245" s="1" t="n">
        <v>45810</v>
      </c>
      <c r="D12245" t="inlineStr">
        <is>
          <t>VÄRMLANDS LÄN</t>
        </is>
      </c>
      <c r="E12245" t="inlineStr">
        <is>
          <t>KARLSTAD</t>
        </is>
      </c>
      <c r="F12245" t="inlineStr">
        <is>
          <t>Övriga Aktiebolag</t>
        </is>
      </c>
      <c r="G12245" t="n">
        <v>0.6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53348-2023</t>
        </is>
      </c>
      <c r="B12246" s="1" t="n">
        <v>45229</v>
      </c>
      <c r="C12246" s="1" t="n">
        <v>45810</v>
      </c>
      <c r="D12246" t="inlineStr">
        <is>
          <t>VÄRMLANDS LÄN</t>
        </is>
      </c>
      <c r="E12246" t="inlineStr">
        <is>
          <t>FILIPSTAD</t>
        </is>
      </c>
      <c r="F12246" t="inlineStr">
        <is>
          <t>Bergvik skog väst AB</t>
        </is>
      </c>
      <c r="G12246" t="n">
        <v>2.4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53138-2023</t>
        </is>
      </c>
      <c r="B12247" s="1" t="n">
        <v>45229</v>
      </c>
      <c r="C12247" s="1" t="n">
        <v>45810</v>
      </c>
      <c r="D12247" t="inlineStr">
        <is>
          <t>VÄRMLANDS LÄN</t>
        </is>
      </c>
      <c r="E12247" t="inlineStr">
        <is>
          <t>GRUMS</t>
        </is>
      </c>
      <c r="G12247" t="n">
        <v>3.4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53156-2023</t>
        </is>
      </c>
      <c r="B12248" s="1" t="n">
        <v>45229</v>
      </c>
      <c r="C12248" s="1" t="n">
        <v>45810</v>
      </c>
      <c r="D12248" t="inlineStr">
        <is>
          <t>VÄRMLANDS LÄN</t>
        </is>
      </c>
      <c r="E12248" t="inlineStr">
        <is>
          <t>HAGFORS</t>
        </is>
      </c>
      <c r="G12248" t="n">
        <v>1.1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53176-2023</t>
        </is>
      </c>
      <c r="B12249" s="1" t="n">
        <v>45229</v>
      </c>
      <c r="C12249" s="1" t="n">
        <v>45810</v>
      </c>
      <c r="D12249" t="inlineStr">
        <is>
          <t>VÄRMLANDS LÄN</t>
        </is>
      </c>
      <c r="E12249" t="inlineStr">
        <is>
          <t>STORFORS</t>
        </is>
      </c>
      <c r="F12249" t="inlineStr">
        <is>
          <t>Bergvik skog väst AB</t>
        </is>
      </c>
      <c r="G12249" t="n">
        <v>12.8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53216-2023</t>
        </is>
      </c>
      <c r="B12250" s="1" t="n">
        <v>45229</v>
      </c>
      <c r="C12250" s="1" t="n">
        <v>45810</v>
      </c>
      <c r="D12250" t="inlineStr">
        <is>
          <t>VÄRMLANDS LÄN</t>
        </is>
      </c>
      <c r="E12250" t="inlineStr">
        <is>
          <t>FILIPSTAD</t>
        </is>
      </c>
      <c r="F12250" t="inlineStr">
        <is>
          <t>Bergvik skog väst AB</t>
        </is>
      </c>
      <c r="G12250" t="n">
        <v>10.8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53303-2023</t>
        </is>
      </c>
      <c r="B12251" s="1" t="n">
        <v>45229</v>
      </c>
      <c r="C12251" s="1" t="n">
        <v>45810</v>
      </c>
      <c r="D12251" t="inlineStr">
        <is>
          <t>VÄRMLANDS LÄN</t>
        </is>
      </c>
      <c r="E12251" t="inlineStr">
        <is>
          <t>SÄFFLE</t>
        </is>
      </c>
      <c r="G12251" t="n">
        <v>1.8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53396-2023</t>
        </is>
      </c>
      <c r="B12252" s="1" t="n">
        <v>45229</v>
      </c>
      <c r="C12252" s="1" t="n">
        <v>45810</v>
      </c>
      <c r="D12252" t="inlineStr">
        <is>
          <t>VÄRMLANDS LÄN</t>
        </is>
      </c>
      <c r="E12252" t="inlineStr">
        <is>
          <t>EDA</t>
        </is>
      </c>
      <c r="G12252" t="n">
        <v>1.5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54828-2023</t>
        </is>
      </c>
      <c r="B12253" s="1" t="n">
        <v>45229</v>
      </c>
      <c r="C12253" s="1" t="n">
        <v>45810</v>
      </c>
      <c r="D12253" t="inlineStr">
        <is>
          <t>VÄRMLANDS LÄN</t>
        </is>
      </c>
      <c r="E12253" t="inlineStr">
        <is>
          <t>FILIPSTAD</t>
        </is>
      </c>
      <c r="G12253" t="n">
        <v>1.3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54879-2023</t>
        </is>
      </c>
      <c r="B12254" s="1" t="n">
        <v>45229</v>
      </c>
      <c r="C12254" s="1" t="n">
        <v>45810</v>
      </c>
      <c r="D12254" t="inlineStr">
        <is>
          <t>VÄRMLANDS LÄN</t>
        </is>
      </c>
      <c r="E12254" t="inlineStr">
        <is>
          <t>TORSBY</t>
        </is>
      </c>
      <c r="G12254" t="n">
        <v>3.2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54822-2023</t>
        </is>
      </c>
      <c r="B12255" s="1" t="n">
        <v>45229</v>
      </c>
      <c r="C12255" s="1" t="n">
        <v>45810</v>
      </c>
      <c r="D12255" t="inlineStr">
        <is>
          <t>VÄRMLANDS LÄN</t>
        </is>
      </c>
      <c r="E12255" t="inlineStr">
        <is>
          <t>TORSBY</t>
        </is>
      </c>
      <c r="F12255" t="inlineStr">
        <is>
          <t>Övriga Aktiebolag</t>
        </is>
      </c>
      <c r="G12255" t="n">
        <v>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54836-2023</t>
        </is>
      </c>
      <c r="B12256" s="1" t="n">
        <v>45229</v>
      </c>
      <c r="C12256" s="1" t="n">
        <v>45810</v>
      </c>
      <c r="D12256" t="inlineStr">
        <is>
          <t>VÄRMLANDS LÄN</t>
        </is>
      </c>
      <c r="E12256" t="inlineStr">
        <is>
          <t>FILIPSTAD</t>
        </is>
      </c>
      <c r="G12256" t="n">
        <v>1.2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53557-2023</t>
        </is>
      </c>
      <c r="B12257" s="1" t="n">
        <v>45230</v>
      </c>
      <c r="C12257" s="1" t="n">
        <v>45810</v>
      </c>
      <c r="D12257" t="inlineStr">
        <is>
          <t>VÄRMLANDS LÄN</t>
        </is>
      </c>
      <c r="E12257" t="inlineStr">
        <is>
          <t>TORSBY</t>
        </is>
      </c>
      <c r="F12257" t="inlineStr">
        <is>
          <t>Bergvik skog väst AB</t>
        </is>
      </c>
      <c r="G12257" t="n">
        <v>1.9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53720-2023</t>
        </is>
      </c>
      <c r="B12258" s="1" t="n">
        <v>45230</v>
      </c>
      <c r="C12258" s="1" t="n">
        <v>45810</v>
      </c>
      <c r="D12258" t="inlineStr">
        <is>
          <t>VÄRMLANDS LÄN</t>
        </is>
      </c>
      <c r="E12258" t="inlineStr">
        <is>
          <t>KRISTINEHAMN</t>
        </is>
      </c>
      <c r="G12258" t="n">
        <v>1.7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53744-2023</t>
        </is>
      </c>
      <c r="B12259" s="1" t="n">
        <v>45230</v>
      </c>
      <c r="C12259" s="1" t="n">
        <v>45810</v>
      </c>
      <c r="D12259" t="inlineStr">
        <is>
          <t>VÄRMLANDS LÄN</t>
        </is>
      </c>
      <c r="E12259" t="inlineStr">
        <is>
          <t>FILIPSTAD</t>
        </is>
      </c>
      <c r="G12259" t="n">
        <v>3.5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53599-2023</t>
        </is>
      </c>
      <c r="B12260" s="1" t="n">
        <v>45230</v>
      </c>
      <c r="C12260" s="1" t="n">
        <v>45810</v>
      </c>
      <c r="D12260" t="inlineStr">
        <is>
          <t>VÄRMLANDS LÄN</t>
        </is>
      </c>
      <c r="E12260" t="inlineStr">
        <is>
          <t>HAGFORS</t>
        </is>
      </c>
      <c r="F12260" t="inlineStr">
        <is>
          <t>Bergvik skog väst AB</t>
        </is>
      </c>
      <c r="G12260" t="n">
        <v>34.7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53613-2023</t>
        </is>
      </c>
      <c r="B12261" s="1" t="n">
        <v>45230</v>
      </c>
      <c r="C12261" s="1" t="n">
        <v>45810</v>
      </c>
      <c r="D12261" t="inlineStr">
        <is>
          <t>VÄRMLANDS LÄN</t>
        </is>
      </c>
      <c r="E12261" t="inlineStr">
        <is>
          <t>ÅRJÄNG</t>
        </is>
      </c>
      <c r="G12261" t="n">
        <v>1.4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53611-2023</t>
        </is>
      </c>
      <c r="B12262" s="1" t="n">
        <v>45230</v>
      </c>
      <c r="C12262" s="1" t="n">
        <v>45810</v>
      </c>
      <c r="D12262" t="inlineStr">
        <is>
          <t>VÄRMLANDS LÄN</t>
        </is>
      </c>
      <c r="E12262" t="inlineStr">
        <is>
          <t>ÅRJÄNG</t>
        </is>
      </c>
      <c r="G12262" t="n">
        <v>12.3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53601-2023</t>
        </is>
      </c>
      <c r="B12263" s="1" t="n">
        <v>45230</v>
      </c>
      <c r="C12263" s="1" t="n">
        <v>45810</v>
      </c>
      <c r="D12263" t="inlineStr">
        <is>
          <t>VÄRMLANDS LÄN</t>
        </is>
      </c>
      <c r="E12263" t="inlineStr">
        <is>
          <t>SUNNE</t>
        </is>
      </c>
      <c r="G12263" t="n">
        <v>6.1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53567-2023</t>
        </is>
      </c>
      <c r="B12264" s="1" t="n">
        <v>45230</v>
      </c>
      <c r="C12264" s="1" t="n">
        <v>45810</v>
      </c>
      <c r="D12264" t="inlineStr">
        <is>
          <t>VÄRMLANDS LÄN</t>
        </is>
      </c>
      <c r="E12264" t="inlineStr">
        <is>
          <t>ÅRJÄNG</t>
        </is>
      </c>
      <c r="G12264" t="n">
        <v>1.7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53560-2023</t>
        </is>
      </c>
      <c r="B12265" s="1" t="n">
        <v>45230</v>
      </c>
      <c r="C12265" s="1" t="n">
        <v>45810</v>
      </c>
      <c r="D12265" t="inlineStr">
        <is>
          <t>VÄRMLANDS LÄN</t>
        </is>
      </c>
      <c r="E12265" t="inlineStr">
        <is>
          <t>ARVIKA</t>
        </is>
      </c>
      <c r="F12265" t="inlineStr">
        <is>
          <t>Bergvik skog väst AB</t>
        </is>
      </c>
      <c r="G12265" t="n">
        <v>8.699999999999999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53554-2023</t>
        </is>
      </c>
      <c r="B12266" s="1" t="n">
        <v>45230</v>
      </c>
      <c r="C12266" s="1" t="n">
        <v>45810</v>
      </c>
      <c r="D12266" t="inlineStr">
        <is>
          <t>VÄRMLANDS LÄN</t>
        </is>
      </c>
      <c r="E12266" t="inlineStr">
        <is>
          <t>ÅRJÄNG</t>
        </is>
      </c>
      <c r="G12266" t="n">
        <v>0.5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53516-2023</t>
        </is>
      </c>
      <c r="B12267" s="1" t="n">
        <v>45230</v>
      </c>
      <c r="C12267" s="1" t="n">
        <v>45810</v>
      </c>
      <c r="D12267" t="inlineStr">
        <is>
          <t>VÄRMLANDS LÄN</t>
        </is>
      </c>
      <c r="E12267" t="inlineStr">
        <is>
          <t>ÅRJÄNG</t>
        </is>
      </c>
      <c r="G12267" t="n">
        <v>4.4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53638-2023</t>
        </is>
      </c>
      <c r="B12268" s="1" t="n">
        <v>45230</v>
      </c>
      <c r="C12268" s="1" t="n">
        <v>45810</v>
      </c>
      <c r="D12268" t="inlineStr">
        <is>
          <t>VÄRMLANDS LÄN</t>
        </is>
      </c>
      <c r="E12268" t="inlineStr">
        <is>
          <t>ARVIKA</t>
        </is>
      </c>
      <c r="G12268" t="n">
        <v>1.6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53619-2023</t>
        </is>
      </c>
      <c r="B12269" s="1" t="n">
        <v>45230</v>
      </c>
      <c r="C12269" s="1" t="n">
        <v>45810</v>
      </c>
      <c r="D12269" t="inlineStr">
        <is>
          <t>VÄRMLANDS LÄN</t>
        </is>
      </c>
      <c r="E12269" t="inlineStr">
        <is>
          <t>FILIPSTAD</t>
        </is>
      </c>
      <c r="F12269" t="inlineStr">
        <is>
          <t>Bergvik skog väst AB</t>
        </is>
      </c>
      <c r="G12269" t="n">
        <v>6.9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53562-2023</t>
        </is>
      </c>
      <c r="B12270" s="1" t="n">
        <v>45230</v>
      </c>
      <c r="C12270" s="1" t="n">
        <v>45810</v>
      </c>
      <c r="D12270" t="inlineStr">
        <is>
          <t>VÄRMLANDS LÄN</t>
        </is>
      </c>
      <c r="E12270" t="inlineStr">
        <is>
          <t>FILIPSTAD</t>
        </is>
      </c>
      <c r="F12270" t="inlineStr">
        <is>
          <t>Bergvik skog väst AB</t>
        </is>
      </c>
      <c r="G12270" t="n">
        <v>9.9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53539-2023</t>
        </is>
      </c>
      <c r="B12271" s="1" t="n">
        <v>45230</v>
      </c>
      <c r="C12271" s="1" t="n">
        <v>45810</v>
      </c>
      <c r="D12271" t="inlineStr">
        <is>
          <t>VÄRMLANDS LÄN</t>
        </is>
      </c>
      <c r="E12271" t="inlineStr">
        <is>
          <t>ARVIKA</t>
        </is>
      </c>
      <c r="G12271" t="n">
        <v>0.5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53498-2023</t>
        </is>
      </c>
      <c r="B12272" s="1" t="n">
        <v>45230</v>
      </c>
      <c r="C12272" s="1" t="n">
        <v>45810</v>
      </c>
      <c r="D12272" t="inlineStr">
        <is>
          <t>VÄRMLANDS LÄN</t>
        </is>
      </c>
      <c r="E12272" t="inlineStr">
        <is>
          <t>KIL</t>
        </is>
      </c>
      <c r="G12272" t="n">
        <v>0.9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53495-2023</t>
        </is>
      </c>
      <c r="B12273" s="1" t="n">
        <v>45230</v>
      </c>
      <c r="C12273" s="1" t="n">
        <v>45810</v>
      </c>
      <c r="D12273" t="inlineStr">
        <is>
          <t>VÄRMLANDS LÄN</t>
        </is>
      </c>
      <c r="E12273" t="inlineStr">
        <is>
          <t>TORSBY</t>
        </is>
      </c>
      <c r="G12273" t="n">
        <v>5.4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53786-2023</t>
        </is>
      </c>
      <c r="B12274" s="1" t="n">
        <v>45231</v>
      </c>
      <c r="C12274" s="1" t="n">
        <v>45810</v>
      </c>
      <c r="D12274" t="inlineStr">
        <is>
          <t>VÄRMLANDS LÄN</t>
        </is>
      </c>
      <c r="E12274" t="inlineStr">
        <is>
          <t>ARVIKA</t>
        </is>
      </c>
      <c r="G12274" t="n">
        <v>3.6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53794-2023</t>
        </is>
      </c>
      <c r="B12275" s="1" t="n">
        <v>45231</v>
      </c>
      <c r="C12275" s="1" t="n">
        <v>45810</v>
      </c>
      <c r="D12275" t="inlineStr">
        <is>
          <t>VÄRMLANDS LÄN</t>
        </is>
      </c>
      <c r="E12275" t="inlineStr">
        <is>
          <t>TORSBY</t>
        </is>
      </c>
      <c r="G12275" t="n">
        <v>17.3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53872-2023</t>
        </is>
      </c>
      <c r="B12276" s="1" t="n">
        <v>45231</v>
      </c>
      <c r="C12276" s="1" t="n">
        <v>45810</v>
      </c>
      <c r="D12276" t="inlineStr">
        <is>
          <t>VÄRMLANDS LÄN</t>
        </is>
      </c>
      <c r="E12276" t="inlineStr">
        <is>
          <t>FILIPSTAD</t>
        </is>
      </c>
      <c r="F12276" t="inlineStr">
        <is>
          <t>Bergvik skog väst AB</t>
        </is>
      </c>
      <c r="G12276" t="n">
        <v>5.2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53915-2023</t>
        </is>
      </c>
      <c r="B12277" s="1" t="n">
        <v>45231</v>
      </c>
      <c r="C12277" s="1" t="n">
        <v>45810</v>
      </c>
      <c r="D12277" t="inlineStr">
        <is>
          <t>VÄRMLANDS LÄN</t>
        </is>
      </c>
      <c r="E12277" t="inlineStr">
        <is>
          <t>SÄFFLE</t>
        </is>
      </c>
      <c r="G12277" t="n">
        <v>1.5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53904-2023</t>
        </is>
      </c>
      <c r="B12278" s="1" t="n">
        <v>45231</v>
      </c>
      <c r="C12278" s="1" t="n">
        <v>45810</v>
      </c>
      <c r="D12278" t="inlineStr">
        <is>
          <t>VÄRMLANDS LÄN</t>
        </is>
      </c>
      <c r="E12278" t="inlineStr">
        <is>
          <t>HAGFORS</t>
        </is>
      </c>
      <c r="F12278" t="inlineStr">
        <is>
          <t>Bergvik skog väst AB</t>
        </is>
      </c>
      <c r="G12278" t="n">
        <v>3.2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53975-2023</t>
        </is>
      </c>
      <c r="B12279" s="1" t="n">
        <v>45231</v>
      </c>
      <c r="C12279" s="1" t="n">
        <v>45810</v>
      </c>
      <c r="D12279" t="inlineStr">
        <is>
          <t>VÄRMLANDS LÄN</t>
        </is>
      </c>
      <c r="E12279" t="inlineStr">
        <is>
          <t>KIL</t>
        </is>
      </c>
      <c r="G12279" t="n">
        <v>4.7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54011-2023</t>
        </is>
      </c>
      <c r="B12280" s="1" t="n">
        <v>45231</v>
      </c>
      <c r="C12280" s="1" t="n">
        <v>45810</v>
      </c>
      <c r="D12280" t="inlineStr">
        <is>
          <t>VÄRMLANDS LÄN</t>
        </is>
      </c>
      <c r="E12280" t="inlineStr">
        <is>
          <t>ÅRJÄNG</t>
        </is>
      </c>
      <c r="G12280" t="n">
        <v>3.9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54019-2023</t>
        </is>
      </c>
      <c r="B12281" s="1" t="n">
        <v>45231</v>
      </c>
      <c r="C12281" s="1" t="n">
        <v>45810</v>
      </c>
      <c r="D12281" t="inlineStr">
        <is>
          <t>VÄRMLANDS LÄN</t>
        </is>
      </c>
      <c r="E12281" t="inlineStr">
        <is>
          <t>EDA</t>
        </is>
      </c>
      <c r="G12281" t="n">
        <v>1.6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53921-2023</t>
        </is>
      </c>
      <c r="B12282" s="1" t="n">
        <v>45231</v>
      </c>
      <c r="C12282" s="1" t="n">
        <v>45810</v>
      </c>
      <c r="D12282" t="inlineStr">
        <is>
          <t>VÄRMLANDS LÄN</t>
        </is>
      </c>
      <c r="E12282" t="inlineStr">
        <is>
          <t>TORSBY</t>
        </is>
      </c>
      <c r="G12282" t="n">
        <v>4.8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53925-2023</t>
        </is>
      </c>
      <c r="B12283" s="1" t="n">
        <v>45231</v>
      </c>
      <c r="C12283" s="1" t="n">
        <v>45810</v>
      </c>
      <c r="D12283" t="inlineStr">
        <is>
          <t>VÄRMLANDS LÄN</t>
        </is>
      </c>
      <c r="E12283" t="inlineStr">
        <is>
          <t>EDA</t>
        </is>
      </c>
      <c r="G12283" t="n">
        <v>2.4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53945-2023</t>
        </is>
      </c>
      <c r="B12284" s="1" t="n">
        <v>45231</v>
      </c>
      <c r="C12284" s="1" t="n">
        <v>45810</v>
      </c>
      <c r="D12284" t="inlineStr">
        <is>
          <t>VÄRMLANDS LÄN</t>
        </is>
      </c>
      <c r="E12284" t="inlineStr">
        <is>
          <t>TORSBY</t>
        </is>
      </c>
      <c r="G12284" t="n">
        <v>1.4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55217-2023</t>
        </is>
      </c>
      <c r="B12285" s="1" t="n">
        <v>45231</v>
      </c>
      <c r="C12285" s="1" t="n">
        <v>45810</v>
      </c>
      <c r="D12285" t="inlineStr">
        <is>
          <t>VÄRMLANDS LÄN</t>
        </is>
      </c>
      <c r="E12285" t="inlineStr">
        <is>
          <t>ÅRJÄNG</t>
        </is>
      </c>
      <c r="G12285" t="n">
        <v>0.8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54013-2023</t>
        </is>
      </c>
      <c r="B12286" s="1" t="n">
        <v>45231</v>
      </c>
      <c r="C12286" s="1" t="n">
        <v>45810</v>
      </c>
      <c r="D12286" t="inlineStr">
        <is>
          <t>VÄRMLANDS LÄN</t>
        </is>
      </c>
      <c r="E12286" t="inlineStr">
        <is>
          <t>ÅRJÄNG</t>
        </is>
      </c>
      <c r="G12286" t="n">
        <v>1.3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53853-2023</t>
        </is>
      </c>
      <c r="B12287" s="1" t="n">
        <v>45231</v>
      </c>
      <c r="C12287" s="1" t="n">
        <v>45810</v>
      </c>
      <c r="D12287" t="inlineStr">
        <is>
          <t>VÄRMLANDS LÄN</t>
        </is>
      </c>
      <c r="E12287" t="inlineStr">
        <is>
          <t>FILIPSTAD</t>
        </is>
      </c>
      <c r="F12287" t="inlineStr">
        <is>
          <t>Bergvik skog väst AB</t>
        </is>
      </c>
      <c r="G12287" t="n">
        <v>12.7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53914-2023</t>
        </is>
      </c>
      <c r="B12288" s="1" t="n">
        <v>45231</v>
      </c>
      <c r="C12288" s="1" t="n">
        <v>45810</v>
      </c>
      <c r="D12288" t="inlineStr">
        <is>
          <t>VÄRMLANDS LÄN</t>
        </is>
      </c>
      <c r="E12288" t="inlineStr">
        <is>
          <t>SUNNE</t>
        </is>
      </c>
      <c r="G12288" t="n">
        <v>1.3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53922-2023</t>
        </is>
      </c>
      <c r="B12289" s="1" t="n">
        <v>45231</v>
      </c>
      <c r="C12289" s="1" t="n">
        <v>45810</v>
      </c>
      <c r="D12289" t="inlineStr">
        <is>
          <t>VÄRMLANDS LÄN</t>
        </is>
      </c>
      <c r="E12289" t="inlineStr">
        <is>
          <t>TORSBY</t>
        </is>
      </c>
      <c r="G12289" t="n">
        <v>1.6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55227-2023</t>
        </is>
      </c>
      <c r="B12290" s="1" t="n">
        <v>45231</v>
      </c>
      <c r="C12290" s="1" t="n">
        <v>45810</v>
      </c>
      <c r="D12290" t="inlineStr">
        <is>
          <t>VÄRMLANDS LÄN</t>
        </is>
      </c>
      <c r="E12290" t="inlineStr">
        <is>
          <t>GRUMS</t>
        </is>
      </c>
      <c r="G12290" t="n">
        <v>2.4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54103-2023</t>
        </is>
      </c>
      <c r="B12291" s="1" t="n">
        <v>45232</v>
      </c>
      <c r="C12291" s="1" t="n">
        <v>45810</v>
      </c>
      <c r="D12291" t="inlineStr">
        <is>
          <t>VÄRMLANDS LÄN</t>
        </is>
      </c>
      <c r="E12291" t="inlineStr">
        <is>
          <t>KARLSTAD</t>
        </is>
      </c>
      <c r="G12291" t="n">
        <v>1.2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54107-2023</t>
        </is>
      </c>
      <c r="B12292" s="1" t="n">
        <v>45232</v>
      </c>
      <c r="C12292" s="1" t="n">
        <v>45810</v>
      </c>
      <c r="D12292" t="inlineStr">
        <is>
          <t>VÄRMLANDS LÄN</t>
        </is>
      </c>
      <c r="E12292" t="inlineStr">
        <is>
          <t>ARVIKA</t>
        </is>
      </c>
      <c r="F12292" t="inlineStr">
        <is>
          <t>Bergvik skog väst AB</t>
        </is>
      </c>
      <c r="G12292" t="n">
        <v>0.9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54115-2023</t>
        </is>
      </c>
      <c r="B12293" s="1" t="n">
        <v>45232</v>
      </c>
      <c r="C12293" s="1" t="n">
        <v>45810</v>
      </c>
      <c r="D12293" t="inlineStr">
        <is>
          <t>VÄRMLANDS LÄN</t>
        </is>
      </c>
      <c r="E12293" t="inlineStr">
        <is>
          <t>HAGFORS</t>
        </is>
      </c>
      <c r="G12293" t="n">
        <v>3.3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54123-2023</t>
        </is>
      </c>
      <c r="B12294" s="1" t="n">
        <v>45232</v>
      </c>
      <c r="C12294" s="1" t="n">
        <v>45810</v>
      </c>
      <c r="D12294" t="inlineStr">
        <is>
          <t>VÄRMLANDS LÄN</t>
        </is>
      </c>
      <c r="E12294" t="inlineStr">
        <is>
          <t>KARLSTAD</t>
        </is>
      </c>
      <c r="G12294" t="n">
        <v>1.5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54127-2023</t>
        </is>
      </c>
      <c r="B12295" s="1" t="n">
        <v>45232</v>
      </c>
      <c r="C12295" s="1" t="n">
        <v>45810</v>
      </c>
      <c r="D12295" t="inlineStr">
        <is>
          <t>VÄRMLANDS LÄN</t>
        </is>
      </c>
      <c r="E12295" t="inlineStr">
        <is>
          <t>FILIPSTAD</t>
        </is>
      </c>
      <c r="G12295" t="n">
        <v>15.5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54145-2023</t>
        </is>
      </c>
      <c r="B12296" s="1" t="n">
        <v>45232</v>
      </c>
      <c r="C12296" s="1" t="n">
        <v>45810</v>
      </c>
      <c r="D12296" t="inlineStr">
        <is>
          <t>VÄRMLANDS LÄN</t>
        </is>
      </c>
      <c r="E12296" t="inlineStr">
        <is>
          <t>STORFORS</t>
        </is>
      </c>
      <c r="G12296" t="n">
        <v>4.7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54174-2023</t>
        </is>
      </c>
      <c r="B12297" s="1" t="n">
        <v>45232</v>
      </c>
      <c r="C12297" s="1" t="n">
        <v>45810</v>
      </c>
      <c r="D12297" t="inlineStr">
        <is>
          <t>VÄRMLANDS LÄN</t>
        </is>
      </c>
      <c r="E12297" t="inlineStr">
        <is>
          <t>STORFORS</t>
        </is>
      </c>
      <c r="G12297" t="n">
        <v>2.6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54189-2023</t>
        </is>
      </c>
      <c r="B12298" s="1" t="n">
        <v>45232</v>
      </c>
      <c r="C12298" s="1" t="n">
        <v>45810</v>
      </c>
      <c r="D12298" t="inlineStr">
        <is>
          <t>VÄRMLANDS LÄN</t>
        </is>
      </c>
      <c r="E12298" t="inlineStr">
        <is>
          <t>ARVIKA</t>
        </is>
      </c>
      <c r="G12298" t="n">
        <v>0.8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54162-2023</t>
        </is>
      </c>
      <c r="B12299" s="1" t="n">
        <v>45232</v>
      </c>
      <c r="C12299" s="1" t="n">
        <v>45810</v>
      </c>
      <c r="D12299" t="inlineStr">
        <is>
          <t>VÄRMLANDS LÄN</t>
        </is>
      </c>
      <c r="E12299" t="inlineStr">
        <is>
          <t>TORSBY</t>
        </is>
      </c>
      <c r="F12299" t="inlineStr">
        <is>
          <t>Bergvik skog väst AB</t>
        </is>
      </c>
      <c r="G12299" t="n">
        <v>8.4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54211-2023</t>
        </is>
      </c>
      <c r="B12300" s="1" t="n">
        <v>45232</v>
      </c>
      <c r="C12300" s="1" t="n">
        <v>45810</v>
      </c>
      <c r="D12300" t="inlineStr">
        <is>
          <t>VÄRMLANDS LÄN</t>
        </is>
      </c>
      <c r="E12300" t="inlineStr">
        <is>
          <t>EDA</t>
        </is>
      </c>
      <c r="G12300" t="n">
        <v>1.5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54217-2023</t>
        </is>
      </c>
      <c r="B12301" s="1" t="n">
        <v>45232</v>
      </c>
      <c r="C12301" s="1" t="n">
        <v>45810</v>
      </c>
      <c r="D12301" t="inlineStr">
        <is>
          <t>VÄRMLANDS LÄN</t>
        </is>
      </c>
      <c r="E12301" t="inlineStr">
        <is>
          <t>EDA</t>
        </is>
      </c>
      <c r="G12301" t="n">
        <v>1.4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54221-2023</t>
        </is>
      </c>
      <c r="B12302" s="1" t="n">
        <v>45232</v>
      </c>
      <c r="C12302" s="1" t="n">
        <v>45810</v>
      </c>
      <c r="D12302" t="inlineStr">
        <is>
          <t>VÄRMLANDS LÄN</t>
        </is>
      </c>
      <c r="E12302" t="inlineStr">
        <is>
          <t>EDA</t>
        </is>
      </c>
      <c r="G12302" t="n">
        <v>0.9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54112-2023</t>
        </is>
      </c>
      <c r="B12303" s="1" t="n">
        <v>45232</v>
      </c>
      <c r="C12303" s="1" t="n">
        <v>45810</v>
      </c>
      <c r="D12303" t="inlineStr">
        <is>
          <t>VÄRMLANDS LÄN</t>
        </is>
      </c>
      <c r="E12303" t="inlineStr">
        <is>
          <t>HAGFORS</t>
        </is>
      </c>
      <c r="G12303" t="n">
        <v>2.1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54262-2023</t>
        </is>
      </c>
      <c r="B12304" s="1" t="n">
        <v>45232</v>
      </c>
      <c r="C12304" s="1" t="n">
        <v>45810</v>
      </c>
      <c r="D12304" t="inlineStr">
        <is>
          <t>VÄRMLANDS LÄN</t>
        </is>
      </c>
      <c r="E12304" t="inlineStr">
        <is>
          <t>TORSBY</t>
        </is>
      </c>
      <c r="F12304" t="inlineStr">
        <is>
          <t>Bergvik skog väst AB</t>
        </is>
      </c>
      <c r="G12304" t="n">
        <v>4.2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54165-2023</t>
        </is>
      </c>
      <c r="B12305" s="1" t="n">
        <v>45232</v>
      </c>
      <c r="C12305" s="1" t="n">
        <v>45810</v>
      </c>
      <c r="D12305" t="inlineStr">
        <is>
          <t>VÄRMLANDS LÄN</t>
        </is>
      </c>
      <c r="E12305" t="inlineStr">
        <is>
          <t>ARVIKA</t>
        </is>
      </c>
      <c r="F12305" t="inlineStr">
        <is>
          <t>Bergvik skog väst AB</t>
        </is>
      </c>
      <c r="G12305" t="n">
        <v>5.8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54181-2023</t>
        </is>
      </c>
      <c r="B12306" s="1" t="n">
        <v>45232</v>
      </c>
      <c r="C12306" s="1" t="n">
        <v>45810</v>
      </c>
      <c r="D12306" t="inlineStr">
        <is>
          <t>VÄRMLANDS LÄN</t>
        </is>
      </c>
      <c r="E12306" t="inlineStr">
        <is>
          <t>KIL</t>
        </is>
      </c>
      <c r="G12306" t="n">
        <v>1.4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54190-2023</t>
        </is>
      </c>
      <c r="B12307" s="1" t="n">
        <v>45232</v>
      </c>
      <c r="C12307" s="1" t="n">
        <v>45810</v>
      </c>
      <c r="D12307" t="inlineStr">
        <is>
          <t>VÄRMLANDS LÄN</t>
        </is>
      </c>
      <c r="E12307" t="inlineStr">
        <is>
          <t>STORFORS</t>
        </is>
      </c>
      <c r="G12307" t="n">
        <v>0.4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54223-2023</t>
        </is>
      </c>
      <c r="B12308" s="1" t="n">
        <v>45232</v>
      </c>
      <c r="C12308" s="1" t="n">
        <v>45810</v>
      </c>
      <c r="D12308" t="inlineStr">
        <is>
          <t>VÄRMLANDS LÄN</t>
        </is>
      </c>
      <c r="E12308" t="inlineStr">
        <is>
          <t>TORSBY</t>
        </is>
      </c>
      <c r="F12308" t="inlineStr">
        <is>
          <t>Bergvik skog väst AB</t>
        </is>
      </c>
      <c r="G12308" t="n">
        <v>8.6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54263-2023</t>
        </is>
      </c>
      <c r="B12309" s="1" t="n">
        <v>45232</v>
      </c>
      <c r="C12309" s="1" t="n">
        <v>45810</v>
      </c>
      <c r="D12309" t="inlineStr">
        <is>
          <t>VÄRMLANDS LÄN</t>
        </is>
      </c>
      <c r="E12309" t="inlineStr">
        <is>
          <t>ÅRJÄNG</t>
        </is>
      </c>
      <c r="G12309" t="n">
        <v>3.2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54163-2023</t>
        </is>
      </c>
      <c r="B12310" s="1" t="n">
        <v>45232</v>
      </c>
      <c r="C12310" s="1" t="n">
        <v>45810</v>
      </c>
      <c r="D12310" t="inlineStr">
        <is>
          <t>VÄRMLANDS LÄN</t>
        </is>
      </c>
      <c r="E12310" t="inlineStr">
        <is>
          <t>STORFORS</t>
        </is>
      </c>
      <c r="G12310" t="n">
        <v>1.2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54177-2023</t>
        </is>
      </c>
      <c r="B12311" s="1" t="n">
        <v>45232</v>
      </c>
      <c r="C12311" s="1" t="n">
        <v>45810</v>
      </c>
      <c r="D12311" t="inlineStr">
        <is>
          <t>VÄRMLANDS LÄN</t>
        </is>
      </c>
      <c r="E12311" t="inlineStr">
        <is>
          <t>KIL</t>
        </is>
      </c>
      <c r="G12311" t="n">
        <v>3.6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54184-2023</t>
        </is>
      </c>
      <c r="B12312" s="1" t="n">
        <v>45232</v>
      </c>
      <c r="C12312" s="1" t="n">
        <v>45810</v>
      </c>
      <c r="D12312" t="inlineStr">
        <is>
          <t>VÄRMLANDS LÄN</t>
        </is>
      </c>
      <c r="E12312" t="inlineStr">
        <is>
          <t>STORFORS</t>
        </is>
      </c>
      <c r="G12312" t="n">
        <v>1.2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55517-2023</t>
        </is>
      </c>
      <c r="B12313" s="1" t="n">
        <v>45232</v>
      </c>
      <c r="C12313" s="1" t="n">
        <v>45810</v>
      </c>
      <c r="D12313" t="inlineStr">
        <is>
          <t>VÄRMLANDS LÄN</t>
        </is>
      </c>
      <c r="E12313" t="inlineStr">
        <is>
          <t>ÅRJÄNG</t>
        </is>
      </c>
      <c r="G12313" t="n">
        <v>1.5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54294-2023</t>
        </is>
      </c>
      <c r="B12314" s="1" t="n">
        <v>45232</v>
      </c>
      <c r="C12314" s="1" t="n">
        <v>45810</v>
      </c>
      <c r="D12314" t="inlineStr">
        <is>
          <t>VÄRMLANDS LÄN</t>
        </is>
      </c>
      <c r="E12314" t="inlineStr">
        <is>
          <t>SUNNE</t>
        </is>
      </c>
      <c r="G12314" t="n">
        <v>3.5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54187-2023</t>
        </is>
      </c>
      <c r="B12315" s="1" t="n">
        <v>45232</v>
      </c>
      <c r="C12315" s="1" t="n">
        <v>45810</v>
      </c>
      <c r="D12315" t="inlineStr">
        <is>
          <t>VÄRMLANDS LÄN</t>
        </is>
      </c>
      <c r="E12315" t="inlineStr">
        <is>
          <t>STORFORS</t>
        </is>
      </c>
      <c r="G12315" t="n">
        <v>1.7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54191-2023</t>
        </is>
      </c>
      <c r="B12316" s="1" t="n">
        <v>45232</v>
      </c>
      <c r="C12316" s="1" t="n">
        <v>45810</v>
      </c>
      <c r="D12316" t="inlineStr">
        <is>
          <t>VÄRMLANDS LÄN</t>
        </is>
      </c>
      <c r="E12316" t="inlineStr">
        <is>
          <t>TORSBY</t>
        </is>
      </c>
      <c r="F12316" t="inlineStr">
        <is>
          <t>Bergvik skog väst AB</t>
        </is>
      </c>
      <c r="G12316" t="n">
        <v>3.1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54204-2023</t>
        </is>
      </c>
      <c r="B12317" s="1" t="n">
        <v>45232</v>
      </c>
      <c r="C12317" s="1" t="n">
        <v>45810</v>
      </c>
      <c r="D12317" t="inlineStr">
        <is>
          <t>VÄRMLANDS LÄN</t>
        </is>
      </c>
      <c r="E12317" t="inlineStr">
        <is>
          <t>TORSBY</t>
        </is>
      </c>
      <c r="F12317" t="inlineStr">
        <is>
          <t>Bergvik skog väst AB</t>
        </is>
      </c>
      <c r="G12317" t="n">
        <v>15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54252-2023</t>
        </is>
      </c>
      <c r="B12318" s="1" t="n">
        <v>45232</v>
      </c>
      <c r="C12318" s="1" t="n">
        <v>45810</v>
      </c>
      <c r="D12318" t="inlineStr">
        <is>
          <t>VÄRMLANDS LÄN</t>
        </is>
      </c>
      <c r="E12318" t="inlineStr">
        <is>
          <t>EDA</t>
        </is>
      </c>
      <c r="G12318" t="n">
        <v>1.7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55574-2023</t>
        </is>
      </c>
      <c r="B12319" s="1" t="n">
        <v>45232</v>
      </c>
      <c r="C12319" s="1" t="n">
        <v>45810</v>
      </c>
      <c r="D12319" t="inlineStr">
        <is>
          <t>VÄRMLANDS LÄN</t>
        </is>
      </c>
      <c r="E12319" t="inlineStr">
        <is>
          <t>ÅRJÄNG</t>
        </is>
      </c>
      <c r="G12319" t="n">
        <v>9.1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56060-2023</t>
        </is>
      </c>
      <c r="B12320" s="1" t="n">
        <v>45233</v>
      </c>
      <c r="C12320" s="1" t="n">
        <v>45810</v>
      </c>
      <c r="D12320" t="inlineStr">
        <is>
          <t>VÄRMLANDS LÄN</t>
        </is>
      </c>
      <c r="E12320" t="inlineStr">
        <is>
          <t>ÅRJÄNG</t>
        </is>
      </c>
      <c r="G12320" t="n">
        <v>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56029-2023</t>
        </is>
      </c>
      <c r="B12321" s="1" t="n">
        <v>45233</v>
      </c>
      <c r="C12321" s="1" t="n">
        <v>45810</v>
      </c>
      <c r="D12321" t="inlineStr">
        <is>
          <t>VÄRMLANDS LÄN</t>
        </is>
      </c>
      <c r="E12321" t="inlineStr">
        <is>
          <t>SUNNE</t>
        </is>
      </c>
      <c r="G12321" t="n">
        <v>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55847-2023</t>
        </is>
      </c>
      <c r="B12322" s="1" t="n">
        <v>45233</v>
      </c>
      <c r="C12322" s="1" t="n">
        <v>45810</v>
      </c>
      <c r="D12322" t="inlineStr">
        <is>
          <t>VÄRMLANDS LÄN</t>
        </is>
      </c>
      <c r="E12322" t="inlineStr">
        <is>
          <t>SÄFFLE</t>
        </is>
      </c>
      <c r="G12322" t="n">
        <v>2.1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54619-2023</t>
        </is>
      </c>
      <c r="B12323" s="1" t="n">
        <v>45234</v>
      </c>
      <c r="C12323" s="1" t="n">
        <v>45810</v>
      </c>
      <c r="D12323" t="inlineStr">
        <is>
          <t>VÄRMLANDS LÄN</t>
        </is>
      </c>
      <c r="E12323" t="inlineStr">
        <is>
          <t>EDA</t>
        </is>
      </c>
      <c r="G12323" t="n">
        <v>10.3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54556-2023</t>
        </is>
      </c>
      <c r="B12324" s="1" t="n">
        <v>45233</v>
      </c>
      <c r="C12324" s="1" t="n">
        <v>45810</v>
      </c>
      <c r="D12324" t="inlineStr">
        <is>
          <t>VÄRMLANDS LÄN</t>
        </is>
      </c>
      <c r="E12324" t="inlineStr">
        <is>
          <t>TORSBY</t>
        </is>
      </c>
      <c r="G12324" t="n">
        <v>0.6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54551-2023</t>
        </is>
      </c>
      <c r="B12325" s="1" t="n">
        <v>45233</v>
      </c>
      <c r="C12325" s="1" t="n">
        <v>45810</v>
      </c>
      <c r="D12325" t="inlineStr">
        <is>
          <t>VÄRMLANDS LÄN</t>
        </is>
      </c>
      <c r="E12325" t="inlineStr">
        <is>
          <t>TORSBY</t>
        </is>
      </c>
      <c r="G12325" t="n">
        <v>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54442-2023</t>
        </is>
      </c>
      <c r="B12326" s="1" t="n">
        <v>45233</v>
      </c>
      <c r="C12326" s="1" t="n">
        <v>45810</v>
      </c>
      <c r="D12326" t="inlineStr">
        <is>
          <t>VÄRMLANDS LÄN</t>
        </is>
      </c>
      <c r="E12326" t="inlineStr">
        <is>
          <t>TORSBY</t>
        </is>
      </c>
      <c r="G12326" t="n">
        <v>0.6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54386-2023</t>
        </is>
      </c>
      <c r="B12327" s="1" t="n">
        <v>45233</v>
      </c>
      <c r="C12327" s="1" t="n">
        <v>45810</v>
      </c>
      <c r="D12327" t="inlineStr">
        <is>
          <t>VÄRMLANDS LÄN</t>
        </is>
      </c>
      <c r="E12327" t="inlineStr">
        <is>
          <t>TORSBY</t>
        </is>
      </c>
      <c r="F12327" t="inlineStr">
        <is>
          <t>Bergvik skog väst AB</t>
        </is>
      </c>
      <c r="G12327" t="n">
        <v>12.6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54528-2023</t>
        </is>
      </c>
      <c r="B12328" s="1" t="n">
        <v>45233</v>
      </c>
      <c r="C12328" s="1" t="n">
        <v>45810</v>
      </c>
      <c r="D12328" t="inlineStr">
        <is>
          <t>VÄRMLANDS LÄN</t>
        </is>
      </c>
      <c r="E12328" t="inlineStr">
        <is>
          <t>TORSBY</t>
        </is>
      </c>
      <c r="G12328" t="n">
        <v>1.1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54562-2023</t>
        </is>
      </c>
      <c r="B12329" s="1" t="n">
        <v>45233</v>
      </c>
      <c r="C12329" s="1" t="n">
        <v>45810</v>
      </c>
      <c r="D12329" t="inlineStr">
        <is>
          <t>VÄRMLANDS LÄN</t>
        </is>
      </c>
      <c r="E12329" t="inlineStr">
        <is>
          <t>TORSBY</t>
        </is>
      </c>
      <c r="G12329" t="n">
        <v>2.5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54532-2023</t>
        </is>
      </c>
      <c r="B12330" s="1" t="n">
        <v>45233</v>
      </c>
      <c r="C12330" s="1" t="n">
        <v>45810</v>
      </c>
      <c r="D12330" t="inlineStr">
        <is>
          <t>VÄRMLANDS LÄN</t>
        </is>
      </c>
      <c r="E12330" t="inlineStr">
        <is>
          <t>TORSBY</t>
        </is>
      </c>
      <c r="F12330" t="inlineStr">
        <is>
          <t>Bergvik skog väst AB</t>
        </is>
      </c>
      <c r="G12330" t="n">
        <v>1.5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54525-2023</t>
        </is>
      </c>
      <c r="B12331" s="1" t="n">
        <v>45233</v>
      </c>
      <c r="C12331" s="1" t="n">
        <v>45810</v>
      </c>
      <c r="D12331" t="inlineStr">
        <is>
          <t>VÄRMLANDS LÄN</t>
        </is>
      </c>
      <c r="E12331" t="inlineStr">
        <is>
          <t>TORSBY</t>
        </is>
      </c>
      <c r="G12331" t="n">
        <v>5.6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54487-2023</t>
        </is>
      </c>
      <c r="B12332" s="1" t="n">
        <v>45233</v>
      </c>
      <c r="C12332" s="1" t="n">
        <v>45810</v>
      </c>
      <c r="D12332" t="inlineStr">
        <is>
          <t>VÄRMLANDS LÄN</t>
        </is>
      </c>
      <c r="E12332" t="inlineStr">
        <is>
          <t>TORSBY</t>
        </is>
      </c>
      <c r="G12332" t="n">
        <v>1.3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54441-2023</t>
        </is>
      </c>
      <c r="B12333" s="1" t="n">
        <v>45233</v>
      </c>
      <c r="C12333" s="1" t="n">
        <v>45810</v>
      </c>
      <c r="D12333" t="inlineStr">
        <is>
          <t>VÄRMLANDS LÄN</t>
        </is>
      </c>
      <c r="E12333" t="inlineStr">
        <is>
          <t>EDA</t>
        </is>
      </c>
      <c r="F12333" t="inlineStr">
        <is>
          <t>Bergvik skog väst AB</t>
        </is>
      </c>
      <c r="G12333" t="n">
        <v>5.5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54409-2023</t>
        </is>
      </c>
      <c r="B12334" s="1" t="n">
        <v>45233</v>
      </c>
      <c r="C12334" s="1" t="n">
        <v>45810</v>
      </c>
      <c r="D12334" t="inlineStr">
        <is>
          <t>VÄRMLANDS LÄN</t>
        </is>
      </c>
      <c r="E12334" t="inlineStr">
        <is>
          <t>TORSBY</t>
        </is>
      </c>
      <c r="G12334" t="n">
        <v>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54628-2023</t>
        </is>
      </c>
      <c r="B12335" s="1" t="n">
        <v>45234</v>
      </c>
      <c r="C12335" s="1" t="n">
        <v>45810</v>
      </c>
      <c r="D12335" t="inlineStr">
        <is>
          <t>VÄRMLANDS LÄN</t>
        </is>
      </c>
      <c r="E12335" t="inlineStr">
        <is>
          <t>MUNKFORS</t>
        </is>
      </c>
      <c r="G12335" t="n">
        <v>3.8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54714-2023</t>
        </is>
      </c>
      <c r="B12336" s="1" t="n">
        <v>45236</v>
      </c>
      <c r="C12336" s="1" t="n">
        <v>45810</v>
      </c>
      <c r="D12336" t="inlineStr">
        <is>
          <t>VÄRMLANDS LÄN</t>
        </is>
      </c>
      <c r="E12336" t="inlineStr">
        <is>
          <t>TORSBY</t>
        </is>
      </c>
      <c r="G12336" t="n">
        <v>2.7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54738-2023</t>
        </is>
      </c>
      <c r="B12337" s="1" t="n">
        <v>45236</v>
      </c>
      <c r="C12337" s="1" t="n">
        <v>45810</v>
      </c>
      <c r="D12337" t="inlineStr">
        <is>
          <t>VÄRMLANDS LÄN</t>
        </is>
      </c>
      <c r="E12337" t="inlineStr">
        <is>
          <t>STORFORS</t>
        </is>
      </c>
      <c r="F12337" t="inlineStr">
        <is>
          <t>Naturvårdsverket</t>
        </is>
      </c>
      <c r="G12337" t="n">
        <v>0.8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54766-2023</t>
        </is>
      </c>
      <c r="B12338" s="1" t="n">
        <v>45236</v>
      </c>
      <c r="C12338" s="1" t="n">
        <v>45810</v>
      </c>
      <c r="D12338" t="inlineStr">
        <is>
          <t>VÄRMLANDS LÄN</t>
        </is>
      </c>
      <c r="E12338" t="inlineStr">
        <is>
          <t>TORSBY</t>
        </is>
      </c>
      <c r="G12338" t="n">
        <v>0.6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54777-2023</t>
        </is>
      </c>
      <c r="B12339" s="1" t="n">
        <v>45236</v>
      </c>
      <c r="C12339" s="1" t="n">
        <v>45810</v>
      </c>
      <c r="D12339" t="inlineStr">
        <is>
          <t>VÄRMLANDS LÄN</t>
        </is>
      </c>
      <c r="E12339" t="inlineStr">
        <is>
          <t>TORSBY</t>
        </is>
      </c>
      <c r="F12339" t="inlineStr">
        <is>
          <t>Bergvik skog väst AB</t>
        </is>
      </c>
      <c r="G12339" t="n">
        <v>7.9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54876-2023</t>
        </is>
      </c>
      <c r="B12340" s="1" t="n">
        <v>45236</v>
      </c>
      <c r="C12340" s="1" t="n">
        <v>45810</v>
      </c>
      <c r="D12340" t="inlineStr">
        <is>
          <t>VÄRMLANDS LÄN</t>
        </is>
      </c>
      <c r="E12340" t="inlineStr">
        <is>
          <t>TORSBY</t>
        </is>
      </c>
      <c r="G12340" t="n">
        <v>0.7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54920-2023</t>
        </is>
      </c>
      <c r="B12341" s="1" t="n">
        <v>45236</v>
      </c>
      <c r="C12341" s="1" t="n">
        <v>45810</v>
      </c>
      <c r="D12341" t="inlineStr">
        <is>
          <t>VÄRMLANDS LÄN</t>
        </is>
      </c>
      <c r="E12341" t="inlineStr">
        <is>
          <t>EDA</t>
        </is>
      </c>
      <c r="G12341" t="n">
        <v>1.4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54708-2023</t>
        </is>
      </c>
      <c r="B12342" s="1" t="n">
        <v>45236</v>
      </c>
      <c r="C12342" s="1" t="n">
        <v>45810</v>
      </c>
      <c r="D12342" t="inlineStr">
        <is>
          <t>VÄRMLANDS LÄN</t>
        </is>
      </c>
      <c r="E12342" t="inlineStr">
        <is>
          <t>TORSBY</t>
        </is>
      </c>
      <c r="G12342" t="n">
        <v>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54735-2023</t>
        </is>
      </c>
      <c r="B12343" s="1" t="n">
        <v>45236</v>
      </c>
      <c r="C12343" s="1" t="n">
        <v>45810</v>
      </c>
      <c r="D12343" t="inlineStr">
        <is>
          <t>VÄRMLANDS LÄN</t>
        </is>
      </c>
      <c r="E12343" t="inlineStr">
        <is>
          <t>SUNNE</t>
        </is>
      </c>
      <c r="G12343" t="n">
        <v>1.4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54775-2023</t>
        </is>
      </c>
      <c r="B12344" s="1" t="n">
        <v>45236</v>
      </c>
      <c r="C12344" s="1" t="n">
        <v>45810</v>
      </c>
      <c r="D12344" t="inlineStr">
        <is>
          <t>VÄRMLANDS LÄN</t>
        </is>
      </c>
      <c r="E12344" t="inlineStr">
        <is>
          <t>KIL</t>
        </is>
      </c>
      <c r="G12344" t="n">
        <v>0.7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54831-2023</t>
        </is>
      </c>
      <c r="B12345" s="1" t="n">
        <v>45236</v>
      </c>
      <c r="C12345" s="1" t="n">
        <v>45810</v>
      </c>
      <c r="D12345" t="inlineStr">
        <is>
          <t>VÄRMLANDS LÄN</t>
        </is>
      </c>
      <c r="E12345" t="inlineStr">
        <is>
          <t>EDA</t>
        </is>
      </c>
      <c r="G12345" t="n">
        <v>4.3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54908-2023</t>
        </is>
      </c>
      <c r="B12346" s="1" t="n">
        <v>45236</v>
      </c>
      <c r="C12346" s="1" t="n">
        <v>45810</v>
      </c>
      <c r="D12346" t="inlineStr">
        <is>
          <t>VÄRMLANDS LÄN</t>
        </is>
      </c>
      <c r="E12346" t="inlineStr">
        <is>
          <t>ARVIKA</t>
        </is>
      </c>
      <c r="G12346" t="n">
        <v>0.5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54945-2023</t>
        </is>
      </c>
      <c r="B12347" s="1" t="n">
        <v>45236</v>
      </c>
      <c r="C12347" s="1" t="n">
        <v>45810</v>
      </c>
      <c r="D12347" t="inlineStr">
        <is>
          <t>VÄRMLANDS LÄN</t>
        </is>
      </c>
      <c r="E12347" t="inlineStr">
        <is>
          <t>KRISTINEHAMN</t>
        </is>
      </c>
      <c r="G12347" t="n">
        <v>2.9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54895-2023</t>
        </is>
      </c>
      <c r="B12348" s="1" t="n">
        <v>45236</v>
      </c>
      <c r="C12348" s="1" t="n">
        <v>45810</v>
      </c>
      <c r="D12348" t="inlineStr">
        <is>
          <t>VÄRMLANDS LÄN</t>
        </is>
      </c>
      <c r="E12348" t="inlineStr">
        <is>
          <t>EDA</t>
        </is>
      </c>
      <c r="G12348" t="n">
        <v>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54927-2023</t>
        </is>
      </c>
      <c r="B12349" s="1" t="n">
        <v>45236</v>
      </c>
      <c r="C12349" s="1" t="n">
        <v>45810</v>
      </c>
      <c r="D12349" t="inlineStr">
        <is>
          <t>VÄRMLANDS LÄN</t>
        </is>
      </c>
      <c r="E12349" t="inlineStr">
        <is>
          <t>HAGFORS</t>
        </is>
      </c>
      <c r="F12349" t="inlineStr">
        <is>
          <t>Bergvik skog väst AB</t>
        </is>
      </c>
      <c r="G12349" t="n">
        <v>7.4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55041-2023</t>
        </is>
      </c>
      <c r="B12350" s="1" t="n">
        <v>45237</v>
      </c>
      <c r="C12350" s="1" t="n">
        <v>45810</v>
      </c>
      <c r="D12350" t="inlineStr">
        <is>
          <t>VÄRMLANDS LÄN</t>
        </is>
      </c>
      <c r="E12350" t="inlineStr">
        <is>
          <t>EDA</t>
        </is>
      </c>
      <c r="F12350" t="inlineStr">
        <is>
          <t>Bergvik skog väst AB</t>
        </is>
      </c>
      <c r="G12350" t="n">
        <v>9.5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55045-2023</t>
        </is>
      </c>
      <c r="B12351" s="1" t="n">
        <v>45237</v>
      </c>
      <c r="C12351" s="1" t="n">
        <v>45810</v>
      </c>
      <c r="D12351" t="inlineStr">
        <is>
          <t>VÄRMLANDS LÄN</t>
        </is>
      </c>
      <c r="E12351" t="inlineStr">
        <is>
          <t>HAGFORS</t>
        </is>
      </c>
      <c r="F12351" t="inlineStr">
        <is>
          <t>Bergvik skog väst AB</t>
        </is>
      </c>
      <c r="G12351" t="n">
        <v>20.5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55066-2023</t>
        </is>
      </c>
      <c r="B12352" s="1" t="n">
        <v>45237</v>
      </c>
      <c r="C12352" s="1" t="n">
        <v>45810</v>
      </c>
      <c r="D12352" t="inlineStr">
        <is>
          <t>VÄRMLANDS LÄN</t>
        </is>
      </c>
      <c r="E12352" t="inlineStr">
        <is>
          <t>HAMMARÖ</t>
        </is>
      </c>
      <c r="F12352" t="inlineStr">
        <is>
          <t>Kommuner</t>
        </is>
      </c>
      <c r="G12352" t="n">
        <v>0.9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55090-2023</t>
        </is>
      </c>
      <c r="B12353" s="1" t="n">
        <v>45237</v>
      </c>
      <c r="C12353" s="1" t="n">
        <v>45810</v>
      </c>
      <c r="D12353" t="inlineStr">
        <is>
          <t>VÄRMLANDS LÄN</t>
        </is>
      </c>
      <c r="E12353" t="inlineStr">
        <is>
          <t>ÅRJÄNG</t>
        </is>
      </c>
      <c r="G12353" t="n">
        <v>4.5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55031-2023</t>
        </is>
      </c>
      <c r="B12354" s="1" t="n">
        <v>45237</v>
      </c>
      <c r="C12354" s="1" t="n">
        <v>45810</v>
      </c>
      <c r="D12354" t="inlineStr">
        <is>
          <t>VÄRMLANDS LÄN</t>
        </is>
      </c>
      <c r="E12354" t="inlineStr">
        <is>
          <t>TORSBY</t>
        </is>
      </c>
      <c r="G12354" t="n">
        <v>0.6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55048-2023</t>
        </is>
      </c>
      <c r="B12355" s="1" t="n">
        <v>45237</v>
      </c>
      <c r="C12355" s="1" t="n">
        <v>45810</v>
      </c>
      <c r="D12355" t="inlineStr">
        <is>
          <t>VÄRMLANDS LÄN</t>
        </is>
      </c>
      <c r="E12355" t="inlineStr">
        <is>
          <t>HAGFORS</t>
        </is>
      </c>
      <c r="F12355" t="inlineStr">
        <is>
          <t>Bergvik skog väst AB</t>
        </is>
      </c>
      <c r="G12355" t="n">
        <v>16.5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55069-2023</t>
        </is>
      </c>
      <c r="B12356" s="1" t="n">
        <v>45237</v>
      </c>
      <c r="C12356" s="1" t="n">
        <v>45810</v>
      </c>
      <c r="D12356" t="inlineStr">
        <is>
          <t>VÄRMLANDS LÄN</t>
        </is>
      </c>
      <c r="E12356" t="inlineStr">
        <is>
          <t>HAMMARÖ</t>
        </is>
      </c>
      <c r="F12356" t="inlineStr">
        <is>
          <t>Kommuner</t>
        </is>
      </c>
      <c r="G12356" t="n">
        <v>3.2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55093-2023</t>
        </is>
      </c>
      <c r="B12357" s="1" t="n">
        <v>45237</v>
      </c>
      <c r="C12357" s="1" t="n">
        <v>45810</v>
      </c>
      <c r="D12357" t="inlineStr">
        <is>
          <t>VÄRMLANDS LÄN</t>
        </is>
      </c>
      <c r="E12357" t="inlineStr">
        <is>
          <t>FILIPSTAD</t>
        </is>
      </c>
      <c r="G12357" t="n">
        <v>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55088-2023</t>
        </is>
      </c>
      <c r="B12358" s="1" t="n">
        <v>45237</v>
      </c>
      <c r="C12358" s="1" t="n">
        <v>45810</v>
      </c>
      <c r="D12358" t="inlineStr">
        <is>
          <t>VÄRMLANDS LÄN</t>
        </is>
      </c>
      <c r="E12358" t="inlineStr">
        <is>
          <t>FILIPSTAD</t>
        </is>
      </c>
      <c r="G12358" t="n">
        <v>1.4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55096-2023</t>
        </is>
      </c>
      <c r="B12359" s="1" t="n">
        <v>45237</v>
      </c>
      <c r="C12359" s="1" t="n">
        <v>45810</v>
      </c>
      <c r="D12359" t="inlineStr">
        <is>
          <t>VÄRMLANDS LÄN</t>
        </is>
      </c>
      <c r="E12359" t="inlineStr">
        <is>
          <t>FILIPSTAD</t>
        </is>
      </c>
      <c r="G12359" t="n">
        <v>3.2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55102-2023</t>
        </is>
      </c>
      <c r="B12360" s="1" t="n">
        <v>45237</v>
      </c>
      <c r="C12360" s="1" t="n">
        <v>45810</v>
      </c>
      <c r="D12360" t="inlineStr">
        <is>
          <t>VÄRMLANDS LÄN</t>
        </is>
      </c>
      <c r="E12360" t="inlineStr">
        <is>
          <t>FILIPSTAD</t>
        </is>
      </c>
      <c r="G12360" t="n">
        <v>2.4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55137-2023</t>
        </is>
      </c>
      <c r="B12361" s="1" t="n">
        <v>45237</v>
      </c>
      <c r="C12361" s="1" t="n">
        <v>45810</v>
      </c>
      <c r="D12361" t="inlineStr">
        <is>
          <t>VÄRMLANDS LÄN</t>
        </is>
      </c>
      <c r="E12361" t="inlineStr">
        <is>
          <t>FORSHAGA</t>
        </is>
      </c>
      <c r="G12361" t="n">
        <v>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55274-2023</t>
        </is>
      </c>
      <c r="B12362" s="1" t="n">
        <v>45237</v>
      </c>
      <c r="C12362" s="1" t="n">
        <v>45810</v>
      </c>
      <c r="D12362" t="inlineStr">
        <is>
          <t>VÄRMLANDS LÄN</t>
        </is>
      </c>
      <c r="E12362" t="inlineStr">
        <is>
          <t>SÄFFLE</t>
        </is>
      </c>
      <c r="G12362" t="n">
        <v>0.7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55042-2023</t>
        </is>
      </c>
      <c r="B12363" s="1" t="n">
        <v>45237</v>
      </c>
      <c r="C12363" s="1" t="n">
        <v>45810</v>
      </c>
      <c r="D12363" t="inlineStr">
        <is>
          <t>VÄRMLANDS LÄN</t>
        </is>
      </c>
      <c r="E12363" t="inlineStr">
        <is>
          <t>HAGFORS</t>
        </is>
      </c>
      <c r="F12363" t="inlineStr">
        <is>
          <t>Bergvik skog väst AB</t>
        </is>
      </c>
      <c r="G12363" t="n">
        <v>14.4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55061-2023</t>
        </is>
      </c>
      <c r="B12364" s="1" t="n">
        <v>45237</v>
      </c>
      <c r="C12364" s="1" t="n">
        <v>45810</v>
      </c>
      <c r="D12364" t="inlineStr">
        <is>
          <t>VÄRMLANDS LÄN</t>
        </is>
      </c>
      <c r="E12364" t="inlineStr">
        <is>
          <t>ARVIKA</t>
        </is>
      </c>
      <c r="F12364" t="inlineStr">
        <is>
          <t>Bergvik skog väst AB</t>
        </is>
      </c>
      <c r="G12364" t="n">
        <v>2.6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55087-2023</t>
        </is>
      </c>
      <c r="B12365" s="1" t="n">
        <v>45237</v>
      </c>
      <c r="C12365" s="1" t="n">
        <v>45810</v>
      </c>
      <c r="D12365" t="inlineStr">
        <is>
          <t>VÄRMLANDS LÄN</t>
        </is>
      </c>
      <c r="E12365" t="inlineStr">
        <is>
          <t>ÅRJÄNG</t>
        </is>
      </c>
      <c r="G12365" t="n">
        <v>3.7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55091-2023</t>
        </is>
      </c>
      <c r="B12366" s="1" t="n">
        <v>45237</v>
      </c>
      <c r="C12366" s="1" t="n">
        <v>45810</v>
      </c>
      <c r="D12366" t="inlineStr">
        <is>
          <t>VÄRMLANDS LÄN</t>
        </is>
      </c>
      <c r="E12366" t="inlineStr">
        <is>
          <t>ÅRJÄNG</t>
        </is>
      </c>
      <c r="G12366" t="n">
        <v>3.8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55100-2023</t>
        </is>
      </c>
      <c r="B12367" s="1" t="n">
        <v>45237</v>
      </c>
      <c r="C12367" s="1" t="n">
        <v>45810</v>
      </c>
      <c r="D12367" t="inlineStr">
        <is>
          <t>VÄRMLANDS LÄN</t>
        </is>
      </c>
      <c r="E12367" t="inlineStr">
        <is>
          <t>TORSBY</t>
        </is>
      </c>
      <c r="G12367" t="n">
        <v>0.9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55223-2023</t>
        </is>
      </c>
      <c r="B12368" s="1" t="n">
        <v>45237</v>
      </c>
      <c r="C12368" s="1" t="n">
        <v>45810</v>
      </c>
      <c r="D12368" t="inlineStr">
        <is>
          <t>VÄRMLANDS LÄN</t>
        </is>
      </c>
      <c r="E12368" t="inlineStr">
        <is>
          <t>SÄFFLE</t>
        </is>
      </c>
      <c r="G12368" t="n">
        <v>7.5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55249-2023</t>
        </is>
      </c>
      <c r="B12369" s="1" t="n">
        <v>45237</v>
      </c>
      <c r="C12369" s="1" t="n">
        <v>45810</v>
      </c>
      <c r="D12369" t="inlineStr">
        <is>
          <t>VÄRMLANDS LÄN</t>
        </is>
      </c>
      <c r="E12369" t="inlineStr">
        <is>
          <t>FORSHAGA</t>
        </is>
      </c>
      <c r="G12369" t="n">
        <v>3.9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56479-2023</t>
        </is>
      </c>
      <c r="B12370" s="1" t="n">
        <v>45237</v>
      </c>
      <c r="C12370" s="1" t="n">
        <v>45810</v>
      </c>
      <c r="D12370" t="inlineStr">
        <is>
          <t>VÄRMLANDS LÄN</t>
        </is>
      </c>
      <c r="E12370" t="inlineStr">
        <is>
          <t>SÄFFLE</t>
        </is>
      </c>
      <c r="G12370" t="n">
        <v>3.2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56414-2023</t>
        </is>
      </c>
      <c r="B12371" s="1" t="n">
        <v>45237</v>
      </c>
      <c r="C12371" s="1" t="n">
        <v>45810</v>
      </c>
      <c r="D12371" t="inlineStr">
        <is>
          <t>VÄRMLANDS LÄN</t>
        </is>
      </c>
      <c r="E12371" t="inlineStr">
        <is>
          <t>KARLSTAD</t>
        </is>
      </c>
      <c r="G12371" t="n">
        <v>7.7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56452-2023</t>
        </is>
      </c>
      <c r="B12372" s="1" t="n">
        <v>45237</v>
      </c>
      <c r="C12372" s="1" t="n">
        <v>45810</v>
      </c>
      <c r="D12372" t="inlineStr">
        <is>
          <t>VÄRMLANDS LÄN</t>
        </is>
      </c>
      <c r="E12372" t="inlineStr">
        <is>
          <t>SÄFFLE</t>
        </is>
      </c>
      <c r="G12372" t="n">
        <v>7.1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56498-2023</t>
        </is>
      </c>
      <c r="B12373" s="1" t="n">
        <v>45237</v>
      </c>
      <c r="C12373" s="1" t="n">
        <v>45810</v>
      </c>
      <c r="D12373" t="inlineStr">
        <is>
          <t>VÄRMLANDS LÄN</t>
        </is>
      </c>
      <c r="E12373" t="inlineStr">
        <is>
          <t>SÄFFLE</t>
        </is>
      </c>
      <c r="G12373" t="n">
        <v>4.8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56506-2023</t>
        </is>
      </c>
      <c r="B12374" s="1" t="n">
        <v>45237</v>
      </c>
      <c r="C12374" s="1" t="n">
        <v>45810</v>
      </c>
      <c r="D12374" t="inlineStr">
        <is>
          <t>VÄRMLANDS LÄN</t>
        </is>
      </c>
      <c r="E12374" t="inlineStr">
        <is>
          <t>SÄFFLE</t>
        </is>
      </c>
      <c r="G12374" t="n">
        <v>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56475-2023</t>
        </is>
      </c>
      <c r="B12375" s="1" t="n">
        <v>45237</v>
      </c>
      <c r="C12375" s="1" t="n">
        <v>45810</v>
      </c>
      <c r="D12375" t="inlineStr">
        <is>
          <t>VÄRMLANDS LÄN</t>
        </is>
      </c>
      <c r="E12375" t="inlineStr">
        <is>
          <t>SÄFFLE</t>
        </is>
      </c>
      <c r="G12375" t="n">
        <v>1.2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56485-2023</t>
        </is>
      </c>
      <c r="B12376" s="1" t="n">
        <v>45237</v>
      </c>
      <c r="C12376" s="1" t="n">
        <v>45810</v>
      </c>
      <c r="D12376" t="inlineStr">
        <is>
          <t>VÄRMLANDS LÄN</t>
        </is>
      </c>
      <c r="E12376" t="inlineStr">
        <is>
          <t>SÄFFLE</t>
        </is>
      </c>
      <c r="G12376" t="n">
        <v>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55396-2023</t>
        </is>
      </c>
      <c r="B12377" s="1" t="n">
        <v>45238</v>
      </c>
      <c r="C12377" s="1" t="n">
        <v>45810</v>
      </c>
      <c r="D12377" t="inlineStr">
        <is>
          <t>VÄRMLANDS LÄN</t>
        </is>
      </c>
      <c r="E12377" t="inlineStr">
        <is>
          <t>KIL</t>
        </is>
      </c>
      <c r="G12377" t="n">
        <v>0.9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55401-2023</t>
        </is>
      </c>
      <c r="B12378" s="1" t="n">
        <v>45238</v>
      </c>
      <c r="C12378" s="1" t="n">
        <v>45810</v>
      </c>
      <c r="D12378" t="inlineStr">
        <is>
          <t>VÄRMLANDS LÄN</t>
        </is>
      </c>
      <c r="E12378" t="inlineStr">
        <is>
          <t>TORSBY</t>
        </is>
      </c>
      <c r="G12378" t="n">
        <v>5.2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55461-2023</t>
        </is>
      </c>
      <c r="B12379" s="1" t="n">
        <v>45238</v>
      </c>
      <c r="C12379" s="1" t="n">
        <v>45810</v>
      </c>
      <c r="D12379" t="inlineStr">
        <is>
          <t>VÄRMLANDS LÄN</t>
        </is>
      </c>
      <c r="E12379" t="inlineStr">
        <is>
          <t>TORSBY</t>
        </is>
      </c>
      <c r="G12379" t="n">
        <v>2.1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55480-2023</t>
        </is>
      </c>
      <c r="B12380" s="1" t="n">
        <v>45238</v>
      </c>
      <c r="C12380" s="1" t="n">
        <v>45810</v>
      </c>
      <c r="D12380" t="inlineStr">
        <is>
          <t>VÄRMLANDS LÄN</t>
        </is>
      </c>
      <c r="E12380" t="inlineStr">
        <is>
          <t>TORSBY</t>
        </is>
      </c>
      <c r="G12380" t="n">
        <v>3.9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55485-2023</t>
        </is>
      </c>
      <c r="B12381" s="1" t="n">
        <v>45238</v>
      </c>
      <c r="C12381" s="1" t="n">
        <v>45810</v>
      </c>
      <c r="D12381" t="inlineStr">
        <is>
          <t>VÄRMLANDS LÄN</t>
        </is>
      </c>
      <c r="E12381" t="inlineStr">
        <is>
          <t>TORSBY</t>
        </is>
      </c>
      <c r="G12381" t="n">
        <v>1.3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55346-2023</t>
        </is>
      </c>
      <c r="B12382" s="1" t="n">
        <v>45238</v>
      </c>
      <c r="C12382" s="1" t="n">
        <v>45810</v>
      </c>
      <c r="D12382" t="inlineStr">
        <is>
          <t>VÄRMLANDS LÄN</t>
        </is>
      </c>
      <c r="E12382" t="inlineStr">
        <is>
          <t>KARLSTAD</t>
        </is>
      </c>
      <c r="G12382" t="n">
        <v>0.9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55422-2023</t>
        </is>
      </c>
      <c r="B12383" s="1" t="n">
        <v>45238</v>
      </c>
      <c r="C12383" s="1" t="n">
        <v>45810</v>
      </c>
      <c r="D12383" t="inlineStr">
        <is>
          <t>VÄRMLANDS LÄN</t>
        </is>
      </c>
      <c r="E12383" t="inlineStr">
        <is>
          <t>ÅRJÄNG</t>
        </is>
      </c>
      <c r="F12383" t="inlineStr">
        <is>
          <t>Kyrkan</t>
        </is>
      </c>
      <c r="G12383" t="n">
        <v>2.3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55478-2023</t>
        </is>
      </c>
      <c r="B12384" s="1" t="n">
        <v>45238</v>
      </c>
      <c r="C12384" s="1" t="n">
        <v>45810</v>
      </c>
      <c r="D12384" t="inlineStr">
        <is>
          <t>VÄRMLANDS LÄN</t>
        </is>
      </c>
      <c r="E12384" t="inlineStr">
        <is>
          <t>TORSBY</t>
        </is>
      </c>
      <c r="G12384" t="n">
        <v>2.9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55506-2023</t>
        </is>
      </c>
      <c r="B12385" s="1" t="n">
        <v>45238</v>
      </c>
      <c r="C12385" s="1" t="n">
        <v>45810</v>
      </c>
      <c r="D12385" t="inlineStr">
        <is>
          <t>VÄRMLANDS LÄN</t>
        </is>
      </c>
      <c r="E12385" t="inlineStr">
        <is>
          <t>KARLSTAD</t>
        </is>
      </c>
      <c r="G12385" t="n">
        <v>1.6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55363-2023</t>
        </is>
      </c>
      <c r="B12386" s="1" t="n">
        <v>45238</v>
      </c>
      <c r="C12386" s="1" t="n">
        <v>45810</v>
      </c>
      <c r="D12386" t="inlineStr">
        <is>
          <t>VÄRMLANDS LÄN</t>
        </is>
      </c>
      <c r="E12386" t="inlineStr">
        <is>
          <t>KRISTINEHAMN</t>
        </is>
      </c>
      <c r="F12386" t="inlineStr">
        <is>
          <t>Kommuner</t>
        </is>
      </c>
      <c r="G12386" t="n">
        <v>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55393-2023</t>
        </is>
      </c>
      <c r="B12387" s="1" t="n">
        <v>45238</v>
      </c>
      <c r="C12387" s="1" t="n">
        <v>45810</v>
      </c>
      <c r="D12387" t="inlineStr">
        <is>
          <t>VÄRMLANDS LÄN</t>
        </is>
      </c>
      <c r="E12387" t="inlineStr">
        <is>
          <t>KIL</t>
        </is>
      </c>
      <c r="G12387" t="n">
        <v>1.4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55460-2023</t>
        </is>
      </c>
      <c r="B12388" s="1" t="n">
        <v>45238</v>
      </c>
      <c r="C12388" s="1" t="n">
        <v>45810</v>
      </c>
      <c r="D12388" t="inlineStr">
        <is>
          <t>VÄRMLANDS LÄN</t>
        </is>
      </c>
      <c r="E12388" t="inlineStr">
        <is>
          <t>EDA</t>
        </is>
      </c>
      <c r="G12388" t="n">
        <v>1.3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55499-2023</t>
        </is>
      </c>
      <c r="B12389" s="1" t="n">
        <v>45238</v>
      </c>
      <c r="C12389" s="1" t="n">
        <v>45810</v>
      </c>
      <c r="D12389" t="inlineStr">
        <is>
          <t>VÄRMLANDS LÄN</t>
        </is>
      </c>
      <c r="E12389" t="inlineStr">
        <is>
          <t>KARLSTAD</t>
        </is>
      </c>
      <c r="G12389" t="n">
        <v>1.5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55522-2023</t>
        </is>
      </c>
      <c r="B12390" s="1" t="n">
        <v>45238</v>
      </c>
      <c r="C12390" s="1" t="n">
        <v>45810</v>
      </c>
      <c r="D12390" t="inlineStr">
        <is>
          <t>VÄRMLANDS LÄN</t>
        </is>
      </c>
      <c r="E12390" t="inlineStr">
        <is>
          <t>TORSBY</t>
        </is>
      </c>
      <c r="G12390" t="n">
        <v>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55527-2023</t>
        </is>
      </c>
      <c r="B12391" s="1" t="n">
        <v>45238</v>
      </c>
      <c r="C12391" s="1" t="n">
        <v>45810</v>
      </c>
      <c r="D12391" t="inlineStr">
        <is>
          <t>VÄRMLANDS LÄN</t>
        </is>
      </c>
      <c r="E12391" t="inlineStr">
        <is>
          <t>TORSBY</t>
        </is>
      </c>
      <c r="G12391" t="n">
        <v>0.6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55616-2023</t>
        </is>
      </c>
      <c r="B12392" s="1" t="n">
        <v>45238</v>
      </c>
      <c r="C12392" s="1" t="n">
        <v>45810</v>
      </c>
      <c r="D12392" t="inlineStr">
        <is>
          <t>VÄRMLANDS LÄN</t>
        </is>
      </c>
      <c r="E12392" t="inlineStr">
        <is>
          <t>SÄFFLE</t>
        </is>
      </c>
      <c r="G12392" t="n">
        <v>2.7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56716-2023</t>
        </is>
      </c>
      <c r="B12393" s="1" t="n">
        <v>45238</v>
      </c>
      <c r="C12393" s="1" t="n">
        <v>45810</v>
      </c>
      <c r="D12393" t="inlineStr">
        <is>
          <t>VÄRMLANDS LÄN</t>
        </is>
      </c>
      <c r="E12393" t="inlineStr">
        <is>
          <t>TORSBY</t>
        </is>
      </c>
      <c r="G12393" t="n">
        <v>2.9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56712-2023</t>
        </is>
      </c>
      <c r="B12394" s="1" t="n">
        <v>45238</v>
      </c>
      <c r="C12394" s="1" t="n">
        <v>45810</v>
      </c>
      <c r="D12394" t="inlineStr">
        <is>
          <t>VÄRMLANDS LÄN</t>
        </is>
      </c>
      <c r="E12394" t="inlineStr">
        <is>
          <t>TORSBY</t>
        </is>
      </c>
      <c r="G12394" t="n">
        <v>1.6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55447-2023</t>
        </is>
      </c>
      <c r="B12395" s="1" t="n">
        <v>45238</v>
      </c>
      <c r="C12395" s="1" t="n">
        <v>45810</v>
      </c>
      <c r="D12395" t="inlineStr">
        <is>
          <t>VÄRMLANDS LÄN</t>
        </is>
      </c>
      <c r="E12395" t="inlineStr">
        <is>
          <t>TORSBY</t>
        </is>
      </c>
      <c r="G12395" t="n">
        <v>5.5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55509-2023</t>
        </is>
      </c>
      <c r="B12396" s="1" t="n">
        <v>45238</v>
      </c>
      <c r="C12396" s="1" t="n">
        <v>45810</v>
      </c>
      <c r="D12396" t="inlineStr">
        <is>
          <t>VÄRMLANDS LÄN</t>
        </is>
      </c>
      <c r="E12396" t="inlineStr">
        <is>
          <t>FILIPSTAD</t>
        </is>
      </c>
      <c r="F12396" t="inlineStr">
        <is>
          <t>Bergvik skog väst AB</t>
        </is>
      </c>
      <c r="G12396" t="n">
        <v>6.3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55537-2023</t>
        </is>
      </c>
      <c r="B12397" s="1" t="n">
        <v>45238</v>
      </c>
      <c r="C12397" s="1" t="n">
        <v>45810</v>
      </c>
      <c r="D12397" t="inlineStr">
        <is>
          <t>VÄRMLANDS LÄN</t>
        </is>
      </c>
      <c r="E12397" t="inlineStr">
        <is>
          <t>FILIPSTAD</t>
        </is>
      </c>
      <c r="G12397" t="n">
        <v>1.8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56714-2023</t>
        </is>
      </c>
      <c r="B12398" s="1" t="n">
        <v>45238</v>
      </c>
      <c r="C12398" s="1" t="n">
        <v>45810</v>
      </c>
      <c r="D12398" t="inlineStr">
        <is>
          <t>VÄRMLANDS LÄN</t>
        </is>
      </c>
      <c r="E12398" t="inlineStr">
        <is>
          <t>TORSBY</t>
        </is>
      </c>
      <c r="G12398" t="n">
        <v>6.2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55710-2023</t>
        </is>
      </c>
      <c r="B12399" s="1" t="n">
        <v>45239</v>
      </c>
      <c r="C12399" s="1" t="n">
        <v>45810</v>
      </c>
      <c r="D12399" t="inlineStr">
        <is>
          <t>VÄRMLANDS LÄN</t>
        </is>
      </c>
      <c r="E12399" t="inlineStr">
        <is>
          <t>EDA</t>
        </is>
      </c>
      <c r="G12399" t="n">
        <v>1.2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55742-2023</t>
        </is>
      </c>
      <c r="B12400" s="1" t="n">
        <v>45239</v>
      </c>
      <c r="C12400" s="1" t="n">
        <v>45810</v>
      </c>
      <c r="D12400" t="inlineStr">
        <is>
          <t>VÄRMLANDS LÄN</t>
        </is>
      </c>
      <c r="E12400" t="inlineStr">
        <is>
          <t>FORSHAGA</t>
        </is>
      </c>
      <c r="F12400" t="inlineStr">
        <is>
          <t>Bergvik skog väst AB</t>
        </is>
      </c>
      <c r="G12400" t="n">
        <v>1.2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55751-2023</t>
        </is>
      </c>
      <c r="B12401" s="1" t="n">
        <v>45239</v>
      </c>
      <c r="C12401" s="1" t="n">
        <v>45810</v>
      </c>
      <c r="D12401" t="inlineStr">
        <is>
          <t>VÄRMLANDS LÄN</t>
        </is>
      </c>
      <c r="E12401" t="inlineStr">
        <is>
          <t>FILIPSTAD</t>
        </is>
      </c>
      <c r="G12401" t="n">
        <v>1.9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55856-2023</t>
        </is>
      </c>
      <c r="B12402" s="1" t="n">
        <v>45239</v>
      </c>
      <c r="C12402" s="1" t="n">
        <v>45810</v>
      </c>
      <c r="D12402" t="inlineStr">
        <is>
          <t>VÄRMLANDS LÄN</t>
        </is>
      </c>
      <c r="E12402" t="inlineStr">
        <is>
          <t>ARVIKA</t>
        </is>
      </c>
      <c r="G12402" t="n">
        <v>1.2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55759-2023</t>
        </is>
      </c>
      <c r="B12403" s="1" t="n">
        <v>45239</v>
      </c>
      <c r="C12403" s="1" t="n">
        <v>45810</v>
      </c>
      <c r="D12403" t="inlineStr">
        <is>
          <t>VÄRMLANDS LÄN</t>
        </is>
      </c>
      <c r="E12403" t="inlineStr">
        <is>
          <t>TORSBY</t>
        </is>
      </c>
      <c r="G12403" t="n">
        <v>4.5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55791-2023</t>
        </is>
      </c>
      <c r="B12404" s="1" t="n">
        <v>45239</v>
      </c>
      <c r="C12404" s="1" t="n">
        <v>45810</v>
      </c>
      <c r="D12404" t="inlineStr">
        <is>
          <t>VÄRMLANDS LÄN</t>
        </is>
      </c>
      <c r="E12404" t="inlineStr">
        <is>
          <t>SUNNE</t>
        </is>
      </c>
      <c r="G12404" t="n">
        <v>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55890-2023</t>
        </is>
      </c>
      <c r="B12405" s="1" t="n">
        <v>45239</v>
      </c>
      <c r="C12405" s="1" t="n">
        <v>45810</v>
      </c>
      <c r="D12405" t="inlineStr">
        <is>
          <t>VÄRMLANDS LÄN</t>
        </is>
      </c>
      <c r="E12405" t="inlineStr">
        <is>
          <t>KRISTINEHAMN</t>
        </is>
      </c>
      <c r="G12405" t="n">
        <v>8.199999999999999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55820-2023</t>
        </is>
      </c>
      <c r="B12406" s="1" t="n">
        <v>45239</v>
      </c>
      <c r="C12406" s="1" t="n">
        <v>45810</v>
      </c>
      <c r="D12406" t="inlineStr">
        <is>
          <t>VÄRMLANDS LÄN</t>
        </is>
      </c>
      <c r="E12406" t="inlineStr">
        <is>
          <t>KRISTINEHAMN</t>
        </is>
      </c>
      <c r="G12406" t="n">
        <v>1.5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55901-2023</t>
        </is>
      </c>
      <c r="B12407" s="1" t="n">
        <v>45239</v>
      </c>
      <c r="C12407" s="1" t="n">
        <v>45810</v>
      </c>
      <c r="D12407" t="inlineStr">
        <is>
          <t>VÄRMLANDS LÄN</t>
        </is>
      </c>
      <c r="E12407" t="inlineStr">
        <is>
          <t>ÅRJÄNG</t>
        </is>
      </c>
      <c r="G12407" t="n">
        <v>1.3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57092-2023</t>
        </is>
      </c>
      <c r="B12408" s="1" t="n">
        <v>45239</v>
      </c>
      <c r="C12408" s="1" t="n">
        <v>45810</v>
      </c>
      <c r="D12408" t="inlineStr">
        <is>
          <t>VÄRMLANDS LÄN</t>
        </is>
      </c>
      <c r="E12408" t="inlineStr">
        <is>
          <t>TORSBY</t>
        </is>
      </c>
      <c r="G12408" t="n">
        <v>0.9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57091-2023</t>
        </is>
      </c>
      <c r="B12409" s="1" t="n">
        <v>45239</v>
      </c>
      <c r="C12409" s="1" t="n">
        <v>45810</v>
      </c>
      <c r="D12409" t="inlineStr">
        <is>
          <t>VÄRMLANDS LÄN</t>
        </is>
      </c>
      <c r="E12409" t="inlineStr">
        <is>
          <t>TORSBY</t>
        </is>
      </c>
      <c r="G12409" t="n">
        <v>3.5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57179-2023</t>
        </is>
      </c>
      <c r="B12410" s="1" t="n">
        <v>45239</v>
      </c>
      <c r="C12410" s="1" t="n">
        <v>45810</v>
      </c>
      <c r="D12410" t="inlineStr">
        <is>
          <t>VÄRMLANDS LÄN</t>
        </is>
      </c>
      <c r="E12410" t="inlineStr">
        <is>
          <t>SÄFFLE</t>
        </is>
      </c>
      <c r="G12410" t="n">
        <v>2.3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56889-2023</t>
        </is>
      </c>
      <c r="B12411" s="1" t="n">
        <v>45239</v>
      </c>
      <c r="C12411" s="1" t="n">
        <v>45810</v>
      </c>
      <c r="D12411" t="inlineStr">
        <is>
          <t>VÄRMLANDS LÄN</t>
        </is>
      </c>
      <c r="E12411" t="inlineStr">
        <is>
          <t>TORSBY</t>
        </is>
      </c>
      <c r="G12411" t="n">
        <v>1.9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55727-2023</t>
        </is>
      </c>
      <c r="B12412" s="1" t="n">
        <v>45239</v>
      </c>
      <c r="C12412" s="1" t="n">
        <v>45810</v>
      </c>
      <c r="D12412" t="inlineStr">
        <is>
          <t>VÄRMLANDS LÄN</t>
        </is>
      </c>
      <c r="E12412" t="inlineStr">
        <is>
          <t>TORSBY</t>
        </is>
      </c>
      <c r="F12412" t="inlineStr">
        <is>
          <t>Bergvik skog väst AB</t>
        </is>
      </c>
      <c r="G12412" t="n">
        <v>3.7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55852-2023</t>
        </is>
      </c>
      <c r="B12413" s="1" t="n">
        <v>45239</v>
      </c>
      <c r="C12413" s="1" t="n">
        <v>45810</v>
      </c>
      <c r="D12413" t="inlineStr">
        <is>
          <t>VÄRMLANDS LÄN</t>
        </is>
      </c>
      <c r="E12413" t="inlineStr">
        <is>
          <t>ARVIKA</t>
        </is>
      </c>
      <c r="G12413" t="n">
        <v>2.9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57153-2023</t>
        </is>
      </c>
      <c r="B12414" s="1" t="n">
        <v>45239</v>
      </c>
      <c r="C12414" s="1" t="n">
        <v>45810</v>
      </c>
      <c r="D12414" t="inlineStr">
        <is>
          <t>VÄRMLANDS LÄN</t>
        </is>
      </c>
      <c r="E12414" t="inlineStr">
        <is>
          <t>SÄFFLE</t>
        </is>
      </c>
      <c r="G12414" t="n">
        <v>4.4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57176-2023</t>
        </is>
      </c>
      <c r="B12415" s="1" t="n">
        <v>45239</v>
      </c>
      <c r="C12415" s="1" t="n">
        <v>45810</v>
      </c>
      <c r="D12415" t="inlineStr">
        <is>
          <t>VÄRMLANDS LÄN</t>
        </is>
      </c>
      <c r="E12415" t="inlineStr">
        <is>
          <t>SÄFFLE</t>
        </is>
      </c>
      <c r="G12415" t="n">
        <v>2.2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56164-2023</t>
        </is>
      </c>
      <c r="B12416" s="1" t="n">
        <v>45240</v>
      </c>
      <c r="C12416" s="1" t="n">
        <v>45810</v>
      </c>
      <c r="D12416" t="inlineStr">
        <is>
          <t>VÄRMLANDS LÄN</t>
        </is>
      </c>
      <c r="E12416" t="inlineStr">
        <is>
          <t>TORSBY</t>
        </is>
      </c>
      <c r="G12416" t="n">
        <v>6.2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56238-2023</t>
        </is>
      </c>
      <c r="B12417" s="1" t="n">
        <v>45240</v>
      </c>
      <c r="C12417" s="1" t="n">
        <v>45810</v>
      </c>
      <c r="D12417" t="inlineStr">
        <is>
          <t>VÄRMLANDS LÄN</t>
        </is>
      </c>
      <c r="E12417" t="inlineStr">
        <is>
          <t>SUNNE</t>
        </is>
      </c>
      <c r="G12417" t="n">
        <v>1.9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56218-2023</t>
        </is>
      </c>
      <c r="B12418" s="1" t="n">
        <v>45240</v>
      </c>
      <c r="C12418" s="1" t="n">
        <v>45810</v>
      </c>
      <c r="D12418" t="inlineStr">
        <is>
          <t>VÄRMLANDS LÄN</t>
        </is>
      </c>
      <c r="E12418" t="inlineStr">
        <is>
          <t>KARLSTAD</t>
        </is>
      </c>
      <c r="F12418" t="inlineStr">
        <is>
          <t>Bergvik skog väst AB</t>
        </is>
      </c>
      <c r="G12418" t="n">
        <v>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56170-2023</t>
        </is>
      </c>
      <c r="B12419" s="1" t="n">
        <v>45240</v>
      </c>
      <c r="C12419" s="1" t="n">
        <v>45810</v>
      </c>
      <c r="D12419" t="inlineStr">
        <is>
          <t>VÄRMLANDS LÄN</t>
        </is>
      </c>
      <c r="E12419" t="inlineStr">
        <is>
          <t>TORSBY</t>
        </is>
      </c>
      <c r="G12419" t="n">
        <v>3.8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57178-2023</t>
        </is>
      </c>
      <c r="B12420" s="1" t="n">
        <v>45240</v>
      </c>
      <c r="C12420" s="1" t="n">
        <v>45810</v>
      </c>
      <c r="D12420" t="inlineStr">
        <is>
          <t>VÄRMLANDS LÄN</t>
        </is>
      </c>
      <c r="E12420" t="inlineStr">
        <is>
          <t>ÅRJÄNG</t>
        </is>
      </c>
      <c r="G12420" t="n">
        <v>1.6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56071-2023</t>
        </is>
      </c>
      <c r="B12421" s="1" t="n">
        <v>45240</v>
      </c>
      <c r="C12421" s="1" t="n">
        <v>45810</v>
      </c>
      <c r="D12421" t="inlineStr">
        <is>
          <t>VÄRMLANDS LÄN</t>
        </is>
      </c>
      <c r="E12421" t="inlineStr">
        <is>
          <t>MUNKFORS</t>
        </is>
      </c>
      <c r="F12421" t="inlineStr">
        <is>
          <t>Bergvik skog väst AB</t>
        </is>
      </c>
      <c r="G12421" t="n">
        <v>4.5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56041-2023</t>
        </is>
      </c>
      <c r="B12422" s="1" t="n">
        <v>45240</v>
      </c>
      <c r="C12422" s="1" t="n">
        <v>45810</v>
      </c>
      <c r="D12422" t="inlineStr">
        <is>
          <t>VÄRMLANDS LÄN</t>
        </is>
      </c>
      <c r="E12422" t="inlineStr">
        <is>
          <t>KARLSTAD</t>
        </is>
      </c>
      <c r="G12422" t="n">
        <v>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56220-2023</t>
        </is>
      </c>
      <c r="B12423" s="1" t="n">
        <v>45240</v>
      </c>
      <c r="C12423" s="1" t="n">
        <v>45810</v>
      </c>
      <c r="D12423" t="inlineStr">
        <is>
          <t>VÄRMLANDS LÄN</t>
        </is>
      </c>
      <c r="E12423" t="inlineStr">
        <is>
          <t>GRUMS</t>
        </is>
      </c>
      <c r="G12423" t="n">
        <v>0.7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56212-2023</t>
        </is>
      </c>
      <c r="B12424" s="1" t="n">
        <v>45240</v>
      </c>
      <c r="C12424" s="1" t="n">
        <v>45810</v>
      </c>
      <c r="D12424" t="inlineStr">
        <is>
          <t>VÄRMLANDS LÄN</t>
        </is>
      </c>
      <c r="E12424" t="inlineStr">
        <is>
          <t>SUNNE</t>
        </is>
      </c>
      <c r="G12424" t="n">
        <v>2.1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56151-2023</t>
        </is>
      </c>
      <c r="B12425" s="1" t="n">
        <v>45240</v>
      </c>
      <c r="C12425" s="1" t="n">
        <v>45810</v>
      </c>
      <c r="D12425" t="inlineStr">
        <is>
          <t>VÄRMLANDS LÄN</t>
        </is>
      </c>
      <c r="E12425" t="inlineStr">
        <is>
          <t>FILIPSTAD</t>
        </is>
      </c>
      <c r="G12425" t="n">
        <v>1.3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56116-2023</t>
        </is>
      </c>
      <c r="B12426" s="1" t="n">
        <v>45240</v>
      </c>
      <c r="C12426" s="1" t="n">
        <v>45810</v>
      </c>
      <c r="D12426" t="inlineStr">
        <is>
          <t>VÄRMLANDS LÄN</t>
        </is>
      </c>
      <c r="E12426" t="inlineStr">
        <is>
          <t>TORSBY</t>
        </is>
      </c>
      <c r="G12426" t="n">
        <v>4.5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56219-2023</t>
        </is>
      </c>
      <c r="B12427" s="1" t="n">
        <v>45240</v>
      </c>
      <c r="C12427" s="1" t="n">
        <v>45810</v>
      </c>
      <c r="D12427" t="inlineStr">
        <is>
          <t>VÄRMLANDS LÄN</t>
        </is>
      </c>
      <c r="E12427" t="inlineStr">
        <is>
          <t>GRUMS</t>
        </is>
      </c>
      <c r="G12427" t="n">
        <v>1.1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56215-2023</t>
        </is>
      </c>
      <c r="B12428" s="1" t="n">
        <v>45240</v>
      </c>
      <c r="C12428" s="1" t="n">
        <v>45810</v>
      </c>
      <c r="D12428" t="inlineStr">
        <is>
          <t>VÄRMLANDS LÄN</t>
        </is>
      </c>
      <c r="E12428" t="inlineStr">
        <is>
          <t>SUNNE</t>
        </is>
      </c>
      <c r="G12428" t="n">
        <v>0.6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55945-2023</t>
        </is>
      </c>
      <c r="B12429" s="1" t="n">
        <v>45240</v>
      </c>
      <c r="C12429" s="1" t="n">
        <v>45810</v>
      </c>
      <c r="D12429" t="inlineStr">
        <is>
          <t>VÄRMLANDS LÄN</t>
        </is>
      </c>
      <c r="E12429" t="inlineStr">
        <is>
          <t>ARVIKA</t>
        </is>
      </c>
      <c r="G12429" t="n">
        <v>4.4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56070-2023</t>
        </is>
      </c>
      <c r="B12430" s="1" t="n">
        <v>45240</v>
      </c>
      <c r="C12430" s="1" t="n">
        <v>45810</v>
      </c>
      <c r="D12430" t="inlineStr">
        <is>
          <t>VÄRMLANDS LÄN</t>
        </is>
      </c>
      <c r="E12430" t="inlineStr">
        <is>
          <t>FILIPSTAD</t>
        </is>
      </c>
      <c r="F12430" t="inlineStr">
        <is>
          <t>Bergvik skog väst AB</t>
        </is>
      </c>
      <c r="G12430" t="n">
        <v>2.8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56021-2023</t>
        </is>
      </c>
      <c r="B12431" s="1" t="n">
        <v>45240</v>
      </c>
      <c r="C12431" s="1" t="n">
        <v>45810</v>
      </c>
      <c r="D12431" t="inlineStr">
        <is>
          <t>VÄRMLANDS LÄN</t>
        </is>
      </c>
      <c r="E12431" t="inlineStr">
        <is>
          <t>TORSBY</t>
        </is>
      </c>
      <c r="G12431" t="n">
        <v>2.1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56280-2023</t>
        </is>
      </c>
      <c r="B12432" s="1" t="n">
        <v>45241</v>
      </c>
      <c r="C12432" s="1" t="n">
        <v>45810</v>
      </c>
      <c r="D12432" t="inlineStr">
        <is>
          <t>VÄRMLANDS LÄN</t>
        </is>
      </c>
      <c r="E12432" t="inlineStr">
        <is>
          <t>FORSHAGA</t>
        </is>
      </c>
      <c r="G12432" t="n">
        <v>2.9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56309-2023</t>
        </is>
      </c>
      <c r="B12433" s="1" t="n">
        <v>45242</v>
      </c>
      <c r="C12433" s="1" t="n">
        <v>45810</v>
      </c>
      <c r="D12433" t="inlineStr">
        <is>
          <t>VÄRMLANDS LÄN</t>
        </is>
      </c>
      <c r="E12433" t="inlineStr">
        <is>
          <t>KRISTINEHAMN</t>
        </is>
      </c>
      <c r="G12433" t="n">
        <v>4.2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57498-2023</t>
        </is>
      </c>
      <c r="B12434" s="1" t="n">
        <v>45242</v>
      </c>
      <c r="C12434" s="1" t="n">
        <v>45810</v>
      </c>
      <c r="D12434" t="inlineStr">
        <is>
          <t>VÄRMLANDS LÄN</t>
        </is>
      </c>
      <c r="E12434" t="inlineStr">
        <is>
          <t>SÄFFLE</t>
        </is>
      </c>
      <c r="G12434" t="n">
        <v>2.8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56427-2023</t>
        </is>
      </c>
      <c r="B12435" s="1" t="n">
        <v>45243</v>
      </c>
      <c r="C12435" s="1" t="n">
        <v>45810</v>
      </c>
      <c r="D12435" t="inlineStr">
        <is>
          <t>VÄRMLANDS LÄN</t>
        </is>
      </c>
      <c r="E12435" t="inlineStr">
        <is>
          <t>ARVIKA</t>
        </is>
      </c>
      <c r="G12435" t="n">
        <v>2.1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56472-2023</t>
        </is>
      </c>
      <c r="B12436" s="1" t="n">
        <v>45243</v>
      </c>
      <c r="C12436" s="1" t="n">
        <v>45810</v>
      </c>
      <c r="D12436" t="inlineStr">
        <is>
          <t>VÄRMLANDS LÄN</t>
        </is>
      </c>
      <c r="E12436" t="inlineStr">
        <is>
          <t>ARVIKA</t>
        </is>
      </c>
      <c r="G12436" t="n">
        <v>1.6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56554-2023</t>
        </is>
      </c>
      <c r="B12437" s="1" t="n">
        <v>45243</v>
      </c>
      <c r="C12437" s="1" t="n">
        <v>45810</v>
      </c>
      <c r="D12437" t="inlineStr">
        <is>
          <t>VÄRMLANDS LÄN</t>
        </is>
      </c>
      <c r="E12437" t="inlineStr">
        <is>
          <t>KRISTINEHAMN</t>
        </is>
      </c>
      <c r="F12437" t="inlineStr">
        <is>
          <t>Naturvårdsverket</t>
        </is>
      </c>
      <c r="G12437" t="n">
        <v>5.5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56559-2023</t>
        </is>
      </c>
      <c r="B12438" s="1" t="n">
        <v>45243</v>
      </c>
      <c r="C12438" s="1" t="n">
        <v>45810</v>
      </c>
      <c r="D12438" t="inlineStr">
        <is>
          <t>VÄRMLANDS LÄN</t>
        </is>
      </c>
      <c r="E12438" t="inlineStr">
        <is>
          <t>FILIPSTAD</t>
        </is>
      </c>
      <c r="F12438" t="inlineStr">
        <is>
          <t>Bergvik skog väst AB</t>
        </is>
      </c>
      <c r="G12438" t="n">
        <v>1.5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56664-2023</t>
        </is>
      </c>
      <c r="B12439" s="1" t="n">
        <v>45243</v>
      </c>
      <c r="C12439" s="1" t="n">
        <v>45810</v>
      </c>
      <c r="D12439" t="inlineStr">
        <is>
          <t>VÄRMLANDS LÄN</t>
        </is>
      </c>
      <c r="E12439" t="inlineStr">
        <is>
          <t>KRISTINEHAMN</t>
        </is>
      </c>
      <c r="G12439" t="n">
        <v>1.6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56668-2023</t>
        </is>
      </c>
      <c r="B12440" s="1" t="n">
        <v>45243</v>
      </c>
      <c r="C12440" s="1" t="n">
        <v>45810</v>
      </c>
      <c r="D12440" t="inlineStr">
        <is>
          <t>VÄRMLANDS LÄN</t>
        </is>
      </c>
      <c r="E12440" t="inlineStr">
        <is>
          <t>KRISTINEHAMN</t>
        </is>
      </c>
      <c r="G12440" t="n">
        <v>0.9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56481-2023</t>
        </is>
      </c>
      <c r="B12441" s="1" t="n">
        <v>45243</v>
      </c>
      <c r="C12441" s="1" t="n">
        <v>45810</v>
      </c>
      <c r="D12441" t="inlineStr">
        <is>
          <t>VÄRMLANDS LÄN</t>
        </is>
      </c>
      <c r="E12441" t="inlineStr">
        <is>
          <t>EDA</t>
        </is>
      </c>
      <c r="G12441" t="n">
        <v>9.9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56493-2023</t>
        </is>
      </c>
      <c r="B12442" s="1" t="n">
        <v>45243</v>
      </c>
      <c r="C12442" s="1" t="n">
        <v>45810</v>
      </c>
      <c r="D12442" t="inlineStr">
        <is>
          <t>VÄRMLANDS LÄN</t>
        </is>
      </c>
      <c r="E12442" t="inlineStr">
        <is>
          <t>ÅRJÄNG</t>
        </is>
      </c>
      <c r="F12442" t="inlineStr">
        <is>
          <t>Kyrkan</t>
        </is>
      </c>
      <c r="G12442" t="n">
        <v>2.3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56516-2023</t>
        </is>
      </c>
      <c r="B12443" s="1" t="n">
        <v>45243</v>
      </c>
      <c r="C12443" s="1" t="n">
        <v>45810</v>
      </c>
      <c r="D12443" t="inlineStr">
        <is>
          <t>VÄRMLANDS LÄN</t>
        </is>
      </c>
      <c r="E12443" t="inlineStr">
        <is>
          <t>KRISTINEHAMN</t>
        </is>
      </c>
      <c r="F12443" t="inlineStr">
        <is>
          <t>Kommuner</t>
        </is>
      </c>
      <c r="G12443" t="n">
        <v>1.5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56522-2023</t>
        </is>
      </c>
      <c r="B12444" s="1" t="n">
        <v>45243</v>
      </c>
      <c r="C12444" s="1" t="n">
        <v>45810</v>
      </c>
      <c r="D12444" t="inlineStr">
        <is>
          <t>VÄRMLANDS LÄN</t>
        </is>
      </c>
      <c r="E12444" t="inlineStr">
        <is>
          <t>KRISTINEHAMN</t>
        </is>
      </c>
      <c r="F12444" t="inlineStr">
        <is>
          <t>Naturvårdsverket</t>
        </is>
      </c>
      <c r="G12444" t="n">
        <v>1.3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56327-2023</t>
        </is>
      </c>
      <c r="B12445" s="1" t="n">
        <v>45243</v>
      </c>
      <c r="C12445" s="1" t="n">
        <v>45810</v>
      </c>
      <c r="D12445" t="inlineStr">
        <is>
          <t>VÄRMLANDS LÄN</t>
        </is>
      </c>
      <c r="E12445" t="inlineStr">
        <is>
          <t>KARLSTAD</t>
        </is>
      </c>
      <c r="G12445" t="n">
        <v>0.8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56535-2023</t>
        </is>
      </c>
      <c r="B12446" s="1" t="n">
        <v>45243</v>
      </c>
      <c r="C12446" s="1" t="n">
        <v>45810</v>
      </c>
      <c r="D12446" t="inlineStr">
        <is>
          <t>VÄRMLANDS LÄN</t>
        </is>
      </c>
      <c r="E12446" t="inlineStr">
        <is>
          <t>ÅRJÄNG</t>
        </is>
      </c>
      <c r="G12446" t="n">
        <v>5.8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56556-2023</t>
        </is>
      </c>
      <c r="B12447" s="1" t="n">
        <v>45243</v>
      </c>
      <c r="C12447" s="1" t="n">
        <v>45810</v>
      </c>
      <c r="D12447" t="inlineStr">
        <is>
          <t>VÄRMLANDS LÄN</t>
        </is>
      </c>
      <c r="E12447" t="inlineStr">
        <is>
          <t>KRISTINEHAMN</t>
        </is>
      </c>
      <c r="F12447" t="inlineStr">
        <is>
          <t>Naturvårdsverket</t>
        </is>
      </c>
      <c r="G12447" t="n">
        <v>1.1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56574-2023</t>
        </is>
      </c>
      <c r="B12448" s="1" t="n">
        <v>45243</v>
      </c>
      <c r="C12448" s="1" t="n">
        <v>45810</v>
      </c>
      <c r="D12448" t="inlineStr">
        <is>
          <t>VÄRMLANDS LÄN</t>
        </is>
      </c>
      <c r="E12448" t="inlineStr">
        <is>
          <t>KARLSTAD</t>
        </is>
      </c>
      <c r="G12448" t="n">
        <v>2.2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56578-2023</t>
        </is>
      </c>
      <c r="B12449" s="1" t="n">
        <v>45243</v>
      </c>
      <c r="C12449" s="1" t="n">
        <v>45810</v>
      </c>
      <c r="D12449" t="inlineStr">
        <is>
          <t>VÄRMLANDS LÄN</t>
        </is>
      </c>
      <c r="E12449" t="inlineStr">
        <is>
          <t>KRISTINEHAMN</t>
        </is>
      </c>
      <c r="F12449" t="inlineStr">
        <is>
          <t>Kommuner</t>
        </is>
      </c>
      <c r="G12449" t="n">
        <v>1.9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56662-2023</t>
        </is>
      </c>
      <c r="B12450" s="1" t="n">
        <v>45243</v>
      </c>
      <c r="C12450" s="1" t="n">
        <v>45810</v>
      </c>
      <c r="D12450" t="inlineStr">
        <is>
          <t>VÄRMLANDS LÄN</t>
        </is>
      </c>
      <c r="E12450" t="inlineStr">
        <is>
          <t>KRISTINEHAMN</t>
        </is>
      </c>
      <c r="G12450" t="n">
        <v>0.6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56666-2023</t>
        </is>
      </c>
      <c r="B12451" s="1" t="n">
        <v>45243</v>
      </c>
      <c r="C12451" s="1" t="n">
        <v>45810</v>
      </c>
      <c r="D12451" t="inlineStr">
        <is>
          <t>VÄRMLANDS LÄN</t>
        </is>
      </c>
      <c r="E12451" t="inlineStr">
        <is>
          <t>KRISTINEHAMN</t>
        </is>
      </c>
      <c r="G12451" t="n">
        <v>0.9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56369-2023</t>
        </is>
      </c>
      <c r="B12452" s="1" t="n">
        <v>45243</v>
      </c>
      <c r="C12452" s="1" t="n">
        <v>45810</v>
      </c>
      <c r="D12452" t="inlineStr">
        <is>
          <t>VÄRMLANDS LÄN</t>
        </is>
      </c>
      <c r="E12452" t="inlineStr">
        <is>
          <t>HAGFORS</t>
        </is>
      </c>
      <c r="G12452" t="n">
        <v>1.6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56486-2023</t>
        </is>
      </c>
      <c r="B12453" s="1" t="n">
        <v>45243</v>
      </c>
      <c r="C12453" s="1" t="n">
        <v>45810</v>
      </c>
      <c r="D12453" t="inlineStr">
        <is>
          <t>VÄRMLANDS LÄN</t>
        </is>
      </c>
      <c r="E12453" t="inlineStr">
        <is>
          <t>HAGFORS</t>
        </is>
      </c>
      <c r="F12453" t="inlineStr">
        <is>
          <t>Bergvik skog väst AB</t>
        </is>
      </c>
      <c r="G12453" t="n">
        <v>18.7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56496-2023</t>
        </is>
      </c>
      <c r="B12454" s="1" t="n">
        <v>45243</v>
      </c>
      <c r="C12454" s="1" t="n">
        <v>45810</v>
      </c>
      <c r="D12454" t="inlineStr">
        <is>
          <t>VÄRMLANDS LÄN</t>
        </is>
      </c>
      <c r="E12454" t="inlineStr">
        <is>
          <t>EDA</t>
        </is>
      </c>
      <c r="G12454" t="n">
        <v>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56521-2023</t>
        </is>
      </c>
      <c r="B12455" s="1" t="n">
        <v>45243</v>
      </c>
      <c r="C12455" s="1" t="n">
        <v>45810</v>
      </c>
      <c r="D12455" t="inlineStr">
        <is>
          <t>VÄRMLANDS LÄN</t>
        </is>
      </c>
      <c r="E12455" t="inlineStr">
        <is>
          <t>KARLSTAD</t>
        </is>
      </c>
      <c r="G12455" t="n">
        <v>0.8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56614-2023</t>
        </is>
      </c>
      <c r="B12456" s="1" t="n">
        <v>45243</v>
      </c>
      <c r="C12456" s="1" t="n">
        <v>45810</v>
      </c>
      <c r="D12456" t="inlineStr">
        <is>
          <t>VÄRMLANDS LÄN</t>
        </is>
      </c>
      <c r="E12456" t="inlineStr">
        <is>
          <t>HAGFORS</t>
        </is>
      </c>
      <c r="G12456" t="n">
        <v>3.2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56661-2023</t>
        </is>
      </c>
      <c r="B12457" s="1" t="n">
        <v>45243</v>
      </c>
      <c r="C12457" s="1" t="n">
        <v>45810</v>
      </c>
      <c r="D12457" t="inlineStr">
        <is>
          <t>VÄRMLANDS LÄN</t>
        </is>
      </c>
      <c r="E12457" t="inlineStr">
        <is>
          <t>KRISTINEHAMN</t>
        </is>
      </c>
      <c r="G12457" t="n">
        <v>1.2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56673-2023</t>
        </is>
      </c>
      <c r="B12458" s="1" t="n">
        <v>45243</v>
      </c>
      <c r="C12458" s="1" t="n">
        <v>45810</v>
      </c>
      <c r="D12458" t="inlineStr">
        <is>
          <t>VÄRMLANDS LÄN</t>
        </is>
      </c>
      <c r="E12458" t="inlineStr">
        <is>
          <t>KRISTINEHAMN</t>
        </is>
      </c>
      <c r="G12458" t="n">
        <v>1.8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56426-2023</t>
        </is>
      </c>
      <c r="B12459" s="1" t="n">
        <v>45243</v>
      </c>
      <c r="C12459" s="1" t="n">
        <v>45810</v>
      </c>
      <c r="D12459" t="inlineStr">
        <is>
          <t>VÄRMLANDS LÄN</t>
        </is>
      </c>
      <c r="E12459" t="inlineStr">
        <is>
          <t>TORSBY</t>
        </is>
      </c>
      <c r="G12459" t="n">
        <v>0.6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56430-2023</t>
        </is>
      </c>
      <c r="B12460" s="1" t="n">
        <v>45243</v>
      </c>
      <c r="C12460" s="1" t="n">
        <v>45810</v>
      </c>
      <c r="D12460" t="inlineStr">
        <is>
          <t>VÄRMLANDS LÄN</t>
        </is>
      </c>
      <c r="E12460" t="inlineStr">
        <is>
          <t>ARVIKA</t>
        </is>
      </c>
      <c r="G12460" t="n">
        <v>0.5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56488-2023</t>
        </is>
      </c>
      <c r="B12461" s="1" t="n">
        <v>45243</v>
      </c>
      <c r="C12461" s="1" t="n">
        <v>45810</v>
      </c>
      <c r="D12461" t="inlineStr">
        <is>
          <t>VÄRMLANDS LÄN</t>
        </is>
      </c>
      <c r="E12461" t="inlineStr">
        <is>
          <t>SUNNE</t>
        </is>
      </c>
      <c r="G12461" t="n">
        <v>2.7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56557-2023</t>
        </is>
      </c>
      <c r="B12462" s="1" t="n">
        <v>45243</v>
      </c>
      <c r="C12462" s="1" t="n">
        <v>45810</v>
      </c>
      <c r="D12462" t="inlineStr">
        <is>
          <t>VÄRMLANDS LÄN</t>
        </is>
      </c>
      <c r="E12462" t="inlineStr">
        <is>
          <t>FILIPSTAD</t>
        </is>
      </c>
      <c r="F12462" t="inlineStr">
        <is>
          <t>Bergvik skog väst AB</t>
        </is>
      </c>
      <c r="G12462" t="n">
        <v>19.2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56641-2023</t>
        </is>
      </c>
      <c r="B12463" s="1" t="n">
        <v>45243</v>
      </c>
      <c r="C12463" s="1" t="n">
        <v>45810</v>
      </c>
      <c r="D12463" t="inlineStr">
        <is>
          <t>VÄRMLANDS LÄN</t>
        </is>
      </c>
      <c r="E12463" t="inlineStr">
        <is>
          <t>KIL</t>
        </is>
      </c>
      <c r="G12463" t="n">
        <v>1.3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56663-2023</t>
        </is>
      </c>
      <c r="B12464" s="1" t="n">
        <v>45243</v>
      </c>
      <c r="C12464" s="1" t="n">
        <v>45810</v>
      </c>
      <c r="D12464" t="inlineStr">
        <is>
          <t>VÄRMLANDS LÄN</t>
        </is>
      </c>
      <c r="E12464" t="inlineStr">
        <is>
          <t>KRISTINEHAMN</t>
        </is>
      </c>
      <c r="G12464" t="n">
        <v>6.7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56667-2023</t>
        </is>
      </c>
      <c r="B12465" s="1" t="n">
        <v>45243</v>
      </c>
      <c r="C12465" s="1" t="n">
        <v>45810</v>
      </c>
      <c r="D12465" t="inlineStr">
        <is>
          <t>VÄRMLANDS LÄN</t>
        </is>
      </c>
      <c r="E12465" t="inlineStr">
        <is>
          <t>KRISTINEHAMN</t>
        </is>
      </c>
      <c r="G12465" t="n">
        <v>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56671-2023</t>
        </is>
      </c>
      <c r="B12466" s="1" t="n">
        <v>45243</v>
      </c>
      <c r="C12466" s="1" t="n">
        <v>45810</v>
      </c>
      <c r="D12466" t="inlineStr">
        <is>
          <t>VÄRMLANDS LÄN</t>
        </is>
      </c>
      <c r="E12466" t="inlineStr">
        <is>
          <t>KRISTINEHAMN</t>
        </is>
      </c>
      <c r="G12466" t="n">
        <v>8.699999999999999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57728-2023</t>
        </is>
      </c>
      <c r="B12467" s="1" t="n">
        <v>45243</v>
      </c>
      <c r="C12467" s="1" t="n">
        <v>45810</v>
      </c>
      <c r="D12467" t="inlineStr">
        <is>
          <t>VÄRMLANDS LÄN</t>
        </is>
      </c>
      <c r="E12467" t="inlineStr">
        <is>
          <t>SUNNE</t>
        </is>
      </c>
      <c r="G12467" t="n">
        <v>0.6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57711-2023</t>
        </is>
      </c>
      <c r="B12468" s="1" t="n">
        <v>45243</v>
      </c>
      <c r="C12468" s="1" t="n">
        <v>45810</v>
      </c>
      <c r="D12468" t="inlineStr">
        <is>
          <t>VÄRMLANDS LÄN</t>
        </is>
      </c>
      <c r="E12468" t="inlineStr">
        <is>
          <t>SUNNE</t>
        </is>
      </c>
      <c r="G12468" t="n">
        <v>2.8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57721-2023</t>
        </is>
      </c>
      <c r="B12469" s="1" t="n">
        <v>45243</v>
      </c>
      <c r="C12469" s="1" t="n">
        <v>45810</v>
      </c>
      <c r="D12469" t="inlineStr">
        <is>
          <t>VÄRMLANDS LÄN</t>
        </is>
      </c>
      <c r="E12469" t="inlineStr">
        <is>
          <t>SUNNE</t>
        </is>
      </c>
      <c r="G12469" t="n">
        <v>2.3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56783-2023</t>
        </is>
      </c>
      <c r="B12470" s="1" t="n">
        <v>45244</v>
      </c>
      <c r="C12470" s="1" t="n">
        <v>45810</v>
      </c>
      <c r="D12470" t="inlineStr">
        <is>
          <t>VÄRMLANDS LÄN</t>
        </is>
      </c>
      <c r="E12470" t="inlineStr">
        <is>
          <t>EDA</t>
        </is>
      </c>
      <c r="G12470" t="n">
        <v>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56757-2023</t>
        </is>
      </c>
      <c r="B12471" s="1" t="n">
        <v>45244</v>
      </c>
      <c r="C12471" s="1" t="n">
        <v>45810</v>
      </c>
      <c r="D12471" t="inlineStr">
        <is>
          <t>VÄRMLANDS LÄN</t>
        </is>
      </c>
      <c r="E12471" t="inlineStr">
        <is>
          <t>ÅRJÄNG</t>
        </is>
      </c>
      <c r="G12471" t="n">
        <v>1.1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56724-2023</t>
        </is>
      </c>
      <c r="B12472" s="1" t="n">
        <v>45244</v>
      </c>
      <c r="C12472" s="1" t="n">
        <v>45810</v>
      </c>
      <c r="D12472" t="inlineStr">
        <is>
          <t>VÄRMLANDS LÄN</t>
        </is>
      </c>
      <c r="E12472" t="inlineStr">
        <is>
          <t>TORSBY</t>
        </is>
      </c>
      <c r="G12472" t="n">
        <v>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56880-2023</t>
        </is>
      </c>
      <c r="B12473" s="1" t="n">
        <v>45244</v>
      </c>
      <c r="C12473" s="1" t="n">
        <v>45810</v>
      </c>
      <c r="D12473" t="inlineStr">
        <is>
          <t>VÄRMLANDS LÄN</t>
        </is>
      </c>
      <c r="E12473" t="inlineStr">
        <is>
          <t>TORSBY</t>
        </is>
      </c>
      <c r="F12473" t="inlineStr">
        <is>
          <t>Övriga Aktiebolag</t>
        </is>
      </c>
      <c r="G12473" t="n">
        <v>4.9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56873-2023</t>
        </is>
      </c>
      <c r="B12474" s="1" t="n">
        <v>45244</v>
      </c>
      <c r="C12474" s="1" t="n">
        <v>45810</v>
      </c>
      <c r="D12474" t="inlineStr">
        <is>
          <t>VÄRMLANDS LÄN</t>
        </is>
      </c>
      <c r="E12474" t="inlineStr">
        <is>
          <t>ARVIKA</t>
        </is>
      </c>
      <c r="G12474" t="n">
        <v>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56881-2023</t>
        </is>
      </c>
      <c r="B12475" s="1" t="n">
        <v>45244</v>
      </c>
      <c r="C12475" s="1" t="n">
        <v>45810</v>
      </c>
      <c r="D12475" t="inlineStr">
        <is>
          <t>VÄRMLANDS LÄN</t>
        </is>
      </c>
      <c r="E12475" t="inlineStr">
        <is>
          <t>TORSBY</t>
        </is>
      </c>
      <c r="F12475" t="inlineStr">
        <is>
          <t>Övriga Aktiebolag</t>
        </is>
      </c>
      <c r="G12475" t="n">
        <v>5.7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56893-2023</t>
        </is>
      </c>
      <c r="B12476" s="1" t="n">
        <v>45244</v>
      </c>
      <c r="C12476" s="1" t="n">
        <v>45810</v>
      </c>
      <c r="D12476" t="inlineStr">
        <is>
          <t>VÄRMLANDS LÄN</t>
        </is>
      </c>
      <c r="E12476" t="inlineStr">
        <is>
          <t>HAGFORS</t>
        </is>
      </c>
      <c r="G12476" t="n">
        <v>0.5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56930-2023</t>
        </is>
      </c>
      <c r="B12477" s="1" t="n">
        <v>45244</v>
      </c>
      <c r="C12477" s="1" t="n">
        <v>45810</v>
      </c>
      <c r="D12477" t="inlineStr">
        <is>
          <t>VÄRMLANDS LÄN</t>
        </is>
      </c>
      <c r="E12477" t="inlineStr">
        <is>
          <t>KRISTINEHAMN</t>
        </is>
      </c>
      <c r="G12477" t="n">
        <v>0.6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57009-2023</t>
        </is>
      </c>
      <c r="B12478" s="1" t="n">
        <v>45244</v>
      </c>
      <c r="C12478" s="1" t="n">
        <v>45810</v>
      </c>
      <c r="D12478" t="inlineStr">
        <is>
          <t>VÄRMLANDS LÄN</t>
        </is>
      </c>
      <c r="E12478" t="inlineStr">
        <is>
          <t>ARVIKA</t>
        </is>
      </c>
      <c r="G12478" t="n">
        <v>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57026-2023</t>
        </is>
      </c>
      <c r="B12479" s="1" t="n">
        <v>45244</v>
      </c>
      <c r="C12479" s="1" t="n">
        <v>45810</v>
      </c>
      <c r="D12479" t="inlineStr">
        <is>
          <t>VÄRMLANDS LÄN</t>
        </is>
      </c>
      <c r="E12479" t="inlineStr">
        <is>
          <t>FILIPSTAD</t>
        </is>
      </c>
      <c r="G12479" t="n">
        <v>0.5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57027-2023</t>
        </is>
      </c>
      <c r="B12480" s="1" t="n">
        <v>45244</v>
      </c>
      <c r="C12480" s="1" t="n">
        <v>45810</v>
      </c>
      <c r="D12480" t="inlineStr">
        <is>
          <t>VÄRMLANDS LÄN</t>
        </is>
      </c>
      <c r="E12480" t="inlineStr">
        <is>
          <t>FILIPSTAD</t>
        </is>
      </c>
      <c r="G12480" t="n">
        <v>0.6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56808-2023</t>
        </is>
      </c>
      <c r="B12481" s="1" t="n">
        <v>45244</v>
      </c>
      <c r="C12481" s="1" t="n">
        <v>45810</v>
      </c>
      <c r="D12481" t="inlineStr">
        <is>
          <t>VÄRMLANDS LÄN</t>
        </is>
      </c>
      <c r="E12481" t="inlineStr">
        <is>
          <t>HAGFORS</t>
        </is>
      </c>
      <c r="G12481" t="n">
        <v>1.6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56871-2023</t>
        </is>
      </c>
      <c r="B12482" s="1" t="n">
        <v>45244</v>
      </c>
      <c r="C12482" s="1" t="n">
        <v>45810</v>
      </c>
      <c r="D12482" t="inlineStr">
        <is>
          <t>VÄRMLANDS LÄN</t>
        </is>
      </c>
      <c r="E12482" t="inlineStr">
        <is>
          <t>SUNNE</t>
        </is>
      </c>
      <c r="G12482" t="n">
        <v>1.8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56875-2023</t>
        </is>
      </c>
      <c r="B12483" s="1" t="n">
        <v>45244</v>
      </c>
      <c r="C12483" s="1" t="n">
        <v>45810</v>
      </c>
      <c r="D12483" t="inlineStr">
        <is>
          <t>VÄRMLANDS LÄN</t>
        </is>
      </c>
      <c r="E12483" t="inlineStr">
        <is>
          <t>TORSBY</t>
        </is>
      </c>
      <c r="F12483" t="inlineStr">
        <is>
          <t>Övriga Aktiebolag</t>
        </is>
      </c>
      <c r="G12483" t="n">
        <v>1.4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56811-2023</t>
        </is>
      </c>
      <c r="B12484" s="1" t="n">
        <v>45244</v>
      </c>
      <c r="C12484" s="1" t="n">
        <v>45810</v>
      </c>
      <c r="D12484" t="inlineStr">
        <is>
          <t>VÄRMLANDS LÄN</t>
        </is>
      </c>
      <c r="E12484" t="inlineStr">
        <is>
          <t>TORSBY</t>
        </is>
      </c>
      <c r="G12484" t="n">
        <v>1.9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56815-2023</t>
        </is>
      </c>
      <c r="B12485" s="1" t="n">
        <v>45244</v>
      </c>
      <c r="C12485" s="1" t="n">
        <v>45810</v>
      </c>
      <c r="D12485" t="inlineStr">
        <is>
          <t>VÄRMLANDS LÄN</t>
        </is>
      </c>
      <c r="E12485" t="inlineStr">
        <is>
          <t>TORSBY</t>
        </is>
      </c>
      <c r="G12485" t="n">
        <v>9.300000000000001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56884-2023</t>
        </is>
      </c>
      <c r="B12486" s="1" t="n">
        <v>45244</v>
      </c>
      <c r="C12486" s="1" t="n">
        <v>45810</v>
      </c>
      <c r="D12486" t="inlineStr">
        <is>
          <t>VÄRMLANDS LÄN</t>
        </is>
      </c>
      <c r="E12486" t="inlineStr">
        <is>
          <t>HAGFORS</t>
        </is>
      </c>
      <c r="G12486" t="n">
        <v>1.3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56895-2023</t>
        </is>
      </c>
      <c r="B12487" s="1" t="n">
        <v>45244</v>
      </c>
      <c r="C12487" s="1" t="n">
        <v>45810</v>
      </c>
      <c r="D12487" t="inlineStr">
        <is>
          <t>VÄRMLANDS LÄN</t>
        </is>
      </c>
      <c r="E12487" t="inlineStr">
        <is>
          <t>HAGFORS</t>
        </is>
      </c>
      <c r="G12487" t="n">
        <v>0.3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56888-2023</t>
        </is>
      </c>
      <c r="B12488" s="1" t="n">
        <v>45244</v>
      </c>
      <c r="C12488" s="1" t="n">
        <v>45810</v>
      </c>
      <c r="D12488" t="inlineStr">
        <is>
          <t>VÄRMLANDS LÄN</t>
        </is>
      </c>
      <c r="E12488" t="inlineStr">
        <is>
          <t>HAGFORS</t>
        </is>
      </c>
      <c r="G12488" t="n">
        <v>0.8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56902-2023</t>
        </is>
      </c>
      <c r="B12489" s="1" t="n">
        <v>45244</v>
      </c>
      <c r="C12489" s="1" t="n">
        <v>45810</v>
      </c>
      <c r="D12489" t="inlineStr">
        <is>
          <t>VÄRMLANDS LÄN</t>
        </is>
      </c>
      <c r="E12489" t="inlineStr">
        <is>
          <t>TORSBY</t>
        </is>
      </c>
      <c r="G12489" t="n">
        <v>17.4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56970-2023</t>
        </is>
      </c>
      <c r="B12490" s="1" t="n">
        <v>45244</v>
      </c>
      <c r="C12490" s="1" t="n">
        <v>45810</v>
      </c>
      <c r="D12490" t="inlineStr">
        <is>
          <t>VÄRMLANDS LÄN</t>
        </is>
      </c>
      <c r="E12490" t="inlineStr">
        <is>
          <t>TORSBY</t>
        </is>
      </c>
      <c r="G12490" t="n">
        <v>4.4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57012-2023</t>
        </is>
      </c>
      <c r="B12491" s="1" t="n">
        <v>45244</v>
      </c>
      <c r="C12491" s="1" t="n">
        <v>45810</v>
      </c>
      <c r="D12491" t="inlineStr">
        <is>
          <t>VÄRMLANDS LÄN</t>
        </is>
      </c>
      <c r="E12491" t="inlineStr">
        <is>
          <t>ARVIKA</t>
        </is>
      </c>
      <c r="G12491" t="n">
        <v>0.6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57992-2023</t>
        </is>
      </c>
      <c r="B12492" s="1" t="n">
        <v>45244</v>
      </c>
      <c r="C12492" s="1" t="n">
        <v>45810</v>
      </c>
      <c r="D12492" t="inlineStr">
        <is>
          <t>VÄRMLANDS LÄN</t>
        </is>
      </c>
      <c r="E12492" t="inlineStr">
        <is>
          <t>ÅRJÄNG</t>
        </is>
      </c>
      <c r="G12492" t="n">
        <v>1.9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57973-2023</t>
        </is>
      </c>
      <c r="B12493" s="1" t="n">
        <v>45244</v>
      </c>
      <c r="C12493" s="1" t="n">
        <v>45810</v>
      </c>
      <c r="D12493" t="inlineStr">
        <is>
          <t>VÄRMLANDS LÄN</t>
        </is>
      </c>
      <c r="E12493" t="inlineStr">
        <is>
          <t>HAGFORS</t>
        </is>
      </c>
      <c r="G12493" t="n">
        <v>2.8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57017-2023</t>
        </is>
      </c>
      <c r="B12494" s="1" t="n">
        <v>45244</v>
      </c>
      <c r="C12494" s="1" t="n">
        <v>45810</v>
      </c>
      <c r="D12494" t="inlineStr">
        <is>
          <t>VÄRMLANDS LÄN</t>
        </is>
      </c>
      <c r="E12494" t="inlineStr">
        <is>
          <t>TORSBY</t>
        </is>
      </c>
      <c r="G12494" t="n">
        <v>0.9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57975-2023</t>
        </is>
      </c>
      <c r="B12495" s="1" t="n">
        <v>45244</v>
      </c>
      <c r="C12495" s="1" t="n">
        <v>45810</v>
      </c>
      <c r="D12495" t="inlineStr">
        <is>
          <t>VÄRMLANDS LÄN</t>
        </is>
      </c>
      <c r="E12495" t="inlineStr">
        <is>
          <t>ÅRJÄNG</t>
        </is>
      </c>
      <c r="G12495" t="n">
        <v>1.1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58001-2023</t>
        </is>
      </c>
      <c r="B12496" s="1" t="n">
        <v>45244</v>
      </c>
      <c r="C12496" s="1" t="n">
        <v>45810</v>
      </c>
      <c r="D12496" t="inlineStr">
        <is>
          <t>VÄRMLANDS LÄN</t>
        </is>
      </c>
      <c r="E12496" t="inlineStr">
        <is>
          <t>ÅRJÄNG</t>
        </is>
      </c>
      <c r="G12496" t="n">
        <v>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57089-2023</t>
        </is>
      </c>
      <c r="B12497" s="1" t="n">
        <v>45245</v>
      </c>
      <c r="C12497" s="1" t="n">
        <v>45810</v>
      </c>
      <c r="D12497" t="inlineStr">
        <is>
          <t>VÄRMLANDS LÄN</t>
        </is>
      </c>
      <c r="E12497" t="inlineStr">
        <is>
          <t>SÄFFLE</t>
        </is>
      </c>
      <c r="F12497" t="inlineStr">
        <is>
          <t>Bergvik skog väst AB</t>
        </is>
      </c>
      <c r="G12497" t="n">
        <v>0.5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57105-2023</t>
        </is>
      </c>
      <c r="B12498" s="1" t="n">
        <v>45245</v>
      </c>
      <c r="C12498" s="1" t="n">
        <v>45810</v>
      </c>
      <c r="D12498" t="inlineStr">
        <is>
          <t>VÄRMLANDS LÄN</t>
        </is>
      </c>
      <c r="E12498" t="inlineStr">
        <is>
          <t>KIL</t>
        </is>
      </c>
      <c r="G12498" t="n">
        <v>1.7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57113-2023</t>
        </is>
      </c>
      <c r="B12499" s="1" t="n">
        <v>45245</v>
      </c>
      <c r="C12499" s="1" t="n">
        <v>45810</v>
      </c>
      <c r="D12499" t="inlineStr">
        <is>
          <t>VÄRMLANDS LÄN</t>
        </is>
      </c>
      <c r="E12499" t="inlineStr">
        <is>
          <t>EDA</t>
        </is>
      </c>
      <c r="G12499" t="n">
        <v>1.7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57117-2023</t>
        </is>
      </c>
      <c r="B12500" s="1" t="n">
        <v>45245</v>
      </c>
      <c r="C12500" s="1" t="n">
        <v>45810</v>
      </c>
      <c r="D12500" t="inlineStr">
        <is>
          <t>VÄRMLANDS LÄN</t>
        </is>
      </c>
      <c r="E12500" t="inlineStr">
        <is>
          <t>TORSBY</t>
        </is>
      </c>
      <c r="G12500" t="n">
        <v>1.1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57121-2023</t>
        </is>
      </c>
      <c r="B12501" s="1" t="n">
        <v>45245</v>
      </c>
      <c r="C12501" s="1" t="n">
        <v>45810</v>
      </c>
      <c r="D12501" t="inlineStr">
        <is>
          <t>VÄRMLANDS LÄN</t>
        </is>
      </c>
      <c r="E12501" t="inlineStr">
        <is>
          <t>EDA</t>
        </is>
      </c>
      <c r="F12501" t="inlineStr">
        <is>
          <t>Övriga Aktiebolag</t>
        </is>
      </c>
      <c r="G12501" t="n">
        <v>1.8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57131-2023</t>
        </is>
      </c>
      <c r="B12502" s="1" t="n">
        <v>45245</v>
      </c>
      <c r="C12502" s="1" t="n">
        <v>45810</v>
      </c>
      <c r="D12502" t="inlineStr">
        <is>
          <t>VÄRMLANDS LÄN</t>
        </is>
      </c>
      <c r="E12502" t="inlineStr">
        <is>
          <t>ARVIKA</t>
        </is>
      </c>
      <c r="F12502" t="inlineStr">
        <is>
          <t>Bergvik skog väst AB</t>
        </is>
      </c>
      <c r="G12502" t="n">
        <v>9.199999999999999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57136-2023</t>
        </is>
      </c>
      <c r="B12503" s="1" t="n">
        <v>45245</v>
      </c>
      <c r="C12503" s="1" t="n">
        <v>45810</v>
      </c>
      <c r="D12503" t="inlineStr">
        <is>
          <t>VÄRMLANDS LÄN</t>
        </is>
      </c>
      <c r="E12503" t="inlineStr">
        <is>
          <t>EDA</t>
        </is>
      </c>
      <c r="F12503" t="inlineStr">
        <is>
          <t>Övriga Aktiebolag</t>
        </is>
      </c>
      <c r="G12503" t="n">
        <v>1.8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57143-2023</t>
        </is>
      </c>
      <c r="B12504" s="1" t="n">
        <v>45245</v>
      </c>
      <c r="C12504" s="1" t="n">
        <v>45810</v>
      </c>
      <c r="D12504" t="inlineStr">
        <is>
          <t>VÄRMLANDS LÄN</t>
        </is>
      </c>
      <c r="E12504" t="inlineStr">
        <is>
          <t>TORSBY</t>
        </is>
      </c>
      <c r="G12504" t="n">
        <v>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57151-2023</t>
        </is>
      </c>
      <c r="B12505" s="1" t="n">
        <v>45245</v>
      </c>
      <c r="C12505" s="1" t="n">
        <v>45810</v>
      </c>
      <c r="D12505" t="inlineStr">
        <is>
          <t>VÄRMLANDS LÄN</t>
        </is>
      </c>
      <c r="E12505" t="inlineStr">
        <is>
          <t>KIL</t>
        </is>
      </c>
      <c r="G12505" t="n">
        <v>1.5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57233-2023</t>
        </is>
      </c>
      <c r="B12506" s="1" t="n">
        <v>45245</v>
      </c>
      <c r="C12506" s="1" t="n">
        <v>45810</v>
      </c>
      <c r="D12506" t="inlineStr">
        <is>
          <t>VÄRMLANDS LÄN</t>
        </is>
      </c>
      <c r="E12506" t="inlineStr">
        <is>
          <t>GRUMS</t>
        </is>
      </c>
      <c r="G12506" t="n">
        <v>1.4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57244-2023</t>
        </is>
      </c>
      <c r="B12507" s="1" t="n">
        <v>45245</v>
      </c>
      <c r="C12507" s="1" t="n">
        <v>45810</v>
      </c>
      <c r="D12507" t="inlineStr">
        <is>
          <t>VÄRMLANDS LÄN</t>
        </is>
      </c>
      <c r="E12507" t="inlineStr">
        <is>
          <t>FILIPSTAD</t>
        </is>
      </c>
      <c r="F12507" t="inlineStr">
        <is>
          <t>Bergvik skog väst AB</t>
        </is>
      </c>
      <c r="G12507" t="n">
        <v>1.6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57306-2023</t>
        </is>
      </c>
      <c r="B12508" s="1" t="n">
        <v>45245</v>
      </c>
      <c r="C12508" s="1" t="n">
        <v>45810</v>
      </c>
      <c r="D12508" t="inlineStr">
        <is>
          <t>VÄRMLANDS LÄN</t>
        </is>
      </c>
      <c r="E12508" t="inlineStr">
        <is>
          <t>ÅRJÄNG</t>
        </is>
      </c>
      <c r="G12508" t="n">
        <v>1.1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57345-2023</t>
        </is>
      </c>
      <c r="B12509" s="1" t="n">
        <v>45245</v>
      </c>
      <c r="C12509" s="1" t="n">
        <v>45810</v>
      </c>
      <c r="D12509" t="inlineStr">
        <is>
          <t>VÄRMLANDS LÄN</t>
        </is>
      </c>
      <c r="E12509" t="inlineStr">
        <is>
          <t>TORSBY</t>
        </is>
      </c>
      <c r="F12509" t="inlineStr">
        <is>
          <t>Bergvik skog väst AB</t>
        </is>
      </c>
      <c r="G12509" t="n">
        <v>14.6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57392-2023</t>
        </is>
      </c>
      <c r="B12510" s="1" t="n">
        <v>45245</v>
      </c>
      <c r="C12510" s="1" t="n">
        <v>45810</v>
      </c>
      <c r="D12510" t="inlineStr">
        <is>
          <t>VÄRMLANDS LÄN</t>
        </is>
      </c>
      <c r="E12510" t="inlineStr">
        <is>
          <t>SUNNE</t>
        </is>
      </c>
      <c r="G12510" t="n">
        <v>1.5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57112-2023</t>
        </is>
      </c>
      <c r="B12511" s="1" t="n">
        <v>45245</v>
      </c>
      <c r="C12511" s="1" t="n">
        <v>45810</v>
      </c>
      <c r="D12511" t="inlineStr">
        <is>
          <t>VÄRMLANDS LÄN</t>
        </is>
      </c>
      <c r="E12511" t="inlineStr">
        <is>
          <t>EDA</t>
        </is>
      </c>
      <c r="G12511" t="n">
        <v>1.7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57120-2023</t>
        </is>
      </c>
      <c r="B12512" s="1" t="n">
        <v>45245</v>
      </c>
      <c r="C12512" s="1" t="n">
        <v>45810</v>
      </c>
      <c r="D12512" t="inlineStr">
        <is>
          <t>VÄRMLANDS LÄN</t>
        </is>
      </c>
      <c r="E12512" t="inlineStr">
        <is>
          <t>KIL</t>
        </is>
      </c>
      <c r="G12512" t="n">
        <v>3.6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57125-2023</t>
        </is>
      </c>
      <c r="B12513" s="1" t="n">
        <v>45245</v>
      </c>
      <c r="C12513" s="1" t="n">
        <v>45810</v>
      </c>
      <c r="D12513" t="inlineStr">
        <is>
          <t>VÄRMLANDS LÄN</t>
        </is>
      </c>
      <c r="E12513" t="inlineStr">
        <is>
          <t>EDA</t>
        </is>
      </c>
      <c r="F12513" t="inlineStr">
        <is>
          <t>Övriga Aktiebolag</t>
        </is>
      </c>
      <c r="G12513" t="n">
        <v>3.3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57135-2023</t>
        </is>
      </c>
      <c r="B12514" s="1" t="n">
        <v>45245</v>
      </c>
      <c r="C12514" s="1" t="n">
        <v>45810</v>
      </c>
      <c r="D12514" t="inlineStr">
        <is>
          <t>VÄRMLANDS LÄN</t>
        </is>
      </c>
      <c r="E12514" t="inlineStr">
        <is>
          <t>TORSBY</t>
        </is>
      </c>
      <c r="G12514" t="n">
        <v>1.2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57164-2023</t>
        </is>
      </c>
      <c r="B12515" s="1" t="n">
        <v>45245</v>
      </c>
      <c r="C12515" s="1" t="n">
        <v>45810</v>
      </c>
      <c r="D12515" t="inlineStr">
        <is>
          <t>VÄRMLANDS LÄN</t>
        </is>
      </c>
      <c r="E12515" t="inlineStr">
        <is>
          <t>HAGFORS</t>
        </is>
      </c>
      <c r="G12515" t="n">
        <v>1.2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57199-2023</t>
        </is>
      </c>
      <c r="B12516" s="1" t="n">
        <v>45245</v>
      </c>
      <c r="C12516" s="1" t="n">
        <v>45810</v>
      </c>
      <c r="D12516" t="inlineStr">
        <is>
          <t>VÄRMLANDS LÄN</t>
        </is>
      </c>
      <c r="E12516" t="inlineStr">
        <is>
          <t>ARVIKA</t>
        </is>
      </c>
      <c r="F12516" t="inlineStr">
        <is>
          <t>Bergvik skog väst AB</t>
        </is>
      </c>
      <c r="G12516" t="n">
        <v>7.5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57218-2023</t>
        </is>
      </c>
      <c r="B12517" s="1" t="n">
        <v>45245</v>
      </c>
      <c r="C12517" s="1" t="n">
        <v>45810</v>
      </c>
      <c r="D12517" t="inlineStr">
        <is>
          <t>VÄRMLANDS LÄN</t>
        </is>
      </c>
      <c r="E12517" t="inlineStr">
        <is>
          <t>FILIPSTAD</t>
        </is>
      </c>
      <c r="F12517" t="inlineStr">
        <is>
          <t>Bergvik skog väst AB</t>
        </is>
      </c>
      <c r="G12517" t="n">
        <v>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57132-2023</t>
        </is>
      </c>
      <c r="B12518" s="1" t="n">
        <v>45245</v>
      </c>
      <c r="C12518" s="1" t="n">
        <v>45810</v>
      </c>
      <c r="D12518" t="inlineStr">
        <is>
          <t>VÄRMLANDS LÄN</t>
        </is>
      </c>
      <c r="E12518" t="inlineStr">
        <is>
          <t>EDA</t>
        </is>
      </c>
      <c r="F12518" t="inlineStr">
        <is>
          <t>Övriga Aktiebolag</t>
        </is>
      </c>
      <c r="G12518" t="n">
        <v>2.6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57138-2023</t>
        </is>
      </c>
      <c r="B12519" s="1" t="n">
        <v>45245</v>
      </c>
      <c r="C12519" s="1" t="n">
        <v>45810</v>
      </c>
      <c r="D12519" t="inlineStr">
        <is>
          <t>VÄRMLANDS LÄN</t>
        </is>
      </c>
      <c r="E12519" t="inlineStr">
        <is>
          <t>EDA</t>
        </is>
      </c>
      <c r="F12519" t="inlineStr">
        <is>
          <t>Övriga Aktiebolag</t>
        </is>
      </c>
      <c r="G12519" t="n">
        <v>0.8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57148-2023</t>
        </is>
      </c>
      <c r="B12520" s="1" t="n">
        <v>45245</v>
      </c>
      <c r="C12520" s="1" t="n">
        <v>45810</v>
      </c>
      <c r="D12520" t="inlineStr">
        <is>
          <t>VÄRMLANDS LÄN</t>
        </is>
      </c>
      <c r="E12520" t="inlineStr">
        <is>
          <t>ÅRJÄNG</t>
        </is>
      </c>
      <c r="G12520" t="n">
        <v>3.6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57237-2023</t>
        </is>
      </c>
      <c r="B12521" s="1" t="n">
        <v>45245</v>
      </c>
      <c r="C12521" s="1" t="n">
        <v>45810</v>
      </c>
      <c r="D12521" t="inlineStr">
        <is>
          <t>VÄRMLANDS LÄN</t>
        </is>
      </c>
      <c r="E12521" t="inlineStr">
        <is>
          <t>GRUMS</t>
        </is>
      </c>
      <c r="G12521" t="n">
        <v>18.2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57248-2023</t>
        </is>
      </c>
      <c r="B12522" s="1" t="n">
        <v>45245</v>
      </c>
      <c r="C12522" s="1" t="n">
        <v>45810</v>
      </c>
      <c r="D12522" t="inlineStr">
        <is>
          <t>VÄRMLANDS LÄN</t>
        </is>
      </c>
      <c r="E12522" t="inlineStr">
        <is>
          <t>KIL</t>
        </is>
      </c>
      <c r="G12522" t="n">
        <v>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57115-2023</t>
        </is>
      </c>
      <c r="B12523" s="1" t="n">
        <v>45245</v>
      </c>
      <c r="C12523" s="1" t="n">
        <v>45810</v>
      </c>
      <c r="D12523" t="inlineStr">
        <is>
          <t>VÄRMLANDS LÄN</t>
        </is>
      </c>
      <c r="E12523" t="inlineStr">
        <is>
          <t>EDA</t>
        </is>
      </c>
      <c r="G12523" t="n">
        <v>1.3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57124-2023</t>
        </is>
      </c>
      <c r="B12524" s="1" t="n">
        <v>45245</v>
      </c>
      <c r="C12524" s="1" t="n">
        <v>45810</v>
      </c>
      <c r="D12524" t="inlineStr">
        <is>
          <t>VÄRMLANDS LÄN</t>
        </is>
      </c>
      <c r="E12524" t="inlineStr">
        <is>
          <t>KIL</t>
        </is>
      </c>
      <c r="G12524" t="n">
        <v>0.5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57189-2023</t>
        </is>
      </c>
      <c r="B12525" s="1" t="n">
        <v>45245</v>
      </c>
      <c r="C12525" s="1" t="n">
        <v>45810</v>
      </c>
      <c r="D12525" t="inlineStr">
        <is>
          <t>VÄRMLANDS LÄN</t>
        </is>
      </c>
      <c r="E12525" t="inlineStr">
        <is>
          <t>FILIPSTAD</t>
        </is>
      </c>
      <c r="F12525" t="inlineStr">
        <is>
          <t>Bergvik skog väst AB</t>
        </is>
      </c>
      <c r="G12525" t="n">
        <v>2.5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57212-2023</t>
        </is>
      </c>
      <c r="B12526" s="1" t="n">
        <v>45245</v>
      </c>
      <c r="C12526" s="1" t="n">
        <v>45810</v>
      </c>
      <c r="D12526" t="inlineStr">
        <is>
          <t>VÄRMLANDS LÄN</t>
        </is>
      </c>
      <c r="E12526" t="inlineStr">
        <is>
          <t>FILIPSTAD</t>
        </is>
      </c>
      <c r="F12526" t="inlineStr">
        <is>
          <t>Bergvik skog väst AB</t>
        </is>
      </c>
      <c r="G12526" t="n">
        <v>1.3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57216-2023</t>
        </is>
      </c>
      <c r="B12527" s="1" t="n">
        <v>45245</v>
      </c>
      <c r="C12527" s="1" t="n">
        <v>45810</v>
      </c>
      <c r="D12527" t="inlineStr">
        <is>
          <t>VÄRMLANDS LÄN</t>
        </is>
      </c>
      <c r="E12527" t="inlineStr">
        <is>
          <t>TORSBY</t>
        </is>
      </c>
      <c r="G12527" t="n">
        <v>2.8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57221-2023</t>
        </is>
      </c>
      <c r="B12528" s="1" t="n">
        <v>45245</v>
      </c>
      <c r="C12528" s="1" t="n">
        <v>45810</v>
      </c>
      <c r="D12528" t="inlineStr">
        <is>
          <t>VÄRMLANDS LÄN</t>
        </is>
      </c>
      <c r="E12528" t="inlineStr">
        <is>
          <t>EDA</t>
        </is>
      </c>
      <c r="G12528" t="n">
        <v>1.6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57236-2023</t>
        </is>
      </c>
      <c r="B12529" s="1" t="n">
        <v>45245</v>
      </c>
      <c r="C12529" s="1" t="n">
        <v>45810</v>
      </c>
      <c r="D12529" t="inlineStr">
        <is>
          <t>VÄRMLANDS LÄN</t>
        </is>
      </c>
      <c r="E12529" t="inlineStr">
        <is>
          <t>GRUMS</t>
        </is>
      </c>
      <c r="G12529" t="n">
        <v>1.9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57247-2023</t>
        </is>
      </c>
      <c r="B12530" s="1" t="n">
        <v>45245</v>
      </c>
      <c r="C12530" s="1" t="n">
        <v>45810</v>
      </c>
      <c r="D12530" t="inlineStr">
        <is>
          <t>VÄRMLANDS LÄN</t>
        </is>
      </c>
      <c r="E12530" t="inlineStr">
        <is>
          <t>FILIPSTAD</t>
        </is>
      </c>
      <c r="F12530" t="inlineStr">
        <is>
          <t>Bergvik skog väst AB</t>
        </is>
      </c>
      <c r="G12530" t="n">
        <v>2.8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57276-2023</t>
        </is>
      </c>
      <c r="B12531" s="1" t="n">
        <v>45245</v>
      </c>
      <c r="C12531" s="1" t="n">
        <v>45810</v>
      </c>
      <c r="D12531" t="inlineStr">
        <is>
          <t>VÄRMLANDS LÄN</t>
        </is>
      </c>
      <c r="E12531" t="inlineStr">
        <is>
          <t>HAGFORS</t>
        </is>
      </c>
      <c r="F12531" t="inlineStr">
        <is>
          <t>Bergvik skog väst AB</t>
        </is>
      </c>
      <c r="G12531" t="n">
        <v>6.4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57241-2023</t>
        </is>
      </c>
      <c r="B12532" s="1" t="n">
        <v>45245</v>
      </c>
      <c r="C12532" s="1" t="n">
        <v>45810</v>
      </c>
      <c r="D12532" t="inlineStr">
        <is>
          <t>VÄRMLANDS LÄN</t>
        </is>
      </c>
      <c r="E12532" t="inlineStr">
        <is>
          <t>HAGFORS</t>
        </is>
      </c>
      <c r="F12532" t="inlineStr">
        <is>
          <t>Bergvik skog väst AB</t>
        </is>
      </c>
      <c r="G12532" t="n">
        <v>4.5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57321-2023</t>
        </is>
      </c>
      <c r="B12533" s="1" t="n">
        <v>45245</v>
      </c>
      <c r="C12533" s="1" t="n">
        <v>45810</v>
      </c>
      <c r="D12533" t="inlineStr">
        <is>
          <t>VÄRMLANDS LÄN</t>
        </is>
      </c>
      <c r="E12533" t="inlineStr">
        <is>
          <t>SUNNE</t>
        </is>
      </c>
      <c r="G12533" t="n">
        <v>0.9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57334-2023</t>
        </is>
      </c>
      <c r="B12534" s="1" t="n">
        <v>45245</v>
      </c>
      <c r="C12534" s="1" t="n">
        <v>45810</v>
      </c>
      <c r="D12534" t="inlineStr">
        <is>
          <t>VÄRMLANDS LÄN</t>
        </is>
      </c>
      <c r="E12534" t="inlineStr">
        <is>
          <t>SUNNE</t>
        </is>
      </c>
      <c r="G12534" t="n">
        <v>1.9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57298-2023</t>
        </is>
      </c>
      <c r="B12535" s="1" t="n">
        <v>45245</v>
      </c>
      <c r="C12535" s="1" t="n">
        <v>45810</v>
      </c>
      <c r="D12535" t="inlineStr">
        <is>
          <t>VÄRMLANDS LÄN</t>
        </is>
      </c>
      <c r="E12535" t="inlineStr">
        <is>
          <t>ÅRJÄNG</t>
        </is>
      </c>
      <c r="G12535" t="n">
        <v>3.8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58141-2023</t>
        </is>
      </c>
      <c r="B12536" s="1" t="n">
        <v>45245</v>
      </c>
      <c r="C12536" s="1" t="n">
        <v>45810</v>
      </c>
      <c r="D12536" t="inlineStr">
        <is>
          <t>VÄRMLANDS LÄN</t>
        </is>
      </c>
      <c r="E12536" t="inlineStr">
        <is>
          <t>ÅRJÄNG</t>
        </is>
      </c>
      <c r="G12536" t="n">
        <v>6.2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58259-2023</t>
        </is>
      </c>
      <c r="B12537" s="1" t="n">
        <v>45245</v>
      </c>
      <c r="C12537" s="1" t="n">
        <v>45810</v>
      </c>
      <c r="D12537" t="inlineStr">
        <is>
          <t>VÄRMLANDS LÄN</t>
        </is>
      </c>
      <c r="E12537" t="inlineStr">
        <is>
          <t>HAGFORS</t>
        </is>
      </c>
      <c r="G12537" t="n">
        <v>1.1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58220-2023</t>
        </is>
      </c>
      <c r="B12538" s="1" t="n">
        <v>45245</v>
      </c>
      <c r="C12538" s="1" t="n">
        <v>45810</v>
      </c>
      <c r="D12538" t="inlineStr">
        <is>
          <t>VÄRMLANDS LÄN</t>
        </is>
      </c>
      <c r="E12538" t="inlineStr">
        <is>
          <t>ARVIKA</t>
        </is>
      </c>
      <c r="F12538" t="inlineStr">
        <is>
          <t>Övriga Aktiebolag</t>
        </is>
      </c>
      <c r="G12538" t="n">
        <v>1.5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58254-2023</t>
        </is>
      </c>
      <c r="B12539" s="1" t="n">
        <v>45245</v>
      </c>
      <c r="C12539" s="1" t="n">
        <v>45810</v>
      </c>
      <c r="D12539" t="inlineStr">
        <is>
          <t>VÄRMLANDS LÄN</t>
        </is>
      </c>
      <c r="E12539" t="inlineStr">
        <is>
          <t>HAGFORS</t>
        </is>
      </c>
      <c r="G12539" t="n">
        <v>4.7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58242-2023</t>
        </is>
      </c>
      <c r="B12540" s="1" t="n">
        <v>45245</v>
      </c>
      <c r="C12540" s="1" t="n">
        <v>45810</v>
      </c>
      <c r="D12540" t="inlineStr">
        <is>
          <t>VÄRMLANDS LÄN</t>
        </is>
      </c>
      <c r="E12540" t="inlineStr">
        <is>
          <t>HAGFORS</t>
        </is>
      </c>
      <c r="G12540" t="n">
        <v>0.9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58347-2023</t>
        </is>
      </c>
      <c r="B12541" s="1" t="n">
        <v>45245</v>
      </c>
      <c r="C12541" s="1" t="n">
        <v>45810</v>
      </c>
      <c r="D12541" t="inlineStr">
        <is>
          <t>VÄRMLANDS LÄN</t>
        </is>
      </c>
      <c r="E12541" t="inlineStr">
        <is>
          <t>ÅRJÄNG</t>
        </is>
      </c>
      <c r="G12541" t="n">
        <v>1.5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58352-2023</t>
        </is>
      </c>
      <c r="B12542" s="1" t="n">
        <v>45245</v>
      </c>
      <c r="C12542" s="1" t="n">
        <v>45810</v>
      </c>
      <c r="D12542" t="inlineStr">
        <is>
          <t>VÄRMLANDS LÄN</t>
        </is>
      </c>
      <c r="E12542" t="inlineStr">
        <is>
          <t>ÅRJÄNG</t>
        </is>
      </c>
      <c r="G12542" t="n">
        <v>1.6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58391-2023</t>
        </is>
      </c>
      <c r="B12543" s="1" t="n">
        <v>45245</v>
      </c>
      <c r="C12543" s="1" t="n">
        <v>45810</v>
      </c>
      <c r="D12543" t="inlineStr">
        <is>
          <t>VÄRMLANDS LÄN</t>
        </is>
      </c>
      <c r="E12543" t="inlineStr">
        <is>
          <t>ARVIKA</t>
        </is>
      </c>
      <c r="G12543" t="n">
        <v>0.7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58399-2023</t>
        </is>
      </c>
      <c r="B12544" s="1" t="n">
        <v>45245</v>
      </c>
      <c r="C12544" s="1" t="n">
        <v>45810</v>
      </c>
      <c r="D12544" t="inlineStr">
        <is>
          <t>VÄRMLANDS LÄN</t>
        </is>
      </c>
      <c r="E12544" t="inlineStr">
        <is>
          <t>ARVIKA</t>
        </is>
      </c>
      <c r="G12544" t="n">
        <v>2.3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57457-2023</t>
        </is>
      </c>
      <c r="B12545" s="1" t="n">
        <v>45246</v>
      </c>
      <c r="C12545" s="1" t="n">
        <v>45810</v>
      </c>
      <c r="D12545" t="inlineStr">
        <is>
          <t>VÄRMLANDS LÄN</t>
        </is>
      </c>
      <c r="E12545" t="inlineStr">
        <is>
          <t>ARVIKA</t>
        </is>
      </c>
      <c r="F12545" t="inlineStr">
        <is>
          <t>Bergvik skog väst AB</t>
        </is>
      </c>
      <c r="G12545" t="n">
        <v>2.2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57506-2023</t>
        </is>
      </c>
      <c r="B12546" s="1" t="n">
        <v>45246</v>
      </c>
      <c r="C12546" s="1" t="n">
        <v>45810</v>
      </c>
      <c r="D12546" t="inlineStr">
        <is>
          <t>VÄRMLANDS LÄN</t>
        </is>
      </c>
      <c r="E12546" t="inlineStr">
        <is>
          <t>FILIPSTAD</t>
        </is>
      </c>
      <c r="F12546" t="inlineStr">
        <is>
          <t>Bergvik skog väst AB</t>
        </is>
      </c>
      <c r="G12546" t="n">
        <v>8.300000000000001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57517-2023</t>
        </is>
      </c>
      <c r="B12547" s="1" t="n">
        <v>45246</v>
      </c>
      <c r="C12547" s="1" t="n">
        <v>45810</v>
      </c>
      <c r="D12547" t="inlineStr">
        <is>
          <t>VÄRMLANDS LÄN</t>
        </is>
      </c>
      <c r="E12547" t="inlineStr">
        <is>
          <t>FILIPSTAD</t>
        </is>
      </c>
      <c r="F12547" t="inlineStr">
        <is>
          <t>Bergvik skog väst AB</t>
        </is>
      </c>
      <c r="G12547" t="n">
        <v>9.1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57538-2023</t>
        </is>
      </c>
      <c r="B12548" s="1" t="n">
        <v>45246</v>
      </c>
      <c r="C12548" s="1" t="n">
        <v>45810</v>
      </c>
      <c r="D12548" t="inlineStr">
        <is>
          <t>VÄRMLANDS LÄN</t>
        </is>
      </c>
      <c r="E12548" t="inlineStr">
        <is>
          <t>TORSBY</t>
        </is>
      </c>
      <c r="G12548" t="n">
        <v>1.6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57547-2023</t>
        </is>
      </c>
      <c r="B12549" s="1" t="n">
        <v>45246</v>
      </c>
      <c r="C12549" s="1" t="n">
        <v>45810</v>
      </c>
      <c r="D12549" t="inlineStr">
        <is>
          <t>VÄRMLANDS LÄN</t>
        </is>
      </c>
      <c r="E12549" t="inlineStr">
        <is>
          <t>TORSBY</t>
        </is>
      </c>
      <c r="F12549" t="inlineStr">
        <is>
          <t>Bergvik skog väst AB</t>
        </is>
      </c>
      <c r="G12549" t="n">
        <v>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57565-2023</t>
        </is>
      </c>
      <c r="B12550" s="1" t="n">
        <v>45246</v>
      </c>
      <c r="C12550" s="1" t="n">
        <v>45810</v>
      </c>
      <c r="D12550" t="inlineStr">
        <is>
          <t>VÄRMLANDS LÄN</t>
        </is>
      </c>
      <c r="E12550" t="inlineStr">
        <is>
          <t>KRISTINEHAMN</t>
        </is>
      </c>
      <c r="G12550" t="n">
        <v>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57569-2023</t>
        </is>
      </c>
      <c r="B12551" s="1" t="n">
        <v>45246</v>
      </c>
      <c r="C12551" s="1" t="n">
        <v>45810</v>
      </c>
      <c r="D12551" t="inlineStr">
        <is>
          <t>VÄRMLANDS LÄN</t>
        </is>
      </c>
      <c r="E12551" t="inlineStr">
        <is>
          <t>TORSBY</t>
        </is>
      </c>
      <c r="G12551" t="n">
        <v>14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57577-2023</t>
        </is>
      </c>
      <c r="B12552" s="1" t="n">
        <v>45246</v>
      </c>
      <c r="C12552" s="1" t="n">
        <v>45810</v>
      </c>
      <c r="D12552" t="inlineStr">
        <is>
          <t>VÄRMLANDS LÄN</t>
        </is>
      </c>
      <c r="E12552" t="inlineStr">
        <is>
          <t>SÄFFLE</t>
        </is>
      </c>
      <c r="G12552" t="n">
        <v>2.4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57627-2023</t>
        </is>
      </c>
      <c r="B12553" s="1" t="n">
        <v>45246</v>
      </c>
      <c r="C12553" s="1" t="n">
        <v>45810</v>
      </c>
      <c r="D12553" t="inlineStr">
        <is>
          <t>VÄRMLANDS LÄN</t>
        </is>
      </c>
      <c r="E12553" t="inlineStr">
        <is>
          <t>KARLSTAD</t>
        </is>
      </c>
      <c r="G12553" t="n">
        <v>2.1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57522-2023</t>
        </is>
      </c>
      <c r="B12554" s="1" t="n">
        <v>45246</v>
      </c>
      <c r="C12554" s="1" t="n">
        <v>45810</v>
      </c>
      <c r="D12554" t="inlineStr">
        <is>
          <t>VÄRMLANDS LÄN</t>
        </is>
      </c>
      <c r="E12554" t="inlineStr">
        <is>
          <t>FILIPSTAD</t>
        </is>
      </c>
      <c r="F12554" t="inlineStr">
        <is>
          <t>Bergvik skog väst AB</t>
        </is>
      </c>
      <c r="G12554" t="n">
        <v>3.2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57643-2023</t>
        </is>
      </c>
      <c r="B12555" s="1" t="n">
        <v>45246</v>
      </c>
      <c r="C12555" s="1" t="n">
        <v>45810</v>
      </c>
      <c r="D12555" t="inlineStr">
        <is>
          <t>VÄRMLANDS LÄN</t>
        </is>
      </c>
      <c r="E12555" t="inlineStr">
        <is>
          <t>FILIPSTAD</t>
        </is>
      </c>
      <c r="F12555" t="inlineStr">
        <is>
          <t>Bergvik skog väst AB</t>
        </is>
      </c>
      <c r="G12555" t="n">
        <v>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57647-2023</t>
        </is>
      </c>
      <c r="B12556" s="1" t="n">
        <v>45246</v>
      </c>
      <c r="C12556" s="1" t="n">
        <v>45810</v>
      </c>
      <c r="D12556" t="inlineStr">
        <is>
          <t>VÄRMLANDS LÄN</t>
        </is>
      </c>
      <c r="E12556" t="inlineStr">
        <is>
          <t>TORSBY</t>
        </is>
      </c>
      <c r="G12556" t="n">
        <v>10.3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57535-2023</t>
        </is>
      </c>
      <c r="B12557" s="1" t="n">
        <v>45246</v>
      </c>
      <c r="C12557" s="1" t="n">
        <v>45810</v>
      </c>
      <c r="D12557" t="inlineStr">
        <is>
          <t>VÄRMLANDS LÄN</t>
        </is>
      </c>
      <c r="E12557" t="inlineStr">
        <is>
          <t>FILIPSTAD</t>
        </is>
      </c>
      <c r="F12557" t="inlineStr">
        <is>
          <t>Bergvik skog väst AB</t>
        </is>
      </c>
      <c r="G12557" t="n">
        <v>1.5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57544-2023</t>
        </is>
      </c>
      <c r="B12558" s="1" t="n">
        <v>45246</v>
      </c>
      <c r="C12558" s="1" t="n">
        <v>45810</v>
      </c>
      <c r="D12558" t="inlineStr">
        <is>
          <t>VÄRMLANDS LÄN</t>
        </is>
      </c>
      <c r="E12558" t="inlineStr">
        <is>
          <t>SÄFFLE</t>
        </is>
      </c>
      <c r="G12558" t="n">
        <v>1.2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57550-2023</t>
        </is>
      </c>
      <c r="B12559" s="1" t="n">
        <v>45246</v>
      </c>
      <c r="C12559" s="1" t="n">
        <v>45810</v>
      </c>
      <c r="D12559" t="inlineStr">
        <is>
          <t>VÄRMLANDS LÄN</t>
        </is>
      </c>
      <c r="E12559" t="inlineStr">
        <is>
          <t>HAGFORS</t>
        </is>
      </c>
      <c r="G12559" t="n">
        <v>4.7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57595-2023</t>
        </is>
      </c>
      <c r="B12560" s="1" t="n">
        <v>45246</v>
      </c>
      <c r="C12560" s="1" t="n">
        <v>45810</v>
      </c>
      <c r="D12560" t="inlineStr">
        <is>
          <t>VÄRMLANDS LÄN</t>
        </is>
      </c>
      <c r="E12560" t="inlineStr">
        <is>
          <t>FILIPSTAD</t>
        </is>
      </c>
      <c r="F12560" t="inlineStr">
        <is>
          <t>Bergvik skog väst AB</t>
        </is>
      </c>
      <c r="G12560" t="n">
        <v>2.8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57601-2023</t>
        </is>
      </c>
      <c r="B12561" s="1" t="n">
        <v>45246</v>
      </c>
      <c r="C12561" s="1" t="n">
        <v>45810</v>
      </c>
      <c r="D12561" t="inlineStr">
        <is>
          <t>VÄRMLANDS LÄN</t>
        </is>
      </c>
      <c r="E12561" t="inlineStr">
        <is>
          <t>FILIPSTAD</t>
        </is>
      </c>
      <c r="F12561" t="inlineStr">
        <is>
          <t>Bergvik skog väst AB</t>
        </is>
      </c>
      <c r="G12561" t="n">
        <v>6.7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57528-2023</t>
        </is>
      </c>
      <c r="B12562" s="1" t="n">
        <v>45246</v>
      </c>
      <c r="C12562" s="1" t="n">
        <v>45810</v>
      </c>
      <c r="D12562" t="inlineStr">
        <is>
          <t>VÄRMLANDS LÄN</t>
        </is>
      </c>
      <c r="E12562" t="inlineStr">
        <is>
          <t>FILIPSTAD</t>
        </is>
      </c>
      <c r="F12562" t="inlineStr">
        <is>
          <t>Bergvik skog väst AB</t>
        </is>
      </c>
      <c r="G12562" t="n">
        <v>2.9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57588-2023</t>
        </is>
      </c>
      <c r="B12563" s="1" t="n">
        <v>45246</v>
      </c>
      <c r="C12563" s="1" t="n">
        <v>45810</v>
      </c>
      <c r="D12563" t="inlineStr">
        <is>
          <t>VÄRMLANDS LÄN</t>
        </is>
      </c>
      <c r="E12563" t="inlineStr">
        <is>
          <t>FILIPSTAD</t>
        </is>
      </c>
      <c r="F12563" t="inlineStr">
        <is>
          <t>Bergvik skog väst AB</t>
        </is>
      </c>
      <c r="G12563" t="n">
        <v>2.3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57599-2023</t>
        </is>
      </c>
      <c r="B12564" s="1" t="n">
        <v>45246</v>
      </c>
      <c r="C12564" s="1" t="n">
        <v>45810</v>
      </c>
      <c r="D12564" t="inlineStr">
        <is>
          <t>VÄRMLANDS LÄN</t>
        </is>
      </c>
      <c r="E12564" t="inlineStr">
        <is>
          <t>EDA</t>
        </is>
      </c>
      <c r="G12564" t="n">
        <v>0.7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57610-2023</t>
        </is>
      </c>
      <c r="B12565" s="1" t="n">
        <v>45246</v>
      </c>
      <c r="C12565" s="1" t="n">
        <v>45810</v>
      </c>
      <c r="D12565" t="inlineStr">
        <is>
          <t>VÄRMLANDS LÄN</t>
        </is>
      </c>
      <c r="E12565" t="inlineStr">
        <is>
          <t>FILIPSTAD</t>
        </is>
      </c>
      <c r="G12565" t="n">
        <v>2.4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57615-2023</t>
        </is>
      </c>
      <c r="B12566" s="1" t="n">
        <v>45246</v>
      </c>
      <c r="C12566" s="1" t="n">
        <v>45810</v>
      </c>
      <c r="D12566" t="inlineStr">
        <is>
          <t>VÄRMLANDS LÄN</t>
        </is>
      </c>
      <c r="E12566" t="inlineStr">
        <is>
          <t>EDA</t>
        </is>
      </c>
      <c r="F12566" t="inlineStr">
        <is>
          <t>Bergvik skog väst AB</t>
        </is>
      </c>
      <c r="G12566" t="n">
        <v>3.9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57576-2023</t>
        </is>
      </c>
      <c r="B12567" s="1" t="n">
        <v>45246</v>
      </c>
      <c r="C12567" s="1" t="n">
        <v>45810</v>
      </c>
      <c r="D12567" t="inlineStr">
        <is>
          <t>VÄRMLANDS LÄN</t>
        </is>
      </c>
      <c r="E12567" t="inlineStr">
        <is>
          <t>FILIPSTAD</t>
        </is>
      </c>
      <c r="F12567" t="inlineStr">
        <is>
          <t>Bergvik skog väst AB</t>
        </is>
      </c>
      <c r="G12567" t="n">
        <v>11.3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57591-2023</t>
        </is>
      </c>
      <c r="B12568" s="1" t="n">
        <v>45246</v>
      </c>
      <c r="C12568" s="1" t="n">
        <v>45810</v>
      </c>
      <c r="D12568" t="inlineStr">
        <is>
          <t>VÄRMLANDS LÄN</t>
        </is>
      </c>
      <c r="E12568" t="inlineStr">
        <is>
          <t>FILIPSTAD</t>
        </is>
      </c>
      <c r="F12568" t="inlineStr">
        <is>
          <t>Bergvik skog väst AB</t>
        </is>
      </c>
      <c r="G12568" t="n">
        <v>9.199999999999999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57634-2023</t>
        </is>
      </c>
      <c r="B12569" s="1" t="n">
        <v>45246</v>
      </c>
      <c r="C12569" s="1" t="n">
        <v>45810</v>
      </c>
      <c r="D12569" t="inlineStr">
        <is>
          <t>VÄRMLANDS LÄN</t>
        </is>
      </c>
      <c r="E12569" t="inlineStr">
        <is>
          <t>FILIPSTAD</t>
        </is>
      </c>
      <c r="F12569" t="inlineStr">
        <is>
          <t>Bergvik skog väst AB</t>
        </is>
      </c>
      <c r="G12569" t="n">
        <v>2.3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57642-2023</t>
        </is>
      </c>
      <c r="B12570" s="1" t="n">
        <v>45246</v>
      </c>
      <c r="C12570" s="1" t="n">
        <v>45810</v>
      </c>
      <c r="D12570" t="inlineStr">
        <is>
          <t>VÄRMLANDS LÄN</t>
        </is>
      </c>
      <c r="E12570" t="inlineStr">
        <is>
          <t>TORSBY</t>
        </is>
      </c>
      <c r="G12570" t="n">
        <v>1.9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58491-2023</t>
        </is>
      </c>
      <c r="B12571" s="1" t="n">
        <v>45246</v>
      </c>
      <c r="C12571" s="1" t="n">
        <v>45810</v>
      </c>
      <c r="D12571" t="inlineStr">
        <is>
          <t>VÄRMLANDS LÄN</t>
        </is>
      </c>
      <c r="E12571" t="inlineStr">
        <is>
          <t>ÅRJÄNG</t>
        </is>
      </c>
      <c r="G12571" t="n">
        <v>11.4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58486-2023</t>
        </is>
      </c>
      <c r="B12572" s="1" t="n">
        <v>45246</v>
      </c>
      <c r="C12572" s="1" t="n">
        <v>45810</v>
      </c>
      <c r="D12572" t="inlineStr">
        <is>
          <t>VÄRMLANDS LÄN</t>
        </is>
      </c>
      <c r="E12572" t="inlineStr">
        <is>
          <t>ÅRJÄNG</t>
        </is>
      </c>
      <c r="G12572" t="n">
        <v>8.5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57896-2023</t>
        </is>
      </c>
      <c r="B12573" s="1" t="n">
        <v>45247</v>
      </c>
      <c r="C12573" s="1" t="n">
        <v>45810</v>
      </c>
      <c r="D12573" t="inlineStr">
        <is>
          <t>VÄRMLANDS LÄN</t>
        </is>
      </c>
      <c r="E12573" t="inlineStr">
        <is>
          <t>HAMMARÖ</t>
        </is>
      </c>
      <c r="F12573" t="inlineStr">
        <is>
          <t>Kommuner</t>
        </is>
      </c>
      <c r="G12573" t="n">
        <v>2.6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57921-2023</t>
        </is>
      </c>
      <c r="B12574" s="1" t="n">
        <v>45247</v>
      </c>
      <c r="C12574" s="1" t="n">
        <v>45810</v>
      </c>
      <c r="D12574" t="inlineStr">
        <is>
          <t>VÄRMLANDS LÄN</t>
        </is>
      </c>
      <c r="E12574" t="inlineStr">
        <is>
          <t>TORSBY</t>
        </is>
      </c>
      <c r="G12574" t="n">
        <v>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57893-2023</t>
        </is>
      </c>
      <c r="B12575" s="1" t="n">
        <v>45247</v>
      </c>
      <c r="C12575" s="1" t="n">
        <v>45810</v>
      </c>
      <c r="D12575" t="inlineStr">
        <is>
          <t>VÄRMLANDS LÄN</t>
        </is>
      </c>
      <c r="E12575" t="inlineStr">
        <is>
          <t>HAMMARÖ</t>
        </is>
      </c>
      <c r="F12575" t="inlineStr">
        <is>
          <t>Kommuner</t>
        </is>
      </c>
      <c r="G12575" t="n">
        <v>0.7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57998-2023</t>
        </is>
      </c>
      <c r="B12576" s="1" t="n">
        <v>45247</v>
      </c>
      <c r="C12576" s="1" t="n">
        <v>45810</v>
      </c>
      <c r="D12576" t="inlineStr">
        <is>
          <t>VÄRMLANDS LÄN</t>
        </is>
      </c>
      <c r="E12576" t="inlineStr">
        <is>
          <t>ARVIKA</t>
        </is>
      </c>
      <c r="G12576" t="n">
        <v>3.7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57898-2023</t>
        </is>
      </c>
      <c r="B12577" s="1" t="n">
        <v>45247</v>
      </c>
      <c r="C12577" s="1" t="n">
        <v>45810</v>
      </c>
      <c r="D12577" t="inlineStr">
        <is>
          <t>VÄRMLANDS LÄN</t>
        </is>
      </c>
      <c r="E12577" t="inlineStr">
        <is>
          <t>SUNNE</t>
        </is>
      </c>
      <c r="G12577" t="n">
        <v>3.1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57904-2023</t>
        </is>
      </c>
      <c r="B12578" s="1" t="n">
        <v>45247</v>
      </c>
      <c r="C12578" s="1" t="n">
        <v>45810</v>
      </c>
      <c r="D12578" t="inlineStr">
        <is>
          <t>VÄRMLANDS LÄN</t>
        </is>
      </c>
      <c r="E12578" t="inlineStr">
        <is>
          <t>EDA</t>
        </is>
      </c>
      <c r="G12578" t="n">
        <v>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58013-2023</t>
        </is>
      </c>
      <c r="B12579" s="1" t="n">
        <v>45247</v>
      </c>
      <c r="C12579" s="1" t="n">
        <v>45810</v>
      </c>
      <c r="D12579" t="inlineStr">
        <is>
          <t>VÄRMLANDS LÄN</t>
        </is>
      </c>
      <c r="E12579" t="inlineStr">
        <is>
          <t>TORSBY</t>
        </is>
      </c>
      <c r="F12579" t="inlineStr">
        <is>
          <t>Bergvik skog väst AB</t>
        </is>
      </c>
      <c r="G12579" t="n">
        <v>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57980-2023</t>
        </is>
      </c>
      <c r="B12580" s="1" t="n">
        <v>45247</v>
      </c>
      <c r="C12580" s="1" t="n">
        <v>45810</v>
      </c>
      <c r="D12580" t="inlineStr">
        <is>
          <t>VÄRMLANDS LÄN</t>
        </is>
      </c>
      <c r="E12580" t="inlineStr">
        <is>
          <t>TORSBY</t>
        </is>
      </c>
      <c r="G12580" t="n">
        <v>0.7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57990-2023</t>
        </is>
      </c>
      <c r="B12581" s="1" t="n">
        <v>45247</v>
      </c>
      <c r="C12581" s="1" t="n">
        <v>45810</v>
      </c>
      <c r="D12581" t="inlineStr">
        <is>
          <t>VÄRMLANDS LÄN</t>
        </is>
      </c>
      <c r="E12581" t="inlineStr">
        <is>
          <t>TORSBY</t>
        </is>
      </c>
      <c r="G12581" t="n">
        <v>1.3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58033-2023</t>
        </is>
      </c>
      <c r="B12582" s="1" t="n">
        <v>45247</v>
      </c>
      <c r="C12582" s="1" t="n">
        <v>45810</v>
      </c>
      <c r="D12582" t="inlineStr">
        <is>
          <t>VÄRMLANDS LÄN</t>
        </is>
      </c>
      <c r="E12582" t="inlineStr">
        <is>
          <t>KIL</t>
        </is>
      </c>
      <c r="G12582" t="n">
        <v>1.6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58026-2023</t>
        </is>
      </c>
      <c r="B12583" s="1" t="n">
        <v>45247</v>
      </c>
      <c r="C12583" s="1" t="n">
        <v>45810</v>
      </c>
      <c r="D12583" t="inlineStr">
        <is>
          <t>VÄRMLANDS LÄN</t>
        </is>
      </c>
      <c r="E12583" t="inlineStr">
        <is>
          <t>KIL</t>
        </is>
      </c>
      <c r="G12583" t="n">
        <v>1.8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58037-2023</t>
        </is>
      </c>
      <c r="B12584" s="1" t="n">
        <v>45247</v>
      </c>
      <c r="C12584" s="1" t="n">
        <v>45810</v>
      </c>
      <c r="D12584" t="inlineStr">
        <is>
          <t>VÄRMLANDS LÄN</t>
        </is>
      </c>
      <c r="E12584" t="inlineStr">
        <is>
          <t>TORSBY</t>
        </is>
      </c>
      <c r="F12584" t="inlineStr">
        <is>
          <t>Bergvik skog väst AB</t>
        </is>
      </c>
      <c r="G12584" t="n">
        <v>4.6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58600-2023</t>
        </is>
      </c>
      <c r="B12585" s="1" t="n">
        <v>45247</v>
      </c>
      <c r="C12585" s="1" t="n">
        <v>45810</v>
      </c>
      <c r="D12585" t="inlineStr">
        <is>
          <t>VÄRMLANDS LÄN</t>
        </is>
      </c>
      <c r="E12585" t="inlineStr">
        <is>
          <t>TORSBY</t>
        </is>
      </c>
      <c r="G12585" t="n">
        <v>2.5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58024-2023</t>
        </is>
      </c>
      <c r="B12586" s="1" t="n">
        <v>45247</v>
      </c>
      <c r="C12586" s="1" t="n">
        <v>45810</v>
      </c>
      <c r="D12586" t="inlineStr">
        <is>
          <t>VÄRMLANDS LÄN</t>
        </is>
      </c>
      <c r="E12586" t="inlineStr">
        <is>
          <t>ARVIKA</t>
        </is>
      </c>
      <c r="G12586" t="n">
        <v>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58002-2023</t>
        </is>
      </c>
      <c r="B12587" s="1" t="n">
        <v>45247</v>
      </c>
      <c r="C12587" s="1" t="n">
        <v>45810</v>
      </c>
      <c r="D12587" t="inlineStr">
        <is>
          <t>VÄRMLANDS LÄN</t>
        </is>
      </c>
      <c r="E12587" t="inlineStr">
        <is>
          <t>ÅRJÄNG</t>
        </is>
      </c>
      <c r="G12587" t="n">
        <v>4.6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58116-2023</t>
        </is>
      </c>
      <c r="B12588" s="1" t="n">
        <v>45249</v>
      </c>
      <c r="C12588" s="1" t="n">
        <v>45810</v>
      </c>
      <c r="D12588" t="inlineStr">
        <is>
          <t>VÄRMLANDS LÄN</t>
        </is>
      </c>
      <c r="E12588" t="inlineStr">
        <is>
          <t>SÄFFLE</t>
        </is>
      </c>
      <c r="G12588" t="n">
        <v>4.2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58102-2023</t>
        </is>
      </c>
      <c r="B12589" s="1" t="n">
        <v>45249</v>
      </c>
      <c r="C12589" s="1" t="n">
        <v>45810</v>
      </c>
      <c r="D12589" t="inlineStr">
        <is>
          <t>VÄRMLANDS LÄN</t>
        </is>
      </c>
      <c r="E12589" t="inlineStr">
        <is>
          <t>SUNNE</t>
        </is>
      </c>
      <c r="G12589" t="n">
        <v>1.2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58147-2023</t>
        </is>
      </c>
      <c r="B12590" s="1" t="n">
        <v>45250</v>
      </c>
      <c r="C12590" s="1" t="n">
        <v>45810</v>
      </c>
      <c r="D12590" t="inlineStr">
        <is>
          <t>VÄRMLANDS LÄN</t>
        </is>
      </c>
      <c r="E12590" t="inlineStr">
        <is>
          <t>FILIPSTAD</t>
        </is>
      </c>
      <c r="G12590" t="n">
        <v>5.4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58156-2023</t>
        </is>
      </c>
      <c r="B12591" s="1" t="n">
        <v>45250</v>
      </c>
      <c r="C12591" s="1" t="n">
        <v>45810</v>
      </c>
      <c r="D12591" t="inlineStr">
        <is>
          <t>VÄRMLANDS LÄN</t>
        </is>
      </c>
      <c r="E12591" t="inlineStr">
        <is>
          <t>KRISTINEHAMN</t>
        </is>
      </c>
      <c r="G12591" t="n">
        <v>1.7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58173-2023</t>
        </is>
      </c>
      <c r="B12592" s="1" t="n">
        <v>45250</v>
      </c>
      <c r="C12592" s="1" t="n">
        <v>45810</v>
      </c>
      <c r="D12592" t="inlineStr">
        <is>
          <t>VÄRMLANDS LÄN</t>
        </is>
      </c>
      <c r="E12592" t="inlineStr">
        <is>
          <t>ÅRJÄNG</t>
        </is>
      </c>
      <c r="G12592" t="n">
        <v>1.2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58183-2023</t>
        </is>
      </c>
      <c r="B12593" s="1" t="n">
        <v>45250</v>
      </c>
      <c r="C12593" s="1" t="n">
        <v>45810</v>
      </c>
      <c r="D12593" t="inlineStr">
        <is>
          <t>VÄRMLANDS LÄN</t>
        </is>
      </c>
      <c r="E12593" t="inlineStr">
        <is>
          <t>FILIPSTAD</t>
        </is>
      </c>
      <c r="F12593" t="inlineStr">
        <is>
          <t>Kyrkan</t>
        </is>
      </c>
      <c r="G12593" t="n">
        <v>0.9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58150-2023</t>
        </is>
      </c>
      <c r="B12594" s="1" t="n">
        <v>45250</v>
      </c>
      <c r="C12594" s="1" t="n">
        <v>45810</v>
      </c>
      <c r="D12594" t="inlineStr">
        <is>
          <t>VÄRMLANDS LÄN</t>
        </is>
      </c>
      <c r="E12594" t="inlineStr">
        <is>
          <t>FILIPSTAD</t>
        </is>
      </c>
      <c r="G12594" t="n">
        <v>1.4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58185-2023</t>
        </is>
      </c>
      <c r="B12595" s="1" t="n">
        <v>45250</v>
      </c>
      <c r="C12595" s="1" t="n">
        <v>45810</v>
      </c>
      <c r="D12595" t="inlineStr">
        <is>
          <t>VÄRMLANDS LÄN</t>
        </is>
      </c>
      <c r="E12595" t="inlineStr">
        <is>
          <t>TORSBY</t>
        </is>
      </c>
      <c r="G12595" t="n">
        <v>2.9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58174-2023</t>
        </is>
      </c>
      <c r="B12596" s="1" t="n">
        <v>45250</v>
      </c>
      <c r="C12596" s="1" t="n">
        <v>45810</v>
      </c>
      <c r="D12596" t="inlineStr">
        <is>
          <t>VÄRMLANDS LÄN</t>
        </is>
      </c>
      <c r="E12596" t="inlineStr">
        <is>
          <t>EDA</t>
        </is>
      </c>
      <c r="G12596" t="n">
        <v>5.9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58179-2023</t>
        </is>
      </c>
      <c r="B12597" s="1" t="n">
        <v>45250</v>
      </c>
      <c r="C12597" s="1" t="n">
        <v>45810</v>
      </c>
      <c r="D12597" t="inlineStr">
        <is>
          <t>VÄRMLANDS LÄN</t>
        </is>
      </c>
      <c r="E12597" t="inlineStr">
        <is>
          <t>EDA</t>
        </is>
      </c>
      <c r="G12597" t="n">
        <v>2.5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58386-2023</t>
        </is>
      </c>
      <c r="B12598" s="1" t="n">
        <v>45250</v>
      </c>
      <c r="C12598" s="1" t="n">
        <v>45810</v>
      </c>
      <c r="D12598" t="inlineStr">
        <is>
          <t>VÄRMLANDS LÄN</t>
        </is>
      </c>
      <c r="E12598" t="inlineStr">
        <is>
          <t>TORSBY</t>
        </is>
      </c>
      <c r="G12598" t="n">
        <v>0.7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58430-2023</t>
        </is>
      </c>
      <c r="B12599" s="1" t="n">
        <v>45250</v>
      </c>
      <c r="C12599" s="1" t="n">
        <v>45810</v>
      </c>
      <c r="D12599" t="inlineStr">
        <is>
          <t>VÄRMLANDS LÄN</t>
        </is>
      </c>
      <c r="E12599" t="inlineStr">
        <is>
          <t>TORSBY</t>
        </is>
      </c>
      <c r="G12599" t="n">
        <v>0.3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58434-2023</t>
        </is>
      </c>
      <c r="B12600" s="1" t="n">
        <v>45250</v>
      </c>
      <c r="C12600" s="1" t="n">
        <v>45810</v>
      </c>
      <c r="D12600" t="inlineStr">
        <is>
          <t>VÄRMLANDS LÄN</t>
        </is>
      </c>
      <c r="E12600" t="inlineStr">
        <is>
          <t>ÅRJÄNG</t>
        </is>
      </c>
      <c r="F12600" t="inlineStr">
        <is>
          <t>Naturvårdsverket</t>
        </is>
      </c>
      <c r="G12600" t="n">
        <v>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58438-2023</t>
        </is>
      </c>
      <c r="B12601" s="1" t="n">
        <v>45250</v>
      </c>
      <c r="C12601" s="1" t="n">
        <v>45810</v>
      </c>
      <c r="D12601" t="inlineStr">
        <is>
          <t>VÄRMLANDS LÄN</t>
        </is>
      </c>
      <c r="E12601" t="inlineStr">
        <is>
          <t>TORSBY</t>
        </is>
      </c>
      <c r="G12601" t="n">
        <v>2.5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58531-2023</t>
        </is>
      </c>
      <c r="B12602" s="1" t="n">
        <v>45250</v>
      </c>
      <c r="C12602" s="1" t="n">
        <v>45810</v>
      </c>
      <c r="D12602" t="inlineStr">
        <is>
          <t>VÄRMLANDS LÄN</t>
        </is>
      </c>
      <c r="E12602" t="inlineStr">
        <is>
          <t>SUNNE</t>
        </is>
      </c>
      <c r="G12602" t="n">
        <v>0.6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59034-2023</t>
        </is>
      </c>
      <c r="B12603" s="1" t="n">
        <v>45250</v>
      </c>
      <c r="C12603" s="1" t="n">
        <v>45810</v>
      </c>
      <c r="D12603" t="inlineStr">
        <is>
          <t>VÄRMLANDS LÄN</t>
        </is>
      </c>
      <c r="E12603" t="inlineStr">
        <is>
          <t>KIL</t>
        </is>
      </c>
      <c r="G12603" t="n">
        <v>1.9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58344-2023</t>
        </is>
      </c>
      <c r="B12604" s="1" t="n">
        <v>45250</v>
      </c>
      <c r="C12604" s="1" t="n">
        <v>45810</v>
      </c>
      <c r="D12604" t="inlineStr">
        <is>
          <t>VÄRMLANDS LÄN</t>
        </is>
      </c>
      <c r="E12604" t="inlineStr">
        <is>
          <t>EDA</t>
        </is>
      </c>
      <c r="G12604" t="n">
        <v>2.3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58394-2023</t>
        </is>
      </c>
      <c r="B12605" s="1" t="n">
        <v>45250</v>
      </c>
      <c r="C12605" s="1" t="n">
        <v>45810</v>
      </c>
      <c r="D12605" t="inlineStr">
        <is>
          <t>VÄRMLANDS LÄN</t>
        </is>
      </c>
      <c r="E12605" t="inlineStr">
        <is>
          <t>TORSBY</t>
        </is>
      </c>
      <c r="G12605" t="n">
        <v>1.5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58235-2023</t>
        </is>
      </c>
      <c r="B12606" s="1" t="n">
        <v>45250</v>
      </c>
      <c r="C12606" s="1" t="n">
        <v>45810</v>
      </c>
      <c r="D12606" t="inlineStr">
        <is>
          <t>VÄRMLANDS LÄN</t>
        </is>
      </c>
      <c r="E12606" t="inlineStr">
        <is>
          <t>TORSBY</t>
        </is>
      </c>
      <c r="G12606" t="n">
        <v>2.7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58429-2023</t>
        </is>
      </c>
      <c r="B12607" s="1" t="n">
        <v>45250</v>
      </c>
      <c r="C12607" s="1" t="n">
        <v>45810</v>
      </c>
      <c r="D12607" t="inlineStr">
        <is>
          <t>VÄRMLANDS LÄN</t>
        </is>
      </c>
      <c r="E12607" t="inlineStr">
        <is>
          <t>TORSBY</t>
        </is>
      </c>
      <c r="G12607" t="n">
        <v>0.6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58437-2023</t>
        </is>
      </c>
      <c r="B12608" s="1" t="n">
        <v>45250</v>
      </c>
      <c r="C12608" s="1" t="n">
        <v>45810</v>
      </c>
      <c r="D12608" t="inlineStr">
        <is>
          <t>VÄRMLANDS LÄN</t>
        </is>
      </c>
      <c r="E12608" t="inlineStr">
        <is>
          <t>HAGFORS</t>
        </is>
      </c>
      <c r="G12608" t="n">
        <v>0.6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58455-2023</t>
        </is>
      </c>
      <c r="B12609" s="1" t="n">
        <v>45250</v>
      </c>
      <c r="C12609" s="1" t="n">
        <v>45810</v>
      </c>
      <c r="D12609" t="inlineStr">
        <is>
          <t>VÄRMLANDS LÄN</t>
        </is>
      </c>
      <c r="E12609" t="inlineStr">
        <is>
          <t>ÅRJÄNG</t>
        </is>
      </c>
      <c r="G12609" t="n">
        <v>3.6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58268-2023</t>
        </is>
      </c>
      <c r="B12610" s="1" t="n">
        <v>45250</v>
      </c>
      <c r="C12610" s="1" t="n">
        <v>45810</v>
      </c>
      <c r="D12610" t="inlineStr">
        <is>
          <t>VÄRMLANDS LÄN</t>
        </is>
      </c>
      <c r="E12610" t="inlineStr">
        <is>
          <t>ARVIKA</t>
        </is>
      </c>
      <c r="F12610" t="inlineStr">
        <is>
          <t>Bergvik skog väst AB</t>
        </is>
      </c>
      <c r="G12610" t="n">
        <v>1.1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58276-2023</t>
        </is>
      </c>
      <c r="B12611" s="1" t="n">
        <v>45250</v>
      </c>
      <c r="C12611" s="1" t="n">
        <v>45810</v>
      </c>
      <c r="D12611" t="inlineStr">
        <is>
          <t>VÄRMLANDS LÄN</t>
        </is>
      </c>
      <c r="E12611" t="inlineStr">
        <is>
          <t>HAGFORS</t>
        </is>
      </c>
      <c r="F12611" t="inlineStr">
        <is>
          <t>Kommuner</t>
        </is>
      </c>
      <c r="G12611" t="n">
        <v>1.3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58307-2023</t>
        </is>
      </c>
      <c r="B12612" s="1" t="n">
        <v>45250</v>
      </c>
      <c r="C12612" s="1" t="n">
        <v>45810</v>
      </c>
      <c r="D12612" t="inlineStr">
        <is>
          <t>VÄRMLANDS LÄN</t>
        </is>
      </c>
      <c r="E12612" t="inlineStr">
        <is>
          <t>HAGFORS</t>
        </is>
      </c>
      <c r="F12612" t="inlineStr">
        <is>
          <t>Kommuner</t>
        </is>
      </c>
      <c r="G12612" t="n">
        <v>0.8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58312-2023</t>
        </is>
      </c>
      <c r="B12613" s="1" t="n">
        <v>45250</v>
      </c>
      <c r="C12613" s="1" t="n">
        <v>45810</v>
      </c>
      <c r="D12613" t="inlineStr">
        <is>
          <t>VÄRMLANDS LÄN</t>
        </is>
      </c>
      <c r="E12613" t="inlineStr">
        <is>
          <t>HAGFORS</t>
        </is>
      </c>
      <c r="G12613" t="n">
        <v>5.9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58518-2023</t>
        </is>
      </c>
      <c r="B12614" s="1" t="n">
        <v>45250</v>
      </c>
      <c r="C12614" s="1" t="n">
        <v>45810</v>
      </c>
      <c r="D12614" t="inlineStr">
        <is>
          <t>VÄRMLANDS LÄN</t>
        </is>
      </c>
      <c r="E12614" t="inlineStr">
        <is>
          <t>HAGFORS</t>
        </is>
      </c>
      <c r="G12614" t="n">
        <v>3.3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58378-2023</t>
        </is>
      </c>
      <c r="B12615" s="1" t="n">
        <v>45250</v>
      </c>
      <c r="C12615" s="1" t="n">
        <v>45810</v>
      </c>
      <c r="D12615" t="inlineStr">
        <is>
          <t>VÄRMLANDS LÄN</t>
        </is>
      </c>
      <c r="E12615" t="inlineStr">
        <is>
          <t>TORSBY</t>
        </is>
      </c>
      <c r="G12615" t="n">
        <v>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58383-2023</t>
        </is>
      </c>
      <c r="B12616" s="1" t="n">
        <v>45250</v>
      </c>
      <c r="C12616" s="1" t="n">
        <v>45810</v>
      </c>
      <c r="D12616" t="inlineStr">
        <is>
          <t>VÄRMLANDS LÄN</t>
        </is>
      </c>
      <c r="E12616" t="inlineStr">
        <is>
          <t>TORSBY</t>
        </is>
      </c>
      <c r="G12616" t="n">
        <v>3.5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58428-2023</t>
        </is>
      </c>
      <c r="B12617" s="1" t="n">
        <v>45250</v>
      </c>
      <c r="C12617" s="1" t="n">
        <v>45810</v>
      </c>
      <c r="D12617" t="inlineStr">
        <is>
          <t>VÄRMLANDS LÄN</t>
        </is>
      </c>
      <c r="E12617" t="inlineStr">
        <is>
          <t>SUNNE</t>
        </is>
      </c>
      <c r="G12617" t="n">
        <v>0.8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58436-2023</t>
        </is>
      </c>
      <c r="B12618" s="1" t="n">
        <v>45250</v>
      </c>
      <c r="C12618" s="1" t="n">
        <v>45810</v>
      </c>
      <c r="D12618" t="inlineStr">
        <is>
          <t>VÄRMLANDS LÄN</t>
        </is>
      </c>
      <c r="E12618" t="inlineStr">
        <is>
          <t>ÅRJÄNG</t>
        </is>
      </c>
      <c r="G12618" t="n">
        <v>0.9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58315-2023</t>
        </is>
      </c>
      <c r="B12619" s="1" t="n">
        <v>45250</v>
      </c>
      <c r="C12619" s="1" t="n">
        <v>45810</v>
      </c>
      <c r="D12619" t="inlineStr">
        <is>
          <t>VÄRMLANDS LÄN</t>
        </is>
      </c>
      <c r="E12619" t="inlineStr">
        <is>
          <t>MUNKFORS</t>
        </is>
      </c>
      <c r="F12619" t="inlineStr">
        <is>
          <t>Kyrkan</t>
        </is>
      </c>
      <c r="G12619" t="n">
        <v>2.2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58361-2023</t>
        </is>
      </c>
      <c r="B12620" s="1" t="n">
        <v>45250</v>
      </c>
      <c r="C12620" s="1" t="n">
        <v>45810</v>
      </c>
      <c r="D12620" t="inlineStr">
        <is>
          <t>VÄRMLANDS LÄN</t>
        </is>
      </c>
      <c r="E12620" t="inlineStr">
        <is>
          <t>SUNNE</t>
        </is>
      </c>
      <c r="G12620" t="n">
        <v>11.4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59027-2023</t>
        </is>
      </c>
      <c r="B12621" s="1" t="n">
        <v>45250</v>
      </c>
      <c r="C12621" s="1" t="n">
        <v>45810</v>
      </c>
      <c r="D12621" t="inlineStr">
        <is>
          <t>VÄRMLANDS LÄN</t>
        </is>
      </c>
      <c r="E12621" t="inlineStr">
        <is>
          <t>ARVIKA</t>
        </is>
      </c>
      <c r="G12621" t="n">
        <v>3.3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58423-2023</t>
        </is>
      </c>
      <c r="B12622" s="1" t="n">
        <v>45250</v>
      </c>
      <c r="C12622" s="1" t="n">
        <v>45810</v>
      </c>
      <c r="D12622" t="inlineStr">
        <is>
          <t>VÄRMLANDS LÄN</t>
        </is>
      </c>
      <c r="E12622" t="inlineStr">
        <is>
          <t>ARVIKA</t>
        </is>
      </c>
      <c r="G12622" t="n">
        <v>2.6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58538-2023</t>
        </is>
      </c>
      <c r="B12623" s="1" t="n">
        <v>45251</v>
      </c>
      <c r="C12623" s="1" t="n">
        <v>45810</v>
      </c>
      <c r="D12623" t="inlineStr">
        <is>
          <t>VÄRMLANDS LÄN</t>
        </is>
      </c>
      <c r="E12623" t="inlineStr">
        <is>
          <t>ARVIKA</t>
        </is>
      </c>
      <c r="G12623" t="n">
        <v>1.9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58520-2023</t>
        </is>
      </c>
      <c r="B12624" s="1" t="n">
        <v>45251</v>
      </c>
      <c r="C12624" s="1" t="n">
        <v>45810</v>
      </c>
      <c r="D12624" t="inlineStr">
        <is>
          <t>VÄRMLANDS LÄN</t>
        </is>
      </c>
      <c r="E12624" t="inlineStr">
        <is>
          <t>ARVIKA</t>
        </is>
      </c>
      <c r="G12624" t="n">
        <v>1.6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58547-2023</t>
        </is>
      </c>
      <c r="B12625" s="1" t="n">
        <v>45251</v>
      </c>
      <c r="C12625" s="1" t="n">
        <v>45810</v>
      </c>
      <c r="D12625" t="inlineStr">
        <is>
          <t>VÄRMLANDS LÄN</t>
        </is>
      </c>
      <c r="E12625" t="inlineStr">
        <is>
          <t>ARVIKA</t>
        </is>
      </c>
      <c r="G12625" t="n">
        <v>2.4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58554-2023</t>
        </is>
      </c>
      <c r="B12626" s="1" t="n">
        <v>45251</v>
      </c>
      <c r="C12626" s="1" t="n">
        <v>45810</v>
      </c>
      <c r="D12626" t="inlineStr">
        <is>
          <t>VÄRMLANDS LÄN</t>
        </is>
      </c>
      <c r="E12626" t="inlineStr">
        <is>
          <t>SUNNE</t>
        </is>
      </c>
      <c r="G12626" t="n">
        <v>14.5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58567-2023</t>
        </is>
      </c>
      <c r="B12627" s="1" t="n">
        <v>45251</v>
      </c>
      <c r="C12627" s="1" t="n">
        <v>45810</v>
      </c>
      <c r="D12627" t="inlineStr">
        <is>
          <t>VÄRMLANDS LÄN</t>
        </is>
      </c>
      <c r="E12627" t="inlineStr">
        <is>
          <t>ARVIKA</t>
        </is>
      </c>
      <c r="G12627" t="n">
        <v>1.2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58559-2023</t>
        </is>
      </c>
      <c r="B12628" s="1" t="n">
        <v>45251</v>
      </c>
      <c r="C12628" s="1" t="n">
        <v>45810</v>
      </c>
      <c r="D12628" t="inlineStr">
        <is>
          <t>VÄRMLANDS LÄN</t>
        </is>
      </c>
      <c r="E12628" t="inlineStr">
        <is>
          <t>ARVIKA</t>
        </is>
      </c>
      <c r="G12628" t="n">
        <v>1.1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58586-2023</t>
        </is>
      </c>
      <c r="B12629" s="1" t="n">
        <v>45251</v>
      </c>
      <c r="C12629" s="1" t="n">
        <v>45810</v>
      </c>
      <c r="D12629" t="inlineStr">
        <is>
          <t>VÄRMLANDS LÄN</t>
        </is>
      </c>
      <c r="E12629" t="inlineStr">
        <is>
          <t>ARVIKA</t>
        </is>
      </c>
      <c r="G12629" t="n">
        <v>3.5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58591-2023</t>
        </is>
      </c>
      <c r="B12630" s="1" t="n">
        <v>45251</v>
      </c>
      <c r="C12630" s="1" t="n">
        <v>45810</v>
      </c>
      <c r="D12630" t="inlineStr">
        <is>
          <t>VÄRMLANDS LÄN</t>
        </is>
      </c>
      <c r="E12630" t="inlineStr">
        <is>
          <t>ARVIKA</t>
        </is>
      </c>
      <c r="G12630" t="n">
        <v>15.3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58602-2023</t>
        </is>
      </c>
      <c r="B12631" s="1" t="n">
        <v>45251</v>
      </c>
      <c r="C12631" s="1" t="n">
        <v>45810</v>
      </c>
      <c r="D12631" t="inlineStr">
        <is>
          <t>VÄRMLANDS LÄN</t>
        </is>
      </c>
      <c r="E12631" t="inlineStr">
        <is>
          <t>SÄFFLE</t>
        </is>
      </c>
      <c r="G12631" t="n">
        <v>3.4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58645-2023</t>
        </is>
      </c>
      <c r="B12632" s="1" t="n">
        <v>45251</v>
      </c>
      <c r="C12632" s="1" t="n">
        <v>45810</v>
      </c>
      <c r="D12632" t="inlineStr">
        <is>
          <t>VÄRMLANDS LÄN</t>
        </is>
      </c>
      <c r="E12632" t="inlineStr">
        <is>
          <t>EDA</t>
        </is>
      </c>
      <c r="F12632" t="inlineStr">
        <is>
          <t>Bergvik skog väst AB</t>
        </is>
      </c>
      <c r="G12632" t="n">
        <v>1.7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58646-2023</t>
        </is>
      </c>
      <c r="B12633" s="1" t="n">
        <v>45251</v>
      </c>
      <c r="C12633" s="1" t="n">
        <v>45810</v>
      </c>
      <c r="D12633" t="inlineStr">
        <is>
          <t>VÄRMLANDS LÄN</t>
        </is>
      </c>
      <c r="E12633" t="inlineStr">
        <is>
          <t>SÄFFLE</t>
        </is>
      </c>
      <c r="F12633" t="inlineStr">
        <is>
          <t>Kyrkan</t>
        </is>
      </c>
      <c r="G12633" t="n">
        <v>2.4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58671-2023</t>
        </is>
      </c>
      <c r="B12634" s="1" t="n">
        <v>45251</v>
      </c>
      <c r="C12634" s="1" t="n">
        <v>45810</v>
      </c>
      <c r="D12634" t="inlineStr">
        <is>
          <t>VÄRMLANDS LÄN</t>
        </is>
      </c>
      <c r="E12634" t="inlineStr">
        <is>
          <t>KARLSTAD</t>
        </is>
      </c>
      <c r="G12634" t="n">
        <v>0.8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58653-2023</t>
        </is>
      </c>
      <c r="B12635" s="1" t="n">
        <v>45251</v>
      </c>
      <c r="C12635" s="1" t="n">
        <v>45810</v>
      </c>
      <c r="D12635" t="inlineStr">
        <is>
          <t>VÄRMLANDS LÄN</t>
        </is>
      </c>
      <c r="E12635" t="inlineStr">
        <is>
          <t>SÄFFLE</t>
        </is>
      </c>
      <c r="G12635" t="n">
        <v>1.4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58659-2023</t>
        </is>
      </c>
      <c r="B12636" s="1" t="n">
        <v>45251</v>
      </c>
      <c r="C12636" s="1" t="n">
        <v>45810</v>
      </c>
      <c r="D12636" t="inlineStr">
        <is>
          <t>VÄRMLANDS LÄN</t>
        </is>
      </c>
      <c r="E12636" t="inlineStr">
        <is>
          <t>EDA</t>
        </is>
      </c>
      <c r="F12636" t="inlineStr">
        <is>
          <t>Bergvik skog väst AB</t>
        </is>
      </c>
      <c r="G12636" t="n">
        <v>3.5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58688-2023</t>
        </is>
      </c>
      <c r="B12637" s="1" t="n">
        <v>45251</v>
      </c>
      <c r="C12637" s="1" t="n">
        <v>45810</v>
      </c>
      <c r="D12637" t="inlineStr">
        <is>
          <t>VÄRMLANDS LÄN</t>
        </is>
      </c>
      <c r="E12637" t="inlineStr">
        <is>
          <t>FORSHAGA</t>
        </is>
      </c>
      <c r="G12637" t="n">
        <v>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58697-2023</t>
        </is>
      </c>
      <c r="B12638" s="1" t="n">
        <v>45251</v>
      </c>
      <c r="C12638" s="1" t="n">
        <v>45810</v>
      </c>
      <c r="D12638" t="inlineStr">
        <is>
          <t>VÄRMLANDS LÄN</t>
        </is>
      </c>
      <c r="E12638" t="inlineStr">
        <is>
          <t>FORSHAGA</t>
        </is>
      </c>
      <c r="G12638" t="n">
        <v>4.5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58690-2023</t>
        </is>
      </c>
      <c r="B12639" s="1" t="n">
        <v>45251</v>
      </c>
      <c r="C12639" s="1" t="n">
        <v>45810</v>
      </c>
      <c r="D12639" t="inlineStr">
        <is>
          <t>VÄRMLANDS LÄN</t>
        </is>
      </c>
      <c r="E12639" t="inlineStr">
        <is>
          <t>KARLSTAD</t>
        </is>
      </c>
      <c r="G12639" t="n">
        <v>10.9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58694-2023</t>
        </is>
      </c>
      <c r="B12640" s="1" t="n">
        <v>45251</v>
      </c>
      <c r="C12640" s="1" t="n">
        <v>45810</v>
      </c>
      <c r="D12640" t="inlineStr">
        <is>
          <t>VÄRMLANDS LÄN</t>
        </is>
      </c>
      <c r="E12640" t="inlineStr">
        <is>
          <t>KARLSTAD</t>
        </is>
      </c>
      <c r="G12640" t="n">
        <v>0.9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59128-2023</t>
        </is>
      </c>
      <c r="B12641" s="1" t="n">
        <v>45251</v>
      </c>
      <c r="C12641" s="1" t="n">
        <v>45810</v>
      </c>
      <c r="D12641" t="inlineStr">
        <is>
          <t>VÄRMLANDS LÄN</t>
        </is>
      </c>
      <c r="E12641" t="inlineStr">
        <is>
          <t>MUNKFORS</t>
        </is>
      </c>
      <c r="G12641" t="n">
        <v>1.3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59146-2023</t>
        </is>
      </c>
      <c r="B12642" s="1" t="n">
        <v>45251</v>
      </c>
      <c r="C12642" s="1" t="n">
        <v>45810</v>
      </c>
      <c r="D12642" t="inlineStr">
        <is>
          <t>VÄRMLANDS LÄN</t>
        </is>
      </c>
      <c r="E12642" t="inlineStr">
        <is>
          <t>MUNKFORS</t>
        </is>
      </c>
      <c r="G12642" t="n">
        <v>3.4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59256-2023</t>
        </is>
      </c>
      <c r="B12643" s="1" t="n">
        <v>45251</v>
      </c>
      <c r="C12643" s="1" t="n">
        <v>45810</v>
      </c>
      <c r="D12643" t="inlineStr">
        <is>
          <t>VÄRMLANDS LÄN</t>
        </is>
      </c>
      <c r="E12643" t="inlineStr">
        <is>
          <t>TORSBY</t>
        </is>
      </c>
      <c r="G12643" t="n">
        <v>1.6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59246-2023</t>
        </is>
      </c>
      <c r="B12644" s="1" t="n">
        <v>45251</v>
      </c>
      <c r="C12644" s="1" t="n">
        <v>45810</v>
      </c>
      <c r="D12644" t="inlineStr">
        <is>
          <t>VÄRMLANDS LÄN</t>
        </is>
      </c>
      <c r="E12644" t="inlineStr">
        <is>
          <t>SUNNE</t>
        </is>
      </c>
      <c r="G12644" t="n">
        <v>1.5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59132-2023</t>
        </is>
      </c>
      <c r="B12645" s="1" t="n">
        <v>45251</v>
      </c>
      <c r="C12645" s="1" t="n">
        <v>45810</v>
      </c>
      <c r="D12645" t="inlineStr">
        <is>
          <t>VÄRMLANDS LÄN</t>
        </is>
      </c>
      <c r="E12645" t="inlineStr">
        <is>
          <t>MUNKFORS</t>
        </is>
      </c>
      <c r="G12645" t="n">
        <v>1.8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59141-2023</t>
        </is>
      </c>
      <c r="B12646" s="1" t="n">
        <v>45251</v>
      </c>
      <c r="C12646" s="1" t="n">
        <v>45810</v>
      </c>
      <c r="D12646" t="inlineStr">
        <is>
          <t>VÄRMLANDS LÄN</t>
        </is>
      </c>
      <c r="E12646" t="inlineStr">
        <is>
          <t>MUNKFORS</t>
        </is>
      </c>
      <c r="G12646" t="n">
        <v>1.4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59137-2023</t>
        </is>
      </c>
      <c r="B12647" s="1" t="n">
        <v>45251</v>
      </c>
      <c r="C12647" s="1" t="n">
        <v>45810</v>
      </c>
      <c r="D12647" t="inlineStr">
        <is>
          <t>VÄRMLANDS LÄN</t>
        </is>
      </c>
      <c r="E12647" t="inlineStr">
        <is>
          <t>MUNKFORS</t>
        </is>
      </c>
      <c r="G12647" t="n">
        <v>1.3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59145-2023</t>
        </is>
      </c>
      <c r="B12648" s="1" t="n">
        <v>45251</v>
      </c>
      <c r="C12648" s="1" t="n">
        <v>45810</v>
      </c>
      <c r="D12648" t="inlineStr">
        <is>
          <t>VÄRMLANDS LÄN</t>
        </is>
      </c>
      <c r="E12648" t="inlineStr">
        <is>
          <t>MUNKFORS</t>
        </is>
      </c>
      <c r="G12648" t="n">
        <v>7.1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58790-2023</t>
        </is>
      </c>
      <c r="B12649" s="1" t="n">
        <v>45252</v>
      </c>
      <c r="C12649" s="1" t="n">
        <v>45810</v>
      </c>
      <c r="D12649" t="inlineStr">
        <is>
          <t>VÄRMLANDS LÄN</t>
        </is>
      </c>
      <c r="E12649" t="inlineStr">
        <is>
          <t>ARVIKA</t>
        </is>
      </c>
      <c r="G12649" t="n">
        <v>9.199999999999999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58835-2023</t>
        </is>
      </c>
      <c r="B12650" s="1" t="n">
        <v>45252</v>
      </c>
      <c r="C12650" s="1" t="n">
        <v>45810</v>
      </c>
      <c r="D12650" t="inlineStr">
        <is>
          <t>VÄRMLANDS LÄN</t>
        </is>
      </c>
      <c r="E12650" t="inlineStr">
        <is>
          <t>SUNNE</t>
        </is>
      </c>
      <c r="G12650" t="n">
        <v>1.8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58851-2023</t>
        </is>
      </c>
      <c r="B12651" s="1" t="n">
        <v>45252</v>
      </c>
      <c r="C12651" s="1" t="n">
        <v>45810</v>
      </c>
      <c r="D12651" t="inlineStr">
        <is>
          <t>VÄRMLANDS LÄN</t>
        </is>
      </c>
      <c r="E12651" t="inlineStr">
        <is>
          <t>SUNNE</t>
        </is>
      </c>
      <c r="G12651" t="n">
        <v>7.2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58836-2023</t>
        </is>
      </c>
      <c r="B12652" s="1" t="n">
        <v>45252</v>
      </c>
      <c r="C12652" s="1" t="n">
        <v>45810</v>
      </c>
      <c r="D12652" t="inlineStr">
        <is>
          <t>VÄRMLANDS LÄN</t>
        </is>
      </c>
      <c r="E12652" t="inlineStr">
        <is>
          <t>SUNNE</t>
        </is>
      </c>
      <c r="G12652" t="n">
        <v>0.8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58874-2023</t>
        </is>
      </c>
      <c r="B12653" s="1" t="n">
        <v>45252</v>
      </c>
      <c r="C12653" s="1" t="n">
        <v>45810</v>
      </c>
      <c r="D12653" t="inlineStr">
        <is>
          <t>VÄRMLANDS LÄN</t>
        </is>
      </c>
      <c r="E12653" t="inlineStr">
        <is>
          <t>ÅRJÄNG</t>
        </is>
      </c>
      <c r="G12653" t="n">
        <v>2.5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58850-2023</t>
        </is>
      </c>
      <c r="B12654" s="1" t="n">
        <v>45252</v>
      </c>
      <c r="C12654" s="1" t="n">
        <v>45810</v>
      </c>
      <c r="D12654" t="inlineStr">
        <is>
          <t>VÄRMLANDS LÄN</t>
        </is>
      </c>
      <c r="E12654" t="inlineStr">
        <is>
          <t>ÅRJÄNG</t>
        </is>
      </c>
      <c r="G12654" t="n">
        <v>2.4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58924-2023</t>
        </is>
      </c>
      <c r="B12655" s="1" t="n">
        <v>45252</v>
      </c>
      <c r="C12655" s="1" t="n">
        <v>45810</v>
      </c>
      <c r="D12655" t="inlineStr">
        <is>
          <t>VÄRMLANDS LÄN</t>
        </is>
      </c>
      <c r="E12655" t="inlineStr">
        <is>
          <t>FORSHAGA</t>
        </is>
      </c>
      <c r="F12655" t="inlineStr">
        <is>
          <t>Bergvik skog väst AB</t>
        </is>
      </c>
      <c r="G12655" t="n">
        <v>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58893-2023</t>
        </is>
      </c>
      <c r="B12656" s="1" t="n">
        <v>45252</v>
      </c>
      <c r="C12656" s="1" t="n">
        <v>45810</v>
      </c>
      <c r="D12656" t="inlineStr">
        <is>
          <t>VÄRMLANDS LÄN</t>
        </is>
      </c>
      <c r="E12656" t="inlineStr">
        <is>
          <t>KRISTINEHAMN</t>
        </is>
      </c>
      <c r="G12656" t="n">
        <v>19.4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58958-2023</t>
        </is>
      </c>
      <c r="B12657" s="1" t="n">
        <v>45252</v>
      </c>
      <c r="C12657" s="1" t="n">
        <v>45810</v>
      </c>
      <c r="D12657" t="inlineStr">
        <is>
          <t>VÄRMLANDS LÄN</t>
        </is>
      </c>
      <c r="E12657" t="inlineStr">
        <is>
          <t>HAGFORS</t>
        </is>
      </c>
      <c r="F12657" t="inlineStr">
        <is>
          <t>Bergvik skog väst AB</t>
        </is>
      </c>
      <c r="G12657" t="n">
        <v>9.1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59053-2023</t>
        </is>
      </c>
      <c r="B12658" s="1" t="n">
        <v>45252</v>
      </c>
      <c r="C12658" s="1" t="n">
        <v>45810</v>
      </c>
      <c r="D12658" t="inlineStr">
        <is>
          <t>VÄRMLANDS LÄN</t>
        </is>
      </c>
      <c r="E12658" t="inlineStr">
        <is>
          <t>KARLSTAD</t>
        </is>
      </c>
      <c r="G12658" t="n">
        <v>21.7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59061-2023</t>
        </is>
      </c>
      <c r="B12659" s="1" t="n">
        <v>45252</v>
      </c>
      <c r="C12659" s="1" t="n">
        <v>45810</v>
      </c>
      <c r="D12659" t="inlineStr">
        <is>
          <t>VÄRMLANDS LÄN</t>
        </is>
      </c>
      <c r="E12659" t="inlineStr">
        <is>
          <t>KIL</t>
        </is>
      </c>
      <c r="G12659" t="n">
        <v>7.2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58937-2023</t>
        </is>
      </c>
      <c r="B12660" s="1" t="n">
        <v>45252</v>
      </c>
      <c r="C12660" s="1" t="n">
        <v>45810</v>
      </c>
      <c r="D12660" t="inlineStr">
        <is>
          <t>VÄRMLANDS LÄN</t>
        </is>
      </c>
      <c r="E12660" t="inlineStr">
        <is>
          <t>ÅRJÄNG</t>
        </is>
      </c>
      <c r="G12660" t="n">
        <v>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58944-2023</t>
        </is>
      </c>
      <c r="B12661" s="1" t="n">
        <v>45252</v>
      </c>
      <c r="C12661" s="1" t="n">
        <v>45810</v>
      </c>
      <c r="D12661" t="inlineStr">
        <is>
          <t>VÄRMLANDS LÄN</t>
        </is>
      </c>
      <c r="E12661" t="inlineStr">
        <is>
          <t>FORSHAGA</t>
        </is>
      </c>
      <c r="F12661" t="inlineStr">
        <is>
          <t>Bergvik skog väst AB</t>
        </is>
      </c>
      <c r="G12661" t="n">
        <v>2.4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59064-2023</t>
        </is>
      </c>
      <c r="B12662" s="1" t="n">
        <v>45252</v>
      </c>
      <c r="C12662" s="1" t="n">
        <v>45810</v>
      </c>
      <c r="D12662" t="inlineStr">
        <is>
          <t>VÄRMLANDS LÄN</t>
        </is>
      </c>
      <c r="E12662" t="inlineStr">
        <is>
          <t>KIL</t>
        </is>
      </c>
      <c r="G12662" t="n">
        <v>1.1</v>
      </c>
      <c r="H12662" t="n">
        <v>0</v>
      </c>
      <c r="I12662" t="n">
        <v>0</v>
      </c>
      <c r="J12662" t="n">
        <v>0</v>
      </c>
      <c r="K12662" t="n">
        <v>0</v>
      </c>
      <c r="L12662" t="n">
        <v>0</v>
      </c>
      <c r="M12662" t="n">
        <v>0</v>
      </c>
      <c r="N12662" t="n">
        <v>0</v>
      </c>
      <c r="O12662" t="n">
        <v>0</v>
      </c>
      <c r="P12662" t="n">
        <v>0</v>
      </c>
      <c r="Q12662" t="n">
        <v>0</v>
      </c>
      <c r="R12662" s="2" t="inlineStr"/>
      <c r="U12662">
        <f>HYPERLINK("https://klasma.github.io/Logging_1715/knärot/A 59064-2023 karta knärot.png", "A 59064-2023")</f>
        <v/>
      </c>
      <c r="V12662">
        <f>HYPERLINK("https://klasma.github.io/Logging_1715/klagomål/A 59064-2023 FSC-klagomål.docx", "A 59064-2023")</f>
        <v/>
      </c>
      <c r="W12662">
        <f>HYPERLINK("https://klasma.github.io/Logging_1715/klagomålsmail/A 59064-2023 FSC-klagomål mail.docx", "A 59064-2023")</f>
        <v/>
      </c>
      <c r="X12662">
        <f>HYPERLINK("https://klasma.github.io/Logging_1715/tillsyn/A 59064-2023 tillsynsbegäran.docx", "A 59064-2023")</f>
        <v/>
      </c>
      <c r="Y12662">
        <f>HYPERLINK("https://klasma.github.io/Logging_1715/tillsynsmail/A 59064-2023 tillsynsbegäran mail.docx", "A 59064-2023")</f>
        <v/>
      </c>
    </row>
    <row r="12663" ht="15" customHeight="1">
      <c r="A12663" t="inlineStr">
        <is>
          <t>A 59188-2023</t>
        </is>
      </c>
      <c r="B12663" s="1" t="n">
        <v>45252</v>
      </c>
      <c r="C12663" s="1" t="n">
        <v>45810</v>
      </c>
      <c r="D12663" t="inlineStr">
        <is>
          <t>VÄRMLANDS LÄN</t>
        </is>
      </c>
      <c r="E12663" t="inlineStr">
        <is>
          <t>SÄFFLE</t>
        </is>
      </c>
      <c r="G12663" t="n">
        <v>5.2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59323-2023</t>
        </is>
      </c>
      <c r="B12664" s="1" t="n">
        <v>45252</v>
      </c>
      <c r="C12664" s="1" t="n">
        <v>45810</v>
      </c>
      <c r="D12664" t="inlineStr">
        <is>
          <t>VÄRMLANDS LÄN</t>
        </is>
      </c>
      <c r="E12664" t="inlineStr">
        <is>
          <t>EDA</t>
        </is>
      </c>
      <c r="G12664" t="n">
        <v>1.6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59352-2023</t>
        </is>
      </c>
      <c r="B12665" s="1" t="n">
        <v>45252</v>
      </c>
      <c r="C12665" s="1" t="n">
        <v>45810</v>
      </c>
      <c r="D12665" t="inlineStr">
        <is>
          <t>VÄRMLANDS LÄN</t>
        </is>
      </c>
      <c r="E12665" t="inlineStr">
        <is>
          <t>EDA</t>
        </is>
      </c>
      <c r="G12665" t="n">
        <v>6.2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59350-2023</t>
        </is>
      </c>
      <c r="B12666" s="1" t="n">
        <v>45252</v>
      </c>
      <c r="C12666" s="1" t="n">
        <v>45810</v>
      </c>
      <c r="D12666" t="inlineStr">
        <is>
          <t>VÄRMLANDS LÄN</t>
        </is>
      </c>
      <c r="E12666" t="inlineStr">
        <is>
          <t>EDA</t>
        </is>
      </c>
      <c r="G12666" t="n">
        <v>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59154-2023</t>
        </is>
      </c>
      <c r="B12667" s="1" t="n">
        <v>45253</v>
      </c>
      <c r="C12667" s="1" t="n">
        <v>45810</v>
      </c>
      <c r="D12667" t="inlineStr">
        <is>
          <t>VÄRMLANDS LÄN</t>
        </is>
      </c>
      <c r="E12667" t="inlineStr">
        <is>
          <t>ARVIKA</t>
        </is>
      </c>
      <c r="G12667" t="n">
        <v>1.2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59192-2023</t>
        </is>
      </c>
      <c r="B12668" s="1" t="n">
        <v>45253</v>
      </c>
      <c r="C12668" s="1" t="n">
        <v>45810</v>
      </c>
      <c r="D12668" t="inlineStr">
        <is>
          <t>VÄRMLANDS LÄN</t>
        </is>
      </c>
      <c r="E12668" t="inlineStr">
        <is>
          <t>EDA</t>
        </is>
      </c>
      <c r="G12668" t="n">
        <v>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59200-2023</t>
        </is>
      </c>
      <c r="B12669" s="1" t="n">
        <v>45253</v>
      </c>
      <c r="C12669" s="1" t="n">
        <v>45810</v>
      </c>
      <c r="D12669" t="inlineStr">
        <is>
          <t>VÄRMLANDS LÄN</t>
        </is>
      </c>
      <c r="E12669" t="inlineStr">
        <is>
          <t>KIL</t>
        </is>
      </c>
      <c r="G12669" t="n">
        <v>0.7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59204-2023</t>
        </is>
      </c>
      <c r="B12670" s="1" t="n">
        <v>45253</v>
      </c>
      <c r="C12670" s="1" t="n">
        <v>45810</v>
      </c>
      <c r="D12670" t="inlineStr">
        <is>
          <t>VÄRMLANDS LÄN</t>
        </is>
      </c>
      <c r="E12670" t="inlineStr">
        <is>
          <t>KARLSTAD</t>
        </is>
      </c>
      <c r="F12670" t="inlineStr">
        <is>
          <t>Kommuner</t>
        </is>
      </c>
      <c r="G12670" t="n">
        <v>9.4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59296-2023</t>
        </is>
      </c>
      <c r="B12671" s="1" t="n">
        <v>45253</v>
      </c>
      <c r="C12671" s="1" t="n">
        <v>45810</v>
      </c>
      <c r="D12671" t="inlineStr">
        <is>
          <t>VÄRMLANDS LÄN</t>
        </is>
      </c>
      <c r="E12671" t="inlineStr">
        <is>
          <t>FILIPSTAD</t>
        </is>
      </c>
      <c r="G12671" t="n">
        <v>0.9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59312-2023</t>
        </is>
      </c>
      <c r="B12672" s="1" t="n">
        <v>45253</v>
      </c>
      <c r="C12672" s="1" t="n">
        <v>45810</v>
      </c>
      <c r="D12672" t="inlineStr">
        <is>
          <t>VÄRMLANDS LÄN</t>
        </is>
      </c>
      <c r="E12672" t="inlineStr">
        <is>
          <t>SÄFFLE</t>
        </is>
      </c>
      <c r="G12672" t="n">
        <v>8.699999999999999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59148-2023</t>
        </is>
      </c>
      <c r="B12673" s="1" t="n">
        <v>45253</v>
      </c>
      <c r="C12673" s="1" t="n">
        <v>45810</v>
      </c>
      <c r="D12673" t="inlineStr">
        <is>
          <t>VÄRMLANDS LÄN</t>
        </is>
      </c>
      <c r="E12673" t="inlineStr">
        <is>
          <t>SUNNE</t>
        </is>
      </c>
      <c r="G12673" t="n">
        <v>1.3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59189-2023</t>
        </is>
      </c>
      <c r="B12674" s="1" t="n">
        <v>45253</v>
      </c>
      <c r="C12674" s="1" t="n">
        <v>45810</v>
      </c>
      <c r="D12674" t="inlineStr">
        <is>
          <t>VÄRMLANDS LÄN</t>
        </is>
      </c>
      <c r="E12674" t="inlineStr">
        <is>
          <t>SUNNE</t>
        </is>
      </c>
      <c r="G12674" t="n">
        <v>0.7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59202-2023</t>
        </is>
      </c>
      <c r="B12675" s="1" t="n">
        <v>45253</v>
      </c>
      <c r="C12675" s="1" t="n">
        <v>45810</v>
      </c>
      <c r="D12675" t="inlineStr">
        <is>
          <t>VÄRMLANDS LÄN</t>
        </is>
      </c>
      <c r="E12675" t="inlineStr">
        <is>
          <t>KIL</t>
        </is>
      </c>
      <c r="G12675" t="n">
        <v>0.8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59239-2023</t>
        </is>
      </c>
      <c r="B12676" s="1" t="n">
        <v>45253</v>
      </c>
      <c r="C12676" s="1" t="n">
        <v>45810</v>
      </c>
      <c r="D12676" t="inlineStr">
        <is>
          <t>VÄRMLANDS LÄN</t>
        </is>
      </c>
      <c r="E12676" t="inlineStr">
        <is>
          <t>TORSBY</t>
        </is>
      </c>
      <c r="G12676" t="n">
        <v>0.7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59278-2023</t>
        </is>
      </c>
      <c r="B12677" s="1" t="n">
        <v>45253</v>
      </c>
      <c r="C12677" s="1" t="n">
        <v>45810</v>
      </c>
      <c r="D12677" t="inlineStr">
        <is>
          <t>VÄRMLANDS LÄN</t>
        </is>
      </c>
      <c r="E12677" t="inlineStr">
        <is>
          <t>EDA</t>
        </is>
      </c>
      <c r="G12677" t="n">
        <v>2.5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59347-2023</t>
        </is>
      </c>
      <c r="B12678" s="1" t="n">
        <v>45253</v>
      </c>
      <c r="C12678" s="1" t="n">
        <v>45810</v>
      </c>
      <c r="D12678" t="inlineStr">
        <is>
          <t>VÄRMLANDS LÄN</t>
        </is>
      </c>
      <c r="E12678" t="inlineStr">
        <is>
          <t>FILIPSTAD</t>
        </is>
      </c>
      <c r="F12678" t="inlineStr">
        <is>
          <t>Bergvik skog väst AB</t>
        </is>
      </c>
      <c r="G12678" t="n">
        <v>16.7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59384-2023</t>
        </is>
      </c>
      <c r="B12679" s="1" t="n">
        <v>45253</v>
      </c>
      <c r="C12679" s="1" t="n">
        <v>45810</v>
      </c>
      <c r="D12679" t="inlineStr">
        <is>
          <t>VÄRMLANDS LÄN</t>
        </is>
      </c>
      <c r="E12679" t="inlineStr">
        <is>
          <t>ÅRJÄNG</t>
        </is>
      </c>
      <c r="G12679" t="n">
        <v>1.7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59203-2023</t>
        </is>
      </c>
      <c r="B12680" s="1" t="n">
        <v>45253</v>
      </c>
      <c r="C12680" s="1" t="n">
        <v>45810</v>
      </c>
      <c r="D12680" t="inlineStr">
        <is>
          <t>VÄRMLANDS LÄN</t>
        </is>
      </c>
      <c r="E12680" t="inlineStr">
        <is>
          <t>SÄFFLE</t>
        </is>
      </c>
      <c r="G12680" t="n">
        <v>4.8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59216-2023</t>
        </is>
      </c>
      <c r="B12681" s="1" t="n">
        <v>45253</v>
      </c>
      <c r="C12681" s="1" t="n">
        <v>45810</v>
      </c>
      <c r="D12681" t="inlineStr">
        <is>
          <t>VÄRMLANDS LÄN</t>
        </is>
      </c>
      <c r="E12681" t="inlineStr">
        <is>
          <t>SÄFFLE</t>
        </is>
      </c>
      <c r="G12681" t="n">
        <v>2.1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59236-2023</t>
        </is>
      </c>
      <c r="B12682" s="1" t="n">
        <v>45253</v>
      </c>
      <c r="C12682" s="1" t="n">
        <v>45810</v>
      </c>
      <c r="D12682" t="inlineStr">
        <is>
          <t>VÄRMLANDS LÄN</t>
        </is>
      </c>
      <c r="E12682" t="inlineStr">
        <is>
          <t>TORSBY</t>
        </is>
      </c>
      <c r="G12682" t="n">
        <v>2.2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59299-2023</t>
        </is>
      </c>
      <c r="B12683" s="1" t="n">
        <v>45253</v>
      </c>
      <c r="C12683" s="1" t="n">
        <v>45810</v>
      </c>
      <c r="D12683" t="inlineStr">
        <is>
          <t>VÄRMLANDS LÄN</t>
        </is>
      </c>
      <c r="E12683" t="inlineStr">
        <is>
          <t>ARVIKA</t>
        </is>
      </c>
      <c r="G12683" t="n">
        <v>5.8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59336-2023</t>
        </is>
      </c>
      <c r="B12684" s="1" t="n">
        <v>45253</v>
      </c>
      <c r="C12684" s="1" t="n">
        <v>45810</v>
      </c>
      <c r="D12684" t="inlineStr">
        <is>
          <t>VÄRMLANDS LÄN</t>
        </is>
      </c>
      <c r="E12684" t="inlineStr">
        <is>
          <t>FILIPSTAD</t>
        </is>
      </c>
      <c r="F12684" t="inlineStr">
        <is>
          <t>Bergvik skog väst AB</t>
        </is>
      </c>
      <c r="G12684" t="n">
        <v>2.8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59385-2023</t>
        </is>
      </c>
      <c r="B12685" s="1" t="n">
        <v>45253</v>
      </c>
      <c r="C12685" s="1" t="n">
        <v>45810</v>
      </c>
      <c r="D12685" t="inlineStr">
        <is>
          <t>VÄRMLANDS LÄN</t>
        </is>
      </c>
      <c r="E12685" t="inlineStr">
        <is>
          <t>ÅRJÄNG</t>
        </is>
      </c>
      <c r="G12685" t="n">
        <v>2.2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59438-2023</t>
        </is>
      </c>
      <c r="B12686" s="1" t="n">
        <v>45253</v>
      </c>
      <c r="C12686" s="1" t="n">
        <v>45810</v>
      </c>
      <c r="D12686" t="inlineStr">
        <is>
          <t>VÄRMLANDS LÄN</t>
        </is>
      </c>
      <c r="E12686" t="inlineStr">
        <is>
          <t>SÄFFLE</t>
        </is>
      </c>
      <c r="G12686" t="n">
        <v>19.9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59854-2023</t>
        </is>
      </c>
      <c r="B12687" s="1" t="n">
        <v>45253</v>
      </c>
      <c r="C12687" s="1" t="n">
        <v>45810</v>
      </c>
      <c r="D12687" t="inlineStr">
        <is>
          <t>VÄRMLANDS LÄN</t>
        </is>
      </c>
      <c r="E12687" t="inlineStr">
        <is>
          <t>KRISTINEHAMN</t>
        </is>
      </c>
      <c r="G12687" t="n">
        <v>8.199999999999999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59463-2023</t>
        </is>
      </c>
      <c r="B12688" s="1" t="n">
        <v>45254</v>
      </c>
      <c r="C12688" s="1" t="n">
        <v>45810</v>
      </c>
      <c r="D12688" t="inlineStr">
        <is>
          <t>VÄRMLANDS LÄN</t>
        </is>
      </c>
      <c r="E12688" t="inlineStr">
        <is>
          <t>ARVIKA</t>
        </is>
      </c>
      <c r="G12688" t="n">
        <v>0.6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59465-2023</t>
        </is>
      </c>
      <c r="B12689" s="1" t="n">
        <v>45254</v>
      </c>
      <c r="C12689" s="1" t="n">
        <v>45810</v>
      </c>
      <c r="D12689" t="inlineStr">
        <is>
          <t>VÄRMLANDS LÄN</t>
        </is>
      </c>
      <c r="E12689" t="inlineStr">
        <is>
          <t>ARVIKA</t>
        </is>
      </c>
      <c r="G12689" t="n">
        <v>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59488-2023</t>
        </is>
      </c>
      <c r="B12690" s="1" t="n">
        <v>45254</v>
      </c>
      <c r="C12690" s="1" t="n">
        <v>45810</v>
      </c>
      <c r="D12690" t="inlineStr">
        <is>
          <t>VÄRMLANDS LÄN</t>
        </is>
      </c>
      <c r="E12690" t="inlineStr">
        <is>
          <t>TORSBY</t>
        </is>
      </c>
      <c r="G12690" t="n">
        <v>3.6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59650-2023</t>
        </is>
      </c>
      <c r="B12691" s="1" t="n">
        <v>45254</v>
      </c>
      <c r="C12691" s="1" t="n">
        <v>45810</v>
      </c>
      <c r="D12691" t="inlineStr">
        <is>
          <t>VÄRMLANDS LÄN</t>
        </is>
      </c>
      <c r="E12691" t="inlineStr">
        <is>
          <t>STORFORS</t>
        </is>
      </c>
      <c r="G12691" t="n">
        <v>0.7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59743-2023</t>
        </is>
      </c>
      <c r="B12692" s="1" t="n">
        <v>45254</v>
      </c>
      <c r="C12692" s="1" t="n">
        <v>45810</v>
      </c>
      <c r="D12692" t="inlineStr">
        <is>
          <t>VÄRMLANDS LÄN</t>
        </is>
      </c>
      <c r="E12692" t="inlineStr">
        <is>
          <t>ARVIKA</t>
        </is>
      </c>
      <c r="G12692" t="n">
        <v>1.9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59739-2023</t>
        </is>
      </c>
      <c r="B12693" s="1" t="n">
        <v>45254</v>
      </c>
      <c r="C12693" s="1" t="n">
        <v>45810</v>
      </c>
      <c r="D12693" t="inlineStr">
        <is>
          <t>VÄRMLANDS LÄN</t>
        </is>
      </c>
      <c r="E12693" t="inlineStr">
        <is>
          <t>ARVIKA</t>
        </is>
      </c>
      <c r="G12693" t="n">
        <v>3.4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59759-2023</t>
        </is>
      </c>
      <c r="B12694" s="1" t="n">
        <v>45254</v>
      </c>
      <c r="C12694" s="1" t="n">
        <v>45810</v>
      </c>
      <c r="D12694" t="inlineStr">
        <is>
          <t>VÄRMLANDS LÄN</t>
        </is>
      </c>
      <c r="E12694" t="inlineStr">
        <is>
          <t>EDA</t>
        </is>
      </c>
      <c r="G12694" t="n">
        <v>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59811-2023</t>
        </is>
      </c>
      <c r="B12695" s="1" t="n">
        <v>45254</v>
      </c>
      <c r="C12695" s="1" t="n">
        <v>45810</v>
      </c>
      <c r="D12695" t="inlineStr">
        <is>
          <t>VÄRMLANDS LÄN</t>
        </is>
      </c>
      <c r="E12695" t="inlineStr">
        <is>
          <t>ÅRJÄNG</t>
        </is>
      </c>
      <c r="G12695" t="n">
        <v>1.4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59769-2023</t>
        </is>
      </c>
      <c r="B12696" s="1" t="n">
        <v>45254</v>
      </c>
      <c r="C12696" s="1" t="n">
        <v>45810</v>
      </c>
      <c r="D12696" t="inlineStr">
        <is>
          <t>VÄRMLANDS LÄN</t>
        </is>
      </c>
      <c r="E12696" t="inlineStr">
        <is>
          <t>EDA</t>
        </is>
      </c>
      <c r="G12696" t="n">
        <v>3.3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59801-2023</t>
        </is>
      </c>
      <c r="B12697" s="1" t="n">
        <v>45254</v>
      </c>
      <c r="C12697" s="1" t="n">
        <v>45810</v>
      </c>
      <c r="D12697" t="inlineStr">
        <is>
          <t>VÄRMLANDS LÄN</t>
        </is>
      </c>
      <c r="E12697" t="inlineStr">
        <is>
          <t>ÅRJÄNG</t>
        </is>
      </c>
      <c r="G12697" t="n">
        <v>13.8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59823-2023</t>
        </is>
      </c>
      <c r="B12698" s="1" t="n">
        <v>45254</v>
      </c>
      <c r="C12698" s="1" t="n">
        <v>45810</v>
      </c>
      <c r="D12698" t="inlineStr">
        <is>
          <t>VÄRMLANDS LÄN</t>
        </is>
      </c>
      <c r="E12698" t="inlineStr">
        <is>
          <t>ÅRJÄNG</t>
        </is>
      </c>
      <c r="G12698" t="n">
        <v>1.1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59563-2023</t>
        </is>
      </c>
      <c r="B12699" s="1" t="n">
        <v>45254</v>
      </c>
      <c r="C12699" s="1" t="n">
        <v>45810</v>
      </c>
      <c r="D12699" t="inlineStr">
        <is>
          <t>VÄRMLANDS LÄN</t>
        </is>
      </c>
      <c r="E12699" t="inlineStr">
        <is>
          <t>ARVIKA</t>
        </is>
      </c>
      <c r="F12699" t="inlineStr">
        <is>
          <t>Bergvik skog väst AB</t>
        </is>
      </c>
      <c r="G12699" t="n">
        <v>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59651-2023</t>
        </is>
      </c>
      <c r="B12700" s="1" t="n">
        <v>45254</v>
      </c>
      <c r="C12700" s="1" t="n">
        <v>45810</v>
      </c>
      <c r="D12700" t="inlineStr">
        <is>
          <t>VÄRMLANDS LÄN</t>
        </is>
      </c>
      <c r="E12700" t="inlineStr">
        <is>
          <t>STORFORS</t>
        </is>
      </c>
      <c r="G12700" t="n">
        <v>0.5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59746-2023</t>
        </is>
      </c>
      <c r="B12701" s="1" t="n">
        <v>45254</v>
      </c>
      <c r="C12701" s="1" t="n">
        <v>45810</v>
      </c>
      <c r="D12701" t="inlineStr">
        <is>
          <t>VÄRMLANDS LÄN</t>
        </is>
      </c>
      <c r="E12701" t="inlineStr">
        <is>
          <t>ÅRJÄNG</t>
        </is>
      </c>
      <c r="G12701" t="n">
        <v>4.4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59689-2023</t>
        </is>
      </c>
      <c r="B12702" s="1" t="n">
        <v>45256</v>
      </c>
      <c r="C12702" s="1" t="n">
        <v>45810</v>
      </c>
      <c r="D12702" t="inlineStr">
        <is>
          <t>VÄRMLANDS LÄN</t>
        </is>
      </c>
      <c r="E12702" t="inlineStr">
        <is>
          <t>ARVIKA</t>
        </is>
      </c>
      <c r="G12702" t="n">
        <v>2.7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59710-2023</t>
        </is>
      </c>
      <c r="B12703" s="1" t="n">
        <v>45257</v>
      </c>
      <c r="C12703" s="1" t="n">
        <v>45810</v>
      </c>
      <c r="D12703" t="inlineStr">
        <is>
          <t>VÄRMLANDS LÄN</t>
        </is>
      </c>
      <c r="E12703" t="inlineStr">
        <is>
          <t>ÅRJÄNG</t>
        </is>
      </c>
      <c r="G12703" t="n">
        <v>5.9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59714-2023</t>
        </is>
      </c>
      <c r="B12704" s="1" t="n">
        <v>45257</v>
      </c>
      <c r="C12704" s="1" t="n">
        <v>45810</v>
      </c>
      <c r="D12704" t="inlineStr">
        <is>
          <t>VÄRMLANDS LÄN</t>
        </is>
      </c>
      <c r="E12704" t="inlineStr">
        <is>
          <t>STORFORS</t>
        </is>
      </c>
      <c r="G12704" t="n">
        <v>0.8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59722-2023</t>
        </is>
      </c>
      <c r="B12705" s="1" t="n">
        <v>45257</v>
      </c>
      <c r="C12705" s="1" t="n">
        <v>45810</v>
      </c>
      <c r="D12705" t="inlineStr">
        <is>
          <t>VÄRMLANDS LÄN</t>
        </is>
      </c>
      <c r="E12705" t="inlineStr">
        <is>
          <t>GRUMS</t>
        </is>
      </c>
      <c r="G12705" t="n">
        <v>0.9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59784-2023</t>
        </is>
      </c>
      <c r="B12706" s="1" t="n">
        <v>45257</v>
      </c>
      <c r="C12706" s="1" t="n">
        <v>45810</v>
      </c>
      <c r="D12706" t="inlineStr">
        <is>
          <t>VÄRMLANDS LÄN</t>
        </is>
      </c>
      <c r="E12706" t="inlineStr">
        <is>
          <t>ÅRJÄNG</t>
        </is>
      </c>
      <c r="G12706" t="n">
        <v>3.1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59770-2023</t>
        </is>
      </c>
      <c r="B12707" s="1" t="n">
        <v>45257</v>
      </c>
      <c r="C12707" s="1" t="n">
        <v>45810</v>
      </c>
      <c r="D12707" t="inlineStr">
        <is>
          <t>VÄRMLANDS LÄN</t>
        </is>
      </c>
      <c r="E12707" t="inlineStr">
        <is>
          <t>EDA</t>
        </is>
      </c>
      <c r="G12707" t="n">
        <v>1.4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59787-2023</t>
        </is>
      </c>
      <c r="B12708" s="1" t="n">
        <v>45257</v>
      </c>
      <c r="C12708" s="1" t="n">
        <v>45810</v>
      </c>
      <c r="D12708" t="inlineStr">
        <is>
          <t>VÄRMLANDS LÄN</t>
        </is>
      </c>
      <c r="E12708" t="inlineStr">
        <is>
          <t>ARVIKA</t>
        </is>
      </c>
      <c r="G12708" t="n">
        <v>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59887-2023</t>
        </is>
      </c>
      <c r="B12709" s="1" t="n">
        <v>45257</v>
      </c>
      <c r="C12709" s="1" t="n">
        <v>45810</v>
      </c>
      <c r="D12709" t="inlineStr">
        <is>
          <t>VÄRMLANDS LÄN</t>
        </is>
      </c>
      <c r="E12709" t="inlineStr">
        <is>
          <t>ÅRJÄNG</t>
        </is>
      </c>
      <c r="G12709" t="n">
        <v>3.9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59899-2023</t>
        </is>
      </c>
      <c r="B12710" s="1" t="n">
        <v>45257</v>
      </c>
      <c r="C12710" s="1" t="n">
        <v>45810</v>
      </c>
      <c r="D12710" t="inlineStr">
        <is>
          <t>VÄRMLANDS LÄN</t>
        </is>
      </c>
      <c r="E12710" t="inlineStr">
        <is>
          <t>HAGFORS</t>
        </is>
      </c>
      <c r="F12710" t="inlineStr">
        <is>
          <t>Bergvik skog väst AB</t>
        </is>
      </c>
      <c r="G12710" t="n">
        <v>1.9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59930-2023</t>
        </is>
      </c>
      <c r="B12711" s="1" t="n">
        <v>45257</v>
      </c>
      <c r="C12711" s="1" t="n">
        <v>45810</v>
      </c>
      <c r="D12711" t="inlineStr">
        <is>
          <t>VÄRMLANDS LÄN</t>
        </is>
      </c>
      <c r="E12711" t="inlineStr">
        <is>
          <t>STORFORS</t>
        </is>
      </c>
      <c r="G12711" t="n">
        <v>2.9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59781-2023</t>
        </is>
      </c>
      <c r="B12712" s="1" t="n">
        <v>45257</v>
      </c>
      <c r="C12712" s="1" t="n">
        <v>45810</v>
      </c>
      <c r="D12712" t="inlineStr">
        <is>
          <t>VÄRMLANDS LÄN</t>
        </is>
      </c>
      <c r="E12712" t="inlineStr">
        <is>
          <t>TORSBY</t>
        </is>
      </c>
      <c r="G12712" t="n">
        <v>1.9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59874-2023</t>
        </is>
      </c>
      <c r="B12713" s="1" t="n">
        <v>45257</v>
      </c>
      <c r="C12713" s="1" t="n">
        <v>45810</v>
      </c>
      <c r="D12713" t="inlineStr">
        <is>
          <t>VÄRMLANDS LÄN</t>
        </is>
      </c>
      <c r="E12713" t="inlineStr">
        <is>
          <t>HAGFORS</t>
        </is>
      </c>
      <c r="F12713" t="inlineStr">
        <is>
          <t>Bergvik skog väst AB</t>
        </is>
      </c>
      <c r="G12713" t="n">
        <v>1.9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59895-2023</t>
        </is>
      </c>
      <c r="B12714" s="1" t="n">
        <v>45257</v>
      </c>
      <c r="C12714" s="1" t="n">
        <v>45810</v>
      </c>
      <c r="D12714" t="inlineStr">
        <is>
          <t>VÄRMLANDS LÄN</t>
        </is>
      </c>
      <c r="E12714" t="inlineStr">
        <is>
          <t>HAGFORS</t>
        </is>
      </c>
      <c r="F12714" t="inlineStr">
        <is>
          <t>Bergvik skog väst AB</t>
        </is>
      </c>
      <c r="G12714" t="n">
        <v>2.5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59755-2023</t>
        </is>
      </c>
      <c r="B12715" s="1" t="n">
        <v>45257</v>
      </c>
      <c r="C12715" s="1" t="n">
        <v>45810</v>
      </c>
      <c r="D12715" t="inlineStr">
        <is>
          <t>VÄRMLANDS LÄN</t>
        </is>
      </c>
      <c r="E12715" t="inlineStr">
        <is>
          <t>ARVIKA</t>
        </is>
      </c>
      <c r="G12715" t="n">
        <v>3.1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59735-2023</t>
        </is>
      </c>
      <c r="B12716" s="1" t="n">
        <v>45257</v>
      </c>
      <c r="C12716" s="1" t="n">
        <v>45810</v>
      </c>
      <c r="D12716" t="inlineStr">
        <is>
          <t>VÄRMLANDS LÄN</t>
        </is>
      </c>
      <c r="E12716" t="inlineStr">
        <is>
          <t>HAGFORS</t>
        </is>
      </c>
      <c r="G12716" t="n">
        <v>1.2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59727-2023</t>
        </is>
      </c>
      <c r="B12717" s="1" t="n">
        <v>45257</v>
      </c>
      <c r="C12717" s="1" t="n">
        <v>45810</v>
      </c>
      <c r="D12717" t="inlineStr">
        <is>
          <t>VÄRMLANDS LÄN</t>
        </is>
      </c>
      <c r="E12717" t="inlineStr">
        <is>
          <t>GRUMS</t>
        </is>
      </c>
      <c r="F12717" t="inlineStr">
        <is>
          <t>Bergvik skog väst AB</t>
        </is>
      </c>
      <c r="G12717" t="n">
        <v>4.2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59989-2023</t>
        </is>
      </c>
      <c r="B12718" s="1" t="n">
        <v>45257</v>
      </c>
      <c r="C12718" s="1" t="n">
        <v>45810</v>
      </c>
      <c r="D12718" t="inlineStr">
        <is>
          <t>VÄRMLANDS LÄN</t>
        </is>
      </c>
      <c r="E12718" t="inlineStr">
        <is>
          <t>EDA</t>
        </is>
      </c>
      <c r="G12718" t="n">
        <v>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60296-2023</t>
        </is>
      </c>
      <c r="B12719" s="1" t="n">
        <v>45257</v>
      </c>
      <c r="C12719" s="1" t="n">
        <v>45810</v>
      </c>
      <c r="D12719" t="inlineStr">
        <is>
          <t>VÄRMLANDS LÄN</t>
        </is>
      </c>
      <c r="E12719" t="inlineStr">
        <is>
          <t>FILIPSTAD</t>
        </is>
      </c>
      <c r="G12719" t="n">
        <v>1.4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60191-2023</t>
        </is>
      </c>
      <c r="B12720" s="1" t="n">
        <v>45257</v>
      </c>
      <c r="C12720" s="1" t="n">
        <v>45810</v>
      </c>
      <c r="D12720" t="inlineStr">
        <is>
          <t>VÄRMLANDS LÄN</t>
        </is>
      </c>
      <c r="E12720" t="inlineStr">
        <is>
          <t>ÅRJÄNG</t>
        </is>
      </c>
      <c r="G12720" t="n">
        <v>7.6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60202-2023</t>
        </is>
      </c>
      <c r="B12721" s="1" t="n">
        <v>45257</v>
      </c>
      <c r="C12721" s="1" t="n">
        <v>45810</v>
      </c>
      <c r="D12721" t="inlineStr">
        <is>
          <t>VÄRMLANDS LÄN</t>
        </is>
      </c>
      <c r="E12721" t="inlineStr">
        <is>
          <t>ÅRJÄNG</t>
        </is>
      </c>
      <c r="G12721" t="n">
        <v>1.2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59941-2023</t>
        </is>
      </c>
      <c r="B12722" s="1" t="n">
        <v>45257</v>
      </c>
      <c r="C12722" s="1" t="n">
        <v>45810</v>
      </c>
      <c r="D12722" t="inlineStr">
        <is>
          <t>VÄRMLANDS LÄN</t>
        </is>
      </c>
      <c r="E12722" t="inlineStr">
        <is>
          <t>TORSBY</t>
        </is>
      </c>
      <c r="G12722" t="n">
        <v>1.2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59822-2023</t>
        </is>
      </c>
      <c r="B12723" s="1" t="n">
        <v>45257</v>
      </c>
      <c r="C12723" s="1" t="n">
        <v>45810</v>
      </c>
      <c r="D12723" t="inlineStr">
        <is>
          <t>VÄRMLANDS LÄN</t>
        </is>
      </c>
      <c r="E12723" t="inlineStr">
        <is>
          <t>HAGFORS</t>
        </is>
      </c>
      <c r="F12723" t="inlineStr">
        <is>
          <t>Bergvik skog väst AB</t>
        </is>
      </c>
      <c r="G12723" t="n">
        <v>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59872-2023</t>
        </is>
      </c>
      <c r="B12724" s="1" t="n">
        <v>45257</v>
      </c>
      <c r="C12724" s="1" t="n">
        <v>45810</v>
      </c>
      <c r="D12724" t="inlineStr">
        <is>
          <t>VÄRMLANDS LÄN</t>
        </is>
      </c>
      <c r="E12724" t="inlineStr">
        <is>
          <t>TORSBY</t>
        </is>
      </c>
      <c r="F12724" t="inlineStr">
        <is>
          <t>Bergvik skog väst AB</t>
        </is>
      </c>
      <c r="G12724" t="n">
        <v>3.1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59881-2023</t>
        </is>
      </c>
      <c r="B12725" s="1" t="n">
        <v>45257</v>
      </c>
      <c r="C12725" s="1" t="n">
        <v>45810</v>
      </c>
      <c r="D12725" t="inlineStr">
        <is>
          <t>VÄRMLANDS LÄN</t>
        </is>
      </c>
      <c r="E12725" t="inlineStr">
        <is>
          <t>HAGFORS</t>
        </is>
      </c>
      <c r="F12725" t="inlineStr">
        <is>
          <t>Bergvik skog väst AB</t>
        </is>
      </c>
      <c r="G12725" t="n">
        <v>5.9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59937-2023</t>
        </is>
      </c>
      <c r="B12726" s="1" t="n">
        <v>45257</v>
      </c>
      <c r="C12726" s="1" t="n">
        <v>45810</v>
      </c>
      <c r="D12726" t="inlineStr">
        <is>
          <t>VÄRMLANDS LÄN</t>
        </is>
      </c>
      <c r="E12726" t="inlineStr">
        <is>
          <t>ÅRJÄNG</t>
        </is>
      </c>
      <c r="G12726" t="n">
        <v>2.6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60207-2023</t>
        </is>
      </c>
      <c r="B12727" s="1" t="n">
        <v>45257</v>
      </c>
      <c r="C12727" s="1" t="n">
        <v>45810</v>
      </c>
      <c r="D12727" t="inlineStr">
        <is>
          <t>VÄRMLANDS LÄN</t>
        </is>
      </c>
      <c r="E12727" t="inlineStr">
        <is>
          <t>ÅRJÄNG</t>
        </is>
      </c>
      <c r="G12727" t="n">
        <v>1.5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60172-2023</t>
        </is>
      </c>
      <c r="B12728" s="1" t="n">
        <v>45257</v>
      </c>
      <c r="C12728" s="1" t="n">
        <v>45810</v>
      </c>
      <c r="D12728" t="inlineStr">
        <is>
          <t>VÄRMLANDS LÄN</t>
        </is>
      </c>
      <c r="E12728" t="inlineStr">
        <is>
          <t>ÅRJÄNG</t>
        </is>
      </c>
      <c r="G12728" t="n">
        <v>2.1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60019-2023</t>
        </is>
      </c>
      <c r="B12729" s="1" t="n">
        <v>45258</v>
      </c>
      <c r="C12729" s="1" t="n">
        <v>45810</v>
      </c>
      <c r="D12729" t="inlineStr">
        <is>
          <t>VÄRMLANDS LÄN</t>
        </is>
      </c>
      <c r="E12729" t="inlineStr">
        <is>
          <t>SÄFFLE</t>
        </is>
      </c>
      <c r="G12729" t="n">
        <v>7.4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60058-2023</t>
        </is>
      </c>
      <c r="B12730" s="1" t="n">
        <v>45258</v>
      </c>
      <c r="C12730" s="1" t="n">
        <v>45810</v>
      </c>
      <c r="D12730" t="inlineStr">
        <is>
          <t>VÄRMLANDS LÄN</t>
        </is>
      </c>
      <c r="E12730" t="inlineStr">
        <is>
          <t>TORSBY</t>
        </is>
      </c>
      <c r="G12730" t="n">
        <v>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60018-2023</t>
        </is>
      </c>
      <c r="B12731" s="1" t="n">
        <v>45258</v>
      </c>
      <c r="C12731" s="1" t="n">
        <v>45810</v>
      </c>
      <c r="D12731" t="inlineStr">
        <is>
          <t>VÄRMLANDS LÄN</t>
        </is>
      </c>
      <c r="E12731" t="inlineStr">
        <is>
          <t>SÄFFLE</t>
        </is>
      </c>
      <c r="G12731" t="n">
        <v>5.6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60022-2023</t>
        </is>
      </c>
      <c r="B12732" s="1" t="n">
        <v>45258</v>
      </c>
      <c r="C12732" s="1" t="n">
        <v>45810</v>
      </c>
      <c r="D12732" t="inlineStr">
        <is>
          <t>VÄRMLANDS LÄN</t>
        </is>
      </c>
      <c r="E12732" t="inlineStr">
        <is>
          <t>KARLSTAD</t>
        </is>
      </c>
      <c r="G12732" t="n">
        <v>0.8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60046-2023</t>
        </is>
      </c>
      <c r="B12733" s="1" t="n">
        <v>45258</v>
      </c>
      <c r="C12733" s="1" t="n">
        <v>45810</v>
      </c>
      <c r="D12733" t="inlineStr">
        <is>
          <t>VÄRMLANDS LÄN</t>
        </is>
      </c>
      <c r="E12733" t="inlineStr">
        <is>
          <t>TORSBY</t>
        </is>
      </c>
      <c r="G12733" t="n">
        <v>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60100-2023</t>
        </is>
      </c>
      <c r="B12734" s="1" t="n">
        <v>45258</v>
      </c>
      <c r="C12734" s="1" t="n">
        <v>45810</v>
      </c>
      <c r="D12734" t="inlineStr">
        <is>
          <t>VÄRMLANDS LÄN</t>
        </is>
      </c>
      <c r="E12734" t="inlineStr">
        <is>
          <t>TORSBY</t>
        </is>
      </c>
      <c r="F12734" t="inlineStr">
        <is>
          <t>Bergvik skog väst AB</t>
        </is>
      </c>
      <c r="G12734" t="n">
        <v>2.2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60178-2023</t>
        </is>
      </c>
      <c r="B12735" s="1" t="n">
        <v>45258</v>
      </c>
      <c r="C12735" s="1" t="n">
        <v>45810</v>
      </c>
      <c r="D12735" t="inlineStr">
        <is>
          <t>VÄRMLANDS LÄN</t>
        </is>
      </c>
      <c r="E12735" t="inlineStr">
        <is>
          <t>HAGFORS</t>
        </is>
      </c>
      <c r="F12735" t="inlineStr">
        <is>
          <t>Bergvik skog väst AB</t>
        </is>
      </c>
      <c r="G12735" t="n">
        <v>2.1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60186-2023</t>
        </is>
      </c>
      <c r="B12736" s="1" t="n">
        <v>45258</v>
      </c>
      <c r="C12736" s="1" t="n">
        <v>45810</v>
      </c>
      <c r="D12736" t="inlineStr">
        <is>
          <t>VÄRMLANDS LÄN</t>
        </is>
      </c>
      <c r="E12736" t="inlineStr">
        <is>
          <t>KRISTINEHAMN</t>
        </is>
      </c>
      <c r="G12736" t="n">
        <v>1.6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60020-2023</t>
        </is>
      </c>
      <c r="B12737" s="1" t="n">
        <v>45258</v>
      </c>
      <c r="C12737" s="1" t="n">
        <v>45810</v>
      </c>
      <c r="D12737" t="inlineStr">
        <is>
          <t>VÄRMLANDS LÄN</t>
        </is>
      </c>
      <c r="E12737" t="inlineStr">
        <is>
          <t>KARLSTAD</t>
        </is>
      </c>
      <c r="G12737" t="n">
        <v>0.9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60088-2023</t>
        </is>
      </c>
      <c r="B12738" s="1" t="n">
        <v>45258</v>
      </c>
      <c r="C12738" s="1" t="n">
        <v>45810</v>
      </c>
      <c r="D12738" t="inlineStr">
        <is>
          <t>VÄRMLANDS LÄN</t>
        </is>
      </c>
      <c r="E12738" t="inlineStr">
        <is>
          <t>TORSBY</t>
        </is>
      </c>
      <c r="F12738" t="inlineStr">
        <is>
          <t>Bergvik skog väst AB</t>
        </is>
      </c>
      <c r="G12738" t="n">
        <v>2.2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60025-2023</t>
        </is>
      </c>
      <c r="B12739" s="1" t="n">
        <v>45258</v>
      </c>
      <c r="C12739" s="1" t="n">
        <v>45810</v>
      </c>
      <c r="D12739" t="inlineStr">
        <is>
          <t>VÄRMLANDS LÄN</t>
        </is>
      </c>
      <c r="E12739" t="inlineStr">
        <is>
          <t>KARLSTAD</t>
        </is>
      </c>
      <c r="G12739" t="n">
        <v>0.8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60167-2023</t>
        </is>
      </c>
      <c r="B12740" s="1" t="n">
        <v>45258</v>
      </c>
      <c r="C12740" s="1" t="n">
        <v>45810</v>
      </c>
      <c r="D12740" t="inlineStr">
        <is>
          <t>VÄRMLANDS LÄN</t>
        </is>
      </c>
      <c r="E12740" t="inlineStr">
        <is>
          <t>HAGFORS</t>
        </is>
      </c>
      <c r="G12740" t="n">
        <v>0.4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60240-2023</t>
        </is>
      </c>
      <c r="B12741" s="1" t="n">
        <v>45258</v>
      </c>
      <c r="C12741" s="1" t="n">
        <v>45810</v>
      </c>
      <c r="D12741" t="inlineStr">
        <is>
          <t>VÄRMLANDS LÄN</t>
        </is>
      </c>
      <c r="E12741" t="inlineStr">
        <is>
          <t>FILIPSTAD</t>
        </is>
      </c>
      <c r="F12741" t="inlineStr">
        <is>
          <t>Bergvik skog väst AB</t>
        </is>
      </c>
      <c r="G12741" t="n">
        <v>2.3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60133-2023</t>
        </is>
      </c>
      <c r="B12742" s="1" t="n">
        <v>45258</v>
      </c>
      <c r="C12742" s="1" t="n">
        <v>45810</v>
      </c>
      <c r="D12742" t="inlineStr">
        <is>
          <t>VÄRMLANDS LÄN</t>
        </is>
      </c>
      <c r="E12742" t="inlineStr">
        <is>
          <t>TORSBY</t>
        </is>
      </c>
      <c r="F12742" t="inlineStr">
        <is>
          <t>Bergvik skog väst AB</t>
        </is>
      </c>
      <c r="G12742" t="n">
        <v>0.6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60163-2023</t>
        </is>
      </c>
      <c r="B12743" s="1" t="n">
        <v>45258</v>
      </c>
      <c r="C12743" s="1" t="n">
        <v>45810</v>
      </c>
      <c r="D12743" t="inlineStr">
        <is>
          <t>VÄRMLANDS LÄN</t>
        </is>
      </c>
      <c r="E12743" t="inlineStr">
        <is>
          <t>KARLSTAD</t>
        </is>
      </c>
      <c r="G12743" t="n">
        <v>2.3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60170-2023</t>
        </is>
      </c>
      <c r="B12744" s="1" t="n">
        <v>45258</v>
      </c>
      <c r="C12744" s="1" t="n">
        <v>45810</v>
      </c>
      <c r="D12744" t="inlineStr">
        <is>
          <t>VÄRMLANDS LÄN</t>
        </is>
      </c>
      <c r="E12744" t="inlineStr">
        <is>
          <t>FORSHAGA</t>
        </is>
      </c>
      <c r="F12744" t="inlineStr">
        <is>
          <t>Bergvik skog väst AB</t>
        </is>
      </c>
      <c r="G12744" t="n">
        <v>3.2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60184-2023</t>
        </is>
      </c>
      <c r="B12745" s="1" t="n">
        <v>45258</v>
      </c>
      <c r="C12745" s="1" t="n">
        <v>45810</v>
      </c>
      <c r="D12745" t="inlineStr">
        <is>
          <t>VÄRMLANDS LÄN</t>
        </is>
      </c>
      <c r="E12745" t="inlineStr">
        <is>
          <t>KARLSTAD</t>
        </is>
      </c>
      <c r="G12745" t="n">
        <v>1.3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60221-2023</t>
        </is>
      </c>
      <c r="B12746" s="1" t="n">
        <v>45258</v>
      </c>
      <c r="C12746" s="1" t="n">
        <v>45810</v>
      </c>
      <c r="D12746" t="inlineStr">
        <is>
          <t>VÄRMLANDS LÄN</t>
        </is>
      </c>
      <c r="E12746" t="inlineStr">
        <is>
          <t>HAGFORS</t>
        </is>
      </c>
      <c r="F12746" t="inlineStr">
        <is>
          <t>Bergvik skog väst AB</t>
        </is>
      </c>
      <c r="G12746" t="n">
        <v>1.4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60314-2023</t>
        </is>
      </c>
      <c r="B12747" s="1" t="n">
        <v>45258</v>
      </c>
      <c r="C12747" s="1" t="n">
        <v>45810</v>
      </c>
      <c r="D12747" t="inlineStr">
        <is>
          <t>VÄRMLANDS LÄN</t>
        </is>
      </c>
      <c r="E12747" t="inlineStr">
        <is>
          <t>TORSBY</t>
        </is>
      </c>
      <c r="G12747" t="n">
        <v>0.1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60278-2023</t>
        </is>
      </c>
      <c r="B12748" s="1" t="n">
        <v>45258</v>
      </c>
      <c r="C12748" s="1" t="n">
        <v>45810</v>
      </c>
      <c r="D12748" t="inlineStr">
        <is>
          <t>VÄRMLANDS LÄN</t>
        </is>
      </c>
      <c r="E12748" t="inlineStr">
        <is>
          <t>EDA</t>
        </is>
      </c>
      <c r="G12748" t="n">
        <v>0.7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60350-2023</t>
        </is>
      </c>
      <c r="B12749" s="1" t="n">
        <v>45258</v>
      </c>
      <c r="C12749" s="1" t="n">
        <v>45810</v>
      </c>
      <c r="D12749" t="inlineStr">
        <is>
          <t>VÄRMLANDS LÄN</t>
        </is>
      </c>
      <c r="E12749" t="inlineStr">
        <is>
          <t>FILIPSTAD</t>
        </is>
      </c>
      <c r="G12749" t="n">
        <v>5.4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60377-2023</t>
        </is>
      </c>
      <c r="B12750" s="1" t="n">
        <v>45259</v>
      </c>
      <c r="C12750" s="1" t="n">
        <v>45810</v>
      </c>
      <c r="D12750" t="inlineStr">
        <is>
          <t>VÄRMLANDS LÄN</t>
        </is>
      </c>
      <c r="E12750" t="inlineStr">
        <is>
          <t>ÅRJÄNG</t>
        </is>
      </c>
      <c r="G12750" t="n">
        <v>3.1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60430-2023</t>
        </is>
      </c>
      <c r="B12751" s="1" t="n">
        <v>45259</v>
      </c>
      <c r="C12751" s="1" t="n">
        <v>45810</v>
      </c>
      <c r="D12751" t="inlineStr">
        <is>
          <t>VÄRMLANDS LÄN</t>
        </is>
      </c>
      <c r="E12751" t="inlineStr">
        <is>
          <t>KARLSTAD</t>
        </is>
      </c>
      <c r="G12751" t="n">
        <v>3.3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60523-2023</t>
        </is>
      </c>
      <c r="B12752" s="1" t="n">
        <v>45259</v>
      </c>
      <c r="C12752" s="1" t="n">
        <v>45810</v>
      </c>
      <c r="D12752" t="inlineStr">
        <is>
          <t>VÄRMLANDS LÄN</t>
        </is>
      </c>
      <c r="E12752" t="inlineStr">
        <is>
          <t>TORSBY</t>
        </is>
      </c>
      <c r="G12752" t="n">
        <v>1.9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60531-2023</t>
        </is>
      </c>
      <c r="B12753" s="1" t="n">
        <v>45259</v>
      </c>
      <c r="C12753" s="1" t="n">
        <v>45810</v>
      </c>
      <c r="D12753" t="inlineStr">
        <is>
          <t>VÄRMLANDS LÄN</t>
        </is>
      </c>
      <c r="E12753" t="inlineStr">
        <is>
          <t>SUNNE</t>
        </is>
      </c>
      <c r="G12753" t="n">
        <v>2.6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60344-2023</t>
        </is>
      </c>
      <c r="B12754" s="1" t="n">
        <v>45259</v>
      </c>
      <c r="C12754" s="1" t="n">
        <v>45810</v>
      </c>
      <c r="D12754" t="inlineStr">
        <is>
          <t>VÄRMLANDS LÄN</t>
        </is>
      </c>
      <c r="E12754" t="inlineStr">
        <is>
          <t>ARVIKA</t>
        </is>
      </c>
      <c r="G12754" t="n">
        <v>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60486-2023</t>
        </is>
      </c>
      <c r="B12755" s="1" t="n">
        <v>45259</v>
      </c>
      <c r="C12755" s="1" t="n">
        <v>45810</v>
      </c>
      <c r="D12755" t="inlineStr">
        <is>
          <t>VÄRMLANDS LÄN</t>
        </is>
      </c>
      <c r="E12755" t="inlineStr">
        <is>
          <t>TORSBY</t>
        </is>
      </c>
      <c r="G12755" t="n">
        <v>0.8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60366-2023</t>
        </is>
      </c>
      <c r="B12756" s="1" t="n">
        <v>45259</v>
      </c>
      <c r="C12756" s="1" t="n">
        <v>45810</v>
      </c>
      <c r="D12756" t="inlineStr">
        <is>
          <t>VÄRMLANDS LÄN</t>
        </is>
      </c>
      <c r="E12756" t="inlineStr">
        <is>
          <t>ARVIKA</t>
        </is>
      </c>
      <c r="G12756" t="n">
        <v>4.9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60381-2023</t>
        </is>
      </c>
      <c r="B12757" s="1" t="n">
        <v>45259</v>
      </c>
      <c r="C12757" s="1" t="n">
        <v>45810</v>
      </c>
      <c r="D12757" t="inlineStr">
        <is>
          <t>VÄRMLANDS LÄN</t>
        </is>
      </c>
      <c r="E12757" t="inlineStr">
        <is>
          <t>ÅRJÄNG</t>
        </is>
      </c>
      <c r="G12757" t="n">
        <v>1.7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60525-2023</t>
        </is>
      </c>
      <c r="B12758" s="1" t="n">
        <v>45259</v>
      </c>
      <c r="C12758" s="1" t="n">
        <v>45810</v>
      </c>
      <c r="D12758" t="inlineStr">
        <is>
          <t>VÄRMLANDS LÄN</t>
        </is>
      </c>
      <c r="E12758" t="inlineStr">
        <is>
          <t>TORSBY</t>
        </is>
      </c>
      <c r="G12758" t="n">
        <v>3.1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60539-2023</t>
        </is>
      </c>
      <c r="B12759" s="1" t="n">
        <v>45259</v>
      </c>
      <c r="C12759" s="1" t="n">
        <v>45810</v>
      </c>
      <c r="D12759" t="inlineStr">
        <is>
          <t>VÄRMLANDS LÄN</t>
        </is>
      </c>
      <c r="E12759" t="inlineStr">
        <is>
          <t>SUNNE</t>
        </is>
      </c>
      <c r="G12759" t="n">
        <v>5.5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60541-2023</t>
        </is>
      </c>
      <c r="B12760" s="1" t="n">
        <v>45259</v>
      </c>
      <c r="C12760" s="1" t="n">
        <v>45810</v>
      </c>
      <c r="D12760" t="inlineStr">
        <is>
          <t>VÄRMLANDS LÄN</t>
        </is>
      </c>
      <c r="E12760" t="inlineStr">
        <is>
          <t>SUNNE</t>
        </is>
      </c>
      <c r="G12760" t="n">
        <v>11.1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60549-2023</t>
        </is>
      </c>
      <c r="B12761" s="1" t="n">
        <v>45259</v>
      </c>
      <c r="C12761" s="1" t="n">
        <v>45810</v>
      </c>
      <c r="D12761" t="inlineStr">
        <is>
          <t>VÄRMLANDS LÄN</t>
        </is>
      </c>
      <c r="E12761" t="inlineStr">
        <is>
          <t>ÅRJÄNG</t>
        </is>
      </c>
      <c r="G12761" t="n">
        <v>2.2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60664-2023</t>
        </is>
      </c>
      <c r="B12762" s="1" t="n">
        <v>45259</v>
      </c>
      <c r="C12762" s="1" t="n">
        <v>45810</v>
      </c>
      <c r="D12762" t="inlineStr">
        <is>
          <t>VÄRMLANDS LÄN</t>
        </is>
      </c>
      <c r="E12762" t="inlineStr">
        <is>
          <t>HAGFORS</t>
        </is>
      </c>
      <c r="G12762" t="n">
        <v>2.2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60593-2023</t>
        </is>
      </c>
      <c r="B12763" s="1" t="n">
        <v>45260</v>
      </c>
      <c r="C12763" s="1" t="n">
        <v>45810</v>
      </c>
      <c r="D12763" t="inlineStr">
        <is>
          <t>VÄRMLANDS LÄN</t>
        </is>
      </c>
      <c r="E12763" t="inlineStr">
        <is>
          <t>ARVIKA</t>
        </is>
      </c>
      <c r="G12763" t="n">
        <v>2.7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60728-2023</t>
        </is>
      </c>
      <c r="B12764" s="1" t="n">
        <v>45260</v>
      </c>
      <c r="C12764" s="1" t="n">
        <v>45810</v>
      </c>
      <c r="D12764" t="inlineStr">
        <is>
          <t>VÄRMLANDS LÄN</t>
        </is>
      </c>
      <c r="E12764" t="inlineStr">
        <is>
          <t>MUNKFORS</t>
        </is>
      </c>
      <c r="G12764" t="n">
        <v>1.6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60609-2023</t>
        </is>
      </c>
      <c r="B12765" s="1" t="n">
        <v>45260</v>
      </c>
      <c r="C12765" s="1" t="n">
        <v>45810</v>
      </c>
      <c r="D12765" t="inlineStr">
        <is>
          <t>VÄRMLANDS LÄN</t>
        </is>
      </c>
      <c r="E12765" t="inlineStr">
        <is>
          <t>KARLSTAD</t>
        </is>
      </c>
      <c r="G12765" t="n">
        <v>3.6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60689-2023</t>
        </is>
      </c>
      <c r="B12766" s="1" t="n">
        <v>45260</v>
      </c>
      <c r="C12766" s="1" t="n">
        <v>45810</v>
      </c>
      <c r="D12766" t="inlineStr">
        <is>
          <t>VÄRMLANDS LÄN</t>
        </is>
      </c>
      <c r="E12766" t="inlineStr">
        <is>
          <t>SUNNE</t>
        </is>
      </c>
      <c r="G12766" t="n">
        <v>0.9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60693-2023</t>
        </is>
      </c>
      <c r="B12767" s="1" t="n">
        <v>45260</v>
      </c>
      <c r="C12767" s="1" t="n">
        <v>45810</v>
      </c>
      <c r="D12767" t="inlineStr">
        <is>
          <t>VÄRMLANDS LÄN</t>
        </is>
      </c>
      <c r="E12767" t="inlineStr">
        <is>
          <t>ARVIKA</t>
        </is>
      </c>
      <c r="F12767" t="inlineStr">
        <is>
          <t>Bergvik skog väst AB</t>
        </is>
      </c>
      <c r="G12767" t="n">
        <v>13.2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60735-2023</t>
        </is>
      </c>
      <c r="B12768" s="1" t="n">
        <v>45260</v>
      </c>
      <c r="C12768" s="1" t="n">
        <v>45810</v>
      </c>
      <c r="D12768" t="inlineStr">
        <is>
          <t>VÄRMLANDS LÄN</t>
        </is>
      </c>
      <c r="E12768" t="inlineStr">
        <is>
          <t>ARVIKA</t>
        </is>
      </c>
      <c r="G12768" t="n">
        <v>1.2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60827-2023</t>
        </is>
      </c>
      <c r="B12769" s="1" t="n">
        <v>45260</v>
      </c>
      <c r="C12769" s="1" t="n">
        <v>45810</v>
      </c>
      <c r="D12769" t="inlineStr">
        <is>
          <t>VÄRMLANDS LÄN</t>
        </is>
      </c>
      <c r="E12769" t="inlineStr">
        <is>
          <t>SUNNE</t>
        </is>
      </c>
      <c r="G12769" t="n">
        <v>2.1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60696-2023</t>
        </is>
      </c>
      <c r="B12770" s="1" t="n">
        <v>45260</v>
      </c>
      <c r="C12770" s="1" t="n">
        <v>45810</v>
      </c>
      <c r="D12770" t="inlineStr">
        <is>
          <t>VÄRMLANDS LÄN</t>
        </is>
      </c>
      <c r="E12770" t="inlineStr">
        <is>
          <t>SUNNE</t>
        </is>
      </c>
      <c r="G12770" t="n">
        <v>0.6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60738-2023</t>
        </is>
      </c>
      <c r="B12771" s="1" t="n">
        <v>45260</v>
      </c>
      <c r="C12771" s="1" t="n">
        <v>45810</v>
      </c>
      <c r="D12771" t="inlineStr">
        <is>
          <t>VÄRMLANDS LÄN</t>
        </is>
      </c>
      <c r="E12771" t="inlineStr">
        <is>
          <t>KRISTINEHAMN</t>
        </is>
      </c>
      <c r="G12771" t="n">
        <v>0.8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60872-2023</t>
        </is>
      </c>
      <c r="B12772" s="1" t="n">
        <v>45261</v>
      </c>
      <c r="C12772" s="1" t="n">
        <v>45810</v>
      </c>
      <c r="D12772" t="inlineStr">
        <is>
          <t>VÄRMLANDS LÄN</t>
        </is>
      </c>
      <c r="E12772" t="inlineStr">
        <is>
          <t>EDA</t>
        </is>
      </c>
      <c r="G12772" t="n">
        <v>2.4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61095-2023</t>
        </is>
      </c>
      <c r="B12773" s="1" t="n">
        <v>45260</v>
      </c>
      <c r="C12773" s="1" t="n">
        <v>45810</v>
      </c>
      <c r="D12773" t="inlineStr">
        <is>
          <t>VÄRMLANDS LÄN</t>
        </is>
      </c>
      <c r="E12773" t="inlineStr">
        <is>
          <t>KARLSTAD</t>
        </is>
      </c>
      <c r="G12773" t="n">
        <v>10.4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61111-2023</t>
        </is>
      </c>
      <c r="B12774" s="1" t="n">
        <v>45260</v>
      </c>
      <c r="C12774" s="1" t="n">
        <v>45810</v>
      </c>
      <c r="D12774" t="inlineStr">
        <is>
          <t>VÄRMLANDS LÄN</t>
        </is>
      </c>
      <c r="E12774" t="inlineStr">
        <is>
          <t>KARLSTAD</t>
        </is>
      </c>
      <c r="G12774" t="n">
        <v>10.6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61084-2023</t>
        </is>
      </c>
      <c r="B12775" s="1" t="n">
        <v>45260</v>
      </c>
      <c r="C12775" s="1" t="n">
        <v>45810</v>
      </c>
      <c r="D12775" t="inlineStr">
        <is>
          <t>VÄRMLANDS LÄN</t>
        </is>
      </c>
      <c r="E12775" t="inlineStr">
        <is>
          <t>KARLSTAD</t>
        </is>
      </c>
      <c r="G12775" t="n">
        <v>5.5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61102-2023</t>
        </is>
      </c>
      <c r="B12776" s="1" t="n">
        <v>45260</v>
      </c>
      <c r="C12776" s="1" t="n">
        <v>45810</v>
      </c>
      <c r="D12776" t="inlineStr">
        <is>
          <t>VÄRMLANDS LÄN</t>
        </is>
      </c>
      <c r="E12776" t="inlineStr">
        <is>
          <t>KARLSTAD</t>
        </is>
      </c>
      <c r="G12776" t="n">
        <v>1.8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61112-2023</t>
        </is>
      </c>
      <c r="B12777" s="1" t="n">
        <v>45260</v>
      </c>
      <c r="C12777" s="1" t="n">
        <v>45810</v>
      </c>
      <c r="D12777" t="inlineStr">
        <is>
          <t>VÄRMLANDS LÄN</t>
        </is>
      </c>
      <c r="E12777" t="inlineStr">
        <is>
          <t>KARLSTAD</t>
        </is>
      </c>
      <c r="G12777" t="n">
        <v>5.4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61070-2023</t>
        </is>
      </c>
      <c r="B12778" s="1" t="n">
        <v>45260</v>
      </c>
      <c r="C12778" s="1" t="n">
        <v>45810</v>
      </c>
      <c r="D12778" t="inlineStr">
        <is>
          <t>VÄRMLANDS LÄN</t>
        </is>
      </c>
      <c r="E12778" t="inlineStr">
        <is>
          <t>KARLSTAD</t>
        </is>
      </c>
      <c r="G12778" t="n">
        <v>7.5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61108-2023</t>
        </is>
      </c>
      <c r="B12779" s="1" t="n">
        <v>45260</v>
      </c>
      <c r="C12779" s="1" t="n">
        <v>45810</v>
      </c>
      <c r="D12779" t="inlineStr">
        <is>
          <t>VÄRMLANDS LÄN</t>
        </is>
      </c>
      <c r="E12779" t="inlineStr">
        <is>
          <t>KARLSTAD</t>
        </is>
      </c>
      <c r="G12779" t="n">
        <v>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61293-2023</t>
        </is>
      </c>
      <c r="B12780" s="1" t="n">
        <v>45260</v>
      </c>
      <c r="C12780" s="1" t="n">
        <v>45810</v>
      </c>
      <c r="D12780" t="inlineStr">
        <is>
          <t>VÄRMLANDS LÄN</t>
        </is>
      </c>
      <c r="E12780" t="inlineStr">
        <is>
          <t>EDA</t>
        </is>
      </c>
      <c r="G12780" t="n">
        <v>2.6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61106-2023</t>
        </is>
      </c>
      <c r="B12781" s="1" t="n">
        <v>45260</v>
      </c>
      <c r="C12781" s="1" t="n">
        <v>45810</v>
      </c>
      <c r="D12781" t="inlineStr">
        <is>
          <t>VÄRMLANDS LÄN</t>
        </is>
      </c>
      <c r="E12781" t="inlineStr">
        <is>
          <t>KARLSTAD</t>
        </is>
      </c>
      <c r="G12781" t="n">
        <v>1.6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60893-2023</t>
        </is>
      </c>
      <c r="B12782" s="1" t="n">
        <v>45261</v>
      </c>
      <c r="C12782" s="1" t="n">
        <v>45810</v>
      </c>
      <c r="D12782" t="inlineStr">
        <is>
          <t>VÄRMLANDS LÄN</t>
        </is>
      </c>
      <c r="E12782" t="inlineStr">
        <is>
          <t>EDA</t>
        </is>
      </c>
      <c r="G12782" t="n">
        <v>5.6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60887-2023</t>
        </is>
      </c>
      <c r="B12783" s="1" t="n">
        <v>45261</v>
      </c>
      <c r="C12783" s="1" t="n">
        <v>45810</v>
      </c>
      <c r="D12783" t="inlineStr">
        <is>
          <t>VÄRMLANDS LÄN</t>
        </is>
      </c>
      <c r="E12783" t="inlineStr">
        <is>
          <t>EDA</t>
        </is>
      </c>
      <c r="G12783" t="n">
        <v>1.1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60886-2023</t>
        </is>
      </c>
      <c r="B12784" s="1" t="n">
        <v>45261</v>
      </c>
      <c r="C12784" s="1" t="n">
        <v>45810</v>
      </c>
      <c r="D12784" t="inlineStr">
        <is>
          <t>VÄRMLANDS LÄN</t>
        </is>
      </c>
      <c r="E12784" t="inlineStr">
        <is>
          <t>ÅRJÄNG</t>
        </is>
      </c>
      <c r="G12784" t="n">
        <v>2.9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60903-2023</t>
        </is>
      </c>
      <c r="B12785" s="1" t="n">
        <v>45261</v>
      </c>
      <c r="C12785" s="1" t="n">
        <v>45810</v>
      </c>
      <c r="D12785" t="inlineStr">
        <is>
          <t>VÄRMLANDS LÄN</t>
        </is>
      </c>
      <c r="E12785" t="inlineStr">
        <is>
          <t>ÅRJÄNG</t>
        </is>
      </c>
      <c r="G12785" t="n">
        <v>2.1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60884-2023</t>
        </is>
      </c>
      <c r="B12786" s="1" t="n">
        <v>45261</v>
      </c>
      <c r="C12786" s="1" t="n">
        <v>45810</v>
      </c>
      <c r="D12786" t="inlineStr">
        <is>
          <t>VÄRMLANDS LÄN</t>
        </is>
      </c>
      <c r="E12786" t="inlineStr">
        <is>
          <t>EDA</t>
        </is>
      </c>
      <c r="G12786" t="n">
        <v>1.1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60947-2023</t>
        </is>
      </c>
      <c r="B12787" s="1" t="n">
        <v>45261</v>
      </c>
      <c r="C12787" s="1" t="n">
        <v>45810</v>
      </c>
      <c r="D12787" t="inlineStr">
        <is>
          <t>VÄRMLANDS LÄN</t>
        </is>
      </c>
      <c r="E12787" t="inlineStr">
        <is>
          <t>KARLSTAD</t>
        </is>
      </c>
      <c r="G12787" t="n">
        <v>0.7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60916-2023</t>
        </is>
      </c>
      <c r="B12788" s="1" t="n">
        <v>45261</v>
      </c>
      <c r="C12788" s="1" t="n">
        <v>45810</v>
      </c>
      <c r="D12788" t="inlineStr">
        <is>
          <t>VÄRMLANDS LÄN</t>
        </is>
      </c>
      <c r="E12788" t="inlineStr">
        <is>
          <t>ÅRJÄNG</t>
        </is>
      </c>
      <c r="G12788" t="n">
        <v>1.1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60943-2023</t>
        </is>
      </c>
      <c r="B12789" s="1" t="n">
        <v>45261</v>
      </c>
      <c r="C12789" s="1" t="n">
        <v>45810</v>
      </c>
      <c r="D12789" t="inlineStr">
        <is>
          <t>VÄRMLANDS LÄN</t>
        </is>
      </c>
      <c r="E12789" t="inlineStr">
        <is>
          <t>ARVIKA</t>
        </is>
      </c>
      <c r="F12789" t="inlineStr">
        <is>
          <t>Bergvik skog väst AB</t>
        </is>
      </c>
      <c r="G12789" t="n">
        <v>4.5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61023-2023</t>
        </is>
      </c>
      <c r="B12790" s="1" t="n">
        <v>45261</v>
      </c>
      <c r="C12790" s="1" t="n">
        <v>45810</v>
      </c>
      <c r="D12790" t="inlineStr">
        <is>
          <t>VÄRMLANDS LÄN</t>
        </is>
      </c>
      <c r="E12790" t="inlineStr">
        <is>
          <t>KARLSTAD</t>
        </is>
      </c>
      <c r="G12790" t="n">
        <v>0.8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60968-2023</t>
        </is>
      </c>
      <c r="B12791" s="1" t="n">
        <v>45261</v>
      </c>
      <c r="C12791" s="1" t="n">
        <v>45810</v>
      </c>
      <c r="D12791" t="inlineStr">
        <is>
          <t>VÄRMLANDS LÄN</t>
        </is>
      </c>
      <c r="E12791" t="inlineStr">
        <is>
          <t>FILIPSTAD</t>
        </is>
      </c>
      <c r="F12791" t="inlineStr">
        <is>
          <t>Bergvik skog väst AB</t>
        </is>
      </c>
      <c r="G12791" t="n">
        <v>5.1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61073-2023</t>
        </is>
      </c>
      <c r="B12792" s="1" t="n">
        <v>45261</v>
      </c>
      <c r="C12792" s="1" t="n">
        <v>45810</v>
      </c>
      <c r="D12792" t="inlineStr">
        <is>
          <t>VÄRMLANDS LÄN</t>
        </is>
      </c>
      <c r="E12792" t="inlineStr">
        <is>
          <t>SUNNE</t>
        </is>
      </c>
      <c r="G12792" t="n">
        <v>18.6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61005-2023</t>
        </is>
      </c>
      <c r="B12793" s="1" t="n">
        <v>45261</v>
      </c>
      <c r="C12793" s="1" t="n">
        <v>45810</v>
      </c>
      <c r="D12793" t="inlineStr">
        <is>
          <t>VÄRMLANDS LÄN</t>
        </is>
      </c>
      <c r="E12793" t="inlineStr">
        <is>
          <t>KARLSTAD</t>
        </is>
      </c>
      <c r="G12793" t="n">
        <v>0.9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61025-2023</t>
        </is>
      </c>
      <c r="B12794" s="1" t="n">
        <v>45261</v>
      </c>
      <c r="C12794" s="1" t="n">
        <v>45810</v>
      </c>
      <c r="D12794" t="inlineStr">
        <is>
          <t>VÄRMLANDS LÄN</t>
        </is>
      </c>
      <c r="E12794" t="inlineStr">
        <is>
          <t>HAGFORS</t>
        </is>
      </c>
      <c r="F12794" t="inlineStr">
        <is>
          <t>Bergvik skog väst AB</t>
        </is>
      </c>
      <c r="G12794" t="n">
        <v>4.6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61104-2023</t>
        </is>
      </c>
      <c r="B12795" s="1" t="n">
        <v>45261</v>
      </c>
      <c r="C12795" s="1" t="n">
        <v>45810</v>
      </c>
      <c r="D12795" t="inlineStr">
        <is>
          <t>VÄRMLANDS LÄN</t>
        </is>
      </c>
      <c r="E12795" t="inlineStr">
        <is>
          <t>EDA</t>
        </is>
      </c>
      <c r="G12795" t="n">
        <v>1.3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61009-2023</t>
        </is>
      </c>
      <c r="B12796" s="1" t="n">
        <v>45261</v>
      </c>
      <c r="C12796" s="1" t="n">
        <v>45810</v>
      </c>
      <c r="D12796" t="inlineStr">
        <is>
          <t>VÄRMLANDS LÄN</t>
        </is>
      </c>
      <c r="E12796" t="inlineStr">
        <is>
          <t>KARLSTAD</t>
        </is>
      </c>
      <c r="G12796" t="n">
        <v>0.5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61022-2023</t>
        </is>
      </c>
      <c r="B12797" s="1" t="n">
        <v>45261</v>
      </c>
      <c r="C12797" s="1" t="n">
        <v>45810</v>
      </c>
      <c r="D12797" t="inlineStr">
        <is>
          <t>VÄRMLANDS LÄN</t>
        </is>
      </c>
      <c r="E12797" t="inlineStr">
        <is>
          <t>KARLSTAD</t>
        </is>
      </c>
      <c r="G12797" t="n">
        <v>2.7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61093-2023</t>
        </is>
      </c>
      <c r="B12798" s="1" t="n">
        <v>45261</v>
      </c>
      <c r="C12798" s="1" t="n">
        <v>45810</v>
      </c>
      <c r="D12798" t="inlineStr">
        <is>
          <t>VÄRMLANDS LÄN</t>
        </is>
      </c>
      <c r="E12798" t="inlineStr">
        <is>
          <t>SUNNE</t>
        </is>
      </c>
      <c r="G12798" t="n">
        <v>1.6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61107-2023</t>
        </is>
      </c>
      <c r="B12799" s="1" t="n">
        <v>45261</v>
      </c>
      <c r="C12799" s="1" t="n">
        <v>45810</v>
      </c>
      <c r="D12799" t="inlineStr">
        <is>
          <t>VÄRMLANDS LÄN</t>
        </is>
      </c>
      <c r="E12799" t="inlineStr">
        <is>
          <t>SUNNE</t>
        </is>
      </c>
      <c r="G12799" t="n">
        <v>2.1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61140-2023</t>
        </is>
      </c>
      <c r="B12800" s="1" t="n">
        <v>45261</v>
      </c>
      <c r="C12800" s="1" t="n">
        <v>45810</v>
      </c>
      <c r="D12800" t="inlineStr">
        <is>
          <t>VÄRMLANDS LÄN</t>
        </is>
      </c>
      <c r="E12800" t="inlineStr">
        <is>
          <t>HAGFORS</t>
        </is>
      </c>
      <c r="G12800" t="n">
        <v>2.7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61432-2023</t>
        </is>
      </c>
      <c r="B12801" s="1" t="n">
        <v>45261</v>
      </c>
      <c r="C12801" s="1" t="n">
        <v>45810</v>
      </c>
      <c r="D12801" t="inlineStr">
        <is>
          <t>VÄRMLANDS LÄN</t>
        </is>
      </c>
      <c r="E12801" t="inlineStr">
        <is>
          <t>SUNNE</t>
        </is>
      </c>
      <c r="G12801" t="n">
        <v>2.7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61430-2023</t>
        </is>
      </c>
      <c r="B12802" s="1" t="n">
        <v>45261</v>
      </c>
      <c r="C12802" s="1" t="n">
        <v>45810</v>
      </c>
      <c r="D12802" t="inlineStr">
        <is>
          <t>VÄRMLANDS LÄN</t>
        </is>
      </c>
      <c r="E12802" t="inlineStr">
        <is>
          <t>SUNNE</t>
        </is>
      </c>
      <c r="G12802" t="n">
        <v>2.2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61643-2023</t>
        </is>
      </c>
      <c r="B12803" s="1" t="n">
        <v>45261</v>
      </c>
      <c r="C12803" s="1" t="n">
        <v>45810</v>
      </c>
      <c r="D12803" t="inlineStr">
        <is>
          <t>VÄRMLANDS LÄN</t>
        </is>
      </c>
      <c r="E12803" t="inlineStr">
        <is>
          <t>SÄFFLE</t>
        </is>
      </c>
      <c r="G12803" t="n">
        <v>1.8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61157-2023</t>
        </is>
      </c>
      <c r="B12804" s="1" t="n">
        <v>45262</v>
      </c>
      <c r="C12804" s="1" t="n">
        <v>45810</v>
      </c>
      <c r="D12804" t="inlineStr">
        <is>
          <t>VÄRMLANDS LÄN</t>
        </is>
      </c>
      <c r="E12804" t="inlineStr">
        <is>
          <t>TORSBY</t>
        </is>
      </c>
      <c r="G12804" t="n">
        <v>1.9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61165-2023</t>
        </is>
      </c>
      <c r="B12805" s="1" t="n">
        <v>45262</v>
      </c>
      <c r="C12805" s="1" t="n">
        <v>45810</v>
      </c>
      <c r="D12805" t="inlineStr">
        <is>
          <t>VÄRMLANDS LÄN</t>
        </is>
      </c>
      <c r="E12805" t="inlineStr">
        <is>
          <t>SUNNE</t>
        </is>
      </c>
      <c r="G12805" t="n">
        <v>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61164-2023</t>
        </is>
      </c>
      <c r="B12806" s="1" t="n">
        <v>45262</v>
      </c>
      <c r="C12806" s="1" t="n">
        <v>45810</v>
      </c>
      <c r="D12806" t="inlineStr">
        <is>
          <t>VÄRMLANDS LÄN</t>
        </is>
      </c>
      <c r="E12806" t="inlineStr">
        <is>
          <t>TORSBY</t>
        </is>
      </c>
      <c r="G12806" t="n">
        <v>3.5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61168-2023</t>
        </is>
      </c>
      <c r="B12807" s="1" t="n">
        <v>45262</v>
      </c>
      <c r="C12807" s="1" t="n">
        <v>45810</v>
      </c>
      <c r="D12807" t="inlineStr">
        <is>
          <t>VÄRMLANDS LÄN</t>
        </is>
      </c>
      <c r="E12807" t="inlineStr">
        <is>
          <t>GRUMS</t>
        </is>
      </c>
      <c r="G12807" t="n">
        <v>0.9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61169-2023</t>
        </is>
      </c>
      <c r="B12808" s="1" t="n">
        <v>45262</v>
      </c>
      <c r="C12808" s="1" t="n">
        <v>45810</v>
      </c>
      <c r="D12808" t="inlineStr">
        <is>
          <t>VÄRMLANDS LÄN</t>
        </is>
      </c>
      <c r="E12808" t="inlineStr">
        <is>
          <t>SUNNE</t>
        </is>
      </c>
      <c r="G12808" t="n">
        <v>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61181-2023</t>
        </is>
      </c>
      <c r="B12809" s="1" t="n">
        <v>45263</v>
      </c>
      <c r="C12809" s="1" t="n">
        <v>45810</v>
      </c>
      <c r="D12809" t="inlineStr">
        <is>
          <t>VÄRMLANDS LÄN</t>
        </is>
      </c>
      <c r="E12809" t="inlineStr">
        <is>
          <t>SUNNE</t>
        </is>
      </c>
      <c r="G12809" t="n">
        <v>1.4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61210-2023</t>
        </is>
      </c>
      <c r="B12810" s="1" t="n">
        <v>45264</v>
      </c>
      <c r="C12810" s="1" t="n">
        <v>45810</v>
      </c>
      <c r="D12810" t="inlineStr">
        <is>
          <t>VÄRMLANDS LÄN</t>
        </is>
      </c>
      <c r="E12810" t="inlineStr">
        <is>
          <t>KIL</t>
        </is>
      </c>
      <c r="G12810" t="n">
        <v>7.7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61223-2023</t>
        </is>
      </c>
      <c r="B12811" s="1" t="n">
        <v>45264</v>
      </c>
      <c r="C12811" s="1" t="n">
        <v>45810</v>
      </c>
      <c r="D12811" t="inlineStr">
        <is>
          <t>VÄRMLANDS LÄN</t>
        </is>
      </c>
      <c r="E12811" t="inlineStr">
        <is>
          <t>SÄFFLE</t>
        </is>
      </c>
      <c r="G12811" t="n">
        <v>4.3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61287-2023</t>
        </is>
      </c>
      <c r="B12812" s="1" t="n">
        <v>45264</v>
      </c>
      <c r="C12812" s="1" t="n">
        <v>45810</v>
      </c>
      <c r="D12812" t="inlineStr">
        <is>
          <t>VÄRMLANDS LÄN</t>
        </is>
      </c>
      <c r="E12812" t="inlineStr">
        <is>
          <t>HAGFORS</t>
        </is>
      </c>
      <c r="G12812" t="n">
        <v>2.5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61304-2023</t>
        </is>
      </c>
      <c r="B12813" s="1" t="n">
        <v>45264</v>
      </c>
      <c r="C12813" s="1" t="n">
        <v>45810</v>
      </c>
      <c r="D12813" t="inlineStr">
        <is>
          <t>VÄRMLANDS LÄN</t>
        </is>
      </c>
      <c r="E12813" t="inlineStr">
        <is>
          <t>HAGFORS</t>
        </is>
      </c>
      <c r="G12813" t="n">
        <v>1.5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61330-2023</t>
        </is>
      </c>
      <c r="B12814" s="1" t="n">
        <v>45264</v>
      </c>
      <c r="C12814" s="1" t="n">
        <v>45810</v>
      </c>
      <c r="D12814" t="inlineStr">
        <is>
          <t>VÄRMLANDS LÄN</t>
        </is>
      </c>
      <c r="E12814" t="inlineStr">
        <is>
          <t>KARLSTAD</t>
        </is>
      </c>
      <c r="G12814" t="n">
        <v>1.2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61206-2023</t>
        </is>
      </c>
      <c r="B12815" s="1" t="n">
        <v>45264</v>
      </c>
      <c r="C12815" s="1" t="n">
        <v>45810</v>
      </c>
      <c r="D12815" t="inlineStr">
        <is>
          <t>VÄRMLANDS LÄN</t>
        </is>
      </c>
      <c r="E12815" t="inlineStr">
        <is>
          <t>ARVIKA</t>
        </is>
      </c>
      <c r="G12815" t="n">
        <v>1.7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61228-2023</t>
        </is>
      </c>
      <c r="B12816" s="1" t="n">
        <v>45264</v>
      </c>
      <c r="C12816" s="1" t="n">
        <v>45810</v>
      </c>
      <c r="D12816" t="inlineStr">
        <is>
          <t>VÄRMLANDS LÄN</t>
        </is>
      </c>
      <c r="E12816" t="inlineStr">
        <is>
          <t>STORFORS</t>
        </is>
      </c>
      <c r="F12816" t="inlineStr">
        <is>
          <t>Bergvik skog väst AB</t>
        </is>
      </c>
      <c r="G12816" t="n">
        <v>3.2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61238-2023</t>
        </is>
      </c>
      <c r="B12817" s="1" t="n">
        <v>45264</v>
      </c>
      <c r="C12817" s="1" t="n">
        <v>45810</v>
      </c>
      <c r="D12817" t="inlineStr">
        <is>
          <t>VÄRMLANDS LÄN</t>
        </is>
      </c>
      <c r="E12817" t="inlineStr">
        <is>
          <t>HAGFORS</t>
        </is>
      </c>
      <c r="F12817" t="inlineStr">
        <is>
          <t>Bergvik skog väst AB</t>
        </is>
      </c>
      <c r="G12817" t="n">
        <v>3.8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61294-2023</t>
        </is>
      </c>
      <c r="B12818" s="1" t="n">
        <v>45264</v>
      </c>
      <c r="C12818" s="1" t="n">
        <v>45810</v>
      </c>
      <c r="D12818" t="inlineStr">
        <is>
          <t>VÄRMLANDS LÄN</t>
        </is>
      </c>
      <c r="E12818" t="inlineStr">
        <is>
          <t>KARLSTAD</t>
        </is>
      </c>
      <c r="G12818" t="n">
        <v>1.2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61229-2023</t>
        </is>
      </c>
      <c r="B12819" s="1" t="n">
        <v>45264</v>
      </c>
      <c r="C12819" s="1" t="n">
        <v>45810</v>
      </c>
      <c r="D12819" t="inlineStr">
        <is>
          <t>VÄRMLANDS LÄN</t>
        </is>
      </c>
      <c r="E12819" t="inlineStr">
        <is>
          <t>TORSBY</t>
        </is>
      </c>
      <c r="G12819" t="n">
        <v>4.9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61256-2023</t>
        </is>
      </c>
      <c r="B12820" s="1" t="n">
        <v>45264</v>
      </c>
      <c r="C12820" s="1" t="n">
        <v>45810</v>
      </c>
      <c r="D12820" t="inlineStr">
        <is>
          <t>VÄRMLANDS LÄN</t>
        </is>
      </c>
      <c r="E12820" t="inlineStr">
        <is>
          <t>TORSBY</t>
        </is>
      </c>
      <c r="G12820" t="n">
        <v>0.9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61370-2023</t>
        </is>
      </c>
      <c r="B12821" s="1" t="n">
        <v>45264</v>
      </c>
      <c r="C12821" s="1" t="n">
        <v>45810</v>
      </c>
      <c r="D12821" t="inlineStr">
        <is>
          <t>VÄRMLANDS LÄN</t>
        </is>
      </c>
      <c r="E12821" t="inlineStr">
        <is>
          <t>TORSBY</t>
        </is>
      </c>
      <c r="G12821" t="n">
        <v>2.3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61383-2023</t>
        </is>
      </c>
      <c r="B12822" s="1" t="n">
        <v>45264</v>
      </c>
      <c r="C12822" s="1" t="n">
        <v>45810</v>
      </c>
      <c r="D12822" t="inlineStr">
        <is>
          <t>VÄRMLANDS LÄN</t>
        </is>
      </c>
      <c r="E12822" t="inlineStr">
        <is>
          <t>FILIPSTAD</t>
        </is>
      </c>
      <c r="F12822" t="inlineStr">
        <is>
          <t>Bergvik skog väst AB</t>
        </is>
      </c>
      <c r="G12822" t="n">
        <v>8.1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61290-2023</t>
        </is>
      </c>
      <c r="B12823" s="1" t="n">
        <v>45264</v>
      </c>
      <c r="C12823" s="1" t="n">
        <v>45810</v>
      </c>
      <c r="D12823" t="inlineStr">
        <is>
          <t>VÄRMLANDS LÄN</t>
        </is>
      </c>
      <c r="E12823" t="inlineStr">
        <is>
          <t>GRUMS</t>
        </is>
      </c>
      <c r="G12823" t="n">
        <v>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61403-2023</t>
        </is>
      </c>
      <c r="B12824" s="1" t="n">
        <v>45264</v>
      </c>
      <c r="C12824" s="1" t="n">
        <v>45810</v>
      </c>
      <c r="D12824" t="inlineStr">
        <is>
          <t>VÄRMLANDS LÄN</t>
        </is>
      </c>
      <c r="E12824" t="inlineStr">
        <is>
          <t>SUNNE</t>
        </is>
      </c>
      <c r="G12824" t="n">
        <v>0.5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61419-2023</t>
        </is>
      </c>
      <c r="B12825" s="1" t="n">
        <v>45264</v>
      </c>
      <c r="C12825" s="1" t="n">
        <v>45810</v>
      </c>
      <c r="D12825" t="inlineStr">
        <is>
          <t>VÄRMLANDS LÄN</t>
        </is>
      </c>
      <c r="E12825" t="inlineStr">
        <is>
          <t>SUNNE</t>
        </is>
      </c>
      <c r="G12825" t="n">
        <v>5.4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61434-2023</t>
        </is>
      </c>
      <c r="B12826" s="1" t="n">
        <v>45264</v>
      </c>
      <c r="C12826" s="1" t="n">
        <v>45810</v>
      </c>
      <c r="D12826" t="inlineStr">
        <is>
          <t>VÄRMLANDS LÄN</t>
        </is>
      </c>
      <c r="E12826" t="inlineStr">
        <is>
          <t>ÅRJÄNG</t>
        </is>
      </c>
      <c r="G12826" t="n">
        <v>2.3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61291-2023</t>
        </is>
      </c>
      <c r="B12827" s="1" t="n">
        <v>45264</v>
      </c>
      <c r="C12827" s="1" t="n">
        <v>45810</v>
      </c>
      <c r="D12827" t="inlineStr">
        <is>
          <t>VÄRMLANDS LÄN</t>
        </is>
      </c>
      <c r="E12827" t="inlineStr">
        <is>
          <t>KARLSTAD</t>
        </is>
      </c>
      <c r="G12827" t="n">
        <v>1.2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61296-2023</t>
        </is>
      </c>
      <c r="B12828" s="1" t="n">
        <v>45264</v>
      </c>
      <c r="C12828" s="1" t="n">
        <v>45810</v>
      </c>
      <c r="D12828" t="inlineStr">
        <is>
          <t>VÄRMLANDS LÄN</t>
        </is>
      </c>
      <c r="E12828" t="inlineStr">
        <is>
          <t>KARLSTAD</t>
        </is>
      </c>
      <c r="G12828" t="n">
        <v>1.1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61311-2023</t>
        </is>
      </c>
      <c r="B12829" s="1" t="n">
        <v>45264</v>
      </c>
      <c r="C12829" s="1" t="n">
        <v>45810</v>
      </c>
      <c r="D12829" t="inlineStr">
        <is>
          <t>VÄRMLANDS LÄN</t>
        </is>
      </c>
      <c r="E12829" t="inlineStr">
        <is>
          <t>HAGFORS</t>
        </is>
      </c>
      <c r="G12829" t="n">
        <v>2.7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61315-2023</t>
        </is>
      </c>
      <c r="B12830" s="1" t="n">
        <v>45264</v>
      </c>
      <c r="C12830" s="1" t="n">
        <v>45810</v>
      </c>
      <c r="D12830" t="inlineStr">
        <is>
          <t>VÄRMLANDS LÄN</t>
        </is>
      </c>
      <c r="E12830" t="inlineStr">
        <is>
          <t>HAGFORS</t>
        </is>
      </c>
      <c r="G12830" t="n">
        <v>0.9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61826-2023</t>
        </is>
      </c>
      <c r="B12831" s="1" t="n">
        <v>45264</v>
      </c>
      <c r="C12831" s="1" t="n">
        <v>45810</v>
      </c>
      <c r="D12831" t="inlineStr">
        <is>
          <t>VÄRMLANDS LÄN</t>
        </is>
      </c>
      <c r="E12831" t="inlineStr">
        <is>
          <t>KARLSTAD</t>
        </is>
      </c>
      <c r="G12831" t="n">
        <v>15.1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61906-2023</t>
        </is>
      </c>
      <c r="B12832" s="1" t="n">
        <v>45264</v>
      </c>
      <c r="C12832" s="1" t="n">
        <v>45810</v>
      </c>
      <c r="D12832" t="inlineStr">
        <is>
          <t>VÄRMLANDS LÄN</t>
        </is>
      </c>
      <c r="E12832" t="inlineStr">
        <is>
          <t>FILIPSTAD</t>
        </is>
      </c>
      <c r="G12832" t="n">
        <v>2.3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61609-2023</t>
        </is>
      </c>
      <c r="B12833" s="1" t="n">
        <v>45265</v>
      </c>
      <c r="C12833" s="1" t="n">
        <v>45810</v>
      </c>
      <c r="D12833" t="inlineStr">
        <is>
          <t>VÄRMLANDS LÄN</t>
        </is>
      </c>
      <c r="E12833" t="inlineStr">
        <is>
          <t>SUNNE</t>
        </is>
      </c>
      <c r="G12833" t="n">
        <v>2.1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61641-2023</t>
        </is>
      </c>
      <c r="B12834" s="1" t="n">
        <v>45265</v>
      </c>
      <c r="C12834" s="1" t="n">
        <v>45810</v>
      </c>
      <c r="D12834" t="inlineStr">
        <is>
          <t>VÄRMLANDS LÄN</t>
        </is>
      </c>
      <c r="E12834" t="inlineStr">
        <is>
          <t>HAGFORS</t>
        </is>
      </c>
      <c r="F12834" t="inlineStr">
        <is>
          <t>Bergvik skog väst AB</t>
        </is>
      </c>
      <c r="G12834" t="n">
        <v>9.199999999999999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61544-2023</t>
        </is>
      </c>
      <c r="B12835" s="1" t="n">
        <v>45265</v>
      </c>
      <c r="C12835" s="1" t="n">
        <v>45810</v>
      </c>
      <c r="D12835" t="inlineStr">
        <is>
          <t>VÄRMLANDS LÄN</t>
        </is>
      </c>
      <c r="E12835" t="inlineStr">
        <is>
          <t>ARVIKA</t>
        </is>
      </c>
      <c r="G12835" t="n">
        <v>2.7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61549-2023</t>
        </is>
      </c>
      <c r="B12836" s="1" t="n">
        <v>45265</v>
      </c>
      <c r="C12836" s="1" t="n">
        <v>45810</v>
      </c>
      <c r="D12836" t="inlineStr">
        <is>
          <t>VÄRMLANDS LÄN</t>
        </is>
      </c>
      <c r="E12836" t="inlineStr">
        <is>
          <t>EDA</t>
        </is>
      </c>
      <c r="G12836" t="n">
        <v>2.7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61653-2023</t>
        </is>
      </c>
      <c r="B12837" s="1" t="n">
        <v>45265</v>
      </c>
      <c r="C12837" s="1" t="n">
        <v>45810</v>
      </c>
      <c r="D12837" t="inlineStr">
        <is>
          <t>VÄRMLANDS LÄN</t>
        </is>
      </c>
      <c r="E12837" t="inlineStr">
        <is>
          <t>ARVIKA</t>
        </is>
      </c>
      <c r="F12837" t="inlineStr">
        <is>
          <t>Bergvik skog väst AB</t>
        </is>
      </c>
      <c r="G12837" t="n">
        <v>8.9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61719-2023</t>
        </is>
      </c>
      <c r="B12838" s="1" t="n">
        <v>45265</v>
      </c>
      <c r="C12838" s="1" t="n">
        <v>45810</v>
      </c>
      <c r="D12838" t="inlineStr">
        <is>
          <t>VÄRMLANDS LÄN</t>
        </is>
      </c>
      <c r="E12838" t="inlineStr">
        <is>
          <t>KRISTINEHAMN</t>
        </is>
      </c>
      <c r="F12838" t="inlineStr">
        <is>
          <t>Naturvårdsverket</t>
        </is>
      </c>
      <c r="G12838" t="n">
        <v>6.4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61546-2023</t>
        </is>
      </c>
      <c r="B12839" s="1" t="n">
        <v>45265</v>
      </c>
      <c r="C12839" s="1" t="n">
        <v>45810</v>
      </c>
      <c r="D12839" t="inlineStr">
        <is>
          <t>VÄRMLANDS LÄN</t>
        </is>
      </c>
      <c r="E12839" t="inlineStr">
        <is>
          <t>EDA</t>
        </is>
      </c>
      <c r="G12839" t="n">
        <v>12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61571-2023</t>
        </is>
      </c>
      <c r="B12840" s="1" t="n">
        <v>45265</v>
      </c>
      <c r="C12840" s="1" t="n">
        <v>45810</v>
      </c>
      <c r="D12840" t="inlineStr">
        <is>
          <t>VÄRMLANDS LÄN</t>
        </is>
      </c>
      <c r="E12840" t="inlineStr">
        <is>
          <t>ARVIKA</t>
        </is>
      </c>
      <c r="G12840" t="n">
        <v>4.7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61586-2023</t>
        </is>
      </c>
      <c r="B12841" s="1" t="n">
        <v>45265</v>
      </c>
      <c r="C12841" s="1" t="n">
        <v>45810</v>
      </c>
      <c r="D12841" t="inlineStr">
        <is>
          <t>VÄRMLANDS LÄN</t>
        </is>
      </c>
      <c r="E12841" t="inlineStr">
        <is>
          <t>KRISTINEHAMN</t>
        </is>
      </c>
      <c r="G12841" t="n">
        <v>9.5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61704-2023</t>
        </is>
      </c>
      <c r="B12842" s="1" t="n">
        <v>45265</v>
      </c>
      <c r="C12842" s="1" t="n">
        <v>45810</v>
      </c>
      <c r="D12842" t="inlineStr">
        <is>
          <t>VÄRMLANDS LÄN</t>
        </is>
      </c>
      <c r="E12842" t="inlineStr">
        <is>
          <t>STORFORS</t>
        </is>
      </c>
      <c r="G12842" t="n">
        <v>6.3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61545-2023</t>
        </is>
      </c>
      <c r="B12843" s="1" t="n">
        <v>45265</v>
      </c>
      <c r="C12843" s="1" t="n">
        <v>45810</v>
      </c>
      <c r="D12843" t="inlineStr">
        <is>
          <t>VÄRMLANDS LÄN</t>
        </is>
      </c>
      <c r="E12843" t="inlineStr">
        <is>
          <t>EDA</t>
        </is>
      </c>
      <c r="G12843" t="n">
        <v>1.2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61557-2023</t>
        </is>
      </c>
      <c r="B12844" s="1" t="n">
        <v>45265</v>
      </c>
      <c r="C12844" s="1" t="n">
        <v>45810</v>
      </c>
      <c r="D12844" t="inlineStr">
        <is>
          <t>VÄRMLANDS LÄN</t>
        </is>
      </c>
      <c r="E12844" t="inlineStr">
        <is>
          <t>STORFORS</t>
        </is>
      </c>
      <c r="G12844" t="n">
        <v>1.6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61716-2023</t>
        </is>
      </c>
      <c r="B12845" s="1" t="n">
        <v>45265</v>
      </c>
      <c r="C12845" s="1" t="n">
        <v>45810</v>
      </c>
      <c r="D12845" t="inlineStr">
        <is>
          <t>VÄRMLANDS LÄN</t>
        </is>
      </c>
      <c r="E12845" t="inlineStr">
        <is>
          <t>ARVIKA</t>
        </is>
      </c>
      <c r="G12845" t="n">
        <v>0.9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61857-2023</t>
        </is>
      </c>
      <c r="B12846" s="1" t="n">
        <v>45265</v>
      </c>
      <c r="C12846" s="1" t="n">
        <v>45810</v>
      </c>
      <c r="D12846" t="inlineStr">
        <is>
          <t>VÄRMLANDS LÄN</t>
        </is>
      </c>
      <c r="E12846" t="inlineStr">
        <is>
          <t>ARVIKA</t>
        </is>
      </c>
      <c r="G12846" t="n">
        <v>5.9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61873-2023</t>
        </is>
      </c>
      <c r="B12847" s="1" t="n">
        <v>45266</v>
      </c>
      <c r="C12847" s="1" t="n">
        <v>45810</v>
      </c>
      <c r="D12847" t="inlineStr">
        <is>
          <t>VÄRMLANDS LÄN</t>
        </is>
      </c>
      <c r="E12847" t="inlineStr">
        <is>
          <t>ÅRJÄNG</t>
        </is>
      </c>
      <c r="G12847" t="n">
        <v>8.199999999999999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61923-2023</t>
        </is>
      </c>
      <c r="B12848" s="1" t="n">
        <v>45266</v>
      </c>
      <c r="C12848" s="1" t="n">
        <v>45810</v>
      </c>
      <c r="D12848" t="inlineStr">
        <is>
          <t>VÄRMLANDS LÄN</t>
        </is>
      </c>
      <c r="E12848" t="inlineStr">
        <is>
          <t>TORSBY</t>
        </is>
      </c>
      <c r="F12848" t="inlineStr">
        <is>
          <t>Kommuner</t>
        </is>
      </c>
      <c r="G12848" t="n">
        <v>0.7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61921-2023</t>
        </is>
      </c>
      <c r="B12849" s="1" t="n">
        <v>45266</v>
      </c>
      <c r="C12849" s="1" t="n">
        <v>45810</v>
      </c>
      <c r="D12849" t="inlineStr">
        <is>
          <t>VÄRMLANDS LÄN</t>
        </is>
      </c>
      <c r="E12849" t="inlineStr">
        <is>
          <t>TORSBY</t>
        </is>
      </c>
      <c r="F12849" t="inlineStr">
        <is>
          <t>Kommuner</t>
        </is>
      </c>
      <c r="G12849" t="n">
        <v>2.2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61935-2023</t>
        </is>
      </c>
      <c r="B12850" s="1" t="n">
        <v>45266</v>
      </c>
      <c r="C12850" s="1" t="n">
        <v>45810</v>
      </c>
      <c r="D12850" t="inlineStr">
        <is>
          <t>VÄRMLANDS LÄN</t>
        </is>
      </c>
      <c r="E12850" t="inlineStr">
        <is>
          <t>SÄFFLE</t>
        </is>
      </c>
      <c r="G12850" t="n">
        <v>2.3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61816-2023</t>
        </is>
      </c>
      <c r="B12851" s="1" t="n">
        <v>45266</v>
      </c>
      <c r="C12851" s="1" t="n">
        <v>45810</v>
      </c>
      <c r="D12851" t="inlineStr">
        <is>
          <t>VÄRMLANDS LÄN</t>
        </is>
      </c>
      <c r="E12851" t="inlineStr">
        <is>
          <t>ARVIKA</t>
        </is>
      </c>
      <c r="G12851" t="n">
        <v>4.3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61992-2023</t>
        </is>
      </c>
      <c r="B12852" s="1" t="n">
        <v>45266</v>
      </c>
      <c r="C12852" s="1" t="n">
        <v>45810</v>
      </c>
      <c r="D12852" t="inlineStr">
        <is>
          <t>VÄRMLANDS LÄN</t>
        </is>
      </c>
      <c r="E12852" t="inlineStr">
        <is>
          <t>HAGFORS</t>
        </is>
      </c>
      <c r="F12852" t="inlineStr">
        <is>
          <t>Bergvik skog väst AB</t>
        </is>
      </c>
      <c r="G12852" t="n">
        <v>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61818-2023</t>
        </is>
      </c>
      <c r="B12853" s="1" t="n">
        <v>45266</v>
      </c>
      <c r="C12853" s="1" t="n">
        <v>45810</v>
      </c>
      <c r="D12853" t="inlineStr">
        <is>
          <t>VÄRMLANDS LÄN</t>
        </is>
      </c>
      <c r="E12853" t="inlineStr">
        <is>
          <t>HAGFORS</t>
        </is>
      </c>
      <c r="G12853" t="n">
        <v>8.6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62020-2023</t>
        </is>
      </c>
      <c r="B12854" s="1" t="n">
        <v>45266</v>
      </c>
      <c r="C12854" s="1" t="n">
        <v>45810</v>
      </c>
      <c r="D12854" t="inlineStr">
        <is>
          <t>VÄRMLANDS LÄN</t>
        </is>
      </c>
      <c r="E12854" t="inlineStr">
        <is>
          <t>EDA</t>
        </is>
      </c>
      <c r="G12854" t="n">
        <v>1.2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61878-2023</t>
        </is>
      </c>
      <c r="B12855" s="1" t="n">
        <v>45266</v>
      </c>
      <c r="C12855" s="1" t="n">
        <v>45810</v>
      </c>
      <c r="D12855" t="inlineStr">
        <is>
          <t>VÄRMLANDS LÄN</t>
        </is>
      </c>
      <c r="E12855" t="inlineStr">
        <is>
          <t>SUNNE</t>
        </is>
      </c>
      <c r="G12855" t="n">
        <v>1.3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61991-2023</t>
        </is>
      </c>
      <c r="B12856" s="1" t="n">
        <v>45266</v>
      </c>
      <c r="C12856" s="1" t="n">
        <v>45810</v>
      </c>
      <c r="D12856" t="inlineStr">
        <is>
          <t>VÄRMLANDS LÄN</t>
        </is>
      </c>
      <c r="E12856" t="inlineStr">
        <is>
          <t>SÄFFLE</t>
        </is>
      </c>
      <c r="G12856" t="n">
        <v>2.8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62000-2023</t>
        </is>
      </c>
      <c r="B12857" s="1" t="n">
        <v>45266</v>
      </c>
      <c r="C12857" s="1" t="n">
        <v>45810</v>
      </c>
      <c r="D12857" t="inlineStr">
        <is>
          <t>VÄRMLANDS LÄN</t>
        </is>
      </c>
      <c r="E12857" t="inlineStr">
        <is>
          <t>SÄFFLE</t>
        </is>
      </c>
      <c r="G12857" t="n">
        <v>3.9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62037-2023</t>
        </is>
      </c>
      <c r="B12858" s="1" t="n">
        <v>45266</v>
      </c>
      <c r="C12858" s="1" t="n">
        <v>45810</v>
      </c>
      <c r="D12858" t="inlineStr">
        <is>
          <t>VÄRMLANDS LÄN</t>
        </is>
      </c>
      <c r="E12858" t="inlineStr">
        <is>
          <t>TORSBY</t>
        </is>
      </c>
      <c r="F12858" t="inlineStr">
        <is>
          <t>Bergvik skog väst AB</t>
        </is>
      </c>
      <c r="G12858" t="n">
        <v>8.6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61902-2023</t>
        </is>
      </c>
      <c r="B12859" s="1" t="n">
        <v>45266</v>
      </c>
      <c r="C12859" s="1" t="n">
        <v>45810</v>
      </c>
      <c r="D12859" t="inlineStr">
        <is>
          <t>VÄRMLANDS LÄN</t>
        </is>
      </c>
      <c r="E12859" t="inlineStr">
        <is>
          <t>SUNNE</t>
        </is>
      </c>
      <c r="F12859" t="inlineStr">
        <is>
          <t>Kommuner</t>
        </is>
      </c>
      <c r="G12859" t="n">
        <v>1.8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61940-2023</t>
        </is>
      </c>
      <c r="B12860" s="1" t="n">
        <v>45266</v>
      </c>
      <c r="C12860" s="1" t="n">
        <v>45810</v>
      </c>
      <c r="D12860" t="inlineStr">
        <is>
          <t>VÄRMLANDS LÄN</t>
        </is>
      </c>
      <c r="E12860" t="inlineStr">
        <is>
          <t>SÄFFLE</t>
        </is>
      </c>
      <c r="G12860" t="n">
        <v>0.8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61964-2023</t>
        </is>
      </c>
      <c r="B12861" s="1" t="n">
        <v>45266</v>
      </c>
      <c r="C12861" s="1" t="n">
        <v>45810</v>
      </c>
      <c r="D12861" t="inlineStr">
        <is>
          <t>VÄRMLANDS LÄN</t>
        </is>
      </c>
      <c r="E12861" t="inlineStr">
        <is>
          <t>HAGFORS</t>
        </is>
      </c>
      <c r="F12861" t="inlineStr">
        <is>
          <t>Bergvik skog väst AB</t>
        </is>
      </c>
      <c r="G12861" t="n">
        <v>5.4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61988-2023</t>
        </is>
      </c>
      <c r="B12862" s="1" t="n">
        <v>45266</v>
      </c>
      <c r="C12862" s="1" t="n">
        <v>45810</v>
      </c>
      <c r="D12862" t="inlineStr">
        <is>
          <t>VÄRMLANDS LÄN</t>
        </is>
      </c>
      <c r="E12862" t="inlineStr">
        <is>
          <t>KRISTINEHAMN</t>
        </is>
      </c>
      <c r="G12862" t="n">
        <v>2.4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62261-2023</t>
        </is>
      </c>
      <c r="B12863" s="1" t="n">
        <v>45266</v>
      </c>
      <c r="C12863" s="1" t="n">
        <v>45810</v>
      </c>
      <c r="D12863" t="inlineStr">
        <is>
          <t>VÄRMLANDS LÄN</t>
        </is>
      </c>
      <c r="E12863" t="inlineStr">
        <is>
          <t>ÅRJÄNG</t>
        </is>
      </c>
      <c r="G12863" t="n">
        <v>1.4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62258-2023</t>
        </is>
      </c>
      <c r="B12864" s="1" t="n">
        <v>45266</v>
      </c>
      <c r="C12864" s="1" t="n">
        <v>45810</v>
      </c>
      <c r="D12864" t="inlineStr">
        <is>
          <t>VÄRMLANDS LÄN</t>
        </is>
      </c>
      <c r="E12864" t="inlineStr">
        <is>
          <t>TORSBY</t>
        </is>
      </c>
      <c r="G12864" t="n">
        <v>7.8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62273-2023</t>
        </is>
      </c>
      <c r="B12865" s="1" t="n">
        <v>45266</v>
      </c>
      <c r="C12865" s="1" t="n">
        <v>45810</v>
      </c>
      <c r="D12865" t="inlineStr">
        <is>
          <t>VÄRMLANDS LÄN</t>
        </is>
      </c>
      <c r="E12865" t="inlineStr">
        <is>
          <t>ÅRJÄNG</t>
        </is>
      </c>
      <c r="G12865" t="n">
        <v>1.2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62266-2023</t>
        </is>
      </c>
      <c r="B12866" s="1" t="n">
        <v>45266</v>
      </c>
      <c r="C12866" s="1" t="n">
        <v>45810</v>
      </c>
      <c r="D12866" t="inlineStr">
        <is>
          <t>VÄRMLANDS LÄN</t>
        </is>
      </c>
      <c r="E12866" t="inlineStr">
        <is>
          <t>ÅRJÄNG</t>
        </is>
      </c>
      <c r="G12866" t="n">
        <v>10.5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62250-2023</t>
        </is>
      </c>
      <c r="B12867" s="1" t="n">
        <v>45266</v>
      </c>
      <c r="C12867" s="1" t="n">
        <v>45810</v>
      </c>
      <c r="D12867" t="inlineStr">
        <is>
          <t>VÄRMLANDS LÄN</t>
        </is>
      </c>
      <c r="E12867" t="inlineStr">
        <is>
          <t>TORSBY</t>
        </is>
      </c>
      <c r="G12867" t="n">
        <v>4.7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62174-2023</t>
        </is>
      </c>
      <c r="B12868" s="1" t="n">
        <v>45267</v>
      </c>
      <c r="C12868" s="1" t="n">
        <v>45810</v>
      </c>
      <c r="D12868" t="inlineStr">
        <is>
          <t>VÄRMLANDS LÄN</t>
        </is>
      </c>
      <c r="E12868" t="inlineStr">
        <is>
          <t>EDA</t>
        </is>
      </c>
      <c r="G12868" t="n">
        <v>6.2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62183-2023</t>
        </is>
      </c>
      <c r="B12869" s="1" t="n">
        <v>45267</v>
      </c>
      <c r="C12869" s="1" t="n">
        <v>45810</v>
      </c>
      <c r="D12869" t="inlineStr">
        <is>
          <t>VÄRMLANDS LÄN</t>
        </is>
      </c>
      <c r="E12869" t="inlineStr">
        <is>
          <t>EDA</t>
        </is>
      </c>
      <c r="G12869" t="n">
        <v>5.9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62274-2023</t>
        </is>
      </c>
      <c r="B12870" s="1" t="n">
        <v>45267</v>
      </c>
      <c r="C12870" s="1" t="n">
        <v>45810</v>
      </c>
      <c r="D12870" t="inlineStr">
        <is>
          <t>VÄRMLANDS LÄN</t>
        </is>
      </c>
      <c r="E12870" t="inlineStr">
        <is>
          <t>TORSBY</t>
        </is>
      </c>
      <c r="G12870" t="n">
        <v>3.9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62324-2023</t>
        </is>
      </c>
      <c r="B12871" s="1" t="n">
        <v>45267</v>
      </c>
      <c r="C12871" s="1" t="n">
        <v>45810</v>
      </c>
      <c r="D12871" t="inlineStr">
        <is>
          <t>VÄRMLANDS LÄN</t>
        </is>
      </c>
      <c r="E12871" t="inlineStr">
        <is>
          <t>EDA</t>
        </is>
      </c>
      <c r="G12871" t="n">
        <v>1.7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62332-2023</t>
        </is>
      </c>
      <c r="B12872" s="1" t="n">
        <v>45267</v>
      </c>
      <c r="C12872" s="1" t="n">
        <v>45810</v>
      </c>
      <c r="D12872" t="inlineStr">
        <is>
          <t>VÄRMLANDS LÄN</t>
        </is>
      </c>
      <c r="E12872" t="inlineStr">
        <is>
          <t>EDA</t>
        </is>
      </c>
      <c r="G12872" t="n">
        <v>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62164-2023</t>
        </is>
      </c>
      <c r="B12873" s="1" t="n">
        <v>45267</v>
      </c>
      <c r="C12873" s="1" t="n">
        <v>45810</v>
      </c>
      <c r="D12873" t="inlineStr">
        <is>
          <t>VÄRMLANDS LÄN</t>
        </is>
      </c>
      <c r="E12873" t="inlineStr">
        <is>
          <t>SUNNE</t>
        </is>
      </c>
      <c r="F12873" t="inlineStr">
        <is>
          <t>Kommuner</t>
        </is>
      </c>
      <c r="G12873" t="n">
        <v>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62168-2023</t>
        </is>
      </c>
      <c r="B12874" s="1" t="n">
        <v>45267</v>
      </c>
      <c r="C12874" s="1" t="n">
        <v>45810</v>
      </c>
      <c r="D12874" t="inlineStr">
        <is>
          <t>VÄRMLANDS LÄN</t>
        </is>
      </c>
      <c r="E12874" t="inlineStr">
        <is>
          <t>TORSBY</t>
        </is>
      </c>
      <c r="F12874" t="inlineStr">
        <is>
          <t>Kommuner</t>
        </is>
      </c>
      <c r="G12874" t="n">
        <v>2.6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62173-2023</t>
        </is>
      </c>
      <c r="B12875" s="1" t="n">
        <v>45267</v>
      </c>
      <c r="C12875" s="1" t="n">
        <v>45810</v>
      </c>
      <c r="D12875" t="inlineStr">
        <is>
          <t>VÄRMLANDS LÄN</t>
        </is>
      </c>
      <c r="E12875" t="inlineStr">
        <is>
          <t>EDA</t>
        </is>
      </c>
      <c r="G12875" t="n">
        <v>1.2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62210-2023</t>
        </is>
      </c>
      <c r="B12876" s="1" t="n">
        <v>45267</v>
      </c>
      <c r="C12876" s="1" t="n">
        <v>45810</v>
      </c>
      <c r="D12876" t="inlineStr">
        <is>
          <t>VÄRMLANDS LÄN</t>
        </is>
      </c>
      <c r="E12876" t="inlineStr">
        <is>
          <t>TORSBY</t>
        </is>
      </c>
      <c r="G12876" t="n">
        <v>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62218-2023</t>
        </is>
      </c>
      <c r="B12877" s="1" t="n">
        <v>45267</v>
      </c>
      <c r="C12877" s="1" t="n">
        <v>45810</v>
      </c>
      <c r="D12877" t="inlineStr">
        <is>
          <t>VÄRMLANDS LÄN</t>
        </is>
      </c>
      <c r="E12877" t="inlineStr">
        <is>
          <t>FILIPSTAD</t>
        </is>
      </c>
      <c r="F12877" t="inlineStr">
        <is>
          <t>Bergvik skog väst AB</t>
        </is>
      </c>
      <c r="G12877" t="n">
        <v>3.8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62236-2023</t>
        </is>
      </c>
      <c r="B12878" s="1" t="n">
        <v>45267</v>
      </c>
      <c r="C12878" s="1" t="n">
        <v>45810</v>
      </c>
      <c r="D12878" t="inlineStr">
        <is>
          <t>VÄRMLANDS LÄN</t>
        </is>
      </c>
      <c r="E12878" t="inlineStr">
        <is>
          <t>TORSBY</t>
        </is>
      </c>
      <c r="G12878" t="n">
        <v>4.4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62240-2023</t>
        </is>
      </c>
      <c r="B12879" s="1" t="n">
        <v>45267</v>
      </c>
      <c r="C12879" s="1" t="n">
        <v>45810</v>
      </c>
      <c r="D12879" t="inlineStr">
        <is>
          <t>VÄRMLANDS LÄN</t>
        </is>
      </c>
      <c r="E12879" t="inlineStr">
        <is>
          <t>TORSBY</t>
        </is>
      </c>
      <c r="G12879" t="n">
        <v>1.5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62297-2023</t>
        </is>
      </c>
      <c r="B12880" s="1" t="n">
        <v>45267</v>
      </c>
      <c r="C12880" s="1" t="n">
        <v>45810</v>
      </c>
      <c r="D12880" t="inlineStr">
        <is>
          <t>VÄRMLANDS LÄN</t>
        </is>
      </c>
      <c r="E12880" t="inlineStr">
        <is>
          <t>KRISTINEHAMN</t>
        </is>
      </c>
      <c r="G12880" t="n">
        <v>1.5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62304-2023</t>
        </is>
      </c>
      <c r="B12881" s="1" t="n">
        <v>45267</v>
      </c>
      <c r="C12881" s="1" t="n">
        <v>45810</v>
      </c>
      <c r="D12881" t="inlineStr">
        <is>
          <t>VÄRMLANDS LÄN</t>
        </is>
      </c>
      <c r="E12881" t="inlineStr">
        <is>
          <t>KARLSTAD</t>
        </is>
      </c>
      <c r="G12881" t="n">
        <v>3.2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62333-2023</t>
        </is>
      </c>
      <c r="B12882" s="1" t="n">
        <v>45267</v>
      </c>
      <c r="C12882" s="1" t="n">
        <v>45810</v>
      </c>
      <c r="D12882" t="inlineStr">
        <is>
          <t>VÄRMLANDS LÄN</t>
        </is>
      </c>
      <c r="E12882" t="inlineStr">
        <is>
          <t>EDA</t>
        </is>
      </c>
      <c r="G12882" t="n">
        <v>1.5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62197-2023</t>
        </is>
      </c>
      <c r="B12883" s="1" t="n">
        <v>45267</v>
      </c>
      <c r="C12883" s="1" t="n">
        <v>45810</v>
      </c>
      <c r="D12883" t="inlineStr">
        <is>
          <t>VÄRMLANDS LÄN</t>
        </is>
      </c>
      <c r="E12883" t="inlineStr">
        <is>
          <t>FILIPSTAD</t>
        </is>
      </c>
      <c r="F12883" t="inlineStr">
        <is>
          <t>Bergvik skog väst AB</t>
        </is>
      </c>
      <c r="G12883" t="n">
        <v>9.9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62225-2023</t>
        </is>
      </c>
      <c r="B12884" s="1" t="n">
        <v>45267</v>
      </c>
      <c r="C12884" s="1" t="n">
        <v>45810</v>
      </c>
      <c r="D12884" t="inlineStr">
        <is>
          <t>VÄRMLANDS LÄN</t>
        </is>
      </c>
      <c r="E12884" t="inlineStr">
        <is>
          <t>SÄFFLE</t>
        </is>
      </c>
      <c r="G12884" t="n">
        <v>1.7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62288-2023</t>
        </is>
      </c>
      <c r="B12885" s="1" t="n">
        <v>45267</v>
      </c>
      <c r="C12885" s="1" t="n">
        <v>45810</v>
      </c>
      <c r="D12885" t="inlineStr">
        <is>
          <t>VÄRMLANDS LÄN</t>
        </is>
      </c>
      <c r="E12885" t="inlineStr">
        <is>
          <t>ÅRJÄNG</t>
        </is>
      </c>
      <c r="G12885" t="n">
        <v>2.3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62298-2023</t>
        </is>
      </c>
      <c r="B12886" s="1" t="n">
        <v>45267</v>
      </c>
      <c r="C12886" s="1" t="n">
        <v>45810</v>
      </c>
      <c r="D12886" t="inlineStr">
        <is>
          <t>VÄRMLANDS LÄN</t>
        </is>
      </c>
      <c r="E12886" t="inlineStr">
        <is>
          <t>SÄFFLE</t>
        </is>
      </c>
      <c r="G12886" t="n">
        <v>1.6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62317-2023</t>
        </is>
      </c>
      <c r="B12887" s="1" t="n">
        <v>45267</v>
      </c>
      <c r="C12887" s="1" t="n">
        <v>45810</v>
      </c>
      <c r="D12887" t="inlineStr">
        <is>
          <t>VÄRMLANDS LÄN</t>
        </is>
      </c>
      <c r="E12887" t="inlineStr">
        <is>
          <t>TORSBY</t>
        </is>
      </c>
      <c r="G12887" t="n">
        <v>0.6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62335-2023</t>
        </is>
      </c>
      <c r="B12888" s="1" t="n">
        <v>45267</v>
      </c>
      <c r="C12888" s="1" t="n">
        <v>45810</v>
      </c>
      <c r="D12888" t="inlineStr">
        <is>
          <t>VÄRMLANDS LÄN</t>
        </is>
      </c>
      <c r="E12888" t="inlineStr">
        <is>
          <t>FILIPSTAD</t>
        </is>
      </c>
      <c r="G12888" t="n">
        <v>1.5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62542-2023</t>
        </is>
      </c>
      <c r="B12889" s="1" t="n">
        <v>45267</v>
      </c>
      <c r="C12889" s="1" t="n">
        <v>45810</v>
      </c>
      <c r="D12889" t="inlineStr">
        <is>
          <t>VÄRMLANDS LÄN</t>
        </is>
      </c>
      <c r="E12889" t="inlineStr">
        <is>
          <t>SUNNE</t>
        </is>
      </c>
      <c r="G12889" t="n">
        <v>1.6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62366-2023</t>
        </is>
      </c>
      <c r="B12890" s="1" t="n">
        <v>45267</v>
      </c>
      <c r="C12890" s="1" t="n">
        <v>45810</v>
      </c>
      <c r="D12890" t="inlineStr">
        <is>
          <t>VÄRMLANDS LÄN</t>
        </is>
      </c>
      <c r="E12890" t="inlineStr">
        <is>
          <t>FILIPSTAD</t>
        </is>
      </c>
      <c r="G12890" t="n">
        <v>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62541-2023</t>
        </is>
      </c>
      <c r="B12891" s="1" t="n">
        <v>45267</v>
      </c>
      <c r="C12891" s="1" t="n">
        <v>45810</v>
      </c>
      <c r="D12891" t="inlineStr">
        <is>
          <t>VÄRMLANDS LÄN</t>
        </is>
      </c>
      <c r="E12891" t="inlineStr">
        <is>
          <t>SUNNE</t>
        </is>
      </c>
      <c r="G12891" t="n">
        <v>7.1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62540-2023</t>
        </is>
      </c>
      <c r="B12892" s="1" t="n">
        <v>45267</v>
      </c>
      <c r="C12892" s="1" t="n">
        <v>45810</v>
      </c>
      <c r="D12892" t="inlineStr">
        <is>
          <t>VÄRMLANDS LÄN</t>
        </is>
      </c>
      <c r="E12892" t="inlineStr">
        <is>
          <t>FILIPSTAD</t>
        </is>
      </c>
      <c r="G12892" t="n">
        <v>1.7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62507-2023</t>
        </is>
      </c>
      <c r="B12893" s="1" t="n">
        <v>45267</v>
      </c>
      <c r="C12893" s="1" t="n">
        <v>45810</v>
      </c>
      <c r="D12893" t="inlineStr">
        <is>
          <t>VÄRMLANDS LÄN</t>
        </is>
      </c>
      <c r="E12893" t="inlineStr">
        <is>
          <t>TORSBY</t>
        </is>
      </c>
      <c r="G12893" t="n">
        <v>3.3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62608-2023</t>
        </is>
      </c>
      <c r="B12894" s="1" t="n">
        <v>45267</v>
      </c>
      <c r="C12894" s="1" t="n">
        <v>45810</v>
      </c>
      <c r="D12894" t="inlineStr">
        <is>
          <t>VÄRMLANDS LÄN</t>
        </is>
      </c>
      <c r="E12894" t="inlineStr">
        <is>
          <t>SÄFFLE</t>
        </is>
      </c>
      <c r="G12894" t="n">
        <v>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62623-2023</t>
        </is>
      </c>
      <c r="B12895" s="1" t="n">
        <v>45267</v>
      </c>
      <c r="C12895" s="1" t="n">
        <v>45810</v>
      </c>
      <c r="D12895" t="inlineStr">
        <is>
          <t>VÄRMLANDS LÄN</t>
        </is>
      </c>
      <c r="E12895" t="inlineStr">
        <is>
          <t>KRISTINEHAMN</t>
        </is>
      </c>
      <c r="G12895" t="n">
        <v>5.7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62609-2023</t>
        </is>
      </c>
      <c r="B12896" s="1" t="n">
        <v>45267</v>
      </c>
      <c r="C12896" s="1" t="n">
        <v>45810</v>
      </c>
      <c r="D12896" t="inlineStr">
        <is>
          <t>VÄRMLANDS LÄN</t>
        </is>
      </c>
      <c r="E12896" t="inlineStr">
        <is>
          <t>ÅRJÄNG</t>
        </is>
      </c>
      <c r="G12896" t="n">
        <v>14.4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62460-2023</t>
        </is>
      </c>
      <c r="B12897" s="1" t="n">
        <v>45268</v>
      </c>
      <c r="C12897" s="1" t="n">
        <v>45810</v>
      </c>
      <c r="D12897" t="inlineStr">
        <is>
          <t>VÄRMLANDS LÄN</t>
        </is>
      </c>
      <c r="E12897" t="inlineStr">
        <is>
          <t>SÄFFLE</t>
        </is>
      </c>
      <c r="G12897" t="n">
        <v>2.6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62372-2023</t>
        </is>
      </c>
      <c r="B12898" s="1" t="n">
        <v>45268</v>
      </c>
      <c r="C12898" s="1" t="n">
        <v>45810</v>
      </c>
      <c r="D12898" t="inlineStr">
        <is>
          <t>VÄRMLANDS LÄN</t>
        </is>
      </c>
      <c r="E12898" t="inlineStr">
        <is>
          <t>ÅRJÄNG</t>
        </is>
      </c>
      <c r="G12898" t="n">
        <v>1.5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62387-2023</t>
        </is>
      </c>
      <c r="B12899" s="1" t="n">
        <v>45268</v>
      </c>
      <c r="C12899" s="1" t="n">
        <v>45810</v>
      </c>
      <c r="D12899" t="inlineStr">
        <is>
          <t>VÄRMLANDS LÄN</t>
        </is>
      </c>
      <c r="E12899" t="inlineStr">
        <is>
          <t>TORSBY</t>
        </is>
      </c>
      <c r="G12899" t="n">
        <v>1.1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62445-2023</t>
        </is>
      </c>
      <c r="B12900" s="1" t="n">
        <v>45268</v>
      </c>
      <c r="C12900" s="1" t="n">
        <v>45810</v>
      </c>
      <c r="D12900" t="inlineStr">
        <is>
          <t>VÄRMLANDS LÄN</t>
        </is>
      </c>
      <c r="E12900" t="inlineStr">
        <is>
          <t>TORSBY</t>
        </is>
      </c>
      <c r="G12900" t="n">
        <v>2.2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62461-2023</t>
        </is>
      </c>
      <c r="B12901" s="1" t="n">
        <v>45268</v>
      </c>
      <c r="C12901" s="1" t="n">
        <v>45810</v>
      </c>
      <c r="D12901" t="inlineStr">
        <is>
          <t>VÄRMLANDS LÄN</t>
        </is>
      </c>
      <c r="E12901" t="inlineStr">
        <is>
          <t>HAGFORS</t>
        </is>
      </c>
      <c r="F12901" t="inlineStr">
        <is>
          <t>Bergvik skog väst AB</t>
        </is>
      </c>
      <c r="G12901" t="n">
        <v>0.8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62417-2023</t>
        </is>
      </c>
      <c r="B12902" s="1" t="n">
        <v>45268</v>
      </c>
      <c r="C12902" s="1" t="n">
        <v>45810</v>
      </c>
      <c r="D12902" t="inlineStr">
        <is>
          <t>VÄRMLANDS LÄN</t>
        </is>
      </c>
      <c r="E12902" t="inlineStr">
        <is>
          <t>ARVIKA</t>
        </is>
      </c>
      <c r="G12902" t="n">
        <v>8.6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62435-2023</t>
        </is>
      </c>
      <c r="B12903" s="1" t="n">
        <v>45268</v>
      </c>
      <c r="C12903" s="1" t="n">
        <v>45810</v>
      </c>
      <c r="D12903" t="inlineStr">
        <is>
          <t>VÄRMLANDS LÄN</t>
        </is>
      </c>
      <c r="E12903" t="inlineStr">
        <is>
          <t>ARVIKA</t>
        </is>
      </c>
      <c r="G12903" t="n">
        <v>3.1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62510-2023</t>
        </is>
      </c>
      <c r="B12904" s="1" t="n">
        <v>45268</v>
      </c>
      <c r="C12904" s="1" t="n">
        <v>45810</v>
      </c>
      <c r="D12904" t="inlineStr">
        <is>
          <t>VÄRMLANDS LÄN</t>
        </is>
      </c>
      <c r="E12904" t="inlineStr">
        <is>
          <t>TORSBY</t>
        </is>
      </c>
      <c r="G12904" t="n">
        <v>10.1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62739-2023</t>
        </is>
      </c>
      <c r="B12905" s="1" t="n">
        <v>45268</v>
      </c>
      <c r="C12905" s="1" t="n">
        <v>45810</v>
      </c>
      <c r="D12905" t="inlineStr">
        <is>
          <t>VÄRMLANDS LÄN</t>
        </is>
      </c>
      <c r="E12905" t="inlineStr">
        <is>
          <t>ÅRJÄNG</t>
        </is>
      </c>
      <c r="G12905" t="n">
        <v>0.7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62777-2023</t>
        </is>
      </c>
      <c r="B12906" s="1" t="n">
        <v>45268</v>
      </c>
      <c r="C12906" s="1" t="n">
        <v>45810</v>
      </c>
      <c r="D12906" t="inlineStr">
        <is>
          <t>VÄRMLANDS LÄN</t>
        </is>
      </c>
      <c r="E12906" t="inlineStr">
        <is>
          <t>KRISTINEHAMN</t>
        </is>
      </c>
      <c r="G12906" t="n">
        <v>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62770-2023</t>
        </is>
      </c>
      <c r="B12907" s="1" t="n">
        <v>45268</v>
      </c>
      <c r="C12907" s="1" t="n">
        <v>45810</v>
      </c>
      <c r="D12907" t="inlineStr">
        <is>
          <t>VÄRMLANDS LÄN</t>
        </is>
      </c>
      <c r="E12907" t="inlineStr">
        <is>
          <t>KRISTINEHAMN</t>
        </is>
      </c>
      <c r="G12907" t="n">
        <v>5.8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62767-2023</t>
        </is>
      </c>
      <c r="B12908" s="1" t="n">
        <v>45268</v>
      </c>
      <c r="C12908" s="1" t="n">
        <v>45810</v>
      </c>
      <c r="D12908" t="inlineStr">
        <is>
          <t>VÄRMLANDS LÄN</t>
        </is>
      </c>
      <c r="E12908" t="inlineStr">
        <is>
          <t>KRISTINEHAMN</t>
        </is>
      </c>
      <c r="G12908" t="n">
        <v>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62843-2023</t>
        </is>
      </c>
      <c r="B12909" s="1" t="n">
        <v>45270</v>
      </c>
      <c r="C12909" s="1" t="n">
        <v>45810</v>
      </c>
      <c r="D12909" t="inlineStr">
        <is>
          <t>VÄRMLANDS LÄN</t>
        </is>
      </c>
      <c r="E12909" t="inlineStr">
        <is>
          <t>ARVIKA</t>
        </is>
      </c>
      <c r="G12909" t="n">
        <v>1.8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62675-2023</t>
        </is>
      </c>
      <c r="B12910" s="1" t="n">
        <v>45271</v>
      </c>
      <c r="C12910" s="1" t="n">
        <v>45810</v>
      </c>
      <c r="D12910" t="inlineStr">
        <is>
          <t>VÄRMLANDS LÄN</t>
        </is>
      </c>
      <c r="E12910" t="inlineStr">
        <is>
          <t>GRUMS</t>
        </is>
      </c>
      <c r="G12910" t="n">
        <v>3.4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62790-2023</t>
        </is>
      </c>
      <c r="B12911" s="1" t="n">
        <v>45271</v>
      </c>
      <c r="C12911" s="1" t="n">
        <v>45810</v>
      </c>
      <c r="D12911" t="inlineStr">
        <is>
          <t>VÄRMLANDS LÄN</t>
        </is>
      </c>
      <c r="E12911" t="inlineStr">
        <is>
          <t>ÅRJÄNG</t>
        </is>
      </c>
      <c r="G12911" t="n">
        <v>0.8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62618-2023</t>
        </is>
      </c>
      <c r="B12912" s="1" t="n">
        <v>45271</v>
      </c>
      <c r="C12912" s="1" t="n">
        <v>45810</v>
      </c>
      <c r="D12912" t="inlineStr">
        <is>
          <t>VÄRMLANDS LÄN</t>
        </is>
      </c>
      <c r="E12912" t="inlineStr">
        <is>
          <t>TORSBY</t>
        </is>
      </c>
      <c r="G12912" t="n">
        <v>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62641-2023</t>
        </is>
      </c>
      <c r="B12913" s="1" t="n">
        <v>45271</v>
      </c>
      <c r="C12913" s="1" t="n">
        <v>45810</v>
      </c>
      <c r="D12913" t="inlineStr">
        <is>
          <t>VÄRMLANDS LÄN</t>
        </is>
      </c>
      <c r="E12913" t="inlineStr">
        <is>
          <t>SÄFFLE</t>
        </is>
      </c>
      <c r="G12913" t="n">
        <v>3.3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62667-2023</t>
        </is>
      </c>
      <c r="B12914" s="1" t="n">
        <v>45271</v>
      </c>
      <c r="C12914" s="1" t="n">
        <v>45810</v>
      </c>
      <c r="D12914" t="inlineStr">
        <is>
          <t>VÄRMLANDS LÄN</t>
        </is>
      </c>
      <c r="E12914" t="inlineStr">
        <is>
          <t>KIL</t>
        </is>
      </c>
      <c r="G12914" t="n">
        <v>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62703-2023</t>
        </is>
      </c>
      <c r="B12915" s="1" t="n">
        <v>45271</v>
      </c>
      <c r="C12915" s="1" t="n">
        <v>45810</v>
      </c>
      <c r="D12915" t="inlineStr">
        <is>
          <t>VÄRMLANDS LÄN</t>
        </is>
      </c>
      <c r="E12915" t="inlineStr">
        <is>
          <t>SUNNE</t>
        </is>
      </c>
      <c r="G12915" t="n">
        <v>0.7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62722-2023</t>
        </is>
      </c>
      <c r="B12916" s="1" t="n">
        <v>45271</v>
      </c>
      <c r="C12916" s="1" t="n">
        <v>45810</v>
      </c>
      <c r="D12916" t="inlineStr">
        <is>
          <t>VÄRMLANDS LÄN</t>
        </is>
      </c>
      <c r="E12916" t="inlineStr">
        <is>
          <t>SUNNE</t>
        </is>
      </c>
      <c r="G12916" t="n">
        <v>0.8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62761-2023</t>
        </is>
      </c>
      <c r="B12917" s="1" t="n">
        <v>45271</v>
      </c>
      <c r="C12917" s="1" t="n">
        <v>45810</v>
      </c>
      <c r="D12917" t="inlineStr">
        <is>
          <t>VÄRMLANDS LÄN</t>
        </is>
      </c>
      <c r="E12917" t="inlineStr">
        <is>
          <t>EDA</t>
        </is>
      </c>
      <c r="G12917" t="n">
        <v>4.4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62769-2023</t>
        </is>
      </c>
      <c r="B12918" s="1" t="n">
        <v>45271</v>
      </c>
      <c r="C12918" s="1" t="n">
        <v>45810</v>
      </c>
      <c r="D12918" t="inlineStr">
        <is>
          <t>VÄRMLANDS LÄN</t>
        </is>
      </c>
      <c r="E12918" t="inlineStr">
        <is>
          <t>STORFORS</t>
        </is>
      </c>
      <c r="F12918" t="inlineStr">
        <is>
          <t>Bergvik skog väst AB</t>
        </is>
      </c>
      <c r="G12918" t="n">
        <v>3.9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62787-2023</t>
        </is>
      </c>
      <c r="B12919" s="1" t="n">
        <v>45271</v>
      </c>
      <c r="C12919" s="1" t="n">
        <v>45810</v>
      </c>
      <c r="D12919" t="inlineStr">
        <is>
          <t>VÄRMLANDS LÄN</t>
        </is>
      </c>
      <c r="E12919" t="inlineStr">
        <is>
          <t>FILIPSTAD</t>
        </is>
      </c>
      <c r="F12919" t="inlineStr">
        <is>
          <t>Bergvik skog väst AB</t>
        </is>
      </c>
      <c r="G12919" t="n">
        <v>2.4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62625-2023</t>
        </is>
      </c>
      <c r="B12920" s="1" t="n">
        <v>45271</v>
      </c>
      <c r="C12920" s="1" t="n">
        <v>45810</v>
      </c>
      <c r="D12920" t="inlineStr">
        <is>
          <t>VÄRMLANDS LÄN</t>
        </is>
      </c>
      <c r="E12920" t="inlineStr">
        <is>
          <t>KIL</t>
        </is>
      </c>
      <c r="G12920" t="n">
        <v>9.199999999999999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62669-2023</t>
        </is>
      </c>
      <c r="B12921" s="1" t="n">
        <v>45271</v>
      </c>
      <c r="C12921" s="1" t="n">
        <v>45810</v>
      </c>
      <c r="D12921" t="inlineStr">
        <is>
          <t>VÄRMLANDS LÄN</t>
        </is>
      </c>
      <c r="E12921" t="inlineStr">
        <is>
          <t>KIL</t>
        </is>
      </c>
      <c r="G12921" t="n">
        <v>0.7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62720-2023</t>
        </is>
      </c>
      <c r="B12922" s="1" t="n">
        <v>45271</v>
      </c>
      <c r="C12922" s="1" t="n">
        <v>45810</v>
      </c>
      <c r="D12922" t="inlineStr">
        <is>
          <t>VÄRMLANDS LÄN</t>
        </is>
      </c>
      <c r="E12922" t="inlineStr">
        <is>
          <t>ÅRJÄNG</t>
        </is>
      </c>
      <c r="G12922" t="n">
        <v>0.8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62808-2023</t>
        </is>
      </c>
      <c r="B12923" s="1" t="n">
        <v>45271</v>
      </c>
      <c r="C12923" s="1" t="n">
        <v>45810</v>
      </c>
      <c r="D12923" t="inlineStr">
        <is>
          <t>VÄRMLANDS LÄN</t>
        </is>
      </c>
      <c r="E12923" t="inlineStr">
        <is>
          <t>KIL</t>
        </is>
      </c>
      <c r="G12923" t="n">
        <v>2.7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62802-2023</t>
        </is>
      </c>
      <c r="B12924" s="1" t="n">
        <v>45271</v>
      </c>
      <c r="C12924" s="1" t="n">
        <v>45810</v>
      </c>
      <c r="D12924" t="inlineStr">
        <is>
          <t>VÄRMLANDS LÄN</t>
        </is>
      </c>
      <c r="E12924" t="inlineStr">
        <is>
          <t>FORSHAGA</t>
        </is>
      </c>
      <c r="G12924" t="n">
        <v>1.5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62807-2023</t>
        </is>
      </c>
      <c r="B12925" s="1" t="n">
        <v>45271</v>
      </c>
      <c r="C12925" s="1" t="n">
        <v>45810</v>
      </c>
      <c r="D12925" t="inlineStr">
        <is>
          <t>VÄRMLANDS LÄN</t>
        </is>
      </c>
      <c r="E12925" t="inlineStr">
        <is>
          <t>KIL</t>
        </is>
      </c>
      <c r="G12925" t="n">
        <v>1.2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62957-2023</t>
        </is>
      </c>
      <c r="B12926" s="1" t="n">
        <v>45271</v>
      </c>
      <c r="C12926" s="1" t="n">
        <v>45810</v>
      </c>
      <c r="D12926" t="inlineStr">
        <is>
          <t>VÄRMLANDS LÄN</t>
        </is>
      </c>
      <c r="E12926" t="inlineStr">
        <is>
          <t>TORSBY</t>
        </is>
      </c>
      <c r="F12926" t="inlineStr">
        <is>
          <t>Övriga statliga verk och myndigheter</t>
        </is>
      </c>
      <c r="G12926" t="n">
        <v>3.5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62950-2023</t>
        </is>
      </c>
      <c r="B12927" s="1" t="n">
        <v>45271</v>
      </c>
      <c r="C12927" s="1" t="n">
        <v>45810</v>
      </c>
      <c r="D12927" t="inlineStr">
        <is>
          <t>VÄRMLANDS LÄN</t>
        </is>
      </c>
      <c r="E12927" t="inlineStr">
        <is>
          <t>TORSBY</t>
        </is>
      </c>
      <c r="G12927" t="n">
        <v>1.1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62682-2023</t>
        </is>
      </c>
      <c r="B12928" s="1" t="n">
        <v>45271</v>
      </c>
      <c r="C12928" s="1" t="n">
        <v>45810</v>
      </c>
      <c r="D12928" t="inlineStr">
        <is>
          <t>VÄRMLANDS LÄN</t>
        </is>
      </c>
      <c r="E12928" t="inlineStr">
        <is>
          <t>GRUMS</t>
        </is>
      </c>
      <c r="G12928" t="n">
        <v>1.7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62729-2023</t>
        </is>
      </c>
      <c r="B12929" s="1" t="n">
        <v>45271</v>
      </c>
      <c r="C12929" s="1" t="n">
        <v>45810</v>
      </c>
      <c r="D12929" t="inlineStr">
        <is>
          <t>VÄRMLANDS LÄN</t>
        </is>
      </c>
      <c r="E12929" t="inlineStr">
        <is>
          <t>SUNNE</t>
        </is>
      </c>
      <c r="G12929" t="n">
        <v>0.8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62762-2023</t>
        </is>
      </c>
      <c r="B12930" s="1" t="n">
        <v>45271</v>
      </c>
      <c r="C12930" s="1" t="n">
        <v>45810</v>
      </c>
      <c r="D12930" t="inlineStr">
        <is>
          <t>VÄRMLANDS LÄN</t>
        </is>
      </c>
      <c r="E12930" t="inlineStr">
        <is>
          <t>SUNNE</t>
        </is>
      </c>
      <c r="G12930" t="n">
        <v>15.5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62778-2023</t>
        </is>
      </c>
      <c r="B12931" s="1" t="n">
        <v>45271</v>
      </c>
      <c r="C12931" s="1" t="n">
        <v>45810</v>
      </c>
      <c r="D12931" t="inlineStr">
        <is>
          <t>VÄRMLANDS LÄN</t>
        </is>
      </c>
      <c r="E12931" t="inlineStr">
        <is>
          <t>ARVIKA</t>
        </is>
      </c>
      <c r="F12931" t="inlineStr">
        <is>
          <t>Bergvik skog väst AB</t>
        </is>
      </c>
      <c r="G12931" t="n">
        <v>7.8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62963-2023</t>
        </is>
      </c>
      <c r="B12932" s="1" t="n">
        <v>45271</v>
      </c>
      <c r="C12932" s="1" t="n">
        <v>45810</v>
      </c>
      <c r="D12932" t="inlineStr">
        <is>
          <t>VÄRMLANDS LÄN</t>
        </is>
      </c>
      <c r="E12932" t="inlineStr">
        <is>
          <t>ÅRJÄNG</t>
        </is>
      </c>
      <c r="G12932" t="n">
        <v>0.5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62867-2023</t>
        </is>
      </c>
      <c r="B12933" s="1" t="n">
        <v>45272</v>
      </c>
      <c r="C12933" s="1" t="n">
        <v>45810</v>
      </c>
      <c r="D12933" t="inlineStr">
        <is>
          <t>VÄRMLANDS LÄN</t>
        </is>
      </c>
      <c r="E12933" t="inlineStr">
        <is>
          <t>KRISTINEHAMN</t>
        </is>
      </c>
      <c r="G12933" t="n">
        <v>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62896-2023</t>
        </is>
      </c>
      <c r="B12934" s="1" t="n">
        <v>45272</v>
      </c>
      <c r="C12934" s="1" t="n">
        <v>45810</v>
      </c>
      <c r="D12934" t="inlineStr">
        <is>
          <t>VÄRMLANDS LÄN</t>
        </is>
      </c>
      <c r="E12934" t="inlineStr">
        <is>
          <t>GRUMS</t>
        </is>
      </c>
      <c r="G12934" t="n">
        <v>13.8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62922-2023</t>
        </is>
      </c>
      <c r="B12935" s="1" t="n">
        <v>45272</v>
      </c>
      <c r="C12935" s="1" t="n">
        <v>45810</v>
      </c>
      <c r="D12935" t="inlineStr">
        <is>
          <t>VÄRMLANDS LÄN</t>
        </is>
      </c>
      <c r="E12935" t="inlineStr">
        <is>
          <t>FORSHAGA</t>
        </is>
      </c>
      <c r="G12935" t="n">
        <v>2.1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62977-2023</t>
        </is>
      </c>
      <c r="B12936" s="1" t="n">
        <v>45272</v>
      </c>
      <c r="C12936" s="1" t="n">
        <v>45810</v>
      </c>
      <c r="D12936" t="inlineStr">
        <is>
          <t>VÄRMLANDS LÄN</t>
        </is>
      </c>
      <c r="E12936" t="inlineStr">
        <is>
          <t>MUNKFORS</t>
        </is>
      </c>
      <c r="G12936" t="n">
        <v>3.4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63022-2023</t>
        </is>
      </c>
      <c r="B12937" s="1" t="n">
        <v>45272</v>
      </c>
      <c r="C12937" s="1" t="n">
        <v>45810</v>
      </c>
      <c r="D12937" t="inlineStr">
        <is>
          <t>VÄRMLANDS LÄN</t>
        </is>
      </c>
      <c r="E12937" t="inlineStr">
        <is>
          <t>SUNNE</t>
        </is>
      </c>
      <c r="G12937" t="n">
        <v>1.1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63030-2023</t>
        </is>
      </c>
      <c r="B12938" s="1" t="n">
        <v>45272</v>
      </c>
      <c r="C12938" s="1" t="n">
        <v>45810</v>
      </c>
      <c r="D12938" t="inlineStr">
        <is>
          <t>VÄRMLANDS LÄN</t>
        </is>
      </c>
      <c r="E12938" t="inlineStr">
        <is>
          <t>TORSBY</t>
        </is>
      </c>
      <c r="G12938" t="n">
        <v>5.2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62864-2023</t>
        </is>
      </c>
      <c r="B12939" s="1" t="n">
        <v>45272</v>
      </c>
      <c r="C12939" s="1" t="n">
        <v>45810</v>
      </c>
      <c r="D12939" t="inlineStr">
        <is>
          <t>VÄRMLANDS LÄN</t>
        </is>
      </c>
      <c r="E12939" t="inlineStr">
        <is>
          <t>KRISTINEHAMN</t>
        </is>
      </c>
      <c r="G12939" t="n">
        <v>5.3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62905-2023</t>
        </is>
      </c>
      <c r="B12940" s="1" t="n">
        <v>45272</v>
      </c>
      <c r="C12940" s="1" t="n">
        <v>45810</v>
      </c>
      <c r="D12940" t="inlineStr">
        <is>
          <t>VÄRMLANDS LÄN</t>
        </is>
      </c>
      <c r="E12940" t="inlineStr">
        <is>
          <t>GRUMS</t>
        </is>
      </c>
      <c r="G12940" t="n">
        <v>13.8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62920-2023</t>
        </is>
      </c>
      <c r="B12941" s="1" t="n">
        <v>45272</v>
      </c>
      <c r="C12941" s="1" t="n">
        <v>45810</v>
      </c>
      <c r="D12941" t="inlineStr">
        <is>
          <t>VÄRMLANDS LÄN</t>
        </is>
      </c>
      <c r="E12941" t="inlineStr">
        <is>
          <t>KARLSTAD</t>
        </is>
      </c>
      <c r="G12941" t="n">
        <v>1.6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62897-2023</t>
        </is>
      </c>
      <c r="B12942" s="1" t="n">
        <v>45272</v>
      </c>
      <c r="C12942" s="1" t="n">
        <v>45810</v>
      </c>
      <c r="D12942" t="inlineStr">
        <is>
          <t>VÄRMLANDS LÄN</t>
        </is>
      </c>
      <c r="E12942" t="inlineStr">
        <is>
          <t>KARLSTAD</t>
        </is>
      </c>
      <c r="G12942" t="n">
        <v>0.8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62904-2023</t>
        </is>
      </c>
      <c r="B12943" s="1" t="n">
        <v>45272</v>
      </c>
      <c r="C12943" s="1" t="n">
        <v>45810</v>
      </c>
      <c r="D12943" t="inlineStr">
        <is>
          <t>VÄRMLANDS LÄN</t>
        </is>
      </c>
      <c r="E12943" t="inlineStr">
        <is>
          <t>SUNNE</t>
        </is>
      </c>
      <c r="F12943" t="inlineStr">
        <is>
          <t>Kommuner</t>
        </is>
      </c>
      <c r="G12943" t="n">
        <v>4.8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62917-2023</t>
        </is>
      </c>
      <c r="B12944" s="1" t="n">
        <v>45272</v>
      </c>
      <c r="C12944" s="1" t="n">
        <v>45810</v>
      </c>
      <c r="D12944" t="inlineStr">
        <is>
          <t>VÄRMLANDS LÄN</t>
        </is>
      </c>
      <c r="E12944" t="inlineStr">
        <is>
          <t>KARLSTAD</t>
        </is>
      </c>
      <c r="G12944" t="n">
        <v>0.7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62923-2023</t>
        </is>
      </c>
      <c r="B12945" s="1" t="n">
        <v>45272</v>
      </c>
      <c r="C12945" s="1" t="n">
        <v>45810</v>
      </c>
      <c r="D12945" t="inlineStr">
        <is>
          <t>VÄRMLANDS LÄN</t>
        </is>
      </c>
      <c r="E12945" t="inlineStr">
        <is>
          <t>KARLSTAD</t>
        </is>
      </c>
      <c r="G12945" t="n">
        <v>1.1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62966-2023</t>
        </is>
      </c>
      <c r="B12946" s="1" t="n">
        <v>45272</v>
      </c>
      <c r="C12946" s="1" t="n">
        <v>45810</v>
      </c>
      <c r="D12946" t="inlineStr">
        <is>
          <t>VÄRMLANDS LÄN</t>
        </is>
      </c>
      <c r="E12946" t="inlineStr">
        <is>
          <t>ÅRJÄNG</t>
        </is>
      </c>
      <c r="G12946" t="n">
        <v>4.5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63031-2023</t>
        </is>
      </c>
      <c r="B12947" s="1" t="n">
        <v>45272</v>
      </c>
      <c r="C12947" s="1" t="n">
        <v>45810</v>
      </c>
      <c r="D12947" t="inlineStr">
        <is>
          <t>VÄRMLANDS LÄN</t>
        </is>
      </c>
      <c r="E12947" t="inlineStr">
        <is>
          <t>TORSBY</t>
        </is>
      </c>
      <c r="G12947" t="n">
        <v>0.8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62902-2023</t>
        </is>
      </c>
      <c r="B12948" s="1" t="n">
        <v>45272</v>
      </c>
      <c r="C12948" s="1" t="n">
        <v>45810</v>
      </c>
      <c r="D12948" t="inlineStr">
        <is>
          <t>VÄRMLANDS LÄN</t>
        </is>
      </c>
      <c r="E12948" t="inlineStr">
        <is>
          <t>KARLSTAD</t>
        </is>
      </c>
      <c r="G12948" t="n">
        <v>2.4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62947-2023</t>
        </is>
      </c>
      <c r="B12949" s="1" t="n">
        <v>45272</v>
      </c>
      <c r="C12949" s="1" t="n">
        <v>45810</v>
      </c>
      <c r="D12949" t="inlineStr">
        <is>
          <t>VÄRMLANDS LÄN</t>
        </is>
      </c>
      <c r="E12949" t="inlineStr">
        <is>
          <t>GRUMS</t>
        </is>
      </c>
      <c r="G12949" t="n">
        <v>1.7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63024-2023</t>
        </is>
      </c>
      <c r="B12950" s="1" t="n">
        <v>45272</v>
      </c>
      <c r="C12950" s="1" t="n">
        <v>45810</v>
      </c>
      <c r="D12950" t="inlineStr">
        <is>
          <t>VÄRMLANDS LÄN</t>
        </is>
      </c>
      <c r="E12950" t="inlineStr">
        <is>
          <t>ARVIKA</t>
        </is>
      </c>
      <c r="G12950" t="n">
        <v>1.3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63028-2023</t>
        </is>
      </c>
      <c r="B12951" s="1" t="n">
        <v>45272</v>
      </c>
      <c r="C12951" s="1" t="n">
        <v>45810</v>
      </c>
      <c r="D12951" t="inlineStr">
        <is>
          <t>VÄRMLANDS LÄN</t>
        </is>
      </c>
      <c r="E12951" t="inlineStr">
        <is>
          <t>TORSBY</t>
        </is>
      </c>
      <c r="G12951" t="n">
        <v>2.8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63032-2023</t>
        </is>
      </c>
      <c r="B12952" s="1" t="n">
        <v>45272</v>
      </c>
      <c r="C12952" s="1" t="n">
        <v>45810</v>
      </c>
      <c r="D12952" t="inlineStr">
        <is>
          <t>VÄRMLANDS LÄN</t>
        </is>
      </c>
      <c r="E12952" t="inlineStr">
        <is>
          <t>TORSBY</t>
        </is>
      </c>
      <c r="G12952" t="n">
        <v>2.8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63040-2023</t>
        </is>
      </c>
      <c r="B12953" s="1" t="n">
        <v>45272</v>
      </c>
      <c r="C12953" s="1" t="n">
        <v>45810</v>
      </c>
      <c r="D12953" t="inlineStr">
        <is>
          <t>VÄRMLANDS LÄN</t>
        </is>
      </c>
      <c r="E12953" t="inlineStr">
        <is>
          <t>EDA</t>
        </is>
      </c>
      <c r="G12953" t="n">
        <v>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63025-2023</t>
        </is>
      </c>
      <c r="B12954" s="1" t="n">
        <v>45272</v>
      </c>
      <c r="C12954" s="1" t="n">
        <v>45810</v>
      </c>
      <c r="D12954" t="inlineStr">
        <is>
          <t>VÄRMLANDS LÄN</t>
        </is>
      </c>
      <c r="E12954" t="inlineStr">
        <is>
          <t>ARVIKA</t>
        </is>
      </c>
      <c r="G12954" t="n">
        <v>1.5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63177-2023</t>
        </is>
      </c>
      <c r="B12955" s="1" t="n">
        <v>45272</v>
      </c>
      <c r="C12955" s="1" t="n">
        <v>45810</v>
      </c>
      <c r="D12955" t="inlineStr">
        <is>
          <t>VÄRMLANDS LÄN</t>
        </is>
      </c>
      <c r="E12955" t="inlineStr">
        <is>
          <t>TORSBY</t>
        </is>
      </c>
      <c r="G12955" t="n">
        <v>14.9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63217-2023</t>
        </is>
      </c>
      <c r="B12956" s="1" t="n">
        <v>45273</v>
      </c>
      <c r="C12956" s="1" t="n">
        <v>45810</v>
      </c>
      <c r="D12956" t="inlineStr">
        <is>
          <t>VÄRMLANDS LÄN</t>
        </is>
      </c>
      <c r="E12956" t="inlineStr">
        <is>
          <t>ARVIKA</t>
        </is>
      </c>
      <c r="G12956" t="n">
        <v>0.6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63080-2023</t>
        </is>
      </c>
      <c r="B12957" s="1" t="n">
        <v>45273</v>
      </c>
      <c r="C12957" s="1" t="n">
        <v>45810</v>
      </c>
      <c r="D12957" t="inlineStr">
        <is>
          <t>VÄRMLANDS LÄN</t>
        </is>
      </c>
      <c r="E12957" t="inlineStr">
        <is>
          <t>SÄFFLE</t>
        </is>
      </c>
      <c r="G12957" t="n">
        <v>11.2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63085-2023</t>
        </is>
      </c>
      <c r="B12958" s="1" t="n">
        <v>45273</v>
      </c>
      <c r="C12958" s="1" t="n">
        <v>45810</v>
      </c>
      <c r="D12958" t="inlineStr">
        <is>
          <t>VÄRMLANDS LÄN</t>
        </is>
      </c>
      <c r="E12958" t="inlineStr">
        <is>
          <t>EDA</t>
        </is>
      </c>
      <c r="G12958" t="n">
        <v>9.1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63160-2023</t>
        </is>
      </c>
      <c r="B12959" s="1" t="n">
        <v>45273</v>
      </c>
      <c r="C12959" s="1" t="n">
        <v>45810</v>
      </c>
      <c r="D12959" t="inlineStr">
        <is>
          <t>VÄRMLANDS LÄN</t>
        </is>
      </c>
      <c r="E12959" t="inlineStr">
        <is>
          <t>TORSBY</t>
        </is>
      </c>
      <c r="G12959" t="n">
        <v>2.8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63128-2023</t>
        </is>
      </c>
      <c r="B12960" s="1" t="n">
        <v>45273</v>
      </c>
      <c r="C12960" s="1" t="n">
        <v>45810</v>
      </c>
      <c r="D12960" t="inlineStr">
        <is>
          <t>VÄRMLANDS LÄN</t>
        </is>
      </c>
      <c r="E12960" t="inlineStr">
        <is>
          <t>ARVIKA</t>
        </is>
      </c>
      <c r="G12960" t="n">
        <v>1.7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63146-2023</t>
        </is>
      </c>
      <c r="B12961" s="1" t="n">
        <v>45273</v>
      </c>
      <c r="C12961" s="1" t="n">
        <v>45810</v>
      </c>
      <c r="D12961" t="inlineStr">
        <is>
          <t>VÄRMLANDS LÄN</t>
        </is>
      </c>
      <c r="E12961" t="inlineStr">
        <is>
          <t>TORSBY</t>
        </is>
      </c>
      <c r="F12961" t="inlineStr">
        <is>
          <t>Bergvik skog väst AB</t>
        </is>
      </c>
      <c r="G12961" t="n">
        <v>4.9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63266-2023</t>
        </is>
      </c>
      <c r="B12962" s="1" t="n">
        <v>45273</v>
      </c>
      <c r="C12962" s="1" t="n">
        <v>45810</v>
      </c>
      <c r="D12962" t="inlineStr">
        <is>
          <t>VÄRMLANDS LÄN</t>
        </is>
      </c>
      <c r="E12962" t="inlineStr">
        <is>
          <t>TORSBY</t>
        </is>
      </c>
      <c r="G12962" t="n">
        <v>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63083-2023</t>
        </is>
      </c>
      <c r="B12963" s="1" t="n">
        <v>45273</v>
      </c>
      <c r="C12963" s="1" t="n">
        <v>45810</v>
      </c>
      <c r="D12963" t="inlineStr">
        <is>
          <t>VÄRMLANDS LÄN</t>
        </is>
      </c>
      <c r="E12963" t="inlineStr">
        <is>
          <t>TORSBY</t>
        </is>
      </c>
      <c r="G12963" t="n">
        <v>0.5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63090-2023</t>
        </is>
      </c>
      <c r="B12964" s="1" t="n">
        <v>45273</v>
      </c>
      <c r="C12964" s="1" t="n">
        <v>45810</v>
      </c>
      <c r="D12964" t="inlineStr">
        <is>
          <t>VÄRMLANDS LÄN</t>
        </is>
      </c>
      <c r="E12964" t="inlineStr">
        <is>
          <t>SUNNE</t>
        </is>
      </c>
      <c r="G12964" t="n">
        <v>4.5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63095-2023</t>
        </is>
      </c>
      <c r="B12965" s="1" t="n">
        <v>45273</v>
      </c>
      <c r="C12965" s="1" t="n">
        <v>45810</v>
      </c>
      <c r="D12965" t="inlineStr">
        <is>
          <t>VÄRMLANDS LÄN</t>
        </is>
      </c>
      <c r="E12965" t="inlineStr">
        <is>
          <t>SUNNE</t>
        </is>
      </c>
      <c r="G12965" t="n">
        <v>0.4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63184-2023</t>
        </is>
      </c>
      <c r="B12966" s="1" t="n">
        <v>45273</v>
      </c>
      <c r="C12966" s="1" t="n">
        <v>45810</v>
      </c>
      <c r="D12966" t="inlineStr">
        <is>
          <t>VÄRMLANDS LÄN</t>
        </is>
      </c>
      <c r="E12966" t="inlineStr">
        <is>
          <t>ARVIKA</t>
        </is>
      </c>
      <c r="G12966" t="n">
        <v>1.4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63244-2023</t>
        </is>
      </c>
      <c r="B12967" s="1" t="n">
        <v>45273</v>
      </c>
      <c r="C12967" s="1" t="n">
        <v>45810</v>
      </c>
      <c r="D12967" t="inlineStr">
        <is>
          <t>VÄRMLANDS LÄN</t>
        </is>
      </c>
      <c r="E12967" t="inlineStr">
        <is>
          <t>TORSBY</t>
        </is>
      </c>
      <c r="G12967" t="n">
        <v>1.9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63282-2023</t>
        </is>
      </c>
      <c r="B12968" s="1" t="n">
        <v>45273</v>
      </c>
      <c r="C12968" s="1" t="n">
        <v>45810</v>
      </c>
      <c r="D12968" t="inlineStr">
        <is>
          <t>VÄRMLANDS LÄN</t>
        </is>
      </c>
      <c r="E12968" t="inlineStr">
        <is>
          <t>KARLSTAD</t>
        </is>
      </c>
      <c r="G12968" t="n">
        <v>1.8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63272-2023</t>
        </is>
      </c>
      <c r="B12969" s="1" t="n">
        <v>45273</v>
      </c>
      <c r="C12969" s="1" t="n">
        <v>45810</v>
      </c>
      <c r="D12969" t="inlineStr">
        <is>
          <t>VÄRMLANDS LÄN</t>
        </is>
      </c>
      <c r="E12969" t="inlineStr">
        <is>
          <t>EDA</t>
        </is>
      </c>
      <c r="G12969" t="n">
        <v>0.5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63280-2023</t>
        </is>
      </c>
      <c r="B12970" s="1" t="n">
        <v>45273</v>
      </c>
      <c r="C12970" s="1" t="n">
        <v>45810</v>
      </c>
      <c r="D12970" t="inlineStr">
        <is>
          <t>VÄRMLANDS LÄN</t>
        </is>
      </c>
      <c r="E12970" t="inlineStr">
        <is>
          <t>KARLSTAD</t>
        </is>
      </c>
      <c r="G12970" t="n">
        <v>0.7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63158-2023</t>
        </is>
      </c>
      <c r="B12971" s="1" t="n">
        <v>45273</v>
      </c>
      <c r="C12971" s="1" t="n">
        <v>45810</v>
      </c>
      <c r="D12971" t="inlineStr">
        <is>
          <t>VÄRMLANDS LÄN</t>
        </is>
      </c>
      <c r="E12971" t="inlineStr">
        <is>
          <t>TORSBY</t>
        </is>
      </c>
      <c r="G12971" t="n">
        <v>0.9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63208-2023</t>
        </is>
      </c>
      <c r="B12972" s="1" t="n">
        <v>45273</v>
      </c>
      <c r="C12972" s="1" t="n">
        <v>45810</v>
      </c>
      <c r="D12972" t="inlineStr">
        <is>
          <t>VÄRMLANDS LÄN</t>
        </is>
      </c>
      <c r="E12972" t="inlineStr">
        <is>
          <t>ARVIKA</t>
        </is>
      </c>
      <c r="G12972" t="n">
        <v>0.8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63377-2023</t>
        </is>
      </c>
      <c r="B12973" s="1" t="n">
        <v>45273</v>
      </c>
      <c r="C12973" s="1" t="n">
        <v>45810</v>
      </c>
      <c r="D12973" t="inlineStr">
        <is>
          <t>VÄRMLANDS LÄN</t>
        </is>
      </c>
      <c r="E12973" t="inlineStr">
        <is>
          <t>SUNNE</t>
        </is>
      </c>
      <c r="G12973" t="n">
        <v>1.5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63360-2023</t>
        </is>
      </c>
      <c r="B12974" s="1" t="n">
        <v>45273</v>
      </c>
      <c r="C12974" s="1" t="n">
        <v>45810</v>
      </c>
      <c r="D12974" t="inlineStr">
        <is>
          <t>VÄRMLANDS LÄN</t>
        </is>
      </c>
      <c r="E12974" t="inlineStr">
        <is>
          <t>SUNNE</t>
        </is>
      </c>
      <c r="G12974" t="n">
        <v>3.6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63370-2023</t>
        </is>
      </c>
      <c r="B12975" s="1" t="n">
        <v>45273</v>
      </c>
      <c r="C12975" s="1" t="n">
        <v>45810</v>
      </c>
      <c r="D12975" t="inlineStr">
        <is>
          <t>VÄRMLANDS LÄN</t>
        </is>
      </c>
      <c r="E12975" t="inlineStr">
        <is>
          <t>SUNNE</t>
        </is>
      </c>
      <c r="G12975" t="n">
        <v>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63363-2023</t>
        </is>
      </c>
      <c r="B12976" s="1" t="n">
        <v>45273</v>
      </c>
      <c r="C12976" s="1" t="n">
        <v>45810</v>
      </c>
      <c r="D12976" t="inlineStr">
        <is>
          <t>VÄRMLANDS LÄN</t>
        </is>
      </c>
      <c r="E12976" t="inlineStr">
        <is>
          <t>TORSBY</t>
        </is>
      </c>
      <c r="G12976" t="n">
        <v>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63378-2023</t>
        </is>
      </c>
      <c r="B12977" s="1" t="n">
        <v>45274</v>
      </c>
      <c r="C12977" s="1" t="n">
        <v>45810</v>
      </c>
      <c r="D12977" t="inlineStr">
        <is>
          <t>VÄRMLANDS LÄN</t>
        </is>
      </c>
      <c r="E12977" t="inlineStr">
        <is>
          <t>HAGFORS</t>
        </is>
      </c>
      <c r="F12977" t="inlineStr">
        <is>
          <t>Bergvik skog väst AB</t>
        </is>
      </c>
      <c r="G12977" t="n">
        <v>2.2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63399-2023</t>
        </is>
      </c>
      <c r="B12978" s="1" t="n">
        <v>45274</v>
      </c>
      <c r="C12978" s="1" t="n">
        <v>45810</v>
      </c>
      <c r="D12978" t="inlineStr">
        <is>
          <t>VÄRMLANDS LÄN</t>
        </is>
      </c>
      <c r="E12978" t="inlineStr">
        <is>
          <t>TORSBY</t>
        </is>
      </c>
      <c r="F12978" t="inlineStr">
        <is>
          <t>Bergvik skog väst AB</t>
        </is>
      </c>
      <c r="G12978" t="n">
        <v>4.7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63411-2023</t>
        </is>
      </c>
      <c r="B12979" s="1" t="n">
        <v>45274</v>
      </c>
      <c r="C12979" s="1" t="n">
        <v>45810</v>
      </c>
      <c r="D12979" t="inlineStr">
        <is>
          <t>VÄRMLANDS LÄN</t>
        </is>
      </c>
      <c r="E12979" t="inlineStr">
        <is>
          <t>FILIPSTAD</t>
        </is>
      </c>
      <c r="G12979" t="n">
        <v>2.4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63435-2023</t>
        </is>
      </c>
      <c r="B12980" s="1" t="n">
        <v>45274</v>
      </c>
      <c r="C12980" s="1" t="n">
        <v>45810</v>
      </c>
      <c r="D12980" t="inlineStr">
        <is>
          <t>VÄRMLANDS LÄN</t>
        </is>
      </c>
      <c r="E12980" t="inlineStr">
        <is>
          <t>STORFORS</t>
        </is>
      </c>
      <c r="F12980" t="inlineStr">
        <is>
          <t>Kyrkan</t>
        </is>
      </c>
      <c r="G12980" t="n">
        <v>9.199999999999999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63359-2023</t>
        </is>
      </c>
      <c r="B12981" s="1" t="n">
        <v>45274</v>
      </c>
      <c r="C12981" s="1" t="n">
        <v>45810</v>
      </c>
      <c r="D12981" t="inlineStr">
        <is>
          <t>VÄRMLANDS LÄN</t>
        </is>
      </c>
      <c r="E12981" t="inlineStr">
        <is>
          <t>ARVIKA</t>
        </is>
      </c>
      <c r="F12981" t="inlineStr">
        <is>
          <t>Bergvik skog väst AB</t>
        </is>
      </c>
      <c r="G12981" t="n">
        <v>0.9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63416-2023</t>
        </is>
      </c>
      <c r="B12982" s="1" t="n">
        <v>45274</v>
      </c>
      <c r="C12982" s="1" t="n">
        <v>45810</v>
      </c>
      <c r="D12982" t="inlineStr">
        <is>
          <t>VÄRMLANDS LÄN</t>
        </is>
      </c>
      <c r="E12982" t="inlineStr">
        <is>
          <t>FILIPSTAD</t>
        </is>
      </c>
      <c r="G12982" t="n">
        <v>0.9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63376-2023</t>
        </is>
      </c>
      <c r="B12983" s="1" t="n">
        <v>45274</v>
      </c>
      <c r="C12983" s="1" t="n">
        <v>45810</v>
      </c>
      <c r="D12983" t="inlineStr">
        <is>
          <t>VÄRMLANDS LÄN</t>
        </is>
      </c>
      <c r="E12983" t="inlineStr">
        <is>
          <t>EDA</t>
        </is>
      </c>
      <c r="G12983" t="n">
        <v>4.4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63518-2023</t>
        </is>
      </c>
      <c r="B12984" s="1" t="n">
        <v>45274</v>
      </c>
      <c r="C12984" s="1" t="n">
        <v>45810</v>
      </c>
      <c r="D12984" t="inlineStr">
        <is>
          <t>VÄRMLANDS LÄN</t>
        </is>
      </c>
      <c r="E12984" t="inlineStr">
        <is>
          <t>SUNNE</t>
        </is>
      </c>
      <c r="G12984" t="n">
        <v>0.9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63307-2023</t>
        </is>
      </c>
      <c r="B12985" s="1" t="n">
        <v>45274</v>
      </c>
      <c r="C12985" s="1" t="n">
        <v>45810</v>
      </c>
      <c r="D12985" t="inlineStr">
        <is>
          <t>VÄRMLANDS LÄN</t>
        </is>
      </c>
      <c r="E12985" t="inlineStr">
        <is>
          <t>ÅRJÄNG</t>
        </is>
      </c>
      <c r="G12985" t="n">
        <v>1.9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63311-2023</t>
        </is>
      </c>
      <c r="B12986" s="1" t="n">
        <v>45274</v>
      </c>
      <c r="C12986" s="1" t="n">
        <v>45810</v>
      </c>
      <c r="D12986" t="inlineStr">
        <is>
          <t>VÄRMLANDS LÄN</t>
        </is>
      </c>
      <c r="E12986" t="inlineStr">
        <is>
          <t>FORSHAGA</t>
        </is>
      </c>
      <c r="G12986" t="n">
        <v>2.7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63315-2023</t>
        </is>
      </c>
      <c r="B12987" s="1" t="n">
        <v>45274</v>
      </c>
      <c r="C12987" s="1" t="n">
        <v>45810</v>
      </c>
      <c r="D12987" t="inlineStr">
        <is>
          <t>VÄRMLANDS LÄN</t>
        </is>
      </c>
      <c r="E12987" t="inlineStr">
        <is>
          <t>FORSHAGA</t>
        </is>
      </c>
      <c r="G12987" t="n">
        <v>6.3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63409-2023</t>
        </is>
      </c>
      <c r="B12988" s="1" t="n">
        <v>45274</v>
      </c>
      <c r="C12988" s="1" t="n">
        <v>45810</v>
      </c>
      <c r="D12988" t="inlineStr">
        <is>
          <t>VÄRMLANDS LÄN</t>
        </is>
      </c>
      <c r="E12988" t="inlineStr">
        <is>
          <t>TORSBY</t>
        </is>
      </c>
      <c r="G12988" t="n">
        <v>1.4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63421-2023</t>
        </is>
      </c>
      <c r="B12989" s="1" t="n">
        <v>45274</v>
      </c>
      <c r="C12989" s="1" t="n">
        <v>45810</v>
      </c>
      <c r="D12989" t="inlineStr">
        <is>
          <t>VÄRMLANDS LÄN</t>
        </is>
      </c>
      <c r="E12989" t="inlineStr">
        <is>
          <t>FILIPSTAD</t>
        </is>
      </c>
      <c r="G12989" t="n">
        <v>1.6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63318-2023</t>
        </is>
      </c>
      <c r="B12990" s="1" t="n">
        <v>45274</v>
      </c>
      <c r="C12990" s="1" t="n">
        <v>45810</v>
      </c>
      <c r="D12990" t="inlineStr">
        <is>
          <t>VÄRMLANDS LÄN</t>
        </is>
      </c>
      <c r="E12990" t="inlineStr">
        <is>
          <t>FORSHAGA</t>
        </is>
      </c>
      <c r="G12990" t="n">
        <v>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63317-2023</t>
        </is>
      </c>
      <c r="B12991" s="1" t="n">
        <v>45274</v>
      </c>
      <c r="C12991" s="1" t="n">
        <v>45810</v>
      </c>
      <c r="D12991" t="inlineStr">
        <is>
          <t>VÄRMLANDS LÄN</t>
        </is>
      </c>
      <c r="E12991" t="inlineStr">
        <is>
          <t>FORSHAGA</t>
        </is>
      </c>
      <c r="F12991" t="inlineStr">
        <is>
          <t>Bergvik skog väst AB</t>
        </is>
      </c>
      <c r="G12991" t="n">
        <v>2.3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63488-2023</t>
        </is>
      </c>
      <c r="B12992" s="1" t="n">
        <v>45274</v>
      </c>
      <c r="C12992" s="1" t="n">
        <v>45810</v>
      </c>
      <c r="D12992" t="inlineStr">
        <is>
          <t>VÄRMLANDS LÄN</t>
        </is>
      </c>
      <c r="E12992" t="inlineStr">
        <is>
          <t>EDA</t>
        </is>
      </c>
      <c r="G12992" t="n">
        <v>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63517-2023</t>
        </is>
      </c>
      <c r="B12993" s="1" t="n">
        <v>45274</v>
      </c>
      <c r="C12993" s="1" t="n">
        <v>45810</v>
      </c>
      <c r="D12993" t="inlineStr">
        <is>
          <t>VÄRMLANDS LÄN</t>
        </is>
      </c>
      <c r="E12993" t="inlineStr">
        <is>
          <t>SÄFFLE</t>
        </is>
      </c>
      <c r="G12993" t="n">
        <v>15.5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63321-2023</t>
        </is>
      </c>
      <c r="B12994" s="1" t="n">
        <v>45274</v>
      </c>
      <c r="C12994" s="1" t="n">
        <v>45810</v>
      </c>
      <c r="D12994" t="inlineStr">
        <is>
          <t>VÄRMLANDS LÄN</t>
        </is>
      </c>
      <c r="E12994" t="inlineStr">
        <is>
          <t>FORSHAGA</t>
        </is>
      </c>
      <c r="G12994" t="n">
        <v>1.3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63345-2023</t>
        </is>
      </c>
      <c r="B12995" s="1" t="n">
        <v>45274</v>
      </c>
      <c r="C12995" s="1" t="n">
        <v>45810</v>
      </c>
      <c r="D12995" t="inlineStr">
        <is>
          <t>VÄRMLANDS LÄN</t>
        </is>
      </c>
      <c r="E12995" t="inlineStr">
        <is>
          <t>ARVIKA</t>
        </is>
      </c>
      <c r="F12995" t="inlineStr">
        <is>
          <t>Bergvik skog väst AB</t>
        </is>
      </c>
      <c r="G12995" t="n">
        <v>4.5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63566-2023</t>
        </is>
      </c>
      <c r="B12996" s="1" t="n">
        <v>45275</v>
      </c>
      <c r="C12996" s="1" t="n">
        <v>45810</v>
      </c>
      <c r="D12996" t="inlineStr">
        <is>
          <t>VÄRMLANDS LÄN</t>
        </is>
      </c>
      <c r="E12996" t="inlineStr">
        <is>
          <t>STORFORS</t>
        </is>
      </c>
      <c r="F12996" t="inlineStr">
        <is>
          <t>Bergvik skog väst AB</t>
        </is>
      </c>
      <c r="G12996" t="n">
        <v>36.4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63622-2023</t>
        </is>
      </c>
      <c r="B12997" s="1" t="n">
        <v>45275</v>
      </c>
      <c r="C12997" s="1" t="n">
        <v>45810</v>
      </c>
      <c r="D12997" t="inlineStr">
        <is>
          <t>VÄRMLANDS LÄN</t>
        </is>
      </c>
      <c r="E12997" t="inlineStr">
        <is>
          <t>FILIPSTAD</t>
        </is>
      </c>
      <c r="G12997" t="n">
        <v>1.7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63562-2023</t>
        </is>
      </c>
      <c r="B12998" s="1" t="n">
        <v>45275</v>
      </c>
      <c r="C12998" s="1" t="n">
        <v>45810</v>
      </c>
      <c r="D12998" t="inlineStr">
        <is>
          <t>VÄRMLANDS LÄN</t>
        </is>
      </c>
      <c r="E12998" t="inlineStr">
        <is>
          <t>SÄFFLE</t>
        </is>
      </c>
      <c r="G12998" t="n">
        <v>2.4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63631-2023</t>
        </is>
      </c>
      <c r="B12999" s="1" t="n">
        <v>45275</v>
      </c>
      <c r="C12999" s="1" t="n">
        <v>45810</v>
      </c>
      <c r="D12999" t="inlineStr">
        <is>
          <t>VÄRMLANDS LÄN</t>
        </is>
      </c>
      <c r="E12999" t="inlineStr">
        <is>
          <t>SUNNE</t>
        </is>
      </c>
      <c r="G12999" t="n">
        <v>0.8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63597-2023</t>
        </is>
      </c>
      <c r="B13000" s="1" t="n">
        <v>45275</v>
      </c>
      <c r="C13000" s="1" t="n">
        <v>45810</v>
      </c>
      <c r="D13000" t="inlineStr">
        <is>
          <t>VÄRMLANDS LÄN</t>
        </is>
      </c>
      <c r="E13000" t="inlineStr">
        <is>
          <t>EDA</t>
        </is>
      </c>
      <c r="G13000" t="n">
        <v>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63613-2023</t>
        </is>
      </c>
      <c r="B13001" s="1" t="n">
        <v>45275</v>
      </c>
      <c r="C13001" s="1" t="n">
        <v>45810</v>
      </c>
      <c r="D13001" t="inlineStr">
        <is>
          <t>VÄRMLANDS LÄN</t>
        </is>
      </c>
      <c r="E13001" t="inlineStr">
        <is>
          <t>EDA</t>
        </is>
      </c>
      <c r="G13001" t="n">
        <v>2.1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63617-2023</t>
        </is>
      </c>
      <c r="B13002" s="1" t="n">
        <v>45275</v>
      </c>
      <c r="C13002" s="1" t="n">
        <v>45810</v>
      </c>
      <c r="D13002" t="inlineStr">
        <is>
          <t>VÄRMLANDS LÄN</t>
        </is>
      </c>
      <c r="E13002" t="inlineStr">
        <is>
          <t>FILIPSTAD</t>
        </is>
      </c>
      <c r="G13002" t="n">
        <v>1.6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63621-2023</t>
        </is>
      </c>
      <c r="B13003" s="1" t="n">
        <v>45275</v>
      </c>
      <c r="C13003" s="1" t="n">
        <v>45810</v>
      </c>
      <c r="D13003" t="inlineStr">
        <is>
          <t>VÄRMLANDS LÄN</t>
        </is>
      </c>
      <c r="E13003" t="inlineStr">
        <is>
          <t>FILIPSTAD</t>
        </is>
      </c>
      <c r="G13003" t="n">
        <v>3.6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63596-2023</t>
        </is>
      </c>
      <c r="B13004" s="1" t="n">
        <v>45275</v>
      </c>
      <c r="C13004" s="1" t="n">
        <v>45810</v>
      </c>
      <c r="D13004" t="inlineStr">
        <is>
          <t>VÄRMLANDS LÄN</t>
        </is>
      </c>
      <c r="E13004" t="inlineStr">
        <is>
          <t>SUNNE</t>
        </is>
      </c>
      <c r="G13004" t="n">
        <v>2.5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63612-2023</t>
        </is>
      </c>
      <c r="B13005" s="1" t="n">
        <v>45275</v>
      </c>
      <c r="C13005" s="1" t="n">
        <v>45810</v>
      </c>
      <c r="D13005" t="inlineStr">
        <is>
          <t>VÄRMLANDS LÄN</t>
        </is>
      </c>
      <c r="E13005" t="inlineStr">
        <is>
          <t>EDA</t>
        </is>
      </c>
      <c r="G13005" t="n">
        <v>5.7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63644-2023</t>
        </is>
      </c>
      <c r="B13006" s="1" t="n">
        <v>45275</v>
      </c>
      <c r="C13006" s="1" t="n">
        <v>45810</v>
      </c>
      <c r="D13006" t="inlineStr">
        <is>
          <t>VÄRMLANDS LÄN</t>
        </is>
      </c>
      <c r="E13006" t="inlineStr">
        <is>
          <t>SÄFFLE</t>
        </is>
      </c>
      <c r="F13006" t="inlineStr">
        <is>
          <t>Bergvik skog väst AB</t>
        </is>
      </c>
      <c r="G13006" t="n">
        <v>1.7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63821-2023</t>
        </is>
      </c>
      <c r="B13007" s="1" t="n">
        <v>45275</v>
      </c>
      <c r="C13007" s="1" t="n">
        <v>45810</v>
      </c>
      <c r="D13007" t="inlineStr">
        <is>
          <t>VÄRMLANDS LÄN</t>
        </is>
      </c>
      <c r="E13007" t="inlineStr">
        <is>
          <t>TORSBY</t>
        </is>
      </c>
      <c r="G13007" t="n">
        <v>4.2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63822-2023</t>
        </is>
      </c>
      <c r="B13008" s="1" t="n">
        <v>45277</v>
      </c>
      <c r="C13008" s="1" t="n">
        <v>45810</v>
      </c>
      <c r="D13008" t="inlineStr">
        <is>
          <t>VÄRMLANDS LÄN</t>
        </is>
      </c>
      <c r="E13008" t="inlineStr">
        <is>
          <t>SÄFFLE</t>
        </is>
      </c>
      <c r="G13008" t="n">
        <v>6.8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63775-2023</t>
        </is>
      </c>
      <c r="B13009" s="1" t="n">
        <v>45278</v>
      </c>
      <c r="C13009" s="1" t="n">
        <v>45810</v>
      </c>
      <c r="D13009" t="inlineStr">
        <is>
          <t>VÄRMLANDS LÄN</t>
        </is>
      </c>
      <c r="E13009" t="inlineStr">
        <is>
          <t>SÄFFLE</t>
        </is>
      </c>
      <c r="F13009" t="inlineStr">
        <is>
          <t>Kommuner</t>
        </is>
      </c>
      <c r="G13009" t="n">
        <v>1.3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63799-2023</t>
        </is>
      </c>
      <c r="B13010" s="1" t="n">
        <v>45278</v>
      </c>
      <c r="C13010" s="1" t="n">
        <v>45810</v>
      </c>
      <c r="D13010" t="inlineStr">
        <is>
          <t>VÄRMLANDS LÄN</t>
        </is>
      </c>
      <c r="E13010" t="inlineStr">
        <is>
          <t>FORSHAGA</t>
        </is>
      </c>
      <c r="F13010" t="inlineStr">
        <is>
          <t>Bergvik skog väst AB</t>
        </is>
      </c>
      <c r="G13010" t="n">
        <v>13.6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63803-2023</t>
        </is>
      </c>
      <c r="B13011" s="1" t="n">
        <v>45278</v>
      </c>
      <c r="C13011" s="1" t="n">
        <v>45810</v>
      </c>
      <c r="D13011" t="inlineStr">
        <is>
          <t>VÄRMLANDS LÄN</t>
        </is>
      </c>
      <c r="E13011" t="inlineStr">
        <is>
          <t>SÄFFLE</t>
        </is>
      </c>
      <c r="F13011" t="inlineStr">
        <is>
          <t>Kommuner</t>
        </is>
      </c>
      <c r="G13011" t="n">
        <v>2.6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63807-2023</t>
        </is>
      </c>
      <c r="B13012" s="1" t="n">
        <v>45278</v>
      </c>
      <c r="C13012" s="1" t="n">
        <v>45810</v>
      </c>
      <c r="D13012" t="inlineStr">
        <is>
          <t>VÄRMLANDS LÄN</t>
        </is>
      </c>
      <c r="E13012" t="inlineStr">
        <is>
          <t>SÄFFLE</t>
        </is>
      </c>
      <c r="F13012" t="inlineStr">
        <is>
          <t>Kommuner</t>
        </is>
      </c>
      <c r="G13012" t="n">
        <v>0.7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63805-2023</t>
        </is>
      </c>
      <c r="B13013" s="1" t="n">
        <v>45278</v>
      </c>
      <c r="C13013" s="1" t="n">
        <v>45810</v>
      </c>
      <c r="D13013" t="inlineStr">
        <is>
          <t>VÄRMLANDS LÄN</t>
        </is>
      </c>
      <c r="E13013" t="inlineStr">
        <is>
          <t>ARVIKA</t>
        </is>
      </c>
      <c r="F13013" t="inlineStr">
        <is>
          <t>Bergvik skog väst AB</t>
        </is>
      </c>
      <c r="G13013" t="n">
        <v>1.9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63820-2023</t>
        </is>
      </c>
      <c r="B13014" s="1" t="n">
        <v>45278</v>
      </c>
      <c r="C13014" s="1" t="n">
        <v>45810</v>
      </c>
      <c r="D13014" t="inlineStr">
        <is>
          <t>VÄRMLANDS LÄN</t>
        </is>
      </c>
      <c r="E13014" t="inlineStr">
        <is>
          <t>TORSBY</t>
        </is>
      </c>
      <c r="G13014" t="n">
        <v>1.7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63858-2023</t>
        </is>
      </c>
      <c r="B13015" s="1" t="n">
        <v>45278</v>
      </c>
      <c r="C13015" s="1" t="n">
        <v>45810</v>
      </c>
      <c r="D13015" t="inlineStr">
        <is>
          <t>VÄRMLANDS LÄN</t>
        </is>
      </c>
      <c r="E13015" t="inlineStr">
        <is>
          <t>EDA</t>
        </is>
      </c>
      <c r="F13015" t="inlineStr">
        <is>
          <t>Kommuner</t>
        </is>
      </c>
      <c r="G13015" t="n">
        <v>3.3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63866-2023</t>
        </is>
      </c>
      <c r="B13016" s="1" t="n">
        <v>45278</v>
      </c>
      <c r="C13016" s="1" t="n">
        <v>45810</v>
      </c>
      <c r="D13016" t="inlineStr">
        <is>
          <t>VÄRMLANDS LÄN</t>
        </is>
      </c>
      <c r="E13016" t="inlineStr">
        <is>
          <t>TORSBY</t>
        </is>
      </c>
      <c r="F13016" t="inlineStr">
        <is>
          <t>Bergvik skog väst AB</t>
        </is>
      </c>
      <c r="G13016" t="n">
        <v>58.2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63843-2023</t>
        </is>
      </c>
      <c r="B13017" s="1" t="n">
        <v>45278</v>
      </c>
      <c r="C13017" s="1" t="n">
        <v>45810</v>
      </c>
      <c r="D13017" t="inlineStr">
        <is>
          <t>VÄRMLANDS LÄN</t>
        </is>
      </c>
      <c r="E13017" t="inlineStr">
        <is>
          <t>ARVIKA</t>
        </is>
      </c>
      <c r="G13017" t="n">
        <v>2.4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63755-2023</t>
        </is>
      </c>
      <c r="B13018" s="1" t="n">
        <v>45278</v>
      </c>
      <c r="C13018" s="1" t="n">
        <v>45810</v>
      </c>
      <c r="D13018" t="inlineStr">
        <is>
          <t>VÄRMLANDS LÄN</t>
        </is>
      </c>
      <c r="E13018" t="inlineStr">
        <is>
          <t>EDA</t>
        </is>
      </c>
      <c r="G13018" t="n">
        <v>1.5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63781-2023</t>
        </is>
      </c>
      <c r="B13019" s="1" t="n">
        <v>45278</v>
      </c>
      <c r="C13019" s="1" t="n">
        <v>45810</v>
      </c>
      <c r="D13019" t="inlineStr">
        <is>
          <t>VÄRMLANDS LÄN</t>
        </is>
      </c>
      <c r="E13019" t="inlineStr">
        <is>
          <t>SÄFFLE</t>
        </is>
      </c>
      <c r="F13019" t="inlineStr">
        <is>
          <t>Kommuner</t>
        </is>
      </c>
      <c r="G13019" t="n">
        <v>2.5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63977-2023</t>
        </is>
      </c>
      <c r="B13020" s="1" t="n">
        <v>45278</v>
      </c>
      <c r="C13020" s="1" t="n">
        <v>45810</v>
      </c>
      <c r="D13020" t="inlineStr">
        <is>
          <t>VÄRMLANDS LÄN</t>
        </is>
      </c>
      <c r="E13020" t="inlineStr">
        <is>
          <t>KIL</t>
        </is>
      </c>
      <c r="F13020" t="inlineStr">
        <is>
          <t>Bergvik skog väst AB</t>
        </is>
      </c>
      <c r="G13020" t="n">
        <v>6.3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63855-2023</t>
        </is>
      </c>
      <c r="B13021" s="1" t="n">
        <v>45278</v>
      </c>
      <c r="C13021" s="1" t="n">
        <v>45810</v>
      </c>
      <c r="D13021" t="inlineStr">
        <is>
          <t>VÄRMLANDS LÄN</t>
        </is>
      </c>
      <c r="E13021" t="inlineStr">
        <is>
          <t>SÄFFLE</t>
        </is>
      </c>
      <c r="G13021" t="n">
        <v>2.9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63946-2023</t>
        </is>
      </c>
      <c r="B13022" s="1" t="n">
        <v>45278</v>
      </c>
      <c r="C13022" s="1" t="n">
        <v>45810</v>
      </c>
      <c r="D13022" t="inlineStr">
        <is>
          <t>VÄRMLANDS LÄN</t>
        </is>
      </c>
      <c r="E13022" t="inlineStr">
        <is>
          <t>ARVIKA</t>
        </is>
      </c>
      <c r="G13022" t="n">
        <v>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63947-2023</t>
        </is>
      </c>
      <c r="B13023" s="1" t="n">
        <v>45278</v>
      </c>
      <c r="C13023" s="1" t="n">
        <v>45810</v>
      </c>
      <c r="D13023" t="inlineStr">
        <is>
          <t>VÄRMLANDS LÄN</t>
        </is>
      </c>
      <c r="E13023" t="inlineStr">
        <is>
          <t>GRUMS</t>
        </is>
      </c>
      <c r="G13023" t="n">
        <v>3.1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63955-2023</t>
        </is>
      </c>
      <c r="B13024" s="1" t="n">
        <v>45278</v>
      </c>
      <c r="C13024" s="1" t="n">
        <v>45810</v>
      </c>
      <c r="D13024" t="inlineStr">
        <is>
          <t>VÄRMLANDS LÄN</t>
        </is>
      </c>
      <c r="E13024" t="inlineStr">
        <is>
          <t>TORSBY</t>
        </is>
      </c>
      <c r="G13024" t="n">
        <v>3.2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63967-2023</t>
        </is>
      </c>
      <c r="B13025" s="1" t="n">
        <v>45278</v>
      </c>
      <c r="C13025" s="1" t="n">
        <v>45810</v>
      </c>
      <c r="D13025" t="inlineStr">
        <is>
          <t>VÄRMLANDS LÄN</t>
        </is>
      </c>
      <c r="E13025" t="inlineStr">
        <is>
          <t>TORSBY</t>
        </is>
      </c>
      <c r="G13025" t="n">
        <v>3.3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63785-2023</t>
        </is>
      </c>
      <c r="B13026" s="1" t="n">
        <v>45278</v>
      </c>
      <c r="C13026" s="1" t="n">
        <v>45810</v>
      </c>
      <c r="D13026" t="inlineStr">
        <is>
          <t>VÄRMLANDS LÄN</t>
        </is>
      </c>
      <c r="E13026" t="inlineStr">
        <is>
          <t>SÄFFLE</t>
        </is>
      </c>
      <c r="F13026" t="inlineStr">
        <is>
          <t>Kommuner</t>
        </is>
      </c>
      <c r="G13026" t="n">
        <v>1.9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63790-2023</t>
        </is>
      </c>
      <c r="B13027" s="1" t="n">
        <v>45278</v>
      </c>
      <c r="C13027" s="1" t="n">
        <v>45810</v>
      </c>
      <c r="D13027" t="inlineStr">
        <is>
          <t>VÄRMLANDS LÄN</t>
        </is>
      </c>
      <c r="E13027" t="inlineStr">
        <is>
          <t>SÄFFLE</t>
        </is>
      </c>
      <c r="F13027" t="inlineStr">
        <is>
          <t>Kommuner</t>
        </is>
      </c>
      <c r="G13027" t="n">
        <v>0.9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63794-2023</t>
        </is>
      </c>
      <c r="B13028" s="1" t="n">
        <v>45278</v>
      </c>
      <c r="C13028" s="1" t="n">
        <v>45810</v>
      </c>
      <c r="D13028" t="inlineStr">
        <is>
          <t>VÄRMLANDS LÄN</t>
        </is>
      </c>
      <c r="E13028" t="inlineStr">
        <is>
          <t>SÄFFLE</t>
        </is>
      </c>
      <c r="F13028" t="inlineStr">
        <is>
          <t>Kommuner</t>
        </is>
      </c>
      <c r="G13028" t="n">
        <v>2.8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63811-2023</t>
        </is>
      </c>
      <c r="B13029" s="1" t="n">
        <v>45278</v>
      </c>
      <c r="C13029" s="1" t="n">
        <v>45810</v>
      </c>
      <c r="D13029" t="inlineStr">
        <is>
          <t>VÄRMLANDS LÄN</t>
        </is>
      </c>
      <c r="E13029" t="inlineStr">
        <is>
          <t>SÄFFLE</t>
        </is>
      </c>
      <c r="F13029" t="inlineStr">
        <is>
          <t>Kommuner</t>
        </is>
      </c>
      <c r="G13029" t="n">
        <v>2.1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63964-2023</t>
        </is>
      </c>
      <c r="B13030" s="1" t="n">
        <v>45278</v>
      </c>
      <c r="C13030" s="1" t="n">
        <v>45810</v>
      </c>
      <c r="D13030" t="inlineStr">
        <is>
          <t>VÄRMLANDS LÄN</t>
        </is>
      </c>
      <c r="E13030" t="inlineStr">
        <is>
          <t>KRISTINEHAMN</t>
        </is>
      </c>
      <c r="F13030" t="inlineStr">
        <is>
          <t>Bergvik skog väst AB</t>
        </is>
      </c>
      <c r="G13030" t="n">
        <v>1.2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63985-2023</t>
        </is>
      </c>
      <c r="B13031" s="1" t="n">
        <v>45278</v>
      </c>
      <c r="C13031" s="1" t="n">
        <v>45810</v>
      </c>
      <c r="D13031" t="inlineStr">
        <is>
          <t>VÄRMLANDS LÄN</t>
        </is>
      </c>
      <c r="E13031" t="inlineStr">
        <is>
          <t>SÄFFLE</t>
        </is>
      </c>
      <c r="G13031" t="n">
        <v>2.2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64366-2023</t>
        </is>
      </c>
      <c r="B13032" s="1" t="n">
        <v>45278</v>
      </c>
      <c r="C13032" s="1" t="n">
        <v>45810</v>
      </c>
      <c r="D13032" t="inlineStr">
        <is>
          <t>VÄRMLANDS LÄN</t>
        </is>
      </c>
      <c r="E13032" t="inlineStr">
        <is>
          <t>SÄFFLE</t>
        </is>
      </c>
      <c r="G13032" t="n">
        <v>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64368-2023</t>
        </is>
      </c>
      <c r="B13033" s="1" t="n">
        <v>45278</v>
      </c>
      <c r="C13033" s="1" t="n">
        <v>45810</v>
      </c>
      <c r="D13033" t="inlineStr">
        <is>
          <t>VÄRMLANDS LÄN</t>
        </is>
      </c>
      <c r="E13033" t="inlineStr">
        <is>
          <t>SÄFFLE</t>
        </is>
      </c>
      <c r="G13033" t="n">
        <v>2.8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63975-2023</t>
        </is>
      </c>
      <c r="B13034" s="1" t="n">
        <v>45278</v>
      </c>
      <c r="C13034" s="1" t="n">
        <v>45810</v>
      </c>
      <c r="D13034" t="inlineStr">
        <is>
          <t>VÄRMLANDS LÄN</t>
        </is>
      </c>
      <c r="E13034" t="inlineStr">
        <is>
          <t>FORSHAGA</t>
        </is>
      </c>
      <c r="F13034" t="inlineStr">
        <is>
          <t>Bergvik skog väst AB</t>
        </is>
      </c>
      <c r="G13034" t="n">
        <v>2.6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64059-2023</t>
        </is>
      </c>
      <c r="B13035" s="1" t="n">
        <v>45279</v>
      </c>
      <c r="C13035" s="1" t="n">
        <v>45810</v>
      </c>
      <c r="D13035" t="inlineStr">
        <is>
          <t>VÄRMLANDS LÄN</t>
        </is>
      </c>
      <c r="E13035" t="inlineStr">
        <is>
          <t>KARLSTAD</t>
        </is>
      </c>
      <c r="G13035" t="n">
        <v>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64071-2023</t>
        </is>
      </c>
      <c r="B13036" s="1" t="n">
        <v>45279</v>
      </c>
      <c r="C13036" s="1" t="n">
        <v>45810</v>
      </c>
      <c r="D13036" t="inlineStr">
        <is>
          <t>VÄRMLANDS LÄN</t>
        </is>
      </c>
      <c r="E13036" t="inlineStr">
        <is>
          <t>ÅRJÄNG</t>
        </is>
      </c>
      <c r="G13036" t="n">
        <v>6.9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64140-2023</t>
        </is>
      </c>
      <c r="B13037" s="1" t="n">
        <v>45279</v>
      </c>
      <c r="C13037" s="1" t="n">
        <v>45810</v>
      </c>
      <c r="D13037" t="inlineStr">
        <is>
          <t>VÄRMLANDS LÄN</t>
        </is>
      </c>
      <c r="E13037" t="inlineStr">
        <is>
          <t>KIL</t>
        </is>
      </c>
      <c r="G13037" t="n">
        <v>1.4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64049-2023</t>
        </is>
      </c>
      <c r="B13038" s="1" t="n">
        <v>45279</v>
      </c>
      <c r="C13038" s="1" t="n">
        <v>45810</v>
      </c>
      <c r="D13038" t="inlineStr">
        <is>
          <t>VÄRMLANDS LÄN</t>
        </is>
      </c>
      <c r="E13038" t="inlineStr">
        <is>
          <t>ARVIKA</t>
        </is>
      </c>
      <c r="G13038" t="n">
        <v>1.3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64061-2023</t>
        </is>
      </c>
      <c r="B13039" s="1" t="n">
        <v>45279</v>
      </c>
      <c r="C13039" s="1" t="n">
        <v>45810</v>
      </c>
      <c r="D13039" t="inlineStr">
        <is>
          <t>VÄRMLANDS LÄN</t>
        </is>
      </c>
      <c r="E13039" t="inlineStr">
        <is>
          <t>KARLSTAD</t>
        </is>
      </c>
      <c r="G13039" t="n">
        <v>9.300000000000001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64073-2023</t>
        </is>
      </c>
      <c r="B13040" s="1" t="n">
        <v>45279</v>
      </c>
      <c r="C13040" s="1" t="n">
        <v>45810</v>
      </c>
      <c r="D13040" t="inlineStr">
        <is>
          <t>VÄRMLANDS LÄN</t>
        </is>
      </c>
      <c r="E13040" t="inlineStr">
        <is>
          <t>SÄFFLE</t>
        </is>
      </c>
      <c r="G13040" t="n">
        <v>4.2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64121-2023</t>
        </is>
      </c>
      <c r="B13041" s="1" t="n">
        <v>45279</v>
      </c>
      <c r="C13041" s="1" t="n">
        <v>45810</v>
      </c>
      <c r="D13041" t="inlineStr">
        <is>
          <t>VÄRMLANDS LÄN</t>
        </is>
      </c>
      <c r="E13041" t="inlineStr">
        <is>
          <t>FORSHAGA</t>
        </is>
      </c>
      <c r="G13041" t="n">
        <v>0.1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64154-2023</t>
        </is>
      </c>
      <c r="B13042" s="1" t="n">
        <v>45279</v>
      </c>
      <c r="C13042" s="1" t="n">
        <v>45810</v>
      </c>
      <c r="D13042" t="inlineStr">
        <is>
          <t>VÄRMLANDS LÄN</t>
        </is>
      </c>
      <c r="E13042" t="inlineStr">
        <is>
          <t>ÅRJÄNG</t>
        </is>
      </c>
      <c r="G13042" t="n">
        <v>5.1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64162-2023</t>
        </is>
      </c>
      <c r="B13043" s="1" t="n">
        <v>45279</v>
      </c>
      <c r="C13043" s="1" t="n">
        <v>45810</v>
      </c>
      <c r="D13043" t="inlineStr">
        <is>
          <t>VÄRMLANDS LÄN</t>
        </is>
      </c>
      <c r="E13043" t="inlineStr">
        <is>
          <t>TORSBY</t>
        </is>
      </c>
      <c r="G13043" t="n">
        <v>3.4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64221-2023</t>
        </is>
      </c>
      <c r="B13044" s="1" t="n">
        <v>45279</v>
      </c>
      <c r="C13044" s="1" t="n">
        <v>45810</v>
      </c>
      <c r="D13044" t="inlineStr">
        <is>
          <t>VÄRMLANDS LÄN</t>
        </is>
      </c>
      <c r="E13044" t="inlineStr">
        <is>
          <t>SUNNE</t>
        </is>
      </c>
      <c r="G13044" t="n">
        <v>1.3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64229-2023</t>
        </is>
      </c>
      <c r="B13045" s="1" t="n">
        <v>45279</v>
      </c>
      <c r="C13045" s="1" t="n">
        <v>45810</v>
      </c>
      <c r="D13045" t="inlineStr">
        <is>
          <t>VÄRMLANDS LÄN</t>
        </is>
      </c>
      <c r="E13045" t="inlineStr">
        <is>
          <t>ÅRJÄNG</t>
        </is>
      </c>
      <c r="G13045" t="n">
        <v>0.7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64151-2023</t>
        </is>
      </c>
      <c r="B13046" s="1" t="n">
        <v>45279</v>
      </c>
      <c r="C13046" s="1" t="n">
        <v>45810</v>
      </c>
      <c r="D13046" t="inlineStr">
        <is>
          <t>VÄRMLANDS LÄN</t>
        </is>
      </c>
      <c r="E13046" t="inlineStr">
        <is>
          <t>ÅRJÄNG</t>
        </is>
      </c>
      <c r="G13046" t="n">
        <v>24.5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64155-2023</t>
        </is>
      </c>
      <c r="B13047" s="1" t="n">
        <v>45279</v>
      </c>
      <c r="C13047" s="1" t="n">
        <v>45810</v>
      </c>
      <c r="D13047" t="inlineStr">
        <is>
          <t>VÄRMLANDS LÄN</t>
        </is>
      </c>
      <c r="E13047" t="inlineStr">
        <is>
          <t>HAGFORS</t>
        </is>
      </c>
      <c r="G13047" t="n">
        <v>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64220-2023</t>
        </is>
      </c>
      <c r="B13048" s="1" t="n">
        <v>45279</v>
      </c>
      <c r="C13048" s="1" t="n">
        <v>45810</v>
      </c>
      <c r="D13048" t="inlineStr">
        <is>
          <t>VÄRMLANDS LÄN</t>
        </is>
      </c>
      <c r="E13048" t="inlineStr">
        <is>
          <t>SUNNE</t>
        </is>
      </c>
      <c r="G13048" t="n">
        <v>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64223-2023</t>
        </is>
      </c>
      <c r="B13049" s="1" t="n">
        <v>45279</v>
      </c>
      <c r="C13049" s="1" t="n">
        <v>45810</v>
      </c>
      <c r="D13049" t="inlineStr">
        <is>
          <t>VÄRMLANDS LÄN</t>
        </is>
      </c>
      <c r="E13049" t="inlineStr">
        <is>
          <t>SUNNE</t>
        </is>
      </c>
      <c r="G13049" t="n">
        <v>0.8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64287-2023</t>
        </is>
      </c>
      <c r="B13050" s="1" t="n">
        <v>45279</v>
      </c>
      <c r="C13050" s="1" t="n">
        <v>45810</v>
      </c>
      <c r="D13050" t="inlineStr">
        <is>
          <t>VÄRMLANDS LÄN</t>
        </is>
      </c>
      <c r="E13050" t="inlineStr">
        <is>
          <t>EDA</t>
        </is>
      </c>
      <c r="G13050" t="n">
        <v>1.8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64280-2023</t>
        </is>
      </c>
      <c r="B13051" s="1" t="n">
        <v>45280</v>
      </c>
      <c r="C13051" s="1" t="n">
        <v>45810</v>
      </c>
      <c r="D13051" t="inlineStr">
        <is>
          <t>VÄRMLANDS LÄN</t>
        </is>
      </c>
      <c r="E13051" t="inlineStr">
        <is>
          <t>EDA</t>
        </is>
      </c>
      <c r="G13051" t="n">
        <v>1.9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64319-2023</t>
        </is>
      </c>
      <c r="B13052" s="1" t="n">
        <v>45280</v>
      </c>
      <c r="C13052" s="1" t="n">
        <v>45810</v>
      </c>
      <c r="D13052" t="inlineStr">
        <is>
          <t>VÄRMLANDS LÄN</t>
        </is>
      </c>
      <c r="E13052" t="inlineStr">
        <is>
          <t>SÄFFLE</t>
        </is>
      </c>
      <c r="G13052" t="n">
        <v>2.6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64341-2023</t>
        </is>
      </c>
      <c r="B13053" s="1" t="n">
        <v>45280</v>
      </c>
      <c r="C13053" s="1" t="n">
        <v>45810</v>
      </c>
      <c r="D13053" t="inlineStr">
        <is>
          <t>VÄRMLANDS LÄN</t>
        </is>
      </c>
      <c r="E13053" t="inlineStr">
        <is>
          <t>ÅRJÄNG</t>
        </is>
      </c>
      <c r="G13053" t="n">
        <v>1.4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64297-2023</t>
        </is>
      </c>
      <c r="B13054" s="1" t="n">
        <v>45280</v>
      </c>
      <c r="C13054" s="1" t="n">
        <v>45810</v>
      </c>
      <c r="D13054" t="inlineStr">
        <is>
          <t>VÄRMLANDS LÄN</t>
        </is>
      </c>
      <c r="E13054" t="inlineStr">
        <is>
          <t>SUNNE</t>
        </is>
      </c>
      <c r="G13054" t="n">
        <v>2.5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64321-2023</t>
        </is>
      </c>
      <c r="B13055" s="1" t="n">
        <v>45280</v>
      </c>
      <c r="C13055" s="1" t="n">
        <v>45810</v>
      </c>
      <c r="D13055" t="inlineStr">
        <is>
          <t>VÄRMLANDS LÄN</t>
        </is>
      </c>
      <c r="E13055" t="inlineStr">
        <is>
          <t>SUNNE</t>
        </is>
      </c>
      <c r="G13055" t="n">
        <v>1.8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64304-2023</t>
        </is>
      </c>
      <c r="B13056" s="1" t="n">
        <v>45280</v>
      </c>
      <c r="C13056" s="1" t="n">
        <v>45810</v>
      </c>
      <c r="D13056" t="inlineStr">
        <is>
          <t>VÄRMLANDS LÄN</t>
        </is>
      </c>
      <c r="E13056" t="inlineStr">
        <is>
          <t>GRUMS</t>
        </is>
      </c>
      <c r="G13056" t="n">
        <v>1.2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64316-2023</t>
        </is>
      </c>
      <c r="B13057" s="1" t="n">
        <v>45280</v>
      </c>
      <c r="C13057" s="1" t="n">
        <v>45810</v>
      </c>
      <c r="D13057" t="inlineStr">
        <is>
          <t>VÄRMLANDS LÄN</t>
        </is>
      </c>
      <c r="E13057" t="inlineStr">
        <is>
          <t>SÄFFLE</t>
        </is>
      </c>
      <c r="G13057" t="n">
        <v>3.5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64322-2023</t>
        </is>
      </c>
      <c r="B13058" s="1" t="n">
        <v>45280</v>
      </c>
      <c r="C13058" s="1" t="n">
        <v>45810</v>
      </c>
      <c r="D13058" t="inlineStr">
        <is>
          <t>VÄRMLANDS LÄN</t>
        </is>
      </c>
      <c r="E13058" t="inlineStr">
        <is>
          <t>SÄFFLE</t>
        </is>
      </c>
      <c r="G13058" t="n">
        <v>0.9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64326-2023</t>
        </is>
      </c>
      <c r="B13059" s="1" t="n">
        <v>45280</v>
      </c>
      <c r="C13059" s="1" t="n">
        <v>45810</v>
      </c>
      <c r="D13059" t="inlineStr">
        <is>
          <t>VÄRMLANDS LÄN</t>
        </is>
      </c>
      <c r="E13059" t="inlineStr">
        <is>
          <t>SÄFFLE</t>
        </is>
      </c>
      <c r="G13059" t="n">
        <v>3.3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64374-2023</t>
        </is>
      </c>
      <c r="B13060" s="1" t="n">
        <v>45280</v>
      </c>
      <c r="C13060" s="1" t="n">
        <v>45810</v>
      </c>
      <c r="D13060" t="inlineStr">
        <is>
          <t>VÄRMLANDS LÄN</t>
        </is>
      </c>
      <c r="E13060" t="inlineStr">
        <is>
          <t>KIL</t>
        </is>
      </c>
      <c r="G13060" t="n">
        <v>1.8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64432-2023</t>
        </is>
      </c>
      <c r="B13061" s="1" t="n">
        <v>45280</v>
      </c>
      <c r="C13061" s="1" t="n">
        <v>45810</v>
      </c>
      <c r="D13061" t="inlineStr">
        <is>
          <t>VÄRMLANDS LÄN</t>
        </is>
      </c>
      <c r="E13061" t="inlineStr">
        <is>
          <t>TORSBY</t>
        </is>
      </c>
      <c r="G13061" t="n">
        <v>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64325-2023</t>
        </is>
      </c>
      <c r="B13062" s="1" t="n">
        <v>45280</v>
      </c>
      <c r="C13062" s="1" t="n">
        <v>45810</v>
      </c>
      <c r="D13062" t="inlineStr">
        <is>
          <t>VÄRMLANDS LÄN</t>
        </is>
      </c>
      <c r="E13062" t="inlineStr">
        <is>
          <t>SÄFFLE</t>
        </is>
      </c>
      <c r="G13062" t="n">
        <v>5.2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64381-2023</t>
        </is>
      </c>
      <c r="B13063" s="1" t="n">
        <v>45280</v>
      </c>
      <c r="C13063" s="1" t="n">
        <v>45810</v>
      </c>
      <c r="D13063" t="inlineStr">
        <is>
          <t>VÄRMLANDS LÄN</t>
        </is>
      </c>
      <c r="E13063" t="inlineStr">
        <is>
          <t>ÅRJÄNG</t>
        </is>
      </c>
      <c r="G13063" t="n">
        <v>1.1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64446-2023</t>
        </is>
      </c>
      <c r="B13064" s="1" t="n">
        <v>45280</v>
      </c>
      <c r="C13064" s="1" t="n">
        <v>45810</v>
      </c>
      <c r="D13064" t="inlineStr">
        <is>
          <t>VÄRMLANDS LÄN</t>
        </is>
      </c>
      <c r="E13064" t="inlineStr">
        <is>
          <t>SUNNE</t>
        </is>
      </c>
      <c r="G13064" t="n">
        <v>6.7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64385-2023</t>
        </is>
      </c>
      <c r="B13065" s="1" t="n">
        <v>45280</v>
      </c>
      <c r="C13065" s="1" t="n">
        <v>45810</v>
      </c>
      <c r="D13065" t="inlineStr">
        <is>
          <t>VÄRMLANDS LÄN</t>
        </is>
      </c>
      <c r="E13065" t="inlineStr">
        <is>
          <t>KIL</t>
        </is>
      </c>
      <c r="G13065" t="n">
        <v>0.8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64389-2023</t>
        </is>
      </c>
      <c r="B13066" s="1" t="n">
        <v>45280</v>
      </c>
      <c r="C13066" s="1" t="n">
        <v>45810</v>
      </c>
      <c r="D13066" t="inlineStr">
        <is>
          <t>VÄRMLANDS LÄN</t>
        </is>
      </c>
      <c r="E13066" t="inlineStr">
        <is>
          <t>TORSBY</t>
        </is>
      </c>
      <c r="G13066" t="n">
        <v>2.8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64454-2023</t>
        </is>
      </c>
      <c r="B13067" s="1" t="n">
        <v>45280</v>
      </c>
      <c r="C13067" s="1" t="n">
        <v>45810</v>
      </c>
      <c r="D13067" t="inlineStr">
        <is>
          <t>VÄRMLANDS LÄN</t>
        </is>
      </c>
      <c r="E13067" t="inlineStr">
        <is>
          <t>TORSBY</t>
        </is>
      </c>
      <c r="G13067" t="n">
        <v>1.3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64383-2023</t>
        </is>
      </c>
      <c r="B13068" s="1" t="n">
        <v>45280</v>
      </c>
      <c r="C13068" s="1" t="n">
        <v>45810</v>
      </c>
      <c r="D13068" t="inlineStr">
        <is>
          <t>VÄRMLANDS LÄN</t>
        </is>
      </c>
      <c r="E13068" t="inlineStr">
        <is>
          <t>KIL</t>
        </is>
      </c>
      <c r="G13068" t="n">
        <v>0.6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64395-2023</t>
        </is>
      </c>
      <c r="B13069" s="1" t="n">
        <v>45280</v>
      </c>
      <c r="C13069" s="1" t="n">
        <v>45810</v>
      </c>
      <c r="D13069" t="inlineStr">
        <is>
          <t>VÄRMLANDS LÄN</t>
        </is>
      </c>
      <c r="E13069" t="inlineStr">
        <is>
          <t>TORSBY</t>
        </is>
      </c>
      <c r="G13069" t="n">
        <v>3.3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64400-2023</t>
        </is>
      </c>
      <c r="B13070" s="1" t="n">
        <v>45280</v>
      </c>
      <c r="C13070" s="1" t="n">
        <v>45810</v>
      </c>
      <c r="D13070" t="inlineStr">
        <is>
          <t>VÄRMLANDS LÄN</t>
        </is>
      </c>
      <c r="E13070" t="inlineStr">
        <is>
          <t>TORSBY</t>
        </is>
      </c>
      <c r="G13070" t="n">
        <v>2.4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64425-2023</t>
        </is>
      </c>
      <c r="B13071" s="1" t="n">
        <v>45280</v>
      </c>
      <c r="C13071" s="1" t="n">
        <v>45810</v>
      </c>
      <c r="D13071" t="inlineStr">
        <is>
          <t>VÄRMLANDS LÄN</t>
        </is>
      </c>
      <c r="E13071" t="inlineStr">
        <is>
          <t>SUNNE</t>
        </is>
      </c>
      <c r="G13071" t="n">
        <v>2.1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64429-2023</t>
        </is>
      </c>
      <c r="B13072" s="1" t="n">
        <v>45280</v>
      </c>
      <c r="C13072" s="1" t="n">
        <v>45810</v>
      </c>
      <c r="D13072" t="inlineStr">
        <is>
          <t>VÄRMLANDS LÄN</t>
        </is>
      </c>
      <c r="E13072" t="inlineStr">
        <is>
          <t>TORSBY</t>
        </is>
      </c>
      <c r="G13072" t="n">
        <v>1.2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64548-2023</t>
        </is>
      </c>
      <c r="B13073" s="1" t="n">
        <v>45281</v>
      </c>
      <c r="C13073" s="1" t="n">
        <v>45810</v>
      </c>
      <c r="D13073" t="inlineStr">
        <is>
          <t>VÄRMLANDS LÄN</t>
        </is>
      </c>
      <c r="E13073" t="inlineStr">
        <is>
          <t>STORFORS</t>
        </is>
      </c>
      <c r="G13073" t="n">
        <v>2.1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64556-2023</t>
        </is>
      </c>
      <c r="B13074" s="1" t="n">
        <v>45281</v>
      </c>
      <c r="C13074" s="1" t="n">
        <v>45810</v>
      </c>
      <c r="D13074" t="inlineStr">
        <is>
          <t>VÄRMLANDS LÄN</t>
        </is>
      </c>
      <c r="E13074" t="inlineStr">
        <is>
          <t>ÅRJÄNG</t>
        </is>
      </c>
      <c r="G13074" t="n">
        <v>1.2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64534-2023</t>
        </is>
      </c>
      <c r="B13075" s="1" t="n">
        <v>45281</v>
      </c>
      <c r="C13075" s="1" t="n">
        <v>45810</v>
      </c>
      <c r="D13075" t="inlineStr">
        <is>
          <t>VÄRMLANDS LÄN</t>
        </is>
      </c>
      <c r="E13075" t="inlineStr">
        <is>
          <t>SUNNE</t>
        </is>
      </c>
      <c r="G13075" t="n">
        <v>2.7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64546-2023</t>
        </is>
      </c>
      <c r="B13076" s="1" t="n">
        <v>45281</v>
      </c>
      <c r="C13076" s="1" t="n">
        <v>45810</v>
      </c>
      <c r="D13076" t="inlineStr">
        <is>
          <t>VÄRMLANDS LÄN</t>
        </is>
      </c>
      <c r="E13076" t="inlineStr">
        <is>
          <t>ARVIKA</t>
        </is>
      </c>
      <c r="G13076" t="n">
        <v>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64558-2023</t>
        </is>
      </c>
      <c r="B13077" s="1" t="n">
        <v>45281</v>
      </c>
      <c r="C13077" s="1" t="n">
        <v>45810</v>
      </c>
      <c r="D13077" t="inlineStr">
        <is>
          <t>VÄRMLANDS LÄN</t>
        </is>
      </c>
      <c r="E13077" t="inlineStr">
        <is>
          <t>STORFORS</t>
        </is>
      </c>
      <c r="G13077" t="n">
        <v>5.5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64570-2023</t>
        </is>
      </c>
      <c r="B13078" s="1" t="n">
        <v>45281</v>
      </c>
      <c r="C13078" s="1" t="n">
        <v>45810</v>
      </c>
      <c r="D13078" t="inlineStr">
        <is>
          <t>VÄRMLANDS LÄN</t>
        </is>
      </c>
      <c r="E13078" t="inlineStr">
        <is>
          <t>ARVIKA</t>
        </is>
      </c>
      <c r="G13078" t="n">
        <v>0.9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64582-2023</t>
        </is>
      </c>
      <c r="B13079" s="1" t="n">
        <v>45281</v>
      </c>
      <c r="C13079" s="1" t="n">
        <v>45810</v>
      </c>
      <c r="D13079" t="inlineStr">
        <is>
          <t>VÄRMLANDS LÄN</t>
        </is>
      </c>
      <c r="E13079" t="inlineStr">
        <is>
          <t>SUNNE</t>
        </is>
      </c>
      <c r="G13079" t="n">
        <v>0.9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64590-2023</t>
        </is>
      </c>
      <c r="B13080" s="1" t="n">
        <v>45281</v>
      </c>
      <c r="C13080" s="1" t="n">
        <v>45810</v>
      </c>
      <c r="D13080" t="inlineStr">
        <is>
          <t>VÄRMLANDS LÄN</t>
        </is>
      </c>
      <c r="E13080" t="inlineStr">
        <is>
          <t>TORSBY</t>
        </is>
      </c>
      <c r="G13080" t="n">
        <v>1.2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64525-2023</t>
        </is>
      </c>
      <c r="B13081" s="1" t="n">
        <v>45281</v>
      </c>
      <c r="C13081" s="1" t="n">
        <v>45810</v>
      </c>
      <c r="D13081" t="inlineStr">
        <is>
          <t>VÄRMLANDS LÄN</t>
        </is>
      </c>
      <c r="E13081" t="inlineStr">
        <is>
          <t>KARLSTAD</t>
        </is>
      </c>
      <c r="G13081" t="n">
        <v>2.2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64602-2023</t>
        </is>
      </c>
      <c r="B13082" s="1" t="n">
        <v>45281</v>
      </c>
      <c r="C13082" s="1" t="n">
        <v>45810</v>
      </c>
      <c r="D13082" t="inlineStr">
        <is>
          <t>VÄRMLANDS LÄN</t>
        </is>
      </c>
      <c r="E13082" t="inlineStr">
        <is>
          <t>TORSBY</t>
        </is>
      </c>
      <c r="G13082" t="n">
        <v>3.5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64646-2023</t>
        </is>
      </c>
      <c r="B13083" s="1" t="n">
        <v>45281</v>
      </c>
      <c r="C13083" s="1" t="n">
        <v>45810</v>
      </c>
      <c r="D13083" t="inlineStr">
        <is>
          <t>VÄRMLANDS LÄN</t>
        </is>
      </c>
      <c r="E13083" t="inlineStr">
        <is>
          <t>ARVIKA</t>
        </is>
      </c>
      <c r="F13083" t="inlineStr">
        <is>
          <t>Bergvik skog väst AB</t>
        </is>
      </c>
      <c r="G13083" t="n">
        <v>3.1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64531-2023</t>
        </is>
      </c>
      <c r="B13084" s="1" t="n">
        <v>45281</v>
      </c>
      <c r="C13084" s="1" t="n">
        <v>45810</v>
      </c>
      <c r="D13084" t="inlineStr">
        <is>
          <t>VÄRMLANDS LÄN</t>
        </is>
      </c>
      <c r="E13084" t="inlineStr">
        <is>
          <t>HAGFORS</t>
        </is>
      </c>
      <c r="G13084" t="n">
        <v>2.5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64636-2023</t>
        </is>
      </c>
      <c r="B13085" s="1" t="n">
        <v>45281</v>
      </c>
      <c r="C13085" s="1" t="n">
        <v>45810</v>
      </c>
      <c r="D13085" t="inlineStr">
        <is>
          <t>VÄRMLANDS LÄN</t>
        </is>
      </c>
      <c r="E13085" t="inlineStr">
        <is>
          <t>ARVIKA</t>
        </is>
      </c>
      <c r="G13085" t="n">
        <v>1.5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64585-2023</t>
        </is>
      </c>
      <c r="B13086" s="1" t="n">
        <v>45281</v>
      </c>
      <c r="C13086" s="1" t="n">
        <v>45810</v>
      </c>
      <c r="D13086" t="inlineStr">
        <is>
          <t>VÄRMLANDS LÄN</t>
        </is>
      </c>
      <c r="E13086" t="inlineStr">
        <is>
          <t>ARVIKA</t>
        </is>
      </c>
      <c r="G13086" t="n">
        <v>0.9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64539-2023</t>
        </is>
      </c>
      <c r="B13087" s="1" t="n">
        <v>45281</v>
      </c>
      <c r="C13087" s="1" t="n">
        <v>45810</v>
      </c>
      <c r="D13087" t="inlineStr">
        <is>
          <t>VÄRMLANDS LÄN</t>
        </is>
      </c>
      <c r="E13087" t="inlineStr">
        <is>
          <t>SUNNE</t>
        </is>
      </c>
      <c r="G13087" t="n">
        <v>12.5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64641-2023</t>
        </is>
      </c>
      <c r="B13088" s="1" t="n">
        <v>45281</v>
      </c>
      <c r="C13088" s="1" t="n">
        <v>45810</v>
      </c>
      <c r="D13088" t="inlineStr">
        <is>
          <t>VÄRMLANDS LÄN</t>
        </is>
      </c>
      <c r="E13088" t="inlineStr">
        <is>
          <t>TORSBY</t>
        </is>
      </c>
      <c r="F13088" t="inlineStr">
        <is>
          <t>Bergvik skog väst AB</t>
        </is>
      </c>
      <c r="G13088" t="n">
        <v>2.8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64583-2023</t>
        </is>
      </c>
      <c r="B13089" s="1" t="n">
        <v>45281</v>
      </c>
      <c r="C13089" s="1" t="n">
        <v>45810</v>
      </c>
      <c r="D13089" t="inlineStr">
        <is>
          <t>VÄRMLANDS LÄN</t>
        </is>
      </c>
      <c r="E13089" t="inlineStr">
        <is>
          <t>ARVIKA</t>
        </is>
      </c>
      <c r="G13089" t="n">
        <v>0.9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64670-2023</t>
        </is>
      </c>
      <c r="B13090" s="1" t="n">
        <v>45281</v>
      </c>
      <c r="C13090" s="1" t="n">
        <v>45810</v>
      </c>
      <c r="D13090" t="inlineStr">
        <is>
          <t>VÄRMLANDS LÄN</t>
        </is>
      </c>
      <c r="E13090" t="inlineStr">
        <is>
          <t>HAGFORS</t>
        </is>
      </c>
      <c r="F13090" t="inlineStr">
        <is>
          <t>Bergvik skog väst AB</t>
        </is>
      </c>
      <c r="G13090" t="n">
        <v>6.9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64686-2023</t>
        </is>
      </c>
      <c r="B13091" s="1" t="n">
        <v>45281</v>
      </c>
      <c r="C13091" s="1" t="n">
        <v>45810</v>
      </c>
      <c r="D13091" t="inlineStr">
        <is>
          <t>VÄRMLANDS LÄN</t>
        </is>
      </c>
      <c r="E13091" t="inlineStr">
        <is>
          <t>EDA</t>
        </is>
      </c>
      <c r="G13091" t="n">
        <v>0.8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64690-2023</t>
        </is>
      </c>
      <c r="B13092" s="1" t="n">
        <v>45281</v>
      </c>
      <c r="C13092" s="1" t="n">
        <v>45810</v>
      </c>
      <c r="D13092" t="inlineStr">
        <is>
          <t>VÄRMLANDS LÄN</t>
        </is>
      </c>
      <c r="E13092" t="inlineStr">
        <is>
          <t>ÅRJÄNG</t>
        </is>
      </c>
      <c r="G13092" t="n">
        <v>2.1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64698-2023</t>
        </is>
      </c>
      <c r="B13093" s="1" t="n">
        <v>45281</v>
      </c>
      <c r="C13093" s="1" t="n">
        <v>45810</v>
      </c>
      <c r="D13093" t="inlineStr">
        <is>
          <t>VÄRMLANDS LÄN</t>
        </is>
      </c>
      <c r="E13093" t="inlineStr">
        <is>
          <t>EDA</t>
        </is>
      </c>
      <c r="G13093" t="n">
        <v>3.1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64701-2023</t>
        </is>
      </c>
      <c r="B13094" s="1" t="n">
        <v>45281</v>
      </c>
      <c r="C13094" s="1" t="n">
        <v>45810</v>
      </c>
      <c r="D13094" t="inlineStr">
        <is>
          <t>VÄRMLANDS LÄN</t>
        </is>
      </c>
      <c r="E13094" t="inlineStr">
        <is>
          <t>EDA</t>
        </is>
      </c>
      <c r="G13094" t="n">
        <v>0.5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64705-2023</t>
        </is>
      </c>
      <c r="B13095" s="1" t="n">
        <v>45281</v>
      </c>
      <c r="C13095" s="1" t="n">
        <v>45810</v>
      </c>
      <c r="D13095" t="inlineStr">
        <is>
          <t>VÄRMLANDS LÄN</t>
        </is>
      </c>
      <c r="E13095" t="inlineStr">
        <is>
          <t>EDA</t>
        </is>
      </c>
      <c r="G13095" t="n">
        <v>2.8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64671-2023</t>
        </is>
      </c>
      <c r="B13096" s="1" t="n">
        <v>45281</v>
      </c>
      <c r="C13096" s="1" t="n">
        <v>45810</v>
      </c>
      <c r="D13096" t="inlineStr">
        <is>
          <t>VÄRMLANDS LÄN</t>
        </is>
      </c>
      <c r="E13096" t="inlineStr">
        <is>
          <t>TORSBY</t>
        </is>
      </c>
      <c r="G13096" t="n">
        <v>0.5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64664-2023</t>
        </is>
      </c>
      <c r="B13097" s="1" t="n">
        <v>45281</v>
      </c>
      <c r="C13097" s="1" t="n">
        <v>45810</v>
      </c>
      <c r="D13097" t="inlineStr">
        <is>
          <t>VÄRMLANDS LÄN</t>
        </is>
      </c>
      <c r="E13097" t="inlineStr">
        <is>
          <t>TORSBY</t>
        </is>
      </c>
      <c r="F13097" t="inlineStr">
        <is>
          <t>Bergvik skog väst AB</t>
        </is>
      </c>
      <c r="G13097" t="n">
        <v>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64741-2023</t>
        </is>
      </c>
      <c r="B13098" s="1" t="n">
        <v>45281</v>
      </c>
      <c r="C13098" s="1" t="n">
        <v>45810</v>
      </c>
      <c r="D13098" t="inlineStr">
        <is>
          <t>VÄRMLANDS LÄN</t>
        </is>
      </c>
      <c r="E13098" t="inlineStr">
        <is>
          <t>KARLSTAD</t>
        </is>
      </c>
      <c r="G13098" t="n">
        <v>7.6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64819-2023</t>
        </is>
      </c>
      <c r="B13099" s="1" t="n">
        <v>45281</v>
      </c>
      <c r="C13099" s="1" t="n">
        <v>45810</v>
      </c>
      <c r="D13099" t="inlineStr">
        <is>
          <t>VÄRMLANDS LÄN</t>
        </is>
      </c>
      <c r="E13099" t="inlineStr">
        <is>
          <t>SÄFFLE</t>
        </is>
      </c>
      <c r="G13099" t="n">
        <v>1.4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64700-2023</t>
        </is>
      </c>
      <c r="B13100" s="1" t="n">
        <v>45281</v>
      </c>
      <c r="C13100" s="1" t="n">
        <v>45810</v>
      </c>
      <c r="D13100" t="inlineStr">
        <is>
          <t>VÄRMLANDS LÄN</t>
        </is>
      </c>
      <c r="E13100" t="inlineStr">
        <is>
          <t>HAGFORS</t>
        </is>
      </c>
      <c r="G13100" t="n">
        <v>1.8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64672-2023</t>
        </is>
      </c>
      <c r="B13101" s="1" t="n">
        <v>45281</v>
      </c>
      <c r="C13101" s="1" t="n">
        <v>45810</v>
      </c>
      <c r="D13101" t="inlineStr">
        <is>
          <t>VÄRMLANDS LÄN</t>
        </is>
      </c>
      <c r="E13101" t="inlineStr">
        <is>
          <t>TORSBY</t>
        </is>
      </c>
      <c r="G13101" t="n">
        <v>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64640-2023</t>
        </is>
      </c>
      <c r="B13102" s="1" t="n">
        <v>45281</v>
      </c>
      <c r="C13102" s="1" t="n">
        <v>45810</v>
      </c>
      <c r="D13102" t="inlineStr">
        <is>
          <t>VÄRMLANDS LÄN</t>
        </is>
      </c>
      <c r="E13102" t="inlineStr">
        <is>
          <t>TORSBY</t>
        </is>
      </c>
      <c r="G13102" t="n">
        <v>0.6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64703-2023</t>
        </is>
      </c>
      <c r="B13103" s="1" t="n">
        <v>45281</v>
      </c>
      <c r="C13103" s="1" t="n">
        <v>45810</v>
      </c>
      <c r="D13103" t="inlineStr">
        <is>
          <t>VÄRMLANDS LÄN</t>
        </is>
      </c>
      <c r="E13103" t="inlineStr">
        <is>
          <t>EDA</t>
        </is>
      </c>
      <c r="G13103" t="n">
        <v>1.8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64824-2023</t>
        </is>
      </c>
      <c r="B13104" s="1" t="n">
        <v>45281</v>
      </c>
      <c r="C13104" s="1" t="n">
        <v>45810</v>
      </c>
      <c r="D13104" t="inlineStr">
        <is>
          <t>VÄRMLANDS LÄN</t>
        </is>
      </c>
      <c r="E13104" t="inlineStr">
        <is>
          <t>SÄFFLE</t>
        </is>
      </c>
      <c r="G13104" t="n">
        <v>1.4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64772-2023</t>
        </is>
      </c>
      <c r="B13105" s="1" t="n">
        <v>45282</v>
      </c>
      <c r="C13105" s="1" t="n">
        <v>45810</v>
      </c>
      <c r="D13105" t="inlineStr">
        <is>
          <t>VÄRMLANDS LÄN</t>
        </is>
      </c>
      <c r="E13105" t="inlineStr">
        <is>
          <t>MUNKFORS</t>
        </is>
      </c>
      <c r="G13105" t="n">
        <v>1.4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64777-2023</t>
        </is>
      </c>
      <c r="B13106" s="1" t="n">
        <v>45282</v>
      </c>
      <c r="C13106" s="1" t="n">
        <v>45810</v>
      </c>
      <c r="D13106" t="inlineStr">
        <is>
          <t>VÄRMLANDS LÄN</t>
        </is>
      </c>
      <c r="E13106" t="inlineStr">
        <is>
          <t>KARLSTAD</t>
        </is>
      </c>
      <c r="G13106" t="n">
        <v>2.1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64778-2023</t>
        </is>
      </c>
      <c r="B13107" s="1" t="n">
        <v>45282</v>
      </c>
      <c r="C13107" s="1" t="n">
        <v>45810</v>
      </c>
      <c r="D13107" t="inlineStr">
        <is>
          <t>VÄRMLANDS LÄN</t>
        </is>
      </c>
      <c r="E13107" t="inlineStr">
        <is>
          <t>KARLSTAD</t>
        </is>
      </c>
      <c r="G13107" t="n">
        <v>3.5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64823-2023</t>
        </is>
      </c>
      <c r="B13108" s="1" t="n">
        <v>45282</v>
      </c>
      <c r="C13108" s="1" t="n">
        <v>45810</v>
      </c>
      <c r="D13108" t="inlineStr">
        <is>
          <t>VÄRMLANDS LÄN</t>
        </is>
      </c>
      <c r="E13108" t="inlineStr">
        <is>
          <t>SUNNE</t>
        </is>
      </c>
      <c r="G13108" t="n">
        <v>0.7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64775-2023</t>
        </is>
      </c>
      <c r="B13109" s="1" t="n">
        <v>45282</v>
      </c>
      <c r="C13109" s="1" t="n">
        <v>45810</v>
      </c>
      <c r="D13109" t="inlineStr">
        <is>
          <t>VÄRMLANDS LÄN</t>
        </is>
      </c>
      <c r="E13109" t="inlineStr">
        <is>
          <t>KARLSTAD</t>
        </is>
      </c>
      <c r="G13109" t="n">
        <v>1.7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64791-2023</t>
        </is>
      </c>
      <c r="B13110" s="1" t="n">
        <v>45282</v>
      </c>
      <c r="C13110" s="1" t="n">
        <v>45810</v>
      </c>
      <c r="D13110" t="inlineStr">
        <is>
          <t>VÄRMLANDS LÄN</t>
        </is>
      </c>
      <c r="E13110" t="inlineStr">
        <is>
          <t>ÅRJÄNG</t>
        </is>
      </c>
      <c r="G13110" t="n">
        <v>1.1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65023-2023</t>
        </is>
      </c>
      <c r="B13111" s="1" t="n">
        <v>45282</v>
      </c>
      <c r="C13111" s="1" t="n">
        <v>45810</v>
      </c>
      <c r="D13111" t="inlineStr">
        <is>
          <t>VÄRMLANDS LÄN</t>
        </is>
      </c>
      <c r="E13111" t="inlineStr">
        <is>
          <t>SÄFFLE</t>
        </is>
      </c>
      <c r="G13111" t="n">
        <v>2.5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64903-2023</t>
        </is>
      </c>
      <c r="B13112" s="1" t="n">
        <v>45282</v>
      </c>
      <c r="C13112" s="1" t="n">
        <v>45810</v>
      </c>
      <c r="D13112" t="inlineStr">
        <is>
          <t>VÄRMLANDS LÄN</t>
        </is>
      </c>
      <c r="E13112" t="inlineStr">
        <is>
          <t>ÅRJÄNG</t>
        </is>
      </c>
      <c r="G13112" t="n">
        <v>7.5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64807-2023</t>
        </is>
      </c>
      <c r="B13113" s="1" t="n">
        <v>45282</v>
      </c>
      <c r="C13113" s="1" t="n">
        <v>45810</v>
      </c>
      <c r="D13113" t="inlineStr">
        <is>
          <t>VÄRMLANDS LÄN</t>
        </is>
      </c>
      <c r="E13113" t="inlineStr">
        <is>
          <t>KARLSTAD</t>
        </is>
      </c>
      <c r="G13113" t="n">
        <v>3.3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64877-2023</t>
        </is>
      </c>
      <c r="B13114" s="1" t="n">
        <v>45282</v>
      </c>
      <c r="C13114" s="1" t="n">
        <v>45810</v>
      </c>
      <c r="D13114" t="inlineStr">
        <is>
          <t>VÄRMLANDS LÄN</t>
        </is>
      </c>
      <c r="E13114" t="inlineStr">
        <is>
          <t>ARVIKA</t>
        </is>
      </c>
      <c r="G13114" t="n">
        <v>2.3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65053-2023</t>
        </is>
      </c>
      <c r="B13115" s="1" t="n">
        <v>45282</v>
      </c>
      <c r="C13115" s="1" t="n">
        <v>45810</v>
      </c>
      <c r="D13115" t="inlineStr">
        <is>
          <t>VÄRMLANDS LÄN</t>
        </is>
      </c>
      <c r="E13115" t="inlineStr">
        <is>
          <t>KRISTINEHAMN</t>
        </is>
      </c>
      <c r="G13115" t="n">
        <v>5.4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65054-2023</t>
        </is>
      </c>
      <c r="B13116" s="1" t="n">
        <v>45282</v>
      </c>
      <c r="C13116" s="1" t="n">
        <v>45810</v>
      </c>
      <c r="D13116" t="inlineStr">
        <is>
          <t>VÄRMLANDS LÄN</t>
        </is>
      </c>
      <c r="E13116" t="inlineStr">
        <is>
          <t>KRISTINEHAMN</t>
        </is>
      </c>
      <c r="G13116" t="n">
        <v>2.1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64936-2023</t>
        </is>
      </c>
      <c r="B13117" s="1" t="n">
        <v>45282</v>
      </c>
      <c r="C13117" s="1" t="n">
        <v>45810</v>
      </c>
      <c r="D13117" t="inlineStr">
        <is>
          <t>VÄRMLANDS LÄN</t>
        </is>
      </c>
      <c r="E13117" t="inlineStr">
        <is>
          <t>HAGFORS</t>
        </is>
      </c>
      <c r="G13117" t="n">
        <v>3.9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65020-2023</t>
        </is>
      </c>
      <c r="B13118" s="1" t="n">
        <v>45282</v>
      </c>
      <c r="C13118" s="1" t="n">
        <v>45810</v>
      </c>
      <c r="D13118" t="inlineStr">
        <is>
          <t>VÄRMLANDS LÄN</t>
        </is>
      </c>
      <c r="E13118" t="inlineStr">
        <is>
          <t>SUNNE</t>
        </is>
      </c>
      <c r="G13118" t="n">
        <v>5.3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65050-2023</t>
        </is>
      </c>
      <c r="B13119" s="1" t="n">
        <v>45282</v>
      </c>
      <c r="C13119" s="1" t="n">
        <v>45810</v>
      </c>
      <c r="D13119" t="inlineStr">
        <is>
          <t>VÄRMLANDS LÄN</t>
        </is>
      </c>
      <c r="E13119" t="inlineStr">
        <is>
          <t>KRISTINEHAMN</t>
        </is>
      </c>
      <c r="G13119" t="n">
        <v>9.6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65055-2023</t>
        </is>
      </c>
      <c r="B13120" s="1" t="n">
        <v>45282</v>
      </c>
      <c r="C13120" s="1" t="n">
        <v>45810</v>
      </c>
      <c r="D13120" t="inlineStr">
        <is>
          <t>VÄRMLANDS LÄN</t>
        </is>
      </c>
      <c r="E13120" t="inlineStr">
        <is>
          <t>KRISTINEHAMN</t>
        </is>
      </c>
      <c r="G13120" t="n">
        <v>1.1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65048-2023</t>
        </is>
      </c>
      <c r="B13121" s="1" t="n">
        <v>45284</v>
      </c>
      <c r="C13121" s="1" t="n">
        <v>45810</v>
      </c>
      <c r="D13121" t="inlineStr">
        <is>
          <t>VÄRMLANDS LÄN</t>
        </is>
      </c>
      <c r="E13121" t="inlineStr">
        <is>
          <t>KIL</t>
        </is>
      </c>
      <c r="G13121" t="n">
        <v>0.9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65052-2023</t>
        </is>
      </c>
      <c r="B13122" s="1" t="n">
        <v>45284</v>
      </c>
      <c r="C13122" s="1" t="n">
        <v>45810</v>
      </c>
      <c r="D13122" t="inlineStr">
        <is>
          <t>VÄRMLANDS LÄN</t>
        </is>
      </c>
      <c r="E13122" t="inlineStr">
        <is>
          <t>KIL</t>
        </is>
      </c>
      <c r="G13122" t="n">
        <v>1.1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65069-2023</t>
        </is>
      </c>
      <c r="B13123" s="1" t="n">
        <v>45285</v>
      </c>
      <c r="C13123" s="1" t="n">
        <v>45810</v>
      </c>
      <c r="D13123" t="inlineStr">
        <is>
          <t>VÄRMLANDS LÄN</t>
        </is>
      </c>
      <c r="E13123" t="inlineStr">
        <is>
          <t>SÄFFLE</t>
        </is>
      </c>
      <c r="G13123" t="n">
        <v>3.1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65007-2023</t>
        </is>
      </c>
      <c r="B13124" s="1" t="n">
        <v>45287</v>
      </c>
      <c r="C13124" s="1" t="n">
        <v>45810</v>
      </c>
      <c r="D13124" t="inlineStr">
        <is>
          <t>VÄRMLANDS LÄN</t>
        </is>
      </c>
      <c r="E13124" t="inlineStr">
        <is>
          <t>KIL</t>
        </is>
      </c>
      <c r="G13124" t="n">
        <v>14.2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65016-2023</t>
        </is>
      </c>
      <c r="B13125" s="1" t="n">
        <v>45287</v>
      </c>
      <c r="C13125" s="1" t="n">
        <v>45810</v>
      </c>
      <c r="D13125" t="inlineStr">
        <is>
          <t>VÄRMLANDS LÄN</t>
        </is>
      </c>
      <c r="E13125" t="inlineStr">
        <is>
          <t>HAGFORS</t>
        </is>
      </c>
      <c r="F13125" t="inlineStr">
        <is>
          <t>Bergvik skog väst AB</t>
        </is>
      </c>
      <c r="G13125" t="n">
        <v>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65058-2023</t>
        </is>
      </c>
      <c r="B13126" s="1" t="n">
        <v>45287</v>
      </c>
      <c r="C13126" s="1" t="n">
        <v>45810</v>
      </c>
      <c r="D13126" t="inlineStr">
        <is>
          <t>VÄRMLANDS LÄN</t>
        </is>
      </c>
      <c r="E13126" t="inlineStr">
        <is>
          <t>HAGFORS</t>
        </is>
      </c>
      <c r="G13126" t="n">
        <v>1.7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65062-2023</t>
        </is>
      </c>
      <c r="B13127" s="1" t="n">
        <v>45287</v>
      </c>
      <c r="C13127" s="1" t="n">
        <v>45810</v>
      </c>
      <c r="D13127" t="inlineStr">
        <is>
          <t>VÄRMLANDS LÄN</t>
        </is>
      </c>
      <c r="E13127" t="inlineStr">
        <is>
          <t>FORSHAGA</t>
        </is>
      </c>
      <c r="F13127" t="inlineStr">
        <is>
          <t>Bergvik skog väst AB</t>
        </is>
      </c>
      <c r="G13127" t="n">
        <v>11.3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65002-2023</t>
        </is>
      </c>
      <c r="B13128" s="1" t="n">
        <v>45287</v>
      </c>
      <c r="C13128" s="1" t="n">
        <v>45810</v>
      </c>
      <c r="D13128" t="inlineStr">
        <is>
          <t>VÄRMLANDS LÄN</t>
        </is>
      </c>
      <c r="E13128" t="inlineStr">
        <is>
          <t>KIL</t>
        </is>
      </c>
      <c r="G13128" t="n">
        <v>6.9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65036-2023</t>
        </is>
      </c>
      <c r="B13129" s="1" t="n">
        <v>45287</v>
      </c>
      <c r="C13129" s="1" t="n">
        <v>45810</v>
      </c>
      <c r="D13129" t="inlineStr">
        <is>
          <t>VÄRMLANDS LÄN</t>
        </is>
      </c>
      <c r="E13129" t="inlineStr">
        <is>
          <t>ARVIKA</t>
        </is>
      </c>
      <c r="F13129" t="inlineStr">
        <is>
          <t>Bergvik skog väst AB</t>
        </is>
      </c>
      <c r="G13129" t="n">
        <v>4.1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65061-2023</t>
        </is>
      </c>
      <c r="B13130" s="1" t="n">
        <v>45287</v>
      </c>
      <c r="C13130" s="1" t="n">
        <v>45810</v>
      </c>
      <c r="D13130" t="inlineStr">
        <is>
          <t>VÄRMLANDS LÄN</t>
        </is>
      </c>
      <c r="E13130" t="inlineStr">
        <is>
          <t>ÅRJÄNG</t>
        </is>
      </c>
      <c r="G13130" t="n">
        <v>1.3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65065-2023</t>
        </is>
      </c>
      <c r="B13131" s="1" t="n">
        <v>45287</v>
      </c>
      <c r="C13131" s="1" t="n">
        <v>45810</v>
      </c>
      <c r="D13131" t="inlineStr">
        <is>
          <t>VÄRMLANDS LÄN</t>
        </is>
      </c>
      <c r="E13131" t="inlineStr">
        <is>
          <t>HAGFORS</t>
        </is>
      </c>
      <c r="G13131" t="n">
        <v>0.8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65072-2023</t>
        </is>
      </c>
      <c r="B13132" s="1" t="n">
        <v>45287</v>
      </c>
      <c r="C13132" s="1" t="n">
        <v>45810</v>
      </c>
      <c r="D13132" t="inlineStr">
        <is>
          <t>VÄRMLANDS LÄN</t>
        </is>
      </c>
      <c r="E13132" t="inlineStr">
        <is>
          <t>STORFORS</t>
        </is>
      </c>
      <c r="G13132" t="n">
        <v>0.5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65060-2023</t>
        </is>
      </c>
      <c r="B13133" s="1" t="n">
        <v>45287</v>
      </c>
      <c r="C13133" s="1" t="n">
        <v>45810</v>
      </c>
      <c r="D13133" t="inlineStr">
        <is>
          <t>VÄRMLANDS LÄN</t>
        </is>
      </c>
      <c r="E13133" t="inlineStr">
        <is>
          <t>HAGFORS</t>
        </is>
      </c>
      <c r="G13133" t="n">
        <v>0.8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65064-2023</t>
        </is>
      </c>
      <c r="B13134" s="1" t="n">
        <v>45287</v>
      </c>
      <c r="C13134" s="1" t="n">
        <v>45810</v>
      </c>
      <c r="D13134" t="inlineStr">
        <is>
          <t>VÄRMLANDS LÄN</t>
        </is>
      </c>
      <c r="E13134" t="inlineStr">
        <is>
          <t>HAGFORS</t>
        </is>
      </c>
      <c r="G13134" t="n">
        <v>0.7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65071-2023</t>
        </is>
      </c>
      <c r="B13135" s="1" t="n">
        <v>45287</v>
      </c>
      <c r="C13135" s="1" t="n">
        <v>45810</v>
      </c>
      <c r="D13135" t="inlineStr">
        <is>
          <t>VÄRMLANDS LÄN</t>
        </is>
      </c>
      <c r="E13135" t="inlineStr">
        <is>
          <t>STORFORS</t>
        </is>
      </c>
      <c r="G13135" t="n">
        <v>2.9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65004-2023</t>
        </is>
      </c>
      <c r="B13136" s="1" t="n">
        <v>45287</v>
      </c>
      <c r="C13136" s="1" t="n">
        <v>45810</v>
      </c>
      <c r="D13136" t="inlineStr">
        <is>
          <t>VÄRMLANDS LÄN</t>
        </is>
      </c>
      <c r="E13136" t="inlineStr">
        <is>
          <t>KIL</t>
        </is>
      </c>
      <c r="G13136" t="n">
        <v>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65008-2023</t>
        </is>
      </c>
      <c r="B13137" s="1" t="n">
        <v>45287</v>
      </c>
      <c r="C13137" s="1" t="n">
        <v>45810</v>
      </c>
      <c r="D13137" t="inlineStr">
        <is>
          <t>VÄRMLANDS LÄN</t>
        </is>
      </c>
      <c r="E13137" t="inlineStr">
        <is>
          <t>KIL</t>
        </is>
      </c>
      <c r="G13137" t="n">
        <v>2.1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65017-2023</t>
        </is>
      </c>
      <c r="B13138" s="1" t="n">
        <v>45287</v>
      </c>
      <c r="C13138" s="1" t="n">
        <v>45810</v>
      </c>
      <c r="D13138" t="inlineStr">
        <is>
          <t>VÄRMLANDS LÄN</t>
        </is>
      </c>
      <c r="E13138" t="inlineStr">
        <is>
          <t>HAGFORS</t>
        </is>
      </c>
      <c r="F13138" t="inlineStr">
        <is>
          <t>Bergvik skog väst AB</t>
        </is>
      </c>
      <c r="G13138" t="n">
        <v>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65063-2023</t>
        </is>
      </c>
      <c r="B13139" s="1" t="n">
        <v>45287</v>
      </c>
      <c r="C13139" s="1" t="n">
        <v>45810</v>
      </c>
      <c r="D13139" t="inlineStr">
        <is>
          <t>VÄRMLANDS LÄN</t>
        </is>
      </c>
      <c r="E13139" t="inlineStr">
        <is>
          <t>ÅRJÄNG</t>
        </is>
      </c>
      <c r="G13139" t="n">
        <v>0.9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65084-2023</t>
        </is>
      </c>
      <c r="B13140" s="1" t="n">
        <v>45288</v>
      </c>
      <c r="C13140" s="1" t="n">
        <v>45810</v>
      </c>
      <c r="D13140" t="inlineStr">
        <is>
          <t>VÄRMLANDS LÄN</t>
        </is>
      </c>
      <c r="E13140" t="inlineStr">
        <is>
          <t>ARVIKA</t>
        </is>
      </c>
      <c r="F13140" t="inlineStr">
        <is>
          <t>Bergvik skog väst AB</t>
        </is>
      </c>
      <c r="G13140" t="n">
        <v>37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65103-2023</t>
        </is>
      </c>
      <c r="B13141" s="1" t="n">
        <v>45288</v>
      </c>
      <c r="C13141" s="1" t="n">
        <v>45810</v>
      </c>
      <c r="D13141" t="inlineStr">
        <is>
          <t>VÄRMLANDS LÄN</t>
        </is>
      </c>
      <c r="E13141" t="inlineStr">
        <is>
          <t>STORFORS</t>
        </is>
      </c>
      <c r="F13141" t="inlineStr">
        <is>
          <t>Bergvik skog väst AB</t>
        </is>
      </c>
      <c r="G13141" t="n">
        <v>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65117-2023</t>
        </is>
      </c>
      <c r="B13142" s="1" t="n">
        <v>45288</v>
      </c>
      <c r="C13142" s="1" t="n">
        <v>45810</v>
      </c>
      <c r="D13142" t="inlineStr">
        <is>
          <t>VÄRMLANDS LÄN</t>
        </is>
      </c>
      <c r="E13142" t="inlineStr">
        <is>
          <t>HAGFORS</t>
        </is>
      </c>
      <c r="F13142" t="inlineStr">
        <is>
          <t>Bergvik skog väst AB</t>
        </is>
      </c>
      <c r="G13142" t="n">
        <v>11.4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65085-2023</t>
        </is>
      </c>
      <c r="B13143" s="1" t="n">
        <v>45288</v>
      </c>
      <c r="C13143" s="1" t="n">
        <v>45810</v>
      </c>
      <c r="D13143" t="inlineStr">
        <is>
          <t>VÄRMLANDS LÄN</t>
        </is>
      </c>
      <c r="E13143" t="inlineStr">
        <is>
          <t>KARLSTAD</t>
        </is>
      </c>
      <c r="G13143" t="n">
        <v>0.9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65168-2023</t>
        </is>
      </c>
      <c r="B13144" s="1" t="n">
        <v>45288</v>
      </c>
      <c r="C13144" s="1" t="n">
        <v>45810</v>
      </c>
      <c r="D13144" t="inlineStr">
        <is>
          <t>VÄRMLANDS LÄN</t>
        </is>
      </c>
      <c r="E13144" t="inlineStr">
        <is>
          <t>ÅRJÄNG</t>
        </is>
      </c>
      <c r="G13144" t="n">
        <v>6.2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65081-2023</t>
        </is>
      </c>
      <c r="B13145" s="1" t="n">
        <v>45288</v>
      </c>
      <c r="C13145" s="1" t="n">
        <v>45810</v>
      </c>
      <c r="D13145" t="inlineStr">
        <is>
          <t>VÄRMLANDS LÄN</t>
        </is>
      </c>
      <c r="E13145" t="inlineStr">
        <is>
          <t>TORSBY</t>
        </is>
      </c>
      <c r="G13145" t="n">
        <v>3.8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65086-2023</t>
        </is>
      </c>
      <c r="B13146" s="1" t="n">
        <v>45288</v>
      </c>
      <c r="C13146" s="1" t="n">
        <v>45810</v>
      </c>
      <c r="D13146" t="inlineStr">
        <is>
          <t>VÄRMLANDS LÄN</t>
        </is>
      </c>
      <c r="E13146" t="inlineStr">
        <is>
          <t>KARLSTAD</t>
        </is>
      </c>
      <c r="G13146" t="n">
        <v>2.2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65134-2023</t>
        </is>
      </c>
      <c r="B13147" s="1" t="n">
        <v>45288</v>
      </c>
      <c r="C13147" s="1" t="n">
        <v>45810</v>
      </c>
      <c r="D13147" t="inlineStr">
        <is>
          <t>VÄRMLANDS LÄN</t>
        </is>
      </c>
      <c r="E13147" t="inlineStr">
        <is>
          <t>TORSBY</t>
        </is>
      </c>
      <c r="G13147" t="n">
        <v>3.5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65108-2023</t>
        </is>
      </c>
      <c r="B13148" s="1" t="n">
        <v>45288</v>
      </c>
      <c r="C13148" s="1" t="n">
        <v>45810</v>
      </c>
      <c r="D13148" t="inlineStr">
        <is>
          <t>VÄRMLANDS LÄN</t>
        </is>
      </c>
      <c r="E13148" t="inlineStr">
        <is>
          <t>SUNNE</t>
        </is>
      </c>
      <c r="G13148" t="n">
        <v>3.2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65171-2023</t>
        </is>
      </c>
      <c r="B13149" s="1" t="n">
        <v>45288</v>
      </c>
      <c r="C13149" s="1" t="n">
        <v>45810</v>
      </c>
      <c r="D13149" t="inlineStr">
        <is>
          <t>VÄRMLANDS LÄN</t>
        </is>
      </c>
      <c r="E13149" t="inlineStr">
        <is>
          <t>ÅRJÄNG</t>
        </is>
      </c>
      <c r="G13149" t="n">
        <v>2.1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65215-2023</t>
        </is>
      </c>
      <c r="B13150" s="1" t="n">
        <v>45289</v>
      </c>
      <c r="C13150" s="1" t="n">
        <v>45810</v>
      </c>
      <c r="D13150" t="inlineStr">
        <is>
          <t>VÄRMLANDS LÄN</t>
        </is>
      </c>
      <c r="E13150" t="inlineStr">
        <is>
          <t>EDA</t>
        </is>
      </c>
      <c r="G13150" t="n">
        <v>1.8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65229-2023</t>
        </is>
      </c>
      <c r="B13151" s="1" t="n">
        <v>45289</v>
      </c>
      <c r="C13151" s="1" t="n">
        <v>45810</v>
      </c>
      <c r="D13151" t="inlineStr">
        <is>
          <t>VÄRMLANDS LÄN</t>
        </is>
      </c>
      <c r="E13151" t="inlineStr">
        <is>
          <t>ÅRJÄNG</t>
        </is>
      </c>
      <c r="G13151" t="n">
        <v>1.9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65204-2023</t>
        </is>
      </c>
      <c r="B13152" s="1" t="n">
        <v>45289</v>
      </c>
      <c r="C13152" s="1" t="n">
        <v>45810</v>
      </c>
      <c r="D13152" t="inlineStr">
        <is>
          <t>VÄRMLANDS LÄN</t>
        </is>
      </c>
      <c r="E13152" t="inlineStr">
        <is>
          <t>TORSBY</t>
        </is>
      </c>
      <c r="G13152" t="n">
        <v>3.1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65251-2023</t>
        </is>
      </c>
      <c r="B13153" s="1" t="n">
        <v>45290</v>
      </c>
      <c r="C13153" s="1" t="n">
        <v>45810</v>
      </c>
      <c r="D13153" t="inlineStr">
        <is>
          <t>VÄRMLANDS LÄN</t>
        </is>
      </c>
      <c r="E13153" t="inlineStr">
        <is>
          <t>EDA</t>
        </is>
      </c>
      <c r="G13153" t="n">
        <v>2.5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65250-2023</t>
        </is>
      </c>
      <c r="B13154" s="1" t="n">
        <v>45290</v>
      </c>
      <c r="C13154" s="1" t="n">
        <v>45810</v>
      </c>
      <c r="D13154" t="inlineStr">
        <is>
          <t>VÄRMLANDS LÄN</t>
        </is>
      </c>
      <c r="E13154" t="inlineStr">
        <is>
          <t>EDA</t>
        </is>
      </c>
      <c r="G13154" t="n">
        <v>4.1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1-2024</t>
        </is>
      </c>
      <c r="B13155" s="1" t="n">
        <v>45292</v>
      </c>
      <c r="C13155" s="1" t="n">
        <v>45810</v>
      </c>
      <c r="D13155" t="inlineStr">
        <is>
          <t>VÄRMLANDS LÄN</t>
        </is>
      </c>
      <c r="E13155" t="inlineStr">
        <is>
          <t>ÅRJÄNG</t>
        </is>
      </c>
      <c r="G13155" t="n">
        <v>3.5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2-2024</t>
        </is>
      </c>
      <c r="B13156" s="1" t="n">
        <v>45292</v>
      </c>
      <c r="C13156" s="1" t="n">
        <v>45810</v>
      </c>
      <c r="D13156" t="inlineStr">
        <is>
          <t>VÄRMLANDS LÄN</t>
        </is>
      </c>
      <c r="E13156" t="inlineStr">
        <is>
          <t>ÅRJÄNG</t>
        </is>
      </c>
      <c r="G13156" t="n">
        <v>2.1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33-2024</t>
        </is>
      </c>
      <c r="B13157" s="1" t="n">
        <v>45292</v>
      </c>
      <c r="C13157" s="1" t="n">
        <v>45810</v>
      </c>
      <c r="D13157" t="inlineStr">
        <is>
          <t>VÄRMLANDS LÄN</t>
        </is>
      </c>
      <c r="E13157" t="inlineStr">
        <is>
          <t>GRUMS</t>
        </is>
      </c>
      <c r="G13157" t="n">
        <v>2.1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66-2024</t>
        </is>
      </c>
      <c r="B13158" s="1" t="n">
        <v>45293</v>
      </c>
      <c r="C13158" s="1" t="n">
        <v>45810</v>
      </c>
      <c r="D13158" t="inlineStr">
        <is>
          <t>VÄRMLANDS LÄN</t>
        </is>
      </c>
      <c r="E13158" t="inlineStr">
        <is>
          <t>EDA</t>
        </is>
      </c>
      <c r="F13158" t="inlineStr">
        <is>
          <t>Kyrkan</t>
        </is>
      </c>
      <c r="G13158" t="n">
        <v>3.8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44-2024</t>
        </is>
      </c>
      <c r="B13159" s="1" t="n">
        <v>45293</v>
      </c>
      <c r="C13159" s="1" t="n">
        <v>45810</v>
      </c>
      <c r="D13159" t="inlineStr">
        <is>
          <t>VÄRMLANDS LÄN</t>
        </is>
      </c>
      <c r="E13159" t="inlineStr">
        <is>
          <t>ARVIKA</t>
        </is>
      </c>
      <c r="F13159" t="inlineStr">
        <is>
          <t>Kyrkan</t>
        </is>
      </c>
      <c r="G13159" t="n">
        <v>3.3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20-2024</t>
        </is>
      </c>
      <c r="B13160" s="1" t="n">
        <v>45293</v>
      </c>
      <c r="C13160" s="1" t="n">
        <v>45810</v>
      </c>
      <c r="D13160" t="inlineStr">
        <is>
          <t>VÄRMLANDS LÄN</t>
        </is>
      </c>
      <c r="E13160" t="inlineStr">
        <is>
          <t>EDA</t>
        </is>
      </c>
      <c r="G13160" t="n">
        <v>0.9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14-2024</t>
        </is>
      </c>
      <c r="B13161" s="1" t="n">
        <v>45293</v>
      </c>
      <c r="C13161" s="1" t="n">
        <v>45810</v>
      </c>
      <c r="D13161" t="inlineStr">
        <is>
          <t>VÄRMLANDS LÄN</t>
        </is>
      </c>
      <c r="E13161" t="inlineStr">
        <is>
          <t>EDA</t>
        </is>
      </c>
      <c r="G13161" t="n">
        <v>1.1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35-2024</t>
        </is>
      </c>
      <c r="B13162" s="1" t="n">
        <v>45293</v>
      </c>
      <c r="C13162" s="1" t="n">
        <v>45810</v>
      </c>
      <c r="D13162" t="inlineStr">
        <is>
          <t>VÄRMLANDS LÄN</t>
        </is>
      </c>
      <c r="E13162" t="inlineStr">
        <is>
          <t>SÄFFLE</t>
        </is>
      </c>
      <c r="G13162" t="n">
        <v>1.6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85-2024</t>
        </is>
      </c>
      <c r="B13163" s="1" t="n">
        <v>45293</v>
      </c>
      <c r="C13163" s="1" t="n">
        <v>45810</v>
      </c>
      <c r="D13163" t="inlineStr">
        <is>
          <t>VÄRMLANDS LÄN</t>
        </is>
      </c>
      <c r="E13163" t="inlineStr">
        <is>
          <t>SÄFFLE</t>
        </is>
      </c>
      <c r="G13163" t="n">
        <v>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87-2024</t>
        </is>
      </c>
      <c r="B13164" s="1" t="n">
        <v>45293</v>
      </c>
      <c r="C13164" s="1" t="n">
        <v>45810</v>
      </c>
      <c r="D13164" t="inlineStr">
        <is>
          <t>VÄRMLANDS LÄN</t>
        </is>
      </c>
      <c r="E13164" t="inlineStr">
        <is>
          <t>SÄFFLE</t>
        </is>
      </c>
      <c r="G13164" t="n">
        <v>1.5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91-2024</t>
        </is>
      </c>
      <c r="B13165" s="1" t="n">
        <v>45293</v>
      </c>
      <c r="C13165" s="1" t="n">
        <v>45810</v>
      </c>
      <c r="D13165" t="inlineStr">
        <is>
          <t>VÄRMLANDS LÄN</t>
        </is>
      </c>
      <c r="E13165" t="inlineStr">
        <is>
          <t>ARVIKA</t>
        </is>
      </c>
      <c r="G13165" t="n">
        <v>1.8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108-2024</t>
        </is>
      </c>
      <c r="B13166" s="1" t="n">
        <v>45293</v>
      </c>
      <c r="C13166" s="1" t="n">
        <v>45810</v>
      </c>
      <c r="D13166" t="inlineStr">
        <is>
          <t>VÄRMLANDS LÄN</t>
        </is>
      </c>
      <c r="E13166" t="inlineStr">
        <is>
          <t>ARVIKA</t>
        </is>
      </c>
      <c r="F13166" t="inlineStr">
        <is>
          <t>Kyrkan</t>
        </is>
      </c>
      <c r="G13166" t="n">
        <v>2.5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210-2024</t>
        </is>
      </c>
      <c r="B13167" s="1" t="n">
        <v>45293</v>
      </c>
      <c r="C13167" s="1" t="n">
        <v>45810</v>
      </c>
      <c r="D13167" t="inlineStr">
        <is>
          <t>VÄRMLANDS LÄN</t>
        </is>
      </c>
      <c r="E13167" t="inlineStr">
        <is>
          <t>SÄFFLE</t>
        </is>
      </c>
      <c r="G13167" t="n">
        <v>1.2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117-2024</t>
        </is>
      </c>
      <c r="B13168" s="1" t="n">
        <v>45294</v>
      </c>
      <c r="C13168" s="1" t="n">
        <v>45810</v>
      </c>
      <c r="D13168" t="inlineStr">
        <is>
          <t>VÄRMLANDS LÄN</t>
        </is>
      </c>
      <c r="E13168" t="inlineStr">
        <is>
          <t>ARVIKA</t>
        </is>
      </c>
      <c r="G13168" t="n">
        <v>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173-2024</t>
        </is>
      </c>
      <c r="B13169" s="1" t="n">
        <v>45294</v>
      </c>
      <c r="C13169" s="1" t="n">
        <v>45810</v>
      </c>
      <c r="D13169" t="inlineStr">
        <is>
          <t>VÄRMLANDS LÄN</t>
        </is>
      </c>
      <c r="E13169" t="inlineStr">
        <is>
          <t>TORSBY</t>
        </is>
      </c>
      <c r="F13169" t="inlineStr">
        <is>
          <t>Bergvik skog väst AB</t>
        </is>
      </c>
      <c r="G13169" t="n">
        <v>1.1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111-2024</t>
        </is>
      </c>
      <c r="B13170" s="1" t="n">
        <v>45294</v>
      </c>
      <c r="C13170" s="1" t="n">
        <v>45810</v>
      </c>
      <c r="D13170" t="inlineStr">
        <is>
          <t>VÄRMLANDS LÄN</t>
        </is>
      </c>
      <c r="E13170" t="inlineStr">
        <is>
          <t>ARVIKA</t>
        </is>
      </c>
      <c r="G13170" t="n">
        <v>1.9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119-2024</t>
        </is>
      </c>
      <c r="B13171" s="1" t="n">
        <v>45294</v>
      </c>
      <c r="C13171" s="1" t="n">
        <v>45810</v>
      </c>
      <c r="D13171" t="inlineStr">
        <is>
          <t>VÄRMLANDS LÄN</t>
        </is>
      </c>
      <c r="E13171" t="inlineStr">
        <is>
          <t>TORSBY</t>
        </is>
      </c>
      <c r="G13171" t="n">
        <v>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135-2024</t>
        </is>
      </c>
      <c r="B13172" s="1" t="n">
        <v>45294</v>
      </c>
      <c r="C13172" s="1" t="n">
        <v>45810</v>
      </c>
      <c r="D13172" t="inlineStr">
        <is>
          <t>VÄRMLANDS LÄN</t>
        </is>
      </c>
      <c r="E13172" t="inlineStr">
        <is>
          <t>EDA</t>
        </is>
      </c>
      <c r="G13172" t="n">
        <v>1.8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144-2024</t>
        </is>
      </c>
      <c r="B13173" s="1" t="n">
        <v>45294</v>
      </c>
      <c r="C13173" s="1" t="n">
        <v>45810</v>
      </c>
      <c r="D13173" t="inlineStr">
        <is>
          <t>VÄRMLANDS LÄN</t>
        </is>
      </c>
      <c r="E13173" t="inlineStr">
        <is>
          <t>TORSBY</t>
        </is>
      </c>
      <c r="G13173" t="n">
        <v>1.5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234-2024</t>
        </is>
      </c>
      <c r="B13174" s="1" t="n">
        <v>45294</v>
      </c>
      <c r="C13174" s="1" t="n">
        <v>45810</v>
      </c>
      <c r="D13174" t="inlineStr">
        <is>
          <t>VÄRMLANDS LÄN</t>
        </is>
      </c>
      <c r="E13174" t="inlineStr">
        <is>
          <t>TORSBY</t>
        </is>
      </c>
      <c r="G13174" t="n">
        <v>3.2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242-2024</t>
        </is>
      </c>
      <c r="B13175" s="1" t="n">
        <v>45294</v>
      </c>
      <c r="C13175" s="1" t="n">
        <v>45810</v>
      </c>
      <c r="D13175" t="inlineStr">
        <is>
          <t>VÄRMLANDS LÄN</t>
        </is>
      </c>
      <c r="E13175" t="inlineStr">
        <is>
          <t>KIL</t>
        </is>
      </c>
      <c r="F13175" t="inlineStr">
        <is>
          <t>Kyrkan</t>
        </is>
      </c>
      <c r="G13175" t="n">
        <v>8.5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241-2024</t>
        </is>
      </c>
      <c r="B13176" s="1" t="n">
        <v>45294</v>
      </c>
      <c r="C13176" s="1" t="n">
        <v>45810</v>
      </c>
      <c r="D13176" t="inlineStr">
        <is>
          <t>VÄRMLANDS LÄN</t>
        </is>
      </c>
      <c r="E13176" t="inlineStr">
        <is>
          <t>SUNNE</t>
        </is>
      </c>
      <c r="G13176" t="n">
        <v>1.2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143-2024</t>
        </is>
      </c>
      <c r="B13177" s="1" t="n">
        <v>45294</v>
      </c>
      <c r="C13177" s="1" t="n">
        <v>45810</v>
      </c>
      <c r="D13177" t="inlineStr">
        <is>
          <t>VÄRMLANDS LÄN</t>
        </is>
      </c>
      <c r="E13177" t="inlineStr">
        <is>
          <t>ARVIKA</t>
        </is>
      </c>
      <c r="F13177" t="inlineStr">
        <is>
          <t>Kommuner</t>
        </is>
      </c>
      <c r="G13177" t="n">
        <v>4.3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176-2024</t>
        </is>
      </c>
      <c r="B13178" s="1" t="n">
        <v>45294</v>
      </c>
      <c r="C13178" s="1" t="n">
        <v>45810</v>
      </c>
      <c r="D13178" t="inlineStr">
        <is>
          <t>VÄRMLANDS LÄN</t>
        </is>
      </c>
      <c r="E13178" t="inlineStr">
        <is>
          <t>TORSBY</t>
        </is>
      </c>
      <c r="G13178" t="n">
        <v>0.7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235-2024</t>
        </is>
      </c>
      <c r="B13179" s="1" t="n">
        <v>45294</v>
      </c>
      <c r="C13179" s="1" t="n">
        <v>45810</v>
      </c>
      <c r="D13179" t="inlineStr">
        <is>
          <t>VÄRMLANDS LÄN</t>
        </is>
      </c>
      <c r="E13179" t="inlineStr">
        <is>
          <t>TORSBY</t>
        </is>
      </c>
      <c r="G13179" t="n">
        <v>0.8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236-2024</t>
        </is>
      </c>
      <c r="B13180" s="1" t="n">
        <v>45294</v>
      </c>
      <c r="C13180" s="1" t="n">
        <v>45810</v>
      </c>
      <c r="D13180" t="inlineStr">
        <is>
          <t>VÄRMLANDS LÄN</t>
        </is>
      </c>
      <c r="E13180" t="inlineStr">
        <is>
          <t>TORSBY</t>
        </is>
      </c>
      <c r="G13180" t="n">
        <v>2.9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275-2024</t>
        </is>
      </c>
      <c r="B13181" s="1" t="n">
        <v>45295</v>
      </c>
      <c r="C13181" s="1" t="n">
        <v>45810</v>
      </c>
      <c r="D13181" t="inlineStr">
        <is>
          <t>VÄRMLANDS LÄN</t>
        </is>
      </c>
      <c r="E13181" t="inlineStr">
        <is>
          <t>SUNNE</t>
        </is>
      </c>
      <c r="G13181" t="n">
        <v>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266-2024</t>
        </is>
      </c>
      <c r="B13182" s="1" t="n">
        <v>45295</v>
      </c>
      <c r="C13182" s="1" t="n">
        <v>45810</v>
      </c>
      <c r="D13182" t="inlineStr">
        <is>
          <t>VÄRMLANDS LÄN</t>
        </is>
      </c>
      <c r="E13182" t="inlineStr">
        <is>
          <t>TORSBY</t>
        </is>
      </c>
      <c r="G13182" t="n">
        <v>0.7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276-2024</t>
        </is>
      </c>
      <c r="B13183" s="1" t="n">
        <v>45295</v>
      </c>
      <c r="C13183" s="1" t="n">
        <v>45810</v>
      </c>
      <c r="D13183" t="inlineStr">
        <is>
          <t>VÄRMLANDS LÄN</t>
        </is>
      </c>
      <c r="E13183" t="inlineStr">
        <is>
          <t>TORSBY</t>
        </is>
      </c>
      <c r="G13183" t="n">
        <v>2.5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292-2024</t>
        </is>
      </c>
      <c r="B13184" s="1" t="n">
        <v>45295</v>
      </c>
      <c r="C13184" s="1" t="n">
        <v>45810</v>
      </c>
      <c r="D13184" t="inlineStr">
        <is>
          <t>VÄRMLANDS LÄN</t>
        </is>
      </c>
      <c r="E13184" t="inlineStr">
        <is>
          <t>SÄFFLE</t>
        </is>
      </c>
      <c r="G13184" t="n">
        <v>7.2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277-2024</t>
        </is>
      </c>
      <c r="B13185" s="1" t="n">
        <v>45295</v>
      </c>
      <c r="C13185" s="1" t="n">
        <v>45810</v>
      </c>
      <c r="D13185" t="inlineStr">
        <is>
          <t>VÄRMLANDS LÄN</t>
        </is>
      </c>
      <c r="E13185" t="inlineStr">
        <is>
          <t>KIL</t>
        </is>
      </c>
      <c r="G13185" t="n">
        <v>5.7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298-2024</t>
        </is>
      </c>
      <c r="B13186" s="1" t="n">
        <v>45295</v>
      </c>
      <c r="C13186" s="1" t="n">
        <v>45810</v>
      </c>
      <c r="D13186" t="inlineStr">
        <is>
          <t>VÄRMLANDS LÄN</t>
        </is>
      </c>
      <c r="E13186" t="inlineStr">
        <is>
          <t>ARVIKA</t>
        </is>
      </c>
      <c r="G13186" t="n">
        <v>3.3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324-2024</t>
        </is>
      </c>
      <c r="B13187" s="1" t="n">
        <v>45295</v>
      </c>
      <c r="C13187" s="1" t="n">
        <v>45810</v>
      </c>
      <c r="D13187" t="inlineStr">
        <is>
          <t>VÄRMLANDS LÄN</t>
        </is>
      </c>
      <c r="E13187" t="inlineStr">
        <is>
          <t>TORSBY</t>
        </is>
      </c>
      <c r="G13187" t="n">
        <v>5.3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344-2024</t>
        </is>
      </c>
      <c r="B13188" s="1" t="n">
        <v>45295</v>
      </c>
      <c r="C13188" s="1" t="n">
        <v>45810</v>
      </c>
      <c r="D13188" t="inlineStr">
        <is>
          <t>VÄRMLANDS LÄN</t>
        </is>
      </c>
      <c r="E13188" t="inlineStr">
        <is>
          <t>KRISTINEHAMN</t>
        </is>
      </c>
      <c r="F13188" t="inlineStr">
        <is>
          <t>Naturvårdsverket</t>
        </is>
      </c>
      <c r="G13188" t="n">
        <v>1.9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389-2024</t>
        </is>
      </c>
      <c r="B13189" s="1" t="n">
        <v>45296</v>
      </c>
      <c r="C13189" s="1" t="n">
        <v>45810</v>
      </c>
      <c r="D13189" t="inlineStr">
        <is>
          <t>VÄRMLANDS LÄN</t>
        </is>
      </c>
      <c r="E13189" t="inlineStr">
        <is>
          <t>EDA</t>
        </is>
      </c>
      <c r="G13189" t="n">
        <v>1.2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423-2024</t>
        </is>
      </c>
      <c r="B13190" s="1" t="n">
        <v>45296</v>
      </c>
      <c r="C13190" s="1" t="n">
        <v>45810</v>
      </c>
      <c r="D13190" t="inlineStr">
        <is>
          <t>VÄRMLANDS LÄN</t>
        </is>
      </c>
      <c r="E13190" t="inlineStr">
        <is>
          <t>TORSBY</t>
        </is>
      </c>
      <c r="G13190" t="n">
        <v>1.1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428-2024</t>
        </is>
      </c>
      <c r="B13191" s="1" t="n">
        <v>45296</v>
      </c>
      <c r="C13191" s="1" t="n">
        <v>45810</v>
      </c>
      <c r="D13191" t="inlineStr">
        <is>
          <t>VÄRMLANDS LÄN</t>
        </is>
      </c>
      <c r="E13191" t="inlineStr">
        <is>
          <t>EDA</t>
        </is>
      </c>
      <c r="F13191" t="inlineStr">
        <is>
          <t>Kommuner</t>
        </is>
      </c>
      <c r="G13191" t="n">
        <v>2.1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407-2024</t>
        </is>
      </c>
      <c r="B13192" s="1" t="n">
        <v>45296</v>
      </c>
      <c r="C13192" s="1" t="n">
        <v>45810</v>
      </c>
      <c r="D13192" t="inlineStr">
        <is>
          <t>VÄRMLANDS LÄN</t>
        </is>
      </c>
      <c r="E13192" t="inlineStr">
        <is>
          <t>MUNKFORS</t>
        </is>
      </c>
      <c r="G13192" t="n">
        <v>2.4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414-2024</t>
        </is>
      </c>
      <c r="B13193" s="1" t="n">
        <v>45296</v>
      </c>
      <c r="C13193" s="1" t="n">
        <v>45810</v>
      </c>
      <c r="D13193" t="inlineStr">
        <is>
          <t>VÄRMLANDS LÄN</t>
        </is>
      </c>
      <c r="E13193" t="inlineStr">
        <is>
          <t>ARVIKA</t>
        </is>
      </c>
      <c r="G13193" t="n">
        <v>1.6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509-2024</t>
        </is>
      </c>
      <c r="B13194" s="1" t="n">
        <v>45299</v>
      </c>
      <c r="C13194" s="1" t="n">
        <v>45810</v>
      </c>
      <c r="D13194" t="inlineStr">
        <is>
          <t>VÄRMLANDS LÄN</t>
        </is>
      </c>
      <c r="E13194" t="inlineStr">
        <is>
          <t>KARLSTAD</t>
        </is>
      </c>
      <c r="G13194" t="n">
        <v>9.9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491-2024</t>
        </is>
      </c>
      <c r="B13195" s="1" t="n">
        <v>45299</v>
      </c>
      <c r="C13195" s="1" t="n">
        <v>45810</v>
      </c>
      <c r="D13195" t="inlineStr">
        <is>
          <t>VÄRMLANDS LÄN</t>
        </is>
      </c>
      <c r="E13195" t="inlineStr">
        <is>
          <t>FILIPSTAD</t>
        </is>
      </c>
      <c r="F13195" t="inlineStr">
        <is>
          <t>Bergvik skog väst AB</t>
        </is>
      </c>
      <c r="G13195" t="n">
        <v>4.6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567-2024</t>
        </is>
      </c>
      <c r="B13196" s="1" t="n">
        <v>45299</v>
      </c>
      <c r="C13196" s="1" t="n">
        <v>45810</v>
      </c>
      <c r="D13196" t="inlineStr">
        <is>
          <t>VÄRMLANDS LÄN</t>
        </is>
      </c>
      <c r="E13196" t="inlineStr">
        <is>
          <t>ARVIKA</t>
        </is>
      </c>
      <c r="G13196" t="n">
        <v>1.2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558-2024</t>
        </is>
      </c>
      <c r="B13197" s="1" t="n">
        <v>45299</v>
      </c>
      <c r="C13197" s="1" t="n">
        <v>45810</v>
      </c>
      <c r="D13197" t="inlineStr">
        <is>
          <t>VÄRMLANDS LÄN</t>
        </is>
      </c>
      <c r="E13197" t="inlineStr">
        <is>
          <t>SÄFFLE</t>
        </is>
      </c>
      <c r="G13197" t="n">
        <v>4.2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502-2024</t>
        </is>
      </c>
      <c r="B13198" s="1" t="n">
        <v>45299</v>
      </c>
      <c r="C13198" s="1" t="n">
        <v>45810</v>
      </c>
      <c r="D13198" t="inlineStr">
        <is>
          <t>VÄRMLANDS LÄN</t>
        </is>
      </c>
      <c r="E13198" t="inlineStr">
        <is>
          <t>TORSBY</t>
        </is>
      </c>
      <c r="G13198" t="n">
        <v>1.9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519-2024</t>
        </is>
      </c>
      <c r="B13199" s="1" t="n">
        <v>45299</v>
      </c>
      <c r="C13199" s="1" t="n">
        <v>45810</v>
      </c>
      <c r="D13199" t="inlineStr">
        <is>
          <t>VÄRMLANDS LÄN</t>
        </is>
      </c>
      <c r="E13199" t="inlineStr">
        <is>
          <t>ARVIKA</t>
        </is>
      </c>
      <c r="G13199" t="n">
        <v>4.1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560-2024</t>
        </is>
      </c>
      <c r="B13200" s="1" t="n">
        <v>45299</v>
      </c>
      <c r="C13200" s="1" t="n">
        <v>45810</v>
      </c>
      <c r="D13200" t="inlineStr">
        <is>
          <t>VÄRMLANDS LÄN</t>
        </is>
      </c>
      <c r="E13200" t="inlineStr">
        <is>
          <t>SÄFFLE</t>
        </is>
      </c>
      <c r="G13200" t="n">
        <v>3.4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610-2024</t>
        </is>
      </c>
      <c r="B13201" s="1" t="n">
        <v>45299</v>
      </c>
      <c r="C13201" s="1" t="n">
        <v>45810</v>
      </c>
      <c r="D13201" t="inlineStr">
        <is>
          <t>VÄRMLANDS LÄN</t>
        </is>
      </c>
      <c r="E13201" t="inlineStr">
        <is>
          <t>KARLSTAD</t>
        </is>
      </c>
      <c r="G13201" t="n">
        <v>2.1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618-2024</t>
        </is>
      </c>
      <c r="B13202" s="1" t="n">
        <v>45299</v>
      </c>
      <c r="C13202" s="1" t="n">
        <v>45810</v>
      </c>
      <c r="D13202" t="inlineStr">
        <is>
          <t>VÄRMLANDS LÄN</t>
        </is>
      </c>
      <c r="E13202" t="inlineStr">
        <is>
          <t>KARLSTAD</t>
        </is>
      </c>
      <c r="G13202" t="n">
        <v>10.9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512-2024</t>
        </is>
      </c>
      <c r="B13203" s="1" t="n">
        <v>45299</v>
      </c>
      <c r="C13203" s="1" t="n">
        <v>45810</v>
      </c>
      <c r="D13203" t="inlineStr">
        <is>
          <t>VÄRMLANDS LÄN</t>
        </is>
      </c>
      <c r="E13203" t="inlineStr">
        <is>
          <t>KARLSTAD</t>
        </is>
      </c>
      <c r="G13203" t="n">
        <v>1.2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621-2024</t>
        </is>
      </c>
      <c r="B13204" s="1" t="n">
        <v>45299</v>
      </c>
      <c r="C13204" s="1" t="n">
        <v>45810</v>
      </c>
      <c r="D13204" t="inlineStr">
        <is>
          <t>VÄRMLANDS LÄN</t>
        </is>
      </c>
      <c r="E13204" t="inlineStr">
        <is>
          <t>KARLSTAD</t>
        </is>
      </c>
      <c r="G13204" t="n">
        <v>0.6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641-2024</t>
        </is>
      </c>
      <c r="B13205" s="1" t="n">
        <v>45299</v>
      </c>
      <c r="C13205" s="1" t="n">
        <v>45810</v>
      </c>
      <c r="D13205" t="inlineStr">
        <is>
          <t>VÄRMLANDS LÄN</t>
        </is>
      </c>
      <c r="E13205" t="inlineStr">
        <is>
          <t>SUNNE</t>
        </is>
      </c>
      <c r="G13205" t="n">
        <v>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596-2024</t>
        </is>
      </c>
      <c r="B13206" s="1" t="n">
        <v>45299</v>
      </c>
      <c r="C13206" s="1" t="n">
        <v>45810</v>
      </c>
      <c r="D13206" t="inlineStr">
        <is>
          <t>VÄRMLANDS LÄN</t>
        </is>
      </c>
      <c r="E13206" t="inlineStr">
        <is>
          <t>KARLSTAD</t>
        </is>
      </c>
      <c r="G13206" t="n">
        <v>1.2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553-2024</t>
        </is>
      </c>
      <c r="B13207" s="1" t="n">
        <v>45299</v>
      </c>
      <c r="C13207" s="1" t="n">
        <v>45810</v>
      </c>
      <c r="D13207" t="inlineStr">
        <is>
          <t>VÄRMLANDS LÄN</t>
        </is>
      </c>
      <c r="E13207" t="inlineStr">
        <is>
          <t>KARLSTAD</t>
        </is>
      </c>
      <c r="G13207" t="n">
        <v>2.7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540-2024</t>
        </is>
      </c>
      <c r="B13208" s="1" t="n">
        <v>45299</v>
      </c>
      <c r="C13208" s="1" t="n">
        <v>45810</v>
      </c>
      <c r="D13208" t="inlineStr">
        <is>
          <t>VÄRMLANDS LÄN</t>
        </is>
      </c>
      <c r="E13208" t="inlineStr">
        <is>
          <t>ÅRJÄNG</t>
        </is>
      </c>
      <c r="F13208" t="inlineStr">
        <is>
          <t>Kyrkan</t>
        </is>
      </c>
      <c r="G13208" t="n">
        <v>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687-2024</t>
        </is>
      </c>
      <c r="B13209" s="1" t="n">
        <v>45300</v>
      </c>
      <c r="C13209" s="1" t="n">
        <v>45810</v>
      </c>
      <c r="D13209" t="inlineStr">
        <is>
          <t>VÄRMLANDS LÄN</t>
        </is>
      </c>
      <c r="E13209" t="inlineStr">
        <is>
          <t>ÅRJÄNG</t>
        </is>
      </c>
      <c r="G13209" t="n">
        <v>1.1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691-2024</t>
        </is>
      </c>
      <c r="B13210" s="1" t="n">
        <v>45300</v>
      </c>
      <c r="C13210" s="1" t="n">
        <v>45810</v>
      </c>
      <c r="D13210" t="inlineStr">
        <is>
          <t>VÄRMLANDS LÄN</t>
        </is>
      </c>
      <c r="E13210" t="inlineStr">
        <is>
          <t>ARVIKA</t>
        </is>
      </c>
      <c r="G13210" t="n">
        <v>0.5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699-2024</t>
        </is>
      </c>
      <c r="B13211" s="1" t="n">
        <v>45300</v>
      </c>
      <c r="C13211" s="1" t="n">
        <v>45810</v>
      </c>
      <c r="D13211" t="inlineStr">
        <is>
          <t>VÄRMLANDS LÄN</t>
        </is>
      </c>
      <c r="E13211" t="inlineStr">
        <is>
          <t>ÅRJÄNG</t>
        </is>
      </c>
      <c r="G13211" t="n">
        <v>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680-2024</t>
        </is>
      </c>
      <c r="B13212" s="1" t="n">
        <v>45300</v>
      </c>
      <c r="C13212" s="1" t="n">
        <v>45810</v>
      </c>
      <c r="D13212" t="inlineStr">
        <is>
          <t>VÄRMLANDS LÄN</t>
        </is>
      </c>
      <c r="E13212" t="inlineStr">
        <is>
          <t>GRUMS</t>
        </is>
      </c>
      <c r="G13212" t="n">
        <v>0.8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692-2024</t>
        </is>
      </c>
      <c r="B13213" s="1" t="n">
        <v>45300</v>
      </c>
      <c r="C13213" s="1" t="n">
        <v>45810</v>
      </c>
      <c r="D13213" t="inlineStr">
        <is>
          <t>VÄRMLANDS LÄN</t>
        </is>
      </c>
      <c r="E13213" t="inlineStr">
        <is>
          <t>ARVIKA</t>
        </is>
      </c>
      <c r="G13213" t="n">
        <v>1.5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696-2024</t>
        </is>
      </c>
      <c r="B13214" s="1" t="n">
        <v>45300</v>
      </c>
      <c r="C13214" s="1" t="n">
        <v>45810</v>
      </c>
      <c r="D13214" t="inlineStr">
        <is>
          <t>VÄRMLANDS LÄN</t>
        </is>
      </c>
      <c r="E13214" t="inlineStr">
        <is>
          <t>ARVIKA</t>
        </is>
      </c>
      <c r="G13214" t="n">
        <v>0.8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708-2024</t>
        </is>
      </c>
      <c r="B13215" s="1" t="n">
        <v>45300</v>
      </c>
      <c r="C13215" s="1" t="n">
        <v>45810</v>
      </c>
      <c r="D13215" t="inlineStr">
        <is>
          <t>VÄRMLANDS LÄN</t>
        </is>
      </c>
      <c r="E13215" t="inlineStr">
        <is>
          <t>SÄFFLE</t>
        </is>
      </c>
      <c r="F13215" t="inlineStr">
        <is>
          <t>Kyrkan</t>
        </is>
      </c>
      <c r="G13215" t="n">
        <v>14.1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673-2024</t>
        </is>
      </c>
      <c r="B13216" s="1" t="n">
        <v>45300</v>
      </c>
      <c r="C13216" s="1" t="n">
        <v>45810</v>
      </c>
      <c r="D13216" t="inlineStr">
        <is>
          <t>VÄRMLANDS LÄN</t>
        </is>
      </c>
      <c r="E13216" t="inlineStr">
        <is>
          <t>ARVIKA</t>
        </is>
      </c>
      <c r="G13216" t="n">
        <v>0.9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713-2024</t>
        </is>
      </c>
      <c r="B13217" s="1" t="n">
        <v>45300</v>
      </c>
      <c r="C13217" s="1" t="n">
        <v>45810</v>
      </c>
      <c r="D13217" t="inlineStr">
        <is>
          <t>VÄRMLANDS LÄN</t>
        </is>
      </c>
      <c r="E13217" t="inlineStr">
        <is>
          <t>ÅRJÄNG</t>
        </is>
      </c>
      <c r="F13217" t="inlineStr">
        <is>
          <t>Kyrkan</t>
        </is>
      </c>
      <c r="G13217" t="n">
        <v>4.4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737-2024</t>
        </is>
      </c>
      <c r="B13218" s="1" t="n">
        <v>45300</v>
      </c>
      <c r="C13218" s="1" t="n">
        <v>45810</v>
      </c>
      <c r="D13218" t="inlineStr">
        <is>
          <t>VÄRMLANDS LÄN</t>
        </is>
      </c>
      <c r="E13218" t="inlineStr">
        <is>
          <t>TORSBY</t>
        </is>
      </c>
      <c r="G13218" t="n">
        <v>1.3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816-2024</t>
        </is>
      </c>
      <c r="B13219" s="1" t="n">
        <v>45300</v>
      </c>
      <c r="C13219" s="1" t="n">
        <v>45810</v>
      </c>
      <c r="D13219" t="inlineStr">
        <is>
          <t>VÄRMLANDS LÄN</t>
        </is>
      </c>
      <c r="E13219" t="inlineStr">
        <is>
          <t>SUNNE</t>
        </is>
      </c>
      <c r="G13219" t="n">
        <v>0.5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686-2024</t>
        </is>
      </c>
      <c r="B13220" s="1" t="n">
        <v>45300</v>
      </c>
      <c r="C13220" s="1" t="n">
        <v>45810</v>
      </c>
      <c r="D13220" t="inlineStr">
        <is>
          <t>VÄRMLANDS LÄN</t>
        </is>
      </c>
      <c r="E13220" t="inlineStr">
        <is>
          <t>ARVIKA</t>
        </is>
      </c>
      <c r="G13220" t="n">
        <v>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710-2024</t>
        </is>
      </c>
      <c r="B13221" s="1" t="n">
        <v>45300</v>
      </c>
      <c r="C13221" s="1" t="n">
        <v>45810</v>
      </c>
      <c r="D13221" t="inlineStr">
        <is>
          <t>VÄRMLANDS LÄN</t>
        </is>
      </c>
      <c r="E13221" t="inlineStr">
        <is>
          <t>SÄFFLE</t>
        </is>
      </c>
      <c r="F13221" t="inlineStr">
        <is>
          <t>Kyrkan</t>
        </is>
      </c>
      <c r="G13221" t="n">
        <v>7.8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714-2024</t>
        </is>
      </c>
      <c r="B13222" s="1" t="n">
        <v>45300</v>
      </c>
      <c r="C13222" s="1" t="n">
        <v>45810</v>
      </c>
      <c r="D13222" t="inlineStr">
        <is>
          <t>VÄRMLANDS LÄN</t>
        </is>
      </c>
      <c r="E13222" t="inlineStr">
        <is>
          <t>TORSBY</t>
        </is>
      </c>
      <c r="G13222" t="n">
        <v>18.1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752-2024</t>
        </is>
      </c>
      <c r="B13223" s="1" t="n">
        <v>45300</v>
      </c>
      <c r="C13223" s="1" t="n">
        <v>45810</v>
      </c>
      <c r="D13223" t="inlineStr">
        <is>
          <t>VÄRMLANDS LÄN</t>
        </is>
      </c>
      <c r="E13223" t="inlineStr">
        <is>
          <t>SUNNE</t>
        </is>
      </c>
      <c r="G13223" t="n">
        <v>2.5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805-2024</t>
        </is>
      </c>
      <c r="B13224" s="1" t="n">
        <v>45300</v>
      </c>
      <c r="C13224" s="1" t="n">
        <v>45810</v>
      </c>
      <c r="D13224" t="inlineStr">
        <is>
          <t>VÄRMLANDS LÄN</t>
        </is>
      </c>
      <c r="E13224" t="inlineStr">
        <is>
          <t>SUNNE</t>
        </is>
      </c>
      <c r="G13224" t="n">
        <v>2.9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834-2024</t>
        </is>
      </c>
      <c r="B13225" s="1" t="n">
        <v>45300</v>
      </c>
      <c r="C13225" s="1" t="n">
        <v>45810</v>
      </c>
      <c r="D13225" t="inlineStr">
        <is>
          <t>VÄRMLANDS LÄN</t>
        </is>
      </c>
      <c r="E13225" t="inlineStr">
        <is>
          <t>SUNNE</t>
        </is>
      </c>
      <c r="F13225" t="inlineStr">
        <is>
          <t>Övriga statliga verk och myndigheter</t>
        </is>
      </c>
      <c r="G13225" t="n">
        <v>1.6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744-2024</t>
        </is>
      </c>
      <c r="B13226" s="1" t="n">
        <v>45300</v>
      </c>
      <c r="C13226" s="1" t="n">
        <v>45810</v>
      </c>
      <c r="D13226" t="inlineStr">
        <is>
          <t>VÄRMLANDS LÄN</t>
        </is>
      </c>
      <c r="E13226" t="inlineStr">
        <is>
          <t>KARLSTAD</t>
        </is>
      </c>
      <c r="G13226" t="n">
        <v>1.9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753-2024</t>
        </is>
      </c>
      <c r="B13227" s="1" t="n">
        <v>45300</v>
      </c>
      <c r="C13227" s="1" t="n">
        <v>45810</v>
      </c>
      <c r="D13227" t="inlineStr">
        <is>
          <t>VÄRMLANDS LÄN</t>
        </is>
      </c>
      <c r="E13227" t="inlineStr">
        <is>
          <t>SUNNE</t>
        </is>
      </c>
      <c r="G13227" t="n">
        <v>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731-2024</t>
        </is>
      </c>
      <c r="B13228" s="1" t="n">
        <v>45300</v>
      </c>
      <c r="C13228" s="1" t="n">
        <v>45810</v>
      </c>
      <c r="D13228" t="inlineStr">
        <is>
          <t>VÄRMLANDS LÄN</t>
        </is>
      </c>
      <c r="E13228" t="inlineStr">
        <is>
          <t>TORSBY</t>
        </is>
      </c>
      <c r="G13228" t="n">
        <v>1.9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711-2024</t>
        </is>
      </c>
      <c r="B13229" s="1" t="n">
        <v>45300</v>
      </c>
      <c r="C13229" s="1" t="n">
        <v>45810</v>
      </c>
      <c r="D13229" t="inlineStr">
        <is>
          <t>VÄRMLANDS LÄN</t>
        </is>
      </c>
      <c r="E13229" t="inlineStr">
        <is>
          <t>EDA</t>
        </is>
      </c>
      <c r="G13229" t="n">
        <v>0.7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862-2024</t>
        </is>
      </c>
      <c r="B13230" s="1" t="n">
        <v>45301</v>
      </c>
      <c r="C13230" s="1" t="n">
        <v>45810</v>
      </c>
      <c r="D13230" t="inlineStr">
        <is>
          <t>VÄRMLANDS LÄN</t>
        </is>
      </c>
      <c r="E13230" t="inlineStr">
        <is>
          <t>EDA</t>
        </is>
      </c>
      <c r="G13230" t="n">
        <v>0.8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887-2024</t>
        </is>
      </c>
      <c r="B13231" s="1" t="n">
        <v>45301</v>
      </c>
      <c r="C13231" s="1" t="n">
        <v>45810</v>
      </c>
      <c r="D13231" t="inlineStr">
        <is>
          <t>VÄRMLANDS LÄN</t>
        </is>
      </c>
      <c r="E13231" t="inlineStr">
        <is>
          <t>EDA</t>
        </is>
      </c>
      <c r="F13231" t="inlineStr">
        <is>
          <t>Kyrkan</t>
        </is>
      </c>
      <c r="G13231" t="n">
        <v>3.4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913-2024</t>
        </is>
      </c>
      <c r="B13232" s="1" t="n">
        <v>45301</v>
      </c>
      <c r="C13232" s="1" t="n">
        <v>45810</v>
      </c>
      <c r="D13232" t="inlineStr">
        <is>
          <t>VÄRMLANDS LÄN</t>
        </is>
      </c>
      <c r="E13232" t="inlineStr">
        <is>
          <t>SUNNE</t>
        </is>
      </c>
      <c r="G13232" t="n">
        <v>7.8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875-2024</t>
        </is>
      </c>
      <c r="B13233" s="1" t="n">
        <v>45301</v>
      </c>
      <c r="C13233" s="1" t="n">
        <v>45810</v>
      </c>
      <c r="D13233" t="inlineStr">
        <is>
          <t>VÄRMLANDS LÄN</t>
        </is>
      </c>
      <c r="E13233" t="inlineStr">
        <is>
          <t>SUNNE</t>
        </is>
      </c>
      <c r="G13233" t="n">
        <v>1.8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924-2024</t>
        </is>
      </c>
      <c r="B13234" s="1" t="n">
        <v>45301</v>
      </c>
      <c r="C13234" s="1" t="n">
        <v>45810</v>
      </c>
      <c r="D13234" t="inlineStr">
        <is>
          <t>VÄRMLANDS LÄN</t>
        </is>
      </c>
      <c r="E13234" t="inlineStr">
        <is>
          <t>TORSBY</t>
        </is>
      </c>
      <c r="G13234" t="n">
        <v>0.8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869-2024</t>
        </is>
      </c>
      <c r="B13235" s="1" t="n">
        <v>45301</v>
      </c>
      <c r="C13235" s="1" t="n">
        <v>45810</v>
      </c>
      <c r="D13235" t="inlineStr">
        <is>
          <t>VÄRMLANDS LÄN</t>
        </is>
      </c>
      <c r="E13235" t="inlineStr">
        <is>
          <t>TORSBY</t>
        </is>
      </c>
      <c r="G13235" t="n">
        <v>1.5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877-2024</t>
        </is>
      </c>
      <c r="B13236" s="1" t="n">
        <v>45301</v>
      </c>
      <c r="C13236" s="1" t="n">
        <v>45810</v>
      </c>
      <c r="D13236" t="inlineStr">
        <is>
          <t>VÄRMLANDS LÄN</t>
        </is>
      </c>
      <c r="E13236" t="inlineStr">
        <is>
          <t>TORSBY</t>
        </is>
      </c>
      <c r="G13236" t="n">
        <v>1.7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1001-2024</t>
        </is>
      </c>
      <c r="B13237" s="1" t="n">
        <v>45301</v>
      </c>
      <c r="C13237" s="1" t="n">
        <v>45810</v>
      </c>
      <c r="D13237" t="inlineStr">
        <is>
          <t>VÄRMLANDS LÄN</t>
        </is>
      </c>
      <c r="E13237" t="inlineStr">
        <is>
          <t>TORSBY</t>
        </is>
      </c>
      <c r="G13237" t="n">
        <v>1.7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894-2024</t>
        </is>
      </c>
      <c r="B13238" s="1" t="n">
        <v>45301</v>
      </c>
      <c r="C13238" s="1" t="n">
        <v>45810</v>
      </c>
      <c r="D13238" t="inlineStr">
        <is>
          <t>VÄRMLANDS LÄN</t>
        </is>
      </c>
      <c r="E13238" t="inlineStr">
        <is>
          <t>TORSBY</t>
        </is>
      </c>
      <c r="G13238" t="n">
        <v>5.2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930-2024</t>
        </is>
      </c>
      <c r="B13239" s="1" t="n">
        <v>45301</v>
      </c>
      <c r="C13239" s="1" t="n">
        <v>45810</v>
      </c>
      <c r="D13239" t="inlineStr">
        <is>
          <t>VÄRMLANDS LÄN</t>
        </is>
      </c>
      <c r="E13239" t="inlineStr">
        <is>
          <t>SÄFFLE</t>
        </is>
      </c>
      <c r="G13239" t="n">
        <v>1.8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974-2024</t>
        </is>
      </c>
      <c r="B13240" s="1" t="n">
        <v>45301</v>
      </c>
      <c r="C13240" s="1" t="n">
        <v>45810</v>
      </c>
      <c r="D13240" t="inlineStr">
        <is>
          <t>VÄRMLANDS LÄN</t>
        </is>
      </c>
      <c r="E13240" t="inlineStr">
        <is>
          <t>SÄFFLE</t>
        </is>
      </c>
      <c r="G13240" t="n">
        <v>1.5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1042-2024</t>
        </is>
      </c>
      <c r="B13241" s="1" t="n">
        <v>45301</v>
      </c>
      <c r="C13241" s="1" t="n">
        <v>45810</v>
      </c>
      <c r="D13241" t="inlineStr">
        <is>
          <t>VÄRMLANDS LÄN</t>
        </is>
      </c>
      <c r="E13241" t="inlineStr">
        <is>
          <t>TORSBY</t>
        </is>
      </c>
      <c r="G13241" t="n">
        <v>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1046-2024</t>
        </is>
      </c>
      <c r="B13242" s="1" t="n">
        <v>45301</v>
      </c>
      <c r="C13242" s="1" t="n">
        <v>45810</v>
      </c>
      <c r="D13242" t="inlineStr">
        <is>
          <t>VÄRMLANDS LÄN</t>
        </is>
      </c>
      <c r="E13242" t="inlineStr">
        <is>
          <t>TORSBY</t>
        </is>
      </c>
      <c r="G13242" t="n">
        <v>17.5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1041-2024</t>
        </is>
      </c>
      <c r="B13243" s="1" t="n">
        <v>45301</v>
      </c>
      <c r="C13243" s="1" t="n">
        <v>45810</v>
      </c>
      <c r="D13243" t="inlineStr">
        <is>
          <t>VÄRMLANDS LÄN</t>
        </is>
      </c>
      <c r="E13243" t="inlineStr">
        <is>
          <t>TORSBY</t>
        </is>
      </c>
      <c r="G13243" t="n">
        <v>1.7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1045-2024</t>
        </is>
      </c>
      <c r="B13244" s="1" t="n">
        <v>45301</v>
      </c>
      <c r="C13244" s="1" t="n">
        <v>45810</v>
      </c>
      <c r="D13244" t="inlineStr">
        <is>
          <t>VÄRMLANDS LÄN</t>
        </is>
      </c>
      <c r="E13244" t="inlineStr">
        <is>
          <t>SUNNE</t>
        </is>
      </c>
      <c r="G13244" t="n">
        <v>1.1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1040-2024</t>
        </is>
      </c>
      <c r="B13245" s="1" t="n">
        <v>45301</v>
      </c>
      <c r="C13245" s="1" t="n">
        <v>45810</v>
      </c>
      <c r="D13245" t="inlineStr">
        <is>
          <t>VÄRMLANDS LÄN</t>
        </is>
      </c>
      <c r="E13245" t="inlineStr">
        <is>
          <t>TORSBY</t>
        </is>
      </c>
      <c r="G13245" t="n">
        <v>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1044-2024</t>
        </is>
      </c>
      <c r="B13246" s="1" t="n">
        <v>45301</v>
      </c>
      <c r="C13246" s="1" t="n">
        <v>45810</v>
      </c>
      <c r="D13246" t="inlineStr">
        <is>
          <t>VÄRMLANDS LÄN</t>
        </is>
      </c>
      <c r="E13246" t="inlineStr">
        <is>
          <t>SUNNE</t>
        </is>
      </c>
      <c r="G13246" t="n">
        <v>6.1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1110-2024</t>
        </is>
      </c>
      <c r="B13247" s="1" t="n">
        <v>45302</v>
      </c>
      <c r="C13247" s="1" t="n">
        <v>45810</v>
      </c>
      <c r="D13247" t="inlineStr">
        <is>
          <t>VÄRMLANDS LÄN</t>
        </is>
      </c>
      <c r="E13247" t="inlineStr">
        <is>
          <t>ÅRJÄNG</t>
        </is>
      </c>
      <c r="G13247" t="n">
        <v>5.2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1126-2024</t>
        </is>
      </c>
      <c r="B13248" s="1" t="n">
        <v>45302</v>
      </c>
      <c r="C13248" s="1" t="n">
        <v>45810</v>
      </c>
      <c r="D13248" t="inlineStr">
        <is>
          <t>VÄRMLANDS LÄN</t>
        </is>
      </c>
      <c r="E13248" t="inlineStr">
        <is>
          <t>ARVIKA</t>
        </is>
      </c>
      <c r="G13248" t="n">
        <v>6.7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1134-2024</t>
        </is>
      </c>
      <c r="B13249" s="1" t="n">
        <v>45302</v>
      </c>
      <c r="C13249" s="1" t="n">
        <v>45810</v>
      </c>
      <c r="D13249" t="inlineStr">
        <is>
          <t>VÄRMLANDS LÄN</t>
        </is>
      </c>
      <c r="E13249" t="inlineStr">
        <is>
          <t>ARVIKA</t>
        </is>
      </c>
      <c r="G13249" t="n">
        <v>4.1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1080-2024</t>
        </is>
      </c>
      <c r="B13250" s="1" t="n">
        <v>45302</v>
      </c>
      <c r="C13250" s="1" t="n">
        <v>45810</v>
      </c>
      <c r="D13250" t="inlineStr">
        <is>
          <t>VÄRMLANDS LÄN</t>
        </is>
      </c>
      <c r="E13250" t="inlineStr">
        <is>
          <t>TORSBY</t>
        </is>
      </c>
      <c r="G13250" t="n">
        <v>0.9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1086-2024</t>
        </is>
      </c>
      <c r="B13251" s="1" t="n">
        <v>45302</v>
      </c>
      <c r="C13251" s="1" t="n">
        <v>45810</v>
      </c>
      <c r="D13251" t="inlineStr">
        <is>
          <t>VÄRMLANDS LÄN</t>
        </is>
      </c>
      <c r="E13251" t="inlineStr">
        <is>
          <t>TORSBY</t>
        </is>
      </c>
      <c r="G13251" t="n">
        <v>1.9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1091-2024</t>
        </is>
      </c>
      <c r="B13252" s="1" t="n">
        <v>45302</v>
      </c>
      <c r="C13252" s="1" t="n">
        <v>45810</v>
      </c>
      <c r="D13252" t="inlineStr">
        <is>
          <t>VÄRMLANDS LÄN</t>
        </is>
      </c>
      <c r="E13252" t="inlineStr">
        <is>
          <t>TORSBY</t>
        </is>
      </c>
      <c r="G13252" t="n">
        <v>7.4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1243-2024</t>
        </is>
      </c>
      <c r="B13253" s="1" t="n">
        <v>45302</v>
      </c>
      <c r="C13253" s="1" t="n">
        <v>45810</v>
      </c>
      <c r="D13253" t="inlineStr">
        <is>
          <t>VÄRMLANDS LÄN</t>
        </is>
      </c>
      <c r="E13253" t="inlineStr">
        <is>
          <t>TORSBY</t>
        </is>
      </c>
      <c r="G13253" t="n">
        <v>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1129-2024</t>
        </is>
      </c>
      <c r="B13254" s="1" t="n">
        <v>45302</v>
      </c>
      <c r="C13254" s="1" t="n">
        <v>45810</v>
      </c>
      <c r="D13254" t="inlineStr">
        <is>
          <t>VÄRMLANDS LÄN</t>
        </is>
      </c>
      <c r="E13254" t="inlineStr">
        <is>
          <t>KRISTINEHAMN</t>
        </is>
      </c>
      <c r="G13254" t="n">
        <v>0.7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1150-2024</t>
        </is>
      </c>
      <c r="B13255" s="1" t="n">
        <v>45302</v>
      </c>
      <c r="C13255" s="1" t="n">
        <v>45810</v>
      </c>
      <c r="D13255" t="inlineStr">
        <is>
          <t>VÄRMLANDS LÄN</t>
        </is>
      </c>
      <c r="E13255" t="inlineStr">
        <is>
          <t>KRISTINEHAMN</t>
        </is>
      </c>
      <c r="G13255" t="n">
        <v>2.6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1154-2024</t>
        </is>
      </c>
      <c r="B13256" s="1" t="n">
        <v>45302</v>
      </c>
      <c r="C13256" s="1" t="n">
        <v>45810</v>
      </c>
      <c r="D13256" t="inlineStr">
        <is>
          <t>VÄRMLANDS LÄN</t>
        </is>
      </c>
      <c r="E13256" t="inlineStr">
        <is>
          <t>TORSBY</t>
        </is>
      </c>
      <c r="G13256" t="n">
        <v>3.2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1090-2024</t>
        </is>
      </c>
      <c r="B13257" s="1" t="n">
        <v>45302</v>
      </c>
      <c r="C13257" s="1" t="n">
        <v>45810</v>
      </c>
      <c r="D13257" t="inlineStr">
        <is>
          <t>VÄRMLANDS LÄN</t>
        </is>
      </c>
      <c r="E13257" t="inlineStr">
        <is>
          <t>TORSBY</t>
        </is>
      </c>
      <c r="G13257" t="n">
        <v>2.5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1094-2024</t>
        </is>
      </c>
      <c r="B13258" s="1" t="n">
        <v>45302</v>
      </c>
      <c r="C13258" s="1" t="n">
        <v>45810</v>
      </c>
      <c r="D13258" t="inlineStr">
        <is>
          <t>VÄRMLANDS LÄN</t>
        </is>
      </c>
      <c r="E13258" t="inlineStr">
        <is>
          <t>TORSBY</t>
        </is>
      </c>
      <c r="G13258" t="n">
        <v>1.1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1115-2024</t>
        </is>
      </c>
      <c r="B13259" s="1" t="n">
        <v>45302</v>
      </c>
      <c r="C13259" s="1" t="n">
        <v>45810</v>
      </c>
      <c r="D13259" t="inlineStr">
        <is>
          <t>VÄRMLANDS LÄN</t>
        </is>
      </c>
      <c r="E13259" t="inlineStr">
        <is>
          <t>ÅRJÄNG</t>
        </is>
      </c>
      <c r="G13259" t="n">
        <v>0.6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1127-2024</t>
        </is>
      </c>
      <c r="B13260" s="1" t="n">
        <v>45302</v>
      </c>
      <c r="C13260" s="1" t="n">
        <v>45810</v>
      </c>
      <c r="D13260" t="inlineStr">
        <is>
          <t>VÄRMLANDS LÄN</t>
        </is>
      </c>
      <c r="E13260" t="inlineStr">
        <is>
          <t>KRISTINEHAMN</t>
        </is>
      </c>
      <c r="G13260" t="n">
        <v>4.7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1266-2024</t>
        </is>
      </c>
      <c r="B13261" s="1" t="n">
        <v>45302</v>
      </c>
      <c r="C13261" s="1" t="n">
        <v>45810</v>
      </c>
      <c r="D13261" t="inlineStr">
        <is>
          <t>VÄRMLANDS LÄN</t>
        </is>
      </c>
      <c r="E13261" t="inlineStr">
        <is>
          <t>KRISTINEHAMN</t>
        </is>
      </c>
      <c r="G13261" t="n">
        <v>2.4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1165-2024</t>
        </is>
      </c>
      <c r="B13262" s="1" t="n">
        <v>45302</v>
      </c>
      <c r="C13262" s="1" t="n">
        <v>45810</v>
      </c>
      <c r="D13262" t="inlineStr">
        <is>
          <t>VÄRMLANDS LÄN</t>
        </is>
      </c>
      <c r="E13262" t="inlineStr">
        <is>
          <t>KARLSTAD</t>
        </is>
      </c>
      <c r="G13262" t="n">
        <v>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1265-2024</t>
        </is>
      </c>
      <c r="B13263" s="1" t="n">
        <v>45302</v>
      </c>
      <c r="C13263" s="1" t="n">
        <v>45810</v>
      </c>
      <c r="D13263" t="inlineStr">
        <is>
          <t>VÄRMLANDS LÄN</t>
        </is>
      </c>
      <c r="E13263" t="inlineStr">
        <is>
          <t>KRISTINEHAMN</t>
        </is>
      </c>
      <c r="G13263" t="n">
        <v>0.5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1232-2024</t>
        </is>
      </c>
      <c r="B13264" s="1" t="n">
        <v>45302</v>
      </c>
      <c r="C13264" s="1" t="n">
        <v>45810</v>
      </c>
      <c r="D13264" t="inlineStr">
        <is>
          <t>VÄRMLANDS LÄN</t>
        </is>
      </c>
      <c r="E13264" t="inlineStr">
        <is>
          <t>TORSBY</t>
        </is>
      </c>
      <c r="G13264" t="n">
        <v>0.4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1236-2024</t>
        </is>
      </c>
      <c r="B13265" s="1" t="n">
        <v>45302</v>
      </c>
      <c r="C13265" s="1" t="n">
        <v>45810</v>
      </c>
      <c r="D13265" t="inlineStr">
        <is>
          <t>VÄRMLANDS LÄN</t>
        </is>
      </c>
      <c r="E13265" t="inlineStr">
        <is>
          <t>TORSBY</t>
        </is>
      </c>
      <c r="G13265" t="n">
        <v>0.7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1264-2024</t>
        </is>
      </c>
      <c r="B13266" s="1" t="n">
        <v>45302</v>
      </c>
      <c r="C13266" s="1" t="n">
        <v>45810</v>
      </c>
      <c r="D13266" t="inlineStr">
        <is>
          <t>VÄRMLANDS LÄN</t>
        </is>
      </c>
      <c r="E13266" t="inlineStr">
        <is>
          <t>KRISTINEHAMN</t>
        </is>
      </c>
      <c r="G13266" t="n">
        <v>2.5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1520-2024</t>
        </is>
      </c>
      <c r="B13267" s="1" t="n">
        <v>45302</v>
      </c>
      <c r="C13267" s="1" t="n">
        <v>45810</v>
      </c>
      <c r="D13267" t="inlineStr">
        <is>
          <t>VÄRMLANDS LÄN</t>
        </is>
      </c>
      <c r="E13267" t="inlineStr">
        <is>
          <t>SÄFFLE</t>
        </is>
      </c>
      <c r="G13267" t="n">
        <v>0.8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1275-2024</t>
        </is>
      </c>
      <c r="B13268" s="1" t="n">
        <v>45302</v>
      </c>
      <c r="C13268" s="1" t="n">
        <v>45810</v>
      </c>
      <c r="D13268" t="inlineStr">
        <is>
          <t>VÄRMLANDS LÄN</t>
        </is>
      </c>
      <c r="E13268" t="inlineStr">
        <is>
          <t>TORSBY</t>
        </is>
      </c>
      <c r="G13268" t="n">
        <v>1.1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1320-2024</t>
        </is>
      </c>
      <c r="B13269" s="1" t="n">
        <v>45303</v>
      </c>
      <c r="C13269" s="1" t="n">
        <v>45810</v>
      </c>
      <c r="D13269" t="inlineStr">
        <is>
          <t>VÄRMLANDS LÄN</t>
        </is>
      </c>
      <c r="E13269" t="inlineStr">
        <is>
          <t>FILIPSTAD</t>
        </is>
      </c>
      <c r="G13269" t="n">
        <v>1.3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1422-2024</t>
        </is>
      </c>
      <c r="B13270" s="1" t="n">
        <v>45303</v>
      </c>
      <c r="C13270" s="1" t="n">
        <v>45810</v>
      </c>
      <c r="D13270" t="inlineStr">
        <is>
          <t>VÄRMLANDS LÄN</t>
        </is>
      </c>
      <c r="E13270" t="inlineStr">
        <is>
          <t>ARVIKA</t>
        </is>
      </c>
      <c r="F13270" t="inlineStr">
        <is>
          <t>Kyrkan</t>
        </is>
      </c>
      <c r="G13270" t="n">
        <v>3.1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1389-2024</t>
        </is>
      </c>
      <c r="B13271" s="1" t="n">
        <v>45303</v>
      </c>
      <c r="C13271" s="1" t="n">
        <v>45810</v>
      </c>
      <c r="D13271" t="inlineStr">
        <is>
          <t>VÄRMLANDS LÄN</t>
        </is>
      </c>
      <c r="E13271" t="inlineStr">
        <is>
          <t>SÄFFLE</t>
        </is>
      </c>
      <c r="G13271" t="n">
        <v>1.6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1401-2024</t>
        </is>
      </c>
      <c r="B13272" s="1" t="n">
        <v>45303</v>
      </c>
      <c r="C13272" s="1" t="n">
        <v>45810</v>
      </c>
      <c r="D13272" t="inlineStr">
        <is>
          <t>VÄRMLANDS LÄN</t>
        </is>
      </c>
      <c r="E13272" t="inlineStr">
        <is>
          <t>SÄFFLE</t>
        </is>
      </c>
      <c r="G13272" t="n">
        <v>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1363-2024</t>
        </is>
      </c>
      <c r="B13273" s="1" t="n">
        <v>45303</v>
      </c>
      <c r="C13273" s="1" t="n">
        <v>45810</v>
      </c>
      <c r="D13273" t="inlineStr">
        <is>
          <t>VÄRMLANDS LÄN</t>
        </is>
      </c>
      <c r="E13273" t="inlineStr">
        <is>
          <t>TORSBY</t>
        </is>
      </c>
      <c r="G13273" t="n">
        <v>2.9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1399-2024</t>
        </is>
      </c>
      <c r="B13274" s="1" t="n">
        <v>45303</v>
      </c>
      <c r="C13274" s="1" t="n">
        <v>45810</v>
      </c>
      <c r="D13274" t="inlineStr">
        <is>
          <t>VÄRMLANDS LÄN</t>
        </is>
      </c>
      <c r="E13274" t="inlineStr">
        <is>
          <t>KRISTINEHAMN</t>
        </is>
      </c>
      <c r="G13274" t="n">
        <v>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1448-2024</t>
        </is>
      </c>
      <c r="B13275" s="1" t="n">
        <v>45303</v>
      </c>
      <c r="C13275" s="1" t="n">
        <v>45810</v>
      </c>
      <c r="D13275" t="inlineStr">
        <is>
          <t>VÄRMLANDS LÄN</t>
        </is>
      </c>
      <c r="E13275" t="inlineStr">
        <is>
          <t>SÄFFLE</t>
        </is>
      </c>
      <c r="G13275" t="n">
        <v>1.5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1315-2024</t>
        </is>
      </c>
      <c r="B13276" s="1" t="n">
        <v>45303</v>
      </c>
      <c r="C13276" s="1" t="n">
        <v>45810</v>
      </c>
      <c r="D13276" t="inlineStr">
        <is>
          <t>VÄRMLANDS LÄN</t>
        </is>
      </c>
      <c r="E13276" t="inlineStr">
        <is>
          <t>SUNNE</t>
        </is>
      </c>
      <c r="G13276" t="n">
        <v>4.4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1449-2024</t>
        </is>
      </c>
      <c r="B13277" s="1" t="n">
        <v>45303</v>
      </c>
      <c r="C13277" s="1" t="n">
        <v>45810</v>
      </c>
      <c r="D13277" t="inlineStr">
        <is>
          <t>VÄRMLANDS LÄN</t>
        </is>
      </c>
      <c r="E13277" t="inlineStr">
        <is>
          <t>SÄFFLE</t>
        </is>
      </c>
      <c r="G13277" t="n">
        <v>1.2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1468-2024</t>
        </is>
      </c>
      <c r="B13278" s="1" t="n">
        <v>45304</v>
      </c>
      <c r="C13278" s="1" t="n">
        <v>45810</v>
      </c>
      <c r="D13278" t="inlineStr">
        <is>
          <t>VÄRMLANDS LÄN</t>
        </is>
      </c>
      <c r="E13278" t="inlineStr">
        <is>
          <t>ARVIKA</t>
        </is>
      </c>
      <c r="G13278" t="n">
        <v>3.3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1527-2024</t>
        </is>
      </c>
      <c r="B13279" s="1" t="n">
        <v>45306</v>
      </c>
      <c r="C13279" s="1" t="n">
        <v>45810</v>
      </c>
      <c r="D13279" t="inlineStr">
        <is>
          <t>VÄRMLANDS LÄN</t>
        </is>
      </c>
      <c r="E13279" t="inlineStr">
        <is>
          <t>TORSBY</t>
        </is>
      </c>
      <c r="G13279" t="n">
        <v>2.9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1506-2024</t>
        </is>
      </c>
      <c r="B13280" s="1" t="n">
        <v>45306</v>
      </c>
      <c r="C13280" s="1" t="n">
        <v>45810</v>
      </c>
      <c r="D13280" t="inlineStr">
        <is>
          <t>VÄRMLANDS LÄN</t>
        </is>
      </c>
      <c r="E13280" t="inlineStr">
        <is>
          <t>ARVIKA</t>
        </is>
      </c>
      <c r="G13280" t="n">
        <v>11.3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1522-2024</t>
        </is>
      </c>
      <c r="B13281" s="1" t="n">
        <v>45306</v>
      </c>
      <c r="C13281" s="1" t="n">
        <v>45810</v>
      </c>
      <c r="D13281" t="inlineStr">
        <is>
          <t>VÄRMLANDS LÄN</t>
        </is>
      </c>
      <c r="E13281" t="inlineStr">
        <is>
          <t>TORSBY</t>
        </is>
      </c>
      <c r="G13281" t="n">
        <v>5.1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1534-2024</t>
        </is>
      </c>
      <c r="B13282" s="1" t="n">
        <v>45306</v>
      </c>
      <c r="C13282" s="1" t="n">
        <v>45810</v>
      </c>
      <c r="D13282" t="inlineStr">
        <is>
          <t>VÄRMLANDS LÄN</t>
        </is>
      </c>
      <c r="E13282" t="inlineStr">
        <is>
          <t>SÄFFLE</t>
        </is>
      </c>
      <c r="G13282" t="n">
        <v>4.6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1547-2024</t>
        </is>
      </c>
      <c r="B13283" s="1" t="n">
        <v>45306</v>
      </c>
      <c r="C13283" s="1" t="n">
        <v>45810</v>
      </c>
      <c r="D13283" t="inlineStr">
        <is>
          <t>VÄRMLANDS LÄN</t>
        </is>
      </c>
      <c r="E13283" t="inlineStr">
        <is>
          <t>TORSBY</t>
        </is>
      </c>
      <c r="G13283" t="n">
        <v>7.2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1551-2024</t>
        </is>
      </c>
      <c r="B13284" s="1" t="n">
        <v>45306</v>
      </c>
      <c r="C13284" s="1" t="n">
        <v>45810</v>
      </c>
      <c r="D13284" t="inlineStr">
        <is>
          <t>VÄRMLANDS LÄN</t>
        </is>
      </c>
      <c r="E13284" t="inlineStr">
        <is>
          <t>ÅRJÄNG</t>
        </is>
      </c>
      <c r="G13284" t="n">
        <v>2.2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1508-2024</t>
        </is>
      </c>
      <c r="B13285" s="1" t="n">
        <v>45306</v>
      </c>
      <c r="C13285" s="1" t="n">
        <v>45810</v>
      </c>
      <c r="D13285" t="inlineStr">
        <is>
          <t>VÄRMLANDS LÄN</t>
        </is>
      </c>
      <c r="E13285" t="inlineStr">
        <is>
          <t>SUNNE</t>
        </is>
      </c>
      <c r="G13285" t="n">
        <v>1.6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1528-2024</t>
        </is>
      </c>
      <c r="B13286" s="1" t="n">
        <v>45306</v>
      </c>
      <c r="C13286" s="1" t="n">
        <v>45810</v>
      </c>
      <c r="D13286" t="inlineStr">
        <is>
          <t>VÄRMLANDS LÄN</t>
        </is>
      </c>
      <c r="E13286" t="inlineStr">
        <is>
          <t>TORSBY</t>
        </is>
      </c>
      <c r="G13286" t="n">
        <v>1.4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1548-2024</t>
        </is>
      </c>
      <c r="B13287" s="1" t="n">
        <v>45306</v>
      </c>
      <c r="C13287" s="1" t="n">
        <v>45810</v>
      </c>
      <c r="D13287" t="inlineStr">
        <is>
          <t>VÄRMLANDS LÄN</t>
        </is>
      </c>
      <c r="E13287" t="inlineStr">
        <is>
          <t>ÅRJÄNG</t>
        </is>
      </c>
      <c r="G13287" t="n">
        <v>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1501-2024</t>
        </is>
      </c>
      <c r="B13288" s="1" t="n">
        <v>45306</v>
      </c>
      <c r="C13288" s="1" t="n">
        <v>45810</v>
      </c>
      <c r="D13288" t="inlineStr">
        <is>
          <t>VÄRMLANDS LÄN</t>
        </is>
      </c>
      <c r="E13288" t="inlineStr">
        <is>
          <t>EDA</t>
        </is>
      </c>
      <c r="G13288" t="n">
        <v>2.7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1529-2024</t>
        </is>
      </c>
      <c r="B13289" s="1" t="n">
        <v>45306</v>
      </c>
      <c r="C13289" s="1" t="n">
        <v>45810</v>
      </c>
      <c r="D13289" t="inlineStr">
        <is>
          <t>VÄRMLANDS LÄN</t>
        </is>
      </c>
      <c r="E13289" t="inlineStr">
        <is>
          <t>SUNNE</t>
        </is>
      </c>
      <c r="G13289" t="n">
        <v>1.3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1553-2024</t>
        </is>
      </c>
      <c r="B13290" s="1" t="n">
        <v>45306</v>
      </c>
      <c r="C13290" s="1" t="n">
        <v>45810</v>
      </c>
      <c r="D13290" t="inlineStr">
        <is>
          <t>VÄRMLANDS LÄN</t>
        </is>
      </c>
      <c r="E13290" t="inlineStr">
        <is>
          <t>ÅRJÄNG</t>
        </is>
      </c>
      <c r="G13290" t="n">
        <v>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1602-2024</t>
        </is>
      </c>
      <c r="B13291" s="1" t="n">
        <v>45306</v>
      </c>
      <c r="C13291" s="1" t="n">
        <v>45810</v>
      </c>
      <c r="D13291" t="inlineStr">
        <is>
          <t>VÄRMLANDS LÄN</t>
        </is>
      </c>
      <c r="E13291" t="inlineStr">
        <is>
          <t>SUNNE</t>
        </is>
      </c>
      <c r="G13291" t="n">
        <v>4.1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1614-2024</t>
        </is>
      </c>
      <c r="B13292" s="1" t="n">
        <v>45306</v>
      </c>
      <c r="C13292" s="1" t="n">
        <v>45810</v>
      </c>
      <c r="D13292" t="inlineStr">
        <is>
          <t>VÄRMLANDS LÄN</t>
        </is>
      </c>
      <c r="E13292" t="inlineStr">
        <is>
          <t>KIL</t>
        </is>
      </c>
      <c r="G13292" t="n">
        <v>12.1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1637-2024</t>
        </is>
      </c>
      <c r="B13293" s="1" t="n">
        <v>45306</v>
      </c>
      <c r="C13293" s="1" t="n">
        <v>45810</v>
      </c>
      <c r="D13293" t="inlineStr">
        <is>
          <t>VÄRMLANDS LÄN</t>
        </is>
      </c>
      <c r="E13293" t="inlineStr">
        <is>
          <t>TORSBY</t>
        </is>
      </c>
      <c r="G13293" t="n">
        <v>11.9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1649-2024</t>
        </is>
      </c>
      <c r="B13294" s="1" t="n">
        <v>45306</v>
      </c>
      <c r="C13294" s="1" t="n">
        <v>45810</v>
      </c>
      <c r="D13294" t="inlineStr">
        <is>
          <t>VÄRMLANDS LÄN</t>
        </is>
      </c>
      <c r="E13294" t="inlineStr">
        <is>
          <t>KARLSTAD</t>
        </is>
      </c>
      <c r="G13294" t="n">
        <v>1.3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1608-2024</t>
        </is>
      </c>
      <c r="B13295" s="1" t="n">
        <v>45306</v>
      </c>
      <c r="C13295" s="1" t="n">
        <v>45810</v>
      </c>
      <c r="D13295" t="inlineStr">
        <is>
          <t>VÄRMLANDS LÄN</t>
        </is>
      </c>
      <c r="E13295" t="inlineStr">
        <is>
          <t>TORSBY</t>
        </is>
      </c>
      <c r="G13295" t="n">
        <v>2.2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1648-2024</t>
        </is>
      </c>
      <c r="B13296" s="1" t="n">
        <v>45306</v>
      </c>
      <c r="C13296" s="1" t="n">
        <v>45810</v>
      </c>
      <c r="D13296" t="inlineStr">
        <is>
          <t>VÄRMLANDS LÄN</t>
        </is>
      </c>
      <c r="E13296" t="inlineStr">
        <is>
          <t>KARLSTAD</t>
        </is>
      </c>
      <c r="G13296" t="n">
        <v>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1652-2024</t>
        </is>
      </c>
      <c r="B13297" s="1" t="n">
        <v>45306</v>
      </c>
      <c r="C13297" s="1" t="n">
        <v>45810</v>
      </c>
      <c r="D13297" t="inlineStr">
        <is>
          <t>VÄRMLANDS LÄN</t>
        </is>
      </c>
      <c r="E13297" t="inlineStr">
        <is>
          <t>EDA</t>
        </is>
      </c>
      <c r="G13297" t="n">
        <v>2.9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1666-2024</t>
        </is>
      </c>
      <c r="B13298" s="1" t="n">
        <v>45306</v>
      </c>
      <c r="C13298" s="1" t="n">
        <v>45810</v>
      </c>
      <c r="D13298" t="inlineStr">
        <is>
          <t>VÄRMLANDS LÄN</t>
        </is>
      </c>
      <c r="E13298" t="inlineStr">
        <is>
          <t>SUNNE</t>
        </is>
      </c>
      <c r="G13298" t="n">
        <v>0.9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1700-2024</t>
        </is>
      </c>
      <c r="B13299" s="1" t="n">
        <v>45307</v>
      </c>
      <c r="C13299" s="1" t="n">
        <v>45810</v>
      </c>
      <c r="D13299" t="inlineStr">
        <is>
          <t>VÄRMLANDS LÄN</t>
        </is>
      </c>
      <c r="E13299" t="inlineStr">
        <is>
          <t>TORSBY</t>
        </is>
      </c>
      <c r="G13299" t="n">
        <v>2.5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1716-2024</t>
        </is>
      </c>
      <c r="B13300" s="1" t="n">
        <v>45307</v>
      </c>
      <c r="C13300" s="1" t="n">
        <v>45810</v>
      </c>
      <c r="D13300" t="inlineStr">
        <is>
          <t>VÄRMLANDS LÄN</t>
        </is>
      </c>
      <c r="E13300" t="inlineStr">
        <is>
          <t>SUNNE</t>
        </is>
      </c>
      <c r="G13300" t="n">
        <v>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1732-2024</t>
        </is>
      </c>
      <c r="B13301" s="1" t="n">
        <v>45307</v>
      </c>
      <c r="C13301" s="1" t="n">
        <v>45810</v>
      </c>
      <c r="D13301" t="inlineStr">
        <is>
          <t>VÄRMLANDS LÄN</t>
        </is>
      </c>
      <c r="E13301" t="inlineStr">
        <is>
          <t>ARVIKA</t>
        </is>
      </c>
      <c r="G13301" t="n">
        <v>2.4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1748-2024</t>
        </is>
      </c>
      <c r="B13302" s="1" t="n">
        <v>45307</v>
      </c>
      <c r="C13302" s="1" t="n">
        <v>45810</v>
      </c>
      <c r="D13302" t="inlineStr">
        <is>
          <t>VÄRMLANDS LÄN</t>
        </is>
      </c>
      <c r="E13302" t="inlineStr">
        <is>
          <t>SUNNE</t>
        </is>
      </c>
      <c r="G13302" t="n">
        <v>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1776-2024</t>
        </is>
      </c>
      <c r="B13303" s="1" t="n">
        <v>45307</v>
      </c>
      <c r="C13303" s="1" t="n">
        <v>45810</v>
      </c>
      <c r="D13303" t="inlineStr">
        <is>
          <t>VÄRMLANDS LÄN</t>
        </is>
      </c>
      <c r="E13303" t="inlineStr">
        <is>
          <t>SUNNE</t>
        </is>
      </c>
      <c r="G13303" t="n">
        <v>1.1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1788-2024</t>
        </is>
      </c>
      <c r="B13304" s="1" t="n">
        <v>45307</v>
      </c>
      <c r="C13304" s="1" t="n">
        <v>45810</v>
      </c>
      <c r="D13304" t="inlineStr">
        <is>
          <t>VÄRMLANDS LÄN</t>
        </is>
      </c>
      <c r="E13304" t="inlineStr">
        <is>
          <t>HAGFORS</t>
        </is>
      </c>
      <c r="G13304" t="n">
        <v>4.3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1841-2024</t>
        </is>
      </c>
      <c r="B13305" s="1" t="n">
        <v>45307</v>
      </c>
      <c r="C13305" s="1" t="n">
        <v>45810</v>
      </c>
      <c r="D13305" t="inlineStr">
        <is>
          <t>VÄRMLANDS LÄN</t>
        </is>
      </c>
      <c r="E13305" t="inlineStr">
        <is>
          <t>KARLSTAD</t>
        </is>
      </c>
      <c r="G13305" t="n">
        <v>4.3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1718-2024</t>
        </is>
      </c>
      <c r="B13306" s="1" t="n">
        <v>45307</v>
      </c>
      <c r="C13306" s="1" t="n">
        <v>45810</v>
      </c>
      <c r="D13306" t="inlineStr">
        <is>
          <t>VÄRMLANDS LÄN</t>
        </is>
      </c>
      <c r="E13306" t="inlineStr">
        <is>
          <t>SUNNE</t>
        </is>
      </c>
      <c r="G13306" t="n">
        <v>1.3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1726-2024</t>
        </is>
      </c>
      <c r="B13307" s="1" t="n">
        <v>45307</v>
      </c>
      <c r="C13307" s="1" t="n">
        <v>45810</v>
      </c>
      <c r="D13307" t="inlineStr">
        <is>
          <t>VÄRMLANDS LÄN</t>
        </is>
      </c>
      <c r="E13307" t="inlineStr">
        <is>
          <t>SUNNE</t>
        </is>
      </c>
      <c r="G13307" t="n">
        <v>3.3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1690-2024</t>
        </is>
      </c>
      <c r="B13308" s="1" t="n">
        <v>45307</v>
      </c>
      <c r="C13308" s="1" t="n">
        <v>45810</v>
      </c>
      <c r="D13308" t="inlineStr">
        <is>
          <t>VÄRMLANDS LÄN</t>
        </is>
      </c>
      <c r="E13308" t="inlineStr">
        <is>
          <t>KARLSTAD</t>
        </is>
      </c>
      <c r="G13308" t="n">
        <v>2.5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1711-2024</t>
        </is>
      </c>
      <c r="B13309" s="1" t="n">
        <v>45307</v>
      </c>
      <c r="C13309" s="1" t="n">
        <v>45810</v>
      </c>
      <c r="D13309" t="inlineStr">
        <is>
          <t>VÄRMLANDS LÄN</t>
        </is>
      </c>
      <c r="E13309" t="inlineStr">
        <is>
          <t>EDA</t>
        </is>
      </c>
      <c r="G13309" t="n">
        <v>3.2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1715-2024</t>
        </is>
      </c>
      <c r="B13310" s="1" t="n">
        <v>45307</v>
      </c>
      <c r="C13310" s="1" t="n">
        <v>45810</v>
      </c>
      <c r="D13310" t="inlineStr">
        <is>
          <t>VÄRMLANDS LÄN</t>
        </is>
      </c>
      <c r="E13310" t="inlineStr">
        <is>
          <t>EDA</t>
        </is>
      </c>
      <c r="G13310" t="n">
        <v>0.5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1767-2024</t>
        </is>
      </c>
      <c r="B13311" s="1" t="n">
        <v>45307</v>
      </c>
      <c r="C13311" s="1" t="n">
        <v>45810</v>
      </c>
      <c r="D13311" t="inlineStr">
        <is>
          <t>VÄRMLANDS LÄN</t>
        </is>
      </c>
      <c r="E13311" t="inlineStr">
        <is>
          <t>ÅRJÄNG</t>
        </is>
      </c>
      <c r="G13311" t="n">
        <v>1.8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1775-2024</t>
        </is>
      </c>
      <c r="B13312" s="1" t="n">
        <v>45307</v>
      </c>
      <c r="C13312" s="1" t="n">
        <v>45810</v>
      </c>
      <c r="D13312" t="inlineStr">
        <is>
          <t>VÄRMLANDS LÄN</t>
        </is>
      </c>
      <c r="E13312" t="inlineStr">
        <is>
          <t>SÄFFLE</t>
        </is>
      </c>
      <c r="G13312" t="n">
        <v>3.1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1779-2024</t>
        </is>
      </c>
      <c r="B13313" s="1" t="n">
        <v>45307</v>
      </c>
      <c r="C13313" s="1" t="n">
        <v>45810</v>
      </c>
      <c r="D13313" t="inlineStr">
        <is>
          <t>VÄRMLANDS LÄN</t>
        </is>
      </c>
      <c r="E13313" t="inlineStr">
        <is>
          <t>ARVIKA</t>
        </is>
      </c>
      <c r="G13313" t="n">
        <v>2.5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1697-2024</t>
        </is>
      </c>
      <c r="B13314" s="1" t="n">
        <v>45307</v>
      </c>
      <c r="C13314" s="1" t="n">
        <v>45810</v>
      </c>
      <c r="D13314" t="inlineStr">
        <is>
          <t>VÄRMLANDS LÄN</t>
        </is>
      </c>
      <c r="E13314" t="inlineStr">
        <is>
          <t>ÅRJÄNG</t>
        </is>
      </c>
      <c r="G13314" t="n">
        <v>5.2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1803-2024</t>
        </is>
      </c>
      <c r="B13315" s="1" t="n">
        <v>45307</v>
      </c>
      <c r="C13315" s="1" t="n">
        <v>45810</v>
      </c>
      <c r="D13315" t="inlineStr">
        <is>
          <t>VÄRMLANDS LÄN</t>
        </is>
      </c>
      <c r="E13315" t="inlineStr">
        <is>
          <t>TORSBY</t>
        </is>
      </c>
      <c r="G13315" t="n">
        <v>12.9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1725-2024</t>
        </is>
      </c>
      <c r="B13316" s="1" t="n">
        <v>45307</v>
      </c>
      <c r="C13316" s="1" t="n">
        <v>45810</v>
      </c>
      <c r="D13316" t="inlineStr">
        <is>
          <t>VÄRMLANDS LÄN</t>
        </is>
      </c>
      <c r="E13316" t="inlineStr">
        <is>
          <t>EDA</t>
        </is>
      </c>
      <c r="G13316" t="n">
        <v>1.1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1816-2024</t>
        </is>
      </c>
      <c r="B13317" s="1" t="n">
        <v>45307</v>
      </c>
      <c r="C13317" s="1" t="n">
        <v>45810</v>
      </c>
      <c r="D13317" t="inlineStr">
        <is>
          <t>VÄRMLANDS LÄN</t>
        </is>
      </c>
      <c r="E13317" t="inlineStr">
        <is>
          <t>KARLSTAD</t>
        </is>
      </c>
      <c r="G13317" t="n">
        <v>2.9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1753-2024</t>
        </is>
      </c>
      <c r="B13318" s="1" t="n">
        <v>45307</v>
      </c>
      <c r="C13318" s="1" t="n">
        <v>45810</v>
      </c>
      <c r="D13318" t="inlineStr">
        <is>
          <t>VÄRMLANDS LÄN</t>
        </is>
      </c>
      <c r="E13318" t="inlineStr">
        <is>
          <t>SÄFFLE</t>
        </is>
      </c>
      <c r="G13318" t="n">
        <v>4.6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1757-2024</t>
        </is>
      </c>
      <c r="B13319" s="1" t="n">
        <v>45307</v>
      </c>
      <c r="C13319" s="1" t="n">
        <v>45810</v>
      </c>
      <c r="D13319" t="inlineStr">
        <is>
          <t>VÄRMLANDS LÄN</t>
        </is>
      </c>
      <c r="E13319" t="inlineStr">
        <is>
          <t>TORSBY</t>
        </is>
      </c>
      <c r="G13319" t="n">
        <v>0.7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1769-2024</t>
        </is>
      </c>
      <c r="B13320" s="1" t="n">
        <v>45307</v>
      </c>
      <c r="C13320" s="1" t="n">
        <v>45810</v>
      </c>
      <c r="D13320" t="inlineStr">
        <is>
          <t>VÄRMLANDS LÄN</t>
        </is>
      </c>
      <c r="E13320" t="inlineStr">
        <is>
          <t>ÅRJÄNG</t>
        </is>
      </c>
      <c r="G13320" t="n">
        <v>1.2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1781-2024</t>
        </is>
      </c>
      <c r="B13321" s="1" t="n">
        <v>45307</v>
      </c>
      <c r="C13321" s="1" t="n">
        <v>45810</v>
      </c>
      <c r="D13321" t="inlineStr">
        <is>
          <t>VÄRMLANDS LÄN</t>
        </is>
      </c>
      <c r="E13321" t="inlineStr">
        <is>
          <t>HAGFORS</t>
        </is>
      </c>
      <c r="G13321" t="n">
        <v>6.2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1818-2024</t>
        </is>
      </c>
      <c r="B13322" s="1" t="n">
        <v>45307</v>
      </c>
      <c r="C13322" s="1" t="n">
        <v>45810</v>
      </c>
      <c r="D13322" t="inlineStr">
        <is>
          <t>VÄRMLANDS LÄN</t>
        </is>
      </c>
      <c r="E13322" t="inlineStr">
        <is>
          <t>SUNNE</t>
        </is>
      </c>
      <c r="G13322" t="n">
        <v>7.4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1842-2024</t>
        </is>
      </c>
      <c r="B13323" s="1" t="n">
        <v>45307</v>
      </c>
      <c r="C13323" s="1" t="n">
        <v>45810</v>
      </c>
      <c r="D13323" t="inlineStr">
        <is>
          <t>VÄRMLANDS LÄN</t>
        </is>
      </c>
      <c r="E13323" t="inlineStr">
        <is>
          <t>SUNNE</t>
        </is>
      </c>
      <c r="G13323" t="n">
        <v>0.5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1900-2024</t>
        </is>
      </c>
      <c r="B13324" s="1" t="n">
        <v>45308</v>
      </c>
      <c r="C13324" s="1" t="n">
        <v>45810</v>
      </c>
      <c r="D13324" t="inlineStr">
        <is>
          <t>VÄRMLANDS LÄN</t>
        </is>
      </c>
      <c r="E13324" t="inlineStr">
        <is>
          <t>KRISTINEHAMN</t>
        </is>
      </c>
      <c r="G13324" t="n">
        <v>1.5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1925-2024</t>
        </is>
      </c>
      <c r="B13325" s="1" t="n">
        <v>45308</v>
      </c>
      <c r="C13325" s="1" t="n">
        <v>45810</v>
      </c>
      <c r="D13325" t="inlineStr">
        <is>
          <t>VÄRMLANDS LÄN</t>
        </is>
      </c>
      <c r="E13325" t="inlineStr">
        <is>
          <t>EDA</t>
        </is>
      </c>
      <c r="G13325" t="n">
        <v>1.5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1933-2024</t>
        </is>
      </c>
      <c r="B13326" s="1" t="n">
        <v>45308</v>
      </c>
      <c r="C13326" s="1" t="n">
        <v>45810</v>
      </c>
      <c r="D13326" t="inlineStr">
        <is>
          <t>VÄRMLANDS LÄN</t>
        </is>
      </c>
      <c r="E13326" t="inlineStr">
        <is>
          <t>HAGFORS</t>
        </is>
      </c>
      <c r="G13326" t="n">
        <v>2.2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1965-2024</t>
        </is>
      </c>
      <c r="B13327" s="1" t="n">
        <v>45308</v>
      </c>
      <c r="C13327" s="1" t="n">
        <v>45810</v>
      </c>
      <c r="D13327" t="inlineStr">
        <is>
          <t>VÄRMLANDS LÄN</t>
        </is>
      </c>
      <c r="E13327" t="inlineStr">
        <is>
          <t>SUNNE</t>
        </is>
      </c>
      <c r="G13327" t="n">
        <v>1.4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1912-2024</t>
        </is>
      </c>
      <c r="B13328" s="1" t="n">
        <v>45308</v>
      </c>
      <c r="C13328" s="1" t="n">
        <v>45810</v>
      </c>
      <c r="D13328" t="inlineStr">
        <is>
          <t>VÄRMLANDS LÄN</t>
        </is>
      </c>
      <c r="E13328" t="inlineStr">
        <is>
          <t>ÅRJÄNG</t>
        </is>
      </c>
      <c r="G13328" t="n">
        <v>0.9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1920-2024</t>
        </is>
      </c>
      <c r="B13329" s="1" t="n">
        <v>45308</v>
      </c>
      <c r="C13329" s="1" t="n">
        <v>45810</v>
      </c>
      <c r="D13329" t="inlineStr">
        <is>
          <t>VÄRMLANDS LÄN</t>
        </is>
      </c>
      <c r="E13329" t="inlineStr">
        <is>
          <t>ÅRJÄNG</t>
        </is>
      </c>
      <c r="G13329" t="n">
        <v>2.9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1948-2024</t>
        </is>
      </c>
      <c r="B13330" s="1" t="n">
        <v>45308</v>
      </c>
      <c r="C13330" s="1" t="n">
        <v>45810</v>
      </c>
      <c r="D13330" t="inlineStr">
        <is>
          <t>VÄRMLANDS LÄN</t>
        </is>
      </c>
      <c r="E13330" t="inlineStr">
        <is>
          <t>SUNNE</t>
        </is>
      </c>
      <c r="G13330" t="n">
        <v>0.9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1964-2024</t>
        </is>
      </c>
      <c r="B13331" s="1" t="n">
        <v>45308</v>
      </c>
      <c r="C13331" s="1" t="n">
        <v>45810</v>
      </c>
      <c r="D13331" t="inlineStr">
        <is>
          <t>VÄRMLANDS LÄN</t>
        </is>
      </c>
      <c r="E13331" t="inlineStr">
        <is>
          <t>KRISTINEHAMN</t>
        </is>
      </c>
      <c r="G13331" t="n">
        <v>0.8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1954-2024</t>
        </is>
      </c>
      <c r="B13332" s="1" t="n">
        <v>45308</v>
      </c>
      <c r="C13332" s="1" t="n">
        <v>45810</v>
      </c>
      <c r="D13332" t="inlineStr">
        <is>
          <t>VÄRMLANDS LÄN</t>
        </is>
      </c>
      <c r="E13332" t="inlineStr">
        <is>
          <t>SUNNE</t>
        </is>
      </c>
      <c r="G13332" t="n">
        <v>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1923-2024</t>
        </is>
      </c>
      <c r="B13333" s="1" t="n">
        <v>45308</v>
      </c>
      <c r="C13333" s="1" t="n">
        <v>45810</v>
      </c>
      <c r="D13333" t="inlineStr">
        <is>
          <t>VÄRMLANDS LÄN</t>
        </is>
      </c>
      <c r="E13333" t="inlineStr">
        <is>
          <t>EDA</t>
        </is>
      </c>
      <c r="G13333" t="n">
        <v>1.2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1958-2024</t>
        </is>
      </c>
      <c r="B13334" s="1" t="n">
        <v>45308</v>
      </c>
      <c r="C13334" s="1" t="n">
        <v>45810</v>
      </c>
      <c r="D13334" t="inlineStr">
        <is>
          <t>VÄRMLANDS LÄN</t>
        </is>
      </c>
      <c r="E13334" t="inlineStr">
        <is>
          <t>SUNNE</t>
        </is>
      </c>
      <c r="G13334" t="n">
        <v>1.4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1970-2024</t>
        </is>
      </c>
      <c r="B13335" s="1" t="n">
        <v>45308</v>
      </c>
      <c r="C13335" s="1" t="n">
        <v>45810</v>
      </c>
      <c r="D13335" t="inlineStr">
        <is>
          <t>VÄRMLANDS LÄN</t>
        </is>
      </c>
      <c r="E13335" t="inlineStr">
        <is>
          <t>TORSBY</t>
        </is>
      </c>
      <c r="G13335" t="n">
        <v>4.2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1982-2024</t>
        </is>
      </c>
      <c r="B13336" s="1" t="n">
        <v>45308</v>
      </c>
      <c r="C13336" s="1" t="n">
        <v>45810</v>
      </c>
      <c r="D13336" t="inlineStr">
        <is>
          <t>VÄRMLANDS LÄN</t>
        </is>
      </c>
      <c r="E13336" t="inlineStr">
        <is>
          <t>KARLSTAD</t>
        </is>
      </c>
      <c r="G13336" t="n">
        <v>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1931-2024</t>
        </is>
      </c>
      <c r="B13337" s="1" t="n">
        <v>45308</v>
      </c>
      <c r="C13337" s="1" t="n">
        <v>45810</v>
      </c>
      <c r="D13337" t="inlineStr">
        <is>
          <t>VÄRMLANDS LÄN</t>
        </is>
      </c>
      <c r="E13337" t="inlineStr">
        <is>
          <t>HAGFORS</t>
        </is>
      </c>
      <c r="G13337" t="n">
        <v>1.7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1943-2024</t>
        </is>
      </c>
      <c r="B13338" s="1" t="n">
        <v>45308</v>
      </c>
      <c r="C13338" s="1" t="n">
        <v>45810</v>
      </c>
      <c r="D13338" t="inlineStr">
        <is>
          <t>VÄRMLANDS LÄN</t>
        </is>
      </c>
      <c r="E13338" t="inlineStr">
        <is>
          <t>EDA</t>
        </is>
      </c>
      <c r="G13338" t="n">
        <v>0.8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1963-2024</t>
        </is>
      </c>
      <c r="B13339" s="1" t="n">
        <v>45308</v>
      </c>
      <c r="C13339" s="1" t="n">
        <v>45810</v>
      </c>
      <c r="D13339" t="inlineStr">
        <is>
          <t>VÄRMLANDS LÄN</t>
        </is>
      </c>
      <c r="E13339" t="inlineStr">
        <is>
          <t>SUNNE</t>
        </is>
      </c>
      <c r="G13339" t="n">
        <v>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1983-2024</t>
        </is>
      </c>
      <c r="B13340" s="1" t="n">
        <v>45308</v>
      </c>
      <c r="C13340" s="1" t="n">
        <v>45810</v>
      </c>
      <c r="D13340" t="inlineStr">
        <is>
          <t>VÄRMLANDS LÄN</t>
        </is>
      </c>
      <c r="E13340" t="inlineStr">
        <is>
          <t>KARLSTAD</t>
        </is>
      </c>
      <c r="G13340" t="n">
        <v>0.6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2132-2024</t>
        </is>
      </c>
      <c r="B13341" s="1" t="n">
        <v>45309</v>
      </c>
      <c r="C13341" s="1" t="n">
        <v>45810</v>
      </c>
      <c r="D13341" t="inlineStr">
        <is>
          <t>VÄRMLANDS LÄN</t>
        </is>
      </c>
      <c r="E13341" t="inlineStr">
        <is>
          <t>ARVIKA</t>
        </is>
      </c>
      <c r="G13341" t="n">
        <v>3.3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2147-2024</t>
        </is>
      </c>
      <c r="B13342" s="1" t="n">
        <v>45309</v>
      </c>
      <c r="C13342" s="1" t="n">
        <v>45810</v>
      </c>
      <c r="D13342" t="inlineStr">
        <is>
          <t>VÄRMLANDS LÄN</t>
        </is>
      </c>
      <c r="E13342" t="inlineStr">
        <is>
          <t>HAGFORS</t>
        </is>
      </c>
      <c r="G13342" t="n">
        <v>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2155-2024</t>
        </is>
      </c>
      <c r="B13343" s="1" t="n">
        <v>45309</v>
      </c>
      <c r="C13343" s="1" t="n">
        <v>45810</v>
      </c>
      <c r="D13343" t="inlineStr">
        <is>
          <t>VÄRMLANDS LÄN</t>
        </is>
      </c>
      <c r="E13343" t="inlineStr">
        <is>
          <t>TORSBY</t>
        </is>
      </c>
      <c r="G13343" t="n">
        <v>2.8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2167-2024</t>
        </is>
      </c>
      <c r="B13344" s="1" t="n">
        <v>45309</v>
      </c>
      <c r="C13344" s="1" t="n">
        <v>45810</v>
      </c>
      <c r="D13344" t="inlineStr">
        <is>
          <t>VÄRMLANDS LÄN</t>
        </is>
      </c>
      <c r="E13344" t="inlineStr">
        <is>
          <t>ARVIKA</t>
        </is>
      </c>
      <c r="G13344" t="n">
        <v>3.2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2179-2024</t>
        </is>
      </c>
      <c r="B13345" s="1" t="n">
        <v>45309</v>
      </c>
      <c r="C13345" s="1" t="n">
        <v>45810</v>
      </c>
      <c r="D13345" t="inlineStr">
        <is>
          <t>VÄRMLANDS LÄN</t>
        </is>
      </c>
      <c r="E13345" t="inlineStr">
        <is>
          <t>ARVIKA</t>
        </is>
      </c>
      <c r="G13345" t="n">
        <v>0.8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2101-2024</t>
        </is>
      </c>
      <c r="B13346" s="1" t="n">
        <v>45309</v>
      </c>
      <c r="C13346" s="1" t="n">
        <v>45810</v>
      </c>
      <c r="D13346" t="inlineStr">
        <is>
          <t>VÄRMLANDS LÄN</t>
        </is>
      </c>
      <c r="E13346" t="inlineStr">
        <is>
          <t>SÄFFLE</t>
        </is>
      </c>
      <c r="G13346" t="n">
        <v>8.5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2130-2024</t>
        </is>
      </c>
      <c r="B13347" s="1" t="n">
        <v>45309</v>
      </c>
      <c r="C13347" s="1" t="n">
        <v>45810</v>
      </c>
      <c r="D13347" t="inlineStr">
        <is>
          <t>VÄRMLANDS LÄN</t>
        </is>
      </c>
      <c r="E13347" t="inlineStr">
        <is>
          <t>TORSBY</t>
        </is>
      </c>
      <c r="G13347" t="n">
        <v>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2134-2024</t>
        </is>
      </c>
      <c r="B13348" s="1" t="n">
        <v>45309</v>
      </c>
      <c r="C13348" s="1" t="n">
        <v>45810</v>
      </c>
      <c r="D13348" t="inlineStr">
        <is>
          <t>VÄRMLANDS LÄN</t>
        </is>
      </c>
      <c r="E13348" t="inlineStr">
        <is>
          <t>ARVIKA</t>
        </is>
      </c>
      <c r="G13348" t="n">
        <v>3.3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2176-2024</t>
        </is>
      </c>
      <c r="B13349" s="1" t="n">
        <v>45309</v>
      </c>
      <c r="C13349" s="1" t="n">
        <v>45810</v>
      </c>
      <c r="D13349" t="inlineStr">
        <is>
          <t>VÄRMLANDS LÄN</t>
        </is>
      </c>
      <c r="E13349" t="inlineStr">
        <is>
          <t>SUNNE</t>
        </is>
      </c>
      <c r="G13349" t="n">
        <v>3.2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2077-2024</t>
        </is>
      </c>
      <c r="B13350" s="1" t="n">
        <v>45309</v>
      </c>
      <c r="C13350" s="1" t="n">
        <v>45810</v>
      </c>
      <c r="D13350" t="inlineStr">
        <is>
          <t>VÄRMLANDS LÄN</t>
        </is>
      </c>
      <c r="E13350" t="inlineStr">
        <is>
          <t>KIL</t>
        </is>
      </c>
      <c r="G13350" t="n">
        <v>0.8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2106-2024</t>
        </is>
      </c>
      <c r="B13351" s="1" t="n">
        <v>45309</v>
      </c>
      <c r="C13351" s="1" t="n">
        <v>45810</v>
      </c>
      <c r="D13351" t="inlineStr">
        <is>
          <t>VÄRMLANDS LÄN</t>
        </is>
      </c>
      <c r="E13351" t="inlineStr">
        <is>
          <t>ARVIKA</t>
        </is>
      </c>
      <c r="G13351" t="n">
        <v>0.6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2118-2024</t>
        </is>
      </c>
      <c r="B13352" s="1" t="n">
        <v>45309</v>
      </c>
      <c r="C13352" s="1" t="n">
        <v>45810</v>
      </c>
      <c r="D13352" t="inlineStr">
        <is>
          <t>VÄRMLANDS LÄN</t>
        </is>
      </c>
      <c r="E13352" t="inlineStr">
        <is>
          <t>SUNNE</t>
        </is>
      </c>
      <c r="G13352" t="n">
        <v>2.4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2308-2024</t>
        </is>
      </c>
      <c r="B13353" s="1" t="n">
        <v>45310</v>
      </c>
      <c r="C13353" s="1" t="n">
        <v>45810</v>
      </c>
      <c r="D13353" t="inlineStr">
        <is>
          <t>VÄRMLANDS LÄN</t>
        </is>
      </c>
      <c r="E13353" t="inlineStr">
        <is>
          <t>TORSBY</t>
        </is>
      </c>
      <c r="G13353" t="n">
        <v>2.4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2253-2024</t>
        </is>
      </c>
      <c r="B13354" s="1" t="n">
        <v>45310</v>
      </c>
      <c r="C13354" s="1" t="n">
        <v>45810</v>
      </c>
      <c r="D13354" t="inlineStr">
        <is>
          <t>VÄRMLANDS LÄN</t>
        </is>
      </c>
      <c r="E13354" t="inlineStr">
        <is>
          <t>GRUMS</t>
        </is>
      </c>
      <c r="G13354" t="n">
        <v>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2261-2024</t>
        </is>
      </c>
      <c r="B13355" s="1" t="n">
        <v>45310</v>
      </c>
      <c r="C13355" s="1" t="n">
        <v>45810</v>
      </c>
      <c r="D13355" t="inlineStr">
        <is>
          <t>VÄRMLANDS LÄN</t>
        </is>
      </c>
      <c r="E13355" t="inlineStr">
        <is>
          <t>EDA</t>
        </is>
      </c>
      <c r="G13355" t="n">
        <v>1.7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2265-2024</t>
        </is>
      </c>
      <c r="B13356" s="1" t="n">
        <v>45310</v>
      </c>
      <c r="C13356" s="1" t="n">
        <v>45810</v>
      </c>
      <c r="D13356" t="inlineStr">
        <is>
          <t>VÄRMLANDS LÄN</t>
        </is>
      </c>
      <c r="E13356" t="inlineStr">
        <is>
          <t>EDA</t>
        </is>
      </c>
      <c r="G13356" t="n">
        <v>0.7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2306-2024</t>
        </is>
      </c>
      <c r="B13357" s="1" t="n">
        <v>45310</v>
      </c>
      <c r="C13357" s="1" t="n">
        <v>45810</v>
      </c>
      <c r="D13357" t="inlineStr">
        <is>
          <t>VÄRMLANDS LÄN</t>
        </is>
      </c>
      <c r="E13357" t="inlineStr">
        <is>
          <t>KIL</t>
        </is>
      </c>
      <c r="G13357" t="n">
        <v>3.4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2315-2024</t>
        </is>
      </c>
      <c r="B13358" s="1" t="n">
        <v>45310</v>
      </c>
      <c r="C13358" s="1" t="n">
        <v>45810</v>
      </c>
      <c r="D13358" t="inlineStr">
        <is>
          <t>VÄRMLANDS LÄN</t>
        </is>
      </c>
      <c r="E13358" t="inlineStr">
        <is>
          <t>HAGFORS</t>
        </is>
      </c>
      <c r="F13358" t="inlineStr">
        <is>
          <t>Kyrkan</t>
        </is>
      </c>
      <c r="G13358" t="n">
        <v>2.3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2328-2024</t>
        </is>
      </c>
      <c r="B13359" s="1" t="n">
        <v>45310</v>
      </c>
      <c r="C13359" s="1" t="n">
        <v>45810</v>
      </c>
      <c r="D13359" t="inlineStr">
        <is>
          <t>VÄRMLANDS LÄN</t>
        </is>
      </c>
      <c r="E13359" t="inlineStr">
        <is>
          <t>TORSBY</t>
        </is>
      </c>
      <c r="G13359" t="n">
        <v>1.6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2351-2024</t>
        </is>
      </c>
      <c r="B13360" s="1" t="n">
        <v>45310</v>
      </c>
      <c r="C13360" s="1" t="n">
        <v>45810</v>
      </c>
      <c r="D13360" t="inlineStr">
        <is>
          <t>VÄRMLANDS LÄN</t>
        </is>
      </c>
      <c r="E13360" t="inlineStr">
        <is>
          <t>SÄFFLE</t>
        </is>
      </c>
      <c r="G13360" t="n">
        <v>3.2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2309-2024</t>
        </is>
      </c>
      <c r="B13361" s="1" t="n">
        <v>45310</v>
      </c>
      <c r="C13361" s="1" t="n">
        <v>45810</v>
      </c>
      <c r="D13361" t="inlineStr">
        <is>
          <t>VÄRMLANDS LÄN</t>
        </is>
      </c>
      <c r="E13361" t="inlineStr">
        <is>
          <t>KIL</t>
        </is>
      </c>
      <c r="G13361" t="n">
        <v>0.5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2386-2024</t>
        </is>
      </c>
      <c r="B13362" s="1" t="n">
        <v>45310</v>
      </c>
      <c r="C13362" s="1" t="n">
        <v>45810</v>
      </c>
      <c r="D13362" t="inlineStr">
        <is>
          <t>VÄRMLANDS LÄN</t>
        </is>
      </c>
      <c r="E13362" t="inlineStr">
        <is>
          <t>EDA</t>
        </is>
      </c>
      <c r="G13362" t="n">
        <v>1.5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2390-2024</t>
        </is>
      </c>
      <c r="B13363" s="1" t="n">
        <v>45310</v>
      </c>
      <c r="C13363" s="1" t="n">
        <v>45810</v>
      </c>
      <c r="D13363" t="inlineStr">
        <is>
          <t>VÄRMLANDS LÄN</t>
        </is>
      </c>
      <c r="E13363" t="inlineStr">
        <is>
          <t>EDA</t>
        </is>
      </c>
      <c r="G13363" t="n">
        <v>1.7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2349-2024</t>
        </is>
      </c>
      <c r="B13364" s="1" t="n">
        <v>45310</v>
      </c>
      <c r="C13364" s="1" t="n">
        <v>45810</v>
      </c>
      <c r="D13364" t="inlineStr">
        <is>
          <t>VÄRMLANDS LÄN</t>
        </is>
      </c>
      <c r="E13364" t="inlineStr">
        <is>
          <t>SUNNE</t>
        </is>
      </c>
      <c r="G13364" t="n">
        <v>1.4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2353-2024</t>
        </is>
      </c>
      <c r="B13365" s="1" t="n">
        <v>45310</v>
      </c>
      <c r="C13365" s="1" t="n">
        <v>45810</v>
      </c>
      <c r="D13365" t="inlineStr">
        <is>
          <t>VÄRMLANDS LÄN</t>
        </is>
      </c>
      <c r="E13365" t="inlineStr">
        <is>
          <t>SÄFFLE</t>
        </is>
      </c>
      <c r="G13365" t="n">
        <v>2.3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2361-2024</t>
        </is>
      </c>
      <c r="B13366" s="1" t="n">
        <v>45310</v>
      </c>
      <c r="C13366" s="1" t="n">
        <v>45810</v>
      </c>
      <c r="D13366" t="inlineStr">
        <is>
          <t>VÄRMLANDS LÄN</t>
        </is>
      </c>
      <c r="E13366" t="inlineStr">
        <is>
          <t>FILIPSTAD</t>
        </is>
      </c>
      <c r="G13366" t="n">
        <v>1.9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2385-2024</t>
        </is>
      </c>
      <c r="B13367" s="1" t="n">
        <v>45310</v>
      </c>
      <c r="C13367" s="1" t="n">
        <v>45810</v>
      </c>
      <c r="D13367" t="inlineStr">
        <is>
          <t>VÄRMLANDS LÄN</t>
        </is>
      </c>
      <c r="E13367" t="inlineStr">
        <is>
          <t>SUNNE</t>
        </is>
      </c>
      <c r="G13367" t="n">
        <v>3.6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2411-2024</t>
        </is>
      </c>
      <c r="B13368" s="1" t="n">
        <v>45310</v>
      </c>
      <c r="C13368" s="1" t="n">
        <v>45810</v>
      </c>
      <c r="D13368" t="inlineStr">
        <is>
          <t>VÄRMLANDS LÄN</t>
        </is>
      </c>
      <c r="E13368" t="inlineStr">
        <is>
          <t>EDA</t>
        </is>
      </c>
      <c r="G13368" t="n">
        <v>3.8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2483-2024</t>
        </is>
      </c>
      <c r="B13369" s="1" t="n">
        <v>45313</v>
      </c>
      <c r="C13369" s="1" t="n">
        <v>45810</v>
      </c>
      <c r="D13369" t="inlineStr">
        <is>
          <t>VÄRMLANDS LÄN</t>
        </is>
      </c>
      <c r="E13369" t="inlineStr">
        <is>
          <t>ARVIKA</t>
        </is>
      </c>
      <c r="G13369" t="n">
        <v>2.3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2468-2024</t>
        </is>
      </c>
      <c r="B13370" s="1" t="n">
        <v>45313</v>
      </c>
      <c r="C13370" s="1" t="n">
        <v>45810</v>
      </c>
      <c r="D13370" t="inlineStr">
        <is>
          <t>VÄRMLANDS LÄN</t>
        </is>
      </c>
      <c r="E13370" t="inlineStr">
        <is>
          <t>ARVIKA</t>
        </is>
      </c>
      <c r="G13370" t="n">
        <v>1.1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2524-2024</t>
        </is>
      </c>
      <c r="B13371" s="1" t="n">
        <v>45313</v>
      </c>
      <c r="C13371" s="1" t="n">
        <v>45810</v>
      </c>
      <c r="D13371" t="inlineStr">
        <is>
          <t>VÄRMLANDS LÄN</t>
        </is>
      </c>
      <c r="E13371" t="inlineStr">
        <is>
          <t>KRISTINEHAMN</t>
        </is>
      </c>
      <c r="G13371" t="n">
        <v>5.7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2503-2024</t>
        </is>
      </c>
      <c r="B13372" s="1" t="n">
        <v>45313</v>
      </c>
      <c r="C13372" s="1" t="n">
        <v>45810</v>
      </c>
      <c r="D13372" t="inlineStr">
        <is>
          <t>VÄRMLANDS LÄN</t>
        </is>
      </c>
      <c r="E13372" t="inlineStr">
        <is>
          <t>SÄFFLE</t>
        </is>
      </c>
      <c r="G13372" t="n">
        <v>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2551-2024</t>
        </is>
      </c>
      <c r="B13373" s="1" t="n">
        <v>45313</v>
      </c>
      <c r="C13373" s="1" t="n">
        <v>45810</v>
      </c>
      <c r="D13373" t="inlineStr">
        <is>
          <t>VÄRMLANDS LÄN</t>
        </is>
      </c>
      <c r="E13373" t="inlineStr">
        <is>
          <t>EDA</t>
        </is>
      </c>
      <c r="G13373" t="n">
        <v>2.4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2466-2024</t>
        </is>
      </c>
      <c r="B13374" s="1" t="n">
        <v>45313</v>
      </c>
      <c r="C13374" s="1" t="n">
        <v>45810</v>
      </c>
      <c r="D13374" t="inlineStr">
        <is>
          <t>VÄRMLANDS LÄN</t>
        </is>
      </c>
      <c r="E13374" t="inlineStr">
        <is>
          <t>TORSBY</t>
        </is>
      </c>
      <c r="G13374" t="n">
        <v>2.8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2522-2024</t>
        </is>
      </c>
      <c r="B13375" s="1" t="n">
        <v>45313</v>
      </c>
      <c r="C13375" s="1" t="n">
        <v>45810</v>
      </c>
      <c r="D13375" t="inlineStr">
        <is>
          <t>VÄRMLANDS LÄN</t>
        </is>
      </c>
      <c r="E13375" t="inlineStr">
        <is>
          <t>KRISTINEHAMN</t>
        </is>
      </c>
      <c r="G13375" t="n">
        <v>11.2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2525-2024</t>
        </is>
      </c>
      <c r="B13376" s="1" t="n">
        <v>45313</v>
      </c>
      <c r="C13376" s="1" t="n">
        <v>45810</v>
      </c>
      <c r="D13376" t="inlineStr">
        <is>
          <t>VÄRMLANDS LÄN</t>
        </is>
      </c>
      <c r="E13376" t="inlineStr">
        <is>
          <t>KRISTINEHAMN</t>
        </is>
      </c>
      <c r="G13376" t="n">
        <v>9.800000000000001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2665-2024</t>
        </is>
      </c>
      <c r="B13377" s="1" t="n">
        <v>45314</v>
      </c>
      <c r="C13377" s="1" t="n">
        <v>45810</v>
      </c>
      <c r="D13377" t="inlineStr">
        <is>
          <t>VÄRMLANDS LÄN</t>
        </is>
      </c>
      <c r="E13377" t="inlineStr">
        <is>
          <t>SÄFFLE</t>
        </is>
      </c>
      <c r="G13377" t="n">
        <v>2.2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2686-2024</t>
        </is>
      </c>
      <c r="B13378" s="1" t="n">
        <v>45314</v>
      </c>
      <c r="C13378" s="1" t="n">
        <v>45810</v>
      </c>
      <c r="D13378" t="inlineStr">
        <is>
          <t>VÄRMLANDS LÄN</t>
        </is>
      </c>
      <c r="E13378" t="inlineStr">
        <is>
          <t>FORSHAGA</t>
        </is>
      </c>
      <c r="G13378" t="n">
        <v>2.3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2689-2024</t>
        </is>
      </c>
      <c r="B13379" s="1" t="n">
        <v>45314</v>
      </c>
      <c r="C13379" s="1" t="n">
        <v>45810</v>
      </c>
      <c r="D13379" t="inlineStr">
        <is>
          <t>VÄRMLANDS LÄN</t>
        </is>
      </c>
      <c r="E13379" t="inlineStr">
        <is>
          <t>TORSBY</t>
        </is>
      </c>
      <c r="G13379" t="n">
        <v>2.8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2784-2024</t>
        </is>
      </c>
      <c r="B13380" s="1" t="n">
        <v>45314</v>
      </c>
      <c r="C13380" s="1" t="n">
        <v>45810</v>
      </c>
      <c r="D13380" t="inlineStr">
        <is>
          <t>VÄRMLANDS LÄN</t>
        </is>
      </c>
      <c r="E13380" t="inlineStr">
        <is>
          <t>TORSBY</t>
        </is>
      </c>
      <c r="G13380" t="n">
        <v>3.4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2633-2024</t>
        </is>
      </c>
      <c r="B13381" s="1" t="n">
        <v>45314</v>
      </c>
      <c r="C13381" s="1" t="n">
        <v>45810</v>
      </c>
      <c r="D13381" t="inlineStr">
        <is>
          <t>VÄRMLANDS LÄN</t>
        </is>
      </c>
      <c r="E13381" t="inlineStr">
        <is>
          <t>SÄFFLE</t>
        </is>
      </c>
      <c r="G13381" t="n">
        <v>0.6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2662-2024</t>
        </is>
      </c>
      <c r="B13382" s="1" t="n">
        <v>45314</v>
      </c>
      <c r="C13382" s="1" t="n">
        <v>45810</v>
      </c>
      <c r="D13382" t="inlineStr">
        <is>
          <t>VÄRMLANDS LÄN</t>
        </is>
      </c>
      <c r="E13382" t="inlineStr">
        <is>
          <t>TORSBY</t>
        </is>
      </c>
      <c r="G13382" t="n">
        <v>1.7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2844-2024</t>
        </is>
      </c>
      <c r="B13383" s="1" t="n">
        <v>45315</v>
      </c>
      <c r="C13383" s="1" t="n">
        <v>45810</v>
      </c>
      <c r="D13383" t="inlineStr">
        <is>
          <t>VÄRMLANDS LÄN</t>
        </is>
      </c>
      <c r="E13383" t="inlineStr">
        <is>
          <t>KIL</t>
        </is>
      </c>
      <c r="G13383" t="n">
        <v>0.7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2841-2024</t>
        </is>
      </c>
      <c r="B13384" s="1" t="n">
        <v>45315</v>
      </c>
      <c r="C13384" s="1" t="n">
        <v>45810</v>
      </c>
      <c r="D13384" t="inlineStr">
        <is>
          <t>VÄRMLANDS LÄN</t>
        </is>
      </c>
      <c r="E13384" t="inlineStr">
        <is>
          <t>EDA</t>
        </is>
      </c>
      <c r="G13384" t="n">
        <v>2.1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2870-2024</t>
        </is>
      </c>
      <c r="B13385" s="1" t="n">
        <v>45315</v>
      </c>
      <c r="C13385" s="1" t="n">
        <v>45810</v>
      </c>
      <c r="D13385" t="inlineStr">
        <is>
          <t>VÄRMLANDS LÄN</t>
        </is>
      </c>
      <c r="E13385" t="inlineStr">
        <is>
          <t>TORSBY</t>
        </is>
      </c>
      <c r="F13385" t="inlineStr">
        <is>
          <t>Bergvik skog väst AB</t>
        </is>
      </c>
      <c r="G13385" t="n">
        <v>16.6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2963-2024</t>
        </is>
      </c>
      <c r="B13386" s="1" t="n">
        <v>45315</v>
      </c>
      <c r="C13386" s="1" t="n">
        <v>45810</v>
      </c>
      <c r="D13386" t="inlineStr">
        <is>
          <t>VÄRMLANDS LÄN</t>
        </is>
      </c>
      <c r="E13386" t="inlineStr">
        <is>
          <t>KRISTINEHAMN</t>
        </is>
      </c>
      <c r="G13386" t="n">
        <v>2.1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2977-2024</t>
        </is>
      </c>
      <c r="B13387" s="1" t="n">
        <v>45315</v>
      </c>
      <c r="C13387" s="1" t="n">
        <v>45810</v>
      </c>
      <c r="D13387" t="inlineStr">
        <is>
          <t>VÄRMLANDS LÄN</t>
        </is>
      </c>
      <c r="E13387" t="inlineStr">
        <is>
          <t>SUNNE</t>
        </is>
      </c>
      <c r="G13387" t="n">
        <v>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2975-2024</t>
        </is>
      </c>
      <c r="B13388" s="1" t="n">
        <v>45315</v>
      </c>
      <c r="C13388" s="1" t="n">
        <v>45810</v>
      </c>
      <c r="D13388" t="inlineStr">
        <is>
          <t>VÄRMLANDS LÄN</t>
        </is>
      </c>
      <c r="E13388" t="inlineStr">
        <is>
          <t>ÅRJÄNG</t>
        </is>
      </c>
      <c r="G13388" t="n">
        <v>1.8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2945-2024</t>
        </is>
      </c>
      <c r="B13389" s="1" t="n">
        <v>45315</v>
      </c>
      <c r="C13389" s="1" t="n">
        <v>45810</v>
      </c>
      <c r="D13389" t="inlineStr">
        <is>
          <t>VÄRMLANDS LÄN</t>
        </is>
      </c>
      <c r="E13389" t="inlineStr">
        <is>
          <t>KRISTINEHAMN</t>
        </is>
      </c>
      <c r="G13389" t="n">
        <v>3.4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3015-2024</t>
        </is>
      </c>
      <c r="B13390" s="1" t="n">
        <v>45315</v>
      </c>
      <c r="C13390" s="1" t="n">
        <v>45810</v>
      </c>
      <c r="D13390" t="inlineStr">
        <is>
          <t>VÄRMLANDS LÄN</t>
        </is>
      </c>
      <c r="E13390" t="inlineStr">
        <is>
          <t>ÅRJÄNG</t>
        </is>
      </c>
      <c r="F13390" t="inlineStr">
        <is>
          <t>Övriga Aktiebolag</t>
        </is>
      </c>
      <c r="G13390" t="n">
        <v>4.5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3074-2024</t>
        </is>
      </c>
      <c r="B13391" s="1" t="n">
        <v>45316</v>
      </c>
      <c r="C13391" s="1" t="n">
        <v>45810</v>
      </c>
      <c r="D13391" t="inlineStr">
        <is>
          <t>VÄRMLANDS LÄN</t>
        </is>
      </c>
      <c r="E13391" t="inlineStr">
        <is>
          <t>SUNNE</t>
        </is>
      </c>
      <c r="F13391" t="inlineStr">
        <is>
          <t>Kommuner</t>
        </is>
      </c>
      <c r="G13391" t="n">
        <v>1.9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3082-2024</t>
        </is>
      </c>
      <c r="B13392" s="1" t="n">
        <v>45316</v>
      </c>
      <c r="C13392" s="1" t="n">
        <v>45810</v>
      </c>
      <c r="D13392" t="inlineStr">
        <is>
          <t>VÄRMLANDS LÄN</t>
        </is>
      </c>
      <c r="E13392" t="inlineStr">
        <is>
          <t>SUNNE</t>
        </is>
      </c>
      <c r="F13392" t="inlineStr">
        <is>
          <t>Kommuner</t>
        </is>
      </c>
      <c r="G13392" t="n">
        <v>1.9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3079-2024</t>
        </is>
      </c>
      <c r="B13393" s="1" t="n">
        <v>45316</v>
      </c>
      <c r="C13393" s="1" t="n">
        <v>45810</v>
      </c>
      <c r="D13393" t="inlineStr">
        <is>
          <t>VÄRMLANDS LÄN</t>
        </is>
      </c>
      <c r="E13393" t="inlineStr">
        <is>
          <t>SUNNE</t>
        </is>
      </c>
      <c r="F13393" t="inlineStr">
        <is>
          <t>Kommuner</t>
        </is>
      </c>
      <c r="G13393" t="n">
        <v>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3083-2024</t>
        </is>
      </c>
      <c r="B13394" s="1" t="n">
        <v>45316</v>
      </c>
      <c r="C13394" s="1" t="n">
        <v>45810</v>
      </c>
      <c r="D13394" t="inlineStr">
        <is>
          <t>VÄRMLANDS LÄN</t>
        </is>
      </c>
      <c r="E13394" t="inlineStr">
        <is>
          <t>SUNNE</t>
        </is>
      </c>
      <c r="F13394" t="inlineStr">
        <is>
          <t>Kommuner</t>
        </is>
      </c>
      <c r="G13394" t="n">
        <v>0.4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3087-2024</t>
        </is>
      </c>
      <c r="B13395" s="1" t="n">
        <v>45316</v>
      </c>
      <c r="C13395" s="1" t="n">
        <v>45810</v>
      </c>
      <c r="D13395" t="inlineStr">
        <is>
          <t>VÄRMLANDS LÄN</t>
        </is>
      </c>
      <c r="E13395" t="inlineStr">
        <is>
          <t>SUNNE</t>
        </is>
      </c>
      <c r="F13395" t="inlineStr">
        <is>
          <t>Kommuner</t>
        </is>
      </c>
      <c r="G13395" t="n">
        <v>2.9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3106-2024</t>
        </is>
      </c>
      <c r="B13396" s="1" t="n">
        <v>45316</v>
      </c>
      <c r="C13396" s="1" t="n">
        <v>45810</v>
      </c>
      <c r="D13396" t="inlineStr">
        <is>
          <t>VÄRMLANDS LÄN</t>
        </is>
      </c>
      <c r="E13396" t="inlineStr">
        <is>
          <t>TORSBY</t>
        </is>
      </c>
      <c r="G13396" t="n">
        <v>2.1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3223-2024</t>
        </is>
      </c>
      <c r="B13397" s="1" t="n">
        <v>45316</v>
      </c>
      <c r="C13397" s="1" t="n">
        <v>45810</v>
      </c>
      <c r="D13397" t="inlineStr">
        <is>
          <t>VÄRMLANDS LÄN</t>
        </is>
      </c>
      <c r="E13397" t="inlineStr">
        <is>
          <t>ARVIKA</t>
        </is>
      </c>
      <c r="G13397" t="n">
        <v>8.9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3072-2024</t>
        </is>
      </c>
      <c r="B13398" s="1" t="n">
        <v>45316</v>
      </c>
      <c r="C13398" s="1" t="n">
        <v>45810</v>
      </c>
      <c r="D13398" t="inlineStr">
        <is>
          <t>VÄRMLANDS LÄN</t>
        </is>
      </c>
      <c r="E13398" t="inlineStr">
        <is>
          <t>SUNNE</t>
        </is>
      </c>
      <c r="F13398" t="inlineStr">
        <is>
          <t>Kommuner</t>
        </is>
      </c>
      <c r="G13398" t="n">
        <v>3.3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3076-2024</t>
        </is>
      </c>
      <c r="B13399" s="1" t="n">
        <v>45316</v>
      </c>
      <c r="C13399" s="1" t="n">
        <v>45810</v>
      </c>
      <c r="D13399" t="inlineStr">
        <is>
          <t>VÄRMLANDS LÄN</t>
        </is>
      </c>
      <c r="E13399" t="inlineStr">
        <is>
          <t>SUNNE</t>
        </is>
      </c>
      <c r="G13399" t="n">
        <v>5.5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3065-2024</t>
        </is>
      </c>
      <c r="B13400" s="1" t="n">
        <v>45316</v>
      </c>
      <c r="C13400" s="1" t="n">
        <v>45810</v>
      </c>
      <c r="D13400" t="inlineStr">
        <is>
          <t>VÄRMLANDS LÄN</t>
        </is>
      </c>
      <c r="E13400" t="inlineStr">
        <is>
          <t>GRUMS</t>
        </is>
      </c>
      <c r="G13400" t="n">
        <v>0.8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3069-2024</t>
        </is>
      </c>
      <c r="B13401" s="1" t="n">
        <v>45316</v>
      </c>
      <c r="C13401" s="1" t="n">
        <v>45810</v>
      </c>
      <c r="D13401" t="inlineStr">
        <is>
          <t>VÄRMLANDS LÄN</t>
        </is>
      </c>
      <c r="E13401" t="inlineStr">
        <is>
          <t>TORSBY</t>
        </is>
      </c>
      <c r="G13401" t="n">
        <v>14.8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3144-2024</t>
        </is>
      </c>
      <c r="B13402" s="1" t="n">
        <v>45316</v>
      </c>
      <c r="C13402" s="1" t="n">
        <v>45810</v>
      </c>
      <c r="D13402" t="inlineStr">
        <is>
          <t>VÄRMLANDS LÄN</t>
        </is>
      </c>
      <c r="E13402" t="inlineStr">
        <is>
          <t>ARVIKA</t>
        </is>
      </c>
      <c r="G13402" t="n">
        <v>1.2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3148-2024</t>
        </is>
      </c>
      <c r="B13403" s="1" t="n">
        <v>45316</v>
      </c>
      <c r="C13403" s="1" t="n">
        <v>45810</v>
      </c>
      <c r="D13403" t="inlineStr">
        <is>
          <t>VÄRMLANDS LÄN</t>
        </is>
      </c>
      <c r="E13403" t="inlineStr">
        <is>
          <t>ARVIKA</t>
        </is>
      </c>
      <c r="G13403" t="n">
        <v>1.4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3164-2024</t>
        </is>
      </c>
      <c r="B13404" s="1" t="n">
        <v>45316</v>
      </c>
      <c r="C13404" s="1" t="n">
        <v>45810</v>
      </c>
      <c r="D13404" t="inlineStr">
        <is>
          <t>VÄRMLANDS LÄN</t>
        </is>
      </c>
      <c r="E13404" t="inlineStr">
        <is>
          <t>GRUMS</t>
        </is>
      </c>
      <c r="G13404" t="n">
        <v>2.9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3192-2024</t>
        </is>
      </c>
      <c r="B13405" s="1" t="n">
        <v>45316</v>
      </c>
      <c r="C13405" s="1" t="n">
        <v>45810</v>
      </c>
      <c r="D13405" t="inlineStr">
        <is>
          <t>VÄRMLANDS LÄN</t>
        </is>
      </c>
      <c r="E13405" t="inlineStr">
        <is>
          <t>ARVIKA</t>
        </is>
      </c>
      <c r="G13405" t="n">
        <v>0.6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3085-2024</t>
        </is>
      </c>
      <c r="B13406" s="1" t="n">
        <v>45316</v>
      </c>
      <c r="C13406" s="1" t="n">
        <v>45810</v>
      </c>
      <c r="D13406" t="inlineStr">
        <is>
          <t>VÄRMLANDS LÄN</t>
        </is>
      </c>
      <c r="E13406" t="inlineStr">
        <is>
          <t>SUNNE</t>
        </is>
      </c>
      <c r="F13406" t="inlineStr">
        <is>
          <t>Kommuner</t>
        </is>
      </c>
      <c r="G13406" t="n">
        <v>0.4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3101-2024</t>
        </is>
      </c>
      <c r="B13407" s="1" t="n">
        <v>45316</v>
      </c>
      <c r="C13407" s="1" t="n">
        <v>45810</v>
      </c>
      <c r="D13407" t="inlineStr">
        <is>
          <t>VÄRMLANDS LÄN</t>
        </is>
      </c>
      <c r="E13407" t="inlineStr">
        <is>
          <t>SUNNE</t>
        </is>
      </c>
      <c r="F13407" t="inlineStr">
        <is>
          <t>Kommuner</t>
        </is>
      </c>
      <c r="G13407" t="n">
        <v>3.7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3113-2024</t>
        </is>
      </c>
      <c r="B13408" s="1" t="n">
        <v>45316</v>
      </c>
      <c r="C13408" s="1" t="n">
        <v>45810</v>
      </c>
      <c r="D13408" t="inlineStr">
        <is>
          <t>VÄRMLANDS LÄN</t>
        </is>
      </c>
      <c r="E13408" t="inlineStr">
        <is>
          <t>ÅRJÄNG</t>
        </is>
      </c>
      <c r="G13408" t="n">
        <v>2.3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3221-2024</t>
        </is>
      </c>
      <c r="B13409" s="1" t="n">
        <v>45316</v>
      </c>
      <c r="C13409" s="1" t="n">
        <v>45810</v>
      </c>
      <c r="D13409" t="inlineStr">
        <is>
          <t>VÄRMLANDS LÄN</t>
        </is>
      </c>
      <c r="E13409" t="inlineStr">
        <is>
          <t>ARVIKA</t>
        </is>
      </c>
      <c r="G13409" t="n">
        <v>2.6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3311-2024</t>
        </is>
      </c>
      <c r="B13410" s="1" t="n">
        <v>45317</v>
      </c>
      <c r="C13410" s="1" t="n">
        <v>45810</v>
      </c>
      <c r="D13410" t="inlineStr">
        <is>
          <t>VÄRMLANDS LÄN</t>
        </is>
      </c>
      <c r="E13410" t="inlineStr">
        <is>
          <t>ÅRJÄNG</t>
        </is>
      </c>
      <c r="G13410" t="n">
        <v>7.4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3326-2024</t>
        </is>
      </c>
      <c r="B13411" s="1" t="n">
        <v>45317</v>
      </c>
      <c r="C13411" s="1" t="n">
        <v>45810</v>
      </c>
      <c r="D13411" t="inlineStr">
        <is>
          <t>VÄRMLANDS LÄN</t>
        </is>
      </c>
      <c r="E13411" t="inlineStr">
        <is>
          <t>TORSBY</t>
        </is>
      </c>
      <c r="G13411" t="n">
        <v>3.1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3330-2024</t>
        </is>
      </c>
      <c r="B13412" s="1" t="n">
        <v>45317</v>
      </c>
      <c r="C13412" s="1" t="n">
        <v>45810</v>
      </c>
      <c r="D13412" t="inlineStr">
        <is>
          <t>VÄRMLANDS LÄN</t>
        </is>
      </c>
      <c r="E13412" t="inlineStr">
        <is>
          <t>SUNNE</t>
        </is>
      </c>
      <c r="G13412" t="n">
        <v>2.5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3298-2024</t>
        </is>
      </c>
      <c r="B13413" s="1" t="n">
        <v>45317</v>
      </c>
      <c r="C13413" s="1" t="n">
        <v>45810</v>
      </c>
      <c r="D13413" t="inlineStr">
        <is>
          <t>VÄRMLANDS LÄN</t>
        </is>
      </c>
      <c r="E13413" t="inlineStr">
        <is>
          <t>TORSBY</t>
        </is>
      </c>
      <c r="G13413" t="n">
        <v>1.6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3331-2024</t>
        </is>
      </c>
      <c r="B13414" s="1" t="n">
        <v>45317</v>
      </c>
      <c r="C13414" s="1" t="n">
        <v>45810</v>
      </c>
      <c r="D13414" t="inlineStr">
        <is>
          <t>VÄRMLANDS LÄN</t>
        </is>
      </c>
      <c r="E13414" t="inlineStr">
        <is>
          <t>TORSBY</t>
        </is>
      </c>
      <c r="G13414" t="n">
        <v>1.9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3335-2024</t>
        </is>
      </c>
      <c r="B13415" s="1" t="n">
        <v>45317</v>
      </c>
      <c r="C13415" s="1" t="n">
        <v>45810</v>
      </c>
      <c r="D13415" t="inlineStr">
        <is>
          <t>VÄRMLANDS LÄN</t>
        </is>
      </c>
      <c r="E13415" t="inlineStr">
        <is>
          <t>SUNNE</t>
        </is>
      </c>
      <c r="G13415" t="n">
        <v>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3350-2024</t>
        </is>
      </c>
      <c r="B13416" s="1" t="n">
        <v>45317</v>
      </c>
      <c r="C13416" s="1" t="n">
        <v>45810</v>
      </c>
      <c r="D13416" t="inlineStr">
        <is>
          <t>VÄRMLANDS LÄN</t>
        </is>
      </c>
      <c r="E13416" t="inlineStr">
        <is>
          <t>SUNNE</t>
        </is>
      </c>
      <c r="G13416" t="n">
        <v>2.7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3336-2024</t>
        </is>
      </c>
      <c r="B13417" s="1" t="n">
        <v>45317</v>
      </c>
      <c r="C13417" s="1" t="n">
        <v>45810</v>
      </c>
      <c r="D13417" t="inlineStr">
        <is>
          <t>VÄRMLANDS LÄN</t>
        </is>
      </c>
      <c r="E13417" t="inlineStr">
        <is>
          <t>SUNNE</t>
        </is>
      </c>
      <c r="G13417" t="n">
        <v>1.2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3364-2024</t>
        </is>
      </c>
      <c r="B13418" s="1" t="n">
        <v>45317</v>
      </c>
      <c r="C13418" s="1" t="n">
        <v>45810</v>
      </c>
      <c r="D13418" t="inlineStr">
        <is>
          <t>VÄRMLANDS LÄN</t>
        </is>
      </c>
      <c r="E13418" t="inlineStr">
        <is>
          <t>ARVIKA</t>
        </is>
      </c>
      <c r="G13418" t="n">
        <v>1.8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3492-2024</t>
        </is>
      </c>
      <c r="B13419" s="1" t="n">
        <v>45317</v>
      </c>
      <c r="C13419" s="1" t="n">
        <v>45810</v>
      </c>
      <c r="D13419" t="inlineStr">
        <is>
          <t>VÄRMLANDS LÄN</t>
        </is>
      </c>
      <c r="E13419" t="inlineStr">
        <is>
          <t>ÅRJÄNG</t>
        </is>
      </c>
      <c r="G13419" t="n">
        <v>8.699999999999999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3494-2024</t>
        </is>
      </c>
      <c r="B13420" s="1" t="n">
        <v>45320</v>
      </c>
      <c r="C13420" s="1" t="n">
        <v>45810</v>
      </c>
      <c r="D13420" t="inlineStr">
        <is>
          <t>VÄRMLANDS LÄN</t>
        </is>
      </c>
      <c r="E13420" t="inlineStr">
        <is>
          <t>SÄFFLE</t>
        </is>
      </c>
      <c r="G13420" t="n">
        <v>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3499-2024</t>
        </is>
      </c>
      <c r="B13421" s="1" t="n">
        <v>45320</v>
      </c>
      <c r="C13421" s="1" t="n">
        <v>45810</v>
      </c>
      <c r="D13421" t="inlineStr">
        <is>
          <t>VÄRMLANDS LÄN</t>
        </is>
      </c>
      <c r="E13421" t="inlineStr">
        <is>
          <t>SÄFFLE</t>
        </is>
      </c>
      <c r="G13421" t="n">
        <v>0.8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3511-2024</t>
        </is>
      </c>
      <c r="B13422" s="1" t="n">
        <v>45320</v>
      </c>
      <c r="C13422" s="1" t="n">
        <v>45810</v>
      </c>
      <c r="D13422" t="inlineStr">
        <is>
          <t>VÄRMLANDS LÄN</t>
        </is>
      </c>
      <c r="E13422" t="inlineStr">
        <is>
          <t>KRISTINEHAMN</t>
        </is>
      </c>
      <c r="G13422" t="n">
        <v>2.4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3541-2024</t>
        </is>
      </c>
      <c r="B13423" s="1" t="n">
        <v>45320</v>
      </c>
      <c r="C13423" s="1" t="n">
        <v>45810</v>
      </c>
      <c r="D13423" t="inlineStr">
        <is>
          <t>VÄRMLANDS LÄN</t>
        </is>
      </c>
      <c r="E13423" t="inlineStr">
        <is>
          <t>KARLSTAD</t>
        </is>
      </c>
      <c r="G13423" t="n">
        <v>4.2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3485-2024</t>
        </is>
      </c>
      <c r="B13424" s="1" t="n">
        <v>45320</v>
      </c>
      <c r="C13424" s="1" t="n">
        <v>45810</v>
      </c>
      <c r="D13424" t="inlineStr">
        <is>
          <t>VÄRMLANDS LÄN</t>
        </is>
      </c>
      <c r="E13424" t="inlineStr">
        <is>
          <t>HAGFORS</t>
        </is>
      </c>
      <c r="F13424" t="inlineStr">
        <is>
          <t>Bergvik skog väst AB</t>
        </is>
      </c>
      <c r="G13424" t="n">
        <v>4.5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3491-2024</t>
        </is>
      </c>
      <c r="B13425" s="1" t="n">
        <v>45320</v>
      </c>
      <c r="C13425" s="1" t="n">
        <v>45810</v>
      </c>
      <c r="D13425" t="inlineStr">
        <is>
          <t>VÄRMLANDS LÄN</t>
        </is>
      </c>
      <c r="E13425" t="inlineStr">
        <is>
          <t>SÄFFLE</t>
        </is>
      </c>
      <c r="G13425" t="n">
        <v>1.7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3501-2024</t>
        </is>
      </c>
      <c r="B13426" s="1" t="n">
        <v>45320</v>
      </c>
      <c r="C13426" s="1" t="n">
        <v>45810</v>
      </c>
      <c r="D13426" t="inlineStr">
        <is>
          <t>VÄRMLANDS LÄN</t>
        </is>
      </c>
      <c r="E13426" t="inlineStr">
        <is>
          <t>SÄFFLE</t>
        </is>
      </c>
      <c r="G13426" t="n">
        <v>0.7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3555-2024</t>
        </is>
      </c>
      <c r="B13427" s="1" t="n">
        <v>45320</v>
      </c>
      <c r="C13427" s="1" t="n">
        <v>45810</v>
      </c>
      <c r="D13427" t="inlineStr">
        <is>
          <t>VÄRMLANDS LÄN</t>
        </is>
      </c>
      <c r="E13427" t="inlineStr">
        <is>
          <t>ARVIKA</t>
        </is>
      </c>
      <c r="G13427" t="n">
        <v>0.9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3591-2024</t>
        </is>
      </c>
      <c r="B13428" s="1" t="n">
        <v>45320</v>
      </c>
      <c r="C13428" s="1" t="n">
        <v>45810</v>
      </c>
      <c r="D13428" t="inlineStr">
        <is>
          <t>VÄRMLANDS LÄN</t>
        </is>
      </c>
      <c r="E13428" t="inlineStr">
        <is>
          <t>TORSBY</t>
        </is>
      </c>
      <c r="G13428" t="n">
        <v>1.5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3479-2024</t>
        </is>
      </c>
      <c r="B13429" s="1" t="n">
        <v>45320</v>
      </c>
      <c r="C13429" s="1" t="n">
        <v>45810</v>
      </c>
      <c r="D13429" t="inlineStr">
        <is>
          <t>VÄRMLANDS LÄN</t>
        </is>
      </c>
      <c r="E13429" t="inlineStr">
        <is>
          <t>TORSBY</t>
        </is>
      </c>
      <c r="G13429" t="n">
        <v>1.2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3517-2024</t>
        </is>
      </c>
      <c r="B13430" s="1" t="n">
        <v>45320</v>
      </c>
      <c r="C13430" s="1" t="n">
        <v>45810</v>
      </c>
      <c r="D13430" t="inlineStr">
        <is>
          <t>VÄRMLANDS LÄN</t>
        </is>
      </c>
      <c r="E13430" t="inlineStr">
        <is>
          <t>ARVIKA</t>
        </is>
      </c>
      <c r="G13430" t="n">
        <v>3.2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3550-2024</t>
        </is>
      </c>
      <c r="B13431" s="1" t="n">
        <v>45320</v>
      </c>
      <c r="C13431" s="1" t="n">
        <v>45810</v>
      </c>
      <c r="D13431" t="inlineStr">
        <is>
          <t>VÄRMLANDS LÄN</t>
        </is>
      </c>
      <c r="E13431" t="inlineStr">
        <is>
          <t>KARLSTAD</t>
        </is>
      </c>
      <c r="G13431" t="n">
        <v>1.3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3536-2024</t>
        </is>
      </c>
      <c r="B13432" s="1" t="n">
        <v>45320</v>
      </c>
      <c r="C13432" s="1" t="n">
        <v>45810</v>
      </c>
      <c r="D13432" t="inlineStr">
        <is>
          <t>VÄRMLANDS LÄN</t>
        </is>
      </c>
      <c r="E13432" t="inlineStr">
        <is>
          <t>TORSBY</t>
        </is>
      </c>
      <c r="G13432" t="n">
        <v>2.7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3540-2024</t>
        </is>
      </c>
      <c r="B13433" s="1" t="n">
        <v>45320</v>
      </c>
      <c r="C13433" s="1" t="n">
        <v>45810</v>
      </c>
      <c r="D13433" t="inlineStr">
        <is>
          <t>VÄRMLANDS LÄN</t>
        </is>
      </c>
      <c r="E13433" t="inlineStr">
        <is>
          <t>HAGFORS</t>
        </is>
      </c>
      <c r="G13433" t="n">
        <v>1.1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3576-2024</t>
        </is>
      </c>
      <c r="B13434" s="1" t="n">
        <v>45320</v>
      </c>
      <c r="C13434" s="1" t="n">
        <v>45810</v>
      </c>
      <c r="D13434" t="inlineStr">
        <is>
          <t>VÄRMLANDS LÄN</t>
        </is>
      </c>
      <c r="E13434" t="inlineStr">
        <is>
          <t>FORSHAGA</t>
        </is>
      </c>
      <c r="G13434" t="n">
        <v>3.6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3578-2024</t>
        </is>
      </c>
      <c r="B13435" s="1" t="n">
        <v>45320</v>
      </c>
      <c r="C13435" s="1" t="n">
        <v>45810</v>
      </c>
      <c r="D13435" t="inlineStr">
        <is>
          <t>VÄRMLANDS LÄN</t>
        </is>
      </c>
      <c r="E13435" t="inlineStr">
        <is>
          <t>ARVIKA</t>
        </is>
      </c>
      <c r="G13435" t="n">
        <v>3.2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3590-2024</t>
        </is>
      </c>
      <c r="B13436" s="1" t="n">
        <v>45320</v>
      </c>
      <c r="C13436" s="1" t="n">
        <v>45810</v>
      </c>
      <c r="D13436" t="inlineStr">
        <is>
          <t>VÄRMLANDS LÄN</t>
        </is>
      </c>
      <c r="E13436" t="inlineStr">
        <is>
          <t>TORSBY</t>
        </is>
      </c>
      <c r="G13436" t="n">
        <v>3.5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3608-2024</t>
        </is>
      </c>
      <c r="B13437" s="1" t="n">
        <v>45320</v>
      </c>
      <c r="C13437" s="1" t="n">
        <v>45810</v>
      </c>
      <c r="D13437" t="inlineStr">
        <is>
          <t>VÄRMLANDS LÄN</t>
        </is>
      </c>
      <c r="E13437" t="inlineStr">
        <is>
          <t>TORSBY</t>
        </is>
      </c>
      <c r="G13437" t="n">
        <v>20.2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3678-2024</t>
        </is>
      </c>
      <c r="B13438" s="1" t="n">
        <v>45321</v>
      </c>
      <c r="C13438" s="1" t="n">
        <v>45810</v>
      </c>
      <c r="D13438" t="inlineStr">
        <is>
          <t>VÄRMLANDS LÄN</t>
        </is>
      </c>
      <c r="E13438" t="inlineStr">
        <is>
          <t>TORSBY</t>
        </is>
      </c>
      <c r="G13438" t="n">
        <v>24.6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3664-2024</t>
        </is>
      </c>
      <c r="B13439" s="1" t="n">
        <v>45321</v>
      </c>
      <c r="C13439" s="1" t="n">
        <v>45810</v>
      </c>
      <c r="D13439" t="inlineStr">
        <is>
          <t>VÄRMLANDS LÄN</t>
        </is>
      </c>
      <c r="E13439" t="inlineStr">
        <is>
          <t>EDA</t>
        </is>
      </c>
      <c r="G13439" t="n">
        <v>1.4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3668-2024</t>
        </is>
      </c>
      <c r="B13440" s="1" t="n">
        <v>45321</v>
      </c>
      <c r="C13440" s="1" t="n">
        <v>45810</v>
      </c>
      <c r="D13440" t="inlineStr">
        <is>
          <t>VÄRMLANDS LÄN</t>
        </is>
      </c>
      <c r="E13440" t="inlineStr">
        <is>
          <t>EDA</t>
        </is>
      </c>
      <c r="G13440" t="n">
        <v>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3672-2024</t>
        </is>
      </c>
      <c r="B13441" s="1" t="n">
        <v>45321</v>
      </c>
      <c r="C13441" s="1" t="n">
        <v>45810</v>
      </c>
      <c r="D13441" t="inlineStr">
        <is>
          <t>VÄRMLANDS LÄN</t>
        </is>
      </c>
      <c r="E13441" t="inlineStr">
        <is>
          <t>TORSBY</t>
        </is>
      </c>
      <c r="G13441" t="n">
        <v>1.5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3692-2024</t>
        </is>
      </c>
      <c r="B13442" s="1" t="n">
        <v>45321</v>
      </c>
      <c r="C13442" s="1" t="n">
        <v>45810</v>
      </c>
      <c r="D13442" t="inlineStr">
        <is>
          <t>VÄRMLANDS LÄN</t>
        </is>
      </c>
      <c r="E13442" t="inlineStr">
        <is>
          <t>SUNNE</t>
        </is>
      </c>
      <c r="G13442" t="n">
        <v>5.6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3698-2024</t>
        </is>
      </c>
      <c r="B13443" s="1" t="n">
        <v>45321</v>
      </c>
      <c r="C13443" s="1" t="n">
        <v>45810</v>
      </c>
      <c r="D13443" t="inlineStr">
        <is>
          <t>VÄRMLANDS LÄN</t>
        </is>
      </c>
      <c r="E13443" t="inlineStr">
        <is>
          <t>SUNNE</t>
        </is>
      </c>
      <c r="G13443" t="n">
        <v>0.9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3720-2024</t>
        </is>
      </c>
      <c r="B13444" s="1" t="n">
        <v>45321</v>
      </c>
      <c r="C13444" s="1" t="n">
        <v>45810</v>
      </c>
      <c r="D13444" t="inlineStr">
        <is>
          <t>VÄRMLANDS LÄN</t>
        </is>
      </c>
      <c r="E13444" t="inlineStr">
        <is>
          <t>TORSBY</t>
        </is>
      </c>
      <c r="F13444" t="inlineStr">
        <is>
          <t>Bergvik skog väst AB</t>
        </is>
      </c>
      <c r="G13444" t="n">
        <v>1.6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3724-2024</t>
        </is>
      </c>
      <c r="B13445" s="1" t="n">
        <v>45321</v>
      </c>
      <c r="C13445" s="1" t="n">
        <v>45810</v>
      </c>
      <c r="D13445" t="inlineStr">
        <is>
          <t>VÄRMLANDS LÄN</t>
        </is>
      </c>
      <c r="E13445" t="inlineStr">
        <is>
          <t>TORSBY</t>
        </is>
      </c>
      <c r="F13445" t="inlineStr">
        <is>
          <t>Bergvik skog väst AB</t>
        </is>
      </c>
      <c r="G13445" t="n">
        <v>2.1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3673-2024</t>
        </is>
      </c>
      <c r="B13446" s="1" t="n">
        <v>45321</v>
      </c>
      <c r="C13446" s="1" t="n">
        <v>45810</v>
      </c>
      <c r="D13446" t="inlineStr">
        <is>
          <t>VÄRMLANDS LÄN</t>
        </is>
      </c>
      <c r="E13446" t="inlineStr">
        <is>
          <t>TORSBY</t>
        </is>
      </c>
      <c r="G13446" t="n">
        <v>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3681-2024</t>
        </is>
      </c>
      <c r="B13447" s="1" t="n">
        <v>45321</v>
      </c>
      <c r="C13447" s="1" t="n">
        <v>45810</v>
      </c>
      <c r="D13447" t="inlineStr">
        <is>
          <t>VÄRMLANDS LÄN</t>
        </is>
      </c>
      <c r="E13447" t="inlineStr">
        <is>
          <t>HAGFORS</t>
        </is>
      </c>
      <c r="G13447" t="n">
        <v>1.7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3744-2024</t>
        </is>
      </c>
      <c r="B13448" s="1" t="n">
        <v>45321</v>
      </c>
      <c r="C13448" s="1" t="n">
        <v>45810</v>
      </c>
      <c r="D13448" t="inlineStr">
        <is>
          <t>VÄRMLANDS LÄN</t>
        </is>
      </c>
      <c r="E13448" t="inlineStr">
        <is>
          <t>ARVIKA</t>
        </is>
      </c>
      <c r="F13448" t="inlineStr">
        <is>
          <t>Bergvik skog väst AB</t>
        </is>
      </c>
      <c r="G13448" t="n">
        <v>4.2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3659-2024</t>
        </is>
      </c>
      <c r="B13449" s="1" t="n">
        <v>45321</v>
      </c>
      <c r="C13449" s="1" t="n">
        <v>45810</v>
      </c>
      <c r="D13449" t="inlineStr">
        <is>
          <t>VÄRMLANDS LÄN</t>
        </is>
      </c>
      <c r="E13449" t="inlineStr">
        <is>
          <t>FILIPSTAD</t>
        </is>
      </c>
      <c r="G13449" t="n">
        <v>2.9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3679-2024</t>
        </is>
      </c>
      <c r="B13450" s="1" t="n">
        <v>45321</v>
      </c>
      <c r="C13450" s="1" t="n">
        <v>45810</v>
      </c>
      <c r="D13450" t="inlineStr">
        <is>
          <t>VÄRMLANDS LÄN</t>
        </is>
      </c>
      <c r="E13450" t="inlineStr">
        <is>
          <t>SUNNE</t>
        </is>
      </c>
      <c r="G13450" t="n">
        <v>1.1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3695-2024</t>
        </is>
      </c>
      <c r="B13451" s="1" t="n">
        <v>45321</v>
      </c>
      <c r="C13451" s="1" t="n">
        <v>45810</v>
      </c>
      <c r="D13451" t="inlineStr">
        <is>
          <t>VÄRMLANDS LÄN</t>
        </is>
      </c>
      <c r="E13451" t="inlineStr">
        <is>
          <t>SUNNE</t>
        </is>
      </c>
      <c r="G13451" t="n">
        <v>1.5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3750-2024</t>
        </is>
      </c>
      <c r="B13452" s="1" t="n">
        <v>45321</v>
      </c>
      <c r="C13452" s="1" t="n">
        <v>45810</v>
      </c>
      <c r="D13452" t="inlineStr">
        <is>
          <t>VÄRMLANDS LÄN</t>
        </is>
      </c>
      <c r="E13452" t="inlineStr">
        <is>
          <t>TORSBY</t>
        </is>
      </c>
      <c r="G13452" t="n">
        <v>0.9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3786-2024</t>
        </is>
      </c>
      <c r="B13453" s="1" t="n">
        <v>45321</v>
      </c>
      <c r="C13453" s="1" t="n">
        <v>45810</v>
      </c>
      <c r="D13453" t="inlineStr">
        <is>
          <t>VÄRMLANDS LÄN</t>
        </is>
      </c>
      <c r="E13453" t="inlineStr">
        <is>
          <t>FILIPSTAD</t>
        </is>
      </c>
      <c r="F13453" t="inlineStr">
        <is>
          <t>Bergvik skog väst AB</t>
        </is>
      </c>
      <c r="G13453" t="n">
        <v>13.4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3768-2024</t>
        </is>
      </c>
      <c r="B13454" s="1" t="n">
        <v>45321</v>
      </c>
      <c r="C13454" s="1" t="n">
        <v>45810</v>
      </c>
      <c r="D13454" t="inlineStr">
        <is>
          <t>VÄRMLANDS LÄN</t>
        </is>
      </c>
      <c r="E13454" t="inlineStr">
        <is>
          <t>ARVIKA</t>
        </is>
      </c>
      <c r="F13454" t="inlineStr">
        <is>
          <t>Bergvik skog väst AB</t>
        </is>
      </c>
      <c r="G13454" t="n">
        <v>2.6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3730-2024</t>
        </is>
      </c>
      <c r="B13455" s="1" t="n">
        <v>45321</v>
      </c>
      <c r="C13455" s="1" t="n">
        <v>45810</v>
      </c>
      <c r="D13455" t="inlineStr">
        <is>
          <t>VÄRMLANDS LÄN</t>
        </is>
      </c>
      <c r="E13455" t="inlineStr">
        <is>
          <t>ARVIKA</t>
        </is>
      </c>
      <c r="F13455" t="inlineStr">
        <is>
          <t>Bergvik skog väst AB</t>
        </is>
      </c>
      <c r="G13455" t="n">
        <v>22.1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3734-2024</t>
        </is>
      </c>
      <c r="B13456" s="1" t="n">
        <v>45321</v>
      </c>
      <c r="C13456" s="1" t="n">
        <v>45810</v>
      </c>
      <c r="D13456" t="inlineStr">
        <is>
          <t>VÄRMLANDS LÄN</t>
        </is>
      </c>
      <c r="E13456" t="inlineStr">
        <is>
          <t>TORSBY</t>
        </is>
      </c>
      <c r="G13456" t="n">
        <v>2.1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3787-2024</t>
        </is>
      </c>
      <c r="B13457" s="1" t="n">
        <v>45321</v>
      </c>
      <c r="C13457" s="1" t="n">
        <v>45810</v>
      </c>
      <c r="D13457" t="inlineStr">
        <is>
          <t>VÄRMLANDS LÄN</t>
        </is>
      </c>
      <c r="E13457" t="inlineStr">
        <is>
          <t>ARVIKA</t>
        </is>
      </c>
      <c r="G13457" t="n">
        <v>1.8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3827-2024</t>
        </is>
      </c>
      <c r="B13458" s="1" t="n">
        <v>45321</v>
      </c>
      <c r="C13458" s="1" t="n">
        <v>45810</v>
      </c>
      <c r="D13458" t="inlineStr">
        <is>
          <t>VÄRMLANDS LÄN</t>
        </is>
      </c>
      <c r="E13458" t="inlineStr">
        <is>
          <t>SUNNE</t>
        </is>
      </c>
      <c r="G13458" t="n">
        <v>0.9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3785-2024</t>
        </is>
      </c>
      <c r="B13459" s="1" t="n">
        <v>45321</v>
      </c>
      <c r="C13459" s="1" t="n">
        <v>45810</v>
      </c>
      <c r="D13459" t="inlineStr">
        <is>
          <t>VÄRMLANDS LÄN</t>
        </is>
      </c>
      <c r="E13459" t="inlineStr">
        <is>
          <t>ÅRJÄNG</t>
        </is>
      </c>
      <c r="G13459" t="n">
        <v>0.9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3822-2024</t>
        </is>
      </c>
      <c r="B13460" s="1" t="n">
        <v>45321</v>
      </c>
      <c r="C13460" s="1" t="n">
        <v>45810</v>
      </c>
      <c r="D13460" t="inlineStr">
        <is>
          <t>VÄRMLANDS LÄN</t>
        </is>
      </c>
      <c r="E13460" t="inlineStr">
        <is>
          <t>TORSBY</t>
        </is>
      </c>
      <c r="G13460" t="n">
        <v>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3842-2024</t>
        </is>
      </c>
      <c r="B13461" s="1" t="n">
        <v>45321</v>
      </c>
      <c r="C13461" s="1" t="n">
        <v>45810</v>
      </c>
      <c r="D13461" t="inlineStr">
        <is>
          <t>VÄRMLANDS LÄN</t>
        </is>
      </c>
      <c r="E13461" t="inlineStr">
        <is>
          <t>KIL</t>
        </is>
      </c>
      <c r="G13461" t="n">
        <v>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3851-2024</t>
        </is>
      </c>
      <c r="B13462" s="1" t="n">
        <v>45322</v>
      </c>
      <c r="C13462" s="1" t="n">
        <v>45810</v>
      </c>
      <c r="D13462" t="inlineStr">
        <is>
          <t>VÄRMLANDS LÄN</t>
        </is>
      </c>
      <c r="E13462" t="inlineStr">
        <is>
          <t>KRISTINEHAMN</t>
        </is>
      </c>
      <c r="G13462" t="n">
        <v>1.2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3850-2024</t>
        </is>
      </c>
      <c r="B13463" s="1" t="n">
        <v>45322</v>
      </c>
      <c r="C13463" s="1" t="n">
        <v>45810</v>
      </c>
      <c r="D13463" t="inlineStr">
        <is>
          <t>VÄRMLANDS LÄN</t>
        </is>
      </c>
      <c r="E13463" t="inlineStr">
        <is>
          <t>KRISTINEHAMN</t>
        </is>
      </c>
      <c r="G13463" t="n">
        <v>0.8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3922-2024</t>
        </is>
      </c>
      <c r="B13464" s="1" t="n">
        <v>45322</v>
      </c>
      <c r="C13464" s="1" t="n">
        <v>45810</v>
      </c>
      <c r="D13464" t="inlineStr">
        <is>
          <t>VÄRMLANDS LÄN</t>
        </is>
      </c>
      <c r="E13464" t="inlineStr">
        <is>
          <t>TORSBY</t>
        </is>
      </c>
      <c r="G13464" t="n">
        <v>0.8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3979-2024</t>
        </is>
      </c>
      <c r="B13465" s="1" t="n">
        <v>45322</v>
      </c>
      <c r="C13465" s="1" t="n">
        <v>45810</v>
      </c>
      <c r="D13465" t="inlineStr">
        <is>
          <t>VÄRMLANDS LÄN</t>
        </is>
      </c>
      <c r="E13465" t="inlineStr">
        <is>
          <t>FILIPSTAD</t>
        </is>
      </c>
      <c r="G13465" t="n">
        <v>8.199999999999999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3861-2024</t>
        </is>
      </c>
      <c r="B13466" s="1" t="n">
        <v>45322</v>
      </c>
      <c r="C13466" s="1" t="n">
        <v>45810</v>
      </c>
      <c r="D13466" t="inlineStr">
        <is>
          <t>VÄRMLANDS LÄN</t>
        </is>
      </c>
      <c r="E13466" t="inlineStr">
        <is>
          <t>KARLSTAD</t>
        </is>
      </c>
      <c r="G13466" t="n">
        <v>4.3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3885-2024</t>
        </is>
      </c>
      <c r="B13467" s="1" t="n">
        <v>45322</v>
      </c>
      <c r="C13467" s="1" t="n">
        <v>45810</v>
      </c>
      <c r="D13467" t="inlineStr">
        <is>
          <t>VÄRMLANDS LÄN</t>
        </is>
      </c>
      <c r="E13467" t="inlineStr">
        <is>
          <t>KARLSTAD</t>
        </is>
      </c>
      <c r="G13467" t="n">
        <v>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3897-2024</t>
        </is>
      </c>
      <c r="B13468" s="1" t="n">
        <v>45322</v>
      </c>
      <c r="C13468" s="1" t="n">
        <v>45810</v>
      </c>
      <c r="D13468" t="inlineStr">
        <is>
          <t>VÄRMLANDS LÄN</t>
        </is>
      </c>
      <c r="E13468" t="inlineStr">
        <is>
          <t>ARVIKA</t>
        </is>
      </c>
      <c r="G13468" t="n">
        <v>2.1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3852-2024</t>
        </is>
      </c>
      <c r="B13469" s="1" t="n">
        <v>45322</v>
      </c>
      <c r="C13469" s="1" t="n">
        <v>45810</v>
      </c>
      <c r="D13469" t="inlineStr">
        <is>
          <t>VÄRMLANDS LÄN</t>
        </is>
      </c>
      <c r="E13469" t="inlineStr">
        <is>
          <t>SUNNE</t>
        </is>
      </c>
      <c r="G13469" t="n">
        <v>0.7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3932-2024</t>
        </is>
      </c>
      <c r="B13470" s="1" t="n">
        <v>45322</v>
      </c>
      <c r="C13470" s="1" t="n">
        <v>45810</v>
      </c>
      <c r="D13470" t="inlineStr">
        <is>
          <t>VÄRMLANDS LÄN</t>
        </is>
      </c>
      <c r="E13470" t="inlineStr">
        <is>
          <t>KRISTINEHAMN</t>
        </is>
      </c>
      <c r="G13470" t="n">
        <v>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3949-2024</t>
        </is>
      </c>
      <c r="B13471" s="1" t="n">
        <v>45322</v>
      </c>
      <c r="C13471" s="1" t="n">
        <v>45810</v>
      </c>
      <c r="D13471" t="inlineStr">
        <is>
          <t>VÄRMLANDS LÄN</t>
        </is>
      </c>
      <c r="E13471" t="inlineStr">
        <is>
          <t>SUNNE</t>
        </is>
      </c>
      <c r="G13471" t="n">
        <v>1.7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3957-2024</t>
        </is>
      </c>
      <c r="B13472" s="1" t="n">
        <v>45322</v>
      </c>
      <c r="C13472" s="1" t="n">
        <v>45810</v>
      </c>
      <c r="D13472" t="inlineStr">
        <is>
          <t>VÄRMLANDS LÄN</t>
        </is>
      </c>
      <c r="E13472" t="inlineStr">
        <is>
          <t>GRUMS</t>
        </is>
      </c>
      <c r="F13472" t="inlineStr">
        <is>
          <t>Bergvik skog väst AB</t>
        </is>
      </c>
      <c r="G13472" t="n">
        <v>1.1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4030-2024</t>
        </is>
      </c>
      <c r="B13473" s="1" t="n">
        <v>45323</v>
      </c>
      <c r="C13473" s="1" t="n">
        <v>45810</v>
      </c>
      <c r="D13473" t="inlineStr">
        <is>
          <t>VÄRMLANDS LÄN</t>
        </is>
      </c>
      <c r="E13473" t="inlineStr">
        <is>
          <t>TORSBY</t>
        </is>
      </c>
      <c r="G13473" t="n">
        <v>0.6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4070-2024</t>
        </is>
      </c>
      <c r="B13474" s="1" t="n">
        <v>45323</v>
      </c>
      <c r="C13474" s="1" t="n">
        <v>45810</v>
      </c>
      <c r="D13474" t="inlineStr">
        <is>
          <t>VÄRMLANDS LÄN</t>
        </is>
      </c>
      <c r="E13474" t="inlineStr">
        <is>
          <t>TORSBY</t>
        </is>
      </c>
      <c r="G13474" t="n">
        <v>2.9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4078-2024</t>
        </is>
      </c>
      <c r="B13475" s="1" t="n">
        <v>45323</v>
      </c>
      <c r="C13475" s="1" t="n">
        <v>45810</v>
      </c>
      <c r="D13475" t="inlineStr">
        <is>
          <t>VÄRMLANDS LÄN</t>
        </is>
      </c>
      <c r="E13475" t="inlineStr">
        <is>
          <t>TORSBY</t>
        </is>
      </c>
      <c r="G13475" t="n">
        <v>1.2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4047-2024</t>
        </is>
      </c>
      <c r="B13476" s="1" t="n">
        <v>45323</v>
      </c>
      <c r="C13476" s="1" t="n">
        <v>45810</v>
      </c>
      <c r="D13476" t="inlineStr">
        <is>
          <t>VÄRMLANDS LÄN</t>
        </is>
      </c>
      <c r="E13476" t="inlineStr">
        <is>
          <t>HAGFORS</t>
        </is>
      </c>
      <c r="G13476" t="n">
        <v>1.7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4093-2024</t>
        </is>
      </c>
      <c r="B13477" s="1" t="n">
        <v>45323</v>
      </c>
      <c r="C13477" s="1" t="n">
        <v>45810</v>
      </c>
      <c r="D13477" t="inlineStr">
        <is>
          <t>VÄRMLANDS LÄN</t>
        </is>
      </c>
      <c r="E13477" t="inlineStr">
        <is>
          <t>SÄFFLE</t>
        </is>
      </c>
      <c r="G13477" t="n">
        <v>3.2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4117-2024</t>
        </is>
      </c>
      <c r="B13478" s="1" t="n">
        <v>45323</v>
      </c>
      <c r="C13478" s="1" t="n">
        <v>45810</v>
      </c>
      <c r="D13478" t="inlineStr">
        <is>
          <t>VÄRMLANDS LÄN</t>
        </is>
      </c>
      <c r="E13478" t="inlineStr">
        <is>
          <t>ARVIKA</t>
        </is>
      </c>
      <c r="G13478" t="n">
        <v>1.4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4181-2024</t>
        </is>
      </c>
      <c r="B13479" s="1" t="n">
        <v>45323</v>
      </c>
      <c r="C13479" s="1" t="n">
        <v>45810</v>
      </c>
      <c r="D13479" t="inlineStr">
        <is>
          <t>VÄRMLANDS LÄN</t>
        </is>
      </c>
      <c r="E13479" t="inlineStr">
        <is>
          <t>KRISTINEHAMN</t>
        </is>
      </c>
      <c r="G13479" t="n">
        <v>1.3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4180-2024</t>
        </is>
      </c>
      <c r="B13480" s="1" t="n">
        <v>45323</v>
      </c>
      <c r="C13480" s="1" t="n">
        <v>45810</v>
      </c>
      <c r="D13480" t="inlineStr">
        <is>
          <t>VÄRMLANDS LÄN</t>
        </is>
      </c>
      <c r="E13480" t="inlineStr">
        <is>
          <t>KRISTINEHAMN</t>
        </is>
      </c>
      <c r="G13480" t="n">
        <v>0.6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4200-2024</t>
        </is>
      </c>
      <c r="B13481" s="1" t="n">
        <v>45324</v>
      </c>
      <c r="C13481" s="1" t="n">
        <v>45810</v>
      </c>
      <c r="D13481" t="inlineStr">
        <is>
          <t>VÄRMLANDS LÄN</t>
        </is>
      </c>
      <c r="E13481" t="inlineStr">
        <is>
          <t>SUNNE</t>
        </is>
      </c>
      <c r="G13481" t="n">
        <v>2.6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4218-2024</t>
        </is>
      </c>
      <c r="B13482" s="1" t="n">
        <v>45324</v>
      </c>
      <c r="C13482" s="1" t="n">
        <v>45810</v>
      </c>
      <c r="D13482" t="inlineStr">
        <is>
          <t>VÄRMLANDS LÄN</t>
        </is>
      </c>
      <c r="E13482" t="inlineStr">
        <is>
          <t>SUNNE</t>
        </is>
      </c>
      <c r="G13482" t="n">
        <v>1.1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4231-2024</t>
        </is>
      </c>
      <c r="B13483" s="1" t="n">
        <v>45324</v>
      </c>
      <c r="C13483" s="1" t="n">
        <v>45810</v>
      </c>
      <c r="D13483" t="inlineStr">
        <is>
          <t>VÄRMLANDS LÄN</t>
        </is>
      </c>
      <c r="E13483" t="inlineStr">
        <is>
          <t>TORSBY</t>
        </is>
      </c>
      <c r="G13483" t="n">
        <v>3.6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4186-2024</t>
        </is>
      </c>
      <c r="B13484" s="1" t="n">
        <v>45324</v>
      </c>
      <c r="C13484" s="1" t="n">
        <v>45810</v>
      </c>
      <c r="D13484" t="inlineStr">
        <is>
          <t>VÄRMLANDS LÄN</t>
        </is>
      </c>
      <c r="E13484" t="inlineStr">
        <is>
          <t>HAGFORS</t>
        </is>
      </c>
      <c r="G13484" t="n">
        <v>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4219-2024</t>
        </is>
      </c>
      <c r="B13485" s="1" t="n">
        <v>45324</v>
      </c>
      <c r="C13485" s="1" t="n">
        <v>45810</v>
      </c>
      <c r="D13485" t="inlineStr">
        <is>
          <t>VÄRMLANDS LÄN</t>
        </is>
      </c>
      <c r="E13485" t="inlineStr">
        <is>
          <t>TORSBY</t>
        </is>
      </c>
      <c r="G13485" t="n">
        <v>0.8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4330-2024</t>
        </is>
      </c>
      <c r="B13486" s="1" t="n">
        <v>45324</v>
      </c>
      <c r="C13486" s="1" t="n">
        <v>45810</v>
      </c>
      <c r="D13486" t="inlineStr">
        <is>
          <t>VÄRMLANDS LÄN</t>
        </is>
      </c>
      <c r="E13486" t="inlineStr">
        <is>
          <t>SÄFFLE</t>
        </is>
      </c>
      <c r="G13486" t="n">
        <v>2.3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4195-2024</t>
        </is>
      </c>
      <c r="B13487" s="1" t="n">
        <v>45324</v>
      </c>
      <c r="C13487" s="1" t="n">
        <v>45810</v>
      </c>
      <c r="D13487" t="inlineStr">
        <is>
          <t>VÄRMLANDS LÄN</t>
        </is>
      </c>
      <c r="E13487" t="inlineStr">
        <is>
          <t>ARVIKA</t>
        </is>
      </c>
      <c r="G13487" t="n">
        <v>1.1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4253-2024</t>
        </is>
      </c>
      <c r="B13488" s="1" t="n">
        <v>45324</v>
      </c>
      <c r="C13488" s="1" t="n">
        <v>45810</v>
      </c>
      <c r="D13488" t="inlineStr">
        <is>
          <t>VÄRMLANDS LÄN</t>
        </is>
      </c>
      <c r="E13488" t="inlineStr">
        <is>
          <t>SÄFFLE</t>
        </is>
      </c>
      <c r="G13488" t="n">
        <v>5.9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4273-2024</t>
        </is>
      </c>
      <c r="B13489" s="1" t="n">
        <v>45324</v>
      </c>
      <c r="C13489" s="1" t="n">
        <v>45810</v>
      </c>
      <c r="D13489" t="inlineStr">
        <is>
          <t>VÄRMLANDS LÄN</t>
        </is>
      </c>
      <c r="E13489" t="inlineStr">
        <is>
          <t>SUNNE</t>
        </is>
      </c>
      <c r="G13489" t="n">
        <v>10.6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4279-2024</t>
        </is>
      </c>
      <c r="B13490" s="1" t="n">
        <v>45324</v>
      </c>
      <c r="C13490" s="1" t="n">
        <v>45810</v>
      </c>
      <c r="D13490" t="inlineStr">
        <is>
          <t>VÄRMLANDS LÄN</t>
        </is>
      </c>
      <c r="E13490" t="inlineStr">
        <is>
          <t>HAGFORS</t>
        </is>
      </c>
      <c r="G13490" t="n">
        <v>1.2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4277-2024</t>
        </is>
      </c>
      <c r="B13491" s="1" t="n">
        <v>45324</v>
      </c>
      <c r="C13491" s="1" t="n">
        <v>45810</v>
      </c>
      <c r="D13491" t="inlineStr">
        <is>
          <t>VÄRMLANDS LÄN</t>
        </is>
      </c>
      <c r="E13491" t="inlineStr">
        <is>
          <t>KRISTINEHAMN</t>
        </is>
      </c>
      <c r="G13491" t="n">
        <v>1.8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4289-2024</t>
        </is>
      </c>
      <c r="B13492" s="1" t="n">
        <v>45324</v>
      </c>
      <c r="C13492" s="1" t="n">
        <v>45810</v>
      </c>
      <c r="D13492" t="inlineStr">
        <is>
          <t>VÄRMLANDS LÄN</t>
        </is>
      </c>
      <c r="E13492" t="inlineStr">
        <is>
          <t>SUNNE</t>
        </is>
      </c>
      <c r="G13492" t="n">
        <v>1.8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4463-2024</t>
        </is>
      </c>
      <c r="B13493" s="1" t="n">
        <v>45326</v>
      </c>
      <c r="C13493" s="1" t="n">
        <v>45810</v>
      </c>
      <c r="D13493" t="inlineStr">
        <is>
          <t>VÄRMLANDS LÄN</t>
        </is>
      </c>
      <c r="E13493" t="inlineStr">
        <is>
          <t>ARVIKA</t>
        </is>
      </c>
      <c r="G13493" t="n">
        <v>1.3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4466-2024</t>
        </is>
      </c>
      <c r="B13494" s="1" t="n">
        <v>45326</v>
      </c>
      <c r="C13494" s="1" t="n">
        <v>45810</v>
      </c>
      <c r="D13494" t="inlineStr">
        <is>
          <t>VÄRMLANDS LÄN</t>
        </is>
      </c>
      <c r="E13494" t="inlineStr">
        <is>
          <t>ÅRJÄNG</t>
        </is>
      </c>
      <c r="G13494" t="n">
        <v>12.4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4389-2024</t>
        </is>
      </c>
      <c r="B13495" s="1" t="n">
        <v>45326</v>
      </c>
      <c r="C13495" s="1" t="n">
        <v>45810</v>
      </c>
      <c r="D13495" t="inlineStr">
        <is>
          <t>VÄRMLANDS LÄN</t>
        </is>
      </c>
      <c r="E13495" t="inlineStr">
        <is>
          <t>KARLSTAD</t>
        </is>
      </c>
      <c r="G13495" t="n">
        <v>0.9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4382-2024</t>
        </is>
      </c>
      <c r="B13496" s="1" t="n">
        <v>45327</v>
      </c>
      <c r="C13496" s="1" t="n">
        <v>45810</v>
      </c>
      <c r="D13496" t="inlineStr">
        <is>
          <t>VÄRMLANDS LÄN</t>
        </is>
      </c>
      <c r="E13496" t="inlineStr">
        <is>
          <t>ÅRJÄNG</t>
        </is>
      </c>
      <c r="G13496" t="n">
        <v>7.4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4418-2024</t>
        </is>
      </c>
      <c r="B13497" s="1" t="n">
        <v>45327</v>
      </c>
      <c r="C13497" s="1" t="n">
        <v>45810</v>
      </c>
      <c r="D13497" t="inlineStr">
        <is>
          <t>VÄRMLANDS LÄN</t>
        </is>
      </c>
      <c r="E13497" t="inlineStr">
        <is>
          <t>FILIPSTAD</t>
        </is>
      </c>
      <c r="F13497" t="inlineStr">
        <is>
          <t>Bergvik skog väst AB</t>
        </is>
      </c>
      <c r="G13497" t="n">
        <v>9.300000000000001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4430-2024</t>
        </is>
      </c>
      <c r="B13498" s="1" t="n">
        <v>45327</v>
      </c>
      <c r="C13498" s="1" t="n">
        <v>45810</v>
      </c>
      <c r="D13498" t="inlineStr">
        <is>
          <t>VÄRMLANDS LÄN</t>
        </is>
      </c>
      <c r="E13498" t="inlineStr">
        <is>
          <t>ARVIKA</t>
        </is>
      </c>
      <c r="G13498" t="n">
        <v>10.6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4388-2024</t>
        </is>
      </c>
      <c r="B13499" s="1" t="n">
        <v>45327</v>
      </c>
      <c r="C13499" s="1" t="n">
        <v>45810</v>
      </c>
      <c r="D13499" t="inlineStr">
        <is>
          <t>VÄRMLANDS LÄN</t>
        </is>
      </c>
      <c r="E13499" t="inlineStr">
        <is>
          <t>ARVIKA</t>
        </is>
      </c>
      <c r="G13499" t="n">
        <v>4.3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4545-2024</t>
        </is>
      </c>
      <c r="B13500" s="1" t="n">
        <v>45327</v>
      </c>
      <c r="C13500" s="1" t="n">
        <v>45810</v>
      </c>
      <c r="D13500" t="inlineStr">
        <is>
          <t>VÄRMLANDS LÄN</t>
        </is>
      </c>
      <c r="E13500" t="inlineStr">
        <is>
          <t>ÅRJÄNG</t>
        </is>
      </c>
      <c r="G13500" t="n">
        <v>1.2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4620-2024</t>
        </is>
      </c>
      <c r="B13501" s="1" t="n">
        <v>45328</v>
      </c>
      <c r="C13501" s="1" t="n">
        <v>45810</v>
      </c>
      <c r="D13501" t="inlineStr">
        <is>
          <t>VÄRMLANDS LÄN</t>
        </is>
      </c>
      <c r="E13501" t="inlineStr">
        <is>
          <t>FILIPSTAD</t>
        </is>
      </c>
      <c r="F13501" t="inlineStr">
        <is>
          <t>Bergvik skog väst AB</t>
        </is>
      </c>
      <c r="G13501" t="n">
        <v>2.9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4606-2024</t>
        </is>
      </c>
      <c r="B13502" s="1" t="n">
        <v>45328</v>
      </c>
      <c r="C13502" s="1" t="n">
        <v>45810</v>
      </c>
      <c r="D13502" t="inlineStr">
        <is>
          <t>VÄRMLANDS LÄN</t>
        </is>
      </c>
      <c r="E13502" t="inlineStr">
        <is>
          <t>ÅRJÄNG</t>
        </is>
      </c>
      <c r="G13502" t="n">
        <v>3.9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4742-2024</t>
        </is>
      </c>
      <c r="B13503" s="1" t="n">
        <v>45328</v>
      </c>
      <c r="C13503" s="1" t="n">
        <v>45810</v>
      </c>
      <c r="D13503" t="inlineStr">
        <is>
          <t>VÄRMLANDS LÄN</t>
        </is>
      </c>
      <c r="E13503" t="inlineStr">
        <is>
          <t>SÄFFLE</t>
        </is>
      </c>
      <c r="G13503" t="n">
        <v>3.3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4754-2024</t>
        </is>
      </c>
      <c r="B13504" s="1" t="n">
        <v>45328</v>
      </c>
      <c r="C13504" s="1" t="n">
        <v>45810</v>
      </c>
      <c r="D13504" t="inlineStr">
        <is>
          <t>VÄRMLANDS LÄN</t>
        </is>
      </c>
      <c r="E13504" t="inlineStr">
        <is>
          <t>ARVIKA</t>
        </is>
      </c>
      <c r="G13504" t="n">
        <v>1.3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4748-2024</t>
        </is>
      </c>
      <c r="B13505" s="1" t="n">
        <v>45328</v>
      </c>
      <c r="C13505" s="1" t="n">
        <v>45810</v>
      </c>
      <c r="D13505" t="inlineStr">
        <is>
          <t>VÄRMLANDS LÄN</t>
        </is>
      </c>
      <c r="E13505" t="inlineStr">
        <is>
          <t>HAGFORS</t>
        </is>
      </c>
      <c r="G13505" t="n">
        <v>1.1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4797-2024</t>
        </is>
      </c>
      <c r="B13506" s="1" t="n">
        <v>45328</v>
      </c>
      <c r="C13506" s="1" t="n">
        <v>45810</v>
      </c>
      <c r="D13506" t="inlineStr">
        <is>
          <t>VÄRMLANDS LÄN</t>
        </is>
      </c>
      <c r="E13506" t="inlineStr">
        <is>
          <t>ARVIKA</t>
        </is>
      </c>
      <c r="G13506" t="n">
        <v>0.7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4743-2024</t>
        </is>
      </c>
      <c r="B13507" s="1" t="n">
        <v>45328</v>
      </c>
      <c r="C13507" s="1" t="n">
        <v>45810</v>
      </c>
      <c r="D13507" t="inlineStr">
        <is>
          <t>VÄRMLANDS LÄN</t>
        </is>
      </c>
      <c r="E13507" t="inlineStr">
        <is>
          <t>SÄFFLE</t>
        </is>
      </c>
      <c r="G13507" t="n">
        <v>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4796-2024</t>
        </is>
      </c>
      <c r="B13508" s="1" t="n">
        <v>45328</v>
      </c>
      <c r="C13508" s="1" t="n">
        <v>45810</v>
      </c>
      <c r="D13508" t="inlineStr">
        <is>
          <t>VÄRMLANDS LÄN</t>
        </is>
      </c>
      <c r="E13508" t="inlineStr">
        <is>
          <t>KRISTINEHAMN</t>
        </is>
      </c>
      <c r="G13508" t="n">
        <v>1.6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4745-2024</t>
        </is>
      </c>
      <c r="B13509" s="1" t="n">
        <v>45328</v>
      </c>
      <c r="C13509" s="1" t="n">
        <v>45810</v>
      </c>
      <c r="D13509" t="inlineStr">
        <is>
          <t>VÄRMLANDS LÄN</t>
        </is>
      </c>
      <c r="E13509" t="inlineStr">
        <is>
          <t>HAGFORS</t>
        </is>
      </c>
      <c r="G13509" t="n">
        <v>4.2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4749-2024</t>
        </is>
      </c>
      <c r="B13510" s="1" t="n">
        <v>45328</v>
      </c>
      <c r="C13510" s="1" t="n">
        <v>45810</v>
      </c>
      <c r="D13510" t="inlineStr">
        <is>
          <t>VÄRMLANDS LÄN</t>
        </is>
      </c>
      <c r="E13510" t="inlineStr">
        <is>
          <t>ARVIKA</t>
        </is>
      </c>
      <c r="G13510" t="n">
        <v>1.4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4870-2024</t>
        </is>
      </c>
      <c r="B13511" s="1" t="n">
        <v>45329</v>
      </c>
      <c r="C13511" s="1" t="n">
        <v>45810</v>
      </c>
      <c r="D13511" t="inlineStr">
        <is>
          <t>VÄRMLANDS LÄN</t>
        </is>
      </c>
      <c r="E13511" t="inlineStr">
        <is>
          <t>GRUMS</t>
        </is>
      </c>
      <c r="G13511" t="n">
        <v>8.4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4865-2024</t>
        </is>
      </c>
      <c r="B13512" s="1" t="n">
        <v>45329</v>
      </c>
      <c r="C13512" s="1" t="n">
        <v>45810</v>
      </c>
      <c r="D13512" t="inlineStr">
        <is>
          <t>VÄRMLANDS LÄN</t>
        </is>
      </c>
      <c r="E13512" t="inlineStr">
        <is>
          <t>ÅRJÄNG</t>
        </is>
      </c>
      <c r="G13512" t="n">
        <v>0.8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4890-2024</t>
        </is>
      </c>
      <c r="B13513" s="1" t="n">
        <v>45329</v>
      </c>
      <c r="C13513" s="1" t="n">
        <v>45810</v>
      </c>
      <c r="D13513" t="inlineStr">
        <is>
          <t>VÄRMLANDS LÄN</t>
        </is>
      </c>
      <c r="E13513" t="inlineStr">
        <is>
          <t>ARVIKA</t>
        </is>
      </c>
      <c r="F13513" t="inlineStr">
        <is>
          <t>Bergvik skog väst AB</t>
        </is>
      </c>
      <c r="G13513" t="n">
        <v>3.8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4908-2024</t>
        </is>
      </c>
      <c r="B13514" s="1" t="n">
        <v>45329</v>
      </c>
      <c r="C13514" s="1" t="n">
        <v>45810</v>
      </c>
      <c r="D13514" t="inlineStr">
        <is>
          <t>VÄRMLANDS LÄN</t>
        </is>
      </c>
      <c r="E13514" t="inlineStr">
        <is>
          <t>TORSBY</t>
        </is>
      </c>
      <c r="G13514" t="n">
        <v>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4918-2024</t>
        </is>
      </c>
      <c r="B13515" s="1" t="n">
        <v>45329</v>
      </c>
      <c r="C13515" s="1" t="n">
        <v>45810</v>
      </c>
      <c r="D13515" t="inlineStr">
        <is>
          <t>VÄRMLANDS LÄN</t>
        </is>
      </c>
      <c r="E13515" t="inlineStr">
        <is>
          <t>TORSBY</t>
        </is>
      </c>
      <c r="G13515" t="n">
        <v>1.2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4920-2024</t>
        </is>
      </c>
      <c r="B13516" s="1" t="n">
        <v>45329</v>
      </c>
      <c r="C13516" s="1" t="n">
        <v>45810</v>
      </c>
      <c r="D13516" t="inlineStr">
        <is>
          <t>VÄRMLANDS LÄN</t>
        </is>
      </c>
      <c r="E13516" t="inlineStr">
        <is>
          <t>TORSBY</t>
        </is>
      </c>
      <c r="G13516" t="n">
        <v>0.8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4948-2024</t>
        </is>
      </c>
      <c r="B13517" s="1" t="n">
        <v>45329</v>
      </c>
      <c r="C13517" s="1" t="n">
        <v>45810</v>
      </c>
      <c r="D13517" t="inlineStr">
        <is>
          <t>VÄRMLANDS LÄN</t>
        </is>
      </c>
      <c r="E13517" t="inlineStr">
        <is>
          <t>ARVIKA</t>
        </is>
      </c>
      <c r="G13517" t="n">
        <v>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4976-2024</t>
        </is>
      </c>
      <c r="B13518" s="1" t="n">
        <v>45329</v>
      </c>
      <c r="C13518" s="1" t="n">
        <v>45810</v>
      </c>
      <c r="D13518" t="inlineStr">
        <is>
          <t>VÄRMLANDS LÄN</t>
        </is>
      </c>
      <c r="E13518" t="inlineStr">
        <is>
          <t>GRUMS</t>
        </is>
      </c>
      <c r="G13518" t="n">
        <v>5.1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4982-2024</t>
        </is>
      </c>
      <c r="B13519" s="1" t="n">
        <v>45329</v>
      </c>
      <c r="C13519" s="1" t="n">
        <v>45810</v>
      </c>
      <c r="D13519" t="inlineStr">
        <is>
          <t>VÄRMLANDS LÄN</t>
        </is>
      </c>
      <c r="E13519" t="inlineStr">
        <is>
          <t>GRUMS</t>
        </is>
      </c>
      <c r="G13519" t="n">
        <v>1.6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4998-2024</t>
        </is>
      </c>
      <c r="B13520" s="1" t="n">
        <v>45329</v>
      </c>
      <c r="C13520" s="1" t="n">
        <v>45810</v>
      </c>
      <c r="D13520" t="inlineStr">
        <is>
          <t>VÄRMLANDS LÄN</t>
        </is>
      </c>
      <c r="E13520" t="inlineStr">
        <is>
          <t>STORFORS</t>
        </is>
      </c>
      <c r="G13520" t="n">
        <v>0.9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4988-2024</t>
        </is>
      </c>
      <c r="B13521" s="1" t="n">
        <v>45329</v>
      </c>
      <c r="C13521" s="1" t="n">
        <v>45810</v>
      </c>
      <c r="D13521" t="inlineStr">
        <is>
          <t>VÄRMLANDS LÄN</t>
        </is>
      </c>
      <c r="E13521" t="inlineStr">
        <is>
          <t>ARVIKA</t>
        </is>
      </c>
      <c r="F13521" t="inlineStr">
        <is>
          <t>Bergvik skog väst AB</t>
        </is>
      </c>
      <c r="G13521" t="n">
        <v>9.4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4913-2024</t>
        </is>
      </c>
      <c r="B13522" s="1" t="n">
        <v>45329</v>
      </c>
      <c r="C13522" s="1" t="n">
        <v>45810</v>
      </c>
      <c r="D13522" t="inlineStr">
        <is>
          <t>VÄRMLANDS LÄN</t>
        </is>
      </c>
      <c r="E13522" t="inlineStr">
        <is>
          <t>TORSBY</t>
        </is>
      </c>
      <c r="G13522" t="n">
        <v>1.9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4993-2024</t>
        </is>
      </c>
      <c r="B13523" s="1" t="n">
        <v>45329</v>
      </c>
      <c r="C13523" s="1" t="n">
        <v>45810</v>
      </c>
      <c r="D13523" t="inlineStr">
        <is>
          <t>VÄRMLANDS LÄN</t>
        </is>
      </c>
      <c r="E13523" t="inlineStr">
        <is>
          <t>ARVIKA</t>
        </is>
      </c>
      <c r="F13523" t="inlineStr">
        <is>
          <t>Bergvik skog väst AB</t>
        </is>
      </c>
      <c r="G13523" t="n">
        <v>0.6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4907-2024</t>
        </is>
      </c>
      <c r="B13524" s="1" t="n">
        <v>45329</v>
      </c>
      <c r="C13524" s="1" t="n">
        <v>45810</v>
      </c>
      <c r="D13524" t="inlineStr">
        <is>
          <t>VÄRMLANDS LÄN</t>
        </is>
      </c>
      <c r="E13524" t="inlineStr">
        <is>
          <t>ARVIKA</t>
        </is>
      </c>
      <c r="F13524" t="inlineStr">
        <is>
          <t>Bergvik skog väst AB</t>
        </is>
      </c>
      <c r="G13524" t="n">
        <v>1.7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4943-2024</t>
        </is>
      </c>
      <c r="B13525" s="1" t="n">
        <v>45329</v>
      </c>
      <c r="C13525" s="1" t="n">
        <v>45810</v>
      </c>
      <c r="D13525" t="inlineStr">
        <is>
          <t>VÄRMLANDS LÄN</t>
        </is>
      </c>
      <c r="E13525" t="inlineStr">
        <is>
          <t>GRUMS</t>
        </is>
      </c>
      <c r="G13525" t="n">
        <v>3.6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4959-2024</t>
        </is>
      </c>
      <c r="B13526" s="1" t="n">
        <v>45329</v>
      </c>
      <c r="C13526" s="1" t="n">
        <v>45810</v>
      </c>
      <c r="D13526" t="inlineStr">
        <is>
          <t>VÄRMLANDS LÄN</t>
        </is>
      </c>
      <c r="E13526" t="inlineStr">
        <is>
          <t>ARVIKA</t>
        </is>
      </c>
      <c r="F13526" t="inlineStr">
        <is>
          <t>Bergvik skog väst AB</t>
        </is>
      </c>
      <c r="G13526" t="n">
        <v>1.9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4963-2024</t>
        </is>
      </c>
      <c r="B13527" s="1" t="n">
        <v>45329</v>
      </c>
      <c r="C13527" s="1" t="n">
        <v>45810</v>
      </c>
      <c r="D13527" t="inlineStr">
        <is>
          <t>VÄRMLANDS LÄN</t>
        </is>
      </c>
      <c r="E13527" t="inlineStr">
        <is>
          <t>GRUMS</t>
        </is>
      </c>
      <c r="G13527" t="n">
        <v>5.7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4983-2024</t>
        </is>
      </c>
      <c r="B13528" s="1" t="n">
        <v>45329</v>
      </c>
      <c r="C13528" s="1" t="n">
        <v>45810</v>
      </c>
      <c r="D13528" t="inlineStr">
        <is>
          <t>VÄRMLANDS LÄN</t>
        </is>
      </c>
      <c r="E13528" t="inlineStr">
        <is>
          <t>ARVIKA</t>
        </is>
      </c>
      <c r="F13528" t="inlineStr">
        <is>
          <t>Bergvik skog väst AB</t>
        </is>
      </c>
      <c r="G13528" t="n">
        <v>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5011-2024</t>
        </is>
      </c>
      <c r="B13529" s="1" t="n">
        <v>45329</v>
      </c>
      <c r="C13529" s="1" t="n">
        <v>45810</v>
      </c>
      <c r="D13529" t="inlineStr">
        <is>
          <t>VÄRMLANDS LÄN</t>
        </is>
      </c>
      <c r="E13529" t="inlineStr">
        <is>
          <t>GRUMS</t>
        </is>
      </c>
      <c r="G13529" t="n">
        <v>22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5115-2024</t>
        </is>
      </c>
      <c r="B13530" s="1" t="n">
        <v>45330</v>
      </c>
      <c r="C13530" s="1" t="n">
        <v>45810</v>
      </c>
      <c r="D13530" t="inlineStr">
        <is>
          <t>VÄRMLANDS LÄN</t>
        </is>
      </c>
      <c r="E13530" t="inlineStr">
        <is>
          <t>TORSBY</t>
        </is>
      </c>
      <c r="G13530" t="n">
        <v>4.1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5208-2024</t>
        </is>
      </c>
      <c r="B13531" s="1" t="n">
        <v>45330</v>
      </c>
      <c r="C13531" s="1" t="n">
        <v>45810</v>
      </c>
      <c r="D13531" t="inlineStr">
        <is>
          <t>VÄRMLANDS LÄN</t>
        </is>
      </c>
      <c r="E13531" t="inlineStr">
        <is>
          <t>SUNNE</t>
        </is>
      </c>
      <c r="F13531" t="inlineStr">
        <is>
          <t>Kommuner</t>
        </is>
      </c>
      <c r="G13531" t="n">
        <v>16.8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5240-2024</t>
        </is>
      </c>
      <c r="B13532" s="1" t="n">
        <v>45330</v>
      </c>
      <c r="C13532" s="1" t="n">
        <v>45810</v>
      </c>
      <c r="D13532" t="inlineStr">
        <is>
          <t>VÄRMLANDS LÄN</t>
        </is>
      </c>
      <c r="E13532" t="inlineStr">
        <is>
          <t>SUNNE</t>
        </is>
      </c>
      <c r="G13532" t="n">
        <v>0.8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5179-2024</t>
        </is>
      </c>
      <c r="B13533" s="1" t="n">
        <v>45330</v>
      </c>
      <c r="C13533" s="1" t="n">
        <v>45810</v>
      </c>
      <c r="D13533" t="inlineStr">
        <is>
          <t>VÄRMLANDS LÄN</t>
        </is>
      </c>
      <c r="E13533" t="inlineStr">
        <is>
          <t>SUNNE</t>
        </is>
      </c>
      <c r="G13533" t="n">
        <v>4.6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5214-2024</t>
        </is>
      </c>
      <c r="B13534" s="1" t="n">
        <v>45330</v>
      </c>
      <c r="C13534" s="1" t="n">
        <v>45810</v>
      </c>
      <c r="D13534" t="inlineStr">
        <is>
          <t>VÄRMLANDS LÄN</t>
        </is>
      </c>
      <c r="E13534" t="inlineStr">
        <is>
          <t>SUNNE</t>
        </is>
      </c>
      <c r="G13534" t="n">
        <v>3.6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5221-2024</t>
        </is>
      </c>
      <c r="B13535" s="1" t="n">
        <v>45330</v>
      </c>
      <c r="C13535" s="1" t="n">
        <v>45810</v>
      </c>
      <c r="D13535" t="inlineStr">
        <is>
          <t>VÄRMLANDS LÄN</t>
        </is>
      </c>
      <c r="E13535" t="inlineStr">
        <is>
          <t>SÄFFLE</t>
        </is>
      </c>
      <c r="G13535" t="n">
        <v>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5287-2024</t>
        </is>
      </c>
      <c r="B13536" s="1" t="n">
        <v>45331</v>
      </c>
      <c r="C13536" s="1" t="n">
        <v>45810</v>
      </c>
      <c r="D13536" t="inlineStr">
        <is>
          <t>VÄRMLANDS LÄN</t>
        </is>
      </c>
      <c r="E13536" t="inlineStr">
        <is>
          <t>SÄFFLE</t>
        </is>
      </c>
      <c r="G13536" t="n">
        <v>1.7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5304-2024</t>
        </is>
      </c>
      <c r="B13537" s="1" t="n">
        <v>45331</v>
      </c>
      <c r="C13537" s="1" t="n">
        <v>45810</v>
      </c>
      <c r="D13537" t="inlineStr">
        <is>
          <t>VÄRMLANDS LÄN</t>
        </is>
      </c>
      <c r="E13537" t="inlineStr">
        <is>
          <t>ARVIKA</t>
        </is>
      </c>
      <c r="F13537" t="inlineStr">
        <is>
          <t>Bergvik skog väst AB</t>
        </is>
      </c>
      <c r="G13537" t="n">
        <v>0.9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5297-2024</t>
        </is>
      </c>
      <c r="B13538" s="1" t="n">
        <v>45331</v>
      </c>
      <c r="C13538" s="1" t="n">
        <v>45810</v>
      </c>
      <c r="D13538" t="inlineStr">
        <is>
          <t>VÄRMLANDS LÄN</t>
        </is>
      </c>
      <c r="E13538" t="inlineStr">
        <is>
          <t>EDA</t>
        </is>
      </c>
      <c r="G13538" t="n">
        <v>2.3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5387-2024</t>
        </is>
      </c>
      <c r="B13539" s="1" t="n">
        <v>45331</v>
      </c>
      <c r="C13539" s="1" t="n">
        <v>45810</v>
      </c>
      <c r="D13539" t="inlineStr">
        <is>
          <t>VÄRMLANDS LÄN</t>
        </is>
      </c>
      <c r="E13539" t="inlineStr">
        <is>
          <t>KARLSTAD</t>
        </is>
      </c>
      <c r="G13539" t="n">
        <v>1.8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5393-2024</t>
        </is>
      </c>
      <c r="B13540" s="1" t="n">
        <v>45331</v>
      </c>
      <c r="C13540" s="1" t="n">
        <v>45810</v>
      </c>
      <c r="D13540" t="inlineStr">
        <is>
          <t>VÄRMLANDS LÄN</t>
        </is>
      </c>
      <c r="E13540" t="inlineStr">
        <is>
          <t>KIL</t>
        </is>
      </c>
      <c r="G13540" t="n">
        <v>1.4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5311-2024</t>
        </is>
      </c>
      <c r="B13541" s="1" t="n">
        <v>45331</v>
      </c>
      <c r="C13541" s="1" t="n">
        <v>45810</v>
      </c>
      <c r="D13541" t="inlineStr">
        <is>
          <t>VÄRMLANDS LÄN</t>
        </is>
      </c>
      <c r="E13541" t="inlineStr">
        <is>
          <t>ARVIKA</t>
        </is>
      </c>
      <c r="F13541" t="inlineStr">
        <is>
          <t>Bergvik skog väst AB</t>
        </is>
      </c>
      <c r="G13541" t="n">
        <v>1.5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5332-2024</t>
        </is>
      </c>
      <c r="B13542" s="1" t="n">
        <v>45331</v>
      </c>
      <c r="C13542" s="1" t="n">
        <v>45810</v>
      </c>
      <c r="D13542" t="inlineStr">
        <is>
          <t>VÄRMLANDS LÄN</t>
        </is>
      </c>
      <c r="E13542" t="inlineStr">
        <is>
          <t>ARVIKA</t>
        </is>
      </c>
      <c r="F13542" t="inlineStr">
        <is>
          <t>Bergvik skog väst AB</t>
        </is>
      </c>
      <c r="G13542" t="n">
        <v>3.3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5351-2024</t>
        </is>
      </c>
      <c r="B13543" s="1" t="n">
        <v>45331</v>
      </c>
      <c r="C13543" s="1" t="n">
        <v>45810</v>
      </c>
      <c r="D13543" t="inlineStr">
        <is>
          <t>VÄRMLANDS LÄN</t>
        </is>
      </c>
      <c r="E13543" t="inlineStr">
        <is>
          <t>TORSBY</t>
        </is>
      </c>
      <c r="G13543" t="n">
        <v>8.9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5551-2024</t>
        </is>
      </c>
      <c r="B13544" s="1" t="n">
        <v>45332</v>
      </c>
      <c r="C13544" s="1" t="n">
        <v>45810</v>
      </c>
      <c r="D13544" t="inlineStr">
        <is>
          <t>VÄRMLANDS LÄN</t>
        </is>
      </c>
      <c r="E13544" t="inlineStr">
        <is>
          <t>SÄFFLE</t>
        </is>
      </c>
      <c r="G13544" t="n">
        <v>1.3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5562-2024</t>
        </is>
      </c>
      <c r="B13545" s="1" t="n">
        <v>45332</v>
      </c>
      <c r="C13545" s="1" t="n">
        <v>45810</v>
      </c>
      <c r="D13545" t="inlineStr">
        <is>
          <t>VÄRMLANDS LÄN</t>
        </is>
      </c>
      <c r="E13545" t="inlineStr">
        <is>
          <t>SÄFFLE</t>
        </is>
      </c>
      <c r="G13545" t="n">
        <v>3.1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5484-2024</t>
        </is>
      </c>
      <c r="B13546" s="1" t="n">
        <v>45333</v>
      </c>
      <c r="C13546" s="1" t="n">
        <v>45810</v>
      </c>
      <c r="D13546" t="inlineStr">
        <is>
          <t>VÄRMLANDS LÄN</t>
        </is>
      </c>
      <c r="E13546" t="inlineStr">
        <is>
          <t>SÄFFLE</t>
        </is>
      </c>
      <c r="G13546" t="n">
        <v>0.6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5483-2024</t>
        </is>
      </c>
      <c r="B13547" s="1" t="n">
        <v>45333</v>
      </c>
      <c r="C13547" s="1" t="n">
        <v>45810</v>
      </c>
      <c r="D13547" t="inlineStr">
        <is>
          <t>VÄRMLANDS LÄN</t>
        </is>
      </c>
      <c r="E13547" t="inlineStr">
        <is>
          <t>SÄFFLE</t>
        </is>
      </c>
      <c r="G13547" t="n">
        <v>3.6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5505-2024</t>
        </is>
      </c>
      <c r="B13548" s="1" t="n">
        <v>45334</v>
      </c>
      <c r="C13548" s="1" t="n">
        <v>45810</v>
      </c>
      <c r="D13548" t="inlineStr">
        <is>
          <t>VÄRMLANDS LÄN</t>
        </is>
      </c>
      <c r="E13548" t="inlineStr">
        <is>
          <t>SUNNE</t>
        </is>
      </c>
      <c r="F13548" t="inlineStr">
        <is>
          <t>Bergvik skog väst AB</t>
        </is>
      </c>
      <c r="G13548" t="n">
        <v>1.4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5509-2024</t>
        </is>
      </c>
      <c r="B13549" s="1" t="n">
        <v>45334</v>
      </c>
      <c r="C13549" s="1" t="n">
        <v>45810</v>
      </c>
      <c r="D13549" t="inlineStr">
        <is>
          <t>VÄRMLANDS LÄN</t>
        </is>
      </c>
      <c r="E13549" t="inlineStr">
        <is>
          <t>TORSBY</t>
        </is>
      </c>
      <c r="G13549" t="n">
        <v>6.8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5507-2024</t>
        </is>
      </c>
      <c r="B13550" s="1" t="n">
        <v>45334</v>
      </c>
      <c r="C13550" s="1" t="n">
        <v>45810</v>
      </c>
      <c r="D13550" t="inlineStr">
        <is>
          <t>VÄRMLANDS LÄN</t>
        </is>
      </c>
      <c r="E13550" t="inlineStr">
        <is>
          <t>ÅRJÄNG</t>
        </is>
      </c>
      <c r="G13550" t="n">
        <v>4.8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5523-2024</t>
        </is>
      </c>
      <c r="B13551" s="1" t="n">
        <v>45334</v>
      </c>
      <c r="C13551" s="1" t="n">
        <v>45810</v>
      </c>
      <c r="D13551" t="inlineStr">
        <is>
          <t>VÄRMLANDS LÄN</t>
        </is>
      </c>
      <c r="E13551" t="inlineStr">
        <is>
          <t>SUNNE</t>
        </is>
      </c>
      <c r="F13551" t="inlineStr">
        <is>
          <t>Bergvik skog väst AB</t>
        </is>
      </c>
      <c r="G13551" t="n">
        <v>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5652-2024</t>
        </is>
      </c>
      <c r="B13552" s="1" t="n">
        <v>45334</v>
      </c>
      <c r="C13552" s="1" t="n">
        <v>45810</v>
      </c>
      <c r="D13552" t="inlineStr">
        <is>
          <t>VÄRMLANDS LÄN</t>
        </is>
      </c>
      <c r="E13552" t="inlineStr">
        <is>
          <t>SUNNE</t>
        </is>
      </c>
      <c r="G13552" t="n">
        <v>1.9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5594-2024</t>
        </is>
      </c>
      <c r="B13553" s="1" t="n">
        <v>45334</v>
      </c>
      <c r="C13553" s="1" t="n">
        <v>45810</v>
      </c>
      <c r="D13553" t="inlineStr">
        <is>
          <t>VÄRMLANDS LÄN</t>
        </is>
      </c>
      <c r="E13553" t="inlineStr">
        <is>
          <t>SÄFFLE</t>
        </is>
      </c>
      <c r="G13553" t="n">
        <v>4.3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5612-2024</t>
        </is>
      </c>
      <c r="B13554" s="1" t="n">
        <v>45334</v>
      </c>
      <c r="C13554" s="1" t="n">
        <v>45810</v>
      </c>
      <c r="D13554" t="inlineStr">
        <is>
          <t>VÄRMLANDS LÄN</t>
        </is>
      </c>
      <c r="E13554" t="inlineStr">
        <is>
          <t>HAGFORS</t>
        </is>
      </c>
      <c r="G13554" t="n">
        <v>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5621-2024</t>
        </is>
      </c>
      <c r="B13555" s="1" t="n">
        <v>45334</v>
      </c>
      <c r="C13555" s="1" t="n">
        <v>45810</v>
      </c>
      <c r="D13555" t="inlineStr">
        <is>
          <t>VÄRMLANDS LÄN</t>
        </is>
      </c>
      <c r="E13555" t="inlineStr">
        <is>
          <t>HAGFORS</t>
        </is>
      </c>
      <c r="G13555" t="n">
        <v>1.1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5653-2024</t>
        </is>
      </c>
      <c r="B13556" s="1" t="n">
        <v>45334</v>
      </c>
      <c r="C13556" s="1" t="n">
        <v>45810</v>
      </c>
      <c r="D13556" t="inlineStr">
        <is>
          <t>VÄRMLANDS LÄN</t>
        </is>
      </c>
      <c r="E13556" t="inlineStr">
        <is>
          <t>SUNNE</t>
        </is>
      </c>
      <c r="G13556" t="n">
        <v>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5741-2024</t>
        </is>
      </c>
      <c r="B13557" s="1" t="n">
        <v>45335</v>
      </c>
      <c r="C13557" s="1" t="n">
        <v>45810</v>
      </c>
      <c r="D13557" t="inlineStr">
        <is>
          <t>VÄRMLANDS LÄN</t>
        </is>
      </c>
      <c r="E13557" t="inlineStr">
        <is>
          <t>ARVIKA</t>
        </is>
      </c>
      <c r="G13557" t="n">
        <v>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5740-2024</t>
        </is>
      </c>
      <c r="B13558" s="1" t="n">
        <v>45335</v>
      </c>
      <c r="C13558" s="1" t="n">
        <v>45810</v>
      </c>
      <c r="D13558" t="inlineStr">
        <is>
          <t>VÄRMLANDS LÄN</t>
        </is>
      </c>
      <c r="E13558" t="inlineStr">
        <is>
          <t>ARVIKA</t>
        </is>
      </c>
      <c r="G13558" t="n">
        <v>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5744-2024</t>
        </is>
      </c>
      <c r="B13559" s="1" t="n">
        <v>45335</v>
      </c>
      <c r="C13559" s="1" t="n">
        <v>45810</v>
      </c>
      <c r="D13559" t="inlineStr">
        <is>
          <t>VÄRMLANDS LÄN</t>
        </is>
      </c>
      <c r="E13559" t="inlineStr">
        <is>
          <t>ARVIKA</t>
        </is>
      </c>
      <c r="G13559" t="n">
        <v>6.2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5746-2024</t>
        </is>
      </c>
      <c r="B13560" s="1" t="n">
        <v>45335</v>
      </c>
      <c r="C13560" s="1" t="n">
        <v>45810</v>
      </c>
      <c r="D13560" t="inlineStr">
        <is>
          <t>VÄRMLANDS LÄN</t>
        </is>
      </c>
      <c r="E13560" t="inlineStr">
        <is>
          <t>KIL</t>
        </is>
      </c>
      <c r="G13560" t="n">
        <v>6.2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5796-2024</t>
        </is>
      </c>
      <c r="B13561" s="1" t="n">
        <v>45335</v>
      </c>
      <c r="C13561" s="1" t="n">
        <v>45810</v>
      </c>
      <c r="D13561" t="inlineStr">
        <is>
          <t>VÄRMLANDS LÄN</t>
        </is>
      </c>
      <c r="E13561" t="inlineStr">
        <is>
          <t>HAGFORS</t>
        </is>
      </c>
      <c r="G13561" t="n">
        <v>0.4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5778-2024</t>
        </is>
      </c>
      <c r="B13562" s="1" t="n">
        <v>45335</v>
      </c>
      <c r="C13562" s="1" t="n">
        <v>45810</v>
      </c>
      <c r="D13562" t="inlineStr">
        <is>
          <t>VÄRMLANDS LÄN</t>
        </is>
      </c>
      <c r="E13562" t="inlineStr">
        <is>
          <t>HAGFORS</t>
        </is>
      </c>
      <c r="G13562" t="n">
        <v>1.3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5790-2024</t>
        </is>
      </c>
      <c r="B13563" s="1" t="n">
        <v>45335</v>
      </c>
      <c r="C13563" s="1" t="n">
        <v>45810</v>
      </c>
      <c r="D13563" t="inlineStr">
        <is>
          <t>VÄRMLANDS LÄN</t>
        </is>
      </c>
      <c r="E13563" t="inlineStr">
        <is>
          <t>HAGFORS</t>
        </is>
      </c>
      <c r="G13563" t="n">
        <v>0.5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5814-2024</t>
        </is>
      </c>
      <c r="B13564" s="1" t="n">
        <v>45335</v>
      </c>
      <c r="C13564" s="1" t="n">
        <v>45810</v>
      </c>
      <c r="D13564" t="inlineStr">
        <is>
          <t>VÄRMLANDS LÄN</t>
        </is>
      </c>
      <c r="E13564" t="inlineStr">
        <is>
          <t>TORSBY</t>
        </is>
      </c>
      <c r="G13564" t="n">
        <v>3.1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5743-2024</t>
        </is>
      </c>
      <c r="B13565" s="1" t="n">
        <v>45335</v>
      </c>
      <c r="C13565" s="1" t="n">
        <v>45810</v>
      </c>
      <c r="D13565" t="inlineStr">
        <is>
          <t>VÄRMLANDS LÄN</t>
        </is>
      </c>
      <c r="E13565" t="inlineStr">
        <is>
          <t>ARVIKA</t>
        </is>
      </c>
      <c r="G13565" t="n">
        <v>3.5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5783-2024</t>
        </is>
      </c>
      <c r="B13566" s="1" t="n">
        <v>45335</v>
      </c>
      <c r="C13566" s="1" t="n">
        <v>45810</v>
      </c>
      <c r="D13566" t="inlineStr">
        <is>
          <t>VÄRMLANDS LÄN</t>
        </is>
      </c>
      <c r="E13566" t="inlineStr">
        <is>
          <t>KARLSTAD</t>
        </is>
      </c>
      <c r="G13566" t="n">
        <v>2.7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5864-2024</t>
        </is>
      </c>
      <c r="B13567" s="1" t="n">
        <v>45335</v>
      </c>
      <c r="C13567" s="1" t="n">
        <v>45810</v>
      </c>
      <c r="D13567" t="inlineStr">
        <is>
          <t>VÄRMLANDS LÄN</t>
        </is>
      </c>
      <c r="E13567" t="inlineStr">
        <is>
          <t>KRISTINEHAMN</t>
        </is>
      </c>
      <c r="F13567" t="inlineStr">
        <is>
          <t>Kommuner</t>
        </is>
      </c>
      <c r="G13567" t="n">
        <v>2.1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5863-2024</t>
        </is>
      </c>
      <c r="B13568" s="1" t="n">
        <v>45335</v>
      </c>
      <c r="C13568" s="1" t="n">
        <v>45810</v>
      </c>
      <c r="D13568" t="inlineStr">
        <is>
          <t>VÄRMLANDS LÄN</t>
        </is>
      </c>
      <c r="E13568" t="inlineStr">
        <is>
          <t>TORSBY</t>
        </is>
      </c>
      <c r="G13568" t="n">
        <v>2.5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5872-2024</t>
        </is>
      </c>
      <c r="B13569" s="1" t="n">
        <v>45335</v>
      </c>
      <c r="C13569" s="1" t="n">
        <v>45810</v>
      </c>
      <c r="D13569" t="inlineStr">
        <is>
          <t>VÄRMLANDS LÄN</t>
        </is>
      </c>
      <c r="E13569" t="inlineStr">
        <is>
          <t>KRISTINEHAMN</t>
        </is>
      </c>
      <c r="F13569" t="inlineStr">
        <is>
          <t>Naturvårdsverket</t>
        </is>
      </c>
      <c r="G13569" t="n">
        <v>1.4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5954-2024</t>
        </is>
      </c>
      <c r="B13570" s="1" t="n">
        <v>45336</v>
      </c>
      <c r="C13570" s="1" t="n">
        <v>45810</v>
      </c>
      <c r="D13570" t="inlineStr">
        <is>
          <t>VÄRMLANDS LÄN</t>
        </is>
      </c>
      <c r="E13570" t="inlineStr">
        <is>
          <t>EDA</t>
        </is>
      </c>
      <c r="G13570" t="n">
        <v>5.1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5963-2024</t>
        </is>
      </c>
      <c r="B13571" s="1" t="n">
        <v>45336</v>
      </c>
      <c r="C13571" s="1" t="n">
        <v>45810</v>
      </c>
      <c r="D13571" t="inlineStr">
        <is>
          <t>VÄRMLANDS LÄN</t>
        </is>
      </c>
      <c r="E13571" t="inlineStr">
        <is>
          <t>SÄFFLE</t>
        </is>
      </c>
      <c r="G13571" t="n">
        <v>1.6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5965-2024</t>
        </is>
      </c>
      <c r="B13572" s="1" t="n">
        <v>45336</v>
      </c>
      <c r="C13572" s="1" t="n">
        <v>45810</v>
      </c>
      <c r="D13572" t="inlineStr">
        <is>
          <t>VÄRMLANDS LÄN</t>
        </is>
      </c>
      <c r="E13572" t="inlineStr">
        <is>
          <t>ARVIKA</t>
        </is>
      </c>
      <c r="G13572" t="n">
        <v>4.2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5948-2024</t>
        </is>
      </c>
      <c r="B13573" s="1" t="n">
        <v>45336</v>
      </c>
      <c r="C13573" s="1" t="n">
        <v>45810</v>
      </c>
      <c r="D13573" t="inlineStr">
        <is>
          <t>VÄRMLANDS LÄN</t>
        </is>
      </c>
      <c r="E13573" t="inlineStr">
        <is>
          <t>TORSBY</t>
        </is>
      </c>
      <c r="F13573" t="inlineStr">
        <is>
          <t>Bergvik skog väst AB</t>
        </is>
      </c>
      <c r="G13573" t="n">
        <v>9.300000000000001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6010-2024</t>
        </is>
      </c>
      <c r="B13574" s="1" t="n">
        <v>45336</v>
      </c>
      <c r="C13574" s="1" t="n">
        <v>45810</v>
      </c>
      <c r="D13574" t="inlineStr">
        <is>
          <t>VÄRMLANDS LÄN</t>
        </is>
      </c>
      <c r="E13574" t="inlineStr">
        <is>
          <t>HAGFORS</t>
        </is>
      </c>
      <c r="G13574" t="n">
        <v>0.8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5953-2024</t>
        </is>
      </c>
      <c r="B13575" s="1" t="n">
        <v>45336</v>
      </c>
      <c r="C13575" s="1" t="n">
        <v>45810</v>
      </c>
      <c r="D13575" t="inlineStr">
        <is>
          <t>VÄRMLANDS LÄN</t>
        </is>
      </c>
      <c r="E13575" t="inlineStr">
        <is>
          <t>EDA</t>
        </is>
      </c>
      <c r="G13575" t="n">
        <v>1.2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5957-2024</t>
        </is>
      </c>
      <c r="B13576" s="1" t="n">
        <v>45336</v>
      </c>
      <c r="C13576" s="1" t="n">
        <v>45810</v>
      </c>
      <c r="D13576" t="inlineStr">
        <is>
          <t>VÄRMLANDS LÄN</t>
        </is>
      </c>
      <c r="E13576" t="inlineStr">
        <is>
          <t>GRUMS</t>
        </is>
      </c>
      <c r="G13576" t="n">
        <v>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6013-2024</t>
        </is>
      </c>
      <c r="B13577" s="1" t="n">
        <v>45336</v>
      </c>
      <c r="C13577" s="1" t="n">
        <v>45810</v>
      </c>
      <c r="D13577" t="inlineStr">
        <is>
          <t>VÄRMLANDS LÄN</t>
        </is>
      </c>
      <c r="E13577" t="inlineStr">
        <is>
          <t>TORSBY</t>
        </is>
      </c>
      <c r="G13577" t="n">
        <v>1.6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6107-2024</t>
        </is>
      </c>
      <c r="B13578" s="1" t="n">
        <v>45337</v>
      </c>
      <c r="C13578" s="1" t="n">
        <v>45810</v>
      </c>
      <c r="D13578" t="inlineStr">
        <is>
          <t>VÄRMLANDS LÄN</t>
        </is>
      </c>
      <c r="E13578" t="inlineStr">
        <is>
          <t>ÅRJÄNG</t>
        </is>
      </c>
      <c r="G13578" t="n">
        <v>1.6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6135-2024</t>
        </is>
      </c>
      <c r="B13579" s="1" t="n">
        <v>45337</v>
      </c>
      <c r="C13579" s="1" t="n">
        <v>45810</v>
      </c>
      <c r="D13579" t="inlineStr">
        <is>
          <t>VÄRMLANDS LÄN</t>
        </is>
      </c>
      <c r="E13579" t="inlineStr">
        <is>
          <t>HAGFORS</t>
        </is>
      </c>
      <c r="G13579" t="n">
        <v>3.4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6220-2024</t>
        </is>
      </c>
      <c r="B13580" s="1" t="n">
        <v>45337</v>
      </c>
      <c r="C13580" s="1" t="n">
        <v>45810</v>
      </c>
      <c r="D13580" t="inlineStr">
        <is>
          <t>VÄRMLANDS LÄN</t>
        </is>
      </c>
      <c r="E13580" t="inlineStr">
        <is>
          <t>KARLSTAD</t>
        </is>
      </c>
      <c r="G13580" t="n">
        <v>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6246-2024</t>
        </is>
      </c>
      <c r="B13581" s="1" t="n">
        <v>45337</v>
      </c>
      <c r="C13581" s="1" t="n">
        <v>45810</v>
      </c>
      <c r="D13581" t="inlineStr">
        <is>
          <t>VÄRMLANDS LÄN</t>
        </is>
      </c>
      <c r="E13581" t="inlineStr">
        <is>
          <t>KRISTINEHAMN</t>
        </is>
      </c>
      <c r="G13581" t="n">
        <v>14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6254-2024</t>
        </is>
      </c>
      <c r="B13582" s="1" t="n">
        <v>45337</v>
      </c>
      <c r="C13582" s="1" t="n">
        <v>45810</v>
      </c>
      <c r="D13582" t="inlineStr">
        <is>
          <t>VÄRMLANDS LÄN</t>
        </is>
      </c>
      <c r="E13582" t="inlineStr">
        <is>
          <t>SÄFFLE</t>
        </is>
      </c>
      <c r="G13582" t="n">
        <v>3.5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6162-2024</t>
        </is>
      </c>
      <c r="B13583" s="1" t="n">
        <v>45337</v>
      </c>
      <c r="C13583" s="1" t="n">
        <v>45810</v>
      </c>
      <c r="D13583" t="inlineStr">
        <is>
          <t>VÄRMLANDS LÄN</t>
        </is>
      </c>
      <c r="E13583" t="inlineStr">
        <is>
          <t>STORFORS</t>
        </is>
      </c>
      <c r="F13583" t="inlineStr">
        <is>
          <t>Naturvårdsverket</t>
        </is>
      </c>
      <c r="G13583" t="n">
        <v>15.7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6118-2024</t>
        </is>
      </c>
      <c r="B13584" s="1" t="n">
        <v>45337</v>
      </c>
      <c r="C13584" s="1" t="n">
        <v>45810</v>
      </c>
      <c r="D13584" t="inlineStr">
        <is>
          <t>VÄRMLANDS LÄN</t>
        </is>
      </c>
      <c r="E13584" t="inlineStr">
        <is>
          <t>FORSHAGA</t>
        </is>
      </c>
      <c r="G13584" t="n">
        <v>4.4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6318-2024</t>
        </is>
      </c>
      <c r="B13585" s="1" t="n">
        <v>45338</v>
      </c>
      <c r="C13585" s="1" t="n">
        <v>45810</v>
      </c>
      <c r="D13585" t="inlineStr">
        <is>
          <t>VÄRMLANDS LÄN</t>
        </is>
      </c>
      <c r="E13585" t="inlineStr">
        <is>
          <t>EDA</t>
        </is>
      </c>
      <c r="G13585" t="n">
        <v>0.1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6317-2024</t>
        </is>
      </c>
      <c r="B13586" s="1" t="n">
        <v>45338</v>
      </c>
      <c r="C13586" s="1" t="n">
        <v>45810</v>
      </c>
      <c r="D13586" t="inlineStr">
        <is>
          <t>VÄRMLANDS LÄN</t>
        </is>
      </c>
      <c r="E13586" t="inlineStr">
        <is>
          <t>EDA</t>
        </is>
      </c>
      <c r="G13586" t="n">
        <v>1.2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6321-2024</t>
        </is>
      </c>
      <c r="B13587" s="1" t="n">
        <v>45338</v>
      </c>
      <c r="C13587" s="1" t="n">
        <v>45810</v>
      </c>
      <c r="D13587" t="inlineStr">
        <is>
          <t>VÄRMLANDS LÄN</t>
        </is>
      </c>
      <c r="E13587" t="inlineStr">
        <is>
          <t>EDA</t>
        </is>
      </c>
      <c r="G13587" t="n">
        <v>0.1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6371-2024</t>
        </is>
      </c>
      <c r="B13588" s="1" t="n">
        <v>45338</v>
      </c>
      <c r="C13588" s="1" t="n">
        <v>45810</v>
      </c>
      <c r="D13588" t="inlineStr">
        <is>
          <t>VÄRMLANDS LÄN</t>
        </is>
      </c>
      <c r="E13588" t="inlineStr">
        <is>
          <t>TORSBY</t>
        </is>
      </c>
      <c r="G13588" t="n">
        <v>2.6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6405-2024</t>
        </is>
      </c>
      <c r="B13589" s="1" t="n">
        <v>45338</v>
      </c>
      <c r="C13589" s="1" t="n">
        <v>45810</v>
      </c>
      <c r="D13589" t="inlineStr">
        <is>
          <t>VÄRMLANDS LÄN</t>
        </is>
      </c>
      <c r="E13589" t="inlineStr">
        <is>
          <t>ÅRJÄNG</t>
        </is>
      </c>
      <c r="G13589" t="n">
        <v>1.4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6320-2024</t>
        </is>
      </c>
      <c r="B13590" s="1" t="n">
        <v>45338</v>
      </c>
      <c r="C13590" s="1" t="n">
        <v>45810</v>
      </c>
      <c r="D13590" t="inlineStr">
        <is>
          <t>VÄRMLANDS LÄN</t>
        </is>
      </c>
      <c r="E13590" t="inlineStr">
        <is>
          <t>EDA</t>
        </is>
      </c>
      <c r="G13590" t="n">
        <v>0.5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6354-2024</t>
        </is>
      </c>
      <c r="B13591" s="1" t="n">
        <v>45338</v>
      </c>
      <c r="C13591" s="1" t="n">
        <v>45810</v>
      </c>
      <c r="D13591" t="inlineStr">
        <is>
          <t>VÄRMLANDS LÄN</t>
        </is>
      </c>
      <c r="E13591" t="inlineStr">
        <is>
          <t>ÅRJÄNG</t>
        </is>
      </c>
      <c r="F13591" t="inlineStr">
        <is>
          <t>Bergvik skog väst AB</t>
        </is>
      </c>
      <c r="G13591" t="n">
        <v>0.5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6404-2024</t>
        </is>
      </c>
      <c r="B13592" s="1" t="n">
        <v>45338</v>
      </c>
      <c r="C13592" s="1" t="n">
        <v>45810</v>
      </c>
      <c r="D13592" t="inlineStr">
        <is>
          <t>VÄRMLANDS LÄN</t>
        </is>
      </c>
      <c r="E13592" t="inlineStr">
        <is>
          <t>HAGFORS</t>
        </is>
      </c>
      <c r="G13592" t="n">
        <v>2.6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6413-2024</t>
        </is>
      </c>
      <c r="B13593" s="1" t="n">
        <v>45338</v>
      </c>
      <c r="C13593" s="1" t="n">
        <v>45810</v>
      </c>
      <c r="D13593" t="inlineStr">
        <is>
          <t>VÄRMLANDS LÄN</t>
        </is>
      </c>
      <c r="E13593" t="inlineStr">
        <is>
          <t>ARVIKA</t>
        </is>
      </c>
      <c r="G13593" t="n">
        <v>7.3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6437-2024</t>
        </is>
      </c>
      <c r="B13594" s="1" t="n">
        <v>45338</v>
      </c>
      <c r="C13594" s="1" t="n">
        <v>45810</v>
      </c>
      <c r="D13594" t="inlineStr">
        <is>
          <t>VÄRMLANDS LÄN</t>
        </is>
      </c>
      <c r="E13594" t="inlineStr">
        <is>
          <t>HAGFORS</t>
        </is>
      </c>
      <c r="G13594" t="n">
        <v>0.5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6582-2024</t>
        </is>
      </c>
      <c r="B13595" s="1" t="n">
        <v>45341</v>
      </c>
      <c r="C13595" s="1" t="n">
        <v>45810</v>
      </c>
      <c r="D13595" t="inlineStr">
        <is>
          <t>VÄRMLANDS LÄN</t>
        </is>
      </c>
      <c r="E13595" t="inlineStr">
        <is>
          <t>EDA</t>
        </is>
      </c>
      <c r="G13595" t="n">
        <v>1.6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6602-2024</t>
        </is>
      </c>
      <c r="B13596" s="1" t="n">
        <v>45341</v>
      </c>
      <c r="C13596" s="1" t="n">
        <v>45810</v>
      </c>
      <c r="D13596" t="inlineStr">
        <is>
          <t>VÄRMLANDS LÄN</t>
        </is>
      </c>
      <c r="E13596" t="inlineStr">
        <is>
          <t>ARVIKA</t>
        </is>
      </c>
      <c r="G13596" t="n">
        <v>7.5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6636-2024</t>
        </is>
      </c>
      <c r="B13597" s="1" t="n">
        <v>45341</v>
      </c>
      <c r="C13597" s="1" t="n">
        <v>45810</v>
      </c>
      <c r="D13597" t="inlineStr">
        <is>
          <t>VÄRMLANDS LÄN</t>
        </is>
      </c>
      <c r="E13597" t="inlineStr">
        <is>
          <t>KRISTINEHAMN</t>
        </is>
      </c>
      <c r="G13597" t="n">
        <v>0.6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6640-2024</t>
        </is>
      </c>
      <c r="B13598" s="1" t="n">
        <v>45341</v>
      </c>
      <c r="C13598" s="1" t="n">
        <v>45810</v>
      </c>
      <c r="D13598" t="inlineStr">
        <is>
          <t>VÄRMLANDS LÄN</t>
        </is>
      </c>
      <c r="E13598" t="inlineStr">
        <is>
          <t>KRISTINEHAMN</t>
        </is>
      </c>
      <c r="G13598" t="n">
        <v>2.6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6644-2024</t>
        </is>
      </c>
      <c r="B13599" s="1" t="n">
        <v>45341</v>
      </c>
      <c r="C13599" s="1" t="n">
        <v>45810</v>
      </c>
      <c r="D13599" t="inlineStr">
        <is>
          <t>VÄRMLANDS LÄN</t>
        </is>
      </c>
      <c r="E13599" t="inlineStr">
        <is>
          <t>KRISTINEHAMN</t>
        </is>
      </c>
      <c r="G13599" t="n">
        <v>4.2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6648-2024</t>
        </is>
      </c>
      <c r="B13600" s="1" t="n">
        <v>45341</v>
      </c>
      <c r="C13600" s="1" t="n">
        <v>45810</v>
      </c>
      <c r="D13600" t="inlineStr">
        <is>
          <t>VÄRMLANDS LÄN</t>
        </is>
      </c>
      <c r="E13600" t="inlineStr">
        <is>
          <t>TORSBY</t>
        </is>
      </c>
      <c r="G13600" t="n">
        <v>3.9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6614-2024</t>
        </is>
      </c>
      <c r="B13601" s="1" t="n">
        <v>45341</v>
      </c>
      <c r="C13601" s="1" t="n">
        <v>45810</v>
      </c>
      <c r="D13601" t="inlineStr">
        <is>
          <t>VÄRMLANDS LÄN</t>
        </is>
      </c>
      <c r="E13601" t="inlineStr">
        <is>
          <t>SÄFFLE</t>
        </is>
      </c>
      <c r="G13601" t="n">
        <v>5.3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6646-2024</t>
        </is>
      </c>
      <c r="B13602" s="1" t="n">
        <v>45341</v>
      </c>
      <c r="C13602" s="1" t="n">
        <v>45810</v>
      </c>
      <c r="D13602" t="inlineStr">
        <is>
          <t>VÄRMLANDS LÄN</t>
        </is>
      </c>
      <c r="E13602" t="inlineStr">
        <is>
          <t>TORSBY</t>
        </is>
      </c>
      <c r="G13602" t="n">
        <v>1.8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6641-2024</t>
        </is>
      </c>
      <c r="B13603" s="1" t="n">
        <v>45341</v>
      </c>
      <c r="C13603" s="1" t="n">
        <v>45810</v>
      </c>
      <c r="D13603" t="inlineStr">
        <is>
          <t>VÄRMLANDS LÄN</t>
        </is>
      </c>
      <c r="E13603" t="inlineStr">
        <is>
          <t>SUNNE</t>
        </is>
      </c>
      <c r="G13603" t="n">
        <v>0.6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6675-2024</t>
        </is>
      </c>
      <c r="B13604" s="1" t="n">
        <v>45341</v>
      </c>
      <c r="C13604" s="1" t="n">
        <v>45810</v>
      </c>
      <c r="D13604" t="inlineStr">
        <is>
          <t>VÄRMLANDS LÄN</t>
        </is>
      </c>
      <c r="E13604" t="inlineStr">
        <is>
          <t>TORSBY</t>
        </is>
      </c>
      <c r="G13604" t="n">
        <v>7.5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6828-2024</t>
        </is>
      </c>
      <c r="B13605" s="1" t="n">
        <v>45342</v>
      </c>
      <c r="C13605" s="1" t="n">
        <v>45810</v>
      </c>
      <c r="D13605" t="inlineStr">
        <is>
          <t>VÄRMLANDS LÄN</t>
        </is>
      </c>
      <c r="E13605" t="inlineStr">
        <is>
          <t>TORSBY</t>
        </is>
      </c>
      <c r="G13605" t="n">
        <v>1.2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6732-2024</t>
        </is>
      </c>
      <c r="B13606" s="1" t="n">
        <v>45342</v>
      </c>
      <c r="C13606" s="1" t="n">
        <v>45810</v>
      </c>
      <c r="D13606" t="inlineStr">
        <is>
          <t>VÄRMLANDS LÄN</t>
        </is>
      </c>
      <c r="E13606" t="inlineStr">
        <is>
          <t>GRUMS</t>
        </is>
      </c>
      <c r="G13606" t="n">
        <v>1.9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6741-2024</t>
        </is>
      </c>
      <c r="B13607" s="1" t="n">
        <v>45342</v>
      </c>
      <c r="C13607" s="1" t="n">
        <v>45810</v>
      </c>
      <c r="D13607" t="inlineStr">
        <is>
          <t>VÄRMLANDS LÄN</t>
        </is>
      </c>
      <c r="E13607" t="inlineStr">
        <is>
          <t>SÄFFLE</t>
        </is>
      </c>
      <c r="G13607" t="n">
        <v>7.7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6829-2024</t>
        </is>
      </c>
      <c r="B13608" s="1" t="n">
        <v>45342</v>
      </c>
      <c r="C13608" s="1" t="n">
        <v>45810</v>
      </c>
      <c r="D13608" t="inlineStr">
        <is>
          <t>VÄRMLANDS LÄN</t>
        </is>
      </c>
      <c r="E13608" t="inlineStr">
        <is>
          <t>SÄFFLE</t>
        </is>
      </c>
      <c r="G13608" t="n">
        <v>0.8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6860-2024</t>
        </is>
      </c>
      <c r="B13609" s="1" t="n">
        <v>45342</v>
      </c>
      <c r="C13609" s="1" t="n">
        <v>45810</v>
      </c>
      <c r="D13609" t="inlineStr">
        <is>
          <t>VÄRMLANDS LÄN</t>
        </is>
      </c>
      <c r="E13609" t="inlineStr">
        <is>
          <t>FILIPSTAD</t>
        </is>
      </c>
      <c r="G13609" t="n">
        <v>1.3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6868-2024</t>
        </is>
      </c>
      <c r="B13610" s="1" t="n">
        <v>45342</v>
      </c>
      <c r="C13610" s="1" t="n">
        <v>45810</v>
      </c>
      <c r="D13610" t="inlineStr">
        <is>
          <t>VÄRMLANDS LÄN</t>
        </is>
      </c>
      <c r="E13610" t="inlineStr">
        <is>
          <t>ARVIKA</t>
        </is>
      </c>
      <c r="G13610" t="n">
        <v>3.6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6910-2024</t>
        </is>
      </c>
      <c r="B13611" s="1" t="n">
        <v>45343</v>
      </c>
      <c r="C13611" s="1" t="n">
        <v>45810</v>
      </c>
      <c r="D13611" t="inlineStr">
        <is>
          <t>VÄRMLANDS LÄN</t>
        </is>
      </c>
      <c r="E13611" t="inlineStr">
        <is>
          <t>HAGFORS</t>
        </is>
      </c>
      <c r="G13611" t="n">
        <v>3.4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6926-2024</t>
        </is>
      </c>
      <c r="B13612" s="1" t="n">
        <v>45343</v>
      </c>
      <c r="C13612" s="1" t="n">
        <v>45810</v>
      </c>
      <c r="D13612" t="inlineStr">
        <is>
          <t>VÄRMLANDS LÄN</t>
        </is>
      </c>
      <c r="E13612" t="inlineStr">
        <is>
          <t>SUNNE</t>
        </is>
      </c>
      <c r="G13612" t="n">
        <v>7.4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6935-2024</t>
        </is>
      </c>
      <c r="B13613" s="1" t="n">
        <v>45343</v>
      </c>
      <c r="C13613" s="1" t="n">
        <v>45810</v>
      </c>
      <c r="D13613" t="inlineStr">
        <is>
          <t>VÄRMLANDS LÄN</t>
        </is>
      </c>
      <c r="E13613" t="inlineStr">
        <is>
          <t>EDA</t>
        </is>
      </c>
      <c r="G13613" t="n">
        <v>2.1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6943-2024</t>
        </is>
      </c>
      <c r="B13614" s="1" t="n">
        <v>45343</v>
      </c>
      <c r="C13614" s="1" t="n">
        <v>45810</v>
      </c>
      <c r="D13614" t="inlineStr">
        <is>
          <t>VÄRMLANDS LÄN</t>
        </is>
      </c>
      <c r="E13614" t="inlineStr">
        <is>
          <t>TORSBY</t>
        </is>
      </c>
      <c r="G13614" t="n">
        <v>0.8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6956-2024</t>
        </is>
      </c>
      <c r="B13615" s="1" t="n">
        <v>45343</v>
      </c>
      <c r="C13615" s="1" t="n">
        <v>45810</v>
      </c>
      <c r="D13615" t="inlineStr">
        <is>
          <t>VÄRMLANDS LÄN</t>
        </is>
      </c>
      <c r="E13615" t="inlineStr">
        <is>
          <t>ARVIKA</t>
        </is>
      </c>
      <c r="G13615" t="n">
        <v>1.8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6916-2024</t>
        </is>
      </c>
      <c r="B13616" s="1" t="n">
        <v>45343</v>
      </c>
      <c r="C13616" s="1" t="n">
        <v>45810</v>
      </c>
      <c r="D13616" t="inlineStr">
        <is>
          <t>VÄRMLANDS LÄN</t>
        </is>
      </c>
      <c r="E13616" t="inlineStr">
        <is>
          <t>ARVIKA</t>
        </is>
      </c>
      <c r="G13616" t="n">
        <v>2.3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6984-2024</t>
        </is>
      </c>
      <c r="B13617" s="1" t="n">
        <v>45343</v>
      </c>
      <c r="C13617" s="1" t="n">
        <v>45810</v>
      </c>
      <c r="D13617" t="inlineStr">
        <is>
          <t>VÄRMLANDS LÄN</t>
        </is>
      </c>
      <c r="E13617" t="inlineStr">
        <is>
          <t>EDA</t>
        </is>
      </c>
      <c r="G13617" t="n">
        <v>1.6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7053-2024</t>
        </is>
      </c>
      <c r="B13618" s="1" t="n">
        <v>45343</v>
      </c>
      <c r="C13618" s="1" t="n">
        <v>45810</v>
      </c>
      <c r="D13618" t="inlineStr">
        <is>
          <t>VÄRMLANDS LÄN</t>
        </is>
      </c>
      <c r="E13618" t="inlineStr">
        <is>
          <t>ARVIKA</t>
        </is>
      </c>
      <c r="F13618" t="inlineStr">
        <is>
          <t>Bergvik skog väst AB</t>
        </is>
      </c>
      <c r="G13618" t="n">
        <v>2.3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7002-2024</t>
        </is>
      </c>
      <c r="B13619" s="1" t="n">
        <v>45343</v>
      </c>
      <c r="C13619" s="1" t="n">
        <v>45810</v>
      </c>
      <c r="D13619" t="inlineStr">
        <is>
          <t>VÄRMLANDS LÄN</t>
        </is>
      </c>
      <c r="E13619" t="inlineStr">
        <is>
          <t>KRISTINEHAMN</t>
        </is>
      </c>
      <c r="F13619" t="inlineStr">
        <is>
          <t>Kommuner</t>
        </is>
      </c>
      <c r="G13619" t="n">
        <v>1.9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6938-2024</t>
        </is>
      </c>
      <c r="B13620" s="1" t="n">
        <v>45343</v>
      </c>
      <c r="C13620" s="1" t="n">
        <v>45810</v>
      </c>
      <c r="D13620" t="inlineStr">
        <is>
          <t>VÄRMLANDS LÄN</t>
        </is>
      </c>
      <c r="E13620" t="inlineStr">
        <is>
          <t>GRUMS</t>
        </is>
      </c>
      <c r="G13620" t="n">
        <v>2.8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6942-2024</t>
        </is>
      </c>
      <c r="B13621" s="1" t="n">
        <v>45343</v>
      </c>
      <c r="C13621" s="1" t="n">
        <v>45810</v>
      </c>
      <c r="D13621" t="inlineStr">
        <is>
          <t>VÄRMLANDS LÄN</t>
        </is>
      </c>
      <c r="E13621" t="inlineStr">
        <is>
          <t>TORSBY</t>
        </is>
      </c>
      <c r="G13621" t="n">
        <v>0.8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6946-2024</t>
        </is>
      </c>
      <c r="B13622" s="1" t="n">
        <v>45343</v>
      </c>
      <c r="C13622" s="1" t="n">
        <v>45810</v>
      </c>
      <c r="D13622" t="inlineStr">
        <is>
          <t>VÄRMLANDS LÄN</t>
        </is>
      </c>
      <c r="E13622" t="inlineStr">
        <is>
          <t>KARLSTAD</t>
        </is>
      </c>
      <c r="G13622" t="n">
        <v>5.9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6959-2024</t>
        </is>
      </c>
      <c r="B13623" s="1" t="n">
        <v>45343</v>
      </c>
      <c r="C13623" s="1" t="n">
        <v>45810</v>
      </c>
      <c r="D13623" t="inlineStr">
        <is>
          <t>VÄRMLANDS LÄN</t>
        </is>
      </c>
      <c r="E13623" t="inlineStr">
        <is>
          <t>SÄFFLE</t>
        </is>
      </c>
      <c r="G13623" t="n">
        <v>3.8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6975-2024</t>
        </is>
      </c>
      <c r="B13624" s="1" t="n">
        <v>45343</v>
      </c>
      <c r="C13624" s="1" t="n">
        <v>45810</v>
      </c>
      <c r="D13624" t="inlineStr">
        <is>
          <t>VÄRMLANDS LÄN</t>
        </is>
      </c>
      <c r="E13624" t="inlineStr">
        <is>
          <t>SUNNE</t>
        </is>
      </c>
      <c r="G13624" t="n">
        <v>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6999-2024</t>
        </is>
      </c>
      <c r="B13625" s="1" t="n">
        <v>45343</v>
      </c>
      <c r="C13625" s="1" t="n">
        <v>45810</v>
      </c>
      <c r="D13625" t="inlineStr">
        <is>
          <t>VÄRMLANDS LÄN</t>
        </is>
      </c>
      <c r="E13625" t="inlineStr">
        <is>
          <t>SUNNE</t>
        </is>
      </c>
      <c r="G13625" t="n">
        <v>11.3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7036-2024</t>
        </is>
      </c>
      <c r="B13626" s="1" t="n">
        <v>45343</v>
      </c>
      <c r="C13626" s="1" t="n">
        <v>45810</v>
      </c>
      <c r="D13626" t="inlineStr">
        <is>
          <t>VÄRMLANDS LÄN</t>
        </is>
      </c>
      <c r="E13626" t="inlineStr">
        <is>
          <t>SUNNE</t>
        </is>
      </c>
      <c r="G13626" t="n">
        <v>10.4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7071-2024</t>
        </is>
      </c>
      <c r="B13627" s="1" t="n">
        <v>45343</v>
      </c>
      <c r="C13627" s="1" t="n">
        <v>45810</v>
      </c>
      <c r="D13627" t="inlineStr">
        <is>
          <t>VÄRMLANDS LÄN</t>
        </is>
      </c>
      <c r="E13627" t="inlineStr">
        <is>
          <t>FILIPSTAD</t>
        </is>
      </c>
      <c r="G13627" t="n">
        <v>1.9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7057-2024</t>
        </is>
      </c>
      <c r="B13628" s="1" t="n">
        <v>45343</v>
      </c>
      <c r="C13628" s="1" t="n">
        <v>45810</v>
      </c>
      <c r="D13628" t="inlineStr">
        <is>
          <t>VÄRMLANDS LÄN</t>
        </is>
      </c>
      <c r="E13628" t="inlineStr">
        <is>
          <t>SUNNE</t>
        </is>
      </c>
      <c r="G13628" t="n">
        <v>0.8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7100-2024</t>
        </is>
      </c>
      <c r="B13629" s="1" t="n">
        <v>45343</v>
      </c>
      <c r="C13629" s="1" t="n">
        <v>45810</v>
      </c>
      <c r="D13629" t="inlineStr">
        <is>
          <t>VÄRMLANDS LÄN</t>
        </is>
      </c>
      <c r="E13629" t="inlineStr">
        <is>
          <t>ÅRJÄNG</t>
        </is>
      </c>
      <c r="G13629" t="n">
        <v>6.5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7098-2024</t>
        </is>
      </c>
      <c r="B13630" s="1" t="n">
        <v>45343</v>
      </c>
      <c r="C13630" s="1" t="n">
        <v>45810</v>
      </c>
      <c r="D13630" t="inlineStr">
        <is>
          <t>VÄRMLANDS LÄN</t>
        </is>
      </c>
      <c r="E13630" t="inlineStr">
        <is>
          <t>ÅRJÄNG</t>
        </is>
      </c>
      <c r="G13630" t="n">
        <v>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7165-2024</t>
        </is>
      </c>
      <c r="B13631" s="1" t="n">
        <v>45344</v>
      </c>
      <c r="C13631" s="1" t="n">
        <v>45810</v>
      </c>
      <c r="D13631" t="inlineStr">
        <is>
          <t>VÄRMLANDS LÄN</t>
        </is>
      </c>
      <c r="E13631" t="inlineStr">
        <is>
          <t>SUNNE</t>
        </is>
      </c>
      <c r="G13631" t="n">
        <v>2.2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7193-2024</t>
        </is>
      </c>
      <c r="B13632" s="1" t="n">
        <v>45344</v>
      </c>
      <c r="C13632" s="1" t="n">
        <v>45810</v>
      </c>
      <c r="D13632" t="inlineStr">
        <is>
          <t>VÄRMLANDS LÄN</t>
        </is>
      </c>
      <c r="E13632" t="inlineStr">
        <is>
          <t>ÅRJÄNG</t>
        </is>
      </c>
      <c r="G13632" t="n">
        <v>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7221-2024</t>
        </is>
      </c>
      <c r="B13633" s="1" t="n">
        <v>45344</v>
      </c>
      <c r="C13633" s="1" t="n">
        <v>45810</v>
      </c>
      <c r="D13633" t="inlineStr">
        <is>
          <t>VÄRMLANDS LÄN</t>
        </is>
      </c>
      <c r="E13633" t="inlineStr">
        <is>
          <t>TORSBY</t>
        </is>
      </c>
      <c r="G13633" t="n">
        <v>8.1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7139-2024</t>
        </is>
      </c>
      <c r="B13634" s="1" t="n">
        <v>45344</v>
      </c>
      <c r="C13634" s="1" t="n">
        <v>45810</v>
      </c>
      <c r="D13634" t="inlineStr">
        <is>
          <t>VÄRMLANDS LÄN</t>
        </is>
      </c>
      <c r="E13634" t="inlineStr">
        <is>
          <t>ARVIKA</t>
        </is>
      </c>
      <c r="F13634" t="inlineStr">
        <is>
          <t>Bergvik skog väst AB</t>
        </is>
      </c>
      <c r="G13634" t="n">
        <v>1.9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7182-2024</t>
        </is>
      </c>
      <c r="B13635" s="1" t="n">
        <v>45344</v>
      </c>
      <c r="C13635" s="1" t="n">
        <v>45810</v>
      </c>
      <c r="D13635" t="inlineStr">
        <is>
          <t>VÄRMLANDS LÄN</t>
        </is>
      </c>
      <c r="E13635" t="inlineStr">
        <is>
          <t>ÅRJÄNG</t>
        </is>
      </c>
      <c r="G13635" t="n">
        <v>1.3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7167-2024</t>
        </is>
      </c>
      <c r="B13636" s="1" t="n">
        <v>45344</v>
      </c>
      <c r="C13636" s="1" t="n">
        <v>45810</v>
      </c>
      <c r="D13636" t="inlineStr">
        <is>
          <t>VÄRMLANDS LÄN</t>
        </is>
      </c>
      <c r="E13636" t="inlineStr">
        <is>
          <t>SUNNE</t>
        </is>
      </c>
      <c r="G13636" t="n">
        <v>1.3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7171-2024</t>
        </is>
      </c>
      <c r="B13637" s="1" t="n">
        <v>45344</v>
      </c>
      <c r="C13637" s="1" t="n">
        <v>45810</v>
      </c>
      <c r="D13637" t="inlineStr">
        <is>
          <t>VÄRMLANDS LÄN</t>
        </is>
      </c>
      <c r="E13637" t="inlineStr">
        <is>
          <t>HAGFORS</t>
        </is>
      </c>
      <c r="G13637" t="n">
        <v>0.7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7198-2024</t>
        </is>
      </c>
      <c r="B13638" s="1" t="n">
        <v>45344</v>
      </c>
      <c r="C13638" s="1" t="n">
        <v>45810</v>
      </c>
      <c r="D13638" t="inlineStr">
        <is>
          <t>VÄRMLANDS LÄN</t>
        </is>
      </c>
      <c r="E13638" t="inlineStr">
        <is>
          <t>ARVIKA</t>
        </is>
      </c>
      <c r="G13638" t="n">
        <v>0.9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7206-2024</t>
        </is>
      </c>
      <c r="B13639" s="1" t="n">
        <v>45344</v>
      </c>
      <c r="C13639" s="1" t="n">
        <v>45810</v>
      </c>
      <c r="D13639" t="inlineStr">
        <is>
          <t>VÄRMLANDS LÄN</t>
        </is>
      </c>
      <c r="E13639" t="inlineStr">
        <is>
          <t>ÅRJÄNG</t>
        </is>
      </c>
      <c r="G13639" t="n">
        <v>0.9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7223-2024</t>
        </is>
      </c>
      <c r="B13640" s="1" t="n">
        <v>45344</v>
      </c>
      <c r="C13640" s="1" t="n">
        <v>45810</v>
      </c>
      <c r="D13640" t="inlineStr">
        <is>
          <t>VÄRMLANDS LÄN</t>
        </is>
      </c>
      <c r="E13640" t="inlineStr">
        <is>
          <t>FILIPSTAD</t>
        </is>
      </c>
      <c r="G13640" t="n">
        <v>5.6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7227-2024</t>
        </is>
      </c>
      <c r="B13641" s="1" t="n">
        <v>45344</v>
      </c>
      <c r="C13641" s="1" t="n">
        <v>45810</v>
      </c>
      <c r="D13641" t="inlineStr">
        <is>
          <t>VÄRMLANDS LÄN</t>
        </is>
      </c>
      <c r="E13641" t="inlineStr">
        <is>
          <t>KRISTINEHAMN</t>
        </is>
      </c>
      <c r="G13641" t="n">
        <v>2.5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7222-2024</t>
        </is>
      </c>
      <c r="B13642" s="1" t="n">
        <v>45344</v>
      </c>
      <c r="C13642" s="1" t="n">
        <v>45810</v>
      </c>
      <c r="D13642" t="inlineStr">
        <is>
          <t>VÄRMLANDS LÄN</t>
        </is>
      </c>
      <c r="E13642" t="inlineStr">
        <is>
          <t>KRISTINEHAMN</t>
        </is>
      </c>
      <c r="F13642" t="inlineStr">
        <is>
          <t>Naturvårdsverket</t>
        </is>
      </c>
      <c r="G13642" t="n">
        <v>0.7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7230-2024</t>
        </is>
      </c>
      <c r="B13643" s="1" t="n">
        <v>45344</v>
      </c>
      <c r="C13643" s="1" t="n">
        <v>45810</v>
      </c>
      <c r="D13643" t="inlineStr">
        <is>
          <t>VÄRMLANDS LÄN</t>
        </is>
      </c>
      <c r="E13643" t="inlineStr">
        <is>
          <t>KRISTINEHAMN</t>
        </is>
      </c>
      <c r="G13643" t="n">
        <v>0.6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7164-2024</t>
        </is>
      </c>
      <c r="B13644" s="1" t="n">
        <v>45344</v>
      </c>
      <c r="C13644" s="1" t="n">
        <v>45810</v>
      </c>
      <c r="D13644" t="inlineStr">
        <is>
          <t>VÄRMLANDS LÄN</t>
        </is>
      </c>
      <c r="E13644" t="inlineStr">
        <is>
          <t>SUNNE</t>
        </is>
      </c>
      <c r="G13644" t="n">
        <v>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7168-2024</t>
        </is>
      </c>
      <c r="B13645" s="1" t="n">
        <v>45344</v>
      </c>
      <c r="C13645" s="1" t="n">
        <v>45810</v>
      </c>
      <c r="D13645" t="inlineStr">
        <is>
          <t>VÄRMLANDS LÄN</t>
        </is>
      </c>
      <c r="E13645" t="inlineStr">
        <is>
          <t>SUNNE</t>
        </is>
      </c>
      <c r="G13645" t="n">
        <v>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7184-2024</t>
        </is>
      </c>
      <c r="B13646" s="1" t="n">
        <v>45344</v>
      </c>
      <c r="C13646" s="1" t="n">
        <v>45810</v>
      </c>
      <c r="D13646" t="inlineStr">
        <is>
          <t>VÄRMLANDS LÄN</t>
        </is>
      </c>
      <c r="E13646" t="inlineStr">
        <is>
          <t>ÅRJÄNG</t>
        </is>
      </c>
      <c r="G13646" t="n">
        <v>1.3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7196-2024</t>
        </is>
      </c>
      <c r="B13647" s="1" t="n">
        <v>45344</v>
      </c>
      <c r="C13647" s="1" t="n">
        <v>45810</v>
      </c>
      <c r="D13647" t="inlineStr">
        <is>
          <t>VÄRMLANDS LÄN</t>
        </is>
      </c>
      <c r="E13647" t="inlineStr">
        <is>
          <t>ARVIKA</t>
        </is>
      </c>
      <c r="G13647" t="n">
        <v>0.9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7315-2024</t>
        </is>
      </c>
      <c r="B13648" s="1" t="n">
        <v>45345</v>
      </c>
      <c r="C13648" s="1" t="n">
        <v>45810</v>
      </c>
      <c r="D13648" t="inlineStr">
        <is>
          <t>VÄRMLANDS LÄN</t>
        </is>
      </c>
      <c r="E13648" t="inlineStr">
        <is>
          <t>SUNNE</t>
        </is>
      </c>
      <c r="G13648" t="n">
        <v>0.8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7443-2024</t>
        </is>
      </c>
      <c r="B13649" s="1" t="n">
        <v>45345</v>
      </c>
      <c r="C13649" s="1" t="n">
        <v>45810</v>
      </c>
      <c r="D13649" t="inlineStr">
        <is>
          <t>VÄRMLANDS LÄN</t>
        </is>
      </c>
      <c r="E13649" t="inlineStr">
        <is>
          <t>ÅRJÄNG</t>
        </is>
      </c>
      <c r="G13649" t="n">
        <v>1.5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7445-2024</t>
        </is>
      </c>
      <c r="B13650" s="1" t="n">
        <v>45345</v>
      </c>
      <c r="C13650" s="1" t="n">
        <v>45810</v>
      </c>
      <c r="D13650" t="inlineStr">
        <is>
          <t>VÄRMLANDS LÄN</t>
        </is>
      </c>
      <c r="E13650" t="inlineStr">
        <is>
          <t>ÅRJÄNG</t>
        </is>
      </c>
      <c r="G13650" t="n">
        <v>0.5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7339-2024</t>
        </is>
      </c>
      <c r="B13651" s="1" t="n">
        <v>45345</v>
      </c>
      <c r="C13651" s="1" t="n">
        <v>45810</v>
      </c>
      <c r="D13651" t="inlineStr">
        <is>
          <t>VÄRMLANDS LÄN</t>
        </is>
      </c>
      <c r="E13651" t="inlineStr">
        <is>
          <t>SUNNE</t>
        </is>
      </c>
      <c r="G13651" t="n">
        <v>1.4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7444-2024</t>
        </is>
      </c>
      <c r="B13652" s="1" t="n">
        <v>45345</v>
      </c>
      <c r="C13652" s="1" t="n">
        <v>45810</v>
      </c>
      <c r="D13652" t="inlineStr">
        <is>
          <t>VÄRMLANDS LÄN</t>
        </is>
      </c>
      <c r="E13652" t="inlineStr">
        <is>
          <t>ÅRJÄNG</t>
        </is>
      </c>
      <c r="G13652" t="n">
        <v>0.6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7401-2024</t>
        </is>
      </c>
      <c r="B13653" s="1" t="n">
        <v>45345</v>
      </c>
      <c r="C13653" s="1" t="n">
        <v>45810</v>
      </c>
      <c r="D13653" t="inlineStr">
        <is>
          <t>VÄRMLANDS LÄN</t>
        </is>
      </c>
      <c r="E13653" t="inlineStr">
        <is>
          <t>ÅRJÄNG</t>
        </is>
      </c>
      <c r="G13653" t="n">
        <v>2.1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7490-2024</t>
        </is>
      </c>
      <c r="B13654" s="1" t="n">
        <v>45346</v>
      </c>
      <c r="C13654" s="1" t="n">
        <v>45810</v>
      </c>
      <c r="D13654" t="inlineStr">
        <is>
          <t>VÄRMLANDS LÄN</t>
        </is>
      </c>
      <c r="E13654" t="inlineStr">
        <is>
          <t>TORSBY</t>
        </is>
      </c>
      <c r="G13654" t="n">
        <v>1.5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7494-2024</t>
        </is>
      </c>
      <c r="B13655" s="1" t="n">
        <v>45346</v>
      </c>
      <c r="C13655" s="1" t="n">
        <v>45810</v>
      </c>
      <c r="D13655" t="inlineStr">
        <is>
          <t>VÄRMLANDS LÄN</t>
        </is>
      </c>
      <c r="E13655" t="inlineStr">
        <is>
          <t>TORSBY</t>
        </is>
      </c>
      <c r="G13655" t="n">
        <v>1.3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7487-2024</t>
        </is>
      </c>
      <c r="B13656" s="1" t="n">
        <v>45346</v>
      </c>
      <c r="C13656" s="1" t="n">
        <v>45810</v>
      </c>
      <c r="D13656" t="inlineStr">
        <is>
          <t>VÄRMLANDS LÄN</t>
        </is>
      </c>
      <c r="E13656" t="inlineStr">
        <is>
          <t>TORSBY</t>
        </is>
      </c>
      <c r="G13656" t="n">
        <v>6.2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7491-2024</t>
        </is>
      </c>
      <c r="B13657" s="1" t="n">
        <v>45346</v>
      </c>
      <c r="C13657" s="1" t="n">
        <v>45810</v>
      </c>
      <c r="D13657" t="inlineStr">
        <is>
          <t>VÄRMLANDS LÄN</t>
        </is>
      </c>
      <c r="E13657" t="inlineStr">
        <is>
          <t>TORSBY</t>
        </is>
      </c>
      <c r="G13657" t="n">
        <v>1.5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7495-2024</t>
        </is>
      </c>
      <c r="B13658" s="1" t="n">
        <v>45346</v>
      </c>
      <c r="C13658" s="1" t="n">
        <v>45810</v>
      </c>
      <c r="D13658" t="inlineStr">
        <is>
          <t>VÄRMLANDS LÄN</t>
        </is>
      </c>
      <c r="E13658" t="inlineStr">
        <is>
          <t>SUNNE</t>
        </is>
      </c>
      <c r="G13658" t="n">
        <v>1.1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7489-2024</t>
        </is>
      </c>
      <c r="B13659" s="1" t="n">
        <v>45346</v>
      </c>
      <c r="C13659" s="1" t="n">
        <v>45810</v>
      </c>
      <c r="D13659" t="inlineStr">
        <is>
          <t>VÄRMLANDS LÄN</t>
        </is>
      </c>
      <c r="E13659" t="inlineStr">
        <is>
          <t>TORSBY</t>
        </is>
      </c>
      <c r="G13659" t="n">
        <v>13.2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7493-2024</t>
        </is>
      </c>
      <c r="B13660" s="1" t="n">
        <v>45346</v>
      </c>
      <c r="C13660" s="1" t="n">
        <v>45810</v>
      </c>
      <c r="D13660" t="inlineStr">
        <is>
          <t>VÄRMLANDS LÄN</t>
        </is>
      </c>
      <c r="E13660" t="inlineStr">
        <is>
          <t>TORSBY</t>
        </is>
      </c>
      <c r="G13660" t="n">
        <v>2.4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7488-2024</t>
        </is>
      </c>
      <c r="B13661" s="1" t="n">
        <v>45346</v>
      </c>
      <c r="C13661" s="1" t="n">
        <v>45810</v>
      </c>
      <c r="D13661" t="inlineStr">
        <is>
          <t>VÄRMLANDS LÄN</t>
        </is>
      </c>
      <c r="E13661" t="inlineStr">
        <is>
          <t>TORSBY</t>
        </is>
      </c>
      <c r="G13661" t="n">
        <v>9.4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7496-2024</t>
        </is>
      </c>
      <c r="B13662" s="1" t="n">
        <v>45346</v>
      </c>
      <c r="C13662" s="1" t="n">
        <v>45810</v>
      </c>
      <c r="D13662" t="inlineStr">
        <is>
          <t>VÄRMLANDS LÄN</t>
        </is>
      </c>
      <c r="E13662" t="inlineStr">
        <is>
          <t>SUNNE</t>
        </is>
      </c>
      <c r="G13662" t="n">
        <v>0.4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7500-2024</t>
        </is>
      </c>
      <c r="B13663" s="1" t="n">
        <v>45347</v>
      </c>
      <c r="C13663" s="1" t="n">
        <v>45810</v>
      </c>
      <c r="D13663" t="inlineStr">
        <is>
          <t>VÄRMLANDS LÄN</t>
        </is>
      </c>
      <c r="E13663" t="inlineStr">
        <is>
          <t>TORSBY</t>
        </is>
      </c>
      <c r="G13663" t="n">
        <v>1.2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7577-2024</t>
        </is>
      </c>
      <c r="B13664" s="1" t="n">
        <v>45348</v>
      </c>
      <c r="C13664" s="1" t="n">
        <v>45810</v>
      </c>
      <c r="D13664" t="inlineStr">
        <is>
          <t>VÄRMLANDS LÄN</t>
        </is>
      </c>
      <c r="E13664" t="inlineStr">
        <is>
          <t>ARVIKA</t>
        </is>
      </c>
      <c r="G13664" t="n">
        <v>0.7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7651-2024</t>
        </is>
      </c>
      <c r="B13665" s="1" t="n">
        <v>45348</v>
      </c>
      <c r="C13665" s="1" t="n">
        <v>45810</v>
      </c>
      <c r="D13665" t="inlineStr">
        <is>
          <t>VÄRMLANDS LÄN</t>
        </is>
      </c>
      <c r="E13665" t="inlineStr">
        <is>
          <t>TORSBY</t>
        </is>
      </c>
      <c r="G13665" t="n">
        <v>9.199999999999999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7523-2024</t>
        </is>
      </c>
      <c r="B13666" s="1" t="n">
        <v>45348</v>
      </c>
      <c r="C13666" s="1" t="n">
        <v>45810</v>
      </c>
      <c r="D13666" t="inlineStr">
        <is>
          <t>VÄRMLANDS LÄN</t>
        </is>
      </c>
      <c r="E13666" t="inlineStr">
        <is>
          <t>SUNNE</t>
        </is>
      </c>
      <c r="G13666" t="n">
        <v>1.1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7583-2024</t>
        </is>
      </c>
      <c r="B13667" s="1" t="n">
        <v>45348</v>
      </c>
      <c r="C13667" s="1" t="n">
        <v>45810</v>
      </c>
      <c r="D13667" t="inlineStr">
        <is>
          <t>VÄRMLANDS LÄN</t>
        </is>
      </c>
      <c r="E13667" t="inlineStr">
        <is>
          <t>ARVIKA</t>
        </is>
      </c>
      <c r="G13667" t="n">
        <v>0.5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7607-2024</t>
        </is>
      </c>
      <c r="B13668" s="1" t="n">
        <v>45348</v>
      </c>
      <c r="C13668" s="1" t="n">
        <v>45810</v>
      </c>
      <c r="D13668" t="inlineStr">
        <is>
          <t>VÄRMLANDS LÄN</t>
        </is>
      </c>
      <c r="E13668" t="inlineStr">
        <is>
          <t>ARVIKA</t>
        </is>
      </c>
      <c r="G13668" t="n">
        <v>2.6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7574-2024</t>
        </is>
      </c>
      <c r="B13669" s="1" t="n">
        <v>45348</v>
      </c>
      <c r="C13669" s="1" t="n">
        <v>45810</v>
      </c>
      <c r="D13669" t="inlineStr">
        <is>
          <t>VÄRMLANDS LÄN</t>
        </is>
      </c>
      <c r="E13669" t="inlineStr">
        <is>
          <t>ÅRJÄNG</t>
        </is>
      </c>
      <c r="G13669" t="n">
        <v>4.6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7636-2024</t>
        </is>
      </c>
      <c r="B13670" s="1" t="n">
        <v>45348</v>
      </c>
      <c r="C13670" s="1" t="n">
        <v>45810</v>
      </c>
      <c r="D13670" t="inlineStr">
        <is>
          <t>VÄRMLANDS LÄN</t>
        </is>
      </c>
      <c r="E13670" t="inlineStr">
        <is>
          <t>TORSBY</t>
        </is>
      </c>
      <c r="G13670" t="n">
        <v>5.1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7602-2024</t>
        </is>
      </c>
      <c r="B13671" s="1" t="n">
        <v>45348</v>
      </c>
      <c r="C13671" s="1" t="n">
        <v>45810</v>
      </c>
      <c r="D13671" t="inlineStr">
        <is>
          <t>VÄRMLANDS LÄN</t>
        </is>
      </c>
      <c r="E13671" t="inlineStr">
        <is>
          <t>SÄFFLE</t>
        </is>
      </c>
      <c r="G13671" t="n">
        <v>4.9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7676-2024</t>
        </is>
      </c>
      <c r="B13672" s="1" t="n">
        <v>45348</v>
      </c>
      <c r="C13672" s="1" t="n">
        <v>45810</v>
      </c>
      <c r="D13672" t="inlineStr">
        <is>
          <t>VÄRMLANDS LÄN</t>
        </is>
      </c>
      <c r="E13672" t="inlineStr">
        <is>
          <t>TORSBY</t>
        </is>
      </c>
      <c r="G13672" t="n">
        <v>6.7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7637-2024</t>
        </is>
      </c>
      <c r="B13673" s="1" t="n">
        <v>45348</v>
      </c>
      <c r="C13673" s="1" t="n">
        <v>45810</v>
      </c>
      <c r="D13673" t="inlineStr">
        <is>
          <t>VÄRMLANDS LÄN</t>
        </is>
      </c>
      <c r="E13673" t="inlineStr">
        <is>
          <t>HAGFORS</t>
        </is>
      </c>
      <c r="G13673" t="n">
        <v>1.3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7677-2024</t>
        </is>
      </c>
      <c r="B13674" s="1" t="n">
        <v>45348</v>
      </c>
      <c r="C13674" s="1" t="n">
        <v>45810</v>
      </c>
      <c r="D13674" t="inlineStr">
        <is>
          <t>VÄRMLANDS LÄN</t>
        </is>
      </c>
      <c r="E13674" t="inlineStr">
        <is>
          <t>TORSBY</t>
        </is>
      </c>
      <c r="G13674" t="n">
        <v>4.5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7712-2024</t>
        </is>
      </c>
      <c r="B13675" s="1" t="n">
        <v>45349</v>
      </c>
      <c r="C13675" s="1" t="n">
        <v>45810</v>
      </c>
      <c r="D13675" t="inlineStr">
        <is>
          <t>VÄRMLANDS LÄN</t>
        </is>
      </c>
      <c r="E13675" t="inlineStr">
        <is>
          <t>SUNNE</t>
        </is>
      </c>
      <c r="G13675" t="n">
        <v>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7714-2024</t>
        </is>
      </c>
      <c r="B13676" s="1" t="n">
        <v>45349</v>
      </c>
      <c r="C13676" s="1" t="n">
        <v>45810</v>
      </c>
      <c r="D13676" t="inlineStr">
        <is>
          <t>VÄRMLANDS LÄN</t>
        </is>
      </c>
      <c r="E13676" t="inlineStr">
        <is>
          <t>SUNNE</t>
        </is>
      </c>
      <c r="G13676" t="n">
        <v>0.8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7757-2024</t>
        </is>
      </c>
      <c r="B13677" s="1" t="n">
        <v>45349</v>
      </c>
      <c r="C13677" s="1" t="n">
        <v>45810</v>
      </c>
      <c r="D13677" t="inlineStr">
        <is>
          <t>VÄRMLANDS LÄN</t>
        </is>
      </c>
      <c r="E13677" t="inlineStr">
        <is>
          <t>TORSBY</t>
        </is>
      </c>
      <c r="G13677" t="n">
        <v>0.9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7816-2024</t>
        </is>
      </c>
      <c r="B13678" s="1" t="n">
        <v>45349</v>
      </c>
      <c r="C13678" s="1" t="n">
        <v>45810</v>
      </c>
      <c r="D13678" t="inlineStr">
        <is>
          <t>VÄRMLANDS LÄN</t>
        </is>
      </c>
      <c r="E13678" t="inlineStr">
        <is>
          <t>HAGFORS</t>
        </is>
      </c>
      <c r="F13678" t="inlineStr">
        <is>
          <t>Bergvik skog väst AB</t>
        </is>
      </c>
      <c r="G13678" t="n">
        <v>2.8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8161-2024</t>
        </is>
      </c>
      <c r="B13679" s="1" t="n">
        <v>45349</v>
      </c>
      <c r="C13679" s="1" t="n">
        <v>45810</v>
      </c>
      <c r="D13679" t="inlineStr">
        <is>
          <t>VÄRMLANDS LÄN</t>
        </is>
      </c>
      <c r="E13679" t="inlineStr">
        <is>
          <t>ÅRJÄNG</t>
        </is>
      </c>
      <c r="G13679" t="n">
        <v>0.9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7822-2024</t>
        </is>
      </c>
      <c r="B13680" s="1" t="n">
        <v>45349</v>
      </c>
      <c r="C13680" s="1" t="n">
        <v>45810</v>
      </c>
      <c r="D13680" t="inlineStr">
        <is>
          <t>VÄRMLANDS LÄN</t>
        </is>
      </c>
      <c r="E13680" t="inlineStr">
        <is>
          <t>KIL</t>
        </is>
      </c>
      <c r="G13680" t="n">
        <v>1.7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7794-2024</t>
        </is>
      </c>
      <c r="B13681" s="1" t="n">
        <v>45349</v>
      </c>
      <c r="C13681" s="1" t="n">
        <v>45810</v>
      </c>
      <c r="D13681" t="inlineStr">
        <is>
          <t>VÄRMLANDS LÄN</t>
        </is>
      </c>
      <c r="E13681" t="inlineStr">
        <is>
          <t>ÅRJÄNG</t>
        </is>
      </c>
      <c r="G13681" t="n">
        <v>0.6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7986-2024</t>
        </is>
      </c>
      <c r="B13682" s="1" t="n">
        <v>45350</v>
      </c>
      <c r="C13682" s="1" t="n">
        <v>45810</v>
      </c>
      <c r="D13682" t="inlineStr">
        <is>
          <t>VÄRMLANDS LÄN</t>
        </is>
      </c>
      <c r="E13682" t="inlineStr">
        <is>
          <t>HAGFORS</t>
        </is>
      </c>
      <c r="G13682" t="n">
        <v>2.9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7993-2024</t>
        </is>
      </c>
      <c r="B13683" s="1" t="n">
        <v>45350</v>
      </c>
      <c r="C13683" s="1" t="n">
        <v>45810</v>
      </c>
      <c r="D13683" t="inlineStr">
        <is>
          <t>VÄRMLANDS LÄN</t>
        </is>
      </c>
      <c r="E13683" t="inlineStr">
        <is>
          <t>GRUMS</t>
        </is>
      </c>
      <c r="G13683" t="n">
        <v>2.1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7927-2024</t>
        </is>
      </c>
      <c r="B13684" s="1" t="n">
        <v>45350</v>
      </c>
      <c r="C13684" s="1" t="n">
        <v>45810</v>
      </c>
      <c r="D13684" t="inlineStr">
        <is>
          <t>VÄRMLANDS LÄN</t>
        </is>
      </c>
      <c r="E13684" t="inlineStr">
        <is>
          <t>TORSBY</t>
        </is>
      </c>
      <c r="G13684" t="n">
        <v>3.3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7948-2024</t>
        </is>
      </c>
      <c r="B13685" s="1" t="n">
        <v>45350</v>
      </c>
      <c r="C13685" s="1" t="n">
        <v>45810</v>
      </c>
      <c r="D13685" t="inlineStr">
        <is>
          <t>VÄRMLANDS LÄN</t>
        </is>
      </c>
      <c r="E13685" t="inlineStr">
        <is>
          <t>STORFORS</t>
        </is>
      </c>
      <c r="F13685" t="inlineStr">
        <is>
          <t>Naturvårdsverket</t>
        </is>
      </c>
      <c r="G13685" t="n">
        <v>1.2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7988-2024</t>
        </is>
      </c>
      <c r="B13686" s="1" t="n">
        <v>45350</v>
      </c>
      <c r="C13686" s="1" t="n">
        <v>45810</v>
      </c>
      <c r="D13686" t="inlineStr">
        <is>
          <t>VÄRMLANDS LÄN</t>
        </is>
      </c>
      <c r="E13686" t="inlineStr">
        <is>
          <t>HAGFORS</t>
        </is>
      </c>
      <c r="G13686" t="n">
        <v>0.7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8012-2024</t>
        </is>
      </c>
      <c r="B13687" s="1" t="n">
        <v>45350</v>
      </c>
      <c r="C13687" s="1" t="n">
        <v>45810</v>
      </c>
      <c r="D13687" t="inlineStr">
        <is>
          <t>VÄRMLANDS LÄN</t>
        </is>
      </c>
      <c r="E13687" t="inlineStr">
        <is>
          <t>TORSBY</t>
        </is>
      </c>
      <c r="G13687" t="n">
        <v>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7883-2024</t>
        </is>
      </c>
      <c r="B13688" s="1" t="n">
        <v>45350</v>
      </c>
      <c r="C13688" s="1" t="n">
        <v>45810</v>
      </c>
      <c r="D13688" t="inlineStr">
        <is>
          <t>VÄRMLANDS LÄN</t>
        </is>
      </c>
      <c r="E13688" t="inlineStr">
        <is>
          <t>SÄFFLE</t>
        </is>
      </c>
      <c r="G13688" t="n">
        <v>1.4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7982-2024</t>
        </is>
      </c>
      <c r="B13689" s="1" t="n">
        <v>45350</v>
      </c>
      <c r="C13689" s="1" t="n">
        <v>45810</v>
      </c>
      <c r="D13689" t="inlineStr">
        <is>
          <t>VÄRMLANDS LÄN</t>
        </is>
      </c>
      <c r="E13689" t="inlineStr">
        <is>
          <t>SUNNE</t>
        </is>
      </c>
      <c r="G13689" t="n">
        <v>2.5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7991-2024</t>
        </is>
      </c>
      <c r="B13690" s="1" t="n">
        <v>45350</v>
      </c>
      <c r="C13690" s="1" t="n">
        <v>45810</v>
      </c>
      <c r="D13690" t="inlineStr">
        <is>
          <t>VÄRMLANDS LÄN</t>
        </is>
      </c>
      <c r="E13690" t="inlineStr">
        <is>
          <t>GRUMS</t>
        </is>
      </c>
      <c r="G13690" t="n">
        <v>1.1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8007-2024</t>
        </is>
      </c>
      <c r="B13691" s="1" t="n">
        <v>45350</v>
      </c>
      <c r="C13691" s="1" t="n">
        <v>45810</v>
      </c>
      <c r="D13691" t="inlineStr">
        <is>
          <t>VÄRMLANDS LÄN</t>
        </is>
      </c>
      <c r="E13691" t="inlineStr">
        <is>
          <t>KARLSTAD</t>
        </is>
      </c>
      <c r="G13691" t="n">
        <v>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8120-2024</t>
        </is>
      </c>
      <c r="B13692" s="1" t="n">
        <v>45351</v>
      </c>
      <c r="C13692" s="1" t="n">
        <v>45810</v>
      </c>
      <c r="D13692" t="inlineStr">
        <is>
          <t>VÄRMLANDS LÄN</t>
        </is>
      </c>
      <c r="E13692" t="inlineStr">
        <is>
          <t>ÅRJÄNG</t>
        </is>
      </c>
      <c r="G13692" t="n">
        <v>2.7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8124-2024</t>
        </is>
      </c>
      <c r="B13693" s="1" t="n">
        <v>45351</v>
      </c>
      <c r="C13693" s="1" t="n">
        <v>45810</v>
      </c>
      <c r="D13693" t="inlineStr">
        <is>
          <t>VÄRMLANDS LÄN</t>
        </is>
      </c>
      <c r="E13693" t="inlineStr">
        <is>
          <t>EDA</t>
        </is>
      </c>
      <c r="G13693" t="n">
        <v>1.1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8146-2024</t>
        </is>
      </c>
      <c r="B13694" s="1" t="n">
        <v>45351</v>
      </c>
      <c r="C13694" s="1" t="n">
        <v>45810</v>
      </c>
      <c r="D13694" t="inlineStr">
        <is>
          <t>VÄRMLANDS LÄN</t>
        </is>
      </c>
      <c r="E13694" t="inlineStr">
        <is>
          <t>ÅRJÄNG</t>
        </is>
      </c>
      <c r="G13694" t="n">
        <v>1.7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8194-2024</t>
        </is>
      </c>
      <c r="B13695" s="1" t="n">
        <v>45351</v>
      </c>
      <c r="C13695" s="1" t="n">
        <v>45810</v>
      </c>
      <c r="D13695" t="inlineStr">
        <is>
          <t>VÄRMLANDS LÄN</t>
        </is>
      </c>
      <c r="E13695" t="inlineStr">
        <is>
          <t>SÄFFLE</t>
        </is>
      </c>
      <c r="G13695" t="n">
        <v>1.1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8219-2024</t>
        </is>
      </c>
      <c r="B13696" s="1" t="n">
        <v>45351</v>
      </c>
      <c r="C13696" s="1" t="n">
        <v>45810</v>
      </c>
      <c r="D13696" t="inlineStr">
        <is>
          <t>VÄRMLANDS LÄN</t>
        </is>
      </c>
      <c r="E13696" t="inlineStr">
        <is>
          <t>KRISTINEHAMN</t>
        </is>
      </c>
      <c r="G13696" t="n">
        <v>2.3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8129-2024</t>
        </is>
      </c>
      <c r="B13697" s="1" t="n">
        <v>45351</v>
      </c>
      <c r="C13697" s="1" t="n">
        <v>45810</v>
      </c>
      <c r="D13697" t="inlineStr">
        <is>
          <t>VÄRMLANDS LÄN</t>
        </is>
      </c>
      <c r="E13697" t="inlineStr">
        <is>
          <t>HAGFORS</t>
        </is>
      </c>
      <c r="F13697" t="inlineStr">
        <is>
          <t>Kyrkan</t>
        </is>
      </c>
      <c r="G13697" t="n">
        <v>10</v>
      </c>
      <c r="H13697" t="n">
        <v>0</v>
      </c>
      <c r="I13697" t="n">
        <v>0</v>
      </c>
      <c r="J13697" t="n">
        <v>0</v>
      </c>
      <c r="K13697" t="n">
        <v>0</v>
      </c>
      <c r="L13697" t="n">
        <v>0</v>
      </c>
      <c r="M13697" t="n">
        <v>0</v>
      </c>
      <c r="N13697" t="n">
        <v>0</v>
      </c>
      <c r="O13697" t="n">
        <v>0</v>
      </c>
      <c r="P13697" t="n">
        <v>0</v>
      </c>
      <c r="Q13697" t="n">
        <v>0</v>
      </c>
      <c r="R13697" s="2" t="inlineStr"/>
    </row>
    <row r="13698" ht="15" customHeight="1">
      <c r="A13698" t="inlineStr">
        <is>
          <t>A 8147-2024</t>
        </is>
      </c>
      <c r="B13698" s="1" t="n">
        <v>45351</v>
      </c>
      <c r="C13698" s="1" t="n">
        <v>45810</v>
      </c>
      <c r="D13698" t="inlineStr">
        <is>
          <t>VÄRMLANDS LÄN</t>
        </is>
      </c>
      <c r="E13698" t="inlineStr">
        <is>
          <t>ÅRJÄNG</t>
        </is>
      </c>
      <c r="G13698" t="n">
        <v>2.9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8165-2024</t>
        </is>
      </c>
      <c r="B13699" s="1" t="n">
        <v>45351</v>
      </c>
      <c r="C13699" s="1" t="n">
        <v>45810</v>
      </c>
      <c r="D13699" t="inlineStr">
        <is>
          <t>VÄRMLANDS LÄN</t>
        </is>
      </c>
      <c r="E13699" t="inlineStr">
        <is>
          <t>ARVIKA</t>
        </is>
      </c>
      <c r="G13699" t="n">
        <v>3.2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8173-2024</t>
        </is>
      </c>
      <c r="B13700" s="1" t="n">
        <v>45351</v>
      </c>
      <c r="C13700" s="1" t="n">
        <v>45810</v>
      </c>
      <c r="D13700" t="inlineStr">
        <is>
          <t>VÄRMLANDS LÄN</t>
        </is>
      </c>
      <c r="E13700" t="inlineStr">
        <is>
          <t>KARLSTAD</t>
        </is>
      </c>
      <c r="G13700" t="n">
        <v>0.7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8183-2024</t>
        </is>
      </c>
      <c r="B13701" s="1" t="n">
        <v>45351</v>
      </c>
      <c r="C13701" s="1" t="n">
        <v>45810</v>
      </c>
      <c r="D13701" t="inlineStr">
        <is>
          <t>VÄRMLANDS LÄN</t>
        </is>
      </c>
      <c r="E13701" t="inlineStr">
        <is>
          <t>SÄFFLE</t>
        </is>
      </c>
      <c r="G13701" t="n">
        <v>3.2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8218-2024</t>
        </is>
      </c>
      <c r="B13702" s="1" t="n">
        <v>45351</v>
      </c>
      <c r="C13702" s="1" t="n">
        <v>45810</v>
      </c>
      <c r="D13702" t="inlineStr">
        <is>
          <t>VÄRMLANDS LÄN</t>
        </is>
      </c>
      <c r="E13702" t="inlineStr">
        <is>
          <t>KRISTINEHAMN</t>
        </is>
      </c>
      <c r="G13702" t="n">
        <v>3.2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8118-2024</t>
        </is>
      </c>
      <c r="B13703" s="1" t="n">
        <v>45351</v>
      </c>
      <c r="C13703" s="1" t="n">
        <v>45810</v>
      </c>
      <c r="D13703" t="inlineStr">
        <is>
          <t>VÄRMLANDS LÄN</t>
        </is>
      </c>
      <c r="E13703" t="inlineStr">
        <is>
          <t>SUNNE</t>
        </is>
      </c>
      <c r="G13703" t="n">
        <v>1.5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8766-2024</t>
        </is>
      </c>
      <c r="B13704" s="1" t="n">
        <v>45352</v>
      </c>
      <c r="C13704" s="1" t="n">
        <v>45810</v>
      </c>
      <c r="D13704" t="inlineStr">
        <is>
          <t>VÄRMLANDS LÄN</t>
        </is>
      </c>
      <c r="E13704" t="inlineStr">
        <is>
          <t>SÄFFLE</t>
        </is>
      </c>
      <c r="G13704" t="n">
        <v>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8276-2024</t>
        </is>
      </c>
      <c r="B13705" s="1" t="n">
        <v>45352</v>
      </c>
      <c r="C13705" s="1" t="n">
        <v>45810</v>
      </c>
      <c r="D13705" t="inlineStr">
        <is>
          <t>VÄRMLANDS LÄN</t>
        </is>
      </c>
      <c r="E13705" t="inlineStr">
        <is>
          <t>SUNNE</t>
        </is>
      </c>
      <c r="G13705" t="n">
        <v>0.9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8956-2024</t>
        </is>
      </c>
      <c r="B13706" s="1" t="n">
        <v>45352</v>
      </c>
      <c r="C13706" s="1" t="n">
        <v>45810</v>
      </c>
      <c r="D13706" t="inlineStr">
        <is>
          <t>VÄRMLANDS LÄN</t>
        </is>
      </c>
      <c r="E13706" t="inlineStr">
        <is>
          <t>SÄFFLE</t>
        </is>
      </c>
      <c r="F13706" t="inlineStr">
        <is>
          <t>Bergvik skog väst AB</t>
        </is>
      </c>
      <c r="G13706" t="n">
        <v>2.5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8306-2024</t>
        </is>
      </c>
      <c r="B13707" s="1" t="n">
        <v>45352</v>
      </c>
      <c r="C13707" s="1" t="n">
        <v>45810</v>
      </c>
      <c r="D13707" t="inlineStr">
        <is>
          <t>VÄRMLANDS LÄN</t>
        </is>
      </c>
      <c r="E13707" t="inlineStr">
        <is>
          <t>GRUMS</t>
        </is>
      </c>
      <c r="G13707" t="n">
        <v>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8368-2024</t>
        </is>
      </c>
      <c r="B13708" s="1" t="n">
        <v>45352</v>
      </c>
      <c r="C13708" s="1" t="n">
        <v>45810</v>
      </c>
      <c r="D13708" t="inlineStr">
        <is>
          <t>VÄRMLANDS LÄN</t>
        </is>
      </c>
      <c r="E13708" t="inlineStr">
        <is>
          <t>SÄFFLE</t>
        </is>
      </c>
      <c r="G13708" t="n">
        <v>6.2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8377-2024</t>
        </is>
      </c>
      <c r="B13709" s="1" t="n">
        <v>45352</v>
      </c>
      <c r="C13709" s="1" t="n">
        <v>45810</v>
      </c>
      <c r="D13709" t="inlineStr">
        <is>
          <t>VÄRMLANDS LÄN</t>
        </is>
      </c>
      <c r="E13709" t="inlineStr">
        <is>
          <t>SÄFFLE</t>
        </is>
      </c>
      <c r="G13709" t="n">
        <v>4.5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8280-2024</t>
        </is>
      </c>
      <c r="B13710" s="1" t="n">
        <v>45352</v>
      </c>
      <c r="C13710" s="1" t="n">
        <v>45810</v>
      </c>
      <c r="D13710" t="inlineStr">
        <is>
          <t>VÄRMLANDS LÄN</t>
        </is>
      </c>
      <c r="E13710" t="inlineStr">
        <is>
          <t>SUNNE</t>
        </is>
      </c>
      <c r="G13710" t="n">
        <v>0.9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8288-2024</t>
        </is>
      </c>
      <c r="B13711" s="1" t="n">
        <v>45352</v>
      </c>
      <c r="C13711" s="1" t="n">
        <v>45810</v>
      </c>
      <c r="D13711" t="inlineStr">
        <is>
          <t>VÄRMLANDS LÄN</t>
        </is>
      </c>
      <c r="E13711" t="inlineStr">
        <is>
          <t>SÄFFLE</t>
        </is>
      </c>
      <c r="G13711" t="n">
        <v>0.8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8436-2024</t>
        </is>
      </c>
      <c r="B13712" s="1" t="n">
        <v>45353</v>
      </c>
      <c r="C13712" s="1" t="n">
        <v>45810</v>
      </c>
      <c r="D13712" t="inlineStr">
        <is>
          <t>VÄRMLANDS LÄN</t>
        </is>
      </c>
      <c r="E13712" t="inlineStr">
        <is>
          <t>SÄFFLE</t>
        </is>
      </c>
      <c r="G13712" t="n">
        <v>0.8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8446-2024</t>
        </is>
      </c>
      <c r="B13713" s="1" t="n">
        <v>45354</v>
      </c>
      <c r="C13713" s="1" t="n">
        <v>45810</v>
      </c>
      <c r="D13713" t="inlineStr">
        <is>
          <t>VÄRMLANDS LÄN</t>
        </is>
      </c>
      <c r="E13713" t="inlineStr">
        <is>
          <t>ÅRJÄNG</t>
        </is>
      </c>
      <c r="G13713" t="n">
        <v>4.2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8681-2024</t>
        </is>
      </c>
      <c r="B13714" s="1" t="n">
        <v>45354</v>
      </c>
      <c r="C13714" s="1" t="n">
        <v>45810</v>
      </c>
      <c r="D13714" t="inlineStr">
        <is>
          <t>VÄRMLANDS LÄN</t>
        </is>
      </c>
      <c r="E13714" t="inlineStr">
        <is>
          <t>ÅRJÄNG</t>
        </is>
      </c>
      <c r="F13714" t="inlineStr">
        <is>
          <t>Övriga Aktiebolag</t>
        </is>
      </c>
      <c r="G13714" t="n">
        <v>2.5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8453-2024</t>
        </is>
      </c>
      <c r="B13715" s="1" t="n">
        <v>45354</v>
      </c>
      <c r="C13715" s="1" t="n">
        <v>45810</v>
      </c>
      <c r="D13715" t="inlineStr">
        <is>
          <t>VÄRMLANDS LÄN</t>
        </is>
      </c>
      <c r="E13715" t="inlineStr">
        <is>
          <t>SUNNE</t>
        </is>
      </c>
      <c r="G13715" t="n">
        <v>1.1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8550-2024</t>
        </is>
      </c>
      <c r="B13716" s="1" t="n">
        <v>45355</v>
      </c>
      <c r="C13716" s="1" t="n">
        <v>45810</v>
      </c>
      <c r="D13716" t="inlineStr">
        <is>
          <t>VÄRMLANDS LÄN</t>
        </is>
      </c>
      <c r="E13716" t="inlineStr">
        <is>
          <t>SÄFFLE</t>
        </is>
      </c>
      <c r="G13716" t="n">
        <v>1.3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8581-2024</t>
        </is>
      </c>
      <c r="B13717" s="1" t="n">
        <v>45355</v>
      </c>
      <c r="C13717" s="1" t="n">
        <v>45810</v>
      </c>
      <c r="D13717" t="inlineStr">
        <is>
          <t>VÄRMLANDS LÄN</t>
        </is>
      </c>
      <c r="E13717" t="inlineStr">
        <is>
          <t>EDA</t>
        </is>
      </c>
      <c r="G13717" t="n">
        <v>1.2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8586-2024</t>
        </is>
      </c>
      <c r="B13718" s="1" t="n">
        <v>45355</v>
      </c>
      <c r="C13718" s="1" t="n">
        <v>45810</v>
      </c>
      <c r="D13718" t="inlineStr">
        <is>
          <t>VÄRMLANDS LÄN</t>
        </is>
      </c>
      <c r="E13718" t="inlineStr">
        <is>
          <t>EDA</t>
        </is>
      </c>
      <c r="G13718" t="n">
        <v>3.5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8602-2024</t>
        </is>
      </c>
      <c r="B13719" s="1" t="n">
        <v>45355</v>
      </c>
      <c r="C13719" s="1" t="n">
        <v>45810</v>
      </c>
      <c r="D13719" t="inlineStr">
        <is>
          <t>VÄRMLANDS LÄN</t>
        </is>
      </c>
      <c r="E13719" t="inlineStr">
        <is>
          <t>ÅRJÄNG</t>
        </is>
      </c>
      <c r="G13719" t="n">
        <v>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8469-2024</t>
        </is>
      </c>
      <c r="B13720" s="1" t="n">
        <v>45355</v>
      </c>
      <c r="C13720" s="1" t="n">
        <v>45810</v>
      </c>
      <c r="D13720" t="inlineStr">
        <is>
          <t>VÄRMLANDS LÄN</t>
        </is>
      </c>
      <c r="E13720" t="inlineStr">
        <is>
          <t>SÄFFLE</t>
        </is>
      </c>
      <c r="G13720" t="n">
        <v>2.2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8579-2024</t>
        </is>
      </c>
      <c r="B13721" s="1" t="n">
        <v>45355</v>
      </c>
      <c r="C13721" s="1" t="n">
        <v>45810</v>
      </c>
      <c r="D13721" t="inlineStr">
        <is>
          <t>VÄRMLANDS LÄN</t>
        </is>
      </c>
      <c r="E13721" t="inlineStr">
        <is>
          <t>ÅRJÄNG</t>
        </is>
      </c>
      <c r="G13721" t="n">
        <v>2.2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8589-2024</t>
        </is>
      </c>
      <c r="B13722" s="1" t="n">
        <v>45355</v>
      </c>
      <c r="C13722" s="1" t="n">
        <v>45810</v>
      </c>
      <c r="D13722" t="inlineStr">
        <is>
          <t>VÄRMLANDS LÄN</t>
        </is>
      </c>
      <c r="E13722" t="inlineStr">
        <is>
          <t>SÄFFLE</t>
        </is>
      </c>
      <c r="G13722" t="n">
        <v>3.1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8595-2024</t>
        </is>
      </c>
      <c r="B13723" s="1" t="n">
        <v>45355</v>
      </c>
      <c r="C13723" s="1" t="n">
        <v>45810</v>
      </c>
      <c r="D13723" t="inlineStr">
        <is>
          <t>VÄRMLANDS LÄN</t>
        </is>
      </c>
      <c r="E13723" t="inlineStr">
        <is>
          <t>ÅRJÄNG</t>
        </is>
      </c>
      <c r="G13723" t="n">
        <v>6.6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8513-2024</t>
        </is>
      </c>
      <c r="B13724" s="1" t="n">
        <v>45355</v>
      </c>
      <c r="C13724" s="1" t="n">
        <v>45810</v>
      </c>
      <c r="D13724" t="inlineStr">
        <is>
          <t>VÄRMLANDS LÄN</t>
        </is>
      </c>
      <c r="E13724" t="inlineStr">
        <is>
          <t>SUNNE</t>
        </is>
      </c>
      <c r="G13724" t="n">
        <v>1.1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8625-2024</t>
        </is>
      </c>
      <c r="B13725" s="1" t="n">
        <v>45355</v>
      </c>
      <c r="C13725" s="1" t="n">
        <v>45810</v>
      </c>
      <c r="D13725" t="inlineStr">
        <is>
          <t>VÄRMLANDS LÄN</t>
        </is>
      </c>
      <c r="E13725" t="inlineStr">
        <is>
          <t>TORSBY</t>
        </is>
      </c>
      <c r="G13725" t="n">
        <v>5.7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8564-2024</t>
        </is>
      </c>
      <c r="B13726" s="1" t="n">
        <v>45355</v>
      </c>
      <c r="C13726" s="1" t="n">
        <v>45810</v>
      </c>
      <c r="D13726" t="inlineStr">
        <is>
          <t>VÄRMLANDS LÄN</t>
        </is>
      </c>
      <c r="E13726" t="inlineStr">
        <is>
          <t>SUNNE</t>
        </is>
      </c>
      <c r="G13726" t="n">
        <v>1.7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8596-2024</t>
        </is>
      </c>
      <c r="B13727" s="1" t="n">
        <v>45355</v>
      </c>
      <c r="C13727" s="1" t="n">
        <v>45810</v>
      </c>
      <c r="D13727" t="inlineStr">
        <is>
          <t>VÄRMLANDS LÄN</t>
        </is>
      </c>
      <c r="E13727" t="inlineStr">
        <is>
          <t>ÅRJÄNG</t>
        </is>
      </c>
      <c r="G13727" t="n">
        <v>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8601-2024</t>
        </is>
      </c>
      <c r="B13728" s="1" t="n">
        <v>45355</v>
      </c>
      <c r="C13728" s="1" t="n">
        <v>45810</v>
      </c>
      <c r="D13728" t="inlineStr">
        <is>
          <t>VÄRMLANDS LÄN</t>
        </is>
      </c>
      <c r="E13728" t="inlineStr">
        <is>
          <t>ÅRJÄNG</t>
        </is>
      </c>
      <c r="G13728" t="n">
        <v>2.9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8613-2024</t>
        </is>
      </c>
      <c r="B13729" s="1" t="n">
        <v>45355</v>
      </c>
      <c r="C13729" s="1" t="n">
        <v>45810</v>
      </c>
      <c r="D13729" t="inlineStr">
        <is>
          <t>VÄRMLANDS LÄN</t>
        </is>
      </c>
      <c r="E13729" t="inlineStr">
        <is>
          <t>STORFORS</t>
        </is>
      </c>
      <c r="F13729" t="inlineStr">
        <is>
          <t>Kyrkan</t>
        </is>
      </c>
      <c r="G13729" t="n">
        <v>5.5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8531-2024</t>
        </is>
      </c>
      <c r="B13730" s="1" t="n">
        <v>45355</v>
      </c>
      <c r="C13730" s="1" t="n">
        <v>45810</v>
      </c>
      <c r="D13730" t="inlineStr">
        <is>
          <t>VÄRMLANDS LÄN</t>
        </is>
      </c>
      <c r="E13730" t="inlineStr">
        <is>
          <t>SUNNE</t>
        </is>
      </c>
      <c r="G13730" t="n">
        <v>0.9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8578-2024</t>
        </is>
      </c>
      <c r="B13731" s="1" t="n">
        <v>45355</v>
      </c>
      <c r="C13731" s="1" t="n">
        <v>45810</v>
      </c>
      <c r="D13731" t="inlineStr">
        <is>
          <t>VÄRMLANDS LÄN</t>
        </is>
      </c>
      <c r="E13731" t="inlineStr">
        <is>
          <t>ÅRJÄNG</t>
        </is>
      </c>
      <c r="G13731" t="n">
        <v>4.3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8598-2024</t>
        </is>
      </c>
      <c r="B13732" s="1" t="n">
        <v>45355</v>
      </c>
      <c r="C13732" s="1" t="n">
        <v>45810</v>
      </c>
      <c r="D13732" t="inlineStr">
        <is>
          <t>VÄRMLANDS LÄN</t>
        </is>
      </c>
      <c r="E13732" t="inlineStr">
        <is>
          <t>KRISTINEHAMN</t>
        </is>
      </c>
      <c r="F13732" t="inlineStr">
        <is>
          <t>Naturvårdsverket</t>
        </is>
      </c>
      <c r="G13732" t="n">
        <v>6.8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8712-2024</t>
        </is>
      </c>
      <c r="B13733" s="1" t="n">
        <v>45355</v>
      </c>
      <c r="C13733" s="1" t="n">
        <v>45810</v>
      </c>
      <c r="D13733" t="inlineStr">
        <is>
          <t>VÄRMLANDS LÄN</t>
        </is>
      </c>
      <c r="E13733" t="inlineStr">
        <is>
          <t>FILIPSTAD</t>
        </is>
      </c>
      <c r="G13733" t="n">
        <v>3.3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8952-2024</t>
        </is>
      </c>
      <c r="B13734" s="1" t="n">
        <v>45355</v>
      </c>
      <c r="C13734" s="1" t="n">
        <v>45810</v>
      </c>
      <c r="D13734" t="inlineStr">
        <is>
          <t>VÄRMLANDS LÄN</t>
        </is>
      </c>
      <c r="E13734" t="inlineStr">
        <is>
          <t>FORSHAGA</t>
        </is>
      </c>
      <c r="G13734" t="n">
        <v>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8728-2024</t>
        </is>
      </c>
      <c r="B13735" s="1" t="n">
        <v>45356</v>
      </c>
      <c r="C13735" s="1" t="n">
        <v>45810</v>
      </c>
      <c r="D13735" t="inlineStr">
        <is>
          <t>VÄRMLANDS LÄN</t>
        </is>
      </c>
      <c r="E13735" t="inlineStr">
        <is>
          <t>TORSBY</t>
        </is>
      </c>
      <c r="G13735" t="n">
        <v>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8771-2024</t>
        </is>
      </c>
      <c r="B13736" s="1" t="n">
        <v>45356</v>
      </c>
      <c r="C13736" s="1" t="n">
        <v>45810</v>
      </c>
      <c r="D13736" t="inlineStr">
        <is>
          <t>VÄRMLANDS LÄN</t>
        </is>
      </c>
      <c r="E13736" t="inlineStr">
        <is>
          <t>SÄFFLE</t>
        </is>
      </c>
      <c r="G13736" t="n">
        <v>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8783-2024</t>
        </is>
      </c>
      <c r="B13737" s="1" t="n">
        <v>45356</v>
      </c>
      <c r="C13737" s="1" t="n">
        <v>45810</v>
      </c>
      <c r="D13737" t="inlineStr">
        <is>
          <t>VÄRMLANDS LÄN</t>
        </is>
      </c>
      <c r="E13737" t="inlineStr">
        <is>
          <t>ARVIKA</t>
        </is>
      </c>
      <c r="F13737" t="inlineStr">
        <is>
          <t>Bergvik skog väst AB</t>
        </is>
      </c>
      <c r="G13737" t="n">
        <v>3.6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8804-2024</t>
        </is>
      </c>
      <c r="B13738" s="1" t="n">
        <v>45356</v>
      </c>
      <c r="C13738" s="1" t="n">
        <v>45810</v>
      </c>
      <c r="D13738" t="inlineStr">
        <is>
          <t>VÄRMLANDS LÄN</t>
        </is>
      </c>
      <c r="E13738" t="inlineStr">
        <is>
          <t>KARLSTAD</t>
        </is>
      </c>
      <c r="G13738" t="n">
        <v>12.5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8685-2024</t>
        </is>
      </c>
      <c r="B13739" s="1" t="n">
        <v>45356</v>
      </c>
      <c r="C13739" s="1" t="n">
        <v>45810</v>
      </c>
      <c r="D13739" t="inlineStr">
        <is>
          <t>VÄRMLANDS LÄN</t>
        </is>
      </c>
      <c r="E13739" t="inlineStr">
        <is>
          <t>ÅRJÄNG</t>
        </is>
      </c>
      <c r="G13739" t="n">
        <v>2.5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8720-2024</t>
        </is>
      </c>
      <c r="B13740" s="1" t="n">
        <v>45356</v>
      </c>
      <c r="C13740" s="1" t="n">
        <v>45810</v>
      </c>
      <c r="D13740" t="inlineStr">
        <is>
          <t>VÄRMLANDS LÄN</t>
        </is>
      </c>
      <c r="E13740" t="inlineStr">
        <is>
          <t>TORSBY</t>
        </is>
      </c>
      <c r="G13740" t="n">
        <v>0.9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8725-2024</t>
        </is>
      </c>
      <c r="B13741" s="1" t="n">
        <v>45356</v>
      </c>
      <c r="C13741" s="1" t="n">
        <v>45810</v>
      </c>
      <c r="D13741" t="inlineStr">
        <is>
          <t>VÄRMLANDS LÄN</t>
        </is>
      </c>
      <c r="E13741" t="inlineStr">
        <is>
          <t>TORSBY</t>
        </is>
      </c>
      <c r="G13741" t="n">
        <v>3.8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8737-2024</t>
        </is>
      </c>
      <c r="B13742" s="1" t="n">
        <v>45356</v>
      </c>
      <c r="C13742" s="1" t="n">
        <v>45810</v>
      </c>
      <c r="D13742" t="inlineStr">
        <is>
          <t>VÄRMLANDS LÄN</t>
        </is>
      </c>
      <c r="E13742" t="inlineStr">
        <is>
          <t>SÄFFLE</t>
        </is>
      </c>
      <c r="G13742" t="n">
        <v>7.1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8719-2024</t>
        </is>
      </c>
      <c r="B13743" s="1" t="n">
        <v>45356</v>
      </c>
      <c r="C13743" s="1" t="n">
        <v>45810</v>
      </c>
      <c r="D13743" t="inlineStr">
        <is>
          <t>VÄRMLANDS LÄN</t>
        </is>
      </c>
      <c r="E13743" t="inlineStr">
        <is>
          <t>TORSBY</t>
        </is>
      </c>
      <c r="G13743" t="n">
        <v>1.3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8788-2024</t>
        </is>
      </c>
      <c r="B13744" s="1" t="n">
        <v>45356</v>
      </c>
      <c r="C13744" s="1" t="n">
        <v>45810</v>
      </c>
      <c r="D13744" t="inlineStr">
        <is>
          <t>VÄRMLANDS LÄN</t>
        </is>
      </c>
      <c r="E13744" t="inlineStr">
        <is>
          <t>GRUMS</t>
        </is>
      </c>
      <c r="G13744" t="n">
        <v>0.9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8820-2024</t>
        </is>
      </c>
      <c r="B13745" s="1" t="n">
        <v>45356</v>
      </c>
      <c r="C13745" s="1" t="n">
        <v>45810</v>
      </c>
      <c r="D13745" t="inlineStr">
        <is>
          <t>VÄRMLANDS LÄN</t>
        </is>
      </c>
      <c r="E13745" t="inlineStr">
        <is>
          <t>HAGFORS</t>
        </is>
      </c>
      <c r="G13745" t="n">
        <v>4.4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8830-2024</t>
        </is>
      </c>
      <c r="B13746" s="1" t="n">
        <v>45356</v>
      </c>
      <c r="C13746" s="1" t="n">
        <v>45810</v>
      </c>
      <c r="D13746" t="inlineStr">
        <is>
          <t>VÄRMLANDS LÄN</t>
        </is>
      </c>
      <c r="E13746" t="inlineStr">
        <is>
          <t>HAGFORS</t>
        </is>
      </c>
      <c r="G13746" t="n">
        <v>1.8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8721-2024</t>
        </is>
      </c>
      <c r="B13747" s="1" t="n">
        <v>45356</v>
      </c>
      <c r="C13747" s="1" t="n">
        <v>45810</v>
      </c>
      <c r="D13747" t="inlineStr">
        <is>
          <t>VÄRMLANDS LÄN</t>
        </is>
      </c>
      <c r="E13747" t="inlineStr">
        <is>
          <t>SUNNE</t>
        </is>
      </c>
      <c r="G13747" t="n">
        <v>5.8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8746-2024</t>
        </is>
      </c>
      <c r="B13748" s="1" t="n">
        <v>45356</v>
      </c>
      <c r="C13748" s="1" t="n">
        <v>45810</v>
      </c>
      <c r="D13748" t="inlineStr">
        <is>
          <t>VÄRMLANDS LÄN</t>
        </is>
      </c>
      <c r="E13748" t="inlineStr">
        <is>
          <t>SÄFFLE</t>
        </is>
      </c>
      <c r="G13748" t="n">
        <v>9.300000000000001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8798-2024</t>
        </is>
      </c>
      <c r="B13749" s="1" t="n">
        <v>45356</v>
      </c>
      <c r="C13749" s="1" t="n">
        <v>45810</v>
      </c>
      <c r="D13749" t="inlineStr">
        <is>
          <t>VÄRMLANDS LÄN</t>
        </is>
      </c>
      <c r="E13749" t="inlineStr">
        <is>
          <t>KARLSTAD</t>
        </is>
      </c>
      <c r="G13749" t="n">
        <v>3.9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9015-2024</t>
        </is>
      </c>
      <c r="B13750" s="1" t="n">
        <v>45356</v>
      </c>
      <c r="C13750" s="1" t="n">
        <v>45810</v>
      </c>
      <c r="D13750" t="inlineStr">
        <is>
          <t>VÄRMLANDS LÄN</t>
        </is>
      </c>
      <c r="E13750" t="inlineStr">
        <is>
          <t>SÄFFLE</t>
        </is>
      </c>
      <c r="F13750" t="inlineStr">
        <is>
          <t>Bergvik skog väst AB</t>
        </is>
      </c>
      <c r="G13750" t="n">
        <v>1.4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8911-2024</t>
        </is>
      </c>
      <c r="B13751" s="1" t="n">
        <v>45357</v>
      </c>
      <c r="C13751" s="1" t="n">
        <v>45810</v>
      </c>
      <c r="D13751" t="inlineStr">
        <is>
          <t>VÄRMLANDS LÄN</t>
        </is>
      </c>
      <c r="E13751" t="inlineStr">
        <is>
          <t>SUNNE</t>
        </is>
      </c>
      <c r="G13751" t="n">
        <v>0.7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9036-2024</t>
        </is>
      </c>
      <c r="B13752" s="1" t="n">
        <v>45357</v>
      </c>
      <c r="C13752" s="1" t="n">
        <v>45810</v>
      </c>
      <c r="D13752" t="inlineStr">
        <is>
          <t>VÄRMLANDS LÄN</t>
        </is>
      </c>
      <c r="E13752" t="inlineStr">
        <is>
          <t>SUNNE</t>
        </is>
      </c>
      <c r="G13752" t="n">
        <v>2.2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9042-2024</t>
        </is>
      </c>
      <c r="B13753" s="1" t="n">
        <v>45357</v>
      </c>
      <c r="C13753" s="1" t="n">
        <v>45810</v>
      </c>
      <c r="D13753" t="inlineStr">
        <is>
          <t>VÄRMLANDS LÄN</t>
        </is>
      </c>
      <c r="E13753" t="inlineStr">
        <is>
          <t>SUNNE</t>
        </is>
      </c>
      <c r="G13753" t="n">
        <v>3.1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8929-2024</t>
        </is>
      </c>
      <c r="B13754" s="1" t="n">
        <v>45357</v>
      </c>
      <c r="C13754" s="1" t="n">
        <v>45810</v>
      </c>
      <c r="D13754" t="inlineStr">
        <is>
          <t>VÄRMLANDS LÄN</t>
        </is>
      </c>
      <c r="E13754" t="inlineStr">
        <is>
          <t>STORFORS</t>
        </is>
      </c>
      <c r="G13754" t="n">
        <v>2.6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9271-2024</t>
        </is>
      </c>
      <c r="B13755" s="1" t="n">
        <v>45357</v>
      </c>
      <c r="C13755" s="1" t="n">
        <v>45810</v>
      </c>
      <c r="D13755" t="inlineStr">
        <is>
          <t>VÄRMLANDS LÄN</t>
        </is>
      </c>
      <c r="E13755" t="inlineStr">
        <is>
          <t>KRISTINEHAMN</t>
        </is>
      </c>
      <c r="F13755" t="inlineStr">
        <is>
          <t>Kommuner</t>
        </is>
      </c>
      <c r="G13755" t="n">
        <v>2.9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9160-2024</t>
        </is>
      </c>
      <c r="B13756" s="1" t="n">
        <v>45358</v>
      </c>
      <c r="C13756" s="1" t="n">
        <v>45810</v>
      </c>
      <c r="D13756" t="inlineStr">
        <is>
          <t>VÄRMLANDS LÄN</t>
        </is>
      </c>
      <c r="E13756" t="inlineStr">
        <is>
          <t>EDA</t>
        </is>
      </c>
      <c r="G13756" t="n">
        <v>0.7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9252-2024</t>
        </is>
      </c>
      <c r="B13757" s="1" t="n">
        <v>45358</v>
      </c>
      <c r="C13757" s="1" t="n">
        <v>45810</v>
      </c>
      <c r="D13757" t="inlineStr">
        <is>
          <t>VÄRMLANDS LÄN</t>
        </is>
      </c>
      <c r="E13757" t="inlineStr">
        <is>
          <t>SÄFFLE</t>
        </is>
      </c>
      <c r="G13757" t="n">
        <v>1.6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9256-2024</t>
        </is>
      </c>
      <c r="B13758" s="1" t="n">
        <v>45358</v>
      </c>
      <c r="C13758" s="1" t="n">
        <v>45810</v>
      </c>
      <c r="D13758" t="inlineStr">
        <is>
          <t>VÄRMLANDS LÄN</t>
        </is>
      </c>
      <c r="E13758" t="inlineStr">
        <is>
          <t>SÄFFLE</t>
        </is>
      </c>
      <c r="G13758" t="n">
        <v>2.9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9261-2024</t>
        </is>
      </c>
      <c r="B13759" s="1" t="n">
        <v>45358</v>
      </c>
      <c r="C13759" s="1" t="n">
        <v>45810</v>
      </c>
      <c r="D13759" t="inlineStr">
        <is>
          <t>VÄRMLANDS LÄN</t>
        </is>
      </c>
      <c r="E13759" t="inlineStr">
        <is>
          <t>SÄFFLE</t>
        </is>
      </c>
      <c r="G13759" t="n">
        <v>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9240-2024</t>
        </is>
      </c>
      <c r="B13760" s="1" t="n">
        <v>45358</v>
      </c>
      <c r="C13760" s="1" t="n">
        <v>45810</v>
      </c>
      <c r="D13760" t="inlineStr">
        <is>
          <t>VÄRMLANDS LÄN</t>
        </is>
      </c>
      <c r="E13760" t="inlineStr">
        <is>
          <t>HAGFORS</t>
        </is>
      </c>
      <c r="F13760" t="inlineStr">
        <is>
          <t>Bergvik skog väst AB</t>
        </is>
      </c>
      <c r="G13760" t="n">
        <v>3.2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9203-2024</t>
        </is>
      </c>
      <c r="B13761" s="1" t="n">
        <v>45358</v>
      </c>
      <c r="C13761" s="1" t="n">
        <v>45810</v>
      </c>
      <c r="D13761" t="inlineStr">
        <is>
          <t>VÄRMLANDS LÄN</t>
        </is>
      </c>
      <c r="E13761" t="inlineStr">
        <is>
          <t>TORSBY</t>
        </is>
      </c>
      <c r="G13761" t="n">
        <v>5.7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9253-2024</t>
        </is>
      </c>
      <c r="B13762" s="1" t="n">
        <v>45358</v>
      </c>
      <c r="C13762" s="1" t="n">
        <v>45810</v>
      </c>
      <c r="D13762" t="inlineStr">
        <is>
          <t>VÄRMLANDS LÄN</t>
        </is>
      </c>
      <c r="E13762" t="inlineStr">
        <is>
          <t>SÄFFLE</t>
        </is>
      </c>
      <c r="G13762" t="n">
        <v>2.4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9250-2024</t>
        </is>
      </c>
      <c r="B13763" s="1" t="n">
        <v>45358</v>
      </c>
      <c r="C13763" s="1" t="n">
        <v>45810</v>
      </c>
      <c r="D13763" t="inlineStr">
        <is>
          <t>VÄRMLANDS LÄN</t>
        </is>
      </c>
      <c r="E13763" t="inlineStr">
        <is>
          <t>SÄFFLE</t>
        </is>
      </c>
      <c r="G13763" t="n">
        <v>2.1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9254-2024</t>
        </is>
      </c>
      <c r="B13764" s="1" t="n">
        <v>45358</v>
      </c>
      <c r="C13764" s="1" t="n">
        <v>45810</v>
      </c>
      <c r="D13764" t="inlineStr">
        <is>
          <t>VÄRMLANDS LÄN</t>
        </is>
      </c>
      <c r="E13764" t="inlineStr">
        <is>
          <t>SÄFFLE</t>
        </is>
      </c>
      <c r="G13764" t="n">
        <v>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9273-2024</t>
        </is>
      </c>
      <c r="B13765" s="1" t="n">
        <v>45358</v>
      </c>
      <c r="C13765" s="1" t="n">
        <v>45810</v>
      </c>
      <c r="D13765" t="inlineStr">
        <is>
          <t>VÄRMLANDS LÄN</t>
        </is>
      </c>
      <c r="E13765" t="inlineStr">
        <is>
          <t>ÅRJÄNG</t>
        </is>
      </c>
      <c r="G13765" t="n">
        <v>3.2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9282-2024</t>
        </is>
      </c>
      <c r="B13766" s="1" t="n">
        <v>45358</v>
      </c>
      <c r="C13766" s="1" t="n">
        <v>45810</v>
      </c>
      <c r="D13766" t="inlineStr">
        <is>
          <t>VÄRMLANDS LÄN</t>
        </is>
      </c>
      <c r="E13766" t="inlineStr">
        <is>
          <t>SÄFFLE</t>
        </is>
      </c>
      <c r="G13766" t="n">
        <v>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9280-2024</t>
        </is>
      </c>
      <c r="B13767" s="1" t="n">
        <v>45358</v>
      </c>
      <c r="C13767" s="1" t="n">
        <v>45810</v>
      </c>
      <c r="D13767" t="inlineStr">
        <is>
          <t>VÄRMLANDS LÄN</t>
        </is>
      </c>
      <c r="E13767" t="inlineStr">
        <is>
          <t>SÄFFLE</t>
        </is>
      </c>
      <c r="G13767" t="n">
        <v>0.8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9406-2024</t>
        </is>
      </c>
      <c r="B13768" s="1" t="n">
        <v>45358</v>
      </c>
      <c r="C13768" s="1" t="n">
        <v>45810</v>
      </c>
      <c r="D13768" t="inlineStr">
        <is>
          <t>VÄRMLANDS LÄN</t>
        </is>
      </c>
      <c r="E13768" t="inlineStr">
        <is>
          <t>SÄFFLE</t>
        </is>
      </c>
      <c r="G13768" t="n">
        <v>1.8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9144-2024</t>
        </is>
      </c>
      <c r="B13769" s="1" t="n">
        <v>45358</v>
      </c>
      <c r="C13769" s="1" t="n">
        <v>45810</v>
      </c>
      <c r="D13769" t="inlineStr">
        <is>
          <t>VÄRMLANDS LÄN</t>
        </is>
      </c>
      <c r="E13769" t="inlineStr">
        <is>
          <t>GRUMS</t>
        </is>
      </c>
      <c r="G13769" t="n">
        <v>0.8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9226-2024</t>
        </is>
      </c>
      <c r="B13770" s="1" t="n">
        <v>45358</v>
      </c>
      <c r="C13770" s="1" t="n">
        <v>45810</v>
      </c>
      <c r="D13770" t="inlineStr">
        <is>
          <t>VÄRMLANDS LÄN</t>
        </is>
      </c>
      <c r="E13770" t="inlineStr">
        <is>
          <t>EDA</t>
        </is>
      </c>
      <c r="G13770" t="n">
        <v>8.9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9402-2024</t>
        </is>
      </c>
      <c r="B13771" s="1" t="n">
        <v>45358</v>
      </c>
      <c r="C13771" s="1" t="n">
        <v>45810</v>
      </c>
      <c r="D13771" t="inlineStr">
        <is>
          <t>VÄRMLANDS LÄN</t>
        </is>
      </c>
      <c r="E13771" t="inlineStr">
        <is>
          <t>SÄFFLE</t>
        </is>
      </c>
      <c r="G13771" t="n">
        <v>1.5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9381-2024</t>
        </is>
      </c>
      <c r="B13772" s="1" t="n">
        <v>45359</v>
      </c>
      <c r="C13772" s="1" t="n">
        <v>45810</v>
      </c>
      <c r="D13772" t="inlineStr">
        <is>
          <t>VÄRMLANDS LÄN</t>
        </is>
      </c>
      <c r="E13772" t="inlineStr">
        <is>
          <t>TORSBY</t>
        </is>
      </c>
      <c r="G13772" t="n">
        <v>1.3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9397-2024</t>
        </is>
      </c>
      <c r="B13773" s="1" t="n">
        <v>45359</v>
      </c>
      <c r="C13773" s="1" t="n">
        <v>45810</v>
      </c>
      <c r="D13773" t="inlineStr">
        <is>
          <t>VÄRMLANDS LÄN</t>
        </is>
      </c>
      <c r="E13773" t="inlineStr">
        <is>
          <t>ÅRJÄNG</t>
        </is>
      </c>
      <c r="G13773" t="n">
        <v>3.7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9461-2024</t>
        </is>
      </c>
      <c r="B13774" s="1" t="n">
        <v>45359</v>
      </c>
      <c r="C13774" s="1" t="n">
        <v>45810</v>
      </c>
      <c r="D13774" t="inlineStr">
        <is>
          <t>VÄRMLANDS LÄN</t>
        </is>
      </c>
      <c r="E13774" t="inlineStr">
        <is>
          <t>SÄFFLE</t>
        </is>
      </c>
      <c r="F13774" t="inlineStr">
        <is>
          <t>Kommuner</t>
        </is>
      </c>
      <c r="G13774" t="n">
        <v>1.7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9429-2024</t>
        </is>
      </c>
      <c r="B13775" s="1" t="n">
        <v>45359</v>
      </c>
      <c r="C13775" s="1" t="n">
        <v>45810</v>
      </c>
      <c r="D13775" t="inlineStr">
        <is>
          <t>VÄRMLANDS LÄN</t>
        </is>
      </c>
      <c r="E13775" t="inlineStr">
        <is>
          <t>FORSHAGA</t>
        </is>
      </c>
      <c r="F13775" t="inlineStr">
        <is>
          <t>Bergvik skog väst AB</t>
        </is>
      </c>
      <c r="G13775" t="n">
        <v>4.4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9460-2024</t>
        </is>
      </c>
      <c r="B13776" s="1" t="n">
        <v>45359</v>
      </c>
      <c r="C13776" s="1" t="n">
        <v>45810</v>
      </c>
      <c r="D13776" t="inlineStr">
        <is>
          <t>VÄRMLANDS LÄN</t>
        </is>
      </c>
      <c r="E13776" t="inlineStr">
        <is>
          <t>KARLSTAD</t>
        </is>
      </c>
      <c r="G13776" t="n">
        <v>1.9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9459-2024</t>
        </is>
      </c>
      <c r="B13777" s="1" t="n">
        <v>45359</v>
      </c>
      <c r="C13777" s="1" t="n">
        <v>45810</v>
      </c>
      <c r="D13777" t="inlineStr">
        <is>
          <t>VÄRMLANDS LÄN</t>
        </is>
      </c>
      <c r="E13777" t="inlineStr">
        <is>
          <t>KARLSTAD</t>
        </is>
      </c>
      <c r="G13777" t="n">
        <v>11.5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9542-2024</t>
        </is>
      </c>
      <c r="B13778" s="1" t="n">
        <v>45359</v>
      </c>
      <c r="C13778" s="1" t="n">
        <v>45810</v>
      </c>
      <c r="D13778" t="inlineStr">
        <is>
          <t>VÄRMLANDS LÄN</t>
        </is>
      </c>
      <c r="E13778" t="inlineStr">
        <is>
          <t>SUNNE</t>
        </is>
      </c>
      <c r="G13778" t="n">
        <v>1.1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9483-2024</t>
        </is>
      </c>
      <c r="B13779" s="1" t="n">
        <v>45359</v>
      </c>
      <c r="C13779" s="1" t="n">
        <v>45810</v>
      </c>
      <c r="D13779" t="inlineStr">
        <is>
          <t>VÄRMLANDS LÄN</t>
        </is>
      </c>
      <c r="E13779" t="inlineStr">
        <is>
          <t>SÄFFLE</t>
        </is>
      </c>
      <c r="G13779" t="n">
        <v>4.9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9524-2024</t>
        </is>
      </c>
      <c r="B13780" s="1" t="n">
        <v>45359</v>
      </c>
      <c r="C13780" s="1" t="n">
        <v>45810</v>
      </c>
      <c r="D13780" t="inlineStr">
        <is>
          <t>VÄRMLANDS LÄN</t>
        </is>
      </c>
      <c r="E13780" t="inlineStr">
        <is>
          <t>FORSHAGA</t>
        </is>
      </c>
      <c r="F13780" t="inlineStr">
        <is>
          <t>Kommuner</t>
        </is>
      </c>
      <c r="G13780" t="n">
        <v>1.1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9525-2024</t>
        </is>
      </c>
      <c r="B13781" s="1" t="n">
        <v>45359</v>
      </c>
      <c r="C13781" s="1" t="n">
        <v>45810</v>
      </c>
      <c r="D13781" t="inlineStr">
        <is>
          <t>VÄRMLANDS LÄN</t>
        </is>
      </c>
      <c r="E13781" t="inlineStr">
        <is>
          <t>ARVIKA</t>
        </is>
      </c>
      <c r="G13781" t="n">
        <v>3.3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9537-2024</t>
        </is>
      </c>
      <c r="B13782" s="1" t="n">
        <v>45359</v>
      </c>
      <c r="C13782" s="1" t="n">
        <v>45810</v>
      </c>
      <c r="D13782" t="inlineStr">
        <is>
          <t>VÄRMLANDS LÄN</t>
        </is>
      </c>
      <c r="E13782" t="inlineStr">
        <is>
          <t>SUNNE</t>
        </is>
      </c>
      <c r="G13782" t="n">
        <v>1.1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9394-2024</t>
        </is>
      </c>
      <c r="B13783" s="1" t="n">
        <v>45359</v>
      </c>
      <c r="C13783" s="1" t="n">
        <v>45810</v>
      </c>
      <c r="D13783" t="inlineStr">
        <is>
          <t>VÄRMLANDS LÄN</t>
        </is>
      </c>
      <c r="E13783" t="inlineStr">
        <is>
          <t>KRISTINEHAMN</t>
        </is>
      </c>
      <c r="G13783" t="n">
        <v>0.9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9445-2024</t>
        </is>
      </c>
      <c r="B13784" s="1" t="n">
        <v>45359</v>
      </c>
      <c r="C13784" s="1" t="n">
        <v>45810</v>
      </c>
      <c r="D13784" t="inlineStr">
        <is>
          <t>VÄRMLANDS LÄN</t>
        </is>
      </c>
      <c r="E13784" t="inlineStr">
        <is>
          <t>SUNNE</t>
        </is>
      </c>
      <c r="G13784" t="n">
        <v>0.9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9499-2024</t>
        </is>
      </c>
      <c r="B13785" s="1" t="n">
        <v>45359</v>
      </c>
      <c r="C13785" s="1" t="n">
        <v>45810</v>
      </c>
      <c r="D13785" t="inlineStr">
        <is>
          <t>VÄRMLANDS LÄN</t>
        </is>
      </c>
      <c r="E13785" t="inlineStr">
        <is>
          <t>KARLSTAD</t>
        </is>
      </c>
      <c r="G13785" t="n">
        <v>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9503-2024</t>
        </is>
      </c>
      <c r="B13786" s="1" t="n">
        <v>45359</v>
      </c>
      <c r="C13786" s="1" t="n">
        <v>45810</v>
      </c>
      <c r="D13786" t="inlineStr">
        <is>
          <t>VÄRMLANDS LÄN</t>
        </is>
      </c>
      <c r="E13786" t="inlineStr">
        <is>
          <t>SUNNE</t>
        </is>
      </c>
      <c r="G13786" t="n">
        <v>0.6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9543-2024</t>
        </is>
      </c>
      <c r="B13787" s="1" t="n">
        <v>45359</v>
      </c>
      <c r="C13787" s="1" t="n">
        <v>45810</v>
      </c>
      <c r="D13787" t="inlineStr">
        <is>
          <t>VÄRMLANDS LÄN</t>
        </is>
      </c>
      <c r="E13787" t="inlineStr">
        <is>
          <t>SÄFFLE</t>
        </is>
      </c>
      <c r="G13787" t="n">
        <v>9.5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9547-2024</t>
        </is>
      </c>
      <c r="B13788" s="1" t="n">
        <v>45359</v>
      </c>
      <c r="C13788" s="1" t="n">
        <v>45810</v>
      </c>
      <c r="D13788" t="inlineStr">
        <is>
          <t>VÄRMLANDS LÄN</t>
        </is>
      </c>
      <c r="E13788" t="inlineStr">
        <is>
          <t>EDA</t>
        </is>
      </c>
      <c r="G13788" t="n">
        <v>4.5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9584-2024</t>
        </is>
      </c>
      <c r="B13789" s="1" t="n">
        <v>45360</v>
      </c>
      <c r="C13789" s="1" t="n">
        <v>45810</v>
      </c>
      <c r="D13789" t="inlineStr">
        <is>
          <t>VÄRMLANDS LÄN</t>
        </is>
      </c>
      <c r="E13789" t="inlineStr">
        <is>
          <t>ÅRJÄNG</t>
        </is>
      </c>
      <c r="G13789" t="n">
        <v>2.2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9574-2024</t>
        </is>
      </c>
      <c r="B13790" s="1" t="n">
        <v>45360</v>
      </c>
      <c r="C13790" s="1" t="n">
        <v>45810</v>
      </c>
      <c r="D13790" t="inlineStr">
        <is>
          <t>VÄRMLANDS LÄN</t>
        </is>
      </c>
      <c r="E13790" t="inlineStr">
        <is>
          <t>ARVIKA</t>
        </is>
      </c>
      <c r="G13790" t="n">
        <v>2.1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9606-2024</t>
        </is>
      </c>
      <c r="B13791" s="1" t="n">
        <v>45361</v>
      </c>
      <c r="C13791" s="1" t="n">
        <v>45810</v>
      </c>
      <c r="D13791" t="inlineStr">
        <is>
          <t>VÄRMLANDS LÄN</t>
        </is>
      </c>
      <c r="E13791" t="inlineStr">
        <is>
          <t>KRISTINEHAMN</t>
        </is>
      </c>
      <c r="G13791" t="n">
        <v>8.9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9612-2024</t>
        </is>
      </c>
      <c r="B13792" s="1" t="n">
        <v>45361</v>
      </c>
      <c r="C13792" s="1" t="n">
        <v>45810</v>
      </c>
      <c r="D13792" t="inlineStr">
        <is>
          <t>VÄRMLANDS LÄN</t>
        </is>
      </c>
      <c r="E13792" t="inlineStr">
        <is>
          <t>SÄFFLE</t>
        </is>
      </c>
      <c r="G13792" t="n">
        <v>1.7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9684-2024</t>
        </is>
      </c>
      <c r="B13793" s="1" t="n">
        <v>45362</v>
      </c>
      <c r="C13793" s="1" t="n">
        <v>45810</v>
      </c>
      <c r="D13793" t="inlineStr">
        <is>
          <t>VÄRMLANDS LÄN</t>
        </is>
      </c>
      <c r="E13793" t="inlineStr">
        <is>
          <t>ARVIKA</t>
        </is>
      </c>
      <c r="G13793" t="n">
        <v>6.4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9662-2024</t>
        </is>
      </c>
      <c r="B13794" s="1" t="n">
        <v>45362</v>
      </c>
      <c r="C13794" s="1" t="n">
        <v>45810</v>
      </c>
      <c r="D13794" t="inlineStr">
        <is>
          <t>VÄRMLANDS LÄN</t>
        </is>
      </c>
      <c r="E13794" t="inlineStr">
        <is>
          <t>ÅRJÄNG</t>
        </is>
      </c>
      <c r="G13794" t="n">
        <v>5.7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9666-2024</t>
        </is>
      </c>
      <c r="B13795" s="1" t="n">
        <v>45362</v>
      </c>
      <c r="C13795" s="1" t="n">
        <v>45810</v>
      </c>
      <c r="D13795" t="inlineStr">
        <is>
          <t>VÄRMLANDS LÄN</t>
        </is>
      </c>
      <c r="E13795" t="inlineStr">
        <is>
          <t>ÅRJÄNG</t>
        </is>
      </c>
      <c r="G13795" t="n">
        <v>1.3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9764-2024</t>
        </is>
      </c>
      <c r="B13796" s="1" t="n">
        <v>45362</v>
      </c>
      <c r="C13796" s="1" t="n">
        <v>45810</v>
      </c>
      <c r="D13796" t="inlineStr">
        <is>
          <t>VÄRMLANDS LÄN</t>
        </is>
      </c>
      <c r="E13796" t="inlineStr">
        <is>
          <t>TORSBY</t>
        </is>
      </c>
      <c r="G13796" t="n">
        <v>10.4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9713-2024</t>
        </is>
      </c>
      <c r="B13797" s="1" t="n">
        <v>45362</v>
      </c>
      <c r="C13797" s="1" t="n">
        <v>45810</v>
      </c>
      <c r="D13797" t="inlineStr">
        <is>
          <t>VÄRMLANDS LÄN</t>
        </is>
      </c>
      <c r="E13797" t="inlineStr">
        <is>
          <t>SUNNE</t>
        </is>
      </c>
      <c r="G13797" t="n">
        <v>2.4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9630-2024</t>
        </is>
      </c>
      <c r="B13798" s="1" t="n">
        <v>45362</v>
      </c>
      <c r="C13798" s="1" t="n">
        <v>45810</v>
      </c>
      <c r="D13798" t="inlineStr">
        <is>
          <t>VÄRMLANDS LÄN</t>
        </is>
      </c>
      <c r="E13798" t="inlineStr">
        <is>
          <t>ARVIKA</t>
        </is>
      </c>
      <c r="G13798" t="n">
        <v>3.2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9634-2024</t>
        </is>
      </c>
      <c r="B13799" s="1" t="n">
        <v>45362</v>
      </c>
      <c r="C13799" s="1" t="n">
        <v>45810</v>
      </c>
      <c r="D13799" t="inlineStr">
        <is>
          <t>VÄRMLANDS LÄN</t>
        </is>
      </c>
      <c r="E13799" t="inlineStr">
        <is>
          <t>SUNNE</t>
        </is>
      </c>
      <c r="G13799" t="n">
        <v>0.8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9691-2024</t>
        </is>
      </c>
      <c r="B13800" s="1" t="n">
        <v>45362</v>
      </c>
      <c r="C13800" s="1" t="n">
        <v>45810</v>
      </c>
      <c r="D13800" t="inlineStr">
        <is>
          <t>VÄRMLANDS LÄN</t>
        </is>
      </c>
      <c r="E13800" t="inlineStr">
        <is>
          <t>ARVIKA</t>
        </is>
      </c>
      <c r="F13800" t="inlineStr">
        <is>
          <t>Bergvik skog väst AB</t>
        </is>
      </c>
      <c r="G13800" t="n">
        <v>2.4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9749-2024</t>
        </is>
      </c>
      <c r="B13801" s="1" t="n">
        <v>45362</v>
      </c>
      <c r="C13801" s="1" t="n">
        <v>45810</v>
      </c>
      <c r="D13801" t="inlineStr">
        <is>
          <t>VÄRMLANDS LÄN</t>
        </is>
      </c>
      <c r="E13801" t="inlineStr">
        <is>
          <t>ÅRJÄNG</t>
        </is>
      </c>
      <c r="F13801" t="inlineStr">
        <is>
          <t>Kyrkan</t>
        </is>
      </c>
      <c r="G13801" t="n">
        <v>0.5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9799-2024</t>
        </is>
      </c>
      <c r="B13802" s="1" t="n">
        <v>45362</v>
      </c>
      <c r="C13802" s="1" t="n">
        <v>45810</v>
      </c>
      <c r="D13802" t="inlineStr">
        <is>
          <t>VÄRMLANDS LÄN</t>
        </is>
      </c>
      <c r="E13802" t="inlineStr">
        <is>
          <t>TORSBY</t>
        </is>
      </c>
      <c r="G13802" t="n">
        <v>0.9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9793-2024</t>
        </is>
      </c>
      <c r="B13803" s="1" t="n">
        <v>45362</v>
      </c>
      <c r="C13803" s="1" t="n">
        <v>45810</v>
      </c>
      <c r="D13803" t="inlineStr">
        <is>
          <t>VÄRMLANDS LÄN</t>
        </is>
      </c>
      <c r="E13803" t="inlineStr">
        <is>
          <t>TORSBY</t>
        </is>
      </c>
      <c r="G13803" t="n">
        <v>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9797-2024</t>
        </is>
      </c>
      <c r="B13804" s="1" t="n">
        <v>45362</v>
      </c>
      <c r="C13804" s="1" t="n">
        <v>45810</v>
      </c>
      <c r="D13804" t="inlineStr">
        <is>
          <t>VÄRMLANDS LÄN</t>
        </is>
      </c>
      <c r="E13804" t="inlineStr">
        <is>
          <t>TORSBY</t>
        </is>
      </c>
      <c r="G13804" t="n">
        <v>1.4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9902-2024</t>
        </is>
      </c>
      <c r="B13805" s="1" t="n">
        <v>45363</v>
      </c>
      <c r="C13805" s="1" t="n">
        <v>45810</v>
      </c>
      <c r="D13805" t="inlineStr">
        <is>
          <t>VÄRMLANDS LÄN</t>
        </is>
      </c>
      <c r="E13805" t="inlineStr">
        <is>
          <t>TORSBY</t>
        </is>
      </c>
      <c r="G13805" t="n">
        <v>4.4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9900-2024</t>
        </is>
      </c>
      <c r="B13806" s="1" t="n">
        <v>45363</v>
      </c>
      <c r="C13806" s="1" t="n">
        <v>45810</v>
      </c>
      <c r="D13806" t="inlineStr">
        <is>
          <t>VÄRMLANDS LÄN</t>
        </is>
      </c>
      <c r="E13806" t="inlineStr">
        <is>
          <t>TORSBY</t>
        </is>
      </c>
      <c r="G13806" t="n">
        <v>13.6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9904-2024</t>
        </is>
      </c>
      <c r="B13807" s="1" t="n">
        <v>45363</v>
      </c>
      <c r="C13807" s="1" t="n">
        <v>45810</v>
      </c>
      <c r="D13807" t="inlineStr">
        <is>
          <t>VÄRMLANDS LÄN</t>
        </is>
      </c>
      <c r="E13807" t="inlineStr">
        <is>
          <t>TORSBY</t>
        </is>
      </c>
      <c r="G13807" t="n">
        <v>3.2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9908-2024</t>
        </is>
      </c>
      <c r="B13808" s="1" t="n">
        <v>45363</v>
      </c>
      <c r="C13808" s="1" t="n">
        <v>45810</v>
      </c>
      <c r="D13808" t="inlineStr">
        <is>
          <t>VÄRMLANDS LÄN</t>
        </is>
      </c>
      <c r="E13808" t="inlineStr">
        <is>
          <t>TORSBY</t>
        </is>
      </c>
      <c r="G13808" t="n">
        <v>2.6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9912-2024</t>
        </is>
      </c>
      <c r="B13809" s="1" t="n">
        <v>45363</v>
      </c>
      <c r="C13809" s="1" t="n">
        <v>45810</v>
      </c>
      <c r="D13809" t="inlineStr">
        <is>
          <t>VÄRMLANDS LÄN</t>
        </is>
      </c>
      <c r="E13809" t="inlineStr">
        <is>
          <t>TORSBY</t>
        </is>
      </c>
      <c r="G13809" t="n">
        <v>0.8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9916-2024</t>
        </is>
      </c>
      <c r="B13810" s="1" t="n">
        <v>45363</v>
      </c>
      <c r="C13810" s="1" t="n">
        <v>45810</v>
      </c>
      <c r="D13810" t="inlineStr">
        <is>
          <t>VÄRMLANDS LÄN</t>
        </is>
      </c>
      <c r="E13810" t="inlineStr">
        <is>
          <t>ARVIKA</t>
        </is>
      </c>
      <c r="G13810" t="n">
        <v>3.5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9951-2024</t>
        </is>
      </c>
      <c r="B13811" s="1" t="n">
        <v>45363</v>
      </c>
      <c r="C13811" s="1" t="n">
        <v>45810</v>
      </c>
      <c r="D13811" t="inlineStr">
        <is>
          <t>VÄRMLANDS LÄN</t>
        </is>
      </c>
      <c r="E13811" t="inlineStr">
        <is>
          <t>STORFORS</t>
        </is>
      </c>
      <c r="F13811" t="inlineStr">
        <is>
          <t>Bergvik skog väst AB</t>
        </is>
      </c>
      <c r="G13811" t="n">
        <v>6.1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9871-2024</t>
        </is>
      </c>
      <c r="B13812" s="1" t="n">
        <v>45363</v>
      </c>
      <c r="C13812" s="1" t="n">
        <v>45810</v>
      </c>
      <c r="D13812" t="inlineStr">
        <is>
          <t>VÄRMLANDS LÄN</t>
        </is>
      </c>
      <c r="E13812" t="inlineStr">
        <is>
          <t>TORSBY</t>
        </is>
      </c>
      <c r="G13812" t="n">
        <v>0.7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9909-2024</t>
        </is>
      </c>
      <c r="B13813" s="1" t="n">
        <v>45363</v>
      </c>
      <c r="C13813" s="1" t="n">
        <v>45810</v>
      </c>
      <c r="D13813" t="inlineStr">
        <is>
          <t>VÄRMLANDS LÄN</t>
        </is>
      </c>
      <c r="E13813" t="inlineStr">
        <is>
          <t>ÅRJÄNG</t>
        </is>
      </c>
      <c r="G13813" t="n">
        <v>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9945-2024</t>
        </is>
      </c>
      <c r="B13814" s="1" t="n">
        <v>45363</v>
      </c>
      <c r="C13814" s="1" t="n">
        <v>45810</v>
      </c>
      <c r="D13814" t="inlineStr">
        <is>
          <t>VÄRMLANDS LÄN</t>
        </is>
      </c>
      <c r="E13814" t="inlineStr">
        <is>
          <t>KARLSTAD</t>
        </is>
      </c>
      <c r="G13814" t="n">
        <v>1.4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10000-2024</t>
        </is>
      </c>
      <c r="B13815" s="1" t="n">
        <v>45363</v>
      </c>
      <c r="C13815" s="1" t="n">
        <v>45810</v>
      </c>
      <c r="D13815" t="inlineStr">
        <is>
          <t>VÄRMLANDS LÄN</t>
        </is>
      </c>
      <c r="E13815" t="inlineStr">
        <is>
          <t>KRISTINEHAMN</t>
        </is>
      </c>
      <c r="F13815" t="inlineStr">
        <is>
          <t>Bergvik skog väst AB</t>
        </is>
      </c>
      <c r="G13815" t="n">
        <v>12.1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10011-2024</t>
        </is>
      </c>
      <c r="B13816" s="1" t="n">
        <v>45363</v>
      </c>
      <c r="C13816" s="1" t="n">
        <v>45810</v>
      </c>
      <c r="D13816" t="inlineStr">
        <is>
          <t>VÄRMLANDS LÄN</t>
        </is>
      </c>
      <c r="E13816" t="inlineStr">
        <is>
          <t>TORSBY</t>
        </is>
      </c>
      <c r="G13816" t="n">
        <v>1.6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10140-2024</t>
        </is>
      </c>
      <c r="B13817" s="1" t="n">
        <v>45364</v>
      </c>
      <c r="C13817" s="1" t="n">
        <v>45810</v>
      </c>
      <c r="D13817" t="inlineStr">
        <is>
          <t>VÄRMLANDS LÄN</t>
        </is>
      </c>
      <c r="E13817" t="inlineStr">
        <is>
          <t>ARVIKA</t>
        </is>
      </c>
      <c r="G13817" t="n">
        <v>5.1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10148-2024</t>
        </is>
      </c>
      <c r="B13818" s="1" t="n">
        <v>45364</v>
      </c>
      <c r="C13818" s="1" t="n">
        <v>45810</v>
      </c>
      <c r="D13818" t="inlineStr">
        <is>
          <t>VÄRMLANDS LÄN</t>
        </is>
      </c>
      <c r="E13818" t="inlineStr">
        <is>
          <t>GRUMS</t>
        </is>
      </c>
      <c r="F13818" t="inlineStr">
        <is>
          <t>Bergvik skog väst AB</t>
        </is>
      </c>
      <c r="G13818" t="n">
        <v>7.3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10106-2024</t>
        </is>
      </c>
      <c r="B13819" s="1" t="n">
        <v>45364</v>
      </c>
      <c r="C13819" s="1" t="n">
        <v>45810</v>
      </c>
      <c r="D13819" t="inlineStr">
        <is>
          <t>VÄRMLANDS LÄN</t>
        </is>
      </c>
      <c r="E13819" t="inlineStr">
        <is>
          <t>KRISTINEHAMN</t>
        </is>
      </c>
      <c r="G13819" t="n">
        <v>3.9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10110-2024</t>
        </is>
      </c>
      <c r="B13820" s="1" t="n">
        <v>45364</v>
      </c>
      <c r="C13820" s="1" t="n">
        <v>45810</v>
      </c>
      <c r="D13820" t="inlineStr">
        <is>
          <t>VÄRMLANDS LÄN</t>
        </is>
      </c>
      <c r="E13820" t="inlineStr">
        <is>
          <t>KRISTINEHAMN</t>
        </is>
      </c>
      <c r="G13820" t="n">
        <v>11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10138-2024</t>
        </is>
      </c>
      <c r="B13821" s="1" t="n">
        <v>45364</v>
      </c>
      <c r="C13821" s="1" t="n">
        <v>45810</v>
      </c>
      <c r="D13821" t="inlineStr">
        <is>
          <t>VÄRMLANDS LÄN</t>
        </is>
      </c>
      <c r="E13821" t="inlineStr">
        <is>
          <t>FILIPSTAD</t>
        </is>
      </c>
      <c r="F13821" t="inlineStr">
        <is>
          <t>Kommuner</t>
        </is>
      </c>
      <c r="G13821" t="n">
        <v>6.8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10116-2024</t>
        </is>
      </c>
      <c r="B13822" s="1" t="n">
        <v>45364</v>
      </c>
      <c r="C13822" s="1" t="n">
        <v>45810</v>
      </c>
      <c r="D13822" t="inlineStr">
        <is>
          <t>VÄRMLANDS LÄN</t>
        </is>
      </c>
      <c r="E13822" t="inlineStr">
        <is>
          <t>KRISTINEHAMN</t>
        </is>
      </c>
      <c r="G13822" t="n">
        <v>4.3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10124-2024</t>
        </is>
      </c>
      <c r="B13823" s="1" t="n">
        <v>45364</v>
      </c>
      <c r="C13823" s="1" t="n">
        <v>45810</v>
      </c>
      <c r="D13823" t="inlineStr">
        <is>
          <t>VÄRMLANDS LÄN</t>
        </is>
      </c>
      <c r="E13823" t="inlineStr">
        <is>
          <t>KRISTINEHAMN</t>
        </is>
      </c>
      <c r="G13823" t="n">
        <v>2.7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10134-2024</t>
        </is>
      </c>
      <c r="B13824" s="1" t="n">
        <v>45364</v>
      </c>
      <c r="C13824" s="1" t="n">
        <v>45810</v>
      </c>
      <c r="D13824" t="inlineStr">
        <is>
          <t>VÄRMLANDS LÄN</t>
        </is>
      </c>
      <c r="E13824" t="inlineStr">
        <is>
          <t>SUNNE</t>
        </is>
      </c>
      <c r="G13824" t="n">
        <v>1.2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10143-2024</t>
        </is>
      </c>
      <c r="B13825" s="1" t="n">
        <v>45364</v>
      </c>
      <c r="C13825" s="1" t="n">
        <v>45810</v>
      </c>
      <c r="D13825" t="inlineStr">
        <is>
          <t>VÄRMLANDS LÄN</t>
        </is>
      </c>
      <c r="E13825" t="inlineStr">
        <is>
          <t>FILIPSTAD</t>
        </is>
      </c>
      <c r="G13825" t="n">
        <v>0.9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10164-2024</t>
        </is>
      </c>
      <c r="B13826" s="1" t="n">
        <v>45364</v>
      </c>
      <c r="C13826" s="1" t="n">
        <v>45810</v>
      </c>
      <c r="D13826" t="inlineStr">
        <is>
          <t>VÄRMLANDS LÄN</t>
        </is>
      </c>
      <c r="E13826" t="inlineStr">
        <is>
          <t>ÅRJÄNG</t>
        </is>
      </c>
      <c r="G13826" t="n">
        <v>2.5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10232-2024</t>
        </is>
      </c>
      <c r="B13827" s="1" t="n">
        <v>45365</v>
      </c>
      <c r="C13827" s="1" t="n">
        <v>45810</v>
      </c>
      <c r="D13827" t="inlineStr">
        <is>
          <t>VÄRMLANDS LÄN</t>
        </is>
      </c>
      <c r="E13827" t="inlineStr">
        <is>
          <t>SUNNE</t>
        </is>
      </c>
      <c r="G13827" t="n">
        <v>1.9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10304-2024</t>
        </is>
      </c>
      <c r="B13828" s="1" t="n">
        <v>45365</v>
      </c>
      <c r="C13828" s="1" t="n">
        <v>45810</v>
      </c>
      <c r="D13828" t="inlineStr">
        <is>
          <t>VÄRMLANDS LÄN</t>
        </is>
      </c>
      <c r="E13828" t="inlineStr">
        <is>
          <t>TORSBY</t>
        </is>
      </c>
      <c r="G13828" t="n">
        <v>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10316-2024</t>
        </is>
      </c>
      <c r="B13829" s="1" t="n">
        <v>45365</v>
      </c>
      <c r="C13829" s="1" t="n">
        <v>45810</v>
      </c>
      <c r="D13829" t="inlineStr">
        <is>
          <t>VÄRMLANDS LÄN</t>
        </is>
      </c>
      <c r="E13829" t="inlineStr">
        <is>
          <t>KRISTINEHAMN</t>
        </is>
      </c>
      <c r="G13829" t="n">
        <v>4.5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10245-2024</t>
        </is>
      </c>
      <c r="B13830" s="1" t="n">
        <v>45365</v>
      </c>
      <c r="C13830" s="1" t="n">
        <v>45810</v>
      </c>
      <c r="D13830" t="inlineStr">
        <is>
          <t>VÄRMLANDS LÄN</t>
        </is>
      </c>
      <c r="E13830" t="inlineStr">
        <is>
          <t>SÄFFLE</t>
        </is>
      </c>
      <c r="G13830" t="n">
        <v>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10307-2024</t>
        </is>
      </c>
      <c r="B13831" s="1" t="n">
        <v>45365</v>
      </c>
      <c r="C13831" s="1" t="n">
        <v>45810</v>
      </c>
      <c r="D13831" t="inlineStr">
        <is>
          <t>VÄRMLANDS LÄN</t>
        </is>
      </c>
      <c r="E13831" t="inlineStr">
        <is>
          <t>SUNNE</t>
        </is>
      </c>
      <c r="G13831" t="n">
        <v>0.6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10278-2024</t>
        </is>
      </c>
      <c r="B13832" s="1" t="n">
        <v>45365</v>
      </c>
      <c r="C13832" s="1" t="n">
        <v>45810</v>
      </c>
      <c r="D13832" t="inlineStr">
        <is>
          <t>VÄRMLANDS LÄN</t>
        </is>
      </c>
      <c r="E13832" t="inlineStr">
        <is>
          <t>SÄFFLE</t>
        </is>
      </c>
      <c r="G13832" t="n">
        <v>1.8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10361-2024</t>
        </is>
      </c>
      <c r="B13833" s="1" t="n">
        <v>45365</v>
      </c>
      <c r="C13833" s="1" t="n">
        <v>45810</v>
      </c>
      <c r="D13833" t="inlineStr">
        <is>
          <t>VÄRMLANDS LÄN</t>
        </is>
      </c>
      <c r="E13833" t="inlineStr">
        <is>
          <t>HAGFORS</t>
        </is>
      </c>
      <c r="G13833" t="n">
        <v>0.8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10298-2024</t>
        </is>
      </c>
      <c r="B13834" s="1" t="n">
        <v>45365</v>
      </c>
      <c r="C13834" s="1" t="n">
        <v>45810</v>
      </c>
      <c r="D13834" t="inlineStr">
        <is>
          <t>VÄRMLANDS LÄN</t>
        </is>
      </c>
      <c r="E13834" t="inlineStr">
        <is>
          <t>EDA</t>
        </is>
      </c>
      <c r="G13834" t="n">
        <v>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10322-2024</t>
        </is>
      </c>
      <c r="B13835" s="1" t="n">
        <v>45365</v>
      </c>
      <c r="C13835" s="1" t="n">
        <v>45810</v>
      </c>
      <c r="D13835" t="inlineStr">
        <is>
          <t>VÄRMLANDS LÄN</t>
        </is>
      </c>
      <c r="E13835" t="inlineStr">
        <is>
          <t>SÄFFLE</t>
        </is>
      </c>
      <c r="G13835" t="n">
        <v>20.7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10338-2024</t>
        </is>
      </c>
      <c r="B13836" s="1" t="n">
        <v>45365</v>
      </c>
      <c r="C13836" s="1" t="n">
        <v>45810</v>
      </c>
      <c r="D13836" t="inlineStr">
        <is>
          <t>VÄRMLANDS LÄN</t>
        </is>
      </c>
      <c r="E13836" t="inlineStr">
        <is>
          <t>ÅRJÄNG</t>
        </is>
      </c>
      <c r="G13836" t="n">
        <v>1.5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10348-2024</t>
        </is>
      </c>
      <c r="B13837" s="1" t="n">
        <v>45365</v>
      </c>
      <c r="C13837" s="1" t="n">
        <v>45810</v>
      </c>
      <c r="D13837" t="inlineStr">
        <is>
          <t>VÄRMLANDS LÄN</t>
        </is>
      </c>
      <c r="E13837" t="inlineStr">
        <is>
          <t>FORSHAGA</t>
        </is>
      </c>
      <c r="F13837" t="inlineStr">
        <is>
          <t>Bergvik skog väst AB</t>
        </is>
      </c>
      <c r="G13837" t="n">
        <v>1.9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10372-2024</t>
        </is>
      </c>
      <c r="B13838" s="1" t="n">
        <v>45365</v>
      </c>
      <c r="C13838" s="1" t="n">
        <v>45810</v>
      </c>
      <c r="D13838" t="inlineStr">
        <is>
          <t>VÄRMLANDS LÄN</t>
        </is>
      </c>
      <c r="E13838" t="inlineStr">
        <is>
          <t>TORSBY</t>
        </is>
      </c>
      <c r="G13838" t="n">
        <v>8.699999999999999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10252-2024</t>
        </is>
      </c>
      <c r="B13839" s="1" t="n">
        <v>45365</v>
      </c>
      <c r="C13839" s="1" t="n">
        <v>45810</v>
      </c>
      <c r="D13839" t="inlineStr">
        <is>
          <t>VÄRMLANDS LÄN</t>
        </is>
      </c>
      <c r="E13839" t="inlineStr">
        <is>
          <t>SUNNE</t>
        </is>
      </c>
      <c r="G13839" t="n">
        <v>1.1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10293-2024</t>
        </is>
      </c>
      <c r="B13840" s="1" t="n">
        <v>45365</v>
      </c>
      <c r="C13840" s="1" t="n">
        <v>45810</v>
      </c>
      <c r="D13840" t="inlineStr">
        <is>
          <t>VÄRMLANDS LÄN</t>
        </is>
      </c>
      <c r="E13840" t="inlineStr">
        <is>
          <t>KIL</t>
        </is>
      </c>
      <c r="G13840" t="n">
        <v>2.1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10359-2024</t>
        </is>
      </c>
      <c r="B13841" s="1" t="n">
        <v>45365</v>
      </c>
      <c r="C13841" s="1" t="n">
        <v>45810</v>
      </c>
      <c r="D13841" t="inlineStr">
        <is>
          <t>VÄRMLANDS LÄN</t>
        </is>
      </c>
      <c r="E13841" t="inlineStr">
        <is>
          <t>KRISTINEHAMN</t>
        </is>
      </c>
      <c r="G13841" t="n">
        <v>3.6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10380-2024</t>
        </is>
      </c>
      <c r="B13842" s="1" t="n">
        <v>45365</v>
      </c>
      <c r="C13842" s="1" t="n">
        <v>45810</v>
      </c>
      <c r="D13842" t="inlineStr">
        <is>
          <t>VÄRMLANDS LÄN</t>
        </is>
      </c>
      <c r="E13842" t="inlineStr">
        <is>
          <t>TORSBY</t>
        </is>
      </c>
      <c r="G13842" t="n">
        <v>3.6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10432-2024</t>
        </is>
      </c>
      <c r="B13843" s="1" t="n">
        <v>45365</v>
      </c>
      <c r="C13843" s="1" t="n">
        <v>45810</v>
      </c>
      <c r="D13843" t="inlineStr">
        <is>
          <t>VÄRMLANDS LÄN</t>
        </is>
      </c>
      <c r="E13843" t="inlineStr">
        <is>
          <t>SÄFFLE</t>
        </is>
      </c>
      <c r="G13843" t="n">
        <v>0.8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10394-2024</t>
        </is>
      </c>
      <c r="B13844" s="1" t="n">
        <v>45365</v>
      </c>
      <c r="C13844" s="1" t="n">
        <v>45810</v>
      </c>
      <c r="D13844" t="inlineStr">
        <is>
          <t>VÄRMLANDS LÄN</t>
        </is>
      </c>
      <c r="E13844" t="inlineStr">
        <is>
          <t>SUNNE</t>
        </is>
      </c>
      <c r="G13844" t="n">
        <v>1.9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10427-2024</t>
        </is>
      </c>
      <c r="B13845" s="1" t="n">
        <v>45365</v>
      </c>
      <c r="C13845" s="1" t="n">
        <v>45810</v>
      </c>
      <c r="D13845" t="inlineStr">
        <is>
          <t>VÄRMLANDS LÄN</t>
        </is>
      </c>
      <c r="E13845" t="inlineStr">
        <is>
          <t>ARVIKA</t>
        </is>
      </c>
      <c r="G13845" t="n">
        <v>0.9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10466-2024</t>
        </is>
      </c>
      <c r="B13846" s="1" t="n">
        <v>45366</v>
      </c>
      <c r="C13846" s="1" t="n">
        <v>45810</v>
      </c>
      <c r="D13846" t="inlineStr">
        <is>
          <t>VÄRMLANDS LÄN</t>
        </is>
      </c>
      <c r="E13846" t="inlineStr">
        <is>
          <t>TORSBY</t>
        </is>
      </c>
      <c r="G13846" t="n">
        <v>8.199999999999999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10475-2024</t>
        </is>
      </c>
      <c r="B13847" s="1" t="n">
        <v>45366</v>
      </c>
      <c r="C13847" s="1" t="n">
        <v>45810</v>
      </c>
      <c r="D13847" t="inlineStr">
        <is>
          <t>VÄRMLANDS LÄN</t>
        </is>
      </c>
      <c r="E13847" t="inlineStr">
        <is>
          <t>KIL</t>
        </is>
      </c>
      <c r="G13847" t="n">
        <v>2.2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10448-2024</t>
        </is>
      </c>
      <c r="B13848" s="1" t="n">
        <v>45366</v>
      </c>
      <c r="C13848" s="1" t="n">
        <v>45810</v>
      </c>
      <c r="D13848" t="inlineStr">
        <is>
          <t>VÄRMLANDS LÄN</t>
        </is>
      </c>
      <c r="E13848" t="inlineStr">
        <is>
          <t>SUNNE</t>
        </is>
      </c>
      <c r="G13848" t="n">
        <v>7.9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10481-2024</t>
        </is>
      </c>
      <c r="B13849" s="1" t="n">
        <v>45366</v>
      </c>
      <c r="C13849" s="1" t="n">
        <v>45810</v>
      </c>
      <c r="D13849" t="inlineStr">
        <is>
          <t>VÄRMLANDS LÄN</t>
        </is>
      </c>
      <c r="E13849" t="inlineStr">
        <is>
          <t>GRUMS</t>
        </is>
      </c>
      <c r="G13849" t="n">
        <v>2.9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10493-2024</t>
        </is>
      </c>
      <c r="B13850" s="1" t="n">
        <v>45366</v>
      </c>
      <c r="C13850" s="1" t="n">
        <v>45810</v>
      </c>
      <c r="D13850" t="inlineStr">
        <is>
          <t>VÄRMLANDS LÄN</t>
        </is>
      </c>
      <c r="E13850" t="inlineStr">
        <is>
          <t>ARVIKA</t>
        </is>
      </c>
      <c r="G13850" t="n">
        <v>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10522-2024</t>
        </is>
      </c>
      <c r="B13851" s="1" t="n">
        <v>45366</v>
      </c>
      <c r="C13851" s="1" t="n">
        <v>45810</v>
      </c>
      <c r="D13851" t="inlineStr">
        <is>
          <t>VÄRMLANDS LÄN</t>
        </is>
      </c>
      <c r="E13851" t="inlineStr">
        <is>
          <t>KRISTINEHAMN</t>
        </is>
      </c>
      <c r="G13851" t="n">
        <v>19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10520-2024</t>
        </is>
      </c>
      <c r="B13852" s="1" t="n">
        <v>45366</v>
      </c>
      <c r="C13852" s="1" t="n">
        <v>45810</v>
      </c>
      <c r="D13852" t="inlineStr">
        <is>
          <t>VÄRMLANDS LÄN</t>
        </is>
      </c>
      <c r="E13852" t="inlineStr">
        <is>
          <t>KRISTINEHAMN</t>
        </is>
      </c>
      <c r="G13852" t="n">
        <v>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10562-2024</t>
        </is>
      </c>
      <c r="B13853" s="1" t="n">
        <v>45366</v>
      </c>
      <c r="C13853" s="1" t="n">
        <v>45810</v>
      </c>
      <c r="D13853" t="inlineStr">
        <is>
          <t>VÄRMLANDS LÄN</t>
        </is>
      </c>
      <c r="E13853" t="inlineStr">
        <is>
          <t>HAGFORS</t>
        </is>
      </c>
      <c r="F13853" t="inlineStr">
        <is>
          <t>Bergvik skog väst AB</t>
        </is>
      </c>
      <c r="G13853" t="n">
        <v>7.1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10548-2024</t>
        </is>
      </c>
      <c r="B13854" s="1" t="n">
        <v>45366</v>
      </c>
      <c r="C13854" s="1" t="n">
        <v>45810</v>
      </c>
      <c r="D13854" t="inlineStr">
        <is>
          <t>VÄRMLANDS LÄN</t>
        </is>
      </c>
      <c r="E13854" t="inlineStr">
        <is>
          <t>KRISTINEHAMN</t>
        </is>
      </c>
      <c r="G13854" t="n">
        <v>0.7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10590-2024</t>
        </is>
      </c>
      <c r="B13855" s="1" t="n">
        <v>45366</v>
      </c>
      <c r="C13855" s="1" t="n">
        <v>45810</v>
      </c>
      <c r="D13855" t="inlineStr">
        <is>
          <t>VÄRMLANDS LÄN</t>
        </is>
      </c>
      <c r="E13855" t="inlineStr">
        <is>
          <t>FORSHAGA</t>
        </is>
      </c>
      <c r="G13855" t="n">
        <v>6.7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10461-2024</t>
        </is>
      </c>
      <c r="B13856" s="1" t="n">
        <v>45366</v>
      </c>
      <c r="C13856" s="1" t="n">
        <v>45810</v>
      </c>
      <c r="D13856" t="inlineStr">
        <is>
          <t>VÄRMLANDS LÄN</t>
        </is>
      </c>
      <c r="E13856" t="inlineStr">
        <is>
          <t>KARLSTAD</t>
        </is>
      </c>
      <c r="F13856" t="inlineStr">
        <is>
          <t>Övriga statliga verk och myndigheter</t>
        </is>
      </c>
      <c r="G13856" t="n">
        <v>17.8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10494-2024</t>
        </is>
      </c>
      <c r="B13857" s="1" t="n">
        <v>45366</v>
      </c>
      <c r="C13857" s="1" t="n">
        <v>45810</v>
      </c>
      <c r="D13857" t="inlineStr">
        <is>
          <t>VÄRMLANDS LÄN</t>
        </is>
      </c>
      <c r="E13857" t="inlineStr">
        <is>
          <t>ARVIKA</t>
        </is>
      </c>
      <c r="G13857" t="n">
        <v>1.2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10502-2024</t>
        </is>
      </c>
      <c r="B13858" s="1" t="n">
        <v>45366</v>
      </c>
      <c r="C13858" s="1" t="n">
        <v>45810</v>
      </c>
      <c r="D13858" t="inlineStr">
        <is>
          <t>VÄRMLANDS LÄN</t>
        </is>
      </c>
      <c r="E13858" t="inlineStr">
        <is>
          <t>FORSHAGA</t>
        </is>
      </c>
      <c r="F13858" t="inlineStr">
        <is>
          <t>Bergvik skog väst AB</t>
        </is>
      </c>
      <c r="G13858" t="n">
        <v>33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10511-2024</t>
        </is>
      </c>
      <c r="B13859" s="1" t="n">
        <v>45366</v>
      </c>
      <c r="C13859" s="1" t="n">
        <v>45810</v>
      </c>
      <c r="D13859" t="inlineStr">
        <is>
          <t>VÄRMLANDS LÄN</t>
        </is>
      </c>
      <c r="E13859" t="inlineStr">
        <is>
          <t>KARLSTAD</t>
        </is>
      </c>
      <c r="G13859" t="n">
        <v>0.5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11106-2024</t>
        </is>
      </c>
      <c r="B13860" s="1" t="n">
        <v>45366</v>
      </c>
      <c r="C13860" s="1" t="n">
        <v>45810</v>
      </c>
      <c r="D13860" t="inlineStr">
        <is>
          <t>VÄRMLANDS LÄN</t>
        </is>
      </c>
      <c r="E13860" t="inlineStr">
        <is>
          <t>KIL</t>
        </is>
      </c>
      <c r="G13860" t="n">
        <v>4.4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10509-2024</t>
        </is>
      </c>
      <c r="B13861" s="1" t="n">
        <v>45366</v>
      </c>
      <c r="C13861" s="1" t="n">
        <v>45810</v>
      </c>
      <c r="D13861" t="inlineStr">
        <is>
          <t>VÄRMLANDS LÄN</t>
        </is>
      </c>
      <c r="E13861" t="inlineStr">
        <is>
          <t>SUNNE</t>
        </is>
      </c>
      <c r="G13861" t="n">
        <v>1.2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10513-2024</t>
        </is>
      </c>
      <c r="B13862" s="1" t="n">
        <v>45366</v>
      </c>
      <c r="C13862" s="1" t="n">
        <v>45810</v>
      </c>
      <c r="D13862" t="inlineStr">
        <is>
          <t>VÄRMLANDS LÄN</t>
        </is>
      </c>
      <c r="E13862" t="inlineStr">
        <is>
          <t>ARVIKA</t>
        </is>
      </c>
      <c r="G13862" t="n">
        <v>3.3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10541-2024</t>
        </is>
      </c>
      <c r="B13863" s="1" t="n">
        <v>45366</v>
      </c>
      <c r="C13863" s="1" t="n">
        <v>45810</v>
      </c>
      <c r="D13863" t="inlineStr">
        <is>
          <t>VÄRMLANDS LÄN</t>
        </is>
      </c>
      <c r="E13863" t="inlineStr">
        <is>
          <t>SÄFFLE</t>
        </is>
      </c>
      <c r="G13863" t="n">
        <v>5.5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10561-2024</t>
        </is>
      </c>
      <c r="B13864" s="1" t="n">
        <v>45366</v>
      </c>
      <c r="C13864" s="1" t="n">
        <v>45810</v>
      </c>
      <c r="D13864" t="inlineStr">
        <is>
          <t>VÄRMLANDS LÄN</t>
        </is>
      </c>
      <c r="E13864" t="inlineStr">
        <is>
          <t>HAGFORS</t>
        </is>
      </c>
      <c r="F13864" t="inlineStr">
        <is>
          <t>Bergvik skog väst AB</t>
        </is>
      </c>
      <c r="G13864" t="n">
        <v>5.2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10589-2024</t>
        </is>
      </c>
      <c r="B13865" s="1" t="n">
        <v>45366</v>
      </c>
      <c r="C13865" s="1" t="n">
        <v>45810</v>
      </c>
      <c r="D13865" t="inlineStr">
        <is>
          <t>VÄRMLANDS LÄN</t>
        </is>
      </c>
      <c r="E13865" t="inlineStr">
        <is>
          <t>TORSBY</t>
        </is>
      </c>
      <c r="G13865" t="n">
        <v>0.5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10601-2024</t>
        </is>
      </c>
      <c r="B13866" s="1" t="n">
        <v>45366</v>
      </c>
      <c r="C13866" s="1" t="n">
        <v>45810</v>
      </c>
      <c r="D13866" t="inlineStr">
        <is>
          <t>VÄRMLANDS LÄN</t>
        </is>
      </c>
      <c r="E13866" t="inlineStr">
        <is>
          <t>SÄFFLE</t>
        </is>
      </c>
      <c r="G13866" t="n">
        <v>3.7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10587-2024</t>
        </is>
      </c>
      <c r="B13867" s="1" t="n">
        <v>45366</v>
      </c>
      <c r="C13867" s="1" t="n">
        <v>45810</v>
      </c>
      <c r="D13867" t="inlineStr">
        <is>
          <t>VÄRMLANDS LÄN</t>
        </is>
      </c>
      <c r="E13867" t="inlineStr">
        <is>
          <t>TORSBY</t>
        </is>
      </c>
      <c r="G13867" t="n">
        <v>3.7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10635-2024</t>
        </is>
      </c>
      <c r="B13868" s="1" t="n">
        <v>45367</v>
      </c>
      <c r="C13868" s="1" t="n">
        <v>45810</v>
      </c>
      <c r="D13868" t="inlineStr">
        <is>
          <t>VÄRMLANDS LÄN</t>
        </is>
      </c>
      <c r="E13868" t="inlineStr">
        <is>
          <t>KIL</t>
        </is>
      </c>
      <c r="G13868" t="n">
        <v>1.3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10634-2024</t>
        </is>
      </c>
      <c r="B13869" s="1" t="n">
        <v>45367</v>
      </c>
      <c r="C13869" s="1" t="n">
        <v>45810</v>
      </c>
      <c r="D13869" t="inlineStr">
        <is>
          <t>VÄRMLANDS LÄN</t>
        </is>
      </c>
      <c r="E13869" t="inlineStr">
        <is>
          <t>KIL</t>
        </is>
      </c>
      <c r="G13869" t="n">
        <v>1.6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10645-2024</t>
        </is>
      </c>
      <c r="B13870" s="1" t="n">
        <v>45367</v>
      </c>
      <c r="C13870" s="1" t="n">
        <v>45810</v>
      </c>
      <c r="D13870" t="inlineStr">
        <is>
          <t>VÄRMLANDS LÄN</t>
        </is>
      </c>
      <c r="E13870" t="inlineStr">
        <is>
          <t>SÄFFLE</t>
        </is>
      </c>
      <c r="G13870" t="n">
        <v>1.8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10647-2024</t>
        </is>
      </c>
      <c r="B13871" s="1" t="n">
        <v>45368</v>
      </c>
      <c r="C13871" s="1" t="n">
        <v>45810</v>
      </c>
      <c r="D13871" t="inlineStr">
        <is>
          <t>VÄRMLANDS LÄN</t>
        </is>
      </c>
      <c r="E13871" t="inlineStr">
        <is>
          <t>GRUMS</t>
        </is>
      </c>
      <c r="G13871" t="n">
        <v>4.1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10649-2024</t>
        </is>
      </c>
      <c r="B13872" s="1" t="n">
        <v>45368</v>
      </c>
      <c r="C13872" s="1" t="n">
        <v>45810</v>
      </c>
      <c r="D13872" t="inlineStr">
        <is>
          <t>VÄRMLANDS LÄN</t>
        </is>
      </c>
      <c r="E13872" t="inlineStr">
        <is>
          <t>SÄFFLE</t>
        </is>
      </c>
      <c r="G13872" t="n">
        <v>0.5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10657-2024</t>
        </is>
      </c>
      <c r="B13873" s="1" t="n">
        <v>45368</v>
      </c>
      <c r="C13873" s="1" t="n">
        <v>45810</v>
      </c>
      <c r="D13873" t="inlineStr">
        <is>
          <t>VÄRMLANDS LÄN</t>
        </is>
      </c>
      <c r="E13873" t="inlineStr">
        <is>
          <t>SÄFFLE</t>
        </is>
      </c>
      <c r="G13873" t="n">
        <v>3.4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10695-2024</t>
        </is>
      </c>
      <c r="B13874" s="1" t="n">
        <v>45369</v>
      </c>
      <c r="C13874" s="1" t="n">
        <v>45810</v>
      </c>
      <c r="D13874" t="inlineStr">
        <is>
          <t>VÄRMLANDS LÄN</t>
        </is>
      </c>
      <c r="E13874" t="inlineStr">
        <is>
          <t>GRUMS</t>
        </is>
      </c>
      <c r="G13874" t="n">
        <v>3.9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10826-2024</t>
        </is>
      </c>
      <c r="B13875" s="1" t="n">
        <v>45369</v>
      </c>
      <c r="C13875" s="1" t="n">
        <v>45810</v>
      </c>
      <c r="D13875" t="inlineStr">
        <is>
          <t>VÄRMLANDS LÄN</t>
        </is>
      </c>
      <c r="E13875" t="inlineStr">
        <is>
          <t>EDA</t>
        </is>
      </c>
      <c r="G13875" t="n">
        <v>1.6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10830-2024</t>
        </is>
      </c>
      <c r="B13876" s="1" t="n">
        <v>45369</v>
      </c>
      <c r="C13876" s="1" t="n">
        <v>45810</v>
      </c>
      <c r="D13876" t="inlineStr">
        <is>
          <t>VÄRMLANDS LÄN</t>
        </is>
      </c>
      <c r="E13876" t="inlineStr">
        <is>
          <t>EDA</t>
        </is>
      </c>
      <c r="G13876" t="n">
        <v>1.6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10684-2024</t>
        </is>
      </c>
      <c r="B13877" s="1" t="n">
        <v>45369</v>
      </c>
      <c r="C13877" s="1" t="n">
        <v>45810</v>
      </c>
      <c r="D13877" t="inlineStr">
        <is>
          <t>VÄRMLANDS LÄN</t>
        </is>
      </c>
      <c r="E13877" t="inlineStr">
        <is>
          <t>TORSBY</t>
        </is>
      </c>
      <c r="G13877" t="n">
        <v>1.3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10722-2024</t>
        </is>
      </c>
      <c r="B13878" s="1" t="n">
        <v>45369</v>
      </c>
      <c r="C13878" s="1" t="n">
        <v>45810</v>
      </c>
      <c r="D13878" t="inlineStr">
        <is>
          <t>VÄRMLANDS LÄN</t>
        </is>
      </c>
      <c r="E13878" t="inlineStr">
        <is>
          <t>KARLSTAD</t>
        </is>
      </c>
      <c r="G13878" t="n">
        <v>0.9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10741-2024</t>
        </is>
      </c>
      <c r="B13879" s="1" t="n">
        <v>45369</v>
      </c>
      <c r="C13879" s="1" t="n">
        <v>45810</v>
      </c>
      <c r="D13879" t="inlineStr">
        <is>
          <t>VÄRMLANDS LÄN</t>
        </is>
      </c>
      <c r="E13879" t="inlineStr">
        <is>
          <t>ÅRJÄNG</t>
        </is>
      </c>
      <c r="G13879" t="n">
        <v>1.3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10729-2024</t>
        </is>
      </c>
      <c r="B13880" s="1" t="n">
        <v>45369</v>
      </c>
      <c r="C13880" s="1" t="n">
        <v>45810</v>
      </c>
      <c r="D13880" t="inlineStr">
        <is>
          <t>VÄRMLANDS LÄN</t>
        </is>
      </c>
      <c r="E13880" t="inlineStr">
        <is>
          <t>KARLSTAD</t>
        </is>
      </c>
      <c r="G13880" t="n">
        <v>0.5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10697-2024</t>
        </is>
      </c>
      <c r="B13881" s="1" t="n">
        <v>45369</v>
      </c>
      <c r="C13881" s="1" t="n">
        <v>45810</v>
      </c>
      <c r="D13881" t="inlineStr">
        <is>
          <t>VÄRMLANDS LÄN</t>
        </is>
      </c>
      <c r="E13881" t="inlineStr">
        <is>
          <t>SÄFFLE</t>
        </is>
      </c>
      <c r="G13881" t="n">
        <v>4.3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10681-2024</t>
        </is>
      </c>
      <c r="B13882" s="1" t="n">
        <v>45369</v>
      </c>
      <c r="C13882" s="1" t="n">
        <v>45810</v>
      </c>
      <c r="D13882" t="inlineStr">
        <is>
          <t>VÄRMLANDS LÄN</t>
        </is>
      </c>
      <c r="E13882" t="inlineStr">
        <is>
          <t>ÅRJÄNG</t>
        </is>
      </c>
      <c r="G13882" t="n">
        <v>0.5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10895-2024</t>
        </is>
      </c>
      <c r="B13883" s="1" t="n">
        <v>45370</v>
      </c>
      <c r="C13883" s="1" t="n">
        <v>45810</v>
      </c>
      <c r="D13883" t="inlineStr">
        <is>
          <t>VÄRMLANDS LÄN</t>
        </is>
      </c>
      <c r="E13883" t="inlineStr">
        <is>
          <t>TORSBY</t>
        </is>
      </c>
      <c r="G13883" t="n">
        <v>1.1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10903-2024</t>
        </is>
      </c>
      <c r="B13884" s="1" t="n">
        <v>45370</v>
      </c>
      <c r="C13884" s="1" t="n">
        <v>45810</v>
      </c>
      <c r="D13884" t="inlineStr">
        <is>
          <t>VÄRMLANDS LÄN</t>
        </is>
      </c>
      <c r="E13884" t="inlineStr">
        <is>
          <t>EDA</t>
        </is>
      </c>
      <c r="G13884" t="n">
        <v>1.3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10918-2024</t>
        </is>
      </c>
      <c r="B13885" s="1" t="n">
        <v>45370</v>
      </c>
      <c r="C13885" s="1" t="n">
        <v>45810</v>
      </c>
      <c r="D13885" t="inlineStr">
        <is>
          <t>VÄRMLANDS LÄN</t>
        </is>
      </c>
      <c r="E13885" t="inlineStr">
        <is>
          <t>EDA</t>
        </is>
      </c>
      <c r="G13885" t="n">
        <v>1.3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10924-2024</t>
        </is>
      </c>
      <c r="B13886" s="1" t="n">
        <v>45370</v>
      </c>
      <c r="C13886" s="1" t="n">
        <v>45810</v>
      </c>
      <c r="D13886" t="inlineStr">
        <is>
          <t>VÄRMLANDS LÄN</t>
        </is>
      </c>
      <c r="E13886" t="inlineStr">
        <is>
          <t>EDA</t>
        </is>
      </c>
      <c r="G13886" t="n">
        <v>1.7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10986-2024</t>
        </is>
      </c>
      <c r="B13887" s="1" t="n">
        <v>45370</v>
      </c>
      <c r="C13887" s="1" t="n">
        <v>45810</v>
      </c>
      <c r="D13887" t="inlineStr">
        <is>
          <t>VÄRMLANDS LÄN</t>
        </is>
      </c>
      <c r="E13887" t="inlineStr">
        <is>
          <t>KRISTINEHAMN</t>
        </is>
      </c>
      <c r="G13887" t="n">
        <v>1.3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10999-2024</t>
        </is>
      </c>
      <c r="B13888" s="1" t="n">
        <v>45370</v>
      </c>
      <c r="C13888" s="1" t="n">
        <v>45810</v>
      </c>
      <c r="D13888" t="inlineStr">
        <is>
          <t>VÄRMLANDS LÄN</t>
        </is>
      </c>
      <c r="E13888" t="inlineStr">
        <is>
          <t>KRISTINEHAMN</t>
        </is>
      </c>
      <c r="G13888" t="n">
        <v>2.2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10993-2024</t>
        </is>
      </c>
      <c r="B13889" s="1" t="n">
        <v>45370</v>
      </c>
      <c r="C13889" s="1" t="n">
        <v>45810</v>
      </c>
      <c r="D13889" t="inlineStr">
        <is>
          <t>VÄRMLANDS LÄN</t>
        </is>
      </c>
      <c r="E13889" t="inlineStr">
        <is>
          <t>KRISTINEHAMN</t>
        </is>
      </c>
      <c r="G13889" t="n">
        <v>1.3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11070-2024</t>
        </is>
      </c>
      <c r="B13890" s="1" t="n">
        <v>45370</v>
      </c>
      <c r="C13890" s="1" t="n">
        <v>45810</v>
      </c>
      <c r="D13890" t="inlineStr">
        <is>
          <t>VÄRMLANDS LÄN</t>
        </is>
      </c>
      <c r="E13890" t="inlineStr">
        <is>
          <t>SUNNE</t>
        </is>
      </c>
      <c r="G13890" t="n">
        <v>2.3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11053-2024</t>
        </is>
      </c>
      <c r="B13891" s="1" t="n">
        <v>45370</v>
      </c>
      <c r="C13891" s="1" t="n">
        <v>45810</v>
      </c>
      <c r="D13891" t="inlineStr">
        <is>
          <t>VÄRMLANDS LÄN</t>
        </is>
      </c>
      <c r="E13891" t="inlineStr">
        <is>
          <t>KARLSTAD</t>
        </is>
      </c>
      <c r="G13891" t="n">
        <v>1.8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11069-2024</t>
        </is>
      </c>
      <c r="B13892" s="1" t="n">
        <v>45370</v>
      </c>
      <c r="C13892" s="1" t="n">
        <v>45810</v>
      </c>
      <c r="D13892" t="inlineStr">
        <is>
          <t>VÄRMLANDS LÄN</t>
        </is>
      </c>
      <c r="E13892" t="inlineStr">
        <is>
          <t>SUNNE</t>
        </is>
      </c>
      <c r="G13892" t="n">
        <v>8.5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11065-2024</t>
        </is>
      </c>
      <c r="B13893" s="1" t="n">
        <v>45370</v>
      </c>
      <c r="C13893" s="1" t="n">
        <v>45810</v>
      </c>
      <c r="D13893" t="inlineStr">
        <is>
          <t>VÄRMLANDS LÄN</t>
        </is>
      </c>
      <c r="E13893" t="inlineStr">
        <is>
          <t>SUNNE</t>
        </is>
      </c>
      <c r="G13893" t="n">
        <v>5.3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11121-2024</t>
        </is>
      </c>
      <c r="B13894" s="1" t="n">
        <v>45371</v>
      </c>
      <c r="C13894" s="1" t="n">
        <v>45810</v>
      </c>
      <c r="D13894" t="inlineStr">
        <is>
          <t>VÄRMLANDS LÄN</t>
        </is>
      </c>
      <c r="E13894" t="inlineStr">
        <is>
          <t>TORSBY</t>
        </is>
      </c>
      <c r="G13894" t="n">
        <v>2.3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11153-2024</t>
        </is>
      </c>
      <c r="B13895" s="1" t="n">
        <v>45371</v>
      </c>
      <c r="C13895" s="1" t="n">
        <v>45810</v>
      </c>
      <c r="D13895" t="inlineStr">
        <is>
          <t>VÄRMLANDS LÄN</t>
        </is>
      </c>
      <c r="E13895" t="inlineStr">
        <is>
          <t>TORSBY</t>
        </is>
      </c>
      <c r="G13895" t="n">
        <v>1.4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11177-2024</t>
        </is>
      </c>
      <c r="B13896" s="1" t="n">
        <v>45371</v>
      </c>
      <c r="C13896" s="1" t="n">
        <v>45810</v>
      </c>
      <c r="D13896" t="inlineStr">
        <is>
          <t>VÄRMLANDS LÄN</t>
        </is>
      </c>
      <c r="E13896" t="inlineStr">
        <is>
          <t>STORFORS</t>
        </is>
      </c>
      <c r="F13896" t="inlineStr">
        <is>
          <t>Kyrkan</t>
        </is>
      </c>
      <c r="G13896" t="n">
        <v>2.3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11135-2024</t>
        </is>
      </c>
      <c r="B13897" s="1" t="n">
        <v>45371</v>
      </c>
      <c r="C13897" s="1" t="n">
        <v>45810</v>
      </c>
      <c r="D13897" t="inlineStr">
        <is>
          <t>VÄRMLANDS LÄN</t>
        </is>
      </c>
      <c r="E13897" t="inlineStr">
        <is>
          <t>TORSBY</t>
        </is>
      </c>
      <c r="G13897" t="n">
        <v>0.5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11139-2024</t>
        </is>
      </c>
      <c r="B13898" s="1" t="n">
        <v>45371</v>
      </c>
      <c r="C13898" s="1" t="n">
        <v>45810</v>
      </c>
      <c r="D13898" t="inlineStr">
        <is>
          <t>VÄRMLANDS LÄN</t>
        </is>
      </c>
      <c r="E13898" t="inlineStr">
        <is>
          <t>EDA</t>
        </is>
      </c>
      <c r="G13898" t="n">
        <v>5.5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11143-2024</t>
        </is>
      </c>
      <c r="B13899" s="1" t="n">
        <v>45371</v>
      </c>
      <c r="C13899" s="1" t="n">
        <v>45810</v>
      </c>
      <c r="D13899" t="inlineStr">
        <is>
          <t>VÄRMLANDS LÄN</t>
        </is>
      </c>
      <c r="E13899" t="inlineStr">
        <is>
          <t>TORSBY</t>
        </is>
      </c>
      <c r="G13899" t="n">
        <v>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11155-2024</t>
        </is>
      </c>
      <c r="B13900" s="1" t="n">
        <v>45371</v>
      </c>
      <c r="C13900" s="1" t="n">
        <v>45810</v>
      </c>
      <c r="D13900" t="inlineStr">
        <is>
          <t>VÄRMLANDS LÄN</t>
        </is>
      </c>
      <c r="E13900" t="inlineStr">
        <is>
          <t>ARVIKA</t>
        </is>
      </c>
      <c r="G13900" t="n">
        <v>0.7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11187-2024</t>
        </is>
      </c>
      <c r="B13901" s="1" t="n">
        <v>45371</v>
      </c>
      <c r="C13901" s="1" t="n">
        <v>45810</v>
      </c>
      <c r="D13901" t="inlineStr">
        <is>
          <t>VÄRMLANDS LÄN</t>
        </is>
      </c>
      <c r="E13901" t="inlineStr">
        <is>
          <t>TORSBY</t>
        </is>
      </c>
      <c r="G13901" t="n">
        <v>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11211-2024</t>
        </is>
      </c>
      <c r="B13902" s="1" t="n">
        <v>45371</v>
      </c>
      <c r="C13902" s="1" t="n">
        <v>45810</v>
      </c>
      <c r="D13902" t="inlineStr">
        <is>
          <t>VÄRMLANDS LÄN</t>
        </is>
      </c>
      <c r="E13902" t="inlineStr">
        <is>
          <t>TORSBY</t>
        </is>
      </c>
      <c r="G13902" t="n">
        <v>0.2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11223-2024</t>
        </is>
      </c>
      <c r="B13903" s="1" t="n">
        <v>45371</v>
      </c>
      <c r="C13903" s="1" t="n">
        <v>45810</v>
      </c>
      <c r="D13903" t="inlineStr">
        <is>
          <t>VÄRMLANDS LÄN</t>
        </is>
      </c>
      <c r="E13903" t="inlineStr">
        <is>
          <t>SUNNE</t>
        </is>
      </c>
      <c r="G13903" t="n">
        <v>1.4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11227-2024</t>
        </is>
      </c>
      <c r="B13904" s="1" t="n">
        <v>45371</v>
      </c>
      <c r="C13904" s="1" t="n">
        <v>45810</v>
      </c>
      <c r="D13904" t="inlineStr">
        <is>
          <t>VÄRMLANDS LÄN</t>
        </is>
      </c>
      <c r="E13904" t="inlineStr">
        <is>
          <t>TORSBY</t>
        </is>
      </c>
      <c r="G13904" t="n">
        <v>6.3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11235-2024</t>
        </is>
      </c>
      <c r="B13905" s="1" t="n">
        <v>45371</v>
      </c>
      <c r="C13905" s="1" t="n">
        <v>45810</v>
      </c>
      <c r="D13905" t="inlineStr">
        <is>
          <t>VÄRMLANDS LÄN</t>
        </is>
      </c>
      <c r="E13905" t="inlineStr">
        <is>
          <t>TORSBY</t>
        </is>
      </c>
      <c r="G13905" t="n">
        <v>0.6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11243-2024</t>
        </is>
      </c>
      <c r="B13906" s="1" t="n">
        <v>45371</v>
      </c>
      <c r="C13906" s="1" t="n">
        <v>45810</v>
      </c>
      <c r="D13906" t="inlineStr">
        <is>
          <t>VÄRMLANDS LÄN</t>
        </is>
      </c>
      <c r="E13906" t="inlineStr">
        <is>
          <t>ÅRJÄNG</t>
        </is>
      </c>
      <c r="G13906" t="n">
        <v>1.5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11126-2024</t>
        </is>
      </c>
      <c r="B13907" s="1" t="n">
        <v>45371</v>
      </c>
      <c r="C13907" s="1" t="n">
        <v>45810</v>
      </c>
      <c r="D13907" t="inlineStr">
        <is>
          <t>VÄRMLANDS LÄN</t>
        </is>
      </c>
      <c r="E13907" t="inlineStr">
        <is>
          <t>HAGFORS</t>
        </is>
      </c>
      <c r="G13907" t="n">
        <v>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11134-2024</t>
        </is>
      </c>
      <c r="B13908" s="1" t="n">
        <v>45371</v>
      </c>
      <c r="C13908" s="1" t="n">
        <v>45810</v>
      </c>
      <c r="D13908" t="inlineStr">
        <is>
          <t>VÄRMLANDS LÄN</t>
        </is>
      </c>
      <c r="E13908" t="inlineStr">
        <is>
          <t>ARVIKA</t>
        </is>
      </c>
      <c r="F13908" t="inlineStr">
        <is>
          <t>Bergvik skog väst AB</t>
        </is>
      </c>
      <c r="G13908" t="n">
        <v>7.1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11138-2024</t>
        </is>
      </c>
      <c r="B13909" s="1" t="n">
        <v>45371</v>
      </c>
      <c r="C13909" s="1" t="n">
        <v>45810</v>
      </c>
      <c r="D13909" t="inlineStr">
        <is>
          <t>VÄRMLANDS LÄN</t>
        </is>
      </c>
      <c r="E13909" t="inlineStr">
        <is>
          <t>EDA</t>
        </is>
      </c>
      <c r="G13909" t="n">
        <v>3.6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11154-2024</t>
        </is>
      </c>
      <c r="B13910" s="1" t="n">
        <v>45371</v>
      </c>
      <c r="C13910" s="1" t="n">
        <v>45810</v>
      </c>
      <c r="D13910" t="inlineStr">
        <is>
          <t>VÄRMLANDS LÄN</t>
        </is>
      </c>
      <c r="E13910" t="inlineStr">
        <is>
          <t>ARVIKA</t>
        </is>
      </c>
      <c r="G13910" t="n">
        <v>1.5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11158-2024</t>
        </is>
      </c>
      <c r="B13911" s="1" t="n">
        <v>45371</v>
      </c>
      <c r="C13911" s="1" t="n">
        <v>45810</v>
      </c>
      <c r="D13911" t="inlineStr">
        <is>
          <t>VÄRMLANDS LÄN</t>
        </is>
      </c>
      <c r="E13911" t="inlineStr">
        <is>
          <t>HAGFORS</t>
        </is>
      </c>
      <c r="F13911" t="inlineStr">
        <is>
          <t>Bergvik skog väst AB</t>
        </is>
      </c>
      <c r="G13911" t="n">
        <v>11.7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11190-2024</t>
        </is>
      </c>
      <c r="B13912" s="1" t="n">
        <v>45371</v>
      </c>
      <c r="C13912" s="1" t="n">
        <v>45810</v>
      </c>
      <c r="D13912" t="inlineStr">
        <is>
          <t>VÄRMLANDS LÄN</t>
        </is>
      </c>
      <c r="E13912" t="inlineStr">
        <is>
          <t>KARLSTAD</t>
        </is>
      </c>
      <c r="G13912" t="n">
        <v>2.5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11194-2024</t>
        </is>
      </c>
      <c r="B13913" s="1" t="n">
        <v>45371</v>
      </c>
      <c r="C13913" s="1" t="n">
        <v>45810</v>
      </c>
      <c r="D13913" t="inlineStr">
        <is>
          <t>VÄRMLANDS LÄN</t>
        </is>
      </c>
      <c r="E13913" t="inlineStr">
        <is>
          <t>KARLSTAD</t>
        </is>
      </c>
      <c r="G13913" t="n">
        <v>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11214-2024</t>
        </is>
      </c>
      <c r="B13914" s="1" t="n">
        <v>45371</v>
      </c>
      <c r="C13914" s="1" t="n">
        <v>45810</v>
      </c>
      <c r="D13914" t="inlineStr">
        <is>
          <t>VÄRMLANDS LÄN</t>
        </is>
      </c>
      <c r="E13914" t="inlineStr">
        <is>
          <t>TORSBY</t>
        </is>
      </c>
      <c r="G13914" t="n">
        <v>0.4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11222-2024</t>
        </is>
      </c>
      <c r="B13915" s="1" t="n">
        <v>45371</v>
      </c>
      <c r="C13915" s="1" t="n">
        <v>45810</v>
      </c>
      <c r="D13915" t="inlineStr">
        <is>
          <t>VÄRMLANDS LÄN</t>
        </is>
      </c>
      <c r="E13915" t="inlineStr">
        <is>
          <t>TORSBY</t>
        </is>
      </c>
      <c r="G13915" t="n">
        <v>1.6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11242-2024</t>
        </is>
      </c>
      <c r="B13916" s="1" t="n">
        <v>45371</v>
      </c>
      <c r="C13916" s="1" t="n">
        <v>45810</v>
      </c>
      <c r="D13916" t="inlineStr">
        <is>
          <t>VÄRMLANDS LÄN</t>
        </is>
      </c>
      <c r="E13916" t="inlineStr">
        <is>
          <t>TORSBY</t>
        </is>
      </c>
      <c r="G13916" t="n">
        <v>0.7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11250-2024</t>
        </is>
      </c>
      <c r="B13917" s="1" t="n">
        <v>45371</v>
      </c>
      <c r="C13917" s="1" t="n">
        <v>45810</v>
      </c>
      <c r="D13917" t="inlineStr">
        <is>
          <t>VÄRMLANDS LÄN</t>
        </is>
      </c>
      <c r="E13917" t="inlineStr">
        <is>
          <t>KARLSTAD</t>
        </is>
      </c>
      <c r="G13917" t="n">
        <v>2.4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11229-2024</t>
        </is>
      </c>
      <c r="B13918" s="1" t="n">
        <v>45371</v>
      </c>
      <c r="C13918" s="1" t="n">
        <v>45810</v>
      </c>
      <c r="D13918" t="inlineStr">
        <is>
          <t>VÄRMLANDS LÄN</t>
        </is>
      </c>
      <c r="E13918" t="inlineStr">
        <is>
          <t>SUNNE</t>
        </is>
      </c>
      <c r="G13918" t="n">
        <v>0.7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11241-2024</t>
        </is>
      </c>
      <c r="B13919" s="1" t="n">
        <v>45371</v>
      </c>
      <c r="C13919" s="1" t="n">
        <v>45810</v>
      </c>
      <c r="D13919" t="inlineStr">
        <is>
          <t>VÄRMLANDS LÄN</t>
        </is>
      </c>
      <c r="E13919" t="inlineStr">
        <is>
          <t>HAGFORS</t>
        </is>
      </c>
      <c r="G13919" t="n">
        <v>4.8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11253-2024</t>
        </is>
      </c>
      <c r="B13920" s="1" t="n">
        <v>45371</v>
      </c>
      <c r="C13920" s="1" t="n">
        <v>45810</v>
      </c>
      <c r="D13920" t="inlineStr">
        <is>
          <t>VÄRMLANDS LÄN</t>
        </is>
      </c>
      <c r="E13920" t="inlineStr">
        <is>
          <t>TORSBY</t>
        </is>
      </c>
      <c r="G13920" t="n">
        <v>1.2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11330-2024</t>
        </is>
      </c>
      <c r="B13921" s="1" t="n">
        <v>45371</v>
      </c>
      <c r="C13921" s="1" t="n">
        <v>45810</v>
      </c>
      <c r="D13921" t="inlineStr">
        <is>
          <t>VÄRMLANDS LÄN</t>
        </is>
      </c>
      <c r="E13921" t="inlineStr">
        <is>
          <t>KIL</t>
        </is>
      </c>
      <c r="F13921" t="inlineStr">
        <is>
          <t>Kyrkan</t>
        </is>
      </c>
      <c r="G13921" t="n">
        <v>6.9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11136-2024</t>
        </is>
      </c>
      <c r="B13922" s="1" t="n">
        <v>45371</v>
      </c>
      <c r="C13922" s="1" t="n">
        <v>45810</v>
      </c>
      <c r="D13922" t="inlineStr">
        <is>
          <t>VÄRMLANDS LÄN</t>
        </is>
      </c>
      <c r="E13922" t="inlineStr">
        <is>
          <t>ÅRJÄNG</t>
        </is>
      </c>
      <c r="G13922" t="n">
        <v>1.1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11259-2024</t>
        </is>
      </c>
      <c r="B13923" s="1" t="n">
        <v>45371</v>
      </c>
      <c r="C13923" s="1" t="n">
        <v>45810</v>
      </c>
      <c r="D13923" t="inlineStr">
        <is>
          <t>VÄRMLANDS LÄN</t>
        </is>
      </c>
      <c r="E13923" t="inlineStr">
        <is>
          <t>TORSBY</t>
        </is>
      </c>
      <c r="G13923" t="n">
        <v>3.4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11271-2024</t>
        </is>
      </c>
      <c r="B13924" s="1" t="n">
        <v>45371</v>
      </c>
      <c r="C13924" s="1" t="n">
        <v>45810</v>
      </c>
      <c r="D13924" t="inlineStr">
        <is>
          <t>VÄRMLANDS LÄN</t>
        </is>
      </c>
      <c r="E13924" t="inlineStr">
        <is>
          <t>SÄFFLE</t>
        </is>
      </c>
      <c r="G13924" t="n">
        <v>6.5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11160-2024</t>
        </is>
      </c>
      <c r="B13925" s="1" t="n">
        <v>45371</v>
      </c>
      <c r="C13925" s="1" t="n">
        <v>45810</v>
      </c>
      <c r="D13925" t="inlineStr">
        <is>
          <t>VÄRMLANDS LÄN</t>
        </is>
      </c>
      <c r="E13925" t="inlineStr">
        <is>
          <t>KARLSTAD</t>
        </is>
      </c>
      <c r="F13925" t="inlineStr">
        <is>
          <t>Bergvik skog väst AB</t>
        </is>
      </c>
      <c r="G13925" t="n">
        <v>5.2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11172-2024</t>
        </is>
      </c>
      <c r="B13926" s="1" t="n">
        <v>45371</v>
      </c>
      <c r="C13926" s="1" t="n">
        <v>45810</v>
      </c>
      <c r="D13926" t="inlineStr">
        <is>
          <t>VÄRMLANDS LÄN</t>
        </is>
      </c>
      <c r="E13926" t="inlineStr">
        <is>
          <t>TORSBY</t>
        </is>
      </c>
      <c r="G13926" t="n">
        <v>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11196-2024</t>
        </is>
      </c>
      <c r="B13927" s="1" t="n">
        <v>45371</v>
      </c>
      <c r="C13927" s="1" t="n">
        <v>45810</v>
      </c>
      <c r="D13927" t="inlineStr">
        <is>
          <t>VÄRMLANDS LÄN</t>
        </is>
      </c>
      <c r="E13927" t="inlineStr">
        <is>
          <t>FORSHAGA</t>
        </is>
      </c>
      <c r="G13927" t="n">
        <v>2.1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11350-2024</t>
        </is>
      </c>
      <c r="B13928" s="1" t="n">
        <v>45372</v>
      </c>
      <c r="C13928" s="1" t="n">
        <v>45810</v>
      </c>
      <c r="D13928" t="inlineStr">
        <is>
          <t>VÄRMLANDS LÄN</t>
        </is>
      </c>
      <c r="E13928" t="inlineStr">
        <is>
          <t>FORSHAGA</t>
        </is>
      </c>
      <c r="G13928" t="n">
        <v>6.2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11380-2024</t>
        </is>
      </c>
      <c r="B13929" s="1" t="n">
        <v>45372</v>
      </c>
      <c r="C13929" s="1" t="n">
        <v>45810</v>
      </c>
      <c r="D13929" t="inlineStr">
        <is>
          <t>VÄRMLANDS LÄN</t>
        </is>
      </c>
      <c r="E13929" t="inlineStr">
        <is>
          <t>TORSBY</t>
        </is>
      </c>
      <c r="F13929" t="inlineStr">
        <is>
          <t>Bergvik skog väst AB</t>
        </is>
      </c>
      <c r="G13929" t="n">
        <v>33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11392-2024</t>
        </is>
      </c>
      <c r="B13930" s="1" t="n">
        <v>45372</v>
      </c>
      <c r="C13930" s="1" t="n">
        <v>45810</v>
      </c>
      <c r="D13930" t="inlineStr">
        <is>
          <t>VÄRMLANDS LÄN</t>
        </is>
      </c>
      <c r="E13930" t="inlineStr">
        <is>
          <t>ÅRJÄNG</t>
        </is>
      </c>
      <c r="G13930" t="n">
        <v>3.6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11418-2024</t>
        </is>
      </c>
      <c r="B13931" s="1" t="n">
        <v>45372</v>
      </c>
      <c r="C13931" s="1" t="n">
        <v>45810</v>
      </c>
      <c r="D13931" t="inlineStr">
        <is>
          <t>VÄRMLANDS LÄN</t>
        </is>
      </c>
      <c r="E13931" t="inlineStr">
        <is>
          <t>ARVIKA</t>
        </is>
      </c>
      <c r="F13931" t="inlineStr">
        <is>
          <t>Bergvik skog väst AB</t>
        </is>
      </c>
      <c r="G13931" t="n">
        <v>5.5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11415-2024</t>
        </is>
      </c>
      <c r="B13932" s="1" t="n">
        <v>45372</v>
      </c>
      <c r="C13932" s="1" t="n">
        <v>45810</v>
      </c>
      <c r="D13932" t="inlineStr">
        <is>
          <t>VÄRMLANDS LÄN</t>
        </is>
      </c>
      <c r="E13932" t="inlineStr">
        <is>
          <t>FILIPSTAD</t>
        </is>
      </c>
      <c r="F13932" t="inlineStr">
        <is>
          <t>Bergvik skog väst AB</t>
        </is>
      </c>
      <c r="G13932" t="n">
        <v>18.3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11386-2024</t>
        </is>
      </c>
      <c r="B13933" s="1" t="n">
        <v>45372</v>
      </c>
      <c r="C13933" s="1" t="n">
        <v>45810</v>
      </c>
      <c r="D13933" t="inlineStr">
        <is>
          <t>VÄRMLANDS LÄN</t>
        </is>
      </c>
      <c r="E13933" t="inlineStr">
        <is>
          <t>ARVIKA</t>
        </is>
      </c>
      <c r="G13933" t="n">
        <v>1.8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11398-2024</t>
        </is>
      </c>
      <c r="B13934" s="1" t="n">
        <v>45372</v>
      </c>
      <c r="C13934" s="1" t="n">
        <v>45810</v>
      </c>
      <c r="D13934" t="inlineStr">
        <is>
          <t>VÄRMLANDS LÄN</t>
        </is>
      </c>
      <c r="E13934" t="inlineStr">
        <is>
          <t>SÄFFLE</t>
        </is>
      </c>
      <c r="F13934" t="inlineStr">
        <is>
          <t>Bergvik skog väst AB</t>
        </is>
      </c>
      <c r="G13934" t="n">
        <v>0.7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11416-2024</t>
        </is>
      </c>
      <c r="B13935" s="1" t="n">
        <v>45372</v>
      </c>
      <c r="C13935" s="1" t="n">
        <v>45810</v>
      </c>
      <c r="D13935" t="inlineStr">
        <is>
          <t>VÄRMLANDS LÄN</t>
        </is>
      </c>
      <c r="E13935" t="inlineStr">
        <is>
          <t>ARVIKA</t>
        </is>
      </c>
      <c r="F13935" t="inlineStr">
        <is>
          <t>Bergvik skog väst AB</t>
        </is>
      </c>
      <c r="G13935" t="n">
        <v>4.6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11421-2024</t>
        </is>
      </c>
      <c r="B13936" s="1" t="n">
        <v>45372</v>
      </c>
      <c r="C13936" s="1" t="n">
        <v>45810</v>
      </c>
      <c r="D13936" t="inlineStr">
        <is>
          <t>VÄRMLANDS LÄN</t>
        </is>
      </c>
      <c r="E13936" t="inlineStr">
        <is>
          <t>GRUMS</t>
        </is>
      </c>
      <c r="G13936" t="n">
        <v>3.7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11452-2024</t>
        </is>
      </c>
      <c r="B13937" s="1" t="n">
        <v>45372</v>
      </c>
      <c r="C13937" s="1" t="n">
        <v>45810</v>
      </c>
      <c r="D13937" t="inlineStr">
        <is>
          <t>VÄRMLANDS LÄN</t>
        </is>
      </c>
      <c r="E13937" t="inlineStr">
        <is>
          <t>STORFORS</t>
        </is>
      </c>
      <c r="F13937" t="inlineStr">
        <is>
          <t>Bergvik skog väst AB</t>
        </is>
      </c>
      <c r="G13937" t="n">
        <v>4.6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11505-2024</t>
        </is>
      </c>
      <c r="B13938" s="1" t="n">
        <v>45372</v>
      </c>
      <c r="C13938" s="1" t="n">
        <v>45810</v>
      </c>
      <c r="D13938" t="inlineStr">
        <is>
          <t>VÄRMLANDS LÄN</t>
        </is>
      </c>
      <c r="E13938" t="inlineStr">
        <is>
          <t>SUNNE</t>
        </is>
      </c>
      <c r="G13938" t="n">
        <v>0.2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11479-2024</t>
        </is>
      </c>
      <c r="B13939" s="1" t="n">
        <v>45372</v>
      </c>
      <c r="C13939" s="1" t="n">
        <v>45810</v>
      </c>
      <c r="D13939" t="inlineStr">
        <is>
          <t>VÄRMLANDS LÄN</t>
        </is>
      </c>
      <c r="E13939" t="inlineStr">
        <is>
          <t>STORFORS</t>
        </is>
      </c>
      <c r="F13939" t="inlineStr">
        <is>
          <t>Bergvik skog väst AB</t>
        </is>
      </c>
      <c r="G13939" t="n">
        <v>3.4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11487-2024</t>
        </is>
      </c>
      <c r="B13940" s="1" t="n">
        <v>45372</v>
      </c>
      <c r="C13940" s="1" t="n">
        <v>45810</v>
      </c>
      <c r="D13940" t="inlineStr">
        <is>
          <t>VÄRMLANDS LÄN</t>
        </is>
      </c>
      <c r="E13940" t="inlineStr">
        <is>
          <t>SÄFFLE</t>
        </is>
      </c>
      <c r="G13940" t="n">
        <v>1.3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11595-2024</t>
        </is>
      </c>
      <c r="B13941" s="1" t="n">
        <v>45373</v>
      </c>
      <c r="C13941" s="1" t="n">
        <v>45810</v>
      </c>
      <c r="D13941" t="inlineStr">
        <is>
          <t>VÄRMLANDS LÄN</t>
        </is>
      </c>
      <c r="E13941" t="inlineStr">
        <is>
          <t>SÄFFLE</t>
        </is>
      </c>
      <c r="G13941" t="n">
        <v>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11600-2024</t>
        </is>
      </c>
      <c r="B13942" s="1" t="n">
        <v>45373</v>
      </c>
      <c r="C13942" s="1" t="n">
        <v>45810</v>
      </c>
      <c r="D13942" t="inlineStr">
        <is>
          <t>VÄRMLANDS LÄN</t>
        </is>
      </c>
      <c r="E13942" t="inlineStr">
        <is>
          <t>EDA</t>
        </is>
      </c>
      <c r="G13942" t="n">
        <v>2.4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11616-2024</t>
        </is>
      </c>
      <c r="B13943" s="1" t="n">
        <v>45373</v>
      </c>
      <c r="C13943" s="1" t="n">
        <v>45810</v>
      </c>
      <c r="D13943" t="inlineStr">
        <is>
          <t>VÄRMLANDS LÄN</t>
        </is>
      </c>
      <c r="E13943" t="inlineStr">
        <is>
          <t>ÅRJÄNG</t>
        </is>
      </c>
      <c r="G13943" t="n">
        <v>3.6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11646-2024</t>
        </is>
      </c>
      <c r="B13944" s="1" t="n">
        <v>45373</v>
      </c>
      <c r="C13944" s="1" t="n">
        <v>45810</v>
      </c>
      <c r="D13944" t="inlineStr">
        <is>
          <t>VÄRMLANDS LÄN</t>
        </is>
      </c>
      <c r="E13944" t="inlineStr">
        <is>
          <t>SÄFFLE</t>
        </is>
      </c>
      <c r="G13944" t="n">
        <v>2.1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11693-2024</t>
        </is>
      </c>
      <c r="B13945" s="1" t="n">
        <v>45373</v>
      </c>
      <c r="C13945" s="1" t="n">
        <v>45810</v>
      </c>
      <c r="D13945" t="inlineStr">
        <is>
          <t>VÄRMLANDS LÄN</t>
        </is>
      </c>
      <c r="E13945" t="inlineStr">
        <is>
          <t>ÅRJÄNG</t>
        </is>
      </c>
      <c r="G13945" t="n">
        <v>1.8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11710-2024</t>
        </is>
      </c>
      <c r="B13946" s="1" t="n">
        <v>45373</v>
      </c>
      <c r="C13946" s="1" t="n">
        <v>45810</v>
      </c>
      <c r="D13946" t="inlineStr">
        <is>
          <t>VÄRMLANDS LÄN</t>
        </is>
      </c>
      <c r="E13946" t="inlineStr">
        <is>
          <t>STORFORS</t>
        </is>
      </c>
      <c r="F13946" t="inlineStr">
        <is>
          <t>Bergvik skog väst AB</t>
        </is>
      </c>
      <c r="G13946" t="n">
        <v>9.5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11619-2024</t>
        </is>
      </c>
      <c r="B13947" s="1" t="n">
        <v>45373</v>
      </c>
      <c r="C13947" s="1" t="n">
        <v>45810</v>
      </c>
      <c r="D13947" t="inlineStr">
        <is>
          <t>VÄRMLANDS LÄN</t>
        </is>
      </c>
      <c r="E13947" t="inlineStr">
        <is>
          <t>STORFORS</t>
        </is>
      </c>
      <c r="F13947" t="inlineStr">
        <is>
          <t>Bergvik skog väst AB</t>
        </is>
      </c>
      <c r="G13947" t="n">
        <v>10.7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11718-2024</t>
        </is>
      </c>
      <c r="B13948" s="1" t="n">
        <v>45373</v>
      </c>
      <c r="C13948" s="1" t="n">
        <v>45810</v>
      </c>
      <c r="D13948" t="inlineStr">
        <is>
          <t>VÄRMLANDS LÄN</t>
        </is>
      </c>
      <c r="E13948" t="inlineStr">
        <is>
          <t>ÅRJÄNG</t>
        </is>
      </c>
      <c r="G13948" t="n">
        <v>2.3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11744-2024</t>
        </is>
      </c>
      <c r="B13949" s="1" t="n">
        <v>45373</v>
      </c>
      <c r="C13949" s="1" t="n">
        <v>45810</v>
      </c>
      <c r="D13949" t="inlineStr">
        <is>
          <t>VÄRMLANDS LÄN</t>
        </is>
      </c>
      <c r="E13949" t="inlineStr">
        <is>
          <t>HAGFORS</t>
        </is>
      </c>
      <c r="F13949" t="inlineStr">
        <is>
          <t>Bergvik skog väst AB</t>
        </is>
      </c>
      <c r="G13949" t="n">
        <v>1.4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11575-2024</t>
        </is>
      </c>
      <c r="B13950" s="1" t="n">
        <v>45373</v>
      </c>
      <c r="C13950" s="1" t="n">
        <v>45810</v>
      </c>
      <c r="D13950" t="inlineStr">
        <is>
          <t>VÄRMLANDS LÄN</t>
        </is>
      </c>
      <c r="E13950" t="inlineStr">
        <is>
          <t>TORSBY</t>
        </is>
      </c>
      <c r="G13950" t="n">
        <v>14.2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11589-2024</t>
        </is>
      </c>
      <c r="B13951" s="1" t="n">
        <v>45373</v>
      </c>
      <c r="C13951" s="1" t="n">
        <v>45810</v>
      </c>
      <c r="D13951" t="inlineStr">
        <is>
          <t>VÄRMLANDS LÄN</t>
        </is>
      </c>
      <c r="E13951" t="inlineStr">
        <is>
          <t>KIL</t>
        </is>
      </c>
      <c r="G13951" t="n">
        <v>1.3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11706-2024</t>
        </is>
      </c>
      <c r="B13952" s="1" t="n">
        <v>45373</v>
      </c>
      <c r="C13952" s="1" t="n">
        <v>45810</v>
      </c>
      <c r="D13952" t="inlineStr">
        <is>
          <t>VÄRMLANDS LÄN</t>
        </is>
      </c>
      <c r="E13952" t="inlineStr">
        <is>
          <t>TORSBY</t>
        </is>
      </c>
      <c r="G13952" t="n">
        <v>8.699999999999999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11713-2024</t>
        </is>
      </c>
      <c r="B13953" s="1" t="n">
        <v>45373</v>
      </c>
      <c r="C13953" s="1" t="n">
        <v>45810</v>
      </c>
      <c r="D13953" t="inlineStr">
        <is>
          <t>VÄRMLANDS LÄN</t>
        </is>
      </c>
      <c r="E13953" t="inlineStr">
        <is>
          <t>ÅRJÄNG</t>
        </is>
      </c>
      <c r="G13953" t="n">
        <v>9.1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11734-2024</t>
        </is>
      </c>
      <c r="B13954" s="1" t="n">
        <v>45373</v>
      </c>
      <c r="C13954" s="1" t="n">
        <v>45810</v>
      </c>
      <c r="D13954" t="inlineStr">
        <is>
          <t>VÄRMLANDS LÄN</t>
        </is>
      </c>
      <c r="E13954" t="inlineStr">
        <is>
          <t>FORSHAGA</t>
        </is>
      </c>
      <c r="F13954" t="inlineStr">
        <is>
          <t>Bergvik skog väst AB</t>
        </is>
      </c>
      <c r="G13954" t="n">
        <v>12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11782-2024</t>
        </is>
      </c>
      <c r="B13955" s="1" t="n">
        <v>45374</v>
      </c>
      <c r="C13955" s="1" t="n">
        <v>45810</v>
      </c>
      <c r="D13955" t="inlineStr">
        <is>
          <t>VÄRMLANDS LÄN</t>
        </is>
      </c>
      <c r="E13955" t="inlineStr">
        <is>
          <t>SÄFFLE</t>
        </is>
      </c>
      <c r="G13955" t="n">
        <v>0.4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11776-2024</t>
        </is>
      </c>
      <c r="B13956" s="1" t="n">
        <v>45374</v>
      </c>
      <c r="C13956" s="1" t="n">
        <v>45810</v>
      </c>
      <c r="D13956" t="inlineStr">
        <is>
          <t>VÄRMLANDS LÄN</t>
        </is>
      </c>
      <c r="E13956" t="inlineStr">
        <is>
          <t>TORSBY</t>
        </is>
      </c>
      <c r="G13956" t="n">
        <v>8.300000000000001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11781-2024</t>
        </is>
      </c>
      <c r="B13957" s="1" t="n">
        <v>45374</v>
      </c>
      <c r="C13957" s="1" t="n">
        <v>45810</v>
      </c>
      <c r="D13957" t="inlineStr">
        <is>
          <t>VÄRMLANDS LÄN</t>
        </is>
      </c>
      <c r="E13957" t="inlineStr">
        <is>
          <t>SÄFFLE</t>
        </is>
      </c>
      <c r="G13957" t="n">
        <v>1.4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11779-2024</t>
        </is>
      </c>
      <c r="B13958" s="1" t="n">
        <v>45374</v>
      </c>
      <c r="C13958" s="1" t="n">
        <v>45810</v>
      </c>
      <c r="D13958" t="inlineStr">
        <is>
          <t>VÄRMLANDS LÄN</t>
        </is>
      </c>
      <c r="E13958" t="inlineStr">
        <is>
          <t>FORSHAGA</t>
        </is>
      </c>
      <c r="G13958" t="n">
        <v>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11783-2024</t>
        </is>
      </c>
      <c r="B13959" s="1" t="n">
        <v>45374</v>
      </c>
      <c r="C13959" s="1" t="n">
        <v>45810</v>
      </c>
      <c r="D13959" t="inlineStr">
        <is>
          <t>VÄRMLANDS LÄN</t>
        </is>
      </c>
      <c r="E13959" t="inlineStr">
        <is>
          <t>SÄFFLE</t>
        </is>
      </c>
      <c r="F13959" t="inlineStr">
        <is>
          <t>Kommuner</t>
        </is>
      </c>
      <c r="G13959" t="n">
        <v>1.5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11810-2024</t>
        </is>
      </c>
      <c r="B13960" s="1" t="n">
        <v>45375</v>
      </c>
      <c r="C13960" s="1" t="n">
        <v>45810</v>
      </c>
      <c r="D13960" t="inlineStr">
        <is>
          <t>VÄRMLANDS LÄN</t>
        </is>
      </c>
      <c r="E13960" t="inlineStr">
        <is>
          <t>KARLSTAD</t>
        </is>
      </c>
      <c r="G13960" t="n">
        <v>4.3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11824-2024</t>
        </is>
      </c>
      <c r="B13961" s="1" t="n">
        <v>45375</v>
      </c>
      <c r="C13961" s="1" t="n">
        <v>45810</v>
      </c>
      <c r="D13961" t="inlineStr">
        <is>
          <t>VÄRMLANDS LÄN</t>
        </is>
      </c>
      <c r="E13961" t="inlineStr">
        <is>
          <t>SÄFFLE</t>
        </is>
      </c>
      <c r="G13961" t="n">
        <v>1.7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11805-2024</t>
        </is>
      </c>
      <c r="B13962" s="1" t="n">
        <v>45375</v>
      </c>
      <c r="C13962" s="1" t="n">
        <v>45810</v>
      </c>
      <c r="D13962" t="inlineStr">
        <is>
          <t>VÄRMLANDS LÄN</t>
        </is>
      </c>
      <c r="E13962" t="inlineStr">
        <is>
          <t>ÅRJÄNG</t>
        </is>
      </c>
      <c r="G13962" t="n">
        <v>4.4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11814-2024</t>
        </is>
      </c>
      <c r="B13963" s="1" t="n">
        <v>45376</v>
      </c>
      <c r="C13963" s="1" t="n">
        <v>45810</v>
      </c>
      <c r="D13963" t="inlineStr">
        <is>
          <t>VÄRMLANDS LÄN</t>
        </is>
      </c>
      <c r="E13963" t="inlineStr">
        <is>
          <t>TORSBY</t>
        </is>
      </c>
      <c r="F13963" t="inlineStr">
        <is>
          <t>Bergvik skog väst AB</t>
        </is>
      </c>
      <c r="G13963" t="n">
        <v>19.9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11836-2024</t>
        </is>
      </c>
      <c r="B13964" s="1" t="n">
        <v>45376</v>
      </c>
      <c r="C13964" s="1" t="n">
        <v>45810</v>
      </c>
      <c r="D13964" t="inlineStr">
        <is>
          <t>VÄRMLANDS LÄN</t>
        </is>
      </c>
      <c r="E13964" t="inlineStr">
        <is>
          <t>ÅRJÄNG</t>
        </is>
      </c>
      <c r="G13964" t="n">
        <v>11.8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11890-2024</t>
        </is>
      </c>
      <c r="B13965" s="1" t="n">
        <v>45376</v>
      </c>
      <c r="C13965" s="1" t="n">
        <v>45810</v>
      </c>
      <c r="D13965" t="inlineStr">
        <is>
          <t>VÄRMLANDS LÄN</t>
        </is>
      </c>
      <c r="E13965" t="inlineStr">
        <is>
          <t>HAGFORS</t>
        </is>
      </c>
      <c r="F13965" t="inlineStr">
        <is>
          <t>Kommuner</t>
        </is>
      </c>
      <c r="G13965" t="n">
        <v>5.2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11850-2024</t>
        </is>
      </c>
      <c r="B13966" s="1" t="n">
        <v>45376</v>
      </c>
      <c r="C13966" s="1" t="n">
        <v>45810</v>
      </c>
      <c r="D13966" t="inlineStr">
        <is>
          <t>VÄRMLANDS LÄN</t>
        </is>
      </c>
      <c r="E13966" t="inlineStr">
        <is>
          <t>TORSBY</t>
        </is>
      </c>
      <c r="G13966" t="n">
        <v>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11831-2024</t>
        </is>
      </c>
      <c r="B13967" s="1" t="n">
        <v>45376</v>
      </c>
      <c r="C13967" s="1" t="n">
        <v>45810</v>
      </c>
      <c r="D13967" t="inlineStr">
        <is>
          <t>VÄRMLANDS LÄN</t>
        </is>
      </c>
      <c r="E13967" t="inlineStr">
        <is>
          <t>ÅRJÄNG</t>
        </is>
      </c>
      <c r="G13967" t="n">
        <v>4.5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11841-2024</t>
        </is>
      </c>
      <c r="B13968" s="1" t="n">
        <v>45376</v>
      </c>
      <c r="C13968" s="1" t="n">
        <v>45810</v>
      </c>
      <c r="D13968" t="inlineStr">
        <is>
          <t>VÄRMLANDS LÄN</t>
        </is>
      </c>
      <c r="E13968" t="inlineStr">
        <is>
          <t>KARLSTAD</t>
        </is>
      </c>
      <c r="G13968" t="n">
        <v>0.3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11878-2024</t>
        </is>
      </c>
      <c r="B13969" s="1" t="n">
        <v>45376</v>
      </c>
      <c r="C13969" s="1" t="n">
        <v>45810</v>
      </c>
      <c r="D13969" t="inlineStr">
        <is>
          <t>VÄRMLANDS LÄN</t>
        </is>
      </c>
      <c r="E13969" t="inlineStr">
        <is>
          <t>TORSBY</t>
        </is>
      </c>
      <c r="G13969" t="n">
        <v>0.8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11960-2024</t>
        </is>
      </c>
      <c r="B13970" s="1" t="n">
        <v>45376</v>
      </c>
      <c r="C13970" s="1" t="n">
        <v>45810</v>
      </c>
      <c r="D13970" t="inlineStr">
        <is>
          <t>VÄRMLANDS LÄN</t>
        </is>
      </c>
      <c r="E13970" t="inlineStr">
        <is>
          <t>ARVIKA</t>
        </is>
      </c>
      <c r="G13970" t="n">
        <v>0.6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12087-2024</t>
        </is>
      </c>
      <c r="B13971" s="1" t="n">
        <v>45377</v>
      </c>
      <c r="C13971" s="1" t="n">
        <v>45810</v>
      </c>
      <c r="D13971" t="inlineStr">
        <is>
          <t>VÄRMLANDS LÄN</t>
        </is>
      </c>
      <c r="E13971" t="inlineStr">
        <is>
          <t>KRISTINEHAMN</t>
        </is>
      </c>
      <c r="G13971" t="n">
        <v>1.1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12072-2024</t>
        </is>
      </c>
      <c r="B13972" s="1" t="n">
        <v>45377</v>
      </c>
      <c r="C13972" s="1" t="n">
        <v>45810</v>
      </c>
      <c r="D13972" t="inlineStr">
        <is>
          <t>VÄRMLANDS LÄN</t>
        </is>
      </c>
      <c r="E13972" t="inlineStr">
        <is>
          <t>ÅRJÄNG</t>
        </is>
      </c>
      <c r="G13972" t="n">
        <v>2.5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12104-2024</t>
        </is>
      </c>
      <c r="B13973" s="1" t="n">
        <v>45377</v>
      </c>
      <c r="C13973" s="1" t="n">
        <v>45810</v>
      </c>
      <c r="D13973" t="inlineStr">
        <is>
          <t>VÄRMLANDS LÄN</t>
        </is>
      </c>
      <c r="E13973" t="inlineStr">
        <is>
          <t>TORSBY</t>
        </is>
      </c>
      <c r="F13973" t="inlineStr">
        <is>
          <t>Bergvik skog väst AB</t>
        </is>
      </c>
      <c r="G13973" t="n">
        <v>9.4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12132-2024</t>
        </is>
      </c>
      <c r="B13974" s="1" t="n">
        <v>45377</v>
      </c>
      <c r="C13974" s="1" t="n">
        <v>45810</v>
      </c>
      <c r="D13974" t="inlineStr">
        <is>
          <t>VÄRMLANDS LÄN</t>
        </is>
      </c>
      <c r="E13974" t="inlineStr">
        <is>
          <t>KRISTINEHAMN</t>
        </is>
      </c>
      <c r="G13974" t="n">
        <v>1.3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12066-2024</t>
        </is>
      </c>
      <c r="B13975" s="1" t="n">
        <v>45377</v>
      </c>
      <c r="C13975" s="1" t="n">
        <v>45810</v>
      </c>
      <c r="D13975" t="inlineStr">
        <is>
          <t>VÄRMLANDS LÄN</t>
        </is>
      </c>
      <c r="E13975" t="inlineStr">
        <is>
          <t>EDA</t>
        </is>
      </c>
      <c r="G13975" t="n">
        <v>9.6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12107-2024</t>
        </is>
      </c>
      <c r="B13976" s="1" t="n">
        <v>45377</v>
      </c>
      <c r="C13976" s="1" t="n">
        <v>45810</v>
      </c>
      <c r="D13976" t="inlineStr">
        <is>
          <t>VÄRMLANDS LÄN</t>
        </is>
      </c>
      <c r="E13976" t="inlineStr">
        <is>
          <t>TORSBY</t>
        </is>
      </c>
      <c r="G13976" t="n">
        <v>2.4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12082-2024</t>
        </is>
      </c>
      <c r="B13977" s="1" t="n">
        <v>45377</v>
      </c>
      <c r="C13977" s="1" t="n">
        <v>45810</v>
      </c>
      <c r="D13977" t="inlineStr">
        <is>
          <t>VÄRMLANDS LÄN</t>
        </is>
      </c>
      <c r="E13977" t="inlineStr">
        <is>
          <t>GRUMS</t>
        </is>
      </c>
      <c r="G13977" t="n">
        <v>1.2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12041-2024</t>
        </is>
      </c>
      <c r="B13978" s="1" t="n">
        <v>45377</v>
      </c>
      <c r="C13978" s="1" t="n">
        <v>45810</v>
      </c>
      <c r="D13978" t="inlineStr">
        <is>
          <t>VÄRMLANDS LÄN</t>
        </is>
      </c>
      <c r="E13978" t="inlineStr">
        <is>
          <t>KRISTINEHAMN</t>
        </is>
      </c>
      <c r="G13978" t="n">
        <v>13.2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12051-2024</t>
        </is>
      </c>
      <c r="B13979" s="1" t="n">
        <v>45377</v>
      </c>
      <c r="C13979" s="1" t="n">
        <v>45810</v>
      </c>
      <c r="D13979" t="inlineStr">
        <is>
          <t>VÄRMLANDS LÄN</t>
        </is>
      </c>
      <c r="E13979" t="inlineStr">
        <is>
          <t>TORSBY</t>
        </is>
      </c>
      <c r="F13979" t="inlineStr">
        <is>
          <t>Bergvik skog väst AB</t>
        </is>
      </c>
      <c r="G13979" t="n">
        <v>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12178-2024</t>
        </is>
      </c>
      <c r="B13980" s="1" t="n">
        <v>45377</v>
      </c>
      <c r="C13980" s="1" t="n">
        <v>45810</v>
      </c>
      <c r="D13980" t="inlineStr">
        <is>
          <t>VÄRMLANDS LÄN</t>
        </is>
      </c>
      <c r="E13980" t="inlineStr">
        <is>
          <t>GRUMS</t>
        </is>
      </c>
      <c r="G13980" t="n">
        <v>7.2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12247-2024</t>
        </is>
      </c>
      <c r="B13981" s="1" t="n">
        <v>45377</v>
      </c>
      <c r="C13981" s="1" t="n">
        <v>45810</v>
      </c>
      <c r="D13981" t="inlineStr">
        <is>
          <t>VÄRMLANDS LÄN</t>
        </is>
      </c>
      <c r="E13981" t="inlineStr">
        <is>
          <t>ÅRJÄNG</t>
        </is>
      </c>
      <c r="G13981" t="n">
        <v>1.4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12151-2024</t>
        </is>
      </c>
      <c r="B13982" s="1" t="n">
        <v>45377</v>
      </c>
      <c r="C13982" s="1" t="n">
        <v>45810</v>
      </c>
      <c r="D13982" t="inlineStr">
        <is>
          <t>VÄRMLANDS LÄN</t>
        </is>
      </c>
      <c r="E13982" t="inlineStr">
        <is>
          <t>ARVIKA</t>
        </is>
      </c>
      <c r="G13982" t="n">
        <v>3.7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12084-2024</t>
        </is>
      </c>
      <c r="B13983" s="1" t="n">
        <v>45377</v>
      </c>
      <c r="C13983" s="1" t="n">
        <v>45810</v>
      </c>
      <c r="D13983" t="inlineStr">
        <is>
          <t>VÄRMLANDS LÄN</t>
        </is>
      </c>
      <c r="E13983" t="inlineStr">
        <is>
          <t>GRUMS</t>
        </is>
      </c>
      <c r="G13983" t="n">
        <v>1.1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12175-2024</t>
        </is>
      </c>
      <c r="B13984" s="1" t="n">
        <v>45377</v>
      </c>
      <c r="C13984" s="1" t="n">
        <v>45810</v>
      </c>
      <c r="D13984" t="inlineStr">
        <is>
          <t>VÄRMLANDS LÄN</t>
        </is>
      </c>
      <c r="E13984" t="inlineStr">
        <is>
          <t>GRUMS</t>
        </is>
      </c>
      <c r="G13984" t="n">
        <v>5.6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12230-2024</t>
        </is>
      </c>
      <c r="B13985" s="1" t="n">
        <v>45378</v>
      </c>
      <c r="C13985" s="1" t="n">
        <v>45810</v>
      </c>
      <c r="D13985" t="inlineStr">
        <is>
          <t>VÄRMLANDS LÄN</t>
        </is>
      </c>
      <c r="E13985" t="inlineStr">
        <is>
          <t>EDA</t>
        </is>
      </c>
      <c r="G13985" t="n">
        <v>1.6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12251-2024</t>
        </is>
      </c>
      <c r="B13986" s="1" t="n">
        <v>45378</v>
      </c>
      <c r="C13986" s="1" t="n">
        <v>45810</v>
      </c>
      <c r="D13986" t="inlineStr">
        <is>
          <t>VÄRMLANDS LÄN</t>
        </is>
      </c>
      <c r="E13986" t="inlineStr">
        <is>
          <t>KIL</t>
        </is>
      </c>
      <c r="G13986" t="n">
        <v>2.8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12267-2024</t>
        </is>
      </c>
      <c r="B13987" s="1" t="n">
        <v>45378</v>
      </c>
      <c r="C13987" s="1" t="n">
        <v>45810</v>
      </c>
      <c r="D13987" t="inlineStr">
        <is>
          <t>VÄRMLANDS LÄN</t>
        </is>
      </c>
      <c r="E13987" t="inlineStr">
        <is>
          <t>FILIPSTAD</t>
        </is>
      </c>
      <c r="F13987" t="inlineStr">
        <is>
          <t>Bergvik skog väst AB</t>
        </is>
      </c>
      <c r="G13987" t="n">
        <v>14.2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12249-2024</t>
        </is>
      </c>
      <c r="B13988" s="1" t="n">
        <v>45378</v>
      </c>
      <c r="C13988" s="1" t="n">
        <v>45810</v>
      </c>
      <c r="D13988" t="inlineStr">
        <is>
          <t>VÄRMLANDS LÄN</t>
        </is>
      </c>
      <c r="E13988" t="inlineStr">
        <is>
          <t>KIL</t>
        </is>
      </c>
      <c r="G13988" t="n">
        <v>0.8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12261-2024</t>
        </is>
      </c>
      <c r="B13989" s="1" t="n">
        <v>45378</v>
      </c>
      <c r="C13989" s="1" t="n">
        <v>45810</v>
      </c>
      <c r="D13989" t="inlineStr">
        <is>
          <t>VÄRMLANDS LÄN</t>
        </is>
      </c>
      <c r="E13989" t="inlineStr">
        <is>
          <t>KRISTINEHAMN</t>
        </is>
      </c>
      <c r="G13989" t="n">
        <v>0.7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12279-2024</t>
        </is>
      </c>
      <c r="B13990" s="1" t="n">
        <v>45378</v>
      </c>
      <c r="C13990" s="1" t="n">
        <v>45810</v>
      </c>
      <c r="D13990" t="inlineStr">
        <is>
          <t>VÄRMLANDS LÄN</t>
        </is>
      </c>
      <c r="E13990" t="inlineStr">
        <is>
          <t>FILIPSTAD</t>
        </is>
      </c>
      <c r="F13990" t="inlineStr">
        <is>
          <t>Bergvik skog väst AB</t>
        </is>
      </c>
      <c r="G13990" t="n">
        <v>5.2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12283-2024</t>
        </is>
      </c>
      <c r="B13991" s="1" t="n">
        <v>45378</v>
      </c>
      <c r="C13991" s="1" t="n">
        <v>45810</v>
      </c>
      <c r="D13991" t="inlineStr">
        <is>
          <t>VÄRMLANDS LÄN</t>
        </is>
      </c>
      <c r="E13991" t="inlineStr">
        <is>
          <t>FILIPSTAD</t>
        </is>
      </c>
      <c r="F13991" t="inlineStr">
        <is>
          <t>Bergvik skog väst AB</t>
        </is>
      </c>
      <c r="G13991" t="n">
        <v>3.3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12294-2024</t>
        </is>
      </c>
      <c r="B13992" s="1" t="n">
        <v>45378</v>
      </c>
      <c r="C13992" s="1" t="n">
        <v>45810</v>
      </c>
      <c r="D13992" t="inlineStr">
        <is>
          <t>VÄRMLANDS LÄN</t>
        </is>
      </c>
      <c r="E13992" t="inlineStr">
        <is>
          <t>SÄFFLE</t>
        </is>
      </c>
      <c r="G13992" t="n">
        <v>4.5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12298-2024</t>
        </is>
      </c>
      <c r="B13993" s="1" t="n">
        <v>45378</v>
      </c>
      <c r="C13993" s="1" t="n">
        <v>45810</v>
      </c>
      <c r="D13993" t="inlineStr">
        <is>
          <t>VÄRMLANDS LÄN</t>
        </is>
      </c>
      <c r="E13993" t="inlineStr">
        <is>
          <t>FILIPSTAD</t>
        </is>
      </c>
      <c r="F13993" t="inlineStr">
        <is>
          <t>Bergvik skog väst AB</t>
        </is>
      </c>
      <c r="G13993" t="n">
        <v>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12281-2024</t>
        </is>
      </c>
      <c r="B13994" s="1" t="n">
        <v>45378</v>
      </c>
      <c r="C13994" s="1" t="n">
        <v>45810</v>
      </c>
      <c r="D13994" t="inlineStr">
        <is>
          <t>VÄRMLANDS LÄN</t>
        </is>
      </c>
      <c r="E13994" t="inlineStr">
        <is>
          <t>KIL</t>
        </is>
      </c>
      <c r="G13994" t="n">
        <v>0.7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12286-2024</t>
        </is>
      </c>
      <c r="B13995" s="1" t="n">
        <v>45378</v>
      </c>
      <c r="C13995" s="1" t="n">
        <v>45810</v>
      </c>
      <c r="D13995" t="inlineStr">
        <is>
          <t>VÄRMLANDS LÄN</t>
        </is>
      </c>
      <c r="E13995" t="inlineStr">
        <is>
          <t>FILIPSTAD</t>
        </is>
      </c>
      <c r="F13995" t="inlineStr">
        <is>
          <t>Bergvik skog väst AB</t>
        </is>
      </c>
      <c r="G13995" t="n">
        <v>3.6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12296-2024</t>
        </is>
      </c>
      <c r="B13996" s="1" t="n">
        <v>45378</v>
      </c>
      <c r="C13996" s="1" t="n">
        <v>45810</v>
      </c>
      <c r="D13996" t="inlineStr">
        <is>
          <t>VÄRMLANDS LÄN</t>
        </is>
      </c>
      <c r="E13996" t="inlineStr">
        <is>
          <t>ARVIKA</t>
        </is>
      </c>
      <c r="G13996" t="n">
        <v>3.2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12300-2024</t>
        </is>
      </c>
      <c r="B13997" s="1" t="n">
        <v>45378</v>
      </c>
      <c r="C13997" s="1" t="n">
        <v>45810</v>
      </c>
      <c r="D13997" t="inlineStr">
        <is>
          <t>VÄRMLANDS LÄN</t>
        </is>
      </c>
      <c r="E13997" t="inlineStr">
        <is>
          <t>ARVIKA</t>
        </is>
      </c>
      <c r="G13997" t="n">
        <v>2.3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12304-2024</t>
        </is>
      </c>
      <c r="B13998" s="1" t="n">
        <v>45378</v>
      </c>
      <c r="C13998" s="1" t="n">
        <v>45810</v>
      </c>
      <c r="D13998" t="inlineStr">
        <is>
          <t>VÄRMLANDS LÄN</t>
        </is>
      </c>
      <c r="E13998" t="inlineStr">
        <is>
          <t>SUNNE</t>
        </is>
      </c>
      <c r="G13998" t="n">
        <v>3.3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12311-2024</t>
        </is>
      </c>
      <c r="B13999" s="1" t="n">
        <v>45378</v>
      </c>
      <c r="C13999" s="1" t="n">
        <v>45810</v>
      </c>
      <c r="D13999" t="inlineStr">
        <is>
          <t>VÄRMLANDS LÄN</t>
        </is>
      </c>
      <c r="E13999" t="inlineStr">
        <is>
          <t>GRUMS</t>
        </is>
      </c>
      <c r="G13999" t="n">
        <v>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12320-2024</t>
        </is>
      </c>
      <c r="B14000" s="1" t="n">
        <v>45378</v>
      </c>
      <c r="C14000" s="1" t="n">
        <v>45810</v>
      </c>
      <c r="D14000" t="inlineStr">
        <is>
          <t>VÄRMLANDS LÄN</t>
        </is>
      </c>
      <c r="E14000" t="inlineStr">
        <is>
          <t>FORSHAGA</t>
        </is>
      </c>
      <c r="F14000" t="inlineStr">
        <is>
          <t>Bergvik skog väst AB</t>
        </is>
      </c>
      <c r="G14000" t="n">
        <v>0.9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12219-2024</t>
        </is>
      </c>
      <c r="B14001" s="1" t="n">
        <v>45378</v>
      </c>
      <c r="C14001" s="1" t="n">
        <v>45810</v>
      </c>
      <c r="D14001" t="inlineStr">
        <is>
          <t>VÄRMLANDS LÄN</t>
        </is>
      </c>
      <c r="E14001" t="inlineStr">
        <is>
          <t>KARLSTAD</t>
        </is>
      </c>
      <c r="G14001" t="n">
        <v>1.8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12227-2024</t>
        </is>
      </c>
      <c r="B14002" s="1" t="n">
        <v>45378</v>
      </c>
      <c r="C14002" s="1" t="n">
        <v>45810</v>
      </c>
      <c r="D14002" t="inlineStr">
        <is>
          <t>VÄRMLANDS LÄN</t>
        </is>
      </c>
      <c r="E14002" t="inlineStr">
        <is>
          <t>STORFORS</t>
        </is>
      </c>
      <c r="F14002" t="inlineStr">
        <is>
          <t>Naturvårdsverket</t>
        </is>
      </c>
      <c r="G14002" t="n">
        <v>0.9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12239-2024</t>
        </is>
      </c>
      <c r="B14003" s="1" t="n">
        <v>45378</v>
      </c>
      <c r="C14003" s="1" t="n">
        <v>45810</v>
      </c>
      <c r="D14003" t="inlineStr">
        <is>
          <t>VÄRMLANDS LÄN</t>
        </is>
      </c>
      <c r="E14003" t="inlineStr">
        <is>
          <t>EDA</t>
        </is>
      </c>
      <c r="G14003" t="n">
        <v>1.5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12252-2024</t>
        </is>
      </c>
      <c r="B14004" s="1" t="n">
        <v>45378</v>
      </c>
      <c r="C14004" s="1" t="n">
        <v>45810</v>
      </c>
      <c r="D14004" t="inlineStr">
        <is>
          <t>VÄRMLANDS LÄN</t>
        </is>
      </c>
      <c r="E14004" t="inlineStr">
        <is>
          <t>KIL</t>
        </is>
      </c>
      <c r="G14004" t="n">
        <v>0.4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12342-2024</t>
        </is>
      </c>
      <c r="B14005" s="1" t="n">
        <v>45378</v>
      </c>
      <c r="C14005" s="1" t="n">
        <v>45810</v>
      </c>
      <c r="D14005" t="inlineStr">
        <is>
          <t>VÄRMLANDS LÄN</t>
        </is>
      </c>
      <c r="E14005" t="inlineStr">
        <is>
          <t>STORFORS</t>
        </is>
      </c>
      <c r="G14005" t="n">
        <v>4.7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12272-2024</t>
        </is>
      </c>
      <c r="B14006" s="1" t="n">
        <v>45378</v>
      </c>
      <c r="C14006" s="1" t="n">
        <v>45810</v>
      </c>
      <c r="D14006" t="inlineStr">
        <is>
          <t>VÄRMLANDS LÄN</t>
        </is>
      </c>
      <c r="E14006" t="inlineStr">
        <is>
          <t>KIL</t>
        </is>
      </c>
      <c r="G14006" t="n">
        <v>0.6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12280-2024</t>
        </is>
      </c>
      <c r="B14007" s="1" t="n">
        <v>45378</v>
      </c>
      <c r="C14007" s="1" t="n">
        <v>45810</v>
      </c>
      <c r="D14007" t="inlineStr">
        <is>
          <t>VÄRMLANDS LÄN</t>
        </is>
      </c>
      <c r="E14007" t="inlineStr">
        <is>
          <t>KIL</t>
        </is>
      </c>
      <c r="G14007" t="n">
        <v>0.3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12592-2024</t>
        </is>
      </c>
      <c r="B14008" s="1" t="n">
        <v>45380</v>
      </c>
      <c r="C14008" s="1" t="n">
        <v>45810</v>
      </c>
      <c r="D14008" t="inlineStr">
        <is>
          <t>VÄRMLANDS LÄN</t>
        </is>
      </c>
      <c r="E14008" t="inlineStr">
        <is>
          <t>HAGFORS</t>
        </is>
      </c>
      <c r="F14008" t="inlineStr">
        <is>
          <t>Bergvik skog väst AB</t>
        </is>
      </c>
      <c r="G14008" t="n">
        <v>4.7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12409-2024</t>
        </is>
      </c>
      <c r="B14009" s="1" t="n">
        <v>45379</v>
      </c>
      <c r="C14009" s="1" t="n">
        <v>45810</v>
      </c>
      <c r="D14009" t="inlineStr">
        <is>
          <t>VÄRMLANDS LÄN</t>
        </is>
      </c>
      <c r="E14009" t="inlineStr">
        <is>
          <t>SUNNE</t>
        </is>
      </c>
      <c r="G14009" t="n">
        <v>3.2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12509-2024</t>
        </is>
      </c>
      <c r="B14010" s="1" t="n">
        <v>45379</v>
      </c>
      <c r="C14010" s="1" t="n">
        <v>45810</v>
      </c>
      <c r="D14010" t="inlineStr">
        <is>
          <t>VÄRMLANDS LÄN</t>
        </is>
      </c>
      <c r="E14010" t="inlineStr">
        <is>
          <t>TORSBY</t>
        </is>
      </c>
      <c r="G14010" t="n">
        <v>1.5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12501-2024</t>
        </is>
      </c>
      <c r="B14011" s="1" t="n">
        <v>45379</v>
      </c>
      <c r="C14011" s="1" t="n">
        <v>45810</v>
      </c>
      <c r="D14011" t="inlineStr">
        <is>
          <t>VÄRMLANDS LÄN</t>
        </is>
      </c>
      <c r="E14011" t="inlineStr">
        <is>
          <t>ÅRJÄNG</t>
        </is>
      </c>
      <c r="G14011" t="n">
        <v>4.3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12503-2024</t>
        </is>
      </c>
      <c r="B14012" s="1" t="n">
        <v>45379</v>
      </c>
      <c r="C14012" s="1" t="n">
        <v>45810</v>
      </c>
      <c r="D14012" t="inlineStr">
        <is>
          <t>VÄRMLANDS LÄN</t>
        </is>
      </c>
      <c r="E14012" t="inlineStr">
        <is>
          <t>TORSBY</t>
        </is>
      </c>
      <c r="G14012" t="n">
        <v>0.6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12482-2024</t>
        </is>
      </c>
      <c r="B14013" s="1" t="n">
        <v>45379</v>
      </c>
      <c r="C14013" s="1" t="n">
        <v>45810</v>
      </c>
      <c r="D14013" t="inlineStr">
        <is>
          <t>VÄRMLANDS LÄN</t>
        </is>
      </c>
      <c r="E14013" t="inlineStr">
        <is>
          <t>SÄFFLE</t>
        </is>
      </c>
      <c r="G14013" t="n">
        <v>3.2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12494-2024</t>
        </is>
      </c>
      <c r="B14014" s="1" t="n">
        <v>45379</v>
      </c>
      <c r="C14014" s="1" t="n">
        <v>45810</v>
      </c>
      <c r="D14014" t="inlineStr">
        <is>
          <t>VÄRMLANDS LÄN</t>
        </is>
      </c>
      <c r="E14014" t="inlineStr">
        <is>
          <t>ÅRJÄNG</t>
        </is>
      </c>
      <c r="G14014" t="n">
        <v>9.699999999999999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12452-2024</t>
        </is>
      </c>
      <c r="B14015" s="1" t="n">
        <v>45379</v>
      </c>
      <c r="C14015" s="1" t="n">
        <v>45810</v>
      </c>
      <c r="D14015" t="inlineStr">
        <is>
          <t>VÄRMLANDS LÄN</t>
        </is>
      </c>
      <c r="E14015" t="inlineStr">
        <is>
          <t>KRISTINEHAMN</t>
        </is>
      </c>
      <c r="G14015" t="n">
        <v>0.9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12479-2024</t>
        </is>
      </c>
      <c r="B14016" s="1" t="n">
        <v>45379</v>
      </c>
      <c r="C14016" s="1" t="n">
        <v>45810</v>
      </c>
      <c r="D14016" t="inlineStr">
        <is>
          <t>VÄRMLANDS LÄN</t>
        </is>
      </c>
      <c r="E14016" t="inlineStr">
        <is>
          <t>SÄFFLE</t>
        </is>
      </c>
      <c r="G14016" t="n">
        <v>3.9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12423-2024</t>
        </is>
      </c>
      <c r="B14017" s="1" t="n">
        <v>45379</v>
      </c>
      <c r="C14017" s="1" t="n">
        <v>45810</v>
      </c>
      <c r="D14017" t="inlineStr">
        <is>
          <t>VÄRMLANDS LÄN</t>
        </is>
      </c>
      <c r="E14017" t="inlineStr">
        <is>
          <t>KRISTINEHAMN</t>
        </is>
      </c>
      <c r="G14017" t="n">
        <v>12.6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12408-2024</t>
        </is>
      </c>
      <c r="B14018" s="1" t="n">
        <v>45379</v>
      </c>
      <c r="C14018" s="1" t="n">
        <v>45810</v>
      </c>
      <c r="D14018" t="inlineStr">
        <is>
          <t>VÄRMLANDS LÄN</t>
        </is>
      </c>
      <c r="E14018" t="inlineStr">
        <is>
          <t>SUNNE</t>
        </is>
      </c>
      <c r="G14018" t="n">
        <v>3.7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12410-2024</t>
        </is>
      </c>
      <c r="B14019" s="1" t="n">
        <v>45379</v>
      </c>
      <c r="C14019" s="1" t="n">
        <v>45810</v>
      </c>
      <c r="D14019" t="inlineStr">
        <is>
          <t>VÄRMLANDS LÄN</t>
        </is>
      </c>
      <c r="E14019" t="inlineStr">
        <is>
          <t>KARLSTAD</t>
        </is>
      </c>
      <c r="G14019" t="n">
        <v>1.8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12506-2024</t>
        </is>
      </c>
      <c r="B14020" s="1" t="n">
        <v>45379</v>
      </c>
      <c r="C14020" s="1" t="n">
        <v>45810</v>
      </c>
      <c r="D14020" t="inlineStr">
        <is>
          <t>VÄRMLANDS LÄN</t>
        </is>
      </c>
      <c r="E14020" t="inlineStr">
        <is>
          <t>KARLSTAD</t>
        </is>
      </c>
      <c r="G14020" t="n">
        <v>6.8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12397-2024</t>
        </is>
      </c>
      <c r="B14021" s="1" t="n">
        <v>45379</v>
      </c>
      <c r="C14021" s="1" t="n">
        <v>45810</v>
      </c>
      <c r="D14021" t="inlineStr">
        <is>
          <t>VÄRMLANDS LÄN</t>
        </is>
      </c>
      <c r="E14021" t="inlineStr">
        <is>
          <t>KARLSTAD</t>
        </is>
      </c>
      <c r="G14021" t="n">
        <v>1.8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12381-2024</t>
        </is>
      </c>
      <c r="B14022" s="1" t="n">
        <v>45379</v>
      </c>
      <c r="C14022" s="1" t="n">
        <v>45810</v>
      </c>
      <c r="D14022" t="inlineStr">
        <is>
          <t>VÄRMLANDS LÄN</t>
        </is>
      </c>
      <c r="E14022" t="inlineStr">
        <is>
          <t>EDA</t>
        </is>
      </c>
      <c r="G14022" t="n">
        <v>1.6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12467-2024</t>
        </is>
      </c>
      <c r="B14023" s="1" t="n">
        <v>45379</v>
      </c>
      <c r="C14023" s="1" t="n">
        <v>45810</v>
      </c>
      <c r="D14023" t="inlineStr">
        <is>
          <t>VÄRMLANDS LÄN</t>
        </is>
      </c>
      <c r="E14023" t="inlineStr">
        <is>
          <t>KRISTINEHAMN</t>
        </is>
      </c>
      <c r="G14023" t="n">
        <v>0.6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12416-2024</t>
        </is>
      </c>
      <c r="B14024" s="1" t="n">
        <v>45379</v>
      </c>
      <c r="C14024" s="1" t="n">
        <v>45810</v>
      </c>
      <c r="D14024" t="inlineStr">
        <is>
          <t>VÄRMLANDS LÄN</t>
        </is>
      </c>
      <c r="E14024" t="inlineStr">
        <is>
          <t>KRISTINEHAMN</t>
        </is>
      </c>
      <c r="G14024" t="n">
        <v>0.7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12458-2024</t>
        </is>
      </c>
      <c r="B14025" s="1" t="n">
        <v>45379</v>
      </c>
      <c r="C14025" s="1" t="n">
        <v>45810</v>
      </c>
      <c r="D14025" t="inlineStr">
        <is>
          <t>VÄRMLANDS LÄN</t>
        </is>
      </c>
      <c r="E14025" t="inlineStr">
        <is>
          <t>KRISTINEHAMN</t>
        </is>
      </c>
      <c r="G14025" t="n">
        <v>1.5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12514-2024</t>
        </is>
      </c>
      <c r="B14026" s="1" t="n">
        <v>45379</v>
      </c>
      <c r="C14026" s="1" t="n">
        <v>45810</v>
      </c>
      <c r="D14026" t="inlineStr">
        <is>
          <t>VÄRMLANDS LÄN</t>
        </is>
      </c>
      <c r="E14026" t="inlineStr">
        <is>
          <t>FILIPSTAD</t>
        </is>
      </c>
      <c r="F14026" t="inlineStr">
        <is>
          <t>Bergvik skog väst AB</t>
        </is>
      </c>
      <c r="G14026" t="n">
        <v>13.8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12527-2024</t>
        </is>
      </c>
      <c r="B14027" s="1" t="n">
        <v>45379</v>
      </c>
      <c r="C14027" s="1" t="n">
        <v>45810</v>
      </c>
      <c r="D14027" t="inlineStr">
        <is>
          <t>VÄRMLANDS LÄN</t>
        </is>
      </c>
      <c r="E14027" t="inlineStr">
        <is>
          <t>SUNNE</t>
        </is>
      </c>
      <c r="G14027" t="n">
        <v>1.1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12395-2024</t>
        </is>
      </c>
      <c r="B14028" s="1" t="n">
        <v>45379</v>
      </c>
      <c r="C14028" s="1" t="n">
        <v>45810</v>
      </c>
      <c r="D14028" t="inlineStr">
        <is>
          <t>VÄRMLANDS LÄN</t>
        </is>
      </c>
      <c r="E14028" t="inlineStr">
        <is>
          <t>KRISTINEHAMN</t>
        </is>
      </c>
      <c r="G14028" t="n">
        <v>4.7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12399-2024</t>
        </is>
      </c>
      <c r="B14029" s="1" t="n">
        <v>45379</v>
      </c>
      <c r="C14029" s="1" t="n">
        <v>45810</v>
      </c>
      <c r="D14029" t="inlineStr">
        <is>
          <t>VÄRMLANDS LÄN</t>
        </is>
      </c>
      <c r="E14029" t="inlineStr">
        <is>
          <t>KARLSTAD</t>
        </is>
      </c>
      <c r="G14029" t="n">
        <v>6.5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12403-2024</t>
        </is>
      </c>
      <c r="B14030" s="1" t="n">
        <v>45379</v>
      </c>
      <c r="C14030" s="1" t="n">
        <v>45810</v>
      </c>
      <c r="D14030" t="inlineStr">
        <is>
          <t>VÄRMLANDS LÄN</t>
        </is>
      </c>
      <c r="E14030" t="inlineStr">
        <is>
          <t>SUNNE</t>
        </is>
      </c>
      <c r="G14030" t="n">
        <v>4.9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12426-2024</t>
        </is>
      </c>
      <c r="B14031" s="1" t="n">
        <v>45379</v>
      </c>
      <c r="C14031" s="1" t="n">
        <v>45810</v>
      </c>
      <c r="D14031" t="inlineStr">
        <is>
          <t>VÄRMLANDS LÄN</t>
        </is>
      </c>
      <c r="E14031" t="inlineStr">
        <is>
          <t>HAGFORS</t>
        </is>
      </c>
      <c r="G14031" t="n">
        <v>0.1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12488-2024</t>
        </is>
      </c>
      <c r="B14032" s="1" t="n">
        <v>45379</v>
      </c>
      <c r="C14032" s="1" t="n">
        <v>45810</v>
      </c>
      <c r="D14032" t="inlineStr">
        <is>
          <t>VÄRMLANDS LÄN</t>
        </is>
      </c>
      <c r="E14032" t="inlineStr">
        <is>
          <t>ÅRJÄNG</t>
        </is>
      </c>
      <c r="G14032" t="n">
        <v>9.800000000000001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12520-2024</t>
        </is>
      </c>
      <c r="B14033" s="1" t="n">
        <v>45379</v>
      </c>
      <c r="C14033" s="1" t="n">
        <v>45810</v>
      </c>
      <c r="D14033" t="inlineStr">
        <is>
          <t>VÄRMLANDS LÄN</t>
        </is>
      </c>
      <c r="E14033" t="inlineStr">
        <is>
          <t>KRISTINEHAMN</t>
        </is>
      </c>
      <c r="G14033" t="n">
        <v>2.5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12594-2024</t>
        </is>
      </c>
      <c r="B14034" s="1" t="n">
        <v>45380</v>
      </c>
      <c r="C14034" s="1" t="n">
        <v>45810</v>
      </c>
      <c r="D14034" t="inlineStr">
        <is>
          <t>VÄRMLANDS LÄN</t>
        </is>
      </c>
      <c r="E14034" t="inlineStr">
        <is>
          <t>KRISTINEHAMN</t>
        </is>
      </c>
      <c r="G14034" t="n">
        <v>4.1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12599-2024</t>
        </is>
      </c>
      <c r="B14035" s="1" t="n">
        <v>45380</v>
      </c>
      <c r="C14035" s="1" t="n">
        <v>45810</v>
      </c>
      <c r="D14035" t="inlineStr">
        <is>
          <t>VÄRMLANDS LÄN</t>
        </is>
      </c>
      <c r="E14035" t="inlineStr">
        <is>
          <t>SÄFFLE</t>
        </is>
      </c>
      <c r="G14035" t="n">
        <v>3.2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12613-2024</t>
        </is>
      </c>
      <c r="B14036" s="1" t="n">
        <v>45382</v>
      </c>
      <c r="C14036" s="1" t="n">
        <v>45810</v>
      </c>
      <c r="D14036" t="inlineStr">
        <is>
          <t>VÄRMLANDS LÄN</t>
        </is>
      </c>
      <c r="E14036" t="inlineStr">
        <is>
          <t>KARLSTAD</t>
        </is>
      </c>
      <c r="G14036" t="n">
        <v>5.1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12612-2024</t>
        </is>
      </c>
      <c r="B14037" s="1" t="n">
        <v>45382</v>
      </c>
      <c r="C14037" s="1" t="n">
        <v>45810</v>
      </c>
      <c r="D14037" t="inlineStr">
        <is>
          <t>VÄRMLANDS LÄN</t>
        </is>
      </c>
      <c r="E14037" t="inlineStr">
        <is>
          <t>KARLSTAD</t>
        </is>
      </c>
      <c r="G14037" t="n">
        <v>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12611-2024</t>
        </is>
      </c>
      <c r="B14038" s="1" t="n">
        <v>45382</v>
      </c>
      <c r="C14038" s="1" t="n">
        <v>45810</v>
      </c>
      <c r="D14038" t="inlineStr">
        <is>
          <t>VÄRMLANDS LÄN</t>
        </is>
      </c>
      <c r="E14038" t="inlineStr">
        <is>
          <t>KARLSTAD</t>
        </is>
      </c>
      <c r="G14038" t="n">
        <v>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12628-2024</t>
        </is>
      </c>
      <c r="B14039" s="1" t="n">
        <v>45383</v>
      </c>
      <c r="C14039" s="1" t="n">
        <v>45810</v>
      </c>
      <c r="D14039" t="inlineStr">
        <is>
          <t>VÄRMLANDS LÄN</t>
        </is>
      </c>
      <c r="E14039" t="inlineStr">
        <is>
          <t>HAGFORS</t>
        </is>
      </c>
      <c r="G14039" t="n">
        <v>9.5</v>
      </c>
      <c r="H14039" t="n">
        <v>0</v>
      </c>
      <c r="I14039" t="n">
        <v>0</v>
      </c>
      <c r="J14039" t="n">
        <v>0</v>
      </c>
      <c r="K14039" t="n">
        <v>0</v>
      </c>
      <c r="L14039" t="n">
        <v>0</v>
      </c>
      <c r="M14039" t="n">
        <v>0</v>
      </c>
      <c r="N14039" t="n">
        <v>0</v>
      </c>
      <c r="O14039" t="n">
        <v>0</v>
      </c>
      <c r="P14039" t="n">
        <v>0</v>
      </c>
      <c r="Q14039" t="n">
        <v>0</v>
      </c>
      <c r="R14039" s="2" t="inlineStr"/>
      <c r="U14039">
        <f>HYPERLINK("https://klasma.github.io/Logging_1783/knärot/A 12628-2024 karta knärot.png", "A 12628-2024")</f>
        <v/>
      </c>
      <c r="V14039">
        <f>HYPERLINK("https://klasma.github.io/Logging_1783/klagomål/A 12628-2024 FSC-klagomål.docx", "A 12628-2024")</f>
        <v/>
      </c>
      <c r="W14039">
        <f>HYPERLINK("https://klasma.github.io/Logging_1783/klagomålsmail/A 12628-2024 FSC-klagomål mail.docx", "A 12628-2024")</f>
        <v/>
      </c>
      <c r="X14039">
        <f>HYPERLINK("https://klasma.github.io/Logging_1783/tillsyn/A 12628-2024 tillsynsbegäran.docx", "A 12628-2024")</f>
        <v/>
      </c>
      <c r="Y14039">
        <f>HYPERLINK("https://klasma.github.io/Logging_1783/tillsynsmail/A 12628-2024 tillsynsbegäran mail.docx", "A 12628-2024")</f>
        <v/>
      </c>
    </row>
    <row r="14040" ht="15" customHeight="1">
      <c r="A14040" t="inlineStr">
        <is>
          <t>A 12668-2024</t>
        </is>
      </c>
      <c r="B14040" s="1" t="n">
        <v>45383</v>
      </c>
      <c r="C14040" s="1" t="n">
        <v>45810</v>
      </c>
      <c r="D14040" t="inlineStr">
        <is>
          <t>VÄRMLANDS LÄN</t>
        </is>
      </c>
      <c r="E14040" t="inlineStr">
        <is>
          <t>SÄFFLE</t>
        </is>
      </c>
      <c r="G14040" t="n">
        <v>1.8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12626-2024</t>
        </is>
      </c>
      <c r="B14041" s="1" t="n">
        <v>45383</v>
      </c>
      <c r="C14041" s="1" t="n">
        <v>45810</v>
      </c>
      <c r="D14041" t="inlineStr">
        <is>
          <t>VÄRMLANDS LÄN</t>
        </is>
      </c>
      <c r="E14041" t="inlineStr">
        <is>
          <t>HAGFORS</t>
        </is>
      </c>
      <c r="G14041" t="n">
        <v>6.4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12661-2024</t>
        </is>
      </c>
      <c r="B14042" s="1" t="n">
        <v>45383</v>
      </c>
      <c r="C14042" s="1" t="n">
        <v>45810</v>
      </c>
      <c r="D14042" t="inlineStr">
        <is>
          <t>VÄRMLANDS LÄN</t>
        </is>
      </c>
      <c r="E14042" t="inlineStr">
        <is>
          <t>SÄFFLE</t>
        </is>
      </c>
      <c r="G14042" t="n">
        <v>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12652-2024</t>
        </is>
      </c>
      <c r="B14043" s="1" t="n">
        <v>45384</v>
      </c>
      <c r="C14043" s="1" t="n">
        <v>45810</v>
      </c>
      <c r="D14043" t="inlineStr">
        <is>
          <t>VÄRMLANDS LÄN</t>
        </is>
      </c>
      <c r="E14043" t="inlineStr">
        <is>
          <t>KIL</t>
        </is>
      </c>
      <c r="G14043" t="n">
        <v>5.4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12684-2024</t>
        </is>
      </c>
      <c r="B14044" s="1" t="n">
        <v>45384</v>
      </c>
      <c r="C14044" s="1" t="n">
        <v>45810</v>
      </c>
      <c r="D14044" t="inlineStr">
        <is>
          <t>VÄRMLANDS LÄN</t>
        </is>
      </c>
      <c r="E14044" t="inlineStr">
        <is>
          <t>TORSBY</t>
        </is>
      </c>
      <c r="G14044" t="n">
        <v>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12728-2024</t>
        </is>
      </c>
      <c r="B14045" s="1" t="n">
        <v>45384</v>
      </c>
      <c r="C14045" s="1" t="n">
        <v>45810</v>
      </c>
      <c r="D14045" t="inlineStr">
        <is>
          <t>VÄRMLANDS LÄN</t>
        </is>
      </c>
      <c r="E14045" t="inlineStr">
        <is>
          <t>FILIPSTAD</t>
        </is>
      </c>
      <c r="G14045" t="n">
        <v>2.4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12736-2024</t>
        </is>
      </c>
      <c r="B14046" s="1" t="n">
        <v>45384</v>
      </c>
      <c r="C14046" s="1" t="n">
        <v>45810</v>
      </c>
      <c r="D14046" t="inlineStr">
        <is>
          <t>VÄRMLANDS LÄN</t>
        </is>
      </c>
      <c r="E14046" t="inlineStr">
        <is>
          <t>ARVIKA</t>
        </is>
      </c>
      <c r="G14046" t="n">
        <v>2.7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12738-2024</t>
        </is>
      </c>
      <c r="B14047" s="1" t="n">
        <v>45384</v>
      </c>
      <c r="C14047" s="1" t="n">
        <v>45810</v>
      </c>
      <c r="D14047" t="inlineStr">
        <is>
          <t>VÄRMLANDS LÄN</t>
        </is>
      </c>
      <c r="E14047" t="inlineStr">
        <is>
          <t>SÄFFLE</t>
        </is>
      </c>
      <c r="G14047" t="n">
        <v>9.800000000000001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12744-2024</t>
        </is>
      </c>
      <c r="B14048" s="1" t="n">
        <v>45384</v>
      </c>
      <c r="C14048" s="1" t="n">
        <v>45810</v>
      </c>
      <c r="D14048" t="inlineStr">
        <is>
          <t>VÄRMLANDS LÄN</t>
        </is>
      </c>
      <c r="E14048" t="inlineStr">
        <is>
          <t>ARVIKA</t>
        </is>
      </c>
      <c r="G14048" t="n">
        <v>0.6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12748-2024</t>
        </is>
      </c>
      <c r="B14049" s="1" t="n">
        <v>45384</v>
      </c>
      <c r="C14049" s="1" t="n">
        <v>45810</v>
      </c>
      <c r="D14049" t="inlineStr">
        <is>
          <t>VÄRMLANDS LÄN</t>
        </is>
      </c>
      <c r="E14049" t="inlineStr">
        <is>
          <t>SUNNE</t>
        </is>
      </c>
      <c r="G14049" t="n">
        <v>2.3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12737-2024</t>
        </is>
      </c>
      <c r="B14050" s="1" t="n">
        <v>45384</v>
      </c>
      <c r="C14050" s="1" t="n">
        <v>45810</v>
      </c>
      <c r="D14050" t="inlineStr">
        <is>
          <t>VÄRMLANDS LÄN</t>
        </is>
      </c>
      <c r="E14050" t="inlineStr">
        <is>
          <t>FILIPSTAD</t>
        </is>
      </c>
      <c r="G14050" t="n">
        <v>0.7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12757-2024</t>
        </is>
      </c>
      <c r="B14051" s="1" t="n">
        <v>45384</v>
      </c>
      <c r="C14051" s="1" t="n">
        <v>45810</v>
      </c>
      <c r="D14051" t="inlineStr">
        <is>
          <t>VÄRMLANDS LÄN</t>
        </is>
      </c>
      <c r="E14051" t="inlineStr">
        <is>
          <t>SUNNE</t>
        </is>
      </c>
      <c r="G14051" t="n">
        <v>11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12761-2024</t>
        </is>
      </c>
      <c r="B14052" s="1" t="n">
        <v>45384</v>
      </c>
      <c r="C14052" s="1" t="n">
        <v>45810</v>
      </c>
      <c r="D14052" t="inlineStr">
        <is>
          <t>VÄRMLANDS LÄN</t>
        </is>
      </c>
      <c r="E14052" t="inlineStr">
        <is>
          <t>SUNNE</t>
        </is>
      </c>
      <c r="G14052" t="n">
        <v>2.4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12829-2024</t>
        </is>
      </c>
      <c r="B14053" s="1" t="n">
        <v>45384</v>
      </c>
      <c r="C14053" s="1" t="n">
        <v>45810</v>
      </c>
      <c r="D14053" t="inlineStr">
        <is>
          <t>VÄRMLANDS LÄN</t>
        </is>
      </c>
      <c r="E14053" t="inlineStr">
        <is>
          <t>KARLSTAD</t>
        </is>
      </c>
      <c r="G14053" t="n">
        <v>1.9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12837-2024</t>
        </is>
      </c>
      <c r="B14054" s="1" t="n">
        <v>45384</v>
      </c>
      <c r="C14054" s="1" t="n">
        <v>45810</v>
      </c>
      <c r="D14054" t="inlineStr">
        <is>
          <t>VÄRMLANDS LÄN</t>
        </is>
      </c>
      <c r="E14054" t="inlineStr">
        <is>
          <t>FILIPSTAD</t>
        </is>
      </c>
      <c r="F14054" t="inlineStr">
        <is>
          <t>Bergvik skog väst AB</t>
        </is>
      </c>
      <c r="G14054" t="n">
        <v>4.4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12836-2024</t>
        </is>
      </c>
      <c r="B14055" s="1" t="n">
        <v>45384</v>
      </c>
      <c r="C14055" s="1" t="n">
        <v>45810</v>
      </c>
      <c r="D14055" t="inlineStr">
        <is>
          <t>VÄRMLANDS LÄN</t>
        </is>
      </c>
      <c r="E14055" t="inlineStr">
        <is>
          <t>KARLSTAD</t>
        </is>
      </c>
      <c r="G14055" t="n">
        <v>1.9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12673-2024</t>
        </is>
      </c>
      <c r="B14056" s="1" t="n">
        <v>45384</v>
      </c>
      <c r="C14056" s="1" t="n">
        <v>45810</v>
      </c>
      <c r="D14056" t="inlineStr">
        <is>
          <t>VÄRMLANDS LÄN</t>
        </is>
      </c>
      <c r="E14056" t="inlineStr">
        <is>
          <t>HAGFORS</t>
        </is>
      </c>
      <c r="F14056" t="inlineStr">
        <is>
          <t>Bergvik skog väst AB</t>
        </is>
      </c>
      <c r="G14056" t="n">
        <v>1.1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12689-2024</t>
        </is>
      </c>
      <c r="B14057" s="1" t="n">
        <v>45384</v>
      </c>
      <c r="C14057" s="1" t="n">
        <v>45810</v>
      </c>
      <c r="D14057" t="inlineStr">
        <is>
          <t>VÄRMLANDS LÄN</t>
        </is>
      </c>
      <c r="E14057" t="inlineStr">
        <is>
          <t>ARVIKA</t>
        </is>
      </c>
      <c r="G14057" t="n">
        <v>2.3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12701-2024</t>
        </is>
      </c>
      <c r="B14058" s="1" t="n">
        <v>45384</v>
      </c>
      <c r="C14058" s="1" t="n">
        <v>45810</v>
      </c>
      <c r="D14058" t="inlineStr">
        <is>
          <t>VÄRMLANDS LÄN</t>
        </is>
      </c>
      <c r="E14058" t="inlineStr">
        <is>
          <t>TORSBY</t>
        </is>
      </c>
      <c r="G14058" t="n">
        <v>1.3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12705-2024</t>
        </is>
      </c>
      <c r="B14059" s="1" t="n">
        <v>45384</v>
      </c>
      <c r="C14059" s="1" t="n">
        <v>45810</v>
      </c>
      <c r="D14059" t="inlineStr">
        <is>
          <t>VÄRMLANDS LÄN</t>
        </is>
      </c>
      <c r="E14059" t="inlineStr">
        <is>
          <t>KIL</t>
        </is>
      </c>
      <c r="G14059" t="n">
        <v>1.6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12714-2024</t>
        </is>
      </c>
      <c r="B14060" s="1" t="n">
        <v>45384</v>
      </c>
      <c r="C14060" s="1" t="n">
        <v>45810</v>
      </c>
      <c r="D14060" t="inlineStr">
        <is>
          <t>VÄRMLANDS LÄN</t>
        </is>
      </c>
      <c r="E14060" t="inlineStr">
        <is>
          <t>FILIPSTAD</t>
        </is>
      </c>
      <c r="G14060" t="n">
        <v>4.4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12764-2024</t>
        </is>
      </c>
      <c r="B14061" s="1" t="n">
        <v>45384</v>
      </c>
      <c r="C14061" s="1" t="n">
        <v>45810</v>
      </c>
      <c r="D14061" t="inlineStr">
        <is>
          <t>VÄRMLANDS LÄN</t>
        </is>
      </c>
      <c r="E14061" t="inlineStr">
        <is>
          <t>KARLSTAD</t>
        </is>
      </c>
      <c r="G14061" t="n">
        <v>4.9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12768-2024</t>
        </is>
      </c>
      <c r="B14062" s="1" t="n">
        <v>45384</v>
      </c>
      <c r="C14062" s="1" t="n">
        <v>45810</v>
      </c>
      <c r="D14062" t="inlineStr">
        <is>
          <t>VÄRMLANDS LÄN</t>
        </is>
      </c>
      <c r="E14062" t="inlineStr">
        <is>
          <t>FORSHAGA</t>
        </is>
      </c>
      <c r="F14062" t="inlineStr">
        <is>
          <t>Bergvik skog väst AB</t>
        </is>
      </c>
      <c r="G14062" t="n">
        <v>7.4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12883-2024</t>
        </is>
      </c>
      <c r="B14063" s="1" t="n">
        <v>45385</v>
      </c>
      <c r="C14063" s="1" t="n">
        <v>45810</v>
      </c>
      <c r="D14063" t="inlineStr">
        <is>
          <t>VÄRMLANDS LÄN</t>
        </is>
      </c>
      <c r="E14063" t="inlineStr">
        <is>
          <t>SUNNE</t>
        </is>
      </c>
      <c r="G14063" t="n">
        <v>4.2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12946-2024</t>
        </is>
      </c>
      <c r="B14064" s="1" t="n">
        <v>45385</v>
      </c>
      <c r="C14064" s="1" t="n">
        <v>45810</v>
      </c>
      <c r="D14064" t="inlineStr">
        <is>
          <t>VÄRMLANDS LÄN</t>
        </is>
      </c>
      <c r="E14064" t="inlineStr">
        <is>
          <t>FILIPSTAD</t>
        </is>
      </c>
      <c r="F14064" t="inlineStr">
        <is>
          <t>Bergvik skog väst AB</t>
        </is>
      </c>
      <c r="G14064" t="n">
        <v>16.5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12884-2024</t>
        </is>
      </c>
      <c r="B14065" s="1" t="n">
        <v>45385</v>
      </c>
      <c r="C14065" s="1" t="n">
        <v>45810</v>
      </c>
      <c r="D14065" t="inlineStr">
        <is>
          <t>VÄRMLANDS LÄN</t>
        </is>
      </c>
      <c r="E14065" t="inlineStr">
        <is>
          <t>SUNNE</t>
        </is>
      </c>
      <c r="G14065" t="n">
        <v>0.9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12909-2024</t>
        </is>
      </c>
      <c r="B14066" s="1" t="n">
        <v>45385</v>
      </c>
      <c r="C14066" s="1" t="n">
        <v>45810</v>
      </c>
      <c r="D14066" t="inlineStr">
        <is>
          <t>VÄRMLANDS LÄN</t>
        </is>
      </c>
      <c r="E14066" t="inlineStr">
        <is>
          <t>HAGFORS</t>
        </is>
      </c>
      <c r="G14066" t="n">
        <v>1.1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12886-2024</t>
        </is>
      </c>
      <c r="B14067" s="1" t="n">
        <v>45385</v>
      </c>
      <c r="C14067" s="1" t="n">
        <v>45810</v>
      </c>
      <c r="D14067" t="inlineStr">
        <is>
          <t>VÄRMLANDS LÄN</t>
        </is>
      </c>
      <c r="E14067" t="inlineStr">
        <is>
          <t>SUNNE</t>
        </is>
      </c>
      <c r="G14067" t="n">
        <v>2.6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13092-2024</t>
        </is>
      </c>
      <c r="B14068" s="1" t="n">
        <v>45385</v>
      </c>
      <c r="C14068" s="1" t="n">
        <v>45810</v>
      </c>
      <c r="D14068" t="inlineStr">
        <is>
          <t>VÄRMLANDS LÄN</t>
        </is>
      </c>
      <c r="E14068" t="inlineStr">
        <is>
          <t>KRISTINEHAMN</t>
        </is>
      </c>
      <c r="G14068" t="n">
        <v>4.4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13029-2024</t>
        </is>
      </c>
      <c r="B14069" s="1" t="n">
        <v>45385</v>
      </c>
      <c r="C14069" s="1" t="n">
        <v>45810</v>
      </c>
      <c r="D14069" t="inlineStr">
        <is>
          <t>VÄRMLANDS LÄN</t>
        </is>
      </c>
      <c r="E14069" t="inlineStr">
        <is>
          <t>SÄFFLE</t>
        </is>
      </c>
      <c r="G14069" t="n">
        <v>7.9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13086-2024</t>
        </is>
      </c>
      <c r="B14070" s="1" t="n">
        <v>45385</v>
      </c>
      <c r="C14070" s="1" t="n">
        <v>45810</v>
      </c>
      <c r="D14070" t="inlineStr">
        <is>
          <t>VÄRMLANDS LÄN</t>
        </is>
      </c>
      <c r="E14070" t="inlineStr">
        <is>
          <t>ARVIKA</t>
        </is>
      </c>
      <c r="G14070" t="n">
        <v>8.9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13094-2024</t>
        </is>
      </c>
      <c r="B14071" s="1" t="n">
        <v>45385</v>
      </c>
      <c r="C14071" s="1" t="n">
        <v>45810</v>
      </c>
      <c r="D14071" t="inlineStr">
        <is>
          <t>VÄRMLANDS LÄN</t>
        </is>
      </c>
      <c r="E14071" t="inlineStr">
        <is>
          <t>HAGFORS</t>
        </is>
      </c>
      <c r="G14071" t="n">
        <v>0.6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13098-2024</t>
        </is>
      </c>
      <c r="B14072" s="1" t="n">
        <v>45385</v>
      </c>
      <c r="C14072" s="1" t="n">
        <v>45810</v>
      </c>
      <c r="D14072" t="inlineStr">
        <is>
          <t>VÄRMLANDS LÄN</t>
        </is>
      </c>
      <c r="E14072" t="inlineStr">
        <is>
          <t>HAGFORS</t>
        </is>
      </c>
      <c r="G14072" t="n">
        <v>1.1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13003-2024</t>
        </is>
      </c>
      <c r="B14073" s="1" t="n">
        <v>45385</v>
      </c>
      <c r="C14073" s="1" t="n">
        <v>45810</v>
      </c>
      <c r="D14073" t="inlineStr">
        <is>
          <t>VÄRMLANDS LÄN</t>
        </is>
      </c>
      <c r="E14073" t="inlineStr">
        <is>
          <t>KRISTINEHAMN</t>
        </is>
      </c>
      <c r="G14073" t="n">
        <v>1.3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13042-2024</t>
        </is>
      </c>
      <c r="B14074" s="1" t="n">
        <v>45385</v>
      </c>
      <c r="C14074" s="1" t="n">
        <v>45810</v>
      </c>
      <c r="D14074" t="inlineStr">
        <is>
          <t>VÄRMLANDS LÄN</t>
        </is>
      </c>
      <c r="E14074" t="inlineStr">
        <is>
          <t>KRISTINEHAMN</t>
        </is>
      </c>
      <c r="G14074" t="n">
        <v>2.3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13054-2024</t>
        </is>
      </c>
      <c r="B14075" s="1" t="n">
        <v>45385</v>
      </c>
      <c r="C14075" s="1" t="n">
        <v>45810</v>
      </c>
      <c r="D14075" t="inlineStr">
        <is>
          <t>VÄRMLANDS LÄN</t>
        </is>
      </c>
      <c r="E14075" t="inlineStr">
        <is>
          <t>KRISTINEHAMN</t>
        </is>
      </c>
      <c r="G14075" t="n">
        <v>2.9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12989-2024</t>
        </is>
      </c>
      <c r="B14076" s="1" t="n">
        <v>45385</v>
      </c>
      <c r="C14076" s="1" t="n">
        <v>45810</v>
      </c>
      <c r="D14076" t="inlineStr">
        <is>
          <t>VÄRMLANDS LÄN</t>
        </is>
      </c>
      <c r="E14076" t="inlineStr">
        <is>
          <t>TORSBY</t>
        </is>
      </c>
      <c r="G14076" t="n">
        <v>2.7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12993-2024</t>
        </is>
      </c>
      <c r="B14077" s="1" t="n">
        <v>45385</v>
      </c>
      <c r="C14077" s="1" t="n">
        <v>45810</v>
      </c>
      <c r="D14077" t="inlineStr">
        <is>
          <t>VÄRMLANDS LÄN</t>
        </is>
      </c>
      <c r="E14077" t="inlineStr">
        <is>
          <t>KRISTINEHAMN</t>
        </is>
      </c>
      <c r="G14077" t="n">
        <v>1.5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13024-2024</t>
        </is>
      </c>
      <c r="B14078" s="1" t="n">
        <v>45385</v>
      </c>
      <c r="C14078" s="1" t="n">
        <v>45810</v>
      </c>
      <c r="D14078" t="inlineStr">
        <is>
          <t>VÄRMLANDS LÄN</t>
        </is>
      </c>
      <c r="E14078" t="inlineStr">
        <is>
          <t>KRISTINEHAMN</t>
        </is>
      </c>
      <c r="G14078" t="n">
        <v>1.6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13032-2024</t>
        </is>
      </c>
      <c r="B14079" s="1" t="n">
        <v>45385</v>
      </c>
      <c r="C14079" s="1" t="n">
        <v>45810</v>
      </c>
      <c r="D14079" t="inlineStr">
        <is>
          <t>VÄRMLANDS LÄN</t>
        </is>
      </c>
      <c r="E14079" t="inlineStr">
        <is>
          <t>KRISTINEHAMN</t>
        </is>
      </c>
      <c r="G14079" t="n">
        <v>1.5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13081-2024</t>
        </is>
      </c>
      <c r="B14080" s="1" t="n">
        <v>45385</v>
      </c>
      <c r="C14080" s="1" t="n">
        <v>45810</v>
      </c>
      <c r="D14080" t="inlineStr">
        <is>
          <t>VÄRMLANDS LÄN</t>
        </is>
      </c>
      <c r="E14080" t="inlineStr">
        <is>
          <t>KRISTINEHAMN</t>
        </is>
      </c>
      <c r="G14080" t="n">
        <v>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13089-2024</t>
        </is>
      </c>
      <c r="B14081" s="1" t="n">
        <v>45385</v>
      </c>
      <c r="C14081" s="1" t="n">
        <v>45810</v>
      </c>
      <c r="D14081" t="inlineStr">
        <is>
          <t>VÄRMLANDS LÄN</t>
        </is>
      </c>
      <c r="E14081" t="inlineStr">
        <is>
          <t>KARLSTAD</t>
        </is>
      </c>
      <c r="G14081" t="n">
        <v>2.4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13157-2024</t>
        </is>
      </c>
      <c r="B14082" s="1" t="n">
        <v>45386</v>
      </c>
      <c r="C14082" s="1" t="n">
        <v>45810</v>
      </c>
      <c r="D14082" t="inlineStr">
        <is>
          <t>VÄRMLANDS LÄN</t>
        </is>
      </c>
      <c r="E14082" t="inlineStr">
        <is>
          <t>ÅRJÄNG</t>
        </is>
      </c>
      <c r="G14082" t="n">
        <v>1.8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13151-2024</t>
        </is>
      </c>
      <c r="B14083" s="1" t="n">
        <v>45386</v>
      </c>
      <c r="C14083" s="1" t="n">
        <v>45810</v>
      </c>
      <c r="D14083" t="inlineStr">
        <is>
          <t>VÄRMLANDS LÄN</t>
        </is>
      </c>
      <c r="E14083" t="inlineStr">
        <is>
          <t>ARVIKA</t>
        </is>
      </c>
      <c r="G14083" t="n">
        <v>2.9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13155-2024</t>
        </is>
      </c>
      <c r="B14084" s="1" t="n">
        <v>45386</v>
      </c>
      <c r="C14084" s="1" t="n">
        <v>45810</v>
      </c>
      <c r="D14084" t="inlineStr">
        <is>
          <t>VÄRMLANDS LÄN</t>
        </is>
      </c>
      <c r="E14084" t="inlineStr">
        <is>
          <t>ÅRJÄNG</t>
        </is>
      </c>
      <c r="G14084" t="n">
        <v>2.2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13191-2024</t>
        </is>
      </c>
      <c r="B14085" s="1" t="n">
        <v>45386</v>
      </c>
      <c r="C14085" s="1" t="n">
        <v>45810</v>
      </c>
      <c r="D14085" t="inlineStr">
        <is>
          <t>VÄRMLANDS LÄN</t>
        </is>
      </c>
      <c r="E14085" t="inlineStr">
        <is>
          <t>KARLSTAD</t>
        </is>
      </c>
      <c r="F14085" t="inlineStr">
        <is>
          <t>Kommuner</t>
        </is>
      </c>
      <c r="G14085" t="n">
        <v>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13203-2024</t>
        </is>
      </c>
      <c r="B14086" s="1" t="n">
        <v>45386</v>
      </c>
      <c r="C14086" s="1" t="n">
        <v>45810</v>
      </c>
      <c r="D14086" t="inlineStr">
        <is>
          <t>VÄRMLANDS LÄN</t>
        </is>
      </c>
      <c r="E14086" t="inlineStr">
        <is>
          <t>ARVIKA</t>
        </is>
      </c>
      <c r="G14086" t="n">
        <v>0.7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13211-2024</t>
        </is>
      </c>
      <c r="B14087" s="1" t="n">
        <v>45386</v>
      </c>
      <c r="C14087" s="1" t="n">
        <v>45810</v>
      </c>
      <c r="D14087" t="inlineStr">
        <is>
          <t>VÄRMLANDS LÄN</t>
        </is>
      </c>
      <c r="E14087" t="inlineStr">
        <is>
          <t>TORSBY</t>
        </is>
      </c>
      <c r="F14087" t="inlineStr">
        <is>
          <t>Bergvik skog väst AB</t>
        </is>
      </c>
      <c r="G14087" t="n">
        <v>2.1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13213-2024</t>
        </is>
      </c>
      <c r="B14088" s="1" t="n">
        <v>45386</v>
      </c>
      <c r="C14088" s="1" t="n">
        <v>45810</v>
      </c>
      <c r="D14088" t="inlineStr">
        <is>
          <t>VÄRMLANDS LÄN</t>
        </is>
      </c>
      <c r="E14088" t="inlineStr">
        <is>
          <t>ARVIKA</t>
        </is>
      </c>
      <c r="G14088" t="n">
        <v>4.7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13260-2024</t>
        </is>
      </c>
      <c r="B14089" s="1" t="n">
        <v>45386</v>
      </c>
      <c r="C14089" s="1" t="n">
        <v>45810</v>
      </c>
      <c r="D14089" t="inlineStr">
        <is>
          <t>VÄRMLANDS LÄN</t>
        </is>
      </c>
      <c r="E14089" t="inlineStr">
        <is>
          <t>STORFORS</t>
        </is>
      </c>
      <c r="G14089" t="n">
        <v>12.1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13293-2024</t>
        </is>
      </c>
      <c r="B14090" s="1" t="n">
        <v>45386</v>
      </c>
      <c r="C14090" s="1" t="n">
        <v>45810</v>
      </c>
      <c r="D14090" t="inlineStr">
        <is>
          <t>VÄRMLANDS LÄN</t>
        </is>
      </c>
      <c r="E14090" t="inlineStr">
        <is>
          <t>KRISTINEHAMN</t>
        </is>
      </c>
      <c r="G14090" t="n">
        <v>1.1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13297-2024</t>
        </is>
      </c>
      <c r="B14091" s="1" t="n">
        <v>45386</v>
      </c>
      <c r="C14091" s="1" t="n">
        <v>45810</v>
      </c>
      <c r="D14091" t="inlineStr">
        <is>
          <t>VÄRMLANDS LÄN</t>
        </is>
      </c>
      <c r="E14091" t="inlineStr">
        <is>
          <t>HAGFORS</t>
        </is>
      </c>
      <c r="G14091" t="n">
        <v>0.8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13262-2024</t>
        </is>
      </c>
      <c r="B14092" s="1" t="n">
        <v>45386</v>
      </c>
      <c r="C14092" s="1" t="n">
        <v>45810</v>
      </c>
      <c r="D14092" t="inlineStr">
        <is>
          <t>VÄRMLANDS LÄN</t>
        </is>
      </c>
      <c r="E14092" t="inlineStr">
        <is>
          <t>TORSBY</t>
        </is>
      </c>
      <c r="G14092" t="n">
        <v>4.8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13266-2024</t>
        </is>
      </c>
      <c r="B14093" s="1" t="n">
        <v>45386</v>
      </c>
      <c r="C14093" s="1" t="n">
        <v>45810</v>
      </c>
      <c r="D14093" t="inlineStr">
        <is>
          <t>VÄRMLANDS LÄN</t>
        </is>
      </c>
      <c r="E14093" t="inlineStr">
        <is>
          <t>STORFORS</t>
        </is>
      </c>
      <c r="G14093" t="n">
        <v>5.4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13274-2024</t>
        </is>
      </c>
      <c r="B14094" s="1" t="n">
        <v>45386</v>
      </c>
      <c r="C14094" s="1" t="n">
        <v>45810</v>
      </c>
      <c r="D14094" t="inlineStr">
        <is>
          <t>VÄRMLANDS LÄN</t>
        </is>
      </c>
      <c r="E14094" t="inlineStr">
        <is>
          <t>SUNNE</t>
        </is>
      </c>
      <c r="G14094" t="n">
        <v>4.7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13283-2024</t>
        </is>
      </c>
      <c r="B14095" s="1" t="n">
        <v>45386</v>
      </c>
      <c r="C14095" s="1" t="n">
        <v>45810</v>
      </c>
      <c r="D14095" t="inlineStr">
        <is>
          <t>VÄRMLANDS LÄN</t>
        </is>
      </c>
      <c r="E14095" t="inlineStr">
        <is>
          <t>KARLSTAD</t>
        </is>
      </c>
      <c r="G14095" t="n">
        <v>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13287-2024</t>
        </is>
      </c>
      <c r="B14096" s="1" t="n">
        <v>45386</v>
      </c>
      <c r="C14096" s="1" t="n">
        <v>45810</v>
      </c>
      <c r="D14096" t="inlineStr">
        <is>
          <t>VÄRMLANDS LÄN</t>
        </is>
      </c>
      <c r="E14096" t="inlineStr">
        <is>
          <t>KARLSTAD</t>
        </is>
      </c>
      <c r="G14096" t="n">
        <v>0.7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13291-2024</t>
        </is>
      </c>
      <c r="B14097" s="1" t="n">
        <v>45386</v>
      </c>
      <c r="C14097" s="1" t="n">
        <v>45810</v>
      </c>
      <c r="D14097" t="inlineStr">
        <is>
          <t>VÄRMLANDS LÄN</t>
        </is>
      </c>
      <c r="E14097" t="inlineStr">
        <is>
          <t>KARLSTAD</t>
        </is>
      </c>
      <c r="G14097" t="n">
        <v>1.2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13142-2024</t>
        </is>
      </c>
      <c r="B14098" s="1" t="n">
        <v>45386</v>
      </c>
      <c r="C14098" s="1" t="n">
        <v>45810</v>
      </c>
      <c r="D14098" t="inlineStr">
        <is>
          <t>VÄRMLANDS LÄN</t>
        </is>
      </c>
      <c r="E14098" t="inlineStr">
        <is>
          <t>SUNNE</t>
        </is>
      </c>
      <c r="G14098" t="n">
        <v>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13186-2024</t>
        </is>
      </c>
      <c r="B14099" s="1" t="n">
        <v>45386</v>
      </c>
      <c r="C14099" s="1" t="n">
        <v>45810</v>
      </c>
      <c r="D14099" t="inlineStr">
        <is>
          <t>VÄRMLANDS LÄN</t>
        </is>
      </c>
      <c r="E14099" t="inlineStr">
        <is>
          <t>TORSBY</t>
        </is>
      </c>
      <c r="F14099" t="inlineStr">
        <is>
          <t>Bergvik skog väst AB</t>
        </is>
      </c>
      <c r="G14099" t="n">
        <v>4.3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13198-2024</t>
        </is>
      </c>
      <c r="B14100" s="1" t="n">
        <v>45386</v>
      </c>
      <c r="C14100" s="1" t="n">
        <v>45810</v>
      </c>
      <c r="D14100" t="inlineStr">
        <is>
          <t>VÄRMLANDS LÄN</t>
        </is>
      </c>
      <c r="E14100" t="inlineStr">
        <is>
          <t>FORSHAGA</t>
        </is>
      </c>
      <c r="G14100" t="n">
        <v>4.2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13206-2024</t>
        </is>
      </c>
      <c r="B14101" s="1" t="n">
        <v>45386</v>
      </c>
      <c r="C14101" s="1" t="n">
        <v>45810</v>
      </c>
      <c r="D14101" t="inlineStr">
        <is>
          <t>VÄRMLANDS LÄN</t>
        </is>
      </c>
      <c r="E14101" t="inlineStr">
        <is>
          <t>TORSBY</t>
        </is>
      </c>
      <c r="F14101" t="inlineStr">
        <is>
          <t>Bergvik skog väst AB</t>
        </is>
      </c>
      <c r="G14101" t="n">
        <v>5.2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13210-2024</t>
        </is>
      </c>
      <c r="B14102" s="1" t="n">
        <v>45386</v>
      </c>
      <c r="C14102" s="1" t="n">
        <v>45810</v>
      </c>
      <c r="D14102" t="inlineStr">
        <is>
          <t>VÄRMLANDS LÄN</t>
        </is>
      </c>
      <c r="E14102" t="inlineStr">
        <is>
          <t>ARVIKA</t>
        </is>
      </c>
      <c r="G14102" t="n">
        <v>0.6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13218-2024</t>
        </is>
      </c>
      <c r="B14103" s="1" t="n">
        <v>45386</v>
      </c>
      <c r="C14103" s="1" t="n">
        <v>45810</v>
      </c>
      <c r="D14103" t="inlineStr">
        <is>
          <t>VÄRMLANDS LÄN</t>
        </is>
      </c>
      <c r="E14103" t="inlineStr">
        <is>
          <t>SÄFFLE</t>
        </is>
      </c>
      <c r="F14103" t="inlineStr">
        <is>
          <t>Kyrkan</t>
        </is>
      </c>
      <c r="G14103" t="n">
        <v>1.4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13284-2024</t>
        </is>
      </c>
      <c r="B14104" s="1" t="n">
        <v>45386</v>
      </c>
      <c r="C14104" s="1" t="n">
        <v>45810</v>
      </c>
      <c r="D14104" t="inlineStr">
        <is>
          <t>VÄRMLANDS LÄN</t>
        </is>
      </c>
      <c r="E14104" t="inlineStr">
        <is>
          <t>SÄFFLE</t>
        </is>
      </c>
      <c r="G14104" t="n">
        <v>1.8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13288-2024</t>
        </is>
      </c>
      <c r="B14105" s="1" t="n">
        <v>45386</v>
      </c>
      <c r="C14105" s="1" t="n">
        <v>45810</v>
      </c>
      <c r="D14105" t="inlineStr">
        <is>
          <t>VÄRMLANDS LÄN</t>
        </is>
      </c>
      <c r="E14105" t="inlineStr">
        <is>
          <t>STORFORS</t>
        </is>
      </c>
      <c r="F14105" t="inlineStr">
        <is>
          <t>Kyrkan</t>
        </is>
      </c>
      <c r="G14105" t="n">
        <v>1.3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13292-2024</t>
        </is>
      </c>
      <c r="B14106" s="1" t="n">
        <v>45386</v>
      </c>
      <c r="C14106" s="1" t="n">
        <v>45810</v>
      </c>
      <c r="D14106" t="inlineStr">
        <is>
          <t>VÄRMLANDS LÄN</t>
        </is>
      </c>
      <c r="E14106" t="inlineStr">
        <is>
          <t>SÄFFLE</t>
        </is>
      </c>
      <c r="G14106" t="n">
        <v>1.1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13320-2024</t>
        </is>
      </c>
      <c r="B14107" s="1" t="n">
        <v>45386</v>
      </c>
      <c r="C14107" s="1" t="n">
        <v>45810</v>
      </c>
      <c r="D14107" t="inlineStr">
        <is>
          <t>VÄRMLANDS LÄN</t>
        </is>
      </c>
      <c r="E14107" t="inlineStr">
        <is>
          <t>GRUMS</t>
        </is>
      </c>
      <c r="G14107" t="n">
        <v>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13278-2024</t>
        </is>
      </c>
      <c r="B14108" s="1" t="n">
        <v>45386</v>
      </c>
      <c r="C14108" s="1" t="n">
        <v>45810</v>
      </c>
      <c r="D14108" t="inlineStr">
        <is>
          <t>VÄRMLANDS LÄN</t>
        </is>
      </c>
      <c r="E14108" t="inlineStr">
        <is>
          <t>GRUMS</t>
        </is>
      </c>
      <c r="G14108" t="n">
        <v>0.8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13282-2024</t>
        </is>
      </c>
      <c r="B14109" s="1" t="n">
        <v>45386</v>
      </c>
      <c r="C14109" s="1" t="n">
        <v>45810</v>
      </c>
      <c r="D14109" t="inlineStr">
        <is>
          <t>VÄRMLANDS LÄN</t>
        </is>
      </c>
      <c r="E14109" t="inlineStr">
        <is>
          <t>HAGFORS</t>
        </is>
      </c>
      <c r="F14109" t="inlineStr">
        <is>
          <t>Kommuner</t>
        </is>
      </c>
      <c r="G14109" t="n">
        <v>1.2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13286-2024</t>
        </is>
      </c>
      <c r="B14110" s="1" t="n">
        <v>45386</v>
      </c>
      <c r="C14110" s="1" t="n">
        <v>45810</v>
      </c>
      <c r="D14110" t="inlineStr">
        <is>
          <t>VÄRMLANDS LÄN</t>
        </is>
      </c>
      <c r="E14110" t="inlineStr">
        <is>
          <t>KRISTINEHAMN</t>
        </is>
      </c>
      <c r="G14110" t="n">
        <v>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13392-2024</t>
        </is>
      </c>
      <c r="B14111" s="1" t="n">
        <v>45387</v>
      </c>
      <c r="C14111" s="1" t="n">
        <v>45810</v>
      </c>
      <c r="D14111" t="inlineStr">
        <is>
          <t>VÄRMLANDS LÄN</t>
        </is>
      </c>
      <c r="E14111" t="inlineStr">
        <is>
          <t>HAGFORS</t>
        </is>
      </c>
      <c r="F14111" t="inlineStr">
        <is>
          <t>Bergvik skog väst AB</t>
        </is>
      </c>
      <c r="G14111" t="n">
        <v>3.6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13485-2024</t>
        </is>
      </c>
      <c r="B14112" s="1" t="n">
        <v>45387</v>
      </c>
      <c r="C14112" s="1" t="n">
        <v>45810</v>
      </c>
      <c r="D14112" t="inlineStr">
        <is>
          <t>VÄRMLANDS LÄN</t>
        </is>
      </c>
      <c r="E14112" t="inlineStr">
        <is>
          <t>HAGFORS</t>
        </is>
      </c>
      <c r="F14112" t="inlineStr">
        <is>
          <t>Bergvik skog väst AB</t>
        </is>
      </c>
      <c r="G14112" t="n">
        <v>4.5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13534-2024</t>
        </is>
      </c>
      <c r="B14113" s="1" t="n">
        <v>45387</v>
      </c>
      <c r="C14113" s="1" t="n">
        <v>45810</v>
      </c>
      <c r="D14113" t="inlineStr">
        <is>
          <t>VÄRMLANDS LÄN</t>
        </is>
      </c>
      <c r="E14113" t="inlineStr">
        <is>
          <t>KARLSTAD</t>
        </is>
      </c>
      <c r="G14113" t="n">
        <v>2.8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13734-2024</t>
        </is>
      </c>
      <c r="B14114" s="1" t="n">
        <v>45387</v>
      </c>
      <c r="C14114" s="1" t="n">
        <v>45810</v>
      </c>
      <c r="D14114" t="inlineStr">
        <is>
          <t>VÄRMLANDS LÄN</t>
        </is>
      </c>
      <c r="E14114" t="inlineStr">
        <is>
          <t>ÅRJÄNG</t>
        </is>
      </c>
      <c r="F14114" t="inlineStr">
        <is>
          <t>Övriga Aktiebolag</t>
        </is>
      </c>
      <c r="G14114" t="n">
        <v>0.8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13493-2024</t>
        </is>
      </c>
      <c r="B14115" s="1" t="n">
        <v>45387</v>
      </c>
      <c r="C14115" s="1" t="n">
        <v>45810</v>
      </c>
      <c r="D14115" t="inlineStr">
        <is>
          <t>VÄRMLANDS LÄN</t>
        </is>
      </c>
      <c r="E14115" t="inlineStr">
        <is>
          <t>SÄFFLE</t>
        </is>
      </c>
      <c r="F14115" t="inlineStr">
        <is>
          <t>Bergvik skog väst AB</t>
        </is>
      </c>
      <c r="G14115" t="n">
        <v>0.8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13481-2024</t>
        </is>
      </c>
      <c r="B14116" s="1" t="n">
        <v>45387</v>
      </c>
      <c r="C14116" s="1" t="n">
        <v>45810</v>
      </c>
      <c r="D14116" t="inlineStr">
        <is>
          <t>VÄRMLANDS LÄN</t>
        </is>
      </c>
      <c r="E14116" t="inlineStr">
        <is>
          <t>SÄFFLE</t>
        </is>
      </c>
      <c r="G14116" t="n">
        <v>5.5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13420-2024</t>
        </is>
      </c>
      <c r="B14117" s="1" t="n">
        <v>45387</v>
      </c>
      <c r="C14117" s="1" t="n">
        <v>45810</v>
      </c>
      <c r="D14117" t="inlineStr">
        <is>
          <t>VÄRMLANDS LÄN</t>
        </is>
      </c>
      <c r="E14117" t="inlineStr">
        <is>
          <t>MUNKFORS</t>
        </is>
      </c>
      <c r="F14117" t="inlineStr">
        <is>
          <t>Bergvik skog väst AB</t>
        </is>
      </c>
      <c r="G14117" t="n">
        <v>2.7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13384-2024</t>
        </is>
      </c>
      <c r="B14118" s="1" t="n">
        <v>45387</v>
      </c>
      <c r="C14118" s="1" t="n">
        <v>45810</v>
      </c>
      <c r="D14118" t="inlineStr">
        <is>
          <t>VÄRMLANDS LÄN</t>
        </is>
      </c>
      <c r="E14118" t="inlineStr">
        <is>
          <t>HAGFORS</t>
        </is>
      </c>
      <c r="G14118" t="n">
        <v>8.699999999999999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13733-2024</t>
        </is>
      </c>
      <c r="B14119" s="1" t="n">
        <v>45387</v>
      </c>
      <c r="C14119" s="1" t="n">
        <v>45810</v>
      </c>
      <c r="D14119" t="inlineStr">
        <is>
          <t>VÄRMLANDS LÄN</t>
        </is>
      </c>
      <c r="E14119" t="inlineStr">
        <is>
          <t>ÅRJÄNG</t>
        </is>
      </c>
      <c r="F14119" t="inlineStr">
        <is>
          <t>Övriga Aktiebolag</t>
        </is>
      </c>
      <c r="G14119" t="n">
        <v>2.1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13532-2024</t>
        </is>
      </c>
      <c r="B14120" s="1" t="n">
        <v>45387</v>
      </c>
      <c r="C14120" s="1" t="n">
        <v>45810</v>
      </c>
      <c r="D14120" t="inlineStr">
        <is>
          <t>VÄRMLANDS LÄN</t>
        </is>
      </c>
      <c r="E14120" t="inlineStr">
        <is>
          <t>KARLSTAD</t>
        </is>
      </c>
      <c r="G14120" t="n">
        <v>7.2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13519-2024</t>
        </is>
      </c>
      <c r="B14121" s="1" t="n">
        <v>45387</v>
      </c>
      <c r="C14121" s="1" t="n">
        <v>45810</v>
      </c>
      <c r="D14121" t="inlineStr">
        <is>
          <t>VÄRMLANDS LÄN</t>
        </is>
      </c>
      <c r="E14121" t="inlineStr">
        <is>
          <t>SÄFFLE</t>
        </is>
      </c>
      <c r="G14121" t="n">
        <v>1.5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13459-2024</t>
        </is>
      </c>
      <c r="B14122" s="1" t="n">
        <v>45387</v>
      </c>
      <c r="C14122" s="1" t="n">
        <v>45810</v>
      </c>
      <c r="D14122" t="inlineStr">
        <is>
          <t>VÄRMLANDS LÄN</t>
        </is>
      </c>
      <c r="E14122" t="inlineStr">
        <is>
          <t>KRISTINEHAMN</t>
        </is>
      </c>
      <c r="F14122" t="inlineStr">
        <is>
          <t>Naturvårdsverket</t>
        </is>
      </c>
      <c r="G14122" t="n">
        <v>0.6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13438-2024</t>
        </is>
      </c>
      <c r="B14123" s="1" t="n">
        <v>45387</v>
      </c>
      <c r="C14123" s="1" t="n">
        <v>45810</v>
      </c>
      <c r="D14123" t="inlineStr">
        <is>
          <t>VÄRMLANDS LÄN</t>
        </is>
      </c>
      <c r="E14123" t="inlineStr">
        <is>
          <t>SÄFFLE</t>
        </is>
      </c>
      <c r="G14123" t="n">
        <v>2.5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13434-2024</t>
        </is>
      </c>
      <c r="B14124" s="1" t="n">
        <v>45387</v>
      </c>
      <c r="C14124" s="1" t="n">
        <v>45810</v>
      </c>
      <c r="D14124" t="inlineStr">
        <is>
          <t>VÄRMLANDS LÄN</t>
        </is>
      </c>
      <c r="E14124" t="inlineStr">
        <is>
          <t>HAGFORS</t>
        </is>
      </c>
      <c r="F14124" t="inlineStr">
        <is>
          <t>Bergvik skog väst AB</t>
        </is>
      </c>
      <c r="G14124" t="n">
        <v>1.3</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13402-2024</t>
        </is>
      </c>
      <c r="B14125" s="1" t="n">
        <v>45387</v>
      </c>
      <c r="C14125" s="1" t="n">
        <v>45810</v>
      </c>
      <c r="D14125" t="inlineStr">
        <is>
          <t>VÄRMLANDS LÄN</t>
        </is>
      </c>
      <c r="E14125" t="inlineStr">
        <is>
          <t>KARLSTAD</t>
        </is>
      </c>
      <c r="F14125" t="inlineStr">
        <is>
          <t>Bergvik skog väst AB</t>
        </is>
      </c>
      <c r="G14125" t="n">
        <v>0.6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13398-2024</t>
        </is>
      </c>
      <c r="B14126" s="1" t="n">
        <v>45387</v>
      </c>
      <c r="C14126" s="1" t="n">
        <v>45810</v>
      </c>
      <c r="D14126" t="inlineStr">
        <is>
          <t>VÄRMLANDS LÄN</t>
        </is>
      </c>
      <c r="E14126" t="inlineStr">
        <is>
          <t>SUNNE</t>
        </is>
      </c>
      <c r="G14126" t="n">
        <v>4.8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13382-2024</t>
        </is>
      </c>
      <c r="B14127" s="1" t="n">
        <v>45387</v>
      </c>
      <c r="C14127" s="1" t="n">
        <v>45810</v>
      </c>
      <c r="D14127" t="inlineStr">
        <is>
          <t>VÄRMLANDS LÄN</t>
        </is>
      </c>
      <c r="E14127" t="inlineStr">
        <is>
          <t>GRUMS</t>
        </is>
      </c>
      <c r="G14127" t="n">
        <v>1.1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13435-2024</t>
        </is>
      </c>
      <c r="B14128" s="1" t="n">
        <v>45387</v>
      </c>
      <c r="C14128" s="1" t="n">
        <v>45810</v>
      </c>
      <c r="D14128" t="inlineStr">
        <is>
          <t>VÄRMLANDS LÄN</t>
        </is>
      </c>
      <c r="E14128" t="inlineStr">
        <is>
          <t>TORSBY</t>
        </is>
      </c>
      <c r="G14128" t="n">
        <v>3.8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13431-2024</t>
        </is>
      </c>
      <c r="B14129" s="1" t="n">
        <v>45387</v>
      </c>
      <c r="C14129" s="1" t="n">
        <v>45810</v>
      </c>
      <c r="D14129" t="inlineStr">
        <is>
          <t>VÄRMLANDS LÄN</t>
        </is>
      </c>
      <c r="E14129" t="inlineStr">
        <is>
          <t>MUNKFORS</t>
        </is>
      </c>
      <c r="F14129" t="inlineStr">
        <is>
          <t>Bergvik skog väst AB</t>
        </is>
      </c>
      <c r="G14129" t="n">
        <v>0.7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13407-2024</t>
        </is>
      </c>
      <c r="B14130" s="1" t="n">
        <v>45387</v>
      </c>
      <c r="C14130" s="1" t="n">
        <v>45810</v>
      </c>
      <c r="D14130" t="inlineStr">
        <is>
          <t>VÄRMLANDS LÄN</t>
        </is>
      </c>
      <c r="E14130" t="inlineStr">
        <is>
          <t>HAGFORS</t>
        </is>
      </c>
      <c r="F14130" t="inlineStr">
        <is>
          <t>Bergvik skog väst AB</t>
        </is>
      </c>
      <c r="G14130" t="n">
        <v>3.6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13367-2024</t>
        </is>
      </c>
      <c r="B14131" s="1" t="n">
        <v>45387</v>
      </c>
      <c r="C14131" s="1" t="n">
        <v>45810</v>
      </c>
      <c r="D14131" t="inlineStr">
        <is>
          <t>VÄRMLANDS LÄN</t>
        </is>
      </c>
      <c r="E14131" t="inlineStr">
        <is>
          <t>SUNNE</t>
        </is>
      </c>
      <c r="G14131" t="n">
        <v>1.3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13397-2024</t>
        </is>
      </c>
      <c r="B14132" s="1" t="n">
        <v>45387</v>
      </c>
      <c r="C14132" s="1" t="n">
        <v>45810</v>
      </c>
      <c r="D14132" t="inlineStr">
        <is>
          <t>VÄRMLANDS LÄN</t>
        </is>
      </c>
      <c r="E14132" t="inlineStr">
        <is>
          <t>SUNNE</t>
        </is>
      </c>
      <c r="G14132" t="n">
        <v>1.9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13562-2024</t>
        </is>
      </c>
      <c r="B14133" s="1" t="n">
        <v>45389</v>
      </c>
      <c r="C14133" s="1" t="n">
        <v>45810</v>
      </c>
      <c r="D14133" t="inlineStr">
        <is>
          <t>VÄRMLANDS LÄN</t>
        </is>
      </c>
      <c r="E14133" t="inlineStr">
        <is>
          <t>HAGFORS</t>
        </is>
      </c>
      <c r="F14133" t="inlineStr">
        <is>
          <t>Bergvik skog väst AB</t>
        </is>
      </c>
      <c r="G14133" t="n">
        <v>4.8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13570-2024</t>
        </is>
      </c>
      <c r="B14134" s="1" t="n">
        <v>45389</v>
      </c>
      <c r="C14134" s="1" t="n">
        <v>45810</v>
      </c>
      <c r="D14134" t="inlineStr">
        <is>
          <t>VÄRMLANDS LÄN</t>
        </is>
      </c>
      <c r="E14134" t="inlineStr">
        <is>
          <t>ÅRJÄNG</t>
        </is>
      </c>
      <c r="G14134" t="n">
        <v>1.7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13569-2024</t>
        </is>
      </c>
      <c r="B14135" s="1" t="n">
        <v>45389</v>
      </c>
      <c r="C14135" s="1" t="n">
        <v>45810</v>
      </c>
      <c r="D14135" t="inlineStr">
        <is>
          <t>VÄRMLANDS LÄN</t>
        </is>
      </c>
      <c r="E14135" t="inlineStr">
        <is>
          <t>ÅRJÄNG</t>
        </is>
      </c>
      <c r="G14135" t="n">
        <v>2.1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13609-2024</t>
        </is>
      </c>
      <c r="B14136" s="1" t="n">
        <v>45390</v>
      </c>
      <c r="C14136" s="1" t="n">
        <v>45810</v>
      </c>
      <c r="D14136" t="inlineStr">
        <is>
          <t>VÄRMLANDS LÄN</t>
        </is>
      </c>
      <c r="E14136" t="inlineStr">
        <is>
          <t>FILIPSTAD</t>
        </is>
      </c>
      <c r="G14136" t="n">
        <v>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13737-2024</t>
        </is>
      </c>
      <c r="B14137" s="1" t="n">
        <v>45390</v>
      </c>
      <c r="C14137" s="1" t="n">
        <v>45810</v>
      </c>
      <c r="D14137" t="inlineStr">
        <is>
          <t>VÄRMLANDS LÄN</t>
        </is>
      </c>
      <c r="E14137" t="inlineStr">
        <is>
          <t>ÅRJÄNG</t>
        </is>
      </c>
      <c r="G14137" t="n">
        <v>1.4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13624-2024</t>
        </is>
      </c>
      <c r="B14138" s="1" t="n">
        <v>45390</v>
      </c>
      <c r="C14138" s="1" t="n">
        <v>45810</v>
      </c>
      <c r="D14138" t="inlineStr">
        <is>
          <t>VÄRMLANDS LÄN</t>
        </is>
      </c>
      <c r="E14138" t="inlineStr">
        <is>
          <t>ÅRJÄNG</t>
        </is>
      </c>
      <c r="G14138" t="n">
        <v>2.9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13619-2024</t>
        </is>
      </c>
      <c r="B14139" s="1" t="n">
        <v>45390</v>
      </c>
      <c r="C14139" s="1" t="n">
        <v>45810</v>
      </c>
      <c r="D14139" t="inlineStr">
        <is>
          <t>VÄRMLANDS LÄN</t>
        </is>
      </c>
      <c r="E14139" t="inlineStr">
        <is>
          <t>TORSBY</t>
        </is>
      </c>
      <c r="F14139" t="inlineStr">
        <is>
          <t>Bergvik skog väst AB</t>
        </is>
      </c>
      <c r="G14139" t="n">
        <v>25.7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13636-2024</t>
        </is>
      </c>
      <c r="B14140" s="1" t="n">
        <v>45390</v>
      </c>
      <c r="C14140" s="1" t="n">
        <v>45810</v>
      </c>
      <c r="D14140" t="inlineStr">
        <is>
          <t>VÄRMLANDS LÄN</t>
        </is>
      </c>
      <c r="E14140" t="inlineStr">
        <is>
          <t>STORFORS</t>
        </is>
      </c>
      <c r="G14140" t="n">
        <v>0.9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13640-2024</t>
        </is>
      </c>
      <c r="B14141" s="1" t="n">
        <v>45390</v>
      </c>
      <c r="C14141" s="1" t="n">
        <v>45810</v>
      </c>
      <c r="D14141" t="inlineStr">
        <is>
          <t>VÄRMLANDS LÄN</t>
        </is>
      </c>
      <c r="E14141" t="inlineStr">
        <is>
          <t>EDA</t>
        </is>
      </c>
      <c r="G14141" t="n">
        <v>4.3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13662-2024</t>
        </is>
      </c>
      <c r="B14142" s="1" t="n">
        <v>45390</v>
      </c>
      <c r="C14142" s="1" t="n">
        <v>45810</v>
      </c>
      <c r="D14142" t="inlineStr">
        <is>
          <t>VÄRMLANDS LÄN</t>
        </is>
      </c>
      <c r="E14142" t="inlineStr">
        <is>
          <t>FILIPSTAD</t>
        </is>
      </c>
      <c r="G14142" t="n">
        <v>2.4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13702-2024</t>
        </is>
      </c>
      <c r="B14143" s="1" t="n">
        <v>45390</v>
      </c>
      <c r="C14143" s="1" t="n">
        <v>45810</v>
      </c>
      <c r="D14143" t="inlineStr">
        <is>
          <t>VÄRMLANDS LÄN</t>
        </is>
      </c>
      <c r="E14143" t="inlineStr">
        <is>
          <t>GRUMS</t>
        </is>
      </c>
      <c r="F14143" t="inlineStr">
        <is>
          <t>BillerudKorsnäs AB</t>
        </is>
      </c>
      <c r="G14143" t="n">
        <v>2.3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13701-2024</t>
        </is>
      </c>
      <c r="B14144" s="1" t="n">
        <v>45390</v>
      </c>
      <c r="C14144" s="1" t="n">
        <v>45810</v>
      </c>
      <c r="D14144" t="inlineStr">
        <is>
          <t>VÄRMLANDS LÄN</t>
        </is>
      </c>
      <c r="E14144" t="inlineStr">
        <is>
          <t>GRUMS</t>
        </is>
      </c>
      <c r="F14144" t="inlineStr">
        <is>
          <t>BillerudKorsnäs AB</t>
        </is>
      </c>
      <c r="G14144" t="n">
        <v>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13714-2024</t>
        </is>
      </c>
      <c r="B14145" s="1" t="n">
        <v>45390</v>
      </c>
      <c r="C14145" s="1" t="n">
        <v>45810</v>
      </c>
      <c r="D14145" t="inlineStr">
        <is>
          <t>VÄRMLANDS LÄN</t>
        </is>
      </c>
      <c r="E14145" t="inlineStr">
        <is>
          <t>SÄFFLE</t>
        </is>
      </c>
      <c r="G14145" t="n">
        <v>3.9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13726-2024</t>
        </is>
      </c>
      <c r="B14146" s="1" t="n">
        <v>45390</v>
      </c>
      <c r="C14146" s="1" t="n">
        <v>45810</v>
      </c>
      <c r="D14146" t="inlineStr">
        <is>
          <t>VÄRMLANDS LÄN</t>
        </is>
      </c>
      <c r="E14146" t="inlineStr">
        <is>
          <t>ÅRJÄNG</t>
        </is>
      </c>
      <c r="G14146" t="n">
        <v>2.2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13735-2024</t>
        </is>
      </c>
      <c r="B14147" s="1" t="n">
        <v>45390</v>
      </c>
      <c r="C14147" s="1" t="n">
        <v>45810</v>
      </c>
      <c r="D14147" t="inlineStr">
        <is>
          <t>VÄRMLANDS LÄN</t>
        </is>
      </c>
      <c r="E14147" t="inlineStr">
        <is>
          <t>HAGFORS</t>
        </is>
      </c>
      <c r="G14147" t="n">
        <v>14.9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13736-2024</t>
        </is>
      </c>
      <c r="B14148" s="1" t="n">
        <v>45390</v>
      </c>
      <c r="C14148" s="1" t="n">
        <v>45810</v>
      </c>
      <c r="D14148" t="inlineStr">
        <is>
          <t>VÄRMLANDS LÄN</t>
        </is>
      </c>
      <c r="E14148" t="inlineStr">
        <is>
          <t>ÅRJÄNG</t>
        </is>
      </c>
      <c r="G14148" t="n">
        <v>1.2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13820-2024</t>
        </is>
      </c>
      <c r="B14149" s="1" t="n">
        <v>45390</v>
      </c>
      <c r="C14149" s="1" t="n">
        <v>45810</v>
      </c>
      <c r="D14149" t="inlineStr">
        <is>
          <t>VÄRMLANDS LÄN</t>
        </is>
      </c>
      <c r="E14149" t="inlineStr">
        <is>
          <t>GRUMS</t>
        </is>
      </c>
      <c r="G14149" t="n">
        <v>7.2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13848-2024</t>
        </is>
      </c>
      <c r="B14150" s="1" t="n">
        <v>45390</v>
      </c>
      <c r="C14150" s="1" t="n">
        <v>45810</v>
      </c>
      <c r="D14150" t="inlineStr">
        <is>
          <t>VÄRMLANDS LÄN</t>
        </is>
      </c>
      <c r="E14150" t="inlineStr">
        <is>
          <t>TORSBY</t>
        </is>
      </c>
      <c r="G14150" t="n">
        <v>4.5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13849-2024</t>
        </is>
      </c>
      <c r="B14151" s="1" t="n">
        <v>45390</v>
      </c>
      <c r="C14151" s="1" t="n">
        <v>45810</v>
      </c>
      <c r="D14151" t="inlineStr">
        <is>
          <t>VÄRMLANDS LÄN</t>
        </is>
      </c>
      <c r="E14151" t="inlineStr">
        <is>
          <t>KARLSTAD</t>
        </is>
      </c>
      <c r="G14151" t="n">
        <v>2.7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13622-2024</t>
        </is>
      </c>
      <c r="B14152" s="1" t="n">
        <v>45390</v>
      </c>
      <c r="C14152" s="1" t="n">
        <v>45810</v>
      </c>
      <c r="D14152" t="inlineStr">
        <is>
          <t>VÄRMLANDS LÄN</t>
        </is>
      </c>
      <c r="E14152" t="inlineStr">
        <is>
          <t>EDA</t>
        </is>
      </c>
      <c r="G14152" t="n">
        <v>5.8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13626-2024</t>
        </is>
      </c>
      <c r="B14153" s="1" t="n">
        <v>45390</v>
      </c>
      <c r="C14153" s="1" t="n">
        <v>45810</v>
      </c>
      <c r="D14153" t="inlineStr">
        <is>
          <t>VÄRMLANDS LÄN</t>
        </is>
      </c>
      <c r="E14153" t="inlineStr">
        <is>
          <t>GRUMS</t>
        </is>
      </c>
      <c r="G14153" t="n">
        <v>10.2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13635-2024</t>
        </is>
      </c>
      <c r="B14154" s="1" t="n">
        <v>45390</v>
      </c>
      <c r="C14154" s="1" t="n">
        <v>45810</v>
      </c>
      <c r="D14154" t="inlineStr">
        <is>
          <t>VÄRMLANDS LÄN</t>
        </is>
      </c>
      <c r="E14154" t="inlineStr">
        <is>
          <t>HAGFORS</t>
        </is>
      </c>
      <c r="G14154" t="n">
        <v>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13847-2024</t>
        </is>
      </c>
      <c r="B14155" s="1" t="n">
        <v>45390</v>
      </c>
      <c r="C14155" s="1" t="n">
        <v>45810</v>
      </c>
      <c r="D14155" t="inlineStr">
        <is>
          <t>VÄRMLANDS LÄN</t>
        </is>
      </c>
      <c r="E14155" t="inlineStr">
        <is>
          <t>TORSBY</t>
        </is>
      </c>
      <c r="G14155" t="n">
        <v>5.6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13853-2024</t>
        </is>
      </c>
      <c r="B14156" s="1" t="n">
        <v>45390</v>
      </c>
      <c r="C14156" s="1" t="n">
        <v>45810</v>
      </c>
      <c r="D14156" t="inlineStr">
        <is>
          <t>VÄRMLANDS LÄN</t>
        </is>
      </c>
      <c r="E14156" t="inlineStr">
        <is>
          <t>KARLSTAD</t>
        </is>
      </c>
      <c r="G14156" t="n">
        <v>3.2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13784-2024</t>
        </is>
      </c>
      <c r="B14157" s="1" t="n">
        <v>45391</v>
      </c>
      <c r="C14157" s="1" t="n">
        <v>45810</v>
      </c>
      <c r="D14157" t="inlineStr">
        <is>
          <t>VÄRMLANDS LÄN</t>
        </is>
      </c>
      <c r="E14157" t="inlineStr">
        <is>
          <t>ÅRJÄNG</t>
        </is>
      </c>
      <c r="G14157" t="n">
        <v>2.1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13797-2024</t>
        </is>
      </c>
      <c r="B14158" s="1" t="n">
        <v>45391</v>
      </c>
      <c r="C14158" s="1" t="n">
        <v>45810</v>
      </c>
      <c r="D14158" t="inlineStr">
        <is>
          <t>VÄRMLANDS LÄN</t>
        </is>
      </c>
      <c r="E14158" t="inlineStr">
        <is>
          <t>TORSBY</t>
        </is>
      </c>
      <c r="F14158" t="inlineStr">
        <is>
          <t>Bergvik skog väst AB</t>
        </is>
      </c>
      <c r="G14158" t="n">
        <v>3.4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13807-2024</t>
        </is>
      </c>
      <c r="B14159" s="1" t="n">
        <v>45391</v>
      </c>
      <c r="C14159" s="1" t="n">
        <v>45810</v>
      </c>
      <c r="D14159" t="inlineStr">
        <is>
          <t>VÄRMLANDS LÄN</t>
        </is>
      </c>
      <c r="E14159" t="inlineStr">
        <is>
          <t>EDA</t>
        </is>
      </c>
      <c r="F14159" t="inlineStr">
        <is>
          <t>Bergvik skog väst AB</t>
        </is>
      </c>
      <c r="G14159" t="n">
        <v>3.8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13814-2024</t>
        </is>
      </c>
      <c r="B14160" s="1" t="n">
        <v>45391</v>
      </c>
      <c r="C14160" s="1" t="n">
        <v>45810</v>
      </c>
      <c r="D14160" t="inlineStr">
        <is>
          <t>VÄRMLANDS LÄN</t>
        </is>
      </c>
      <c r="E14160" t="inlineStr">
        <is>
          <t>ÅRJÄNG</t>
        </is>
      </c>
      <c r="G14160" t="n">
        <v>2.4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13787-2024</t>
        </is>
      </c>
      <c r="B14161" s="1" t="n">
        <v>45391</v>
      </c>
      <c r="C14161" s="1" t="n">
        <v>45810</v>
      </c>
      <c r="D14161" t="inlineStr">
        <is>
          <t>VÄRMLANDS LÄN</t>
        </is>
      </c>
      <c r="E14161" t="inlineStr">
        <is>
          <t>KARLSTAD</t>
        </is>
      </c>
      <c r="G14161" t="n">
        <v>0.8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13891-2024</t>
        </is>
      </c>
      <c r="B14162" s="1" t="n">
        <v>45391</v>
      </c>
      <c r="C14162" s="1" t="n">
        <v>45810</v>
      </c>
      <c r="D14162" t="inlineStr">
        <is>
          <t>VÄRMLANDS LÄN</t>
        </is>
      </c>
      <c r="E14162" t="inlineStr">
        <is>
          <t>SÄFFLE</t>
        </is>
      </c>
      <c r="G14162" t="n">
        <v>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13895-2024</t>
        </is>
      </c>
      <c r="B14163" s="1" t="n">
        <v>45391</v>
      </c>
      <c r="C14163" s="1" t="n">
        <v>45810</v>
      </c>
      <c r="D14163" t="inlineStr">
        <is>
          <t>VÄRMLANDS LÄN</t>
        </is>
      </c>
      <c r="E14163" t="inlineStr">
        <is>
          <t>GRUMS</t>
        </is>
      </c>
      <c r="F14163" t="inlineStr">
        <is>
          <t>Bergvik skog väst AB</t>
        </is>
      </c>
      <c r="G14163" t="n">
        <v>3.9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13831-2024</t>
        </is>
      </c>
      <c r="B14164" s="1" t="n">
        <v>45391</v>
      </c>
      <c r="C14164" s="1" t="n">
        <v>45810</v>
      </c>
      <c r="D14164" t="inlineStr">
        <is>
          <t>VÄRMLANDS LÄN</t>
        </is>
      </c>
      <c r="E14164" t="inlineStr">
        <is>
          <t>ÅRJÄNG</t>
        </is>
      </c>
      <c r="G14164" t="n">
        <v>2.4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13819-2024</t>
        </is>
      </c>
      <c r="B14165" s="1" t="n">
        <v>45391</v>
      </c>
      <c r="C14165" s="1" t="n">
        <v>45810</v>
      </c>
      <c r="D14165" t="inlineStr">
        <is>
          <t>VÄRMLANDS LÄN</t>
        </is>
      </c>
      <c r="E14165" t="inlineStr">
        <is>
          <t>ÅRJÄNG</t>
        </is>
      </c>
      <c r="G14165" t="n">
        <v>1.5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13824-2024</t>
        </is>
      </c>
      <c r="B14166" s="1" t="n">
        <v>45391</v>
      </c>
      <c r="C14166" s="1" t="n">
        <v>45810</v>
      </c>
      <c r="D14166" t="inlineStr">
        <is>
          <t>VÄRMLANDS LÄN</t>
        </is>
      </c>
      <c r="E14166" t="inlineStr">
        <is>
          <t>ÅRJÄNG</t>
        </is>
      </c>
      <c r="G14166" t="n">
        <v>1.9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13874-2024</t>
        </is>
      </c>
      <c r="B14167" s="1" t="n">
        <v>45391</v>
      </c>
      <c r="C14167" s="1" t="n">
        <v>45810</v>
      </c>
      <c r="D14167" t="inlineStr">
        <is>
          <t>VÄRMLANDS LÄN</t>
        </is>
      </c>
      <c r="E14167" t="inlineStr">
        <is>
          <t>KRISTINEHAMN</t>
        </is>
      </c>
      <c r="F14167" t="inlineStr">
        <is>
          <t>Bergvik skog väst AB</t>
        </is>
      </c>
      <c r="G14167" t="n">
        <v>2.8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13906-2024</t>
        </is>
      </c>
      <c r="B14168" s="1" t="n">
        <v>45391</v>
      </c>
      <c r="C14168" s="1" t="n">
        <v>45810</v>
      </c>
      <c r="D14168" t="inlineStr">
        <is>
          <t>VÄRMLANDS LÄN</t>
        </is>
      </c>
      <c r="E14168" t="inlineStr">
        <is>
          <t>STORFORS</t>
        </is>
      </c>
      <c r="G14168" t="n">
        <v>3.2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13918-2024</t>
        </is>
      </c>
      <c r="B14169" s="1" t="n">
        <v>45391</v>
      </c>
      <c r="C14169" s="1" t="n">
        <v>45810</v>
      </c>
      <c r="D14169" t="inlineStr">
        <is>
          <t>VÄRMLANDS LÄN</t>
        </is>
      </c>
      <c r="E14169" t="inlineStr">
        <is>
          <t>FILIPSTAD</t>
        </is>
      </c>
      <c r="G14169" t="n">
        <v>1.7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13922-2024</t>
        </is>
      </c>
      <c r="B14170" s="1" t="n">
        <v>45391</v>
      </c>
      <c r="C14170" s="1" t="n">
        <v>45810</v>
      </c>
      <c r="D14170" t="inlineStr">
        <is>
          <t>VÄRMLANDS LÄN</t>
        </is>
      </c>
      <c r="E14170" t="inlineStr">
        <is>
          <t>KRISTINEHAMN</t>
        </is>
      </c>
      <c r="G14170" t="n">
        <v>1.3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13876-2024</t>
        </is>
      </c>
      <c r="B14171" s="1" t="n">
        <v>45391</v>
      </c>
      <c r="C14171" s="1" t="n">
        <v>45810</v>
      </c>
      <c r="D14171" t="inlineStr">
        <is>
          <t>VÄRMLANDS LÄN</t>
        </is>
      </c>
      <c r="E14171" t="inlineStr">
        <is>
          <t>KRISTINEHAMN</t>
        </is>
      </c>
      <c r="F14171" t="inlineStr">
        <is>
          <t>Bergvik skog väst AB</t>
        </is>
      </c>
      <c r="G14171" t="n">
        <v>2.3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13967-2024</t>
        </is>
      </c>
      <c r="B14172" s="1" t="n">
        <v>45392</v>
      </c>
      <c r="C14172" s="1" t="n">
        <v>45810</v>
      </c>
      <c r="D14172" t="inlineStr">
        <is>
          <t>VÄRMLANDS LÄN</t>
        </is>
      </c>
      <c r="E14172" t="inlineStr">
        <is>
          <t>ÅRJÄNG</t>
        </is>
      </c>
      <c r="G14172" t="n">
        <v>2.5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13979-2024</t>
        </is>
      </c>
      <c r="B14173" s="1" t="n">
        <v>45392</v>
      </c>
      <c r="C14173" s="1" t="n">
        <v>45810</v>
      </c>
      <c r="D14173" t="inlineStr">
        <is>
          <t>VÄRMLANDS LÄN</t>
        </is>
      </c>
      <c r="E14173" t="inlineStr">
        <is>
          <t>ARVIKA</t>
        </is>
      </c>
      <c r="G14173" t="n">
        <v>1.3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14019-2024</t>
        </is>
      </c>
      <c r="B14174" s="1" t="n">
        <v>45392</v>
      </c>
      <c r="C14174" s="1" t="n">
        <v>45810</v>
      </c>
      <c r="D14174" t="inlineStr">
        <is>
          <t>VÄRMLANDS LÄN</t>
        </is>
      </c>
      <c r="E14174" t="inlineStr">
        <is>
          <t>ARVIKA</t>
        </is>
      </c>
      <c r="G14174" t="n">
        <v>3.5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14023-2024</t>
        </is>
      </c>
      <c r="B14175" s="1" t="n">
        <v>45392</v>
      </c>
      <c r="C14175" s="1" t="n">
        <v>45810</v>
      </c>
      <c r="D14175" t="inlineStr">
        <is>
          <t>VÄRMLANDS LÄN</t>
        </is>
      </c>
      <c r="E14175" t="inlineStr">
        <is>
          <t>TORSBY</t>
        </is>
      </c>
      <c r="G14175" t="n">
        <v>1.3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14035-2024</t>
        </is>
      </c>
      <c r="B14176" s="1" t="n">
        <v>45392</v>
      </c>
      <c r="C14176" s="1" t="n">
        <v>45810</v>
      </c>
      <c r="D14176" t="inlineStr">
        <is>
          <t>VÄRMLANDS LÄN</t>
        </is>
      </c>
      <c r="E14176" t="inlineStr">
        <is>
          <t>KRISTINEHAMN</t>
        </is>
      </c>
      <c r="G14176" t="n">
        <v>0.9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13965-2024</t>
        </is>
      </c>
      <c r="B14177" s="1" t="n">
        <v>45392</v>
      </c>
      <c r="C14177" s="1" t="n">
        <v>45810</v>
      </c>
      <c r="D14177" t="inlineStr">
        <is>
          <t>VÄRMLANDS LÄN</t>
        </is>
      </c>
      <c r="E14177" t="inlineStr">
        <is>
          <t>TORSBY</t>
        </is>
      </c>
      <c r="G14177" t="n">
        <v>1.5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13981-2024</t>
        </is>
      </c>
      <c r="B14178" s="1" t="n">
        <v>45392</v>
      </c>
      <c r="C14178" s="1" t="n">
        <v>45810</v>
      </c>
      <c r="D14178" t="inlineStr">
        <is>
          <t>VÄRMLANDS LÄN</t>
        </is>
      </c>
      <c r="E14178" t="inlineStr">
        <is>
          <t>ARVIKA</t>
        </is>
      </c>
      <c r="G14178" t="n">
        <v>6.7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14013-2024</t>
        </is>
      </c>
      <c r="B14179" s="1" t="n">
        <v>45392</v>
      </c>
      <c r="C14179" s="1" t="n">
        <v>45810</v>
      </c>
      <c r="D14179" t="inlineStr">
        <is>
          <t>VÄRMLANDS LÄN</t>
        </is>
      </c>
      <c r="E14179" t="inlineStr">
        <is>
          <t>ARVIKA</t>
        </is>
      </c>
      <c r="G14179" t="n">
        <v>6.2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14090-2024</t>
        </is>
      </c>
      <c r="B14180" s="1" t="n">
        <v>45392</v>
      </c>
      <c r="C14180" s="1" t="n">
        <v>45810</v>
      </c>
      <c r="D14180" t="inlineStr">
        <is>
          <t>VÄRMLANDS LÄN</t>
        </is>
      </c>
      <c r="E14180" t="inlineStr">
        <is>
          <t>EDA</t>
        </is>
      </c>
      <c r="G14180" t="n">
        <v>0.5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13980-2024</t>
        </is>
      </c>
      <c r="B14181" s="1" t="n">
        <v>45392</v>
      </c>
      <c r="C14181" s="1" t="n">
        <v>45810</v>
      </c>
      <c r="D14181" t="inlineStr">
        <is>
          <t>VÄRMLANDS LÄN</t>
        </is>
      </c>
      <c r="E14181" t="inlineStr">
        <is>
          <t>ARVIKA</t>
        </is>
      </c>
      <c r="G14181" t="n">
        <v>18.1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14119-2024</t>
        </is>
      </c>
      <c r="B14182" s="1" t="n">
        <v>45392</v>
      </c>
      <c r="C14182" s="1" t="n">
        <v>45810</v>
      </c>
      <c r="D14182" t="inlineStr">
        <is>
          <t>VÄRMLANDS LÄN</t>
        </is>
      </c>
      <c r="E14182" t="inlineStr">
        <is>
          <t>SUNNE</t>
        </is>
      </c>
      <c r="G14182" t="n">
        <v>2.7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13992-2024</t>
        </is>
      </c>
      <c r="B14183" s="1" t="n">
        <v>45392</v>
      </c>
      <c r="C14183" s="1" t="n">
        <v>45810</v>
      </c>
      <c r="D14183" t="inlineStr">
        <is>
          <t>VÄRMLANDS LÄN</t>
        </is>
      </c>
      <c r="E14183" t="inlineStr">
        <is>
          <t>ARVIKA</t>
        </is>
      </c>
      <c r="G14183" t="n">
        <v>1.5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14052-2024</t>
        </is>
      </c>
      <c r="B14184" s="1" t="n">
        <v>45392</v>
      </c>
      <c r="C14184" s="1" t="n">
        <v>45810</v>
      </c>
      <c r="D14184" t="inlineStr">
        <is>
          <t>VÄRMLANDS LÄN</t>
        </is>
      </c>
      <c r="E14184" t="inlineStr">
        <is>
          <t>TORSBY</t>
        </is>
      </c>
      <c r="G14184" t="n">
        <v>0.6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14118-2024</t>
        </is>
      </c>
      <c r="B14185" s="1" t="n">
        <v>45392</v>
      </c>
      <c r="C14185" s="1" t="n">
        <v>45810</v>
      </c>
      <c r="D14185" t="inlineStr">
        <is>
          <t>VÄRMLANDS LÄN</t>
        </is>
      </c>
      <c r="E14185" t="inlineStr">
        <is>
          <t>HAGFORS</t>
        </is>
      </c>
      <c r="G14185" t="n">
        <v>1.1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14143-2024</t>
        </is>
      </c>
      <c r="B14186" s="1" t="n">
        <v>45392</v>
      </c>
      <c r="C14186" s="1" t="n">
        <v>45810</v>
      </c>
      <c r="D14186" t="inlineStr">
        <is>
          <t>VÄRMLANDS LÄN</t>
        </is>
      </c>
      <c r="E14186" t="inlineStr">
        <is>
          <t>KIL</t>
        </is>
      </c>
      <c r="G14186" t="n">
        <v>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13974-2024</t>
        </is>
      </c>
      <c r="B14187" s="1" t="n">
        <v>45392</v>
      </c>
      <c r="C14187" s="1" t="n">
        <v>45810</v>
      </c>
      <c r="D14187" t="inlineStr">
        <is>
          <t>VÄRMLANDS LÄN</t>
        </is>
      </c>
      <c r="E14187" t="inlineStr">
        <is>
          <t>SÄFFLE</t>
        </is>
      </c>
      <c r="G14187" t="n">
        <v>6.1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13982-2024</t>
        </is>
      </c>
      <c r="B14188" s="1" t="n">
        <v>45392</v>
      </c>
      <c r="C14188" s="1" t="n">
        <v>45810</v>
      </c>
      <c r="D14188" t="inlineStr">
        <is>
          <t>VÄRMLANDS LÄN</t>
        </is>
      </c>
      <c r="E14188" t="inlineStr">
        <is>
          <t>ARVIKA</t>
        </is>
      </c>
      <c r="G14188" t="n">
        <v>0.5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13998-2024</t>
        </is>
      </c>
      <c r="B14189" s="1" t="n">
        <v>45392</v>
      </c>
      <c r="C14189" s="1" t="n">
        <v>45810</v>
      </c>
      <c r="D14189" t="inlineStr">
        <is>
          <t>VÄRMLANDS LÄN</t>
        </is>
      </c>
      <c r="E14189" t="inlineStr">
        <is>
          <t>ÅRJÄNG</t>
        </is>
      </c>
      <c r="G14189" t="n">
        <v>1.8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14010-2024</t>
        </is>
      </c>
      <c r="B14190" s="1" t="n">
        <v>45392</v>
      </c>
      <c r="C14190" s="1" t="n">
        <v>45810</v>
      </c>
      <c r="D14190" t="inlineStr">
        <is>
          <t>VÄRMLANDS LÄN</t>
        </is>
      </c>
      <c r="E14190" t="inlineStr">
        <is>
          <t>SÄFFLE</t>
        </is>
      </c>
      <c r="G14190" t="n">
        <v>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14014-2024</t>
        </is>
      </c>
      <c r="B14191" s="1" t="n">
        <v>45392</v>
      </c>
      <c r="C14191" s="1" t="n">
        <v>45810</v>
      </c>
      <c r="D14191" t="inlineStr">
        <is>
          <t>VÄRMLANDS LÄN</t>
        </is>
      </c>
      <c r="E14191" t="inlineStr">
        <is>
          <t>KRISTINEHAMN</t>
        </is>
      </c>
      <c r="G14191" t="n">
        <v>2.6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14063-2024</t>
        </is>
      </c>
      <c r="B14192" s="1" t="n">
        <v>45392</v>
      </c>
      <c r="C14192" s="1" t="n">
        <v>45810</v>
      </c>
      <c r="D14192" t="inlineStr">
        <is>
          <t>VÄRMLANDS LÄN</t>
        </is>
      </c>
      <c r="E14192" t="inlineStr">
        <is>
          <t>TORSBY</t>
        </is>
      </c>
      <c r="G14192" t="n">
        <v>1.3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14092-2024</t>
        </is>
      </c>
      <c r="B14193" s="1" t="n">
        <v>45392</v>
      </c>
      <c r="C14193" s="1" t="n">
        <v>45810</v>
      </c>
      <c r="D14193" t="inlineStr">
        <is>
          <t>VÄRMLANDS LÄN</t>
        </is>
      </c>
      <c r="E14193" t="inlineStr">
        <is>
          <t>SÄFFLE</t>
        </is>
      </c>
      <c r="G14193" t="n">
        <v>6.5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14191-2024</t>
        </is>
      </c>
      <c r="B14194" s="1" t="n">
        <v>45393</v>
      </c>
      <c r="C14194" s="1" t="n">
        <v>45810</v>
      </c>
      <c r="D14194" t="inlineStr">
        <is>
          <t>VÄRMLANDS LÄN</t>
        </is>
      </c>
      <c r="E14194" t="inlineStr">
        <is>
          <t>ARVIKA</t>
        </is>
      </c>
      <c r="G14194" t="n">
        <v>3.6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14219-2024</t>
        </is>
      </c>
      <c r="B14195" s="1" t="n">
        <v>45393</v>
      </c>
      <c r="C14195" s="1" t="n">
        <v>45810</v>
      </c>
      <c r="D14195" t="inlineStr">
        <is>
          <t>VÄRMLANDS LÄN</t>
        </is>
      </c>
      <c r="E14195" t="inlineStr">
        <is>
          <t>ARVIKA</t>
        </is>
      </c>
      <c r="G14195" t="n">
        <v>0.5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14235-2024</t>
        </is>
      </c>
      <c r="B14196" s="1" t="n">
        <v>45393</v>
      </c>
      <c r="C14196" s="1" t="n">
        <v>45810</v>
      </c>
      <c r="D14196" t="inlineStr">
        <is>
          <t>VÄRMLANDS LÄN</t>
        </is>
      </c>
      <c r="E14196" t="inlineStr">
        <is>
          <t>KARLSTAD</t>
        </is>
      </c>
      <c r="G14196" t="n">
        <v>1.6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14310-2024</t>
        </is>
      </c>
      <c r="B14197" s="1" t="n">
        <v>45393</v>
      </c>
      <c r="C14197" s="1" t="n">
        <v>45810</v>
      </c>
      <c r="D14197" t="inlineStr">
        <is>
          <t>VÄRMLANDS LÄN</t>
        </is>
      </c>
      <c r="E14197" t="inlineStr">
        <is>
          <t>SÄFFLE</t>
        </is>
      </c>
      <c r="G14197" t="n">
        <v>2.8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14268-2024</t>
        </is>
      </c>
      <c r="B14198" s="1" t="n">
        <v>45393</v>
      </c>
      <c r="C14198" s="1" t="n">
        <v>45810</v>
      </c>
      <c r="D14198" t="inlineStr">
        <is>
          <t>VÄRMLANDS LÄN</t>
        </is>
      </c>
      <c r="E14198" t="inlineStr">
        <is>
          <t>FILIPSTAD</t>
        </is>
      </c>
      <c r="F14198" t="inlineStr">
        <is>
          <t>Bergvik skog väst AB</t>
        </is>
      </c>
      <c r="G14198" t="n">
        <v>2.6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14272-2024</t>
        </is>
      </c>
      <c r="B14199" s="1" t="n">
        <v>45393</v>
      </c>
      <c r="C14199" s="1" t="n">
        <v>45810</v>
      </c>
      <c r="D14199" t="inlineStr">
        <is>
          <t>VÄRMLANDS LÄN</t>
        </is>
      </c>
      <c r="E14199" t="inlineStr">
        <is>
          <t>FILIPSTAD</t>
        </is>
      </c>
      <c r="F14199" t="inlineStr">
        <is>
          <t>Bergvik skog väst AB</t>
        </is>
      </c>
      <c r="G14199" t="n">
        <v>14.4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14304-2024</t>
        </is>
      </c>
      <c r="B14200" s="1" t="n">
        <v>45393</v>
      </c>
      <c r="C14200" s="1" t="n">
        <v>45810</v>
      </c>
      <c r="D14200" t="inlineStr">
        <is>
          <t>VÄRMLANDS LÄN</t>
        </is>
      </c>
      <c r="E14200" t="inlineStr">
        <is>
          <t>STORFORS</t>
        </is>
      </c>
      <c r="G14200" t="n">
        <v>1.5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14314-2024</t>
        </is>
      </c>
      <c r="B14201" s="1" t="n">
        <v>45393</v>
      </c>
      <c r="C14201" s="1" t="n">
        <v>45810</v>
      </c>
      <c r="D14201" t="inlineStr">
        <is>
          <t>VÄRMLANDS LÄN</t>
        </is>
      </c>
      <c r="E14201" t="inlineStr">
        <is>
          <t>SÄFFLE</t>
        </is>
      </c>
      <c r="G14201" t="n">
        <v>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14324-2024</t>
        </is>
      </c>
      <c r="B14202" s="1" t="n">
        <v>45393</v>
      </c>
      <c r="C14202" s="1" t="n">
        <v>45810</v>
      </c>
      <c r="D14202" t="inlineStr">
        <is>
          <t>VÄRMLANDS LÄN</t>
        </is>
      </c>
      <c r="E14202" t="inlineStr">
        <is>
          <t>SÄFFLE</t>
        </is>
      </c>
      <c r="G14202" t="n">
        <v>0.6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14340-2024</t>
        </is>
      </c>
      <c r="B14203" s="1" t="n">
        <v>45393</v>
      </c>
      <c r="C14203" s="1" t="n">
        <v>45810</v>
      </c>
      <c r="D14203" t="inlineStr">
        <is>
          <t>VÄRMLANDS LÄN</t>
        </is>
      </c>
      <c r="E14203" t="inlineStr">
        <is>
          <t>KRISTINEHAMN</t>
        </is>
      </c>
      <c r="G14203" t="n">
        <v>1.8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14364-2024</t>
        </is>
      </c>
      <c r="B14204" s="1" t="n">
        <v>45394</v>
      </c>
      <c r="C14204" s="1" t="n">
        <v>45810</v>
      </c>
      <c r="D14204" t="inlineStr">
        <is>
          <t>VÄRMLANDS LÄN</t>
        </is>
      </c>
      <c r="E14204" t="inlineStr">
        <is>
          <t>HAGFORS</t>
        </is>
      </c>
      <c r="F14204" t="inlineStr">
        <is>
          <t>Bergvik skog väst AB</t>
        </is>
      </c>
      <c r="G14204" t="n">
        <v>4.8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14377-2024</t>
        </is>
      </c>
      <c r="B14205" s="1" t="n">
        <v>45394</v>
      </c>
      <c r="C14205" s="1" t="n">
        <v>45810</v>
      </c>
      <c r="D14205" t="inlineStr">
        <is>
          <t>VÄRMLANDS LÄN</t>
        </is>
      </c>
      <c r="E14205" t="inlineStr">
        <is>
          <t>HAGFORS</t>
        </is>
      </c>
      <c r="F14205" t="inlineStr">
        <is>
          <t>Bergvik skog väst AB</t>
        </is>
      </c>
      <c r="G14205" t="n">
        <v>1.8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14378-2024</t>
        </is>
      </c>
      <c r="B14206" s="1" t="n">
        <v>45394</v>
      </c>
      <c r="C14206" s="1" t="n">
        <v>45810</v>
      </c>
      <c r="D14206" t="inlineStr">
        <is>
          <t>VÄRMLANDS LÄN</t>
        </is>
      </c>
      <c r="E14206" t="inlineStr">
        <is>
          <t>HAGFORS</t>
        </is>
      </c>
      <c r="F14206" t="inlineStr">
        <is>
          <t>Bergvik skog väst AB</t>
        </is>
      </c>
      <c r="G14206" t="n">
        <v>3.2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14376-2024</t>
        </is>
      </c>
      <c r="B14207" s="1" t="n">
        <v>45394</v>
      </c>
      <c r="C14207" s="1" t="n">
        <v>45810</v>
      </c>
      <c r="D14207" t="inlineStr">
        <is>
          <t>VÄRMLANDS LÄN</t>
        </is>
      </c>
      <c r="E14207" t="inlineStr">
        <is>
          <t>HAGFORS</t>
        </is>
      </c>
      <c r="F14207" t="inlineStr">
        <is>
          <t>Bergvik skog väst AB</t>
        </is>
      </c>
      <c r="G14207" t="n">
        <v>1.5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14229-2024</t>
        </is>
      </c>
      <c r="B14208" s="1" t="n">
        <v>45393</v>
      </c>
      <c r="C14208" s="1" t="n">
        <v>45810</v>
      </c>
      <c r="D14208" t="inlineStr">
        <is>
          <t>VÄRMLANDS LÄN</t>
        </is>
      </c>
      <c r="E14208" t="inlineStr">
        <is>
          <t>HAGFORS</t>
        </is>
      </c>
      <c r="F14208" t="inlineStr">
        <is>
          <t>Bergvik skog väst AB</t>
        </is>
      </c>
      <c r="G14208" t="n">
        <v>8.699999999999999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14275-2024</t>
        </is>
      </c>
      <c r="B14209" s="1" t="n">
        <v>45393</v>
      </c>
      <c r="C14209" s="1" t="n">
        <v>45810</v>
      </c>
      <c r="D14209" t="inlineStr">
        <is>
          <t>VÄRMLANDS LÄN</t>
        </is>
      </c>
      <c r="E14209" t="inlineStr">
        <is>
          <t>FILIPSTAD</t>
        </is>
      </c>
      <c r="F14209" t="inlineStr">
        <is>
          <t>Bergvik skog väst AB</t>
        </is>
      </c>
      <c r="G14209" t="n">
        <v>4.6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14283-2024</t>
        </is>
      </c>
      <c r="B14210" s="1" t="n">
        <v>45393</v>
      </c>
      <c r="C14210" s="1" t="n">
        <v>45810</v>
      </c>
      <c r="D14210" t="inlineStr">
        <is>
          <t>VÄRMLANDS LÄN</t>
        </is>
      </c>
      <c r="E14210" t="inlineStr">
        <is>
          <t>TORSBY</t>
        </is>
      </c>
      <c r="G14210" t="n">
        <v>0.7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14319-2024</t>
        </is>
      </c>
      <c r="B14211" s="1" t="n">
        <v>45393</v>
      </c>
      <c r="C14211" s="1" t="n">
        <v>45810</v>
      </c>
      <c r="D14211" t="inlineStr">
        <is>
          <t>VÄRMLANDS LÄN</t>
        </is>
      </c>
      <c r="E14211" t="inlineStr">
        <is>
          <t>SÄFFLE</t>
        </is>
      </c>
      <c r="G14211" t="n">
        <v>2.9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14379-2024</t>
        </is>
      </c>
      <c r="B14212" s="1" t="n">
        <v>45394</v>
      </c>
      <c r="C14212" s="1" t="n">
        <v>45810</v>
      </c>
      <c r="D14212" t="inlineStr">
        <is>
          <t>VÄRMLANDS LÄN</t>
        </is>
      </c>
      <c r="E14212" t="inlineStr">
        <is>
          <t>HAGFORS</t>
        </is>
      </c>
      <c r="F14212" t="inlineStr">
        <is>
          <t>Bergvik skog väst AB</t>
        </is>
      </c>
      <c r="G14212" t="n">
        <v>1.5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14436-2024</t>
        </is>
      </c>
      <c r="B14213" s="1" t="n">
        <v>45394</v>
      </c>
      <c r="C14213" s="1" t="n">
        <v>45810</v>
      </c>
      <c r="D14213" t="inlineStr">
        <is>
          <t>VÄRMLANDS LÄN</t>
        </is>
      </c>
      <c r="E14213" t="inlineStr">
        <is>
          <t>SÄFFLE</t>
        </is>
      </c>
      <c r="G14213" t="n">
        <v>5.6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14382-2024</t>
        </is>
      </c>
      <c r="B14214" s="1" t="n">
        <v>45394</v>
      </c>
      <c r="C14214" s="1" t="n">
        <v>45810</v>
      </c>
      <c r="D14214" t="inlineStr">
        <is>
          <t>VÄRMLANDS LÄN</t>
        </is>
      </c>
      <c r="E14214" t="inlineStr">
        <is>
          <t>ÅRJÄNG</t>
        </is>
      </c>
      <c r="G14214" t="n">
        <v>3.6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14440-2024</t>
        </is>
      </c>
      <c r="B14215" s="1" t="n">
        <v>45394</v>
      </c>
      <c r="C14215" s="1" t="n">
        <v>45810</v>
      </c>
      <c r="D14215" t="inlineStr">
        <is>
          <t>VÄRMLANDS LÄN</t>
        </is>
      </c>
      <c r="E14215" t="inlineStr">
        <is>
          <t>TORSBY</t>
        </is>
      </c>
      <c r="F14215" t="inlineStr">
        <is>
          <t>Bergvik skog väst AB</t>
        </is>
      </c>
      <c r="G14215" t="n">
        <v>12.2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14413-2024</t>
        </is>
      </c>
      <c r="B14216" s="1" t="n">
        <v>45394</v>
      </c>
      <c r="C14216" s="1" t="n">
        <v>45810</v>
      </c>
      <c r="D14216" t="inlineStr">
        <is>
          <t>VÄRMLANDS LÄN</t>
        </is>
      </c>
      <c r="E14216" t="inlineStr">
        <is>
          <t>EDA</t>
        </is>
      </c>
      <c r="G14216" t="n">
        <v>1.4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14393-2024</t>
        </is>
      </c>
      <c r="B14217" s="1" t="n">
        <v>45394</v>
      </c>
      <c r="C14217" s="1" t="n">
        <v>45810</v>
      </c>
      <c r="D14217" t="inlineStr">
        <is>
          <t>VÄRMLANDS LÄN</t>
        </is>
      </c>
      <c r="E14217" t="inlineStr">
        <is>
          <t>TORSBY</t>
        </is>
      </c>
      <c r="F14217" t="inlineStr">
        <is>
          <t>Bergvik skog väst AB</t>
        </is>
      </c>
      <c r="G14217" t="n">
        <v>8.699999999999999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14453-2024</t>
        </is>
      </c>
      <c r="B14218" s="1" t="n">
        <v>45394</v>
      </c>
      <c r="C14218" s="1" t="n">
        <v>45810</v>
      </c>
      <c r="D14218" t="inlineStr">
        <is>
          <t>VÄRMLANDS LÄN</t>
        </is>
      </c>
      <c r="E14218" t="inlineStr">
        <is>
          <t>TORSBY</t>
        </is>
      </c>
      <c r="G14218" t="n">
        <v>5.8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14605-2024</t>
        </is>
      </c>
      <c r="B14219" s="1" t="n">
        <v>45396</v>
      </c>
      <c r="C14219" s="1" t="n">
        <v>45810</v>
      </c>
      <c r="D14219" t="inlineStr">
        <is>
          <t>VÄRMLANDS LÄN</t>
        </is>
      </c>
      <c r="E14219" t="inlineStr">
        <is>
          <t>STORFORS</t>
        </is>
      </c>
      <c r="F14219" t="inlineStr">
        <is>
          <t>Bergvik skog väst AB</t>
        </is>
      </c>
      <c r="G14219" t="n">
        <v>7.3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14660-2024</t>
        </is>
      </c>
      <c r="B14220" s="1" t="n">
        <v>45396</v>
      </c>
      <c r="C14220" s="1" t="n">
        <v>45810</v>
      </c>
      <c r="D14220" t="inlineStr">
        <is>
          <t>VÄRMLANDS LÄN</t>
        </is>
      </c>
      <c r="E14220" t="inlineStr">
        <is>
          <t>KIL</t>
        </is>
      </c>
      <c r="G14220" t="n">
        <v>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14604-2024</t>
        </is>
      </c>
      <c r="B14221" s="1" t="n">
        <v>45396</v>
      </c>
      <c r="C14221" s="1" t="n">
        <v>45810</v>
      </c>
      <c r="D14221" t="inlineStr">
        <is>
          <t>VÄRMLANDS LÄN</t>
        </is>
      </c>
      <c r="E14221" t="inlineStr">
        <is>
          <t>SUNNE</t>
        </is>
      </c>
      <c r="G14221" t="n">
        <v>2.4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14603-2024</t>
        </is>
      </c>
      <c r="B14222" s="1" t="n">
        <v>45396</v>
      </c>
      <c r="C14222" s="1" t="n">
        <v>45810</v>
      </c>
      <c r="D14222" t="inlineStr">
        <is>
          <t>VÄRMLANDS LÄN</t>
        </is>
      </c>
      <c r="E14222" t="inlineStr">
        <is>
          <t>SUNNE</t>
        </is>
      </c>
      <c r="G14222" t="n">
        <v>1.1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14649-2024</t>
        </is>
      </c>
      <c r="B14223" s="1" t="n">
        <v>45397</v>
      </c>
      <c r="C14223" s="1" t="n">
        <v>45810</v>
      </c>
      <c r="D14223" t="inlineStr">
        <is>
          <t>VÄRMLANDS LÄN</t>
        </is>
      </c>
      <c r="E14223" t="inlineStr">
        <is>
          <t>SÄFFLE</t>
        </is>
      </c>
      <c r="G14223" t="n">
        <v>4.4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14675-2024</t>
        </is>
      </c>
      <c r="B14224" s="1" t="n">
        <v>45397</v>
      </c>
      <c r="C14224" s="1" t="n">
        <v>45810</v>
      </c>
      <c r="D14224" t="inlineStr">
        <is>
          <t>VÄRMLANDS LÄN</t>
        </is>
      </c>
      <c r="E14224" t="inlineStr">
        <is>
          <t>KIL</t>
        </is>
      </c>
      <c r="G14224" t="n">
        <v>8.199999999999999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14694-2024</t>
        </is>
      </c>
      <c r="B14225" s="1" t="n">
        <v>45397</v>
      </c>
      <c r="C14225" s="1" t="n">
        <v>45810</v>
      </c>
      <c r="D14225" t="inlineStr">
        <is>
          <t>VÄRMLANDS LÄN</t>
        </is>
      </c>
      <c r="E14225" t="inlineStr">
        <is>
          <t>ÅRJÄNG</t>
        </is>
      </c>
      <c r="G14225" t="n">
        <v>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14744-2024</t>
        </is>
      </c>
      <c r="B14226" s="1" t="n">
        <v>45397</v>
      </c>
      <c r="C14226" s="1" t="n">
        <v>45810</v>
      </c>
      <c r="D14226" t="inlineStr">
        <is>
          <t>VÄRMLANDS LÄN</t>
        </is>
      </c>
      <c r="E14226" t="inlineStr">
        <is>
          <t>SÄFFLE</t>
        </is>
      </c>
      <c r="G14226" t="n">
        <v>0.8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14623-2024</t>
        </is>
      </c>
      <c r="B14227" s="1" t="n">
        <v>45397</v>
      </c>
      <c r="C14227" s="1" t="n">
        <v>45810</v>
      </c>
      <c r="D14227" t="inlineStr">
        <is>
          <t>VÄRMLANDS LÄN</t>
        </is>
      </c>
      <c r="E14227" t="inlineStr">
        <is>
          <t>MUNKFORS</t>
        </is>
      </c>
      <c r="G14227" t="n">
        <v>0.8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14713-2024</t>
        </is>
      </c>
      <c r="B14228" s="1" t="n">
        <v>45397</v>
      </c>
      <c r="C14228" s="1" t="n">
        <v>45810</v>
      </c>
      <c r="D14228" t="inlineStr">
        <is>
          <t>VÄRMLANDS LÄN</t>
        </is>
      </c>
      <c r="E14228" t="inlineStr">
        <is>
          <t>HAGFORS</t>
        </is>
      </c>
      <c r="G14228" t="n">
        <v>2.2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14730-2024</t>
        </is>
      </c>
      <c r="B14229" s="1" t="n">
        <v>45397</v>
      </c>
      <c r="C14229" s="1" t="n">
        <v>45810</v>
      </c>
      <c r="D14229" t="inlineStr">
        <is>
          <t>VÄRMLANDS LÄN</t>
        </is>
      </c>
      <c r="E14229" t="inlineStr">
        <is>
          <t>TORSBY</t>
        </is>
      </c>
      <c r="G14229" t="n">
        <v>1.4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14763-2024</t>
        </is>
      </c>
      <c r="B14230" s="1" t="n">
        <v>45397</v>
      </c>
      <c r="C14230" s="1" t="n">
        <v>45810</v>
      </c>
      <c r="D14230" t="inlineStr">
        <is>
          <t>VÄRMLANDS LÄN</t>
        </is>
      </c>
      <c r="E14230" t="inlineStr">
        <is>
          <t>TORSBY</t>
        </is>
      </c>
      <c r="F14230" t="inlineStr">
        <is>
          <t>Bergvik skog väst AB</t>
        </is>
      </c>
      <c r="G14230" t="n">
        <v>5.9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14795-2024</t>
        </is>
      </c>
      <c r="B14231" s="1" t="n">
        <v>45397</v>
      </c>
      <c r="C14231" s="1" t="n">
        <v>45810</v>
      </c>
      <c r="D14231" t="inlineStr">
        <is>
          <t>VÄRMLANDS LÄN</t>
        </is>
      </c>
      <c r="E14231" t="inlineStr">
        <is>
          <t>EDA</t>
        </is>
      </c>
      <c r="G14231" t="n">
        <v>0.8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14647-2024</t>
        </is>
      </c>
      <c r="B14232" s="1" t="n">
        <v>45397</v>
      </c>
      <c r="C14232" s="1" t="n">
        <v>45810</v>
      </c>
      <c r="D14232" t="inlineStr">
        <is>
          <t>VÄRMLANDS LÄN</t>
        </is>
      </c>
      <c r="E14232" t="inlineStr">
        <is>
          <t>GRUMS</t>
        </is>
      </c>
      <c r="G14232" t="n">
        <v>2.3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14651-2024</t>
        </is>
      </c>
      <c r="B14233" s="1" t="n">
        <v>45397</v>
      </c>
      <c r="C14233" s="1" t="n">
        <v>45810</v>
      </c>
      <c r="D14233" t="inlineStr">
        <is>
          <t>VÄRMLANDS LÄN</t>
        </is>
      </c>
      <c r="E14233" t="inlineStr">
        <is>
          <t>KIL</t>
        </is>
      </c>
      <c r="G14233" t="n">
        <v>3.9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14656-2024</t>
        </is>
      </c>
      <c r="B14234" s="1" t="n">
        <v>45397</v>
      </c>
      <c r="C14234" s="1" t="n">
        <v>45810</v>
      </c>
      <c r="D14234" t="inlineStr">
        <is>
          <t>VÄRMLANDS LÄN</t>
        </is>
      </c>
      <c r="E14234" t="inlineStr">
        <is>
          <t>FILIPSTAD</t>
        </is>
      </c>
      <c r="F14234" t="inlineStr">
        <is>
          <t>Bergvik skog väst AB</t>
        </is>
      </c>
      <c r="G14234" t="n">
        <v>3.4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14742-2024</t>
        </is>
      </c>
      <c r="B14235" s="1" t="n">
        <v>45397</v>
      </c>
      <c r="C14235" s="1" t="n">
        <v>45810</v>
      </c>
      <c r="D14235" t="inlineStr">
        <is>
          <t>VÄRMLANDS LÄN</t>
        </is>
      </c>
      <c r="E14235" t="inlineStr">
        <is>
          <t>SÄFFLE</t>
        </is>
      </c>
      <c r="G14235" t="n">
        <v>4.7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14774-2024</t>
        </is>
      </c>
      <c r="B14236" s="1" t="n">
        <v>45397</v>
      </c>
      <c r="C14236" s="1" t="n">
        <v>45810</v>
      </c>
      <c r="D14236" t="inlineStr">
        <is>
          <t>VÄRMLANDS LÄN</t>
        </is>
      </c>
      <c r="E14236" t="inlineStr">
        <is>
          <t>ARVIKA</t>
        </is>
      </c>
      <c r="G14236" t="n">
        <v>2.3</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14794-2024</t>
        </is>
      </c>
      <c r="B14237" s="1" t="n">
        <v>45397</v>
      </c>
      <c r="C14237" s="1" t="n">
        <v>45810</v>
      </c>
      <c r="D14237" t="inlineStr">
        <is>
          <t>VÄRMLANDS LÄN</t>
        </is>
      </c>
      <c r="E14237" t="inlineStr">
        <is>
          <t>EDA</t>
        </is>
      </c>
      <c r="G14237" t="n">
        <v>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14768-2024</t>
        </is>
      </c>
      <c r="B14238" s="1" t="n">
        <v>45397</v>
      </c>
      <c r="C14238" s="1" t="n">
        <v>45810</v>
      </c>
      <c r="D14238" t="inlineStr">
        <is>
          <t>VÄRMLANDS LÄN</t>
        </is>
      </c>
      <c r="E14238" t="inlineStr">
        <is>
          <t>ÅRJÄNG</t>
        </is>
      </c>
      <c r="G14238" t="n">
        <v>1.9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14780-2024</t>
        </is>
      </c>
      <c r="B14239" s="1" t="n">
        <v>45397</v>
      </c>
      <c r="C14239" s="1" t="n">
        <v>45810</v>
      </c>
      <c r="D14239" t="inlineStr">
        <is>
          <t>VÄRMLANDS LÄN</t>
        </is>
      </c>
      <c r="E14239" t="inlineStr">
        <is>
          <t>ARVIKA</t>
        </is>
      </c>
      <c r="G14239" t="n">
        <v>1.8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14796-2024</t>
        </is>
      </c>
      <c r="B14240" s="1" t="n">
        <v>45397</v>
      </c>
      <c r="C14240" s="1" t="n">
        <v>45810</v>
      </c>
      <c r="D14240" t="inlineStr">
        <is>
          <t>VÄRMLANDS LÄN</t>
        </is>
      </c>
      <c r="E14240" t="inlineStr">
        <is>
          <t>EDA</t>
        </is>
      </c>
      <c r="G14240" t="n">
        <v>0.7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14741-2024</t>
        </is>
      </c>
      <c r="B14241" s="1" t="n">
        <v>45397</v>
      </c>
      <c r="C14241" s="1" t="n">
        <v>45810</v>
      </c>
      <c r="D14241" t="inlineStr">
        <is>
          <t>VÄRMLANDS LÄN</t>
        </is>
      </c>
      <c r="E14241" t="inlineStr">
        <is>
          <t>SUNNE</t>
        </is>
      </c>
      <c r="G14241" t="n">
        <v>2.3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14781-2024</t>
        </is>
      </c>
      <c r="B14242" s="1" t="n">
        <v>45397</v>
      </c>
      <c r="C14242" s="1" t="n">
        <v>45810</v>
      </c>
      <c r="D14242" t="inlineStr">
        <is>
          <t>VÄRMLANDS LÄN</t>
        </is>
      </c>
      <c r="E14242" t="inlineStr">
        <is>
          <t>ARVIKA</t>
        </is>
      </c>
      <c r="G14242" t="n">
        <v>3.1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14793-2024</t>
        </is>
      </c>
      <c r="B14243" s="1" t="n">
        <v>45397</v>
      </c>
      <c r="C14243" s="1" t="n">
        <v>45810</v>
      </c>
      <c r="D14243" t="inlineStr">
        <is>
          <t>VÄRMLANDS LÄN</t>
        </is>
      </c>
      <c r="E14243" t="inlineStr">
        <is>
          <t>EDA</t>
        </is>
      </c>
      <c r="G14243" t="n">
        <v>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14872-2024</t>
        </is>
      </c>
      <c r="B14244" s="1" t="n">
        <v>45398</v>
      </c>
      <c r="C14244" s="1" t="n">
        <v>45810</v>
      </c>
      <c r="D14244" t="inlineStr">
        <is>
          <t>VÄRMLANDS LÄN</t>
        </is>
      </c>
      <c r="E14244" t="inlineStr">
        <is>
          <t>TORSBY</t>
        </is>
      </c>
      <c r="G14244" t="n">
        <v>5.7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14893-2024</t>
        </is>
      </c>
      <c r="B14245" s="1" t="n">
        <v>45398</v>
      </c>
      <c r="C14245" s="1" t="n">
        <v>45810</v>
      </c>
      <c r="D14245" t="inlineStr">
        <is>
          <t>VÄRMLANDS LÄN</t>
        </is>
      </c>
      <c r="E14245" t="inlineStr">
        <is>
          <t>SÄFFLE</t>
        </is>
      </c>
      <c r="G14245" t="n">
        <v>1.1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14897-2024</t>
        </is>
      </c>
      <c r="B14246" s="1" t="n">
        <v>45398</v>
      </c>
      <c r="C14246" s="1" t="n">
        <v>45810</v>
      </c>
      <c r="D14246" t="inlineStr">
        <is>
          <t>VÄRMLANDS LÄN</t>
        </is>
      </c>
      <c r="E14246" t="inlineStr">
        <is>
          <t>HAGFORS</t>
        </is>
      </c>
      <c r="G14246" t="n">
        <v>5.2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14917-2024</t>
        </is>
      </c>
      <c r="B14247" s="1" t="n">
        <v>45398</v>
      </c>
      <c r="C14247" s="1" t="n">
        <v>45810</v>
      </c>
      <c r="D14247" t="inlineStr">
        <is>
          <t>VÄRMLANDS LÄN</t>
        </is>
      </c>
      <c r="E14247" t="inlineStr">
        <is>
          <t>ÅRJÄNG</t>
        </is>
      </c>
      <c r="G14247" t="n">
        <v>19.9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14950-2024</t>
        </is>
      </c>
      <c r="B14248" s="1" t="n">
        <v>45398</v>
      </c>
      <c r="C14248" s="1" t="n">
        <v>45810</v>
      </c>
      <c r="D14248" t="inlineStr">
        <is>
          <t>VÄRMLANDS LÄN</t>
        </is>
      </c>
      <c r="E14248" t="inlineStr">
        <is>
          <t>SUNNE</t>
        </is>
      </c>
      <c r="G14248" t="n">
        <v>4.5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14954-2024</t>
        </is>
      </c>
      <c r="B14249" s="1" t="n">
        <v>45398</v>
      </c>
      <c r="C14249" s="1" t="n">
        <v>45810</v>
      </c>
      <c r="D14249" t="inlineStr">
        <is>
          <t>VÄRMLANDS LÄN</t>
        </is>
      </c>
      <c r="E14249" t="inlineStr">
        <is>
          <t>KIL</t>
        </is>
      </c>
      <c r="G14249" t="n">
        <v>3.7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14828-2024</t>
        </is>
      </c>
      <c r="B14250" s="1" t="n">
        <v>45398</v>
      </c>
      <c r="C14250" s="1" t="n">
        <v>45810</v>
      </c>
      <c r="D14250" t="inlineStr">
        <is>
          <t>VÄRMLANDS LÄN</t>
        </is>
      </c>
      <c r="E14250" t="inlineStr">
        <is>
          <t>SÄFFLE</t>
        </is>
      </c>
      <c r="G14250" t="n">
        <v>3.7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14838-2024</t>
        </is>
      </c>
      <c r="B14251" s="1" t="n">
        <v>45398</v>
      </c>
      <c r="C14251" s="1" t="n">
        <v>45810</v>
      </c>
      <c r="D14251" t="inlineStr">
        <is>
          <t>VÄRMLANDS LÄN</t>
        </is>
      </c>
      <c r="E14251" t="inlineStr">
        <is>
          <t>FILIPSTAD</t>
        </is>
      </c>
      <c r="G14251" t="n">
        <v>1.3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14831-2024</t>
        </is>
      </c>
      <c r="B14252" s="1" t="n">
        <v>45398</v>
      </c>
      <c r="C14252" s="1" t="n">
        <v>45810</v>
      </c>
      <c r="D14252" t="inlineStr">
        <is>
          <t>VÄRMLANDS LÄN</t>
        </is>
      </c>
      <c r="E14252" t="inlineStr">
        <is>
          <t>TORSBY</t>
        </is>
      </c>
      <c r="F14252" t="inlineStr">
        <is>
          <t>Bergvik skog väst AB</t>
        </is>
      </c>
      <c r="G14252" t="n">
        <v>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14857-2024</t>
        </is>
      </c>
      <c r="B14253" s="1" t="n">
        <v>45398</v>
      </c>
      <c r="C14253" s="1" t="n">
        <v>45810</v>
      </c>
      <c r="D14253" t="inlineStr">
        <is>
          <t>VÄRMLANDS LÄN</t>
        </is>
      </c>
      <c r="E14253" t="inlineStr">
        <is>
          <t>FILIPSTAD</t>
        </is>
      </c>
      <c r="G14253" t="n">
        <v>4.4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14871-2024</t>
        </is>
      </c>
      <c r="B14254" s="1" t="n">
        <v>45398</v>
      </c>
      <c r="C14254" s="1" t="n">
        <v>45810</v>
      </c>
      <c r="D14254" t="inlineStr">
        <is>
          <t>VÄRMLANDS LÄN</t>
        </is>
      </c>
      <c r="E14254" t="inlineStr">
        <is>
          <t>SUNNE</t>
        </is>
      </c>
      <c r="G14254" t="n">
        <v>3.6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14949-2024</t>
        </is>
      </c>
      <c r="B14255" s="1" t="n">
        <v>45398</v>
      </c>
      <c r="C14255" s="1" t="n">
        <v>45810</v>
      </c>
      <c r="D14255" t="inlineStr">
        <is>
          <t>VÄRMLANDS LÄN</t>
        </is>
      </c>
      <c r="E14255" t="inlineStr">
        <is>
          <t>TORSBY</t>
        </is>
      </c>
      <c r="G14255" t="n">
        <v>8.5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14882-2024</t>
        </is>
      </c>
      <c r="B14256" s="1" t="n">
        <v>45398</v>
      </c>
      <c r="C14256" s="1" t="n">
        <v>45810</v>
      </c>
      <c r="D14256" t="inlineStr">
        <is>
          <t>VÄRMLANDS LÄN</t>
        </is>
      </c>
      <c r="E14256" t="inlineStr">
        <is>
          <t>TORSBY</t>
        </is>
      </c>
      <c r="G14256" t="n">
        <v>2.6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14822-2024</t>
        </is>
      </c>
      <c r="B14257" s="1" t="n">
        <v>45398</v>
      </c>
      <c r="C14257" s="1" t="n">
        <v>45810</v>
      </c>
      <c r="D14257" t="inlineStr">
        <is>
          <t>VÄRMLANDS LÄN</t>
        </is>
      </c>
      <c r="E14257" t="inlineStr">
        <is>
          <t>SÄFFLE</t>
        </is>
      </c>
      <c r="G14257" t="n">
        <v>2.2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14860-2024</t>
        </is>
      </c>
      <c r="B14258" s="1" t="n">
        <v>45398</v>
      </c>
      <c r="C14258" s="1" t="n">
        <v>45810</v>
      </c>
      <c r="D14258" t="inlineStr">
        <is>
          <t>VÄRMLANDS LÄN</t>
        </is>
      </c>
      <c r="E14258" t="inlineStr">
        <is>
          <t>TORSBY</t>
        </is>
      </c>
      <c r="F14258" t="inlineStr">
        <is>
          <t>Kyrkan</t>
        </is>
      </c>
      <c r="G14258" t="n">
        <v>12.2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15083-2024</t>
        </is>
      </c>
      <c r="B14259" s="1" t="n">
        <v>45399</v>
      </c>
      <c r="C14259" s="1" t="n">
        <v>45810</v>
      </c>
      <c r="D14259" t="inlineStr">
        <is>
          <t>VÄRMLANDS LÄN</t>
        </is>
      </c>
      <c r="E14259" t="inlineStr">
        <is>
          <t>TORSBY</t>
        </is>
      </c>
      <c r="G14259" t="n">
        <v>2.8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15087-2024</t>
        </is>
      </c>
      <c r="B14260" s="1" t="n">
        <v>45399</v>
      </c>
      <c r="C14260" s="1" t="n">
        <v>45810</v>
      </c>
      <c r="D14260" t="inlineStr">
        <is>
          <t>VÄRMLANDS LÄN</t>
        </is>
      </c>
      <c r="E14260" t="inlineStr">
        <is>
          <t>FORSHAGA</t>
        </is>
      </c>
      <c r="G14260" t="n">
        <v>8.1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15096-2024</t>
        </is>
      </c>
      <c r="B14261" s="1" t="n">
        <v>45399</v>
      </c>
      <c r="C14261" s="1" t="n">
        <v>45810</v>
      </c>
      <c r="D14261" t="inlineStr">
        <is>
          <t>VÄRMLANDS LÄN</t>
        </is>
      </c>
      <c r="E14261" t="inlineStr">
        <is>
          <t>HAGFORS</t>
        </is>
      </c>
      <c r="G14261" t="n">
        <v>5.3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15052-2024</t>
        </is>
      </c>
      <c r="B14262" s="1" t="n">
        <v>45399</v>
      </c>
      <c r="C14262" s="1" t="n">
        <v>45810</v>
      </c>
      <c r="D14262" t="inlineStr">
        <is>
          <t>VÄRMLANDS LÄN</t>
        </is>
      </c>
      <c r="E14262" t="inlineStr">
        <is>
          <t>TORSBY</t>
        </is>
      </c>
      <c r="G14262" t="n">
        <v>1.9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15064-2024</t>
        </is>
      </c>
      <c r="B14263" s="1" t="n">
        <v>45399</v>
      </c>
      <c r="C14263" s="1" t="n">
        <v>45810</v>
      </c>
      <c r="D14263" t="inlineStr">
        <is>
          <t>VÄRMLANDS LÄN</t>
        </is>
      </c>
      <c r="E14263" t="inlineStr">
        <is>
          <t>TORSBY</t>
        </is>
      </c>
      <c r="G14263" t="n">
        <v>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15092-2024</t>
        </is>
      </c>
      <c r="B14264" s="1" t="n">
        <v>45399</v>
      </c>
      <c r="C14264" s="1" t="n">
        <v>45810</v>
      </c>
      <c r="D14264" t="inlineStr">
        <is>
          <t>VÄRMLANDS LÄN</t>
        </is>
      </c>
      <c r="E14264" t="inlineStr">
        <is>
          <t>SÄFFLE</t>
        </is>
      </c>
      <c r="G14264" t="n">
        <v>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15101-2024</t>
        </is>
      </c>
      <c r="B14265" s="1" t="n">
        <v>45399</v>
      </c>
      <c r="C14265" s="1" t="n">
        <v>45810</v>
      </c>
      <c r="D14265" t="inlineStr">
        <is>
          <t>VÄRMLANDS LÄN</t>
        </is>
      </c>
      <c r="E14265" t="inlineStr">
        <is>
          <t>TORSBY</t>
        </is>
      </c>
      <c r="G14265" t="n">
        <v>1.9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14987-2024</t>
        </is>
      </c>
      <c r="B14266" s="1" t="n">
        <v>45399</v>
      </c>
      <c r="C14266" s="1" t="n">
        <v>45810</v>
      </c>
      <c r="D14266" t="inlineStr">
        <is>
          <t>VÄRMLANDS LÄN</t>
        </is>
      </c>
      <c r="E14266" t="inlineStr">
        <is>
          <t>KIL</t>
        </is>
      </c>
      <c r="G14266" t="n">
        <v>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15031-2024</t>
        </is>
      </c>
      <c r="B14267" s="1" t="n">
        <v>45399</v>
      </c>
      <c r="C14267" s="1" t="n">
        <v>45810</v>
      </c>
      <c r="D14267" t="inlineStr">
        <is>
          <t>VÄRMLANDS LÄN</t>
        </is>
      </c>
      <c r="E14267" t="inlineStr">
        <is>
          <t>KRISTINEHAMN</t>
        </is>
      </c>
      <c r="G14267" t="n">
        <v>0.8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15061-2024</t>
        </is>
      </c>
      <c r="B14268" s="1" t="n">
        <v>45399</v>
      </c>
      <c r="C14268" s="1" t="n">
        <v>45810</v>
      </c>
      <c r="D14268" t="inlineStr">
        <is>
          <t>VÄRMLANDS LÄN</t>
        </is>
      </c>
      <c r="E14268" t="inlineStr">
        <is>
          <t>TORSBY</t>
        </is>
      </c>
      <c r="G14268" t="n">
        <v>5.9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15081-2024</t>
        </is>
      </c>
      <c r="B14269" s="1" t="n">
        <v>45399</v>
      </c>
      <c r="C14269" s="1" t="n">
        <v>45810</v>
      </c>
      <c r="D14269" t="inlineStr">
        <is>
          <t>VÄRMLANDS LÄN</t>
        </is>
      </c>
      <c r="E14269" t="inlineStr">
        <is>
          <t>STORFORS</t>
        </is>
      </c>
      <c r="F14269" t="inlineStr">
        <is>
          <t>Kyrkan</t>
        </is>
      </c>
      <c r="G14269" t="n">
        <v>5.2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15089-2024</t>
        </is>
      </c>
      <c r="B14270" s="1" t="n">
        <v>45399</v>
      </c>
      <c r="C14270" s="1" t="n">
        <v>45810</v>
      </c>
      <c r="D14270" t="inlineStr">
        <is>
          <t>VÄRMLANDS LÄN</t>
        </is>
      </c>
      <c r="E14270" t="inlineStr">
        <is>
          <t>SÄFFLE</t>
        </is>
      </c>
      <c r="G14270" t="n">
        <v>1.9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14984-2024</t>
        </is>
      </c>
      <c r="B14271" s="1" t="n">
        <v>45399</v>
      </c>
      <c r="C14271" s="1" t="n">
        <v>45810</v>
      </c>
      <c r="D14271" t="inlineStr">
        <is>
          <t>VÄRMLANDS LÄN</t>
        </is>
      </c>
      <c r="E14271" t="inlineStr">
        <is>
          <t>KIL</t>
        </is>
      </c>
      <c r="G14271" t="n">
        <v>3.5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14988-2024</t>
        </is>
      </c>
      <c r="B14272" s="1" t="n">
        <v>45399</v>
      </c>
      <c r="C14272" s="1" t="n">
        <v>45810</v>
      </c>
      <c r="D14272" t="inlineStr">
        <is>
          <t>VÄRMLANDS LÄN</t>
        </is>
      </c>
      <c r="E14272" t="inlineStr">
        <is>
          <t>FORSHAGA</t>
        </is>
      </c>
      <c r="G14272" t="n">
        <v>2.1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14992-2024</t>
        </is>
      </c>
      <c r="B14273" s="1" t="n">
        <v>45399</v>
      </c>
      <c r="C14273" s="1" t="n">
        <v>45810</v>
      </c>
      <c r="D14273" t="inlineStr">
        <is>
          <t>VÄRMLANDS LÄN</t>
        </is>
      </c>
      <c r="E14273" t="inlineStr">
        <is>
          <t>SUNNE</t>
        </is>
      </c>
      <c r="G14273" t="n">
        <v>2.4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15126-2024</t>
        </is>
      </c>
      <c r="B14274" s="1" t="n">
        <v>45399</v>
      </c>
      <c r="C14274" s="1" t="n">
        <v>45810</v>
      </c>
      <c r="D14274" t="inlineStr">
        <is>
          <t>VÄRMLANDS LÄN</t>
        </is>
      </c>
      <c r="E14274" t="inlineStr">
        <is>
          <t>TORSBY</t>
        </is>
      </c>
      <c r="G14274" t="n">
        <v>1.8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15127-2024</t>
        </is>
      </c>
      <c r="B14275" s="1" t="n">
        <v>45399</v>
      </c>
      <c r="C14275" s="1" t="n">
        <v>45810</v>
      </c>
      <c r="D14275" t="inlineStr">
        <is>
          <t>VÄRMLANDS LÄN</t>
        </is>
      </c>
      <c r="E14275" t="inlineStr">
        <is>
          <t>TORSBY</t>
        </is>
      </c>
      <c r="G14275" t="n">
        <v>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15164-2024</t>
        </is>
      </c>
      <c r="B14276" s="1" t="n">
        <v>45400</v>
      </c>
      <c r="C14276" s="1" t="n">
        <v>45810</v>
      </c>
      <c r="D14276" t="inlineStr">
        <is>
          <t>VÄRMLANDS LÄN</t>
        </is>
      </c>
      <c r="E14276" t="inlineStr">
        <is>
          <t>HAGFORS</t>
        </is>
      </c>
      <c r="F14276" t="inlineStr">
        <is>
          <t>Bergvik skog väst AB</t>
        </is>
      </c>
      <c r="G14276" t="n">
        <v>4.3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15178-2024</t>
        </is>
      </c>
      <c r="B14277" s="1" t="n">
        <v>45400</v>
      </c>
      <c r="C14277" s="1" t="n">
        <v>45810</v>
      </c>
      <c r="D14277" t="inlineStr">
        <is>
          <t>VÄRMLANDS LÄN</t>
        </is>
      </c>
      <c r="E14277" t="inlineStr">
        <is>
          <t>KIL</t>
        </is>
      </c>
      <c r="G14277" t="n">
        <v>6.1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15182-2024</t>
        </is>
      </c>
      <c r="B14278" s="1" t="n">
        <v>45400</v>
      </c>
      <c r="C14278" s="1" t="n">
        <v>45810</v>
      </c>
      <c r="D14278" t="inlineStr">
        <is>
          <t>VÄRMLANDS LÄN</t>
        </is>
      </c>
      <c r="E14278" t="inlineStr">
        <is>
          <t>TORSBY</t>
        </is>
      </c>
      <c r="G14278" t="n">
        <v>0.8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15189-2024</t>
        </is>
      </c>
      <c r="B14279" s="1" t="n">
        <v>45400</v>
      </c>
      <c r="C14279" s="1" t="n">
        <v>45810</v>
      </c>
      <c r="D14279" t="inlineStr">
        <is>
          <t>VÄRMLANDS LÄN</t>
        </is>
      </c>
      <c r="E14279" t="inlineStr">
        <is>
          <t>HAGFORS</t>
        </is>
      </c>
      <c r="F14279" t="inlineStr">
        <is>
          <t>Bergvik skog väst AB</t>
        </is>
      </c>
      <c r="G14279" t="n">
        <v>1.7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15198-2024</t>
        </is>
      </c>
      <c r="B14280" s="1" t="n">
        <v>45400</v>
      </c>
      <c r="C14280" s="1" t="n">
        <v>45810</v>
      </c>
      <c r="D14280" t="inlineStr">
        <is>
          <t>VÄRMLANDS LÄN</t>
        </is>
      </c>
      <c r="E14280" t="inlineStr">
        <is>
          <t>ÅRJÄNG</t>
        </is>
      </c>
      <c r="G14280" t="n">
        <v>1.6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15180-2024</t>
        </is>
      </c>
      <c r="B14281" s="1" t="n">
        <v>45400</v>
      </c>
      <c r="C14281" s="1" t="n">
        <v>45810</v>
      </c>
      <c r="D14281" t="inlineStr">
        <is>
          <t>VÄRMLANDS LÄN</t>
        </is>
      </c>
      <c r="E14281" t="inlineStr">
        <is>
          <t>TORSBY</t>
        </is>
      </c>
      <c r="G14281" t="n">
        <v>3.6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15222-2024</t>
        </is>
      </c>
      <c r="B14282" s="1" t="n">
        <v>45400</v>
      </c>
      <c r="C14282" s="1" t="n">
        <v>45810</v>
      </c>
      <c r="D14282" t="inlineStr">
        <is>
          <t>VÄRMLANDS LÄN</t>
        </is>
      </c>
      <c r="E14282" t="inlineStr">
        <is>
          <t>TORSBY</t>
        </is>
      </c>
      <c r="F14282" t="inlineStr">
        <is>
          <t>Bergvik skog väst AB</t>
        </is>
      </c>
      <c r="G14282" t="n">
        <v>7.5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15205-2024</t>
        </is>
      </c>
      <c r="B14283" s="1" t="n">
        <v>45400</v>
      </c>
      <c r="C14283" s="1" t="n">
        <v>45810</v>
      </c>
      <c r="D14283" t="inlineStr">
        <is>
          <t>VÄRMLANDS LÄN</t>
        </is>
      </c>
      <c r="E14283" t="inlineStr">
        <is>
          <t>ARVIKA</t>
        </is>
      </c>
      <c r="G14283" t="n">
        <v>0.7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15228-2024</t>
        </is>
      </c>
      <c r="B14284" s="1" t="n">
        <v>45400</v>
      </c>
      <c r="C14284" s="1" t="n">
        <v>45810</v>
      </c>
      <c r="D14284" t="inlineStr">
        <is>
          <t>VÄRMLANDS LÄN</t>
        </is>
      </c>
      <c r="E14284" t="inlineStr">
        <is>
          <t>HAGFORS</t>
        </is>
      </c>
      <c r="G14284" t="n">
        <v>1.8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15233-2024</t>
        </is>
      </c>
      <c r="B14285" s="1" t="n">
        <v>45400</v>
      </c>
      <c r="C14285" s="1" t="n">
        <v>45810</v>
      </c>
      <c r="D14285" t="inlineStr">
        <is>
          <t>VÄRMLANDS LÄN</t>
        </is>
      </c>
      <c r="E14285" t="inlineStr">
        <is>
          <t>SÄFFLE</t>
        </is>
      </c>
      <c r="G14285" t="n">
        <v>2.5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15270-2024</t>
        </is>
      </c>
      <c r="B14286" s="1" t="n">
        <v>45400</v>
      </c>
      <c r="C14286" s="1" t="n">
        <v>45810</v>
      </c>
      <c r="D14286" t="inlineStr">
        <is>
          <t>VÄRMLANDS LÄN</t>
        </is>
      </c>
      <c r="E14286" t="inlineStr">
        <is>
          <t>HAGFORS</t>
        </is>
      </c>
      <c r="G14286" t="n">
        <v>3.3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15274-2024</t>
        </is>
      </c>
      <c r="B14287" s="1" t="n">
        <v>45400</v>
      </c>
      <c r="C14287" s="1" t="n">
        <v>45810</v>
      </c>
      <c r="D14287" t="inlineStr">
        <is>
          <t>VÄRMLANDS LÄN</t>
        </is>
      </c>
      <c r="E14287" t="inlineStr">
        <is>
          <t>TORSBY</t>
        </is>
      </c>
      <c r="G14287" t="n">
        <v>2.1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15293-2024</t>
        </is>
      </c>
      <c r="B14288" s="1" t="n">
        <v>45400</v>
      </c>
      <c r="C14288" s="1" t="n">
        <v>45810</v>
      </c>
      <c r="D14288" t="inlineStr">
        <is>
          <t>VÄRMLANDS LÄN</t>
        </is>
      </c>
      <c r="E14288" t="inlineStr">
        <is>
          <t>TORSBY</t>
        </is>
      </c>
      <c r="F14288" t="inlineStr">
        <is>
          <t>Bergvik skog väst AB</t>
        </is>
      </c>
      <c r="G14288" t="n">
        <v>9.800000000000001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15239-2024</t>
        </is>
      </c>
      <c r="B14289" s="1" t="n">
        <v>45400</v>
      </c>
      <c r="C14289" s="1" t="n">
        <v>45810</v>
      </c>
      <c r="D14289" t="inlineStr">
        <is>
          <t>VÄRMLANDS LÄN</t>
        </is>
      </c>
      <c r="E14289" t="inlineStr">
        <is>
          <t>SUNNE</t>
        </is>
      </c>
      <c r="G14289" t="n">
        <v>1.3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15243-2024</t>
        </is>
      </c>
      <c r="B14290" s="1" t="n">
        <v>45400</v>
      </c>
      <c r="C14290" s="1" t="n">
        <v>45810</v>
      </c>
      <c r="D14290" t="inlineStr">
        <is>
          <t>VÄRMLANDS LÄN</t>
        </is>
      </c>
      <c r="E14290" t="inlineStr">
        <is>
          <t>ARVIKA</t>
        </is>
      </c>
      <c r="F14290" t="inlineStr">
        <is>
          <t>Kyrkan</t>
        </is>
      </c>
      <c r="G14290" t="n">
        <v>1.5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15290-2024</t>
        </is>
      </c>
      <c r="B14291" s="1" t="n">
        <v>45400</v>
      </c>
      <c r="C14291" s="1" t="n">
        <v>45810</v>
      </c>
      <c r="D14291" t="inlineStr">
        <is>
          <t>VÄRMLANDS LÄN</t>
        </is>
      </c>
      <c r="E14291" t="inlineStr">
        <is>
          <t>KIL</t>
        </is>
      </c>
      <c r="G14291" t="n">
        <v>0.9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15175-2024</t>
        </is>
      </c>
      <c r="B14292" s="1" t="n">
        <v>45400</v>
      </c>
      <c r="C14292" s="1" t="n">
        <v>45810</v>
      </c>
      <c r="D14292" t="inlineStr">
        <is>
          <t>VÄRMLANDS LÄN</t>
        </is>
      </c>
      <c r="E14292" t="inlineStr">
        <is>
          <t>TORSBY</t>
        </is>
      </c>
      <c r="G14292" t="n">
        <v>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15315-2024</t>
        </is>
      </c>
      <c r="B14293" s="1" t="n">
        <v>45400</v>
      </c>
      <c r="C14293" s="1" t="n">
        <v>45810</v>
      </c>
      <c r="D14293" t="inlineStr">
        <is>
          <t>VÄRMLANDS LÄN</t>
        </is>
      </c>
      <c r="E14293" t="inlineStr">
        <is>
          <t>TORSBY</t>
        </is>
      </c>
      <c r="G14293" t="n">
        <v>3.6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15320-2024</t>
        </is>
      </c>
      <c r="B14294" s="1" t="n">
        <v>45400</v>
      </c>
      <c r="C14294" s="1" t="n">
        <v>45810</v>
      </c>
      <c r="D14294" t="inlineStr">
        <is>
          <t>VÄRMLANDS LÄN</t>
        </is>
      </c>
      <c r="E14294" t="inlineStr">
        <is>
          <t>TORSBY</t>
        </is>
      </c>
      <c r="G14294" t="n">
        <v>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15346-2024</t>
        </is>
      </c>
      <c r="B14295" s="1" t="n">
        <v>45400</v>
      </c>
      <c r="C14295" s="1" t="n">
        <v>45810</v>
      </c>
      <c r="D14295" t="inlineStr">
        <is>
          <t>VÄRMLANDS LÄN</t>
        </is>
      </c>
      <c r="E14295" t="inlineStr">
        <is>
          <t>ÅRJÄNG</t>
        </is>
      </c>
      <c r="G14295" t="n">
        <v>11.8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15538-2024</t>
        </is>
      </c>
      <c r="B14296" s="1" t="n">
        <v>45401</v>
      </c>
      <c r="C14296" s="1" t="n">
        <v>45810</v>
      </c>
      <c r="D14296" t="inlineStr">
        <is>
          <t>VÄRMLANDS LÄN</t>
        </is>
      </c>
      <c r="E14296" t="inlineStr">
        <is>
          <t>HAGFORS</t>
        </is>
      </c>
      <c r="F14296" t="inlineStr">
        <is>
          <t>Bergvik skog väst AB</t>
        </is>
      </c>
      <c r="G14296" t="n">
        <v>3.7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15526-2024</t>
        </is>
      </c>
      <c r="B14297" s="1" t="n">
        <v>45401</v>
      </c>
      <c r="C14297" s="1" t="n">
        <v>45810</v>
      </c>
      <c r="D14297" t="inlineStr">
        <is>
          <t>VÄRMLANDS LÄN</t>
        </is>
      </c>
      <c r="E14297" t="inlineStr">
        <is>
          <t>FORSHAGA</t>
        </is>
      </c>
      <c r="F14297" t="inlineStr">
        <is>
          <t>Bergvik skog väst AB</t>
        </is>
      </c>
      <c r="G14297" t="n">
        <v>4.2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15505-2024</t>
        </is>
      </c>
      <c r="B14298" s="1" t="n">
        <v>45401</v>
      </c>
      <c r="C14298" s="1" t="n">
        <v>45810</v>
      </c>
      <c r="D14298" t="inlineStr">
        <is>
          <t>VÄRMLANDS LÄN</t>
        </is>
      </c>
      <c r="E14298" t="inlineStr">
        <is>
          <t>ARVIKA</t>
        </is>
      </c>
      <c r="F14298" t="inlineStr">
        <is>
          <t>Bergvik skog väst AB</t>
        </is>
      </c>
      <c r="G14298" t="n">
        <v>0.8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15497-2024</t>
        </is>
      </c>
      <c r="B14299" s="1" t="n">
        <v>45401</v>
      </c>
      <c r="C14299" s="1" t="n">
        <v>45810</v>
      </c>
      <c r="D14299" t="inlineStr">
        <is>
          <t>VÄRMLANDS LÄN</t>
        </is>
      </c>
      <c r="E14299" t="inlineStr">
        <is>
          <t>FORSHAGA</t>
        </is>
      </c>
      <c r="F14299" t="inlineStr">
        <is>
          <t>Bergvik skog väst AB</t>
        </is>
      </c>
      <c r="G14299" t="n">
        <v>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15442-2024</t>
        </is>
      </c>
      <c r="B14300" s="1" t="n">
        <v>45401</v>
      </c>
      <c r="C14300" s="1" t="n">
        <v>45810</v>
      </c>
      <c r="D14300" t="inlineStr">
        <is>
          <t>VÄRMLANDS LÄN</t>
        </is>
      </c>
      <c r="E14300" t="inlineStr">
        <is>
          <t>STORFORS</t>
        </is>
      </c>
      <c r="G14300" t="n">
        <v>1.7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15408-2024</t>
        </is>
      </c>
      <c r="B14301" s="1" t="n">
        <v>45401</v>
      </c>
      <c r="C14301" s="1" t="n">
        <v>45810</v>
      </c>
      <c r="D14301" t="inlineStr">
        <is>
          <t>VÄRMLANDS LÄN</t>
        </is>
      </c>
      <c r="E14301" t="inlineStr">
        <is>
          <t>SÄFFLE</t>
        </is>
      </c>
      <c r="G14301" t="n">
        <v>2.7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15420-2024</t>
        </is>
      </c>
      <c r="B14302" s="1" t="n">
        <v>45401</v>
      </c>
      <c r="C14302" s="1" t="n">
        <v>45810</v>
      </c>
      <c r="D14302" t="inlineStr">
        <is>
          <t>VÄRMLANDS LÄN</t>
        </is>
      </c>
      <c r="E14302" t="inlineStr">
        <is>
          <t>ARVIKA</t>
        </is>
      </c>
      <c r="F14302" t="inlineStr">
        <is>
          <t>Bergvik skog väst AB</t>
        </is>
      </c>
      <c r="G14302" t="n">
        <v>2.1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15425-2024</t>
        </is>
      </c>
      <c r="B14303" s="1" t="n">
        <v>45401</v>
      </c>
      <c r="C14303" s="1" t="n">
        <v>45810</v>
      </c>
      <c r="D14303" t="inlineStr">
        <is>
          <t>VÄRMLANDS LÄN</t>
        </is>
      </c>
      <c r="E14303" t="inlineStr">
        <is>
          <t>TORSBY</t>
        </is>
      </c>
      <c r="G14303" t="n">
        <v>1.4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15437-2024</t>
        </is>
      </c>
      <c r="B14304" s="1" t="n">
        <v>45401</v>
      </c>
      <c r="C14304" s="1" t="n">
        <v>45810</v>
      </c>
      <c r="D14304" t="inlineStr">
        <is>
          <t>VÄRMLANDS LÄN</t>
        </is>
      </c>
      <c r="E14304" t="inlineStr">
        <is>
          <t>STORFORS</t>
        </is>
      </c>
      <c r="G14304" t="n">
        <v>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15588-2024</t>
        </is>
      </c>
      <c r="B14305" s="1" t="n">
        <v>45401</v>
      </c>
      <c r="C14305" s="1" t="n">
        <v>45810</v>
      </c>
      <c r="D14305" t="inlineStr">
        <is>
          <t>VÄRMLANDS LÄN</t>
        </is>
      </c>
      <c r="E14305" t="inlineStr">
        <is>
          <t>FORSHAGA</t>
        </is>
      </c>
      <c r="F14305" t="inlineStr">
        <is>
          <t>Bergvik skog väst AB</t>
        </is>
      </c>
      <c r="G14305" t="n">
        <v>14.5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15439-2024</t>
        </is>
      </c>
      <c r="B14306" s="1" t="n">
        <v>45401</v>
      </c>
      <c r="C14306" s="1" t="n">
        <v>45810</v>
      </c>
      <c r="D14306" t="inlineStr">
        <is>
          <t>VÄRMLANDS LÄN</t>
        </is>
      </c>
      <c r="E14306" t="inlineStr">
        <is>
          <t>FORSHAGA</t>
        </is>
      </c>
      <c r="F14306" t="inlineStr">
        <is>
          <t>Bergvik skog väst AB</t>
        </is>
      </c>
      <c r="G14306" t="n">
        <v>3.3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15431-2024</t>
        </is>
      </c>
      <c r="B14307" s="1" t="n">
        <v>45401</v>
      </c>
      <c r="C14307" s="1" t="n">
        <v>45810</v>
      </c>
      <c r="D14307" t="inlineStr">
        <is>
          <t>VÄRMLANDS LÄN</t>
        </is>
      </c>
      <c r="E14307" t="inlineStr">
        <is>
          <t>FILIPSTAD</t>
        </is>
      </c>
      <c r="F14307" t="inlineStr">
        <is>
          <t>Bergvik skog väst AB</t>
        </is>
      </c>
      <c r="G14307" t="n">
        <v>1.1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15406-2024</t>
        </is>
      </c>
      <c r="B14308" s="1" t="n">
        <v>45401</v>
      </c>
      <c r="C14308" s="1" t="n">
        <v>45810</v>
      </c>
      <c r="D14308" t="inlineStr">
        <is>
          <t>VÄRMLANDS LÄN</t>
        </is>
      </c>
      <c r="E14308" t="inlineStr">
        <is>
          <t>KRISTINEHAMN</t>
        </is>
      </c>
      <c r="G14308" t="n">
        <v>1.6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15393-2024</t>
        </is>
      </c>
      <c r="B14309" s="1" t="n">
        <v>45401</v>
      </c>
      <c r="C14309" s="1" t="n">
        <v>45810</v>
      </c>
      <c r="D14309" t="inlineStr">
        <is>
          <t>VÄRMLANDS LÄN</t>
        </is>
      </c>
      <c r="E14309" t="inlineStr">
        <is>
          <t>FORSHAGA</t>
        </is>
      </c>
      <c r="F14309" t="inlineStr">
        <is>
          <t>Bergvik skog väst AB</t>
        </is>
      </c>
      <c r="G14309" t="n">
        <v>1.9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15453-2024</t>
        </is>
      </c>
      <c r="B14310" s="1" t="n">
        <v>45401</v>
      </c>
      <c r="C14310" s="1" t="n">
        <v>45810</v>
      </c>
      <c r="D14310" t="inlineStr">
        <is>
          <t>VÄRMLANDS LÄN</t>
        </is>
      </c>
      <c r="E14310" t="inlineStr">
        <is>
          <t>SUNNE</t>
        </is>
      </c>
      <c r="G14310" t="n">
        <v>1.4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15441-2024</t>
        </is>
      </c>
      <c r="B14311" s="1" t="n">
        <v>45401</v>
      </c>
      <c r="C14311" s="1" t="n">
        <v>45810</v>
      </c>
      <c r="D14311" t="inlineStr">
        <is>
          <t>VÄRMLANDS LÄN</t>
        </is>
      </c>
      <c r="E14311" t="inlineStr">
        <is>
          <t>FORSHAGA</t>
        </is>
      </c>
      <c r="G14311" t="n">
        <v>2.6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15471-2024</t>
        </is>
      </c>
      <c r="B14312" s="1" t="n">
        <v>45401</v>
      </c>
      <c r="C14312" s="1" t="n">
        <v>45810</v>
      </c>
      <c r="D14312" t="inlineStr">
        <is>
          <t>VÄRMLANDS LÄN</t>
        </is>
      </c>
      <c r="E14312" t="inlineStr">
        <is>
          <t>FILIPSTAD</t>
        </is>
      </c>
      <c r="G14312" t="n">
        <v>0.5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15529-2024</t>
        </is>
      </c>
      <c r="B14313" s="1" t="n">
        <v>45401</v>
      </c>
      <c r="C14313" s="1" t="n">
        <v>45810</v>
      </c>
      <c r="D14313" t="inlineStr">
        <is>
          <t>VÄRMLANDS LÄN</t>
        </is>
      </c>
      <c r="E14313" t="inlineStr">
        <is>
          <t>ARVIKA</t>
        </is>
      </c>
      <c r="G14313" t="n">
        <v>4.2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15537-2024</t>
        </is>
      </c>
      <c r="B14314" s="1" t="n">
        <v>45401</v>
      </c>
      <c r="C14314" s="1" t="n">
        <v>45810</v>
      </c>
      <c r="D14314" t="inlineStr">
        <is>
          <t>VÄRMLANDS LÄN</t>
        </is>
      </c>
      <c r="E14314" t="inlineStr">
        <is>
          <t>ÅRJÄNG</t>
        </is>
      </c>
      <c r="G14314" t="n">
        <v>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15545-2024</t>
        </is>
      </c>
      <c r="B14315" s="1" t="n">
        <v>45401</v>
      </c>
      <c r="C14315" s="1" t="n">
        <v>45810</v>
      </c>
      <c r="D14315" t="inlineStr">
        <is>
          <t>VÄRMLANDS LÄN</t>
        </is>
      </c>
      <c r="E14315" t="inlineStr">
        <is>
          <t>GRUMS</t>
        </is>
      </c>
      <c r="F14315" t="inlineStr">
        <is>
          <t>Bergvik skog väst AB</t>
        </is>
      </c>
      <c r="G14315" t="n">
        <v>3.8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15558-2024</t>
        </is>
      </c>
      <c r="B14316" s="1" t="n">
        <v>45401</v>
      </c>
      <c r="C14316" s="1" t="n">
        <v>45810</v>
      </c>
      <c r="D14316" t="inlineStr">
        <is>
          <t>VÄRMLANDS LÄN</t>
        </is>
      </c>
      <c r="E14316" t="inlineStr">
        <is>
          <t>FORSHAGA</t>
        </is>
      </c>
      <c r="F14316" t="inlineStr">
        <is>
          <t>Bergvik skog väst AB</t>
        </is>
      </c>
      <c r="G14316" t="n">
        <v>3.1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15532-2024</t>
        </is>
      </c>
      <c r="B14317" s="1" t="n">
        <v>45401</v>
      </c>
      <c r="C14317" s="1" t="n">
        <v>45810</v>
      </c>
      <c r="D14317" t="inlineStr">
        <is>
          <t>VÄRMLANDS LÄN</t>
        </is>
      </c>
      <c r="E14317" t="inlineStr">
        <is>
          <t>GRUMS</t>
        </is>
      </c>
      <c r="G14317" t="n">
        <v>2.9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15507-2024</t>
        </is>
      </c>
      <c r="B14318" s="1" t="n">
        <v>45401</v>
      </c>
      <c r="C14318" s="1" t="n">
        <v>45810</v>
      </c>
      <c r="D14318" t="inlineStr">
        <is>
          <t>VÄRMLANDS LÄN</t>
        </is>
      </c>
      <c r="E14318" t="inlineStr">
        <is>
          <t>FORSHAGA</t>
        </is>
      </c>
      <c r="F14318" t="inlineStr">
        <is>
          <t>Bergvik skog väst AB</t>
        </is>
      </c>
      <c r="G14318" t="n">
        <v>0.8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15503-2024</t>
        </is>
      </c>
      <c r="B14319" s="1" t="n">
        <v>45401</v>
      </c>
      <c r="C14319" s="1" t="n">
        <v>45810</v>
      </c>
      <c r="D14319" t="inlineStr">
        <is>
          <t>VÄRMLANDS LÄN</t>
        </is>
      </c>
      <c r="E14319" t="inlineStr">
        <is>
          <t>TORSBY</t>
        </is>
      </c>
      <c r="F14319" t="inlineStr">
        <is>
          <t>Bergvik skog väst AB</t>
        </is>
      </c>
      <c r="G14319" t="n">
        <v>0.7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15465-2024</t>
        </is>
      </c>
      <c r="B14320" s="1" t="n">
        <v>45401</v>
      </c>
      <c r="C14320" s="1" t="n">
        <v>45810</v>
      </c>
      <c r="D14320" t="inlineStr">
        <is>
          <t>VÄRMLANDS LÄN</t>
        </is>
      </c>
      <c r="E14320" t="inlineStr">
        <is>
          <t>TORSBY</t>
        </is>
      </c>
      <c r="F14320" t="inlineStr">
        <is>
          <t>Bergvik skog väst AB</t>
        </is>
      </c>
      <c r="G14320" t="n">
        <v>24.6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15411-2024</t>
        </is>
      </c>
      <c r="B14321" s="1" t="n">
        <v>45401</v>
      </c>
      <c r="C14321" s="1" t="n">
        <v>45810</v>
      </c>
      <c r="D14321" t="inlineStr">
        <is>
          <t>VÄRMLANDS LÄN</t>
        </is>
      </c>
      <c r="E14321" t="inlineStr">
        <is>
          <t>EDA</t>
        </is>
      </c>
      <c r="F14321" t="inlineStr">
        <is>
          <t>Bergvik skog väst AB</t>
        </is>
      </c>
      <c r="G14321" t="n">
        <v>5.3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15633-2024</t>
        </is>
      </c>
      <c r="B14322" s="1" t="n">
        <v>45403</v>
      </c>
      <c r="C14322" s="1" t="n">
        <v>45810</v>
      </c>
      <c r="D14322" t="inlineStr">
        <is>
          <t>VÄRMLANDS LÄN</t>
        </is>
      </c>
      <c r="E14322" t="inlineStr">
        <is>
          <t>SÄFFLE</t>
        </is>
      </c>
      <c r="G14322" t="n">
        <v>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15632-2024</t>
        </is>
      </c>
      <c r="B14323" s="1" t="n">
        <v>45403</v>
      </c>
      <c r="C14323" s="1" t="n">
        <v>45810</v>
      </c>
      <c r="D14323" t="inlineStr">
        <is>
          <t>VÄRMLANDS LÄN</t>
        </is>
      </c>
      <c r="E14323" t="inlineStr">
        <is>
          <t>SÄFFLE</t>
        </is>
      </c>
      <c r="G14323" t="n">
        <v>2.1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15643-2024</t>
        </is>
      </c>
      <c r="B14324" s="1" t="n">
        <v>45404</v>
      </c>
      <c r="C14324" s="1" t="n">
        <v>45810</v>
      </c>
      <c r="D14324" t="inlineStr">
        <is>
          <t>VÄRMLANDS LÄN</t>
        </is>
      </c>
      <c r="E14324" t="inlineStr">
        <is>
          <t>HAGFORS</t>
        </is>
      </c>
      <c r="F14324" t="inlineStr">
        <is>
          <t>Bergvik skog väst AB</t>
        </is>
      </c>
      <c r="G14324" t="n">
        <v>6.1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15710-2024</t>
        </is>
      </c>
      <c r="B14325" s="1" t="n">
        <v>45404</v>
      </c>
      <c r="C14325" s="1" t="n">
        <v>45810</v>
      </c>
      <c r="D14325" t="inlineStr">
        <is>
          <t>VÄRMLANDS LÄN</t>
        </is>
      </c>
      <c r="E14325" t="inlineStr">
        <is>
          <t>SUNNE</t>
        </is>
      </c>
      <c r="G14325" t="n">
        <v>14.4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15730-2024</t>
        </is>
      </c>
      <c r="B14326" s="1" t="n">
        <v>45404</v>
      </c>
      <c r="C14326" s="1" t="n">
        <v>45810</v>
      </c>
      <c r="D14326" t="inlineStr">
        <is>
          <t>VÄRMLANDS LÄN</t>
        </is>
      </c>
      <c r="E14326" t="inlineStr">
        <is>
          <t>TORSBY</t>
        </is>
      </c>
      <c r="G14326" t="n">
        <v>4.1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15758-2024</t>
        </is>
      </c>
      <c r="B14327" s="1" t="n">
        <v>45404</v>
      </c>
      <c r="C14327" s="1" t="n">
        <v>45810</v>
      </c>
      <c r="D14327" t="inlineStr">
        <is>
          <t>VÄRMLANDS LÄN</t>
        </is>
      </c>
      <c r="E14327" t="inlineStr">
        <is>
          <t>TORSBY</t>
        </is>
      </c>
      <c r="G14327" t="n">
        <v>2.1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15649-2024</t>
        </is>
      </c>
      <c r="B14328" s="1" t="n">
        <v>45404</v>
      </c>
      <c r="C14328" s="1" t="n">
        <v>45810</v>
      </c>
      <c r="D14328" t="inlineStr">
        <is>
          <t>VÄRMLANDS LÄN</t>
        </is>
      </c>
      <c r="E14328" t="inlineStr">
        <is>
          <t>EDA</t>
        </is>
      </c>
      <c r="F14328" t="inlineStr">
        <is>
          <t>Kommuner</t>
        </is>
      </c>
      <c r="G14328" t="n">
        <v>3.7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15716-2024</t>
        </is>
      </c>
      <c r="B14329" s="1" t="n">
        <v>45404</v>
      </c>
      <c r="C14329" s="1" t="n">
        <v>45810</v>
      </c>
      <c r="D14329" t="inlineStr">
        <is>
          <t>VÄRMLANDS LÄN</t>
        </is>
      </c>
      <c r="E14329" t="inlineStr">
        <is>
          <t>SUNNE</t>
        </is>
      </c>
      <c r="G14329" t="n">
        <v>2.4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15720-2024</t>
        </is>
      </c>
      <c r="B14330" s="1" t="n">
        <v>45404</v>
      </c>
      <c r="C14330" s="1" t="n">
        <v>45810</v>
      </c>
      <c r="D14330" t="inlineStr">
        <is>
          <t>VÄRMLANDS LÄN</t>
        </is>
      </c>
      <c r="E14330" t="inlineStr">
        <is>
          <t>ÅRJÄNG</t>
        </is>
      </c>
      <c r="G14330" t="n">
        <v>1.3</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15788-2024</t>
        </is>
      </c>
      <c r="B14331" s="1" t="n">
        <v>45404</v>
      </c>
      <c r="C14331" s="1" t="n">
        <v>45810</v>
      </c>
      <c r="D14331" t="inlineStr">
        <is>
          <t>VÄRMLANDS LÄN</t>
        </is>
      </c>
      <c r="E14331" t="inlineStr">
        <is>
          <t>ARVIKA</t>
        </is>
      </c>
      <c r="G14331" t="n">
        <v>1.9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15663-2024</t>
        </is>
      </c>
      <c r="B14332" s="1" t="n">
        <v>45404</v>
      </c>
      <c r="C14332" s="1" t="n">
        <v>45810</v>
      </c>
      <c r="D14332" t="inlineStr">
        <is>
          <t>VÄRMLANDS LÄN</t>
        </is>
      </c>
      <c r="E14332" t="inlineStr">
        <is>
          <t>FORSHAGA</t>
        </is>
      </c>
      <c r="G14332" t="n">
        <v>0.4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15697-2024</t>
        </is>
      </c>
      <c r="B14333" s="1" t="n">
        <v>45404</v>
      </c>
      <c r="C14333" s="1" t="n">
        <v>45810</v>
      </c>
      <c r="D14333" t="inlineStr">
        <is>
          <t>VÄRMLANDS LÄN</t>
        </is>
      </c>
      <c r="E14333" t="inlineStr">
        <is>
          <t>ARVIKA</t>
        </is>
      </c>
      <c r="G14333" t="n">
        <v>0.7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15713-2024</t>
        </is>
      </c>
      <c r="B14334" s="1" t="n">
        <v>45404</v>
      </c>
      <c r="C14334" s="1" t="n">
        <v>45810</v>
      </c>
      <c r="D14334" t="inlineStr">
        <is>
          <t>VÄRMLANDS LÄN</t>
        </is>
      </c>
      <c r="E14334" t="inlineStr">
        <is>
          <t>SUNNE</t>
        </is>
      </c>
      <c r="G14334" t="n">
        <v>4.3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15721-2024</t>
        </is>
      </c>
      <c r="B14335" s="1" t="n">
        <v>45404</v>
      </c>
      <c r="C14335" s="1" t="n">
        <v>45810</v>
      </c>
      <c r="D14335" t="inlineStr">
        <is>
          <t>VÄRMLANDS LÄN</t>
        </is>
      </c>
      <c r="E14335" t="inlineStr">
        <is>
          <t>KIL</t>
        </is>
      </c>
      <c r="G14335" t="n">
        <v>3.5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15644-2024</t>
        </is>
      </c>
      <c r="B14336" s="1" t="n">
        <v>45404</v>
      </c>
      <c r="C14336" s="1" t="n">
        <v>45810</v>
      </c>
      <c r="D14336" t="inlineStr">
        <is>
          <t>VÄRMLANDS LÄN</t>
        </is>
      </c>
      <c r="E14336" t="inlineStr">
        <is>
          <t>FORSHAGA</t>
        </is>
      </c>
      <c r="F14336" t="inlineStr">
        <is>
          <t>Bergvik skog väst AB</t>
        </is>
      </c>
      <c r="G14336" t="n">
        <v>4.9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15789-2024</t>
        </is>
      </c>
      <c r="B14337" s="1" t="n">
        <v>45404</v>
      </c>
      <c r="C14337" s="1" t="n">
        <v>45810</v>
      </c>
      <c r="D14337" t="inlineStr">
        <is>
          <t>VÄRMLANDS LÄN</t>
        </is>
      </c>
      <c r="E14337" t="inlineStr">
        <is>
          <t>EDA</t>
        </is>
      </c>
      <c r="G14337" t="n">
        <v>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15796-2024</t>
        </is>
      </c>
      <c r="B14338" s="1" t="n">
        <v>45404</v>
      </c>
      <c r="C14338" s="1" t="n">
        <v>45810</v>
      </c>
      <c r="D14338" t="inlineStr">
        <is>
          <t>VÄRMLANDS LÄN</t>
        </is>
      </c>
      <c r="E14338" t="inlineStr">
        <is>
          <t>SUNNE</t>
        </is>
      </c>
      <c r="G14338" t="n">
        <v>2.3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15807-2024</t>
        </is>
      </c>
      <c r="B14339" s="1" t="n">
        <v>45404</v>
      </c>
      <c r="C14339" s="1" t="n">
        <v>45810</v>
      </c>
      <c r="D14339" t="inlineStr">
        <is>
          <t>VÄRMLANDS LÄN</t>
        </is>
      </c>
      <c r="E14339" t="inlineStr">
        <is>
          <t>FORSHAGA</t>
        </is>
      </c>
      <c r="F14339" t="inlineStr">
        <is>
          <t>Bergvik skog väst AB</t>
        </is>
      </c>
      <c r="G14339" t="n">
        <v>2.4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15811-2024</t>
        </is>
      </c>
      <c r="B14340" s="1" t="n">
        <v>45404</v>
      </c>
      <c r="C14340" s="1" t="n">
        <v>45810</v>
      </c>
      <c r="D14340" t="inlineStr">
        <is>
          <t>VÄRMLANDS LÄN</t>
        </is>
      </c>
      <c r="E14340" t="inlineStr">
        <is>
          <t>KARLSTAD</t>
        </is>
      </c>
      <c r="G14340" t="n">
        <v>11.4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15815-2024</t>
        </is>
      </c>
      <c r="B14341" s="1" t="n">
        <v>45404</v>
      </c>
      <c r="C14341" s="1" t="n">
        <v>45810</v>
      </c>
      <c r="D14341" t="inlineStr">
        <is>
          <t>VÄRMLANDS LÄN</t>
        </is>
      </c>
      <c r="E14341" t="inlineStr">
        <is>
          <t>FILIPSTAD</t>
        </is>
      </c>
      <c r="F14341" t="inlineStr">
        <is>
          <t>Bergvik skog väst AB</t>
        </is>
      </c>
      <c r="G14341" t="n">
        <v>1.1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15828-2024</t>
        </is>
      </c>
      <c r="B14342" s="1" t="n">
        <v>45404</v>
      </c>
      <c r="C14342" s="1" t="n">
        <v>45810</v>
      </c>
      <c r="D14342" t="inlineStr">
        <is>
          <t>VÄRMLANDS LÄN</t>
        </is>
      </c>
      <c r="E14342" t="inlineStr">
        <is>
          <t>ÅRJÄNG</t>
        </is>
      </c>
      <c r="G14342" t="n">
        <v>1.5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15838-2024</t>
        </is>
      </c>
      <c r="B14343" s="1" t="n">
        <v>45404</v>
      </c>
      <c r="C14343" s="1" t="n">
        <v>45810</v>
      </c>
      <c r="D14343" t="inlineStr">
        <is>
          <t>VÄRMLANDS LÄN</t>
        </is>
      </c>
      <c r="E14343" t="inlineStr">
        <is>
          <t>ARVIKA</t>
        </is>
      </c>
      <c r="G14343" t="n">
        <v>1.5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16012-2024</t>
        </is>
      </c>
      <c r="B14344" s="1" t="n">
        <v>45405</v>
      </c>
      <c r="C14344" s="1" t="n">
        <v>45810</v>
      </c>
      <c r="D14344" t="inlineStr">
        <is>
          <t>VÄRMLANDS LÄN</t>
        </is>
      </c>
      <c r="E14344" t="inlineStr">
        <is>
          <t>ÅRJÄNG</t>
        </is>
      </c>
      <c r="G14344" t="n">
        <v>6.1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16029-2024</t>
        </is>
      </c>
      <c r="B14345" s="1" t="n">
        <v>45405</v>
      </c>
      <c r="C14345" s="1" t="n">
        <v>45810</v>
      </c>
      <c r="D14345" t="inlineStr">
        <is>
          <t>VÄRMLANDS LÄN</t>
        </is>
      </c>
      <c r="E14345" t="inlineStr">
        <is>
          <t>KARLSTAD</t>
        </is>
      </c>
      <c r="G14345" t="n">
        <v>2.7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16033-2024</t>
        </is>
      </c>
      <c r="B14346" s="1" t="n">
        <v>45405</v>
      </c>
      <c r="C14346" s="1" t="n">
        <v>45810</v>
      </c>
      <c r="D14346" t="inlineStr">
        <is>
          <t>VÄRMLANDS LÄN</t>
        </is>
      </c>
      <c r="E14346" t="inlineStr">
        <is>
          <t>KARLSTAD</t>
        </is>
      </c>
      <c r="G14346" t="n">
        <v>1.5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15997-2024</t>
        </is>
      </c>
      <c r="B14347" s="1" t="n">
        <v>45405</v>
      </c>
      <c r="C14347" s="1" t="n">
        <v>45810</v>
      </c>
      <c r="D14347" t="inlineStr">
        <is>
          <t>VÄRMLANDS LÄN</t>
        </is>
      </c>
      <c r="E14347" t="inlineStr">
        <is>
          <t>KIL</t>
        </is>
      </c>
      <c r="G14347" t="n">
        <v>2.7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15973-2024</t>
        </is>
      </c>
      <c r="B14348" s="1" t="n">
        <v>45405</v>
      </c>
      <c r="C14348" s="1" t="n">
        <v>45810</v>
      </c>
      <c r="D14348" t="inlineStr">
        <is>
          <t>VÄRMLANDS LÄN</t>
        </is>
      </c>
      <c r="E14348" t="inlineStr">
        <is>
          <t>ARVIKA</t>
        </is>
      </c>
      <c r="G14348" t="n">
        <v>1.4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15944-2024</t>
        </is>
      </c>
      <c r="B14349" s="1" t="n">
        <v>45405</v>
      </c>
      <c r="C14349" s="1" t="n">
        <v>45810</v>
      </c>
      <c r="D14349" t="inlineStr">
        <is>
          <t>VÄRMLANDS LÄN</t>
        </is>
      </c>
      <c r="E14349" t="inlineStr">
        <is>
          <t>KARLSTAD</t>
        </is>
      </c>
      <c r="G14349" t="n">
        <v>2.2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15940-2024</t>
        </is>
      </c>
      <c r="B14350" s="1" t="n">
        <v>45405</v>
      </c>
      <c r="C14350" s="1" t="n">
        <v>45810</v>
      </c>
      <c r="D14350" t="inlineStr">
        <is>
          <t>VÄRMLANDS LÄN</t>
        </is>
      </c>
      <c r="E14350" t="inlineStr">
        <is>
          <t>FILIPSTAD</t>
        </is>
      </c>
      <c r="F14350" t="inlineStr">
        <is>
          <t>Bergvik skog väst AB</t>
        </is>
      </c>
      <c r="G14350" t="n">
        <v>0.8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15952-2024</t>
        </is>
      </c>
      <c r="B14351" s="1" t="n">
        <v>45405</v>
      </c>
      <c r="C14351" s="1" t="n">
        <v>45810</v>
      </c>
      <c r="D14351" t="inlineStr">
        <is>
          <t>VÄRMLANDS LÄN</t>
        </is>
      </c>
      <c r="E14351" t="inlineStr">
        <is>
          <t>HAGFORS</t>
        </is>
      </c>
      <c r="F14351" t="inlineStr">
        <is>
          <t>Bergvik skog väst AB</t>
        </is>
      </c>
      <c r="G14351" t="n">
        <v>2.1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15943-2024</t>
        </is>
      </c>
      <c r="B14352" s="1" t="n">
        <v>45405</v>
      </c>
      <c r="C14352" s="1" t="n">
        <v>45810</v>
      </c>
      <c r="D14352" t="inlineStr">
        <is>
          <t>VÄRMLANDS LÄN</t>
        </is>
      </c>
      <c r="E14352" t="inlineStr">
        <is>
          <t>TORSBY</t>
        </is>
      </c>
      <c r="G14352" t="n">
        <v>3.2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15896-2024</t>
        </is>
      </c>
      <c r="B14353" s="1" t="n">
        <v>45405</v>
      </c>
      <c r="C14353" s="1" t="n">
        <v>45810</v>
      </c>
      <c r="D14353" t="inlineStr">
        <is>
          <t>VÄRMLANDS LÄN</t>
        </is>
      </c>
      <c r="E14353" t="inlineStr">
        <is>
          <t>TORSBY</t>
        </is>
      </c>
      <c r="G14353" t="n">
        <v>10.9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15892-2024</t>
        </is>
      </c>
      <c r="B14354" s="1" t="n">
        <v>45405</v>
      </c>
      <c r="C14354" s="1" t="n">
        <v>45810</v>
      </c>
      <c r="D14354" t="inlineStr">
        <is>
          <t>VÄRMLANDS LÄN</t>
        </is>
      </c>
      <c r="E14354" t="inlineStr">
        <is>
          <t>TORSBY</t>
        </is>
      </c>
      <c r="G14354" t="n">
        <v>6.4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15903-2024</t>
        </is>
      </c>
      <c r="B14355" s="1" t="n">
        <v>45405</v>
      </c>
      <c r="C14355" s="1" t="n">
        <v>45810</v>
      </c>
      <c r="D14355" t="inlineStr">
        <is>
          <t>VÄRMLANDS LÄN</t>
        </is>
      </c>
      <c r="E14355" t="inlineStr">
        <is>
          <t>FILIPSTAD</t>
        </is>
      </c>
      <c r="F14355" t="inlineStr">
        <is>
          <t>Bergvik skog väst AB</t>
        </is>
      </c>
      <c r="G14355" t="n">
        <v>3.6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15899-2024</t>
        </is>
      </c>
      <c r="B14356" s="1" t="n">
        <v>45405</v>
      </c>
      <c r="C14356" s="1" t="n">
        <v>45810</v>
      </c>
      <c r="D14356" t="inlineStr">
        <is>
          <t>VÄRMLANDS LÄN</t>
        </is>
      </c>
      <c r="E14356" t="inlineStr">
        <is>
          <t>TORSBY</t>
        </is>
      </c>
      <c r="G14356" t="n">
        <v>1.2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16032-2024</t>
        </is>
      </c>
      <c r="B14357" s="1" t="n">
        <v>45405</v>
      </c>
      <c r="C14357" s="1" t="n">
        <v>45810</v>
      </c>
      <c r="D14357" t="inlineStr">
        <is>
          <t>VÄRMLANDS LÄN</t>
        </is>
      </c>
      <c r="E14357" t="inlineStr">
        <is>
          <t>KARLSTAD</t>
        </is>
      </c>
      <c r="G14357" t="n">
        <v>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15871-2024</t>
        </is>
      </c>
      <c r="B14358" s="1" t="n">
        <v>45405</v>
      </c>
      <c r="C14358" s="1" t="n">
        <v>45810</v>
      </c>
      <c r="D14358" t="inlineStr">
        <is>
          <t>VÄRMLANDS LÄN</t>
        </is>
      </c>
      <c r="E14358" t="inlineStr">
        <is>
          <t>FORSHAGA</t>
        </is>
      </c>
      <c r="F14358" t="inlineStr">
        <is>
          <t>Bergvik skog väst AB</t>
        </is>
      </c>
      <c r="G14358" t="n">
        <v>1.3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16014-2024</t>
        </is>
      </c>
      <c r="B14359" s="1" t="n">
        <v>45405</v>
      </c>
      <c r="C14359" s="1" t="n">
        <v>45810</v>
      </c>
      <c r="D14359" t="inlineStr">
        <is>
          <t>VÄRMLANDS LÄN</t>
        </is>
      </c>
      <c r="E14359" t="inlineStr">
        <is>
          <t>ARVIKA</t>
        </is>
      </c>
      <c r="G14359" t="n">
        <v>0.9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16010-2024</t>
        </is>
      </c>
      <c r="B14360" s="1" t="n">
        <v>45405</v>
      </c>
      <c r="C14360" s="1" t="n">
        <v>45810</v>
      </c>
      <c r="D14360" t="inlineStr">
        <is>
          <t>VÄRMLANDS LÄN</t>
        </is>
      </c>
      <c r="E14360" t="inlineStr">
        <is>
          <t>ÅRJÄNG</t>
        </is>
      </c>
      <c r="G14360" t="n">
        <v>4.6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15990-2024</t>
        </is>
      </c>
      <c r="B14361" s="1" t="n">
        <v>45405</v>
      </c>
      <c r="C14361" s="1" t="n">
        <v>45810</v>
      </c>
      <c r="D14361" t="inlineStr">
        <is>
          <t>VÄRMLANDS LÄN</t>
        </is>
      </c>
      <c r="E14361" t="inlineStr">
        <is>
          <t>KIL</t>
        </is>
      </c>
      <c r="G14361" t="n">
        <v>1.2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15995-2024</t>
        </is>
      </c>
      <c r="B14362" s="1" t="n">
        <v>45405</v>
      </c>
      <c r="C14362" s="1" t="n">
        <v>45810</v>
      </c>
      <c r="D14362" t="inlineStr">
        <is>
          <t>VÄRMLANDS LÄN</t>
        </is>
      </c>
      <c r="E14362" t="inlineStr">
        <is>
          <t>KIL</t>
        </is>
      </c>
      <c r="G14362" t="n">
        <v>1.1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16023-2024</t>
        </is>
      </c>
      <c r="B14363" s="1" t="n">
        <v>45405</v>
      </c>
      <c r="C14363" s="1" t="n">
        <v>45810</v>
      </c>
      <c r="D14363" t="inlineStr">
        <is>
          <t>VÄRMLANDS LÄN</t>
        </is>
      </c>
      <c r="E14363" t="inlineStr">
        <is>
          <t>SÄFFLE</t>
        </is>
      </c>
      <c r="G14363" t="n">
        <v>1.4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16031-2024</t>
        </is>
      </c>
      <c r="B14364" s="1" t="n">
        <v>45405</v>
      </c>
      <c r="C14364" s="1" t="n">
        <v>45810</v>
      </c>
      <c r="D14364" t="inlineStr">
        <is>
          <t>VÄRMLANDS LÄN</t>
        </is>
      </c>
      <c r="E14364" t="inlineStr">
        <is>
          <t>KARLSTAD</t>
        </is>
      </c>
      <c r="G14364" t="n">
        <v>3.7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15958-2024</t>
        </is>
      </c>
      <c r="B14365" s="1" t="n">
        <v>45405</v>
      </c>
      <c r="C14365" s="1" t="n">
        <v>45810</v>
      </c>
      <c r="D14365" t="inlineStr">
        <is>
          <t>VÄRMLANDS LÄN</t>
        </is>
      </c>
      <c r="E14365" t="inlineStr">
        <is>
          <t>SÄFFLE</t>
        </is>
      </c>
      <c r="G14365" t="n">
        <v>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15937-2024</t>
        </is>
      </c>
      <c r="B14366" s="1" t="n">
        <v>45405</v>
      </c>
      <c r="C14366" s="1" t="n">
        <v>45810</v>
      </c>
      <c r="D14366" t="inlineStr">
        <is>
          <t>VÄRMLANDS LÄN</t>
        </is>
      </c>
      <c r="E14366" t="inlineStr">
        <is>
          <t>FILIPSTAD</t>
        </is>
      </c>
      <c r="F14366" t="inlineStr">
        <is>
          <t>Bergvik skog väst AB</t>
        </is>
      </c>
      <c r="G14366" t="n">
        <v>2.8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15929-2024</t>
        </is>
      </c>
      <c r="B14367" s="1" t="n">
        <v>45405</v>
      </c>
      <c r="C14367" s="1" t="n">
        <v>45810</v>
      </c>
      <c r="D14367" t="inlineStr">
        <is>
          <t>VÄRMLANDS LÄN</t>
        </is>
      </c>
      <c r="E14367" t="inlineStr">
        <is>
          <t>KARLSTAD</t>
        </is>
      </c>
      <c r="G14367" t="n">
        <v>4.1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15913-2024</t>
        </is>
      </c>
      <c r="B14368" s="1" t="n">
        <v>45405</v>
      </c>
      <c r="C14368" s="1" t="n">
        <v>45810</v>
      </c>
      <c r="D14368" t="inlineStr">
        <is>
          <t>VÄRMLANDS LÄN</t>
        </is>
      </c>
      <c r="E14368" t="inlineStr">
        <is>
          <t>SUNNE</t>
        </is>
      </c>
      <c r="G14368" t="n">
        <v>1.1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15955-2024</t>
        </is>
      </c>
      <c r="B14369" s="1" t="n">
        <v>45405</v>
      </c>
      <c r="C14369" s="1" t="n">
        <v>45810</v>
      </c>
      <c r="D14369" t="inlineStr">
        <is>
          <t>VÄRMLANDS LÄN</t>
        </is>
      </c>
      <c r="E14369" t="inlineStr">
        <is>
          <t>HAGFORS</t>
        </is>
      </c>
      <c r="F14369" t="inlineStr">
        <is>
          <t>Bergvik skog väst AB</t>
        </is>
      </c>
      <c r="G14369" t="n">
        <v>8.699999999999999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15902-2024</t>
        </is>
      </c>
      <c r="B14370" s="1" t="n">
        <v>45405</v>
      </c>
      <c r="C14370" s="1" t="n">
        <v>45810</v>
      </c>
      <c r="D14370" t="inlineStr">
        <is>
          <t>VÄRMLANDS LÄN</t>
        </is>
      </c>
      <c r="E14370" t="inlineStr">
        <is>
          <t>FILIPSTAD</t>
        </is>
      </c>
      <c r="F14370" t="inlineStr">
        <is>
          <t>Bergvik skog väst AB</t>
        </is>
      </c>
      <c r="G14370" t="n">
        <v>2.2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15874-2024</t>
        </is>
      </c>
      <c r="B14371" s="1" t="n">
        <v>45405</v>
      </c>
      <c r="C14371" s="1" t="n">
        <v>45810</v>
      </c>
      <c r="D14371" t="inlineStr">
        <is>
          <t>VÄRMLANDS LÄN</t>
        </is>
      </c>
      <c r="E14371" t="inlineStr">
        <is>
          <t>TORSBY</t>
        </is>
      </c>
      <c r="F14371" t="inlineStr">
        <is>
          <t>Bergvik skog väst AB</t>
        </is>
      </c>
      <c r="G14371" t="n">
        <v>6.2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16079-2024</t>
        </is>
      </c>
      <c r="B14372" s="1" t="n">
        <v>45406</v>
      </c>
      <c r="C14372" s="1" t="n">
        <v>45810</v>
      </c>
      <c r="D14372" t="inlineStr">
        <is>
          <t>VÄRMLANDS LÄN</t>
        </is>
      </c>
      <c r="E14372" t="inlineStr">
        <is>
          <t>ÅRJÄNG</t>
        </is>
      </c>
      <c r="G14372" t="n">
        <v>1.7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16087-2024</t>
        </is>
      </c>
      <c r="B14373" s="1" t="n">
        <v>45406</v>
      </c>
      <c r="C14373" s="1" t="n">
        <v>45810</v>
      </c>
      <c r="D14373" t="inlineStr">
        <is>
          <t>VÄRMLANDS LÄN</t>
        </is>
      </c>
      <c r="E14373" t="inlineStr">
        <is>
          <t>FILIPSTAD</t>
        </is>
      </c>
      <c r="G14373" t="n">
        <v>2.5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16104-2024</t>
        </is>
      </c>
      <c r="B14374" s="1" t="n">
        <v>45406</v>
      </c>
      <c r="C14374" s="1" t="n">
        <v>45810</v>
      </c>
      <c r="D14374" t="inlineStr">
        <is>
          <t>VÄRMLANDS LÄN</t>
        </is>
      </c>
      <c r="E14374" t="inlineStr">
        <is>
          <t>ARVIKA</t>
        </is>
      </c>
      <c r="F14374" t="inlineStr">
        <is>
          <t>Bergvik skog väst AB</t>
        </is>
      </c>
      <c r="G14374" t="n">
        <v>1.8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16112-2024</t>
        </is>
      </c>
      <c r="B14375" s="1" t="n">
        <v>45406</v>
      </c>
      <c r="C14375" s="1" t="n">
        <v>45810</v>
      </c>
      <c r="D14375" t="inlineStr">
        <is>
          <t>VÄRMLANDS LÄN</t>
        </is>
      </c>
      <c r="E14375" t="inlineStr">
        <is>
          <t>SUNNE</t>
        </is>
      </c>
      <c r="G14375" t="n">
        <v>5.4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16103-2024</t>
        </is>
      </c>
      <c r="B14376" s="1" t="n">
        <v>45406</v>
      </c>
      <c r="C14376" s="1" t="n">
        <v>45810</v>
      </c>
      <c r="D14376" t="inlineStr">
        <is>
          <t>VÄRMLANDS LÄN</t>
        </is>
      </c>
      <c r="E14376" t="inlineStr">
        <is>
          <t>KIL</t>
        </is>
      </c>
      <c r="G14376" t="n">
        <v>1.8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16161-2024</t>
        </is>
      </c>
      <c r="B14377" s="1" t="n">
        <v>45406</v>
      </c>
      <c r="C14377" s="1" t="n">
        <v>45810</v>
      </c>
      <c r="D14377" t="inlineStr">
        <is>
          <t>VÄRMLANDS LÄN</t>
        </is>
      </c>
      <c r="E14377" t="inlineStr">
        <is>
          <t>ARVIKA</t>
        </is>
      </c>
      <c r="G14377" t="n">
        <v>2.9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16181-2024</t>
        </is>
      </c>
      <c r="B14378" s="1" t="n">
        <v>45406</v>
      </c>
      <c r="C14378" s="1" t="n">
        <v>45810</v>
      </c>
      <c r="D14378" t="inlineStr">
        <is>
          <t>VÄRMLANDS LÄN</t>
        </is>
      </c>
      <c r="E14378" t="inlineStr">
        <is>
          <t>KRISTINEHAMN</t>
        </is>
      </c>
      <c r="G14378" t="n">
        <v>2.3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16162-2024</t>
        </is>
      </c>
      <c r="B14379" s="1" t="n">
        <v>45406</v>
      </c>
      <c r="C14379" s="1" t="n">
        <v>45810</v>
      </c>
      <c r="D14379" t="inlineStr">
        <is>
          <t>VÄRMLANDS LÄN</t>
        </is>
      </c>
      <c r="E14379" t="inlineStr">
        <is>
          <t>ARVIKA</t>
        </is>
      </c>
      <c r="F14379" t="inlineStr">
        <is>
          <t>Bergvik skog väst AB</t>
        </is>
      </c>
      <c r="G14379" t="n">
        <v>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16073-2024</t>
        </is>
      </c>
      <c r="B14380" s="1" t="n">
        <v>45406</v>
      </c>
      <c r="C14380" s="1" t="n">
        <v>45810</v>
      </c>
      <c r="D14380" t="inlineStr">
        <is>
          <t>VÄRMLANDS LÄN</t>
        </is>
      </c>
      <c r="E14380" t="inlineStr">
        <is>
          <t>TORSBY</t>
        </is>
      </c>
      <c r="G14380" t="n">
        <v>1.7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16101-2024</t>
        </is>
      </c>
      <c r="B14381" s="1" t="n">
        <v>45406</v>
      </c>
      <c r="C14381" s="1" t="n">
        <v>45810</v>
      </c>
      <c r="D14381" t="inlineStr">
        <is>
          <t>VÄRMLANDS LÄN</t>
        </is>
      </c>
      <c r="E14381" t="inlineStr">
        <is>
          <t>ARVIKA</t>
        </is>
      </c>
      <c r="F14381" t="inlineStr">
        <is>
          <t>Bergvik skog väst AB</t>
        </is>
      </c>
      <c r="G14381" t="n">
        <v>12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16143-2024</t>
        </is>
      </c>
      <c r="B14382" s="1" t="n">
        <v>45406</v>
      </c>
      <c r="C14382" s="1" t="n">
        <v>45810</v>
      </c>
      <c r="D14382" t="inlineStr">
        <is>
          <t>VÄRMLANDS LÄN</t>
        </is>
      </c>
      <c r="E14382" t="inlineStr">
        <is>
          <t>SÄFFLE</t>
        </is>
      </c>
      <c r="G14382" t="n">
        <v>10.6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16179-2024</t>
        </is>
      </c>
      <c r="B14383" s="1" t="n">
        <v>45406</v>
      </c>
      <c r="C14383" s="1" t="n">
        <v>45810</v>
      </c>
      <c r="D14383" t="inlineStr">
        <is>
          <t>VÄRMLANDS LÄN</t>
        </is>
      </c>
      <c r="E14383" t="inlineStr">
        <is>
          <t>ARVIKA</t>
        </is>
      </c>
      <c r="F14383" t="inlineStr">
        <is>
          <t>Bergvik skog väst AB</t>
        </is>
      </c>
      <c r="G14383" t="n">
        <v>0.6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16168-2024</t>
        </is>
      </c>
      <c r="B14384" s="1" t="n">
        <v>45406</v>
      </c>
      <c r="C14384" s="1" t="n">
        <v>45810</v>
      </c>
      <c r="D14384" t="inlineStr">
        <is>
          <t>VÄRMLANDS LÄN</t>
        </is>
      </c>
      <c r="E14384" t="inlineStr">
        <is>
          <t>ARVIKA</t>
        </is>
      </c>
      <c r="F14384" t="inlineStr">
        <is>
          <t>Bergvik skog väst AB</t>
        </is>
      </c>
      <c r="G14384" t="n">
        <v>3.3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16261-2024</t>
        </is>
      </c>
      <c r="B14385" s="1" t="n">
        <v>45407</v>
      </c>
      <c r="C14385" s="1" t="n">
        <v>45810</v>
      </c>
      <c r="D14385" t="inlineStr">
        <is>
          <t>VÄRMLANDS LÄN</t>
        </is>
      </c>
      <c r="E14385" t="inlineStr">
        <is>
          <t>EDA</t>
        </is>
      </c>
      <c r="G14385" t="n">
        <v>1.6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16267-2024</t>
        </is>
      </c>
      <c r="B14386" s="1" t="n">
        <v>45407</v>
      </c>
      <c r="C14386" s="1" t="n">
        <v>45810</v>
      </c>
      <c r="D14386" t="inlineStr">
        <is>
          <t>VÄRMLANDS LÄN</t>
        </is>
      </c>
      <c r="E14386" t="inlineStr">
        <is>
          <t>EDA</t>
        </is>
      </c>
      <c r="G14386" t="n">
        <v>0.7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16302-2024</t>
        </is>
      </c>
      <c r="B14387" s="1" t="n">
        <v>45407</v>
      </c>
      <c r="C14387" s="1" t="n">
        <v>45810</v>
      </c>
      <c r="D14387" t="inlineStr">
        <is>
          <t>VÄRMLANDS LÄN</t>
        </is>
      </c>
      <c r="E14387" t="inlineStr">
        <is>
          <t>KARLSTAD</t>
        </is>
      </c>
      <c r="G14387" t="n">
        <v>1.4</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16335-2024</t>
        </is>
      </c>
      <c r="B14388" s="1" t="n">
        <v>45407</v>
      </c>
      <c r="C14388" s="1" t="n">
        <v>45810</v>
      </c>
      <c r="D14388" t="inlineStr">
        <is>
          <t>VÄRMLANDS LÄN</t>
        </is>
      </c>
      <c r="E14388" t="inlineStr">
        <is>
          <t>EDA</t>
        </is>
      </c>
      <c r="G14388" t="n">
        <v>3.6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16321-2024</t>
        </is>
      </c>
      <c r="B14389" s="1" t="n">
        <v>45407</v>
      </c>
      <c r="C14389" s="1" t="n">
        <v>45810</v>
      </c>
      <c r="D14389" t="inlineStr">
        <is>
          <t>VÄRMLANDS LÄN</t>
        </is>
      </c>
      <c r="E14389" t="inlineStr">
        <is>
          <t>EDA</t>
        </is>
      </c>
      <c r="G14389" t="n">
        <v>1.8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16325-2024</t>
        </is>
      </c>
      <c r="B14390" s="1" t="n">
        <v>45407</v>
      </c>
      <c r="C14390" s="1" t="n">
        <v>45810</v>
      </c>
      <c r="D14390" t="inlineStr">
        <is>
          <t>VÄRMLANDS LÄN</t>
        </is>
      </c>
      <c r="E14390" t="inlineStr">
        <is>
          <t>HAGFORS</t>
        </is>
      </c>
      <c r="F14390" t="inlineStr">
        <is>
          <t>Bergvik skog väst AB</t>
        </is>
      </c>
      <c r="G14390" t="n">
        <v>1.4</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16329-2024</t>
        </is>
      </c>
      <c r="B14391" s="1" t="n">
        <v>45407</v>
      </c>
      <c r="C14391" s="1" t="n">
        <v>45810</v>
      </c>
      <c r="D14391" t="inlineStr">
        <is>
          <t>VÄRMLANDS LÄN</t>
        </is>
      </c>
      <c r="E14391" t="inlineStr">
        <is>
          <t>FILIPSTAD</t>
        </is>
      </c>
      <c r="F14391" t="inlineStr">
        <is>
          <t>Bergvik skog väst AB</t>
        </is>
      </c>
      <c r="G14391" t="n">
        <v>10.6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16359-2024</t>
        </is>
      </c>
      <c r="B14392" s="1" t="n">
        <v>45407</v>
      </c>
      <c r="C14392" s="1" t="n">
        <v>45810</v>
      </c>
      <c r="D14392" t="inlineStr">
        <is>
          <t>VÄRMLANDS LÄN</t>
        </is>
      </c>
      <c r="E14392" t="inlineStr">
        <is>
          <t>FORSHAGA</t>
        </is>
      </c>
      <c r="F14392" t="inlineStr">
        <is>
          <t>Bergvik skog väst AB</t>
        </is>
      </c>
      <c r="G14392" t="n">
        <v>2.2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16371-2024</t>
        </is>
      </c>
      <c r="B14393" s="1" t="n">
        <v>45407</v>
      </c>
      <c r="C14393" s="1" t="n">
        <v>45810</v>
      </c>
      <c r="D14393" t="inlineStr">
        <is>
          <t>VÄRMLANDS LÄN</t>
        </is>
      </c>
      <c r="E14393" t="inlineStr">
        <is>
          <t>FILIPSTAD</t>
        </is>
      </c>
      <c r="F14393" t="inlineStr">
        <is>
          <t>Bergvik skog väst AB</t>
        </is>
      </c>
      <c r="G14393" t="n">
        <v>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16350-2024</t>
        </is>
      </c>
      <c r="B14394" s="1" t="n">
        <v>45407</v>
      </c>
      <c r="C14394" s="1" t="n">
        <v>45810</v>
      </c>
      <c r="D14394" t="inlineStr">
        <is>
          <t>VÄRMLANDS LÄN</t>
        </is>
      </c>
      <c r="E14394" t="inlineStr">
        <is>
          <t>SUNNE</t>
        </is>
      </c>
      <c r="F14394" t="inlineStr">
        <is>
          <t>Bergvik skog väst AB</t>
        </is>
      </c>
      <c r="G14394" t="n">
        <v>3.1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16353-2024</t>
        </is>
      </c>
      <c r="B14395" s="1" t="n">
        <v>45407</v>
      </c>
      <c r="C14395" s="1" t="n">
        <v>45810</v>
      </c>
      <c r="D14395" t="inlineStr">
        <is>
          <t>VÄRMLANDS LÄN</t>
        </is>
      </c>
      <c r="E14395" t="inlineStr">
        <is>
          <t>SUNNE</t>
        </is>
      </c>
      <c r="F14395" t="inlineStr">
        <is>
          <t>Bergvik skog väst AB</t>
        </is>
      </c>
      <c r="G14395" t="n">
        <v>1.9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16399-2024</t>
        </is>
      </c>
      <c r="B14396" s="1" t="n">
        <v>45407</v>
      </c>
      <c r="C14396" s="1" t="n">
        <v>45810</v>
      </c>
      <c r="D14396" t="inlineStr">
        <is>
          <t>VÄRMLANDS LÄN</t>
        </is>
      </c>
      <c r="E14396" t="inlineStr">
        <is>
          <t>SUNNE</t>
        </is>
      </c>
      <c r="F14396" t="inlineStr">
        <is>
          <t>Bergvik skog väst AB</t>
        </is>
      </c>
      <c r="G14396" t="n">
        <v>2.4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16366-2024</t>
        </is>
      </c>
      <c r="B14397" s="1" t="n">
        <v>45407</v>
      </c>
      <c r="C14397" s="1" t="n">
        <v>45810</v>
      </c>
      <c r="D14397" t="inlineStr">
        <is>
          <t>VÄRMLANDS LÄN</t>
        </is>
      </c>
      <c r="E14397" t="inlineStr">
        <is>
          <t>FORSHAGA</t>
        </is>
      </c>
      <c r="F14397" t="inlineStr">
        <is>
          <t>Bergvik skog väst AB</t>
        </is>
      </c>
      <c r="G14397" t="n">
        <v>4.5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16382-2024</t>
        </is>
      </c>
      <c r="B14398" s="1" t="n">
        <v>45407</v>
      </c>
      <c r="C14398" s="1" t="n">
        <v>45810</v>
      </c>
      <c r="D14398" t="inlineStr">
        <is>
          <t>VÄRMLANDS LÄN</t>
        </is>
      </c>
      <c r="E14398" t="inlineStr">
        <is>
          <t>SUNNE</t>
        </is>
      </c>
      <c r="G14398" t="n">
        <v>5.5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16369-2024</t>
        </is>
      </c>
      <c r="B14399" s="1" t="n">
        <v>45407</v>
      </c>
      <c r="C14399" s="1" t="n">
        <v>45810</v>
      </c>
      <c r="D14399" t="inlineStr">
        <is>
          <t>VÄRMLANDS LÄN</t>
        </is>
      </c>
      <c r="E14399" t="inlineStr">
        <is>
          <t>TORSBY</t>
        </is>
      </c>
      <c r="F14399" t="inlineStr">
        <is>
          <t>Kommuner</t>
        </is>
      </c>
      <c r="G14399" t="n">
        <v>2.2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16403-2024</t>
        </is>
      </c>
      <c r="B14400" s="1" t="n">
        <v>45407</v>
      </c>
      <c r="C14400" s="1" t="n">
        <v>45810</v>
      </c>
      <c r="D14400" t="inlineStr">
        <is>
          <t>VÄRMLANDS LÄN</t>
        </is>
      </c>
      <c r="E14400" t="inlineStr">
        <is>
          <t>SUNNE</t>
        </is>
      </c>
      <c r="F14400" t="inlineStr">
        <is>
          <t>Bergvik skog väst AB</t>
        </is>
      </c>
      <c r="G14400" t="n">
        <v>0.6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16427-2024</t>
        </is>
      </c>
      <c r="B14401" s="1" t="n">
        <v>45407</v>
      </c>
      <c r="C14401" s="1" t="n">
        <v>45810</v>
      </c>
      <c r="D14401" t="inlineStr">
        <is>
          <t>VÄRMLANDS LÄN</t>
        </is>
      </c>
      <c r="E14401" t="inlineStr">
        <is>
          <t>KRISTINEHAMN</t>
        </is>
      </c>
      <c r="G14401" t="n">
        <v>3.9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16430-2024</t>
        </is>
      </c>
      <c r="B14402" s="1" t="n">
        <v>45407</v>
      </c>
      <c r="C14402" s="1" t="n">
        <v>45810</v>
      </c>
      <c r="D14402" t="inlineStr">
        <is>
          <t>VÄRMLANDS LÄN</t>
        </is>
      </c>
      <c r="E14402" t="inlineStr">
        <is>
          <t>KRISTINEHAMN</t>
        </is>
      </c>
      <c r="G14402" t="n">
        <v>0.7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16332-2024</t>
        </is>
      </c>
      <c r="B14403" s="1" t="n">
        <v>45407</v>
      </c>
      <c r="C14403" s="1" t="n">
        <v>45810</v>
      </c>
      <c r="D14403" t="inlineStr">
        <is>
          <t>VÄRMLANDS LÄN</t>
        </is>
      </c>
      <c r="E14403" t="inlineStr">
        <is>
          <t>ÅRJÄNG</t>
        </is>
      </c>
      <c r="F14403" t="inlineStr">
        <is>
          <t>Kommuner</t>
        </is>
      </c>
      <c r="G14403" t="n">
        <v>1.1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16416-2024</t>
        </is>
      </c>
      <c r="B14404" s="1" t="n">
        <v>45407</v>
      </c>
      <c r="C14404" s="1" t="n">
        <v>45810</v>
      </c>
      <c r="D14404" t="inlineStr">
        <is>
          <t>VÄRMLANDS LÄN</t>
        </is>
      </c>
      <c r="E14404" t="inlineStr">
        <is>
          <t>FILIPSTAD</t>
        </is>
      </c>
      <c r="F14404" t="inlineStr">
        <is>
          <t>Bergvik skog väst AB</t>
        </is>
      </c>
      <c r="G14404" t="n">
        <v>2.4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16485-2024</t>
        </is>
      </c>
      <c r="B14405" s="1" t="n">
        <v>45408</v>
      </c>
      <c r="C14405" s="1" t="n">
        <v>45810</v>
      </c>
      <c r="D14405" t="inlineStr">
        <is>
          <t>VÄRMLANDS LÄN</t>
        </is>
      </c>
      <c r="E14405" t="inlineStr">
        <is>
          <t>ÅRJÄNG</t>
        </is>
      </c>
      <c r="G14405" t="n">
        <v>2.2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16517-2024</t>
        </is>
      </c>
      <c r="B14406" s="1" t="n">
        <v>45408</v>
      </c>
      <c r="C14406" s="1" t="n">
        <v>45810</v>
      </c>
      <c r="D14406" t="inlineStr">
        <is>
          <t>VÄRMLANDS LÄN</t>
        </is>
      </c>
      <c r="E14406" t="inlineStr">
        <is>
          <t>TORSBY</t>
        </is>
      </c>
      <c r="G14406" t="n">
        <v>1.2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16569-2024</t>
        </is>
      </c>
      <c r="B14407" s="1" t="n">
        <v>45408</v>
      </c>
      <c r="C14407" s="1" t="n">
        <v>45810</v>
      </c>
      <c r="D14407" t="inlineStr">
        <is>
          <t>VÄRMLANDS LÄN</t>
        </is>
      </c>
      <c r="E14407" t="inlineStr">
        <is>
          <t>ÅRJÄNG</t>
        </is>
      </c>
      <c r="F14407" t="inlineStr">
        <is>
          <t>Bergvik skog väst AB</t>
        </is>
      </c>
      <c r="G14407" t="n">
        <v>0.6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16585-2024</t>
        </is>
      </c>
      <c r="B14408" s="1" t="n">
        <v>45408</v>
      </c>
      <c r="C14408" s="1" t="n">
        <v>45810</v>
      </c>
      <c r="D14408" t="inlineStr">
        <is>
          <t>VÄRMLANDS LÄN</t>
        </is>
      </c>
      <c r="E14408" t="inlineStr">
        <is>
          <t>TORSBY</t>
        </is>
      </c>
      <c r="G14408" t="n">
        <v>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16589-2024</t>
        </is>
      </c>
      <c r="B14409" s="1" t="n">
        <v>45408</v>
      </c>
      <c r="C14409" s="1" t="n">
        <v>45810</v>
      </c>
      <c r="D14409" t="inlineStr">
        <is>
          <t>VÄRMLANDS LÄN</t>
        </is>
      </c>
      <c r="E14409" t="inlineStr">
        <is>
          <t>ARVIKA</t>
        </is>
      </c>
      <c r="F14409" t="inlineStr">
        <is>
          <t>Bergvik skog väst AB</t>
        </is>
      </c>
      <c r="G14409" t="n">
        <v>6.2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16637-2024</t>
        </is>
      </c>
      <c r="B14410" s="1" t="n">
        <v>45408</v>
      </c>
      <c r="C14410" s="1" t="n">
        <v>45810</v>
      </c>
      <c r="D14410" t="inlineStr">
        <is>
          <t>VÄRMLANDS LÄN</t>
        </is>
      </c>
      <c r="E14410" t="inlineStr">
        <is>
          <t>GRUMS</t>
        </is>
      </c>
      <c r="G14410" t="n">
        <v>1.4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16649-2024</t>
        </is>
      </c>
      <c r="B14411" s="1" t="n">
        <v>45408</v>
      </c>
      <c r="C14411" s="1" t="n">
        <v>45810</v>
      </c>
      <c r="D14411" t="inlineStr">
        <is>
          <t>VÄRMLANDS LÄN</t>
        </is>
      </c>
      <c r="E14411" t="inlineStr">
        <is>
          <t>HAGFORS</t>
        </is>
      </c>
      <c r="F14411" t="inlineStr">
        <is>
          <t>Bergvik skog väst AB</t>
        </is>
      </c>
      <c r="G14411" t="n">
        <v>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16654-2024</t>
        </is>
      </c>
      <c r="B14412" s="1" t="n">
        <v>45408</v>
      </c>
      <c r="C14412" s="1" t="n">
        <v>45810</v>
      </c>
      <c r="D14412" t="inlineStr">
        <is>
          <t>VÄRMLANDS LÄN</t>
        </is>
      </c>
      <c r="E14412" t="inlineStr">
        <is>
          <t>TORSBY</t>
        </is>
      </c>
      <c r="G14412" t="n">
        <v>6.9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16488-2024</t>
        </is>
      </c>
      <c r="B14413" s="1" t="n">
        <v>45408</v>
      </c>
      <c r="C14413" s="1" t="n">
        <v>45810</v>
      </c>
      <c r="D14413" t="inlineStr">
        <is>
          <t>VÄRMLANDS LÄN</t>
        </is>
      </c>
      <c r="E14413" t="inlineStr">
        <is>
          <t>TORSBY</t>
        </is>
      </c>
      <c r="F14413" t="inlineStr">
        <is>
          <t>Bergvik skog väst AB</t>
        </is>
      </c>
      <c r="G14413" t="n">
        <v>5.6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16496-2024</t>
        </is>
      </c>
      <c r="B14414" s="1" t="n">
        <v>45408</v>
      </c>
      <c r="C14414" s="1" t="n">
        <v>45810</v>
      </c>
      <c r="D14414" t="inlineStr">
        <is>
          <t>VÄRMLANDS LÄN</t>
        </is>
      </c>
      <c r="E14414" t="inlineStr">
        <is>
          <t>FORSHAGA</t>
        </is>
      </c>
      <c r="F14414" t="inlineStr">
        <is>
          <t>Bergvik skog väst AB</t>
        </is>
      </c>
      <c r="G14414" t="n">
        <v>2.5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16520-2024</t>
        </is>
      </c>
      <c r="B14415" s="1" t="n">
        <v>45408</v>
      </c>
      <c r="C14415" s="1" t="n">
        <v>45810</v>
      </c>
      <c r="D14415" t="inlineStr">
        <is>
          <t>VÄRMLANDS LÄN</t>
        </is>
      </c>
      <c r="E14415" t="inlineStr">
        <is>
          <t>KARLSTAD</t>
        </is>
      </c>
      <c r="F14415" t="inlineStr">
        <is>
          <t>Övriga statliga verk och myndigheter</t>
        </is>
      </c>
      <c r="G14415" t="n">
        <v>1.9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16544-2024</t>
        </is>
      </c>
      <c r="B14416" s="1" t="n">
        <v>45408</v>
      </c>
      <c r="C14416" s="1" t="n">
        <v>45810</v>
      </c>
      <c r="D14416" t="inlineStr">
        <is>
          <t>VÄRMLANDS LÄN</t>
        </is>
      </c>
      <c r="E14416" t="inlineStr">
        <is>
          <t>TORSBY</t>
        </is>
      </c>
      <c r="G14416" t="n">
        <v>2.6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16584-2024</t>
        </is>
      </c>
      <c r="B14417" s="1" t="n">
        <v>45408</v>
      </c>
      <c r="C14417" s="1" t="n">
        <v>45810</v>
      </c>
      <c r="D14417" t="inlineStr">
        <is>
          <t>VÄRMLANDS LÄN</t>
        </is>
      </c>
      <c r="E14417" t="inlineStr">
        <is>
          <t>FILIPSTAD</t>
        </is>
      </c>
      <c r="F14417" t="inlineStr">
        <is>
          <t>Bergvik skog väst AB</t>
        </is>
      </c>
      <c r="G14417" t="n">
        <v>6.6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16592-2024</t>
        </is>
      </c>
      <c r="B14418" s="1" t="n">
        <v>45408</v>
      </c>
      <c r="C14418" s="1" t="n">
        <v>45810</v>
      </c>
      <c r="D14418" t="inlineStr">
        <is>
          <t>VÄRMLANDS LÄN</t>
        </is>
      </c>
      <c r="E14418" t="inlineStr">
        <is>
          <t>TORSBY</t>
        </is>
      </c>
      <c r="G14418" t="n">
        <v>3.6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16604-2024</t>
        </is>
      </c>
      <c r="B14419" s="1" t="n">
        <v>45408</v>
      </c>
      <c r="C14419" s="1" t="n">
        <v>45810</v>
      </c>
      <c r="D14419" t="inlineStr">
        <is>
          <t>VÄRMLANDS LÄN</t>
        </is>
      </c>
      <c r="E14419" t="inlineStr">
        <is>
          <t>FILIPSTAD</t>
        </is>
      </c>
      <c r="F14419" t="inlineStr">
        <is>
          <t>Bergvik skog väst AB</t>
        </is>
      </c>
      <c r="G14419" t="n">
        <v>13.9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16616-2024</t>
        </is>
      </c>
      <c r="B14420" s="1" t="n">
        <v>45408</v>
      </c>
      <c r="C14420" s="1" t="n">
        <v>45810</v>
      </c>
      <c r="D14420" t="inlineStr">
        <is>
          <t>VÄRMLANDS LÄN</t>
        </is>
      </c>
      <c r="E14420" t="inlineStr">
        <is>
          <t>KARLSTAD</t>
        </is>
      </c>
      <c r="G14420" t="n">
        <v>3.2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16636-2024</t>
        </is>
      </c>
      <c r="B14421" s="1" t="n">
        <v>45408</v>
      </c>
      <c r="C14421" s="1" t="n">
        <v>45810</v>
      </c>
      <c r="D14421" t="inlineStr">
        <is>
          <t>VÄRMLANDS LÄN</t>
        </is>
      </c>
      <c r="E14421" t="inlineStr">
        <is>
          <t>GRUMS</t>
        </is>
      </c>
      <c r="G14421" t="n">
        <v>1.6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16640-2024</t>
        </is>
      </c>
      <c r="B14422" s="1" t="n">
        <v>45408</v>
      </c>
      <c r="C14422" s="1" t="n">
        <v>45810</v>
      </c>
      <c r="D14422" t="inlineStr">
        <is>
          <t>VÄRMLANDS LÄN</t>
        </is>
      </c>
      <c r="E14422" t="inlineStr">
        <is>
          <t>GRUMS</t>
        </is>
      </c>
      <c r="G14422" t="n">
        <v>2.5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16644-2024</t>
        </is>
      </c>
      <c r="B14423" s="1" t="n">
        <v>45408</v>
      </c>
      <c r="C14423" s="1" t="n">
        <v>45810</v>
      </c>
      <c r="D14423" t="inlineStr">
        <is>
          <t>VÄRMLANDS LÄN</t>
        </is>
      </c>
      <c r="E14423" t="inlineStr">
        <is>
          <t>HAGFORS</t>
        </is>
      </c>
      <c r="F14423" t="inlineStr">
        <is>
          <t>Bergvik skog väst AB</t>
        </is>
      </c>
      <c r="G14423" t="n">
        <v>7.8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16653-2024</t>
        </is>
      </c>
      <c r="B14424" s="1" t="n">
        <v>45408</v>
      </c>
      <c r="C14424" s="1" t="n">
        <v>45810</v>
      </c>
      <c r="D14424" t="inlineStr">
        <is>
          <t>VÄRMLANDS LÄN</t>
        </is>
      </c>
      <c r="E14424" t="inlineStr">
        <is>
          <t>GRUMS</t>
        </is>
      </c>
      <c r="G14424" t="n">
        <v>1.8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16479-2024</t>
        </is>
      </c>
      <c r="B14425" s="1" t="n">
        <v>45408</v>
      </c>
      <c r="C14425" s="1" t="n">
        <v>45810</v>
      </c>
      <c r="D14425" t="inlineStr">
        <is>
          <t>VÄRMLANDS LÄN</t>
        </is>
      </c>
      <c r="E14425" t="inlineStr">
        <is>
          <t>FILIPSTAD</t>
        </is>
      </c>
      <c r="F14425" t="inlineStr">
        <is>
          <t>Bergvik skog väst AB</t>
        </is>
      </c>
      <c r="G14425" t="n">
        <v>3.5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16495-2024</t>
        </is>
      </c>
      <c r="B14426" s="1" t="n">
        <v>45408</v>
      </c>
      <c r="C14426" s="1" t="n">
        <v>45810</v>
      </c>
      <c r="D14426" t="inlineStr">
        <is>
          <t>VÄRMLANDS LÄN</t>
        </is>
      </c>
      <c r="E14426" t="inlineStr">
        <is>
          <t>FORSHAGA</t>
        </is>
      </c>
      <c r="F14426" t="inlineStr">
        <is>
          <t>Bergvik skog väst AB</t>
        </is>
      </c>
      <c r="G14426" t="n">
        <v>0.5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16515-2024</t>
        </is>
      </c>
      <c r="B14427" s="1" t="n">
        <v>45408</v>
      </c>
      <c r="C14427" s="1" t="n">
        <v>45810</v>
      </c>
      <c r="D14427" t="inlineStr">
        <is>
          <t>VÄRMLANDS LÄN</t>
        </is>
      </c>
      <c r="E14427" t="inlineStr">
        <is>
          <t>KRISTINEHAMN</t>
        </is>
      </c>
      <c r="G14427" t="n">
        <v>0.8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16575-2024</t>
        </is>
      </c>
      <c r="B14428" s="1" t="n">
        <v>45408</v>
      </c>
      <c r="C14428" s="1" t="n">
        <v>45810</v>
      </c>
      <c r="D14428" t="inlineStr">
        <is>
          <t>VÄRMLANDS LÄN</t>
        </is>
      </c>
      <c r="E14428" t="inlineStr">
        <is>
          <t>SUNNE</t>
        </is>
      </c>
      <c r="G14428" t="n">
        <v>0.9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16579-2024</t>
        </is>
      </c>
      <c r="B14429" s="1" t="n">
        <v>45408</v>
      </c>
      <c r="C14429" s="1" t="n">
        <v>45810</v>
      </c>
      <c r="D14429" t="inlineStr">
        <is>
          <t>VÄRMLANDS LÄN</t>
        </is>
      </c>
      <c r="E14429" t="inlineStr">
        <is>
          <t>ARVIKA</t>
        </is>
      </c>
      <c r="F14429" t="inlineStr">
        <is>
          <t>Bergvik skog väst AB</t>
        </is>
      </c>
      <c r="G14429" t="n">
        <v>4.6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16583-2024</t>
        </is>
      </c>
      <c r="B14430" s="1" t="n">
        <v>45408</v>
      </c>
      <c r="C14430" s="1" t="n">
        <v>45810</v>
      </c>
      <c r="D14430" t="inlineStr">
        <is>
          <t>VÄRMLANDS LÄN</t>
        </is>
      </c>
      <c r="E14430" t="inlineStr">
        <is>
          <t>TORSBY</t>
        </is>
      </c>
      <c r="G14430" t="n">
        <v>0.8</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16591-2024</t>
        </is>
      </c>
      <c r="B14431" s="1" t="n">
        <v>45408</v>
      </c>
      <c r="C14431" s="1" t="n">
        <v>45810</v>
      </c>
      <c r="D14431" t="inlineStr">
        <is>
          <t>VÄRMLANDS LÄN</t>
        </is>
      </c>
      <c r="E14431" t="inlineStr">
        <is>
          <t>TORSBY</t>
        </is>
      </c>
      <c r="G14431" t="n">
        <v>0.7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16603-2024</t>
        </is>
      </c>
      <c r="B14432" s="1" t="n">
        <v>45408</v>
      </c>
      <c r="C14432" s="1" t="n">
        <v>45810</v>
      </c>
      <c r="D14432" t="inlineStr">
        <is>
          <t>VÄRMLANDS LÄN</t>
        </is>
      </c>
      <c r="E14432" t="inlineStr">
        <is>
          <t>FILIPSTAD</t>
        </is>
      </c>
      <c r="F14432" t="inlineStr">
        <is>
          <t>Bergvik skog väst AB</t>
        </is>
      </c>
      <c r="G14432" t="n">
        <v>2.6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16607-2024</t>
        </is>
      </c>
      <c r="B14433" s="1" t="n">
        <v>45408</v>
      </c>
      <c r="C14433" s="1" t="n">
        <v>45810</v>
      </c>
      <c r="D14433" t="inlineStr">
        <is>
          <t>VÄRMLANDS LÄN</t>
        </is>
      </c>
      <c r="E14433" t="inlineStr">
        <is>
          <t>HAGFORS</t>
        </is>
      </c>
      <c r="F14433" t="inlineStr">
        <is>
          <t>Bergvik skog väst AB</t>
        </is>
      </c>
      <c r="G14433" t="n">
        <v>3.5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16635-2024</t>
        </is>
      </c>
      <c r="B14434" s="1" t="n">
        <v>45408</v>
      </c>
      <c r="C14434" s="1" t="n">
        <v>45810</v>
      </c>
      <c r="D14434" t="inlineStr">
        <is>
          <t>VÄRMLANDS LÄN</t>
        </is>
      </c>
      <c r="E14434" t="inlineStr">
        <is>
          <t>GRUMS</t>
        </is>
      </c>
      <c r="G14434" t="n">
        <v>0.7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16639-2024</t>
        </is>
      </c>
      <c r="B14435" s="1" t="n">
        <v>45408</v>
      </c>
      <c r="C14435" s="1" t="n">
        <v>45810</v>
      </c>
      <c r="D14435" t="inlineStr">
        <is>
          <t>VÄRMLANDS LÄN</t>
        </is>
      </c>
      <c r="E14435" t="inlineStr">
        <is>
          <t>GRUMS</t>
        </is>
      </c>
      <c r="G14435" t="n">
        <v>2.5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16486-2024</t>
        </is>
      </c>
      <c r="B14436" s="1" t="n">
        <v>45408</v>
      </c>
      <c r="C14436" s="1" t="n">
        <v>45810</v>
      </c>
      <c r="D14436" t="inlineStr">
        <is>
          <t>VÄRMLANDS LÄN</t>
        </is>
      </c>
      <c r="E14436" t="inlineStr">
        <is>
          <t>EDA</t>
        </is>
      </c>
      <c r="G14436" t="n">
        <v>0.8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16518-2024</t>
        </is>
      </c>
      <c r="B14437" s="1" t="n">
        <v>45408</v>
      </c>
      <c r="C14437" s="1" t="n">
        <v>45810</v>
      </c>
      <c r="D14437" t="inlineStr">
        <is>
          <t>VÄRMLANDS LÄN</t>
        </is>
      </c>
      <c r="E14437" t="inlineStr">
        <is>
          <t>FORSHAGA</t>
        </is>
      </c>
      <c r="F14437" t="inlineStr">
        <is>
          <t>Bergvik skog väst AB</t>
        </is>
      </c>
      <c r="G14437" t="n">
        <v>2.1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16526-2024</t>
        </is>
      </c>
      <c r="B14438" s="1" t="n">
        <v>45408</v>
      </c>
      <c r="C14438" s="1" t="n">
        <v>45810</v>
      </c>
      <c r="D14438" t="inlineStr">
        <is>
          <t>VÄRMLANDS LÄN</t>
        </is>
      </c>
      <c r="E14438" t="inlineStr">
        <is>
          <t>FORSHAGA</t>
        </is>
      </c>
      <c r="F14438" t="inlineStr">
        <is>
          <t>Bergvik skog väst AB</t>
        </is>
      </c>
      <c r="G14438" t="n">
        <v>4.3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16562-2024</t>
        </is>
      </c>
      <c r="B14439" s="1" t="n">
        <v>45408</v>
      </c>
      <c r="C14439" s="1" t="n">
        <v>45810</v>
      </c>
      <c r="D14439" t="inlineStr">
        <is>
          <t>VÄRMLANDS LÄN</t>
        </is>
      </c>
      <c r="E14439" t="inlineStr">
        <is>
          <t>ÅRJÄNG</t>
        </is>
      </c>
      <c r="F14439" t="inlineStr">
        <is>
          <t>Bergvik skog väst AB</t>
        </is>
      </c>
      <c r="G14439" t="n">
        <v>0.4</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16578-2024</t>
        </is>
      </c>
      <c r="B14440" s="1" t="n">
        <v>45408</v>
      </c>
      <c r="C14440" s="1" t="n">
        <v>45810</v>
      </c>
      <c r="D14440" t="inlineStr">
        <is>
          <t>VÄRMLANDS LÄN</t>
        </is>
      </c>
      <c r="E14440" t="inlineStr">
        <is>
          <t>SUNNE</t>
        </is>
      </c>
      <c r="G14440" t="n">
        <v>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16586-2024</t>
        </is>
      </c>
      <c r="B14441" s="1" t="n">
        <v>45408</v>
      </c>
      <c r="C14441" s="1" t="n">
        <v>45810</v>
      </c>
      <c r="D14441" t="inlineStr">
        <is>
          <t>VÄRMLANDS LÄN</t>
        </is>
      </c>
      <c r="E14441" t="inlineStr">
        <is>
          <t>TORSBY</t>
        </is>
      </c>
      <c r="G14441" t="n">
        <v>0.9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16630-2024</t>
        </is>
      </c>
      <c r="B14442" s="1" t="n">
        <v>45408</v>
      </c>
      <c r="C14442" s="1" t="n">
        <v>45810</v>
      </c>
      <c r="D14442" t="inlineStr">
        <is>
          <t>VÄRMLANDS LÄN</t>
        </is>
      </c>
      <c r="E14442" t="inlineStr">
        <is>
          <t>HAGFORS</t>
        </is>
      </c>
      <c r="F14442" t="inlineStr">
        <is>
          <t>Bergvik skog väst AB</t>
        </is>
      </c>
      <c r="G14442" t="n">
        <v>7.8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16685-2024</t>
        </is>
      </c>
      <c r="B14443" s="1" t="n">
        <v>45408</v>
      </c>
      <c r="C14443" s="1" t="n">
        <v>45810</v>
      </c>
      <c r="D14443" t="inlineStr">
        <is>
          <t>VÄRMLANDS LÄN</t>
        </is>
      </c>
      <c r="E14443" t="inlineStr">
        <is>
          <t>ARVIKA</t>
        </is>
      </c>
      <c r="G14443" t="n">
        <v>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16855-2024</t>
        </is>
      </c>
      <c r="B14444" s="1" t="n">
        <v>45410</v>
      </c>
      <c r="C14444" s="1" t="n">
        <v>45810</v>
      </c>
      <c r="D14444" t="inlineStr">
        <is>
          <t>VÄRMLANDS LÄN</t>
        </is>
      </c>
      <c r="E14444" t="inlineStr">
        <is>
          <t>SÄFFLE</t>
        </is>
      </c>
      <c r="G14444" t="n">
        <v>2.2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16739-2024</t>
        </is>
      </c>
      <c r="B14445" s="1" t="n">
        <v>45410</v>
      </c>
      <c r="C14445" s="1" t="n">
        <v>45810</v>
      </c>
      <c r="D14445" t="inlineStr">
        <is>
          <t>VÄRMLANDS LÄN</t>
        </is>
      </c>
      <c r="E14445" t="inlineStr">
        <is>
          <t>ARVIKA</t>
        </is>
      </c>
      <c r="G14445" t="n">
        <v>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16731-2024</t>
        </is>
      </c>
      <c r="B14446" s="1" t="n">
        <v>45410</v>
      </c>
      <c r="C14446" s="1" t="n">
        <v>45810</v>
      </c>
      <c r="D14446" t="inlineStr">
        <is>
          <t>VÄRMLANDS LÄN</t>
        </is>
      </c>
      <c r="E14446" t="inlineStr">
        <is>
          <t>ARVIKA</t>
        </is>
      </c>
      <c r="G14446" t="n">
        <v>1.5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16727-2024</t>
        </is>
      </c>
      <c r="B14447" s="1" t="n">
        <v>45410</v>
      </c>
      <c r="C14447" s="1" t="n">
        <v>45810</v>
      </c>
      <c r="D14447" t="inlineStr">
        <is>
          <t>VÄRMLANDS LÄN</t>
        </is>
      </c>
      <c r="E14447" t="inlineStr">
        <is>
          <t>SUNNE</t>
        </is>
      </c>
      <c r="F14447" t="inlineStr">
        <is>
          <t>Övriga Aktiebolag</t>
        </is>
      </c>
      <c r="G14447" t="n">
        <v>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16730-2024</t>
        </is>
      </c>
      <c r="B14448" s="1" t="n">
        <v>45410</v>
      </c>
      <c r="C14448" s="1" t="n">
        <v>45810</v>
      </c>
      <c r="D14448" t="inlineStr">
        <is>
          <t>VÄRMLANDS LÄN</t>
        </is>
      </c>
      <c r="E14448" t="inlineStr">
        <is>
          <t>TORSBY</t>
        </is>
      </c>
      <c r="G14448" t="n">
        <v>1.3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16798-2024</t>
        </is>
      </c>
      <c r="B14449" s="1" t="n">
        <v>45411</v>
      </c>
      <c r="C14449" s="1" t="n">
        <v>45810</v>
      </c>
      <c r="D14449" t="inlineStr">
        <is>
          <t>VÄRMLANDS LÄN</t>
        </is>
      </c>
      <c r="E14449" t="inlineStr">
        <is>
          <t>KIL</t>
        </is>
      </c>
      <c r="F14449" t="inlineStr">
        <is>
          <t>Kyrkan</t>
        </is>
      </c>
      <c r="G14449" t="n">
        <v>3.6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16946-2024</t>
        </is>
      </c>
      <c r="B14450" s="1" t="n">
        <v>45411</v>
      </c>
      <c r="C14450" s="1" t="n">
        <v>45810</v>
      </c>
      <c r="D14450" t="inlineStr">
        <is>
          <t>VÄRMLANDS LÄN</t>
        </is>
      </c>
      <c r="E14450" t="inlineStr">
        <is>
          <t>FILIPSTAD</t>
        </is>
      </c>
      <c r="G14450" t="n">
        <v>4.5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16815-2024</t>
        </is>
      </c>
      <c r="B14451" s="1" t="n">
        <v>45411</v>
      </c>
      <c r="C14451" s="1" t="n">
        <v>45810</v>
      </c>
      <c r="D14451" t="inlineStr">
        <is>
          <t>VÄRMLANDS LÄN</t>
        </is>
      </c>
      <c r="E14451" t="inlineStr">
        <is>
          <t>ARVIKA</t>
        </is>
      </c>
      <c r="F14451" t="inlineStr">
        <is>
          <t>Bergvik skog väst AB</t>
        </is>
      </c>
      <c r="G14451" t="n">
        <v>5.1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16891-2024</t>
        </is>
      </c>
      <c r="B14452" s="1" t="n">
        <v>45411</v>
      </c>
      <c r="C14452" s="1" t="n">
        <v>45810</v>
      </c>
      <c r="D14452" t="inlineStr">
        <is>
          <t>VÄRMLANDS LÄN</t>
        </is>
      </c>
      <c r="E14452" t="inlineStr">
        <is>
          <t>TORSBY</t>
        </is>
      </c>
      <c r="F14452" t="inlineStr">
        <is>
          <t>Bergvik skog väst AB</t>
        </is>
      </c>
      <c r="G14452" t="n">
        <v>8.5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16931-2024</t>
        </is>
      </c>
      <c r="B14453" s="1" t="n">
        <v>45411</v>
      </c>
      <c r="C14453" s="1" t="n">
        <v>45810</v>
      </c>
      <c r="D14453" t="inlineStr">
        <is>
          <t>VÄRMLANDS LÄN</t>
        </is>
      </c>
      <c r="E14453" t="inlineStr">
        <is>
          <t>STORFORS</t>
        </is>
      </c>
      <c r="F14453" t="inlineStr">
        <is>
          <t>Bergvik skog väst AB</t>
        </is>
      </c>
      <c r="G14453" t="n">
        <v>0.5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16955-2024</t>
        </is>
      </c>
      <c r="B14454" s="1" t="n">
        <v>45411</v>
      </c>
      <c r="C14454" s="1" t="n">
        <v>45810</v>
      </c>
      <c r="D14454" t="inlineStr">
        <is>
          <t>VÄRMLANDS LÄN</t>
        </is>
      </c>
      <c r="E14454" t="inlineStr">
        <is>
          <t>HAGFORS</t>
        </is>
      </c>
      <c r="G14454" t="n">
        <v>1.2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16958-2024</t>
        </is>
      </c>
      <c r="B14455" s="1" t="n">
        <v>45411</v>
      </c>
      <c r="C14455" s="1" t="n">
        <v>45810</v>
      </c>
      <c r="D14455" t="inlineStr">
        <is>
          <t>VÄRMLANDS LÄN</t>
        </is>
      </c>
      <c r="E14455" t="inlineStr">
        <is>
          <t>SÄFFLE</t>
        </is>
      </c>
      <c r="G14455" t="n">
        <v>2.7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16886-2024</t>
        </is>
      </c>
      <c r="B14456" s="1" t="n">
        <v>45411</v>
      </c>
      <c r="C14456" s="1" t="n">
        <v>45810</v>
      </c>
      <c r="D14456" t="inlineStr">
        <is>
          <t>VÄRMLANDS LÄN</t>
        </is>
      </c>
      <c r="E14456" t="inlineStr">
        <is>
          <t>SUNNE</t>
        </is>
      </c>
      <c r="F14456" t="inlineStr">
        <is>
          <t>Bergvik skog väst AB</t>
        </is>
      </c>
      <c r="G14456" t="n">
        <v>4.6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16882-2024</t>
        </is>
      </c>
      <c r="B14457" s="1" t="n">
        <v>45411</v>
      </c>
      <c r="C14457" s="1" t="n">
        <v>45810</v>
      </c>
      <c r="D14457" t="inlineStr">
        <is>
          <t>VÄRMLANDS LÄN</t>
        </is>
      </c>
      <c r="E14457" t="inlineStr">
        <is>
          <t>SUNNE</t>
        </is>
      </c>
      <c r="F14457" t="inlineStr">
        <is>
          <t>Bergvik skog väst AB</t>
        </is>
      </c>
      <c r="G14457" t="n">
        <v>0.5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16839-2024</t>
        </is>
      </c>
      <c r="B14458" s="1" t="n">
        <v>45411</v>
      </c>
      <c r="C14458" s="1" t="n">
        <v>45810</v>
      </c>
      <c r="D14458" t="inlineStr">
        <is>
          <t>VÄRMLANDS LÄN</t>
        </is>
      </c>
      <c r="E14458" t="inlineStr">
        <is>
          <t>FILIPSTAD</t>
        </is>
      </c>
      <c r="F14458" t="inlineStr">
        <is>
          <t>Bergvik skog väst AB</t>
        </is>
      </c>
      <c r="G14458" t="n">
        <v>9.1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16806-2024</t>
        </is>
      </c>
      <c r="B14459" s="1" t="n">
        <v>45411</v>
      </c>
      <c r="C14459" s="1" t="n">
        <v>45810</v>
      </c>
      <c r="D14459" t="inlineStr">
        <is>
          <t>VÄRMLANDS LÄN</t>
        </is>
      </c>
      <c r="E14459" t="inlineStr">
        <is>
          <t>ÅRJÄNG</t>
        </is>
      </c>
      <c r="G14459" t="n">
        <v>0.7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16896-2024</t>
        </is>
      </c>
      <c r="B14460" s="1" t="n">
        <v>45411</v>
      </c>
      <c r="C14460" s="1" t="n">
        <v>45810</v>
      </c>
      <c r="D14460" t="inlineStr">
        <is>
          <t>VÄRMLANDS LÄN</t>
        </is>
      </c>
      <c r="E14460" t="inlineStr">
        <is>
          <t>SUNNE</t>
        </is>
      </c>
      <c r="F14460" t="inlineStr">
        <is>
          <t>Bergvik skog väst AB</t>
        </is>
      </c>
      <c r="G14460" t="n">
        <v>0.7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16961-2024</t>
        </is>
      </c>
      <c r="B14461" s="1" t="n">
        <v>45412</v>
      </c>
      <c r="C14461" s="1" t="n">
        <v>45810</v>
      </c>
      <c r="D14461" t="inlineStr">
        <is>
          <t>VÄRMLANDS LÄN</t>
        </is>
      </c>
      <c r="E14461" t="inlineStr">
        <is>
          <t>TORSBY</t>
        </is>
      </c>
      <c r="G14461" t="n">
        <v>4.7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16929-2024</t>
        </is>
      </c>
      <c r="B14462" s="1" t="n">
        <v>45411</v>
      </c>
      <c r="C14462" s="1" t="n">
        <v>45810</v>
      </c>
      <c r="D14462" t="inlineStr">
        <is>
          <t>VÄRMLANDS LÄN</t>
        </is>
      </c>
      <c r="E14462" t="inlineStr">
        <is>
          <t>FILIPSTAD</t>
        </is>
      </c>
      <c r="F14462" t="inlineStr">
        <is>
          <t>Bergvik skog väst AB</t>
        </is>
      </c>
      <c r="G14462" t="n">
        <v>12.2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16884-2024</t>
        </is>
      </c>
      <c r="B14463" s="1" t="n">
        <v>45411</v>
      </c>
      <c r="C14463" s="1" t="n">
        <v>45810</v>
      </c>
      <c r="D14463" t="inlineStr">
        <is>
          <t>VÄRMLANDS LÄN</t>
        </is>
      </c>
      <c r="E14463" t="inlineStr">
        <is>
          <t>SUNNE</t>
        </is>
      </c>
      <c r="F14463" t="inlineStr">
        <is>
          <t>Bergvik skog väst AB</t>
        </is>
      </c>
      <c r="G14463" t="n">
        <v>0.6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16841-2024</t>
        </is>
      </c>
      <c r="B14464" s="1" t="n">
        <v>45411</v>
      </c>
      <c r="C14464" s="1" t="n">
        <v>45810</v>
      </c>
      <c r="D14464" t="inlineStr">
        <is>
          <t>VÄRMLANDS LÄN</t>
        </is>
      </c>
      <c r="E14464" t="inlineStr">
        <is>
          <t>TORSBY</t>
        </is>
      </c>
      <c r="G14464" t="n">
        <v>2.9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16816-2024</t>
        </is>
      </c>
      <c r="B14465" s="1" t="n">
        <v>45411</v>
      </c>
      <c r="C14465" s="1" t="n">
        <v>45810</v>
      </c>
      <c r="D14465" t="inlineStr">
        <is>
          <t>VÄRMLANDS LÄN</t>
        </is>
      </c>
      <c r="E14465" t="inlineStr">
        <is>
          <t>SUNNE</t>
        </is>
      </c>
      <c r="G14465" t="n">
        <v>1.7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16780-2024</t>
        </is>
      </c>
      <c r="B14466" s="1" t="n">
        <v>45411</v>
      </c>
      <c r="C14466" s="1" t="n">
        <v>45810</v>
      </c>
      <c r="D14466" t="inlineStr">
        <is>
          <t>VÄRMLANDS LÄN</t>
        </is>
      </c>
      <c r="E14466" t="inlineStr">
        <is>
          <t>TORSBY</t>
        </is>
      </c>
      <c r="G14466" t="n">
        <v>3.6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16772-2024</t>
        </is>
      </c>
      <c r="B14467" s="1" t="n">
        <v>45411</v>
      </c>
      <c r="C14467" s="1" t="n">
        <v>45810</v>
      </c>
      <c r="D14467" t="inlineStr">
        <is>
          <t>VÄRMLANDS LÄN</t>
        </is>
      </c>
      <c r="E14467" t="inlineStr">
        <is>
          <t>GRUMS</t>
        </is>
      </c>
      <c r="G14467" t="n">
        <v>0.7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16764-2024</t>
        </is>
      </c>
      <c r="B14468" s="1" t="n">
        <v>45411</v>
      </c>
      <c r="C14468" s="1" t="n">
        <v>45810</v>
      </c>
      <c r="D14468" t="inlineStr">
        <is>
          <t>VÄRMLANDS LÄN</t>
        </is>
      </c>
      <c r="E14468" t="inlineStr">
        <is>
          <t>ARVIKA</t>
        </is>
      </c>
      <c r="G14468" t="n">
        <v>1.2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16748-2024</t>
        </is>
      </c>
      <c r="B14469" s="1" t="n">
        <v>45411</v>
      </c>
      <c r="C14469" s="1" t="n">
        <v>45810</v>
      </c>
      <c r="D14469" t="inlineStr">
        <is>
          <t>VÄRMLANDS LÄN</t>
        </is>
      </c>
      <c r="E14469" t="inlineStr">
        <is>
          <t>KRISTINEHAMN</t>
        </is>
      </c>
      <c r="G14469" t="n">
        <v>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16904-2024</t>
        </is>
      </c>
      <c r="B14470" s="1" t="n">
        <v>45411</v>
      </c>
      <c r="C14470" s="1" t="n">
        <v>45810</v>
      </c>
      <c r="D14470" t="inlineStr">
        <is>
          <t>VÄRMLANDS LÄN</t>
        </is>
      </c>
      <c r="E14470" t="inlineStr">
        <is>
          <t>MUNKFORS</t>
        </is>
      </c>
      <c r="F14470" t="inlineStr">
        <is>
          <t>Bergvik skog väst AB</t>
        </is>
      </c>
      <c r="G14470" t="n">
        <v>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16952-2024</t>
        </is>
      </c>
      <c r="B14471" s="1" t="n">
        <v>45411</v>
      </c>
      <c r="C14471" s="1" t="n">
        <v>45810</v>
      </c>
      <c r="D14471" t="inlineStr">
        <is>
          <t>VÄRMLANDS LÄN</t>
        </is>
      </c>
      <c r="E14471" t="inlineStr">
        <is>
          <t>KARLSTAD</t>
        </is>
      </c>
      <c r="G14471" t="n">
        <v>0.7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16944-2024</t>
        </is>
      </c>
      <c r="B14472" s="1" t="n">
        <v>45411</v>
      </c>
      <c r="C14472" s="1" t="n">
        <v>45810</v>
      </c>
      <c r="D14472" t="inlineStr">
        <is>
          <t>VÄRMLANDS LÄN</t>
        </is>
      </c>
      <c r="E14472" t="inlineStr">
        <is>
          <t>ARVIKA</t>
        </is>
      </c>
      <c r="F14472" t="inlineStr">
        <is>
          <t>Bergvik skog väst AB</t>
        </is>
      </c>
      <c r="G14472" t="n">
        <v>1.2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16916-2024</t>
        </is>
      </c>
      <c r="B14473" s="1" t="n">
        <v>45411</v>
      </c>
      <c r="C14473" s="1" t="n">
        <v>45810</v>
      </c>
      <c r="D14473" t="inlineStr">
        <is>
          <t>VÄRMLANDS LÄN</t>
        </is>
      </c>
      <c r="E14473" t="inlineStr">
        <is>
          <t>STORFORS</t>
        </is>
      </c>
      <c r="F14473" t="inlineStr">
        <is>
          <t>Bergvik skog väst AB</t>
        </is>
      </c>
      <c r="G14473" t="n">
        <v>3.6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16826-2024</t>
        </is>
      </c>
      <c r="B14474" s="1" t="n">
        <v>45411</v>
      </c>
      <c r="C14474" s="1" t="n">
        <v>45810</v>
      </c>
      <c r="D14474" t="inlineStr">
        <is>
          <t>VÄRMLANDS LÄN</t>
        </is>
      </c>
      <c r="E14474" t="inlineStr">
        <is>
          <t>SUNNE</t>
        </is>
      </c>
      <c r="G14474" t="n">
        <v>0.6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16789-2024</t>
        </is>
      </c>
      <c r="B14475" s="1" t="n">
        <v>45411</v>
      </c>
      <c r="C14475" s="1" t="n">
        <v>45810</v>
      </c>
      <c r="D14475" t="inlineStr">
        <is>
          <t>VÄRMLANDS LÄN</t>
        </is>
      </c>
      <c r="E14475" t="inlineStr">
        <is>
          <t>TORSBY</t>
        </is>
      </c>
      <c r="G14475" t="n">
        <v>2.4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16786-2024</t>
        </is>
      </c>
      <c r="B14476" s="1" t="n">
        <v>45411</v>
      </c>
      <c r="C14476" s="1" t="n">
        <v>45810</v>
      </c>
      <c r="D14476" t="inlineStr">
        <is>
          <t>VÄRMLANDS LÄN</t>
        </is>
      </c>
      <c r="E14476" t="inlineStr">
        <is>
          <t>HAGFORS</t>
        </is>
      </c>
      <c r="F14476" t="inlineStr">
        <is>
          <t>Bergvik skog väst AB</t>
        </is>
      </c>
      <c r="G14476" t="n">
        <v>4.6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16762-2024</t>
        </is>
      </c>
      <c r="B14477" s="1" t="n">
        <v>45411</v>
      </c>
      <c r="C14477" s="1" t="n">
        <v>45810</v>
      </c>
      <c r="D14477" t="inlineStr">
        <is>
          <t>VÄRMLANDS LÄN</t>
        </is>
      </c>
      <c r="E14477" t="inlineStr">
        <is>
          <t>FILIPSTAD</t>
        </is>
      </c>
      <c r="F14477" t="inlineStr">
        <is>
          <t>Bergvik skog väst AB</t>
        </is>
      </c>
      <c r="G14477" t="n">
        <v>2.4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16750-2024</t>
        </is>
      </c>
      <c r="B14478" s="1" t="n">
        <v>45411</v>
      </c>
      <c r="C14478" s="1" t="n">
        <v>45810</v>
      </c>
      <c r="D14478" t="inlineStr">
        <is>
          <t>VÄRMLANDS LÄN</t>
        </is>
      </c>
      <c r="E14478" t="inlineStr">
        <is>
          <t>SÄFFLE</t>
        </is>
      </c>
      <c r="G14478" t="n">
        <v>1.7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16757-2024</t>
        </is>
      </c>
      <c r="B14479" s="1" t="n">
        <v>45411</v>
      </c>
      <c r="C14479" s="1" t="n">
        <v>45810</v>
      </c>
      <c r="D14479" t="inlineStr">
        <is>
          <t>VÄRMLANDS LÄN</t>
        </is>
      </c>
      <c r="E14479" t="inlineStr">
        <is>
          <t>KARLSTAD</t>
        </is>
      </c>
      <c r="G14479" t="n">
        <v>1.4</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17008-2024</t>
        </is>
      </c>
      <c r="B14480" s="1" t="n">
        <v>45412</v>
      </c>
      <c r="C14480" s="1" t="n">
        <v>45810</v>
      </c>
      <c r="D14480" t="inlineStr">
        <is>
          <t>VÄRMLANDS LÄN</t>
        </is>
      </c>
      <c r="E14480" t="inlineStr">
        <is>
          <t>TORSBY</t>
        </is>
      </c>
      <c r="G14480" t="n">
        <v>2.2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17001-2024</t>
        </is>
      </c>
      <c r="B14481" s="1" t="n">
        <v>45412</v>
      </c>
      <c r="C14481" s="1" t="n">
        <v>45810</v>
      </c>
      <c r="D14481" t="inlineStr">
        <is>
          <t>VÄRMLANDS LÄN</t>
        </is>
      </c>
      <c r="E14481" t="inlineStr">
        <is>
          <t>TORSBY</t>
        </is>
      </c>
      <c r="G14481" t="n">
        <v>3.6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17033-2024</t>
        </is>
      </c>
      <c r="B14482" s="1" t="n">
        <v>45412</v>
      </c>
      <c r="C14482" s="1" t="n">
        <v>45810</v>
      </c>
      <c r="D14482" t="inlineStr">
        <is>
          <t>VÄRMLANDS LÄN</t>
        </is>
      </c>
      <c r="E14482" t="inlineStr">
        <is>
          <t>ARVIKA</t>
        </is>
      </c>
      <c r="F14482" t="inlineStr">
        <is>
          <t>Bergvik skog väst AB</t>
        </is>
      </c>
      <c r="G14482" t="n">
        <v>2.7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17083-2024</t>
        </is>
      </c>
      <c r="B14483" s="1" t="n">
        <v>45412</v>
      </c>
      <c r="C14483" s="1" t="n">
        <v>45810</v>
      </c>
      <c r="D14483" t="inlineStr">
        <is>
          <t>VÄRMLANDS LÄN</t>
        </is>
      </c>
      <c r="E14483" t="inlineStr">
        <is>
          <t>TORSBY</t>
        </is>
      </c>
      <c r="F14483" t="inlineStr">
        <is>
          <t>Bergvik skog väst AB</t>
        </is>
      </c>
      <c r="G14483" t="n">
        <v>2.1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17124-2024</t>
        </is>
      </c>
      <c r="B14484" s="1" t="n">
        <v>45412</v>
      </c>
      <c r="C14484" s="1" t="n">
        <v>45810</v>
      </c>
      <c r="D14484" t="inlineStr">
        <is>
          <t>VÄRMLANDS LÄN</t>
        </is>
      </c>
      <c r="E14484" t="inlineStr">
        <is>
          <t>SUNNE</t>
        </is>
      </c>
      <c r="G14484" t="n">
        <v>0.7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17128-2024</t>
        </is>
      </c>
      <c r="B14485" s="1" t="n">
        <v>45412</v>
      </c>
      <c r="C14485" s="1" t="n">
        <v>45810</v>
      </c>
      <c r="D14485" t="inlineStr">
        <is>
          <t>VÄRMLANDS LÄN</t>
        </is>
      </c>
      <c r="E14485" t="inlineStr">
        <is>
          <t>EDA</t>
        </is>
      </c>
      <c r="G14485" t="n">
        <v>4.6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17132-2024</t>
        </is>
      </c>
      <c r="B14486" s="1" t="n">
        <v>45412</v>
      </c>
      <c r="C14486" s="1" t="n">
        <v>45810</v>
      </c>
      <c r="D14486" t="inlineStr">
        <is>
          <t>VÄRMLANDS LÄN</t>
        </is>
      </c>
      <c r="E14486" t="inlineStr">
        <is>
          <t>SUNNE</t>
        </is>
      </c>
      <c r="G14486" t="n">
        <v>1.2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17122-2024</t>
        </is>
      </c>
      <c r="B14487" s="1" t="n">
        <v>45412</v>
      </c>
      <c r="C14487" s="1" t="n">
        <v>45810</v>
      </c>
      <c r="D14487" t="inlineStr">
        <is>
          <t>VÄRMLANDS LÄN</t>
        </is>
      </c>
      <c r="E14487" t="inlineStr">
        <is>
          <t>GRUMS</t>
        </is>
      </c>
      <c r="G14487" t="n">
        <v>1.7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17118-2024</t>
        </is>
      </c>
      <c r="B14488" s="1" t="n">
        <v>45412</v>
      </c>
      <c r="C14488" s="1" t="n">
        <v>45810</v>
      </c>
      <c r="D14488" t="inlineStr">
        <is>
          <t>VÄRMLANDS LÄN</t>
        </is>
      </c>
      <c r="E14488" t="inlineStr">
        <is>
          <t>ARVIKA</t>
        </is>
      </c>
      <c r="F14488" t="inlineStr">
        <is>
          <t>Bergvik skog väst AB</t>
        </is>
      </c>
      <c r="G14488" t="n">
        <v>0.8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17093-2024</t>
        </is>
      </c>
      <c r="B14489" s="1" t="n">
        <v>45412</v>
      </c>
      <c r="C14489" s="1" t="n">
        <v>45810</v>
      </c>
      <c r="D14489" t="inlineStr">
        <is>
          <t>VÄRMLANDS LÄN</t>
        </is>
      </c>
      <c r="E14489" t="inlineStr">
        <is>
          <t>SÄFFLE</t>
        </is>
      </c>
      <c r="G14489" t="n">
        <v>0.7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17081-2024</t>
        </is>
      </c>
      <c r="B14490" s="1" t="n">
        <v>45412</v>
      </c>
      <c r="C14490" s="1" t="n">
        <v>45810</v>
      </c>
      <c r="D14490" t="inlineStr">
        <is>
          <t>VÄRMLANDS LÄN</t>
        </is>
      </c>
      <c r="E14490" t="inlineStr">
        <is>
          <t>GRUMS</t>
        </is>
      </c>
      <c r="G14490" t="n">
        <v>0.8</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17067-2024</t>
        </is>
      </c>
      <c r="B14491" s="1" t="n">
        <v>45412</v>
      </c>
      <c r="C14491" s="1" t="n">
        <v>45810</v>
      </c>
      <c r="D14491" t="inlineStr">
        <is>
          <t>VÄRMLANDS LÄN</t>
        </is>
      </c>
      <c r="E14491" t="inlineStr">
        <is>
          <t>EDA</t>
        </is>
      </c>
      <c r="G14491" t="n">
        <v>0.7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17028-2024</t>
        </is>
      </c>
      <c r="B14492" s="1" t="n">
        <v>45412</v>
      </c>
      <c r="C14492" s="1" t="n">
        <v>45810</v>
      </c>
      <c r="D14492" t="inlineStr">
        <is>
          <t>VÄRMLANDS LÄN</t>
        </is>
      </c>
      <c r="E14492" t="inlineStr">
        <is>
          <t>EDA</t>
        </is>
      </c>
      <c r="G14492" t="n">
        <v>1.3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17024-2024</t>
        </is>
      </c>
      <c r="B14493" s="1" t="n">
        <v>45412</v>
      </c>
      <c r="C14493" s="1" t="n">
        <v>45810</v>
      </c>
      <c r="D14493" t="inlineStr">
        <is>
          <t>VÄRMLANDS LÄN</t>
        </is>
      </c>
      <c r="E14493" t="inlineStr">
        <is>
          <t>TORSBY</t>
        </is>
      </c>
      <c r="G14493" t="n">
        <v>0.6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17017-2024</t>
        </is>
      </c>
      <c r="B14494" s="1" t="n">
        <v>45412</v>
      </c>
      <c r="C14494" s="1" t="n">
        <v>45810</v>
      </c>
      <c r="D14494" t="inlineStr">
        <is>
          <t>VÄRMLANDS LÄN</t>
        </is>
      </c>
      <c r="E14494" t="inlineStr">
        <is>
          <t>TORSBY</t>
        </is>
      </c>
      <c r="G14494" t="n">
        <v>0.8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17135-2024</t>
        </is>
      </c>
      <c r="B14495" s="1" t="n">
        <v>45412</v>
      </c>
      <c r="C14495" s="1" t="n">
        <v>45810</v>
      </c>
      <c r="D14495" t="inlineStr">
        <is>
          <t>VÄRMLANDS LÄN</t>
        </is>
      </c>
      <c r="E14495" t="inlineStr">
        <is>
          <t>EDA</t>
        </is>
      </c>
      <c r="G14495" t="n">
        <v>4.3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17086-2024</t>
        </is>
      </c>
      <c r="B14496" s="1" t="n">
        <v>45412</v>
      </c>
      <c r="C14496" s="1" t="n">
        <v>45810</v>
      </c>
      <c r="D14496" t="inlineStr">
        <is>
          <t>VÄRMLANDS LÄN</t>
        </is>
      </c>
      <c r="E14496" t="inlineStr">
        <is>
          <t>GRUMS</t>
        </is>
      </c>
      <c r="G14496" t="n">
        <v>3.2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17045-2024</t>
        </is>
      </c>
      <c r="B14497" s="1" t="n">
        <v>45412</v>
      </c>
      <c r="C14497" s="1" t="n">
        <v>45810</v>
      </c>
      <c r="D14497" t="inlineStr">
        <is>
          <t>VÄRMLANDS LÄN</t>
        </is>
      </c>
      <c r="E14497" t="inlineStr">
        <is>
          <t>ARVIKA</t>
        </is>
      </c>
      <c r="G14497" t="n">
        <v>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17041-2024</t>
        </is>
      </c>
      <c r="B14498" s="1" t="n">
        <v>45412</v>
      </c>
      <c r="C14498" s="1" t="n">
        <v>45810</v>
      </c>
      <c r="D14498" t="inlineStr">
        <is>
          <t>VÄRMLANDS LÄN</t>
        </is>
      </c>
      <c r="E14498" t="inlineStr">
        <is>
          <t>EDA</t>
        </is>
      </c>
      <c r="G14498" t="n">
        <v>2.2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17133-2024</t>
        </is>
      </c>
      <c r="B14499" s="1" t="n">
        <v>45412</v>
      </c>
      <c r="C14499" s="1" t="n">
        <v>45810</v>
      </c>
      <c r="D14499" t="inlineStr">
        <is>
          <t>VÄRMLANDS LÄN</t>
        </is>
      </c>
      <c r="E14499" t="inlineStr">
        <is>
          <t>EDA</t>
        </is>
      </c>
      <c r="G14499" t="n">
        <v>8.1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17100-2024</t>
        </is>
      </c>
      <c r="B14500" s="1" t="n">
        <v>45412</v>
      </c>
      <c r="C14500" s="1" t="n">
        <v>45810</v>
      </c>
      <c r="D14500" t="inlineStr">
        <is>
          <t>VÄRMLANDS LÄN</t>
        </is>
      </c>
      <c r="E14500" t="inlineStr">
        <is>
          <t>EDA</t>
        </is>
      </c>
      <c r="G14500" t="n">
        <v>2.6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17080-2024</t>
        </is>
      </c>
      <c r="B14501" s="1" t="n">
        <v>45412</v>
      </c>
      <c r="C14501" s="1" t="n">
        <v>45810</v>
      </c>
      <c r="D14501" t="inlineStr">
        <is>
          <t>VÄRMLANDS LÄN</t>
        </is>
      </c>
      <c r="E14501" t="inlineStr">
        <is>
          <t>ARVIKA</t>
        </is>
      </c>
      <c r="G14501" t="n">
        <v>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17047-2024</t>
        </is>
      </c>
      <c r="B14502" s="1" t="n">
        <v>45412</v>
      </c>
      <c r="C14502" s="1" t="n">
        <v>45810</v>
      </c>
      <c r="D14502" t="inlineStr">
        <is>
          <t>VÄRMLANDS LÄN</t>
        </is>
      </c>
      <c r="E14502" t="inlineStr">
        <is>
          <t>TORSBY</t>
        </is>
      </c>
      <c r="G14502" t="n">
        <v>2.2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17003-2024</t>
        </is>
      </c>
      <c r="B14503" s="1" t="n">
        <v>45412</v>
      </c>
      <c r="C14503" s="1" t="n">
        <v>45810</v>
      </c>
      <c r="D14503" t="inlineStr">
        <is>
          <t>VÄRMLANDS LÄN</t>
        </is>
      </c>
      <c r="E14503" t="inlineStr">
        <is>
          <t>EDA</t>
        </is>
      </c>
      <c r="G14503" t="n">
        <v>5.3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17011-2024</t>
        </is>
      </c>
      <c r="B14504" s="1" t="n">
        <v>45412</v>
      </c>
      <c r="C14504" s="1" t="n">
        <v>45810</v>
      </c>
      <c r="D14504" t="inlineStr">
        <is>
          <t>VÄRMLANDS LÄN</t>
        </is>
      </c>
      <c r="E14504" t="inlineStr">
        <is>
          <t>ARVIKA</t>
        </is>
      </c>
      <c r="F14504" t="inlineStr">
        <is>
          <t>Bergvik skog väst AB</t>
        </is>
      </c>
      <c r="G14504" t="n">
        <v>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17197-2024</t>
        </is>
      </c>
      <c r="B14505" s="1" t="n">
        <v>45413</v>
      </c>
      <c r="C14505" s="1" t="n">
        <v>45810</v>
      </c>
      <c r="D14505" t="inlineStr">
        <is>
          <t>VÄRMLANDS LÄN</t>
        </is>
      </c>
      <c r="E14505" t="inlineStr">
        <is>
          <t>KIL</t>
        </is>
      </c>
      <c r="G14505" t="n">
        <v>0.8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17244-2024</t>
        </is>
      </c>
      <c r="B14506" s="1" t="n">
        <v>45414</v>
      </c>
      <c r="C14506" s="1" t="n">
        <v>45810</v>
      </c>
      <c r="D14506" t="inlineStr">
        <is>
          <t>VÄRMLANDS LÄN</t>
        </is>
      </c>
      <c r="E14506" t="inlineStr">
        <is>
          <t>FILIPSTAD</t>
        </is>
      </c>
      <c r="G14506" t="n">
        <v>5.2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17284-2024</t>
        </is>
      </c>
      <c r="B14507" s="1" t="n">
        <v>45414</v>
      </c>
      <c r="C14507" s="1" t="n">
        <v>45810</v>
      </c>
      <c r="D14507" t="inlineStr">
        <is>
          <t>VÄRMLANDS LÄN</t>
        </is>
      </c>
      <c r="E14507" t="inlineStr">
        <is>
          <t>SUNNE</t>
        </is>
      </c>
      <c r="G14507" t="n">
        <v>0.7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17265-2024</t>
        </is>
      </c>
      <c r="B14508" s="1" t="n">
        <v>45414</v>
      </c>
      <c r="C14508" s="1" t="n">
        <v>45810</v>
      </c>
      <c r="D14508" t="inlineStr">
        <is>
          <t>VÄRMLANDS LÄN</t>
        </is>
      </c>
      <c r="E14508" t="inlineStr">
        <is>
          <t>TORSBY</t>
        </is>
      </c>
      <c r="F14508" t="inlineStr">
        <is>
          <t>Bergvik skog väst AB</t>
        </is>
      </c>
      <c r="G14508" t="n">
        <v>23.9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17273-2024</t>
        </is>
      </c>
      <c r="B14509" s="1" t="n">
        <v>45414</v>
      </c>
      <c r="C14509" s="1" t="n">
        <v>45810</v>
      </c>
      <c r="D14509" t="inlineStr">
        <is>
          <t>VÄRMLANDS LÄN</t>
        </is>
      </c>
      <c r="E14509" t="inlineStr">
        <is>
          <t>FILIPSTAD</t>
        </is>
      </c>
      <c r="F14509" t="inlineStr">
        <is>
          <t>Bergvik skog väst AB</t>
        </is>
      </c>
      <c r="G14509" t="n">
        <v>0.8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17281-2024</t>
        </is>
      </c>
      <c r="B14510" s="1" t="n">
        <v>45414</v>
      </c>
      <c r="C14510" s="1" t="n">
        <v>45810</v>
      </c>
      <c r="D14510" t="inlineStr">
        <is>
          <t>VÄRMLANDS LÄN</t>
        </is>
      </c>
      <c r="E14510" t="inlineStr">
        <is>
          <t>FILIPSTAD</t>
        </is>
      </c>
      <c r="F14510" t="inlineStr">
        <is>
          <t>Bergvik skog väst AB</t>
        </is>
      </c>
      <c r="G14510" t="n">
        <v>7.9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17285-2024</t>
        </is>
      </c>
      <c r="B14511" s="1" t="n">
        <v>45414</v>
      </c>
      <c r="C14511" s="1" t="n">
        <v>45810</v>
      </c>
      <c r="D14511" t="inlineStr">
        <is>
          <t>VÄRMLANDS LÄN</t>
        </is>
      </c>
      <c r="E14511" t="inlineStr">
        <is>
          <t>TORSBY</t>
        </is>
      </c>
      <c r="G14511" t="n">
        <v>1.2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17297-2024</t>
        </is>
      </c>
      <c r="B14512" s="1" t="n">
        <v>45414</v>
      </c>
      <c r="C14512" s="1" t="n">
        <v>45810</v>
      </c>
      <c r="D14512" t="inlineStr">
        <is>
          <t>VÄRMLANDS LÄN</t>
        </is>
      </c>
      <c r="E14512" t="inlineStr">
        <is>
          <t>HAGFORS</t>
        </is>
      </c>
      <c r="G14512" t="n">
        <v>0.7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17329-2024</t>
        </is>
      </c>
      <c r="B14513" s="1" t="n">
        <v>45414</v>
      </c>
      <c r="C14513" s="1" t="n">
        <v>45810</v>
      </c>
      <c r="D14513" t="inlineStr">
        <is>
          <t>VÄRMLANDS LÄN</t>
        </is>
      </c>
      <c r="E14513" t="inlineStr">
        <is>
          <t>HAGFORS</t>
        </is>
      </c>
      <c r="G14513" t="n">
        <v>1.3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17359-2024</t>
        </is>
      </c>
      <c r="B14514" s="1" t="n">
        <v>45414</v>
      </c>
      <c r="C14514" s="1" t="n">
        <v>45810</v>
      </c>
      <c r="D14514" t="inlineStr">
        <is>
          <t>VÄRMLANDS LÄN</t>
        </is>
      </c>
      <c r="E14514" t="inlineStr">
        <is>
          <t>ARVIKA</t>
        </is>
      </c>
      <c r="F14514" t="inlineStr">
        <is>
          <t>Bergvik skog väst AB</t>
        </is>
      </c>
      <c r="G14514" t="n">
        <v>9.800000000000001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17233-2024</t>
        </is>
      </c>
      <c r="B14515" s="1" t="n">
        <v>45414</v>
      </c>
      <c r="C14515" s="1" t="n">
        <v>45810</v>
      </c>
      <c r="D14515" t="inlineStr">
        <is>
          <t>VÄRMLANDS LÄN</t>
        </is>
      </c>
      <c r="E14515" t="inlineStr">
        <is>
          <t>TORSBY</t>
        </is>
      </c>
      <c r="G14515" t="n">
        <v>6.9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17286-2024</t>
        </is>
      </c>
      <c r="B14516" s="1" t="n">
        <v>45414</v>
      </c>
      <c r="C14516" s="1" t="n">
        <v>45810</v>
      </c>
      <c r="D14516" t="inlineStr">
        <is>
          <t>VÄRMLANDS LÄN</t>
        </is>
      </c>
      <c r="E14516" t="inlineStr">
        <is>
          <t>HAGFORS</t>
        </is>
      </c>
      <c r="G14516" t="n">
        <v>1.1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17387-2024</t>
        </is>
      </c>
      <c r="B14517" s="1" t="n">
        <v>45414</v>
      </c>
      <c r="C14517" s="1" t="n">
        <v>45810</v>
      </c>
      <c r="D14517" t="inlineStr">
        <is>
          <t>VÄRMLANDS LÄN</t>
        </is>
      </c>
      <c r="E14517" t="inlineStr">
        <is>
          <t>ARVIKA</t>
        </is>
      </c>
      <c r="G14517" t="n">
        <v>1.6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17390-2024</t>
        </is>
      </c>
      <c r="B14518" s="1" t="n">
        <v>45414</v>
      </c>
      <c r="C14518" s="1" t="n">
        <v>45810</v>
      </c>
      <c r="D14518" t="inlineStr">
        <is>
          <t>VÄRMLANDS LÄN</t>
        </is>
      </c>
      <c r="E14518" t="inlineStr">
        <is>
          <t>TORSBY</t>
        </is>
      </c>
      <c r="G14518" t="n">
        <v>3.8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17398-2024</t>
        </is>
      </c>
      <c r="B14519" s="1" t="n">
        <v>45414</v>
      </c>
      <c r="C14519" s="1" t="n">
        <v>45810</v>
      </c>
      <c r="D14519" t="inlineStr">
        <is>
          <t>VÄRMLANDS LÄN</t>
        </is>
      </c>
      <c r="E14519" t="inlineStr">
        <is>
          <t>KRISTINEHAMN</t>
        </is>
      </c>
      <c r="G14519" t="n">
        <v>1.3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17401-2024</t>
        </is>
      </c>
      <c r="B14520" s="1" t="n">
        <v>45414</v>
      </c>
      <c r="C14520" s="1" t="n">
        <v>45810</v>
      </c>
      <c r="D14520" t="inlineStr">
        <is>
          <t>VÄRMLANDS LÄN</t>
        </is>
      </c>
      <c r="E14520" t="inlineStr">
        <is>
          <t>KRISTINEHAMN</t>
        </is>
      </c>
      <c r="G14520" t="n">
        <v>2.5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17466-2024</t>
        </is>
      </c>
      <c r="B14521" s="1" t="n">
        <v>45414</v>
      </c>
      <c r="C14521" s="1" t="n">
        <v>45810</v>
      </c>
      <c r="D14521" t="inlineStr">
        <is>
          <t>VÄRMLANDS LÄN</t>
        </is>
      </c>
      <c r="E14521" t="inlineStr">
        <is>
          <t>KRISTINEHAMN</t>
        </is>
      </c>
      <c r="G14521" t="n">
        <v>1.8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17364-2024</t>
        </is>
      </c>
      <c r="B14522" s="1" t="n">
        <v>45414</v>
      </c>
      <c r="C14522" s="1" t="n">
        <v>45810</v>
      </c>
      <c r="D14522" t="inlineStr">
        <is>
          <t>VÄRMLANDS LÄN</t>
        </is>
      </c>
      <c r="E14522" t="inlineStr">
        <is>
          <t>TORSBY</t>
        </is>
      </c>
      <c r="F14522" t="inlineStr">
        <is>
          <t>Bergvik skog väst AB</t>
        </is>
      </c>
      <c r="G14522" t="n">
        <v>5.4</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17459-2024</t>
        </is>
      </c>
      <c r="B14523" s="1" t="n">
        <v>45415</v>
      </c>
      <c r="C14523" s="1" t="n">
        <v>45810</v>
      </c>
      <c r="D14523" t="inlineStr">
        <is>
          <t>VÄRMLANDS LÄN</t>
        </is>
      </c>
      <c r="E14523" t="inlineStr">
        <is>
          <t>KARLSTAD</t>
        </is>
      </c>
      <c r="G14523" t="n">
        <v>4.9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17487-2024</t>
        </is>
      </c>
      <c r="B14524" s="1" t="n">
        <v>45415</v>
      </c>
      <c r="C14524" s="1" t="n">
        <v>45810</v>
      </c>
      <c r="D14524" t="inlineStr">
        <is>
          <t>VÄRMLANDS LÄN</t>
        </is>
      </c>
      <c r="E14524" t="inlineStr">
        <is>
          <t>EDA</t>
        </is>
      </c>
      <c r="G14524" t="n">
        <v>1.2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17519-2024</t>
        </is>
      </c>
      <c r="B14525" s="1" t="n">
        <v>45415</v>
      </c>
      <c r="C14525" s="1" t="n">
        <v>45810</v>
      </c>
      <c r="D14525" t="inlineStr">
        <is>
          <t>VÄRMLANDS LÄN</t>
        </is>
      </c>
      <c r="E14525" t="inlineStr">
        <is>
          <t>FORSHAGA</t>
        </is>
      </c>
      <c r="F14525" t="inlineStr">
        <is>
          <t>Bergvik skog väst AB</t>
        </is>
      </c>
      <c r="G14525" t="n">
        <v>4.5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17523-2024</t>
        </is>
      </c>
      <c r="B14526" s="1" t="n">
        <v>45415</v>
      </c>
      <c r="C14526" s="1" t="n">
        <v>45810</v>
      </c>
      <c r="D14526" t="inlineStr">
        <is>
          <t>VÄRMLANDS LÄN</t>
        </is>
      </c>
      <c r="E14526" t="inlineStr">
        <is>
          <t>FILIPSTAD</t>
        </is>
      </c>
      <c r="F14526" t="inlineStr">
        <is>
          <t>Kyrkan</t>
        </is>
      </c>
      <c r="G14526" t="n">
        <v>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17556-2024</t>
        </is>
      </c>
      <c r="B14527" s="1" t="n">
        <v>45415</v>
      </c>
      <c r="C14527" s="1" t="n">
        <v>45810</v>
      </c>
      <c r="D14527" t="inlineStr">
        <is>
          <t>VÄRMLANDS LÄN</t>
        </is>
      </c>
      <c r="E14527" t="inlineStr">
        <is>
          <t>TORSBY</t>
        </is>
      </c>
      <c r="G14527" t="n">
        <v>5.6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17441-2024</t>
        </is>
      </c>
      <c r="B14528" s="1" t="n">
        <v>45415</v>
      </c>
      <c r="C14528" s="1" t="n">
        <v>45810</v>
      </c>
      <c r="D14528" t="inlineStr">
        <is>
          <t>VÄRMLANDS LÄN</t>
        </is>
      </c>
      <c r="E14528" t="inlineStr">
        <is>
          <t>ARVIKA</t>
        </is>
      </c>
      <c r="G14528" t="n">
        <v>2.8</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17462-2024</t>
        </is>
      </c>
      <c r="B14529" s="1" t="n">
        <v>45415</v>
      </c>
      <c r="C14529" s="1" t="n">
        <v>45810</v>
      </c>
      <c r="D14529" t="inlineStr">
        <is>
          <t>VÄRMLANDS LÄN</t>
        </is>
      </c>
      <c r="E14529" t="inlineStr">
        <is>
          <t>FILIPSTAD</t>
        </is>
      </c>
      <c r="F14529" t="inlineStr">
        <is>
          <t>Bergvik skog väst AB</t>
        </is>
      </c>
      <c r="G14529" t="n">
        <v>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17505-2024</t>
        </is>
      </c>
      <c r="B14530" s="1" t="n">
        <v>45415</v>
      </c>
      <c r="C14530" s="1" t="n">
        <v>45810</v>
      </c>
      <c r="D14530" t="inlineStr">
        <is>
          <t>VÄRMLANDS LÄN</t>
        </is>
      </c>
      <c r="E14530" t="inlineStr">
        <is>
          <t>FORSHAGA</t>
        </is>
      </c>
      <c r="F14530" t="inlineStr">
        <is>
          <t>Bergvik skog väst AB</t>
        </is>
      </c>
      <c r="G14530" t="n">
        <v>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17525-2024</t>
        </is>
      </c>
      <c r="B14531" s="1" t="n">
        <v>45415</v>
      </c>
      <c r="C14531" s="1" t="n">
        <v>45810</v>
      </c>
      <c r="D14531" t="inlineStr">
        <is>
          <t>VÄRMLANDS LÄN</t>
        </is>
      </c>
      <c r="E14531" t="inlineStr">
        <is>
          <t>TORSBY</t>
        </is>
      </c>
      <c r="G14531" t="n">
        <v>0.6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17562-2024</t>
        </is>
      </c>
      <c r="B14532" s="1" t="n">
        <v>45415</v>
      </c>
      <c r="C14532" s="1" t="n">
        <v>45810</v>
      </c>
      <c r="D14532" t="inlineStr">
        <is>
          <t>VÄRMLANDS LÄN</t>
        </is>
      </c>
      <c r="E14532" t="inlineStr">
        <is>
          <t>TORSBY</t>
        </is>
      </c>
      <c r="G14532" t="n">
        <v>2.5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17450-2024</t>
        </is>
      </c>
      <c r="B14533" s="1" t="n">
        <v>45415</v>
      </c>
      <c r="C14533" s="1" t="n">
        <v>45810</v>
      </c>
      <c r="D14533" t="inlineStr">
        <is>
          <t>VÄRMLANDS LÄN</t>
        </is>
      </c>
      <c r="E14533" t="inlineStr">
        <is>
          <t>TORSBY</t>
        </is>
      </c>
      <c r="G14533" t="n">
        <v>4.5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17463-2024</t>
        </is>
      </c>
      <c r="B14534" s="1" t="n">
        <v>45415</v>
      </c>
      <c r="C14534" s="1" t="n">
        <v>45810</v>
      </c>
      <c r="D14534" t="inlineStr">
        <is>
          <t>VÄRMLANDS LÄN</t>
        </is>
      </c>
      <c r="E14534" t="inlineStr">
        <is>
          <t>KARLSTAD</t>
        </is>
      </c>
      <c r="G14534" t="n">
        <v>0.8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17474-2024</t>
        </is>
      </c>
      <c r="B14535" s="1" t="n">
        <v>45415</v>
      </c>
      <c r="C14535" s="1" t="n">
        <v>45810</v>
      </c>
      <c r="D14535" t="inlineStr">
        <is>
          <t>VÄRMLANDS LÄN</t>
        </is>
      </c>
      <c r="E14535" t="inlineStr">
        <is>
          <t>KARLSTAD</t>
        </is>
      </c>
      <c r="G14535" t="n">
        <v>1.3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17490-2024</t>
        </is>
      </c>
      <c r="B14536" s="1" t="n">
        <v>45415</v>
      </c>
      <c r="C14536" s="1" t="n">
        <v>45810</v>
      </c>
      <c r="D14536" t="inlineStr">
        <is>
          <t>VÄRMLANDS LÄN</t>
        </is>
      </c>
      <c r="E14536" t="inlineStr">
        <is>
          <t>EDA</t>
        </is>
      </c>
      <c r="G14536" t="n">
        <v>3.4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17530-2024</t>
        </is>
      </c>
      <c r="B14537" s="1" t="n">
        <v>45415</v>
      </c>
      <c r="C14537" s="1" t="n">
        <v>45810</v>
      </c>
      <c r="D14537" t="inlineStr">
        <is>
          <t>VÄRMLANDS LÄN</t>
        </is>
      </c>
      <c r="E14537" t="inlineStr">
        <is>
          <t>TORSBY</t>
        </is>
      </c>
      <c r="G14537" t="n">
        <v>11.1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17472-2024</t>
        </is>
      </c>
      <c r="B14538" s="1" t="n">
        <v>45415</v>
      </c>
      <c r="C14538" s="1" t="n">
        <v>45810</v>
      </c>
      <c r="D14538" t="inlineStr">
        <is>
          <t>VÄRMLANDS LÄN</t>
        </is>
      </c>
      <c r="E14538" t="inlineStr">
        <is>
          <t>FILIPSTAD</t>
        </is>
      </c>
      <c r="F14538" t="inlineStr">
        <is>
          <t>Bergvik skog väst AB</t>
        </is>
      </c>
      <c r="G14538" t="n">
        <v>4.4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17488-2024</t>
        </is>
      </c>
      <c r="B14539" s="1" t="n">
        <v>45415</v>
      </c>
      <c r="C14539" s="1" t="n">
        <v>45810</v>
      </c>
      <c r="D14539" t="inlineStr">
        <is>
          <t>VÄRMLANDS LÄN</t>
        </is>
      </c>
      <c r="E14539" t="inlineStr">
        <is>
          <t>EDA</t>
        </is>
      </c>
      <c r="G14539" t="n">
        <v>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17500-2024</t>
        </is>
      </c>
      <c r="B14540" s="1" t="n">
        <v>45415</v>
      </c>
      <c r="C14540" s="1" t="n">
        <v>45810</v>
      </c>
      <c r="D14540" t="inlineStr">
        <is>
          <t>VÄRMLANDS LÄN</t>
        </is>
      </c>
      <c r="E14540" t="inlineStr">
        <is>
          <t>SÄFFLE</t>
        </is>
      </c>
      <c r="G14540" t="n">
        <v>2.9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17579-2024</t>
        </is>
      </c>
      <c r="B14541" s="1" t="n">
        <v>45415</v>
      </c>
      <c r="C14541" s="1" t="n">
        <v>45810</v>
      </c>
      <c r="D14541" t="inlineStr">
        <is>
          <t>VÄRMLANDS LÄN</t>
        </is>
      </c>
      <c r="E14541" t="inlineStr">
        <is>
          <t>SUNNE</t>
        </is>
      </c>
      <c r="G14541" t="n">
        <v>1.1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17580-2024</t>
        </is>
      </c>
      <c r="B14542" s="1" t="n">
        <v>45415</v>
      </c>
      <c r="C14542" s="1" t="n">
        <v>45810</v>
      </c>
      <c r="D14542" t="inlineStr">
        <is>
          <t>VÄRMLANDS LÄN</t>
        </is>
      </c>
      <c r="E14542" t="inlineStr">
        <is>
          <t>SUNNE</t>
        </is>
      </c>
      <c r="G14542" t="n">
        <v>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17539-2024</t>
        </is>
      </c>
      <c r="B14543" s="1" t="n">
        <v>45415</v>
      </c>
      <c r="C14543" s="1" t="n">
        <v>45810</v>
      </c>
      <c r="D14543" t="inlineStr">
        <is>
          <t>VÄRMLANDS LÄN</t>
        </is>
      </c>
      <c r="E14543" t="inlineStr">
        <is>
          <t>FORSHAGA</t>
        </is>
      </c>
      <c r="F14543" t="inlineStr">
        <is>
          <t>Bergvik skog väst AB</t>
        </is>
      </c>
      <c r="G14543" t="n">
        <v>8.5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17633-2024</t>
        </is>
      </c>
      <c r="B14544" s="1" t="n">
        <v>45418</v>
      </c>
      <c r="C14544" s="1" t="n">
        <v>45810</v>
      </c>
      <c r="D14544" t="inlineStr">
        <is>
          <t>VÄRMLANDS LÄN</t>
        </is>
      </c>
      <c r="E14544" t="inlineStr">
        <is>
          <t>KARLSTAD</t>
        </is>
      </c>
      <c r="F14544" t="inlineStr">
        <is>
          <t>Bergvik skog väst AB</t>
        </is>
      </c>
      <c r="G14544" t="n">
        <v>1.4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17635-2024</t>
        </is>
      </c>
      <c r="B14545" s="1" t="n">
        <v>45418</v>
      </c>
      <c r="C14545" s="1" t="n">
        <v>45810</v>
      </c>
      <c r="D14545" t="inlineStr">
        <is>
          <t>VÄRMLANDS LÄN</t>
        </is>
      </c>
      <c r="E14545" t="inlineStr">
        <is>
          <t>HAGFORS</t>
        </is>
      </c>
      <c r="F14545" t="inlineStr">
        <is>
          <t>Bergvik skog väst AB</t>
        </is>
      </c>
      <c r="G14545" t="n">
        <v>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17714-2024</t>
        </is>
      </c>
      <c r="B14546" s="1" t="n">
        <v>45418</v>
      </c>
      <c r="C14546" s="1" t="n">
        <v>45810</v>
      </c>
      <c r="D14546" t="inlineStr">
        <is>
          <t>VÄRMLANDS LÄN</t>
        </is>
      </c>
      <c r="E14546" t="inlineStr">
        <is>
          <t>KRISTINEHAMN</t>
        </is>
      </c>
      <c r="G14546" t="n">
        <v>3.5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17687-2024</t>
        </is>
      </c>
      <c r="B14547" s="1" t="n">
        <v>45418</v>
      </c>
      <c r="C14547" s="1" t="n">
        <v>45810</v>
      </c>
      <c r="D14547" t="inlineStr">
        <is>
          <t>VÄRMLANDS LÄN</t>
        </is>
      </c>
      <c r="E14547" t="inlineStr">
        <is>
          <t>TORSBY</t>
        </is>
      </c>
      <c r="G14547" t="n">
        <v>1.9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17754-2024</t>
        </is>
      </c>
      <c r="B14548" s="1" t="n">
        <v>45418</v>
      </c>
      <c r="C14548" s="1" t="n">
        <v>45810</v>
      </c>
      <c r="D14548" t="inlineStr">
        <is>
          <t>VÄRMLANDS LÄN</t>
        </is>
      </c>
      <c r="E14548" t="inlineStr">
        <is>
          <t>EDA</t>
        </is>
      </c>
      <c r="G14548" t="n">
        <v>2.7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17752-2024</t>
        </is>
      </c>
      <c r="B14549" s="1" t="n">
        <v>45418</v>
      </c>
      <c r="C14549" s="1" t="n">
        <v>45810</v>
      </c>
      <c r="D14549" t="inlineStr">
        <is>
          <t>VÄRMLANDS LÄN</t>
        </is>
      </c>
      <c r="E14549" t="inlineStr">
        <is>
          <t>EDA</t>
        </is>
      </c>
      <c r="F14549" t="inlineStr">
        <is>
          <t>Övriga Aktiebolag</t>
        </is>
      </c>
      <c r="G14549" t="n">
        <v>0.7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17788-2024</t>
        </is>
      </c>
      <c r="B14550" s="1" t="n">
        <v>45418</v>
      </c>
      <c r="C14550" s="1" t="n">
        <v>45810</v>
      </c>
      <c r="D14550" t="inlineStr">
        <is>
          <t>VÄRMLANDS LÄN</t>
        </is>
      </c>
      <c r="E14550" t="inlineStr">
        <is>
          <t>FILIPSTAD</t>
        </is>
      </c>
      <c r="G14550" t="n">
        <v>3.3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17794-2024</t>
        </is>
      </c>
      <c r="B14551" s="1" t="n">
        <v>45418</v>
      </c>
      <c r="C14551" s="1" t="n">
        <v>45810</v>
      </c>
      <c r="D14551" t="inlineStr">
        <is>
          <t>VÄRMLANDS LÄN</t>
        </is>
      </c>
      <c r="E14551" t="inlineStr">
        <is>
          <t>FILIPSTAD</t>
        </is>
      </c>
      <c r="G14551" t="n">
        <v>2.2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17717-2024</t>
        </is>
      </c>
      <c r="B14552" s="1" t="n">
        <v>45418</v>
      </c>
      <c r="C14552" s="1" t="n">
        <v>45810</v>
      </c>
      <c r="D14552" t="inlineStr">
        <is>
          <t>VÄRMLANDS LÄN</t>
        </is>
      </c>
      <c r="E14552" t="inlineStr">
        <is>
          <t>TORSBY</t>
        </is>
      </c>
      <c r="G14552" t="n">
        <v>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17744-2024</t>
        </is>
      </c>
      <c r="B14553" s="1" t="n">
        <v>45418</v>
      </c>
      <c r="C14553" s="1" t="n">
        <v>45810</v>
      </c>
      <c r="D14553" t="inlineStr">
        <is>
          <t>VÄRMLANDS LÄN</t>
        </is>
      </c>
      <c r="E14553" t="inlineStr">
        <is>
          <t>ÅRJÄNG</t>
        </is>
      </c>
      <c r="G14553" t="n">
        <v>1.1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17757-2024</t>
        </is>
      </c>
      <c r="B14554" s="1" t="n">
        <v>45418</v>
      </c>
      <c r="C14554" s="1" t="n">
        <v>45810</v>
      </c>
      <c r="D14554" t="inlineStr">
        <is>
          <t>VÄRMLANDS LÄN</t>
        </is>
      </c>
      <c r="E14554" t="inlineStr">
        <is>
          <t>ARVIKA</t>
        </is>
      </c>
      <c r="F14554" t="inlineStr">
        <is>
          <t>Bergvik skog väst AB</t>
        </is>
      </c>
      <c r="G14554" t="n">
        <v>2.3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17747-2024</t>
        </is>
      </c>
      <c r="B14555" s="1" t="n">
        <v>45418</v>
      </c>
      <c r="C14555" s="1" t="n">
        <v>45810</v>
      </c>
      <c r="D14555" t="inlineStr">
        <is>
          <t>VÄRMLANDS LÄN</t>
        </is>
      </c>
      <c r="E14555" t="inlineStr">
        <is>
          <t>EDA</t>
        </is>
      </c>
      <c r="G14555" t="n">
        <v>1.6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17774-2024</t>
        </is>
      </c>
      <c r="B14556" s="1" t="n">
        <v>45418</v>
      </c>
      <c r="C14556" s="1" t="n">
        <v>45810</v>
      </c>
      <c r="D14556" t="inlineStr">
        <is>
          <t>VÄRMLANDS LÄN</t>
        </is>
      </c>
      <c r="E14556" t="inlineStr">
        <is>
          <t>HAGFORS</t>
        </is>
      </c>
      <c r="G14556" t="n">
        <v>2.9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17795-2024</t>
        </is>
      </c>
      <c r="B14557" s="1" t="n">
        <v>45418</v>
      </c>
      <c r="C14557" s="1" t="n">
        <v>45810</v>
      </c>
      <c r="D14557" t="inlineStr">
        <is>
          <t>VÄRMLANDS LÄN</t>
        </is>
      </c>
      <c r="E14557" t="inlineStr">
        <is>
          <t>FILIPSTAD</t>
        </is>
      </c>
      <c r="G14557" t="n">
        <v>3.1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17815-2024</t>
        </is>
      </c>
      <c r="B14558" s="1" t="n">
        <v>45418</v>
      </c>
      <c r="C14558" s="1" t="n">
        <v>45810</v>
      </c>
      <c r="D14558" t="inlineStr">
        <is>
          <t>VÄRMLANDS LÄN</t>
        </is>
      </c>
      <c r="E14558" t="inlineStr">
        <is>
          <t>KARLSTAD</t>
        </is>
      </c>
      <c r="G14558" t="n">
        <v>1.7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17772-2024</t>
        </is>
      </c>
      <c r="B14559" s="1" t="n">
        <v>45418</v>
      </c>
      <c r="C14559" s="1" t="n">
        <v>45810</v>
      </c>
      <c r="D14559" t="inlineStr">
        <is>
          <t>VÄRMLANDS LÄN</t>
        </is>
      </c>
      <c r="E14559" t="inlineStr">
        <is>
          <t>SÄFFLE</t>
        </is>
      </c>
      <c r="G14559" t="n">
        <v>1.1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17797-2024</t>
        </is>
      </c>
      <c r="B14560" s="1" t="n">
        <v>45418</v>
      </c>
      <c r="C14560" s="1" t="n">
        <v>45810</v>
      </c>
      <c r="D14560" t="inlineStr">
        <is>
          <t>VÄRMLANDS LÄN</t>
        </is>
      </c>
      <c r="E14560" t="inlineStr">
        <is>
          <t>KIL</t>
        </is>
      </c>
      <c r="G14560" t="n">
        <v>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17858-2024</t>
        </is>
      </c>
      <c r="B14561" s="1" t="n">
        <v>45419</v>
      </c>
      <c r="C14561" s="1" t="n">
        <v>45810</v>
      </c>
      <c r="D14561" t="inlineStr">
        <is>
          <t>VÄRMLANDS LÄN</t>
        </is>
      </c>
      <c r="E14561" t="inlineStr">
        <is>
          <t>FILIPSTAD</t>
        </is>
      </c>
      <c r="F14561" t="inlineStr">
        <is>
          <t>Bergvik skog väst AB</t>
        </is>
      </c>
      <c r="G14561" t="n">
        <v>2.5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17878-2024</t>
        </is>
      </c>
      <c r="B14562" s="1" t="n">
        <v>45419</v>
      </c>
      <c r="C14562" s="1" t="n">
        <v>45810</v>
      </c>
      <c r="D14562" t="inlineStr">
        <is>
          <t>VÄRMLANDS LÄN</t>
        </is>
      </c>
      <c r="E14562" t="inlineStr">
        <is>
          <t>ÅRJÄNG</t>
        </is>
      </c>
      <c r="G14562" t="n">
        <v>1.6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17886-2024</t>
        </is>
      </c>
      <c r="B14563" s="1" t="n">
        <v>45419</v>
      </c>
      <c r="C14563" s="1" t="n">
        <v>45810</v>
      </c>
      <c r="D14563" t="inlineStr">
        <is>
          <t>VÄRMLANDS LÄN</t>
        </is>
      </c>
      <c r="E14563" t="inlineStr">
        <is>
          <t>SÄFFLE</t>
        </is>
      </c>
      <c r="G14563" t="n">
        <v>5.3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17910-2024</t>
        </is>
      </c>
      <c r="B14564" s="1" t="n">
        <v>45419</v>
      </c>
      <c r="C14564" s="1" t="n">
        <v>45810</v>
      </c>
      <c r="D14564" t="inlineStr">
        <is>
          <t>VÄRMLANDS LÄN</t>
        </is>
      </c>
      <c r="E14564" t="inlineStr">
        <is>
          <t>GRUMS</t>
        </is>
      </c>
      <c r="G14564" t="n">
        <v>6.8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17930-2024</t>
        </is>
      </c>
      <c r="B14565" s="1" t="n">
        <v>45419</v>
      </c>
      <c r="C14565" s="1" t="n">
        <v>45810</v>
      </c>
      <c r="D14565" t="inlineStr">
        <is>
          <t>VÄRMLANDS LÄN</t>
        </is>
      </c>
      <c r="E14565" t="inlineStr">
        <is>
          <t>HAGFORS</t>
        </is>
      </c>
      <c r="F14565" t="inlineStr">
        <is>
          <t>Bergvik skog väst AB</t>
        </is>
      </c>
      <c r="G14565" t="n">
        <v>2.5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17959-2024</t>
        </is>
      </c>
      <c r="B14566" s="1" t="n">
        <v>45419</v>
      </c>
      <c r="C14566" s="1" t="n">
        <v>45810</v>
      </c>
      <c r="D14566" t="inlineStr">
        <is>
          <t>VÄRMLANDS LÄN</t>
        </is>
      </c>
      <c r="E14566" t="inlineStr">
        <is>
          <t>TORSBY</t>
        </is>
      </c>
      <c r="G14566" t="n">
        <v>0.7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17852-2024</t>
        </is>
      </c>
      <c r="B14567" s="1" t="n">
        <v>45419</v>
      </c>
      <c r="C14567" s="1" t="n">
        <v>45810</v>
      </c>
      <c r="D14567" t="inlineStr">
        <is>
          <t>VÄRMLANDS LÄN</t>
        </is>
      </c>
      <c r="E14567" t="inlineStr">
        <is>
          <t>ARVIKA</t>
        </is>
      </c>
      <c r="G14567" t="n">
        <v>1.1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17971-2024</t>
        </is>
      </c>
      <c r="B14568" s="1" t="n">
        <v>45419</v>
      </c>
      <c r="C14568" s="1" t="n">
        <v>45810</v>
      </c>
      <c r="D14568" t="inlineStr">
        <is>
          <t>VÄRMLANDS LÄN</t>
        </is>
      </c>
      <c r="E14568" t="inlineStr">
        <is>
          <t>SÄFFLE</t>
        </is>
      </c>
      <c r="G14568" t="n">
        <v>1.3</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17921-2024</t>
        </is>
      </c>
      <c r="B14569" s="1" t="n">
        <v>45419</v>
      </c>
      <c r="C14569" s="1" t="n">
        <v>45810</v>
      </c>
      <c r="D14569" t="inlineStr">
        <is>
          <t>VÄRMLANDS LÄN</t>
        </is>
      </c>
      <c r="E14569" t="inlineStr">
        <is>
          <t>TORSBY</t>
        </is>
      </c>
      <c r="F14569" t="inlineStr">
        <is>
          <t>Bergvik skog väst AB</t>
        </is>
      </c>
      <c r="G14569" t="n">
        <v>1.8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17946-2024</t>
        </is>
      </c>
      <c r="B14570" s="1" t="n">
        <v>45419</v>
      </c>
      <c r="C14570" s="1" t="n">
        <v>45810</v>
      </c>
      <c r="D14570" t="inlineStr">
        <is>
          <t>VÄRMLANDS LÄN</t>
        </is>
      </c>
      <c r="E14570" t="inlineStr">
        <is>
          <t>KIL</t>
        </is>
      </c>
      <c r="G14570" t="n">
        <v>0.5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17970-2024</t>
        </is>
      </c>
      <c r="B14571" s="1" t="n">
        <v>45419</v>
      </c>
      <c r="C14571" s="1" t="n">
        <v>45810</v>
      </c>
      <c r="D14571" t="inlineStr">
        <is>
          <t>VÄRMLANDS LÄN</t>
        </is>
      </c>
      <c r="E14571" t="inlineStr">
        <is>
          <t>SÄFFLE</t>
        </is>
      </c>
      <c r="G14571" t="n">
        <v>2.1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17978-2024</t>
        </is>
      </c>
      <c r="B14572" s="1" t="n">
        <v>45419</v>
      </c>
      <c r="C14572" s="1" t="n">
        <v>45810</v>
      </c>
      <c r="D14572" t="inlineStr">
        <is>
          <t>VÄRMLANDS LÄN</t>
        </is>
      </c>
      <c r="E14572" t="inlineStr">
        <is>
          <t>FILIPSTAD</t>
        </is>
      </c>
      <c r="F14572" t="inlineStr">
        <is>
          <t>Bergvik skog väst AB</t>
        </is>
      </c>
      <c r="G14572" t="n">
        <v>4.3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17982-2024</t>
        </is>
      </c>
      <c r="B14573" s="1" t="n">
        <v>45419</v>
      </c>
      <c r="C14573" s="1" t="n">
        <v>45810</v>
      </c>
      <c r="D14573" t="inlineStr">
        <is>
          <t>VÄRMLANDS LÄN</t>
        </is>
      </c>
      <c r="E14573" t="inlineStr">
        <is>
          <t>ARVIKA</t>
        </is>
      </c>
      <c r="G14573" t="n">
        <v>4.9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17837-2024</t>
        </is>
      </c>
      <c r="B14574" s="1" t="n">
        <v>45419</v>
      </c>
      <c r="C14574" s="1" t="n">
        <v>45810</v>
      </c>
      <c r="D14574" t="inlineStr">
        <is>
          <t>VÄRMLANDS LÄN</t>
        </is>
      </c>
      <c r="E14574" t="inlineStr">
        <is>
          <t>TORSBY</t>
        </is>
      </c>
      <c r="G14574" t="n">
        <v>0.7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17879-2024</t>
        </is>
      </c>
      <c r="B14575" s="1" t="n">
        <v>45419</v>
      </c>
      <c r="C14575" s="1" t="n">
        <v>45810</v>
      </c>
      <c r="D14575" t="inlineStr">
        <is>
          <t>VÄRMLANDS LÄN</t>
        </is>
      </c>
      <c r="E14575" t="inlineStr">
        <is>
          <t>TORSBY</t>
        </is>
      </c>
      <c r="G14575" t="n">
        <v>0.7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17931-2024</t>
        </is>
      </c>
      <c r="B14576" s="1" t="n">
        <v>45419</v>
      </c>
      <c r="C14576" s="1" t="n">
        <v>45810</v>
      </c>
      <c r="D14576" t="inlineStr">
        <is>
          <t>VÄRMLANDS LÄN</t>
        </is>
      </c>
      <c r="E14576" t="inlineStr">
        <is>
          <t>TORSBY</t>
        </is>
      </c>
      <c r="G14576" t="n">
        <v>1.1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17935-2024</t>
        </is>
      </c>
      <c r="B14577" s="1" t="n">
        <v>45419</v>
      </c>
      <c r="C14577" s="1" t="n">
        <v>45810</v>
      </c>
      <c r="D14577" t="inlineStr">
        <is>
          <t>VÄRMLANDS LÄN</t>
        </is>
      </c>
      <c r="E14577" t="inlineStr">
        <is>
          <t>ARVIKA</t>
        </is>
      </c>
      <c r="G14577" t="n">
        <v>6.5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17956-2024</t>
        </is>
      </c>
      <c r="B14578" s="1" t="n">
        <v>45419</v>
      </c>
      <c r="C14578" s="1" t="n">
        <v>45810</v>
      </c>
      <c r="D14578" t="inlineStr">
        <is>
          <t>VÄRMLANDS LÄN</t>
        </is>
      </c>
      <c r="E14578" t="inlineStr">
        <is>
          <t>HAGFORS</t>
        </is>
      </c>
      <c r="G14578" t="n">
        <v>2.4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18014-2024</t>
        </is>
      </c>
      <c r="B14579" s="1" t="n">
        <v>45420</v>
      </c>
      <c r="C14579" s="1" t="n">
        <v>45810</v>
      </c>
      <c r="D14579" t="inlineStr">
        <is>
          <t>VÄRMLANDS LÄN</t>
        </is>
      </c>
      <c r="E14579" t="inlineStr">
        <is>
          <t>HAGFORS</t>
        </is>
      </c>
      <c r="F14579" t="inlineStr">
        <is>
          <t>Bergvik skog väst AB</t>
        </is>
      </c>
      <c r="G14579" t="n">
        <v>5.2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17916-2024</t>
        </is>
      </c>
      <c r="B14580" s="1" t="n">
        <v>45419</v>
      </c>
      <c r="C14580" s="1" t="n">
        <v>45810</v>
      </c>
      <c r="D14580" t="inlineStr">
        <is>
          <t>VÄRMLANDS LÄN</t>
        </is>
      </c>
      <c r="E14580" t="inlineStr">
        <is>
          <t>SÄFFLE</t>
        </is>
      </c>
      <c r="G14580" t="n">
        <v>0</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17920-2024</t>
        </is>
      </c>
      <c r="B14581" s="1" t="n">
        <v>45419</v>
      </c>
      <c r="C14581" s="1" t="n">
        <v>45810</v>
      </c>
      <c r="D14581" t="inlineStr">
        <is>
          <t>VÄRMLANDS LÄN</t>
        </is>
      </c>
      <c r="E14581" t="inlineStr">
        <is>
          <t>HAGFORS</t>
        </is>
      </c>
      <c r="G14581" t="n">
        <v>3.4</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17977-2024</t>
        </is>
      </c>
      <c r="B14582" s="1" t="n">
        <v>45419</v>
      </c>
      <c r="C14582" s="1" t="n">
        <v>45810</v>
      </c>
      <c r="D14582" t="inlineStr">
        <is>
          <t>VÄRMLANDS LÄN</t>
        </is>
      </c>
      <c r="E14582" t="inlineStr">
        <is>
          <t>FILIPSTAD</t>
        </is>
      </c>
      <c r="F14582" t="inlineStr">
        <is>
          <t>Bergvik skog väst AB</t>
        </is>
      </c>
      <c r="G14582" t="n">
        <v>2.4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17985-2024</t>
        </is>
      </c>
      <c r="B14583" s="1" t="n">
        <v>45419</v>
      </c>
      <c r="C14583" s="1" t="n">
        <v>45810</v>
      </c>
      <c r="D14583" t="inlineStr">
        <is>
          <t>VÄRMLANDS LÄN</t>
        </is>
      </c>
      <c r="E14583" t="inlineStr">
        <is>
          <t>ARVIKA</t>
        </is>
      </c>
      <c r="G14583" t="n">
        <v>3.5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17993-2024</t>
        </is>
      </c>
      <c r="B14584" s="1" t="n">
        <v>45420</v>
      </c>
      <c r="C14584" s="1" t="n">
        <v>45810</v>
      </c>
      <c r="D14584" t="inlineStr">
        <is>
          <t>VÄRMLANDS LÄN</t>
        </is>
      </c>
      <c r="E14584" t="inlineStr">
        <is>
          <t>ÅRJÄNG</t>
        </is>
      </c>
      <c r="G14584" t="n">
        <v>4.7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18082-2024</t>
        </is>
      </c>
      <c r="B14585" s="1" t="n">
        <v>45420</v>
      </c>
      <c r="C14585" s="1" t="n">
        <v>45810</v>
      </c>
      <c r="D14585" t="inlineStr">
        <is>
          <t>VÄRMLANDS LÄN</t>
        </is>
      </c>
      <c r="E14585" t="inlineStr">
        <is>
          <t>ARVIKA</t>
        </is>
      </c>
      <c r="G14585" t="n">
        <v>0.9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18114-2024</t>
        </is>
      </c>
      <c r="B14586" s="1" t="n">
        <v>45420</v>
      </c>
      <c r="C14586" s="1" t="n">
        <v>45810</v>
      </c>
      <c r="D14586" t="inlineStr">
        <is>
          <t>VÄRMLANDS LÄN</t>
        </is>
      </c>
      <c r="E14586" t="inlineStr">
        <is>
          <t>KARLSTAD</t>
        </is>
      </c>
      <c r="G14586" t="n">
        <v>2.4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18049-2024</t>
        </is>
      </c>
      <c r="B14587" s="1" t="n">
        <v>45420</v>
      </c>
      <c r="C14587" s="1" t="n">
        <v>45810</v>
      </c>
      <c r="D14587" t="inlineStr">
        <is>
          <t>VÄRMLANDS LÄN</t>
        </is>
      </c>
      <c r="E14587" t="inlineStr">
        <is>
          <t>KIL</t>
        </is>
      </c>
      <c r="G14587" t="n">
        <v>0.5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18126-2024</t>
        </is>
      </c>
      <c r="B14588" s="1" t="n">
        <v>45420</v>
      </c>
      <c r="C14588" s="1" t="n">
        <v>45810</v>
      </c>
      <c r="D14588" t="inlineStr">
        <is>
          <t>VÄRMLANDS LÄN</t>
        </is>
      </c>
      <c r="E14588" t="inlineStr">
        <is>
          <t>HAGFORS</t>
        </is>
      </c>
      <c r="F14588" t="inlineStr">
        <is>
          <t>Bergvik skog väst AB</t>
        </is>
      </c>
      <c r="G14588" t="n">
        <v>10.4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18105-2024</t>
        </is>
      </c>
      <c r="B14589" s="1" t="n">
        <v>45420</v>
      </c>
      <c r="C14589" s="1" t="n">
        <v>45810</v>
      </c>
      <c r="D14589" t="inlineStr">
        <is>
          <t>VÄRMLANDS LÄN</t>
        </is>
      </c>
      <c r="E14589" t="inlineStr">
        <is>
          <t>ÅRJÄNG</t>
        </is>
      </c>
      <c r="G14589" t="n">
        <v>2.5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18125-2024</t>
        </is>
      </c>
      <c r="B14590" s="1" t="n">
        <v>45420</v>
      </c>
      <c r="C14590" s="1" t="n">
        <v>45810</v>
      </c>
      <c r="D14590" t="inlineStr">
        <is>
          <t>VÄRMLANDS LÄN</t>
        </is>
      </c>
      <c r="E14590" t="inlineStr">
        <is>
          <t>TORSBY</t>
        </is>
      </c>
      <c r="G14590" t="n">
        <v>0.6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18145-2024</t>
        </is>
      </c>
      <c r="B14591" s="1" t="n">
        <v>45420</v>
      </c>
      <c r="C14591" s="1" t="n">
        <v>45810</v>
      </c>
      <c r="D14591" t="inlineStr">
        <is>
          <t>VÄRMLANDS LÄN</t>
        </is>
      </c>
      <c r="E14591" t="inlineStr">
        <is>
          <t>SÄFFLE</t>
        </is>
      </c>
      <c r="G14591" t="n">
        <v>45.3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18170-2024</t>
        </is>
      </c>
      <c r="B14592" s="1" t="n">
        <v>45420</v>
      </c>
      <c r="C14592" s="1" t="n">
        <v>45810</v>
      </c>
      <c r="D14592" t="inlineStr">
        <is>
          <t>VÄRMLANDS LÄN</t>
        </is>
      </c>
      <c r="E14592" t="inlineStr">
        <is>
          <t>HAGFORS</t>
        </is>
      </c>
      <c r="G14592" t="n">
        <v>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18174-2024</t>
        </is>
      </c>
      <c r="B14593" s="1" t="n">
        <v>45420</v>
      </c>
      <c r="C14593" s="1" t="n">
        <v>45810</v>
      </c>
      <c r="D14593" t="inlineStr">
        <is>
          <t>VÄRMLANDS LÄN</t>
        </is>
      </c>
      <c r="E14593" t="inlineStr">
        <is>
          <t>SÄFFLE</t>
        </is>
      </c>
      <c r="G14593" t="n">
        <v>1.7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18210-2024</t>
        </is>
      </c>
      <c r="B14594" s="1" t="n">
        <v>45420</v>
      </c>
      <c r="C14594" s="1" t="n">
        <v>45810</v>
      </c>
      <c r="D14594" t="inlineStr">
        <is>
          <t>VÄRMLANDS LÄN</t>
        </is>
      </c>
      <c r="E14594" t="inlineStr">
        <is>
          <t>FILIPSTAD</t>
        </is>
      </c>
      <c r="F14594" t="inlineStr">
        <is>
          <t>Bergvik skog väst AB</t>
        </is>
      </c>
      <c r="G14594" t="n">
        <v>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18088-2024</t>
        </is>
      </c>
      <c r="B14595" s="1" t="n">
        <v>45420</v>
      </c>
      <c r="C14595" s="1" t="n">
        <v>45810</v>
      </c>
      <c r="D14595" t="inlineStr">
        <is>
          <t>VÄRMLANDS LÄN</t>
        </is>
      </c>
      <c r="E14595" t="inlineStr">
        <is>
          <t>HAGFORS</t>
        </is>
      </c>
      <c r="F14595" t="inlineStr">
        <is>
          <t>Bergvik skog väst AB</t>
        </is>
      </c>
      <c r="G14595" t="n">
        <v>2.5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18100-2024</t>
        </is>
      </c>
      <c r="B14596" s="1" t="n">
        <v>45420</v>
      </c>
      <c r="C14596" s="1" t="n">
        <v>45810</v>
      </c>
      <c r="D14596" t="inlineStr">
        <is>
          <t>VÄRMLANDS LÄN</t>
        </is>
      </c>
      <c r="E14596" t="inlineStr">
        <is>
          <t>SUNNE</t>
        </is>
      </c>
      <c r="G14596" t="n">
        <v>2.5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18104-2024</t>
        </is>
      </c>
      <c r="B14597" s="1" t="n">
        <v>45420</v>
      </c>
      <c r="C14597" s="1" t="n">
        <v>45810</v>
      </c>
      <c r="D14597" t="inlineStr">
        <is>
          <t>VÄRMLANDS LÄN</t>
        </is>
      </c>
      <c r="E14597" t="inlineStr">
        <is>
          <t>MUNKFORS</t>
        </is>
      </c>
      <c r="F14597" t="inlineStr">
        <is>
          <t>Bergvik skog väst AB</t>
        </is>
      </c>
      <c r="G14597" t="n">
        <v>5.4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18116-2024</t>
        </is>
      </c>
      <c r="B14598" s="1" t="n">
        <v>45420</v>
      </c>
      <c r="C14598" s="1" t="n">
        <v>45810</v>
      </c>
      <c r="D14598" t="inlineStr">
        <is>
          <t>VÄRMLANDS LÄN</t>
        </is>
      </c>
      <c r="E14598" t="inlineStr">
        <is>
          <t>EDA</t>
        </is>
      </c>
      <c r="G14598" t="n">
        <v>1.7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18120-2024</t>
        </is>
      </c>
      <c r="B14599" s="1" t="n">
        <v>45420</v>
      </c>
      <c r="C14599" s="1" t="n">
        <v>45810</v>
      </c>
      <c r="D14599" t="inlineStr">
        <is>
          <t>VÄRMLANDS LÄN</t>
        </is>
      </c>
      <c r="E14599" t="inlineStr">
        <is>
          <t>ARVIKA</t>
        </is>
      </c>
      <c r="G14599" t="n">
        <v>0.6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18132-2024</t>
        </is>
      </c>
      <c r="B14600" s="1" t="n">
        <v>45420</v>
      </c>
      <c r="C14600" s="1" t="n">
        <v>45810</v>
      </c>
      <c r="D14600" t="inlineStr">
        <is>
          <t>VÄRMLANDS LÄN</t>
        </is>
      </c>
      <c r="E14600" t="inlineStr">
        <is>
          <t>MUNKFORS</t>
        </is>
      </c>
      <c r="F14600" t="inlineStr">
        <is>
          <t>Bergvik skog väst AB</t>
        </is>
      </c>
      <c r="G14600" t="n">
        <v>7.3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18213-2024</t>
        </is>
      </c>
      <c r="B14601" s="1" t="n">
        <v>45420</v>
      </c>
      <c r="C14601" s="1" t="n">
        <v>45810</v>
      </c>
      <c r="D14601" t="inlineStr">
        <is>
          <t>VÄRMLANDS LÄN</t>
        </is>
      </c>
      <c r="E14601" t="inlineStr">
        <is>
          <t>HAGFORS</t>
        </is>
      </c>
      <c r="G14601" t="n">
        <v>11.5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18164-2024</t>
        </is>
      </c>
      <c r="B14602" s="1" t="n">
        <v>45420</v>
      </c>
      <c r="C14602" s="1" t="n">
        <v>45810</v>
      </c>
      <c r="D14602" t="inlineStr">
        <is>
          <t>VÄRMLANDS LÄN</t>
        </is>
      </c>
      <c r="E14602" t="inlineStr">
        <is>
          <t>KARLSTAD</t>
        </is>
      </c>
      <c r="G14602" t="n">
        <v>2.2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18184-2024</t>
        </is>
      </c>
      <c r="B14603" s="1" t="n">
        <v>45420</v>
      </c>
      <c r="C14603" s="1" t="n">
        <v>45810</v>
      </c>
      <c r="D14603" t="inlineStr">
        <is>
          <t>VÄRMLANDS LÄN</t>
        </is>
      </c>
      <c r="E14603" t="inlineStr">
        <is>
          <t>GRUMS</t>
        </is>
      </c>
      <c r="F14603" t="inlineStr">
        <is>
          <t>Bergvik skog väst AB</t>
        </is>
      </c>
      <c r="G14603" t="n">
        <v>1.2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18208-2024</t>
        </is>
      </c>
      <c r="B14604" s="1" t="n">
        <v>45420</v>
      </c>
      <c r="C14604" s="1" t="n">
        <v>45810</v>
      </c>
      <c r="D14604" t="inlineStr">
        <is>
          <t>VÄRMLANDS LÄN</t>
        </is>
      </c>
      <c r="E14604" t="inlineStr">
        <is>
          <t>SUNNE</t>
        </is>
      </c>
      <c r="G14604" t="n">
        <v>1.9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18212-2024</t>
        </is>
      </c>
      <c r="B14605" s="1" t="n">
        <v>45420</v>
      </c>
      <c r="C14605" s="1" t="n">
        <v>45810</v>
      </c>
      <c r="D14605" t="inlineStr">
        <is>
          <t>VÄRMLANDS LÄN</t>
        </is>
      </c>
      <c r="E14605" t="inlineStr">
        <is>
          <t>ÅRJÄNG</t>
        </is>
      </c>
      <c r="F14605" t="inlineStr">
        <is>
          <t>Bergvik skog väst AB</t>
        </is>
      </c>
      <c r="G14605" t="n">
        <v>0.9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18241-2024</t>
        </is>
      </c>
      <c r="B14606" s="1" t="n">
        <v>45420</v>
      </c>
      <c r="C14606" s="1" t="n">
        <v>45810</v>
      </c>
      <c r="D14606" t="inlineStr">
        <is>
          <t>VÄRMLANDS LÄN</t>
        </is>
      </c>
      <c r="E14606" t="inlineStr">
        <is>
          <t>ÅRJÄNG</t>
        </is>
      </c>
      <c r="G14606" t="n">
        <v>3.2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18026-2024</t>
        </is>
      </c>
      <c r="B14607" s="1" t="n">
        <v>45420</v>
      </c>
      <c r="C14607" s="1" t="n">
        <v>45810</v>
      </c>
      <c r="D14607" t="inlineStr">
        <is>
          <t>VÄRMLANDS LÄN</t>
        </is>
      </c>
      <c r="E14607" t="inlineStr">
        <is>
          <t>FORSHAGA</t>
        </is>
      </c>
      <c r="F14607" t="inlineStr">
        <is>
          <t>Bergvik skog väst AB</t>
        </is>
      </c>
      <c r="G14607" t="n">
        <v>2.4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18067-2024</t>
        </is>
      </c>
      <c r="B14608" s="1" t="n">
        <v>45420</v>
      </c>
      <c r="C14608" s="1" t="n">
        <v>45810</v>
      </c>
      <c r="D14608" t="inlineStr">
        <is>
          <t>VÄRMLANDS LÄN</t>
        </is>
      </c>
      <c r="E14608" t="inlineStr">
        <is>
          <t>ARVIKA</t>
        </is>
      </c>
      <c r="F14608" t="inlineStr">
        <is>
          <t>Bergvik skog väst AB</t>
        </is>
      </c>
      <c r="G14608" t="n">
        <v>2.4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18131-2024</t>
        </is>
      </c>
      <c r="B14609" s="1" t="n">
        <v>45420</v>
      </c>
      <c r="C14609" s="1" t="n">
        <v>45810</v>
      </c>
      <c r="D14609" t="inlineStr">
        <is>
          <t>VÄRMLANDS LÄN</t>
        </is>
      </c>
      <c r="E14609" t="inlineStr">
        <is>
          <t>HAGFORS</t>
        </is>
      </c>
      <c r="F14609" t="inlineStr">
        <is>
          <t>Bergvik skog väst AB</t>
        </is>
      </c>
      <c r="G14609" t="n">
        <v>7.8</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18155-2024</t>
        </is>
      </c>
      <c r="B14610" s="1" t="n">
        <v>45420</v>
      </c>
      <c r="C14610" s="1" t="n">
        <v>45810</v>
      </c>
      <c r="D14610" t="inlineStr">
        <is>
          <t>VÄRMLANDS LÄN</t>
        </is>
      </c>
      <c r="E14610" t="inlineStr">
        <is>
          <t>TORSBY</t>
        </is>
      </c>
      <c r="F14610" t="inlineStr">
        <is>
          <t>Bergvik skog väst AB</t>
        </is>
      </c>
      <c r="G14610" t="n">
        <v>9.1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18167-2024</t>
        </is>
      </c>
      <c r="B14611" s="1" t="n">
        <v>45420</v>
      </c>
      <c r="C14611" s="1" t="n">
        <v>45810</v>
      </c>
      <c r="D14611" t="inlineStr">
        <is>
          <t>VÄRMLANDS LÄN</t>
        </is>
      </c>
      <c r="E14611" t="inlineStr">
        <is>
          <t>MUNKFORS</t>
        </is>
      </c>
      <c r="G14611" t="n">
        <v>0.6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18253-2024</t>
        </is>
      </c>
      <c r="B14612" s="1" t="n">
        <v>45421</v>
      </c>
      <c r="C14612" s="1" t="n">
        <v>45810</v>
      </c>
      <c r="D14612" t="inlineStr">
        <is>
          <t>VÄRMLANDS LÄN</t>
        </is>
      </c>
      <c r="E14612" t="inlineStr">
        <is>
          <t>ÅRJÄNG</t>
        </is>
      </c>
      <c r="F14612" t="inlineStr">
        <is>
          <t>Bergvik skog väst AB</t>
        </is>
      </c>
      <c r="G14612" t="n">
        <v>2.1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18257-2024</t>
        </is>
      </c>
      <c r="B14613" s="1" t="n">
        <v>45421</v>
      </c>
      <c r="C14613" s="1" t="n">
        <v>45810</v>
      </c>
      <c r="D14613" t="inlineStr">
        <is>
          <t>VÄRMLANDS LÄN</t>
        </is>
      </c>
      <c r="E14613" t="inlineStr">
        <is>
          <t>ÅRJÄNG</t>
        </is>
      </c>
      <c r="F14613" t="inlineStr">
        <is>
          <t>Bergvik skog väst AB</t>
        </is>
      </c>
      <c r="G14613" t="n">
        <v>1.1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18256-2024</t>
        </is>
      </c>
      <c r="B14614" s="1" t="n">
        <v>45421</v>
      </c>
      <c r="C14614" s="1" t="n">
        <v>45810</v>
      </c>
      <c r="D14614" t="inlineStr">
        <is>
          <t>VÄRMLANDS LÄN</t>
        </is>
      </c>
      <c r="E14614" t="inlineStr">
        <is>
          <t>ÅRJÄNG</t>
        </is>
      </c>
      <c r="F14614" t="inlineStr">
        <is>
          <t>Bergvik skog väst AB</t>
        </is>
      </c>
      <c r="G14614" t="n">
        <v>1.1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18277-2024</t>
        </is>
      </c>
      <c r="B14615" s="1" t="n">
        <v>45421</v>
      </c>
      <c r="C14615" s="1" t="n">
        <v>45810</v>
      </c>
      <c r="D14615" t="inlineStr">
        <is>
          <t>VÄRMLANDS LÄN</t>
        </is>
      </c>
      <c r="E14615" t="inlineStr">
        <is>
          <t>SÄFFLE</t>
        </is>
      </c>
      <c r="G14615" t="n">
        <v>1.8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18339-2024</t>
        </is>
      </c>
      <c r="B14616" s="1" t="n">
        <v>45422</v>
      </c>
      <c r="C14616" s="1" t="n">
        <v>45810</v>
      </c>
      <c r="D14616" t="inlineStr">
        <is>
          <t>VÄRMLANDS LÄN</t>
        </is>
      </c>
      <c r="E14616" t="inlineStr">
        <is>
          <t>TORSBY</t>
        </is>
      </c>
      <c r="G14616" t="n">
        <v>0.6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18311-2024</t>
        </is>
      </c>
      <c r="B14617" s="1" t="n">
        <v>45422</v>
      </c>
      <c r="C14617" s="1" t="n">
        <v>45810</v>
      </c>
      <c r="D14617" t="inlineStr">
        <is>
          <t>VÄRMLANDS LÄN</t>
        </is>
      </c>
      <c r="E14617" t="inlineStr">
        <is>
          <t>FORSHAGA</t>
        </is>
      </c>
      <c r="F14617" t="inlineStr">
        <is>
          <t>Bergvik skog väst AB</t>
        </is>
      </c>
      <c r="G14617" t="n">
        <v>1.8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18330-2024</t>
        </is>
      </c>
      <c r="B14618" s="1" t="n">
        <v>45422</v>
      </c>
      <c r="C14618" s="1" t="n">
        <v>45810</v>
      </c>
      <c r="D14618" t="inlineStr">
        <is>
          <t>VÄRMLANDS LÄN</t>
        </is>
      </c>
      <c r="E14618" t="inlineStr">
        <is>
          <t>TORSBY</t>
        </is>
      </c>
      <c r="G14618" t="n">
        <v>1.4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18308-2024</t>
        </is>
      </c>
      <c r="B14619" s="1" t="n">
        <v>45422</v>
      </c>
      <c r="C14619" s="1" t="n">
        <v>45810</v>
      </c>
      <c r="D14619" t="inlineStr">
        <is>
          <t>VÄRMLANDS LÄN</t>
        </is>
      </c>
      <c r="E14619" t="inlineStr">
        <is>
          <t>TORSBY</t>
        </is>
      </c>
      <c r="G14619" t="n">
        <v>1.8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18344-2024</t>
        </is>
      </c>
      <c r="B14620" s="1" t="n">
        <v>45422</v>
      </c>
      <c r="C14620" s="1" t="n">
        <v>45810</v>
      </c>
      <c r="D14620" t="inlineStr">
        <is>
          <t>VÄRMLANDS LÄN</t>
        </is>
      </c>
      <c r="E14620" t="inlineStr">
        <is>
          <t>ARVIKA</t>
        </is>
      </c>
      <c r="G14620" t="n">
        <v>2.5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18349-2024</t>
        </is>
      </c>
      <c r="B14621" s="1" t="n">
        <v>45422</v>
      </c>
      <c r="C14621" s="1" t="n">
        <v>45810</v>
      </c>
      <c r="D14621" t="inlineStr">
        <is>
          <t>VÄRMLANDS LÄN</t>
        </is>
      </c>
      <c r="E14621" t="inlineStr">
        <is>
          <t>ARVIKA</t>
        </is>
      </c>
      <c r="G14621" t="n">
        <v>0.5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18345-2024</t>
        </is>
      </c>
      <c r="B14622" s="1" t="n">
        <v>45422</v>
      </c>
      <c r="C14622" s="1" t="n">
        <v>45810</v>
      </c>
      <c r="D14622" t="inlineStr">
        <is>
          <t>VÄRMLANDS LÄN</t>
        </is>
      </c>
      <c r="E14622" t="inlineStr">
        <is>
          <t>ARVIKA</t>
        </is>
      </c>
      <c r="G14622" t="n">
        <v>11.9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18337-2024</t>
        </is>
      </c>
      <c r="B14623" s="1" t="n">
        <v>45422</v>
      </c>
      <c r="C14623" s="1" t="n">
        <v>45810</v>
      </c>
      <c r="D14623" t="inlineStr">
        <is>
          <t>VÄRMLANDS LÄN</t>
        </is>
      </c>
      <c r="E14623" t="inlineStr">
        <is>
          <t>TORSBY</t>
        </is>
      </c>
      <c r="G14623" t="n">
        <v>2.5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18309-2024</t>
        </is>
      </c>
      <c r="B14624" s="1" t="n">
        <v>45422</v>
      </c>
      <c r="C14624" s="1" t="n">
        <v>45810</v>
      </c>
      <c r="D14624" t="inlineStr">
        <is>
          <t>VÄRMLANDS LÄN</t>
        </is>
      </c>
      <c r="E14624" t="inlineStr">
        <is>
          <t>KIL</t>
        </is>
      </c>
      <c r="G14624" t="n">
        <v>3.5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18475-2024</t>
        </is>
      </c>
      <c r="B14625" s="1" t="n">
        <v>45424</v>
      </c>
      <c r="C14625" s="1" t="n">
        <v>45810</v>
      </c>
      <c r="D14625" t="inlineStr">
        <is>
          <t>VÄRMLANDS LÄN</t>
        </is>
      </c>
      <c r="E14625" t="inlineStr">
        <is>
          <t>SUNNE</t>
        </is>
      </c>
      <c r="G14625" t="n">
        <v>3.9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18419-2024</t>
        </is>
      </c>
      <c r="B14626" s="1" t="n">
        <v>45425</v>
      </c>
      <c r="C14626" s="1" t="n">
        <v>45810</v>
      </c>
      <c r="D14626" t="inlineStr">
        <is>
          <t>VÄRMLANDS LÄN</t>
        </is>
      </c>
      <c r="E14626" t="inlineStr">
        <is>
          <t>SÄFFLE</t>
        </is>
      </c>
      <c r="G14626" t="n">
        <v>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18447-2024</t>
        </is>
      </c>
      <c r="B14627" s="1" t="n">
        <v>45425</v>
      </c>
      <c r="C14627" s="1" t="n">
        <v>45810</v>
      </c>
      <c r="D14627" t="inlineStr">
        <is>
          <t>VÄRMLANDS LÄN</t>
        </is>
      </c>
      <c r="E14627" t="inlineStr">
        <is>
          <t>GRUMS</t>
        </is>
      </c>
      <c r="G14627" t="n">
        <v>1.9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18467-2024</t>
        </is>
      </c>
      <c r="B14628" s="1" t="n">
        <v>45425</v>
      </c>
      <c r="C14628" s="1" t="n">
        <v>45810</v>
      </c>
      <c r="D14628" t="inlineStr">
        <is>
          <t>VÄRMLANDS LÄN</t>
        </is>
      </c>
      <c r="E14628" t="inlineStr">
        <is>
          <t>ÅRJÄNG</t>
        </is>
      </c>
      <c r="G14628" t="n">
        <v>12.8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18511-2024</t>
        </is>
      </c>
      <c r="B14629" s="1" t="n">
        <v>45425</v>
      </c>
      <c r="C14629" s="1" t="n">
        <v>45810</v>
      </c>
      <c r="D14629" t="inlineStr">
        <is>
          <t>VÄRMLANDS LÄN</t>
        </is>
      </c>
      <c r="E14629" t="inlineStr">
        <is>
          <t>HAGFORS</t>
        </is>
      </c>
      <c r="G14629" t="n">
        <v>4.4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18469-2024</t>
        </is>
      </c>
      <c r="B14630" s="1" t="n">
        <v>45425</v>
      </c>
      <c r="C14630" s="1" t="n">
        <v>45810</v>
      </c>
      <c r="D14630" t="inlineStr">
        <is>
          <t>VÄRMLANDS LÄN</t>
        </is>
      </c>
      <c r="E14630" t="inlineStr">
        <is>
          <t>SÄFFLE</t>
        </is>
      </c>
      <c r="G14630" t="n">
        <v>7.9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18527-2024</t>
        </is>
      </c>
      <c r="B14631" s="1" t="n">
        <v>45425</v>
      </c>
      <c r="C14631" s="1" t="n">
        <v>45810</v>
      </c>
      <c r="D14631" t="inlineStr">
        <is>
          <t>VÄRMLANDS LÄN</t>
        </is>
      </c>
      <c r="E14631" t="inlineStr">
        <is>
          <t>FILIPSTAD</t>
        </is>
      </c>
      <c r="F14631" t="inlineStr">
        <is>
          <t>Bergvik skog väst AB</t>
        </is>
      </c>
      <c r="G14631" t="n">
        <v>7.5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18543-2024</t>
        </is>
      </c>
      <c r="B14632" s="1" t="n">
        <v>45425</v>
      </c>
      <c r="C14632" s="1" t="n">
        <v>45810</v>
      </c>
      <c r="D14632" t="inlineStr">
        <is>
          <t>VÄRMLANDS LÄN</t>
        </is>
      </c>
      <c r="E14632" t="inlineStr">
        <is>
          <t>FILIPSTAD</t>
        </is>
      </c>
      <c r="F14632" t="inlineStr">
        <is>
          <t>Bergvik skog väst AB</t>
        </is>
      </c>
      <c r="G14632" t="n">
        <v>0.9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18424-2024</t>
        </is>
      </c>
      <c r="B14633" s="1" t="n">
        <v>45425</v>
      </c>
      <c r="C14633" s="1" t="n">
        <v>45810</v>
      </c>
      <c r="D14633" t="inlineStr">
        <is>
          <t>VÄRMLANDS LÄN</t>
        </is>
      </c>
      <c r="E14633" t="inlineStr">
        <is>
          <t>SÄFFLE</t>
        </is>
      </c>
      <c r="G14633" t="n">
        <v>2.1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18472-2024</t>
        </is>
      </c>
      <c r="B14634" s="1" t="n">
        <v>45425</v>
      </c>
      <c r="C14634" s="1" t="n">
        <v>45810</v>
      </c>
      <c r="D14634" t="inlineStr">
        <is>
          <t>VÄRMLANDS LÄN</t>
        </is>
      </c>
      <c r="E14634" t="inlineStr">
        <is>
          <t>HAGFORS</t>
        </is>
      </c>
      <c r="G14634" t="n">
        <v>0.4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18477-2024</t>
        </is>
      </c>
      <c r="B14635" s="1" t="n">
        <v>45425</v>
      </c>
      <c r="C14635" s="1" t="n">
        <v>45810</v>
      </c>
      <c r="D14635" t="inlineStr">
        <is>
          <t>VÄRMLANDS LÄN</t>
        </is>
      </c>
      <c r="E14635" t="inlineStr">
        <is>
          <t>HAGFORS</t>
        </is>
      </c>
      <c r="G14635" t="n">
        <v>1.3</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18542-2024</t>
        </is>
      </c>
      <c r="B14636" s="1" t="n">
        <v>45425</v>
      </c>
      <c r="C14636" s="1" t="n">
        <v>45810</v>
      </c>
      <c r="D14636" t="inlineStr">
        <is>
          <t>VÄRMLANDS LÄN</t>
        </is>
      </c>
      <c r="E14636" t="inlineStr">
        <is>
          <t>SUNNE</t>
        </is>
      </c>
      <c r="G14636" t="n">
        <v>0.9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18422-2024</t>
        </is>
      </c>
      <c r="B14637" s="1" t="n">
        <v>45425</v>
      </c>
      <c r="C14637" s="1" t="n">
        <v>45810</v>
      </c>
      <c r="D14637" t="inlineStr">
        <is>
          <t>VÄRMLANDS LÄN</t>
        </is>
      </c>
      <c r="E14637" t="inlineStr">
        <is>
          <t>TORSBY</t>
        </is>
      </c>
      <c r="G14637" t="n">
        <v>13.7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18514-2024</t>
        </is>
      </c>
      <c r="B14638" s="1" t="n">
        <v>45425</v>
      </c>
      <c r="C14638" s="1" t="n">
        <v>45810</v>
      </c>
      <c r="D14638" t="inlineStr">
        <is>
          <t>VÄRMLANDS LÄN</t>
        </is>
      </c>
      <c r="E14638" t="inlineStr">
        <is>
          <t>SUNNE</t>
        </is>
      </c>
      <c r="G14638" t="n">
        <v>5.1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18557-2024</t>
        </is>
      </c>
      <c r="B14639" s="1" t="n">
        <v>45425</v>
      </c>
      <c r="C14639" s="1" t="n">
        <v>45810</v>
      </c>
      <c r="D14639" t="inlineStr">
        <is>
          <t>VÄRMLANDS LÄN</t>
        </is>
      </c>
      <c r="E14639" t="inlineStr">
        <is>
          <t>ARVIKA</t>
        </is>
      </c>
      <c r="F14639" t="inlineStr">
        <is>
          <t>Bergvik skog väst AB</t>
        </is>
      </c>
      <c r="G14639" t="n">
        <v>11.7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18561-2024</t>
        </is>
      </c>
      <c r="B14640" s="1" t="n">
        <v>45425</v>
      </c>
      <c r="C14640" s="1" t="n">
        <v>45810</v>
      </c>
      <c r="D14640" t="inlineStr">
        <is>
          <t>VÄRMLANDS LÄN</t>
        </is>
      </c>
      <c r="E14640" t="inlineStr">
        <is>
          <t>KRISTINEHAMN</t>
        </is>
      </c>
      <c r="F14640" t="inlineStr">
        <is>
          <t>Naturvårdsverket</t>
        </is>
      </c>
      <c r="G14640" t="n">
        <v>2.2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18673-2024</t>
        </is>
      </c>
      <c r="B14641" s="1" t="n">
        <v>45426</v>
      </c>
      <c r="C14641" s="1" t="n">
        <v>45810</v>
      </c>
      <c r="D14641" t="inlineStr">
        <is>
          <t>VÄRMLANDS LÄN</t>
        </is>
      </c>
      <c r="E14641" t="inlineStr">
        <is>
          <t>HAGFORS</t>
        </is>
      </c>
      <c r="G14641" t="n">
        <v>2.3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18682-2024</t>
        </is>
      </c>
      <c r="B14642" s="1" t="n">
        <v>45426</v>
      </c>
      <c r="C14642" s="1" t="n">
        <v>45810</v>
      </c>
      <c r="D14642" t="inlineStr">
        <is>
          <t>VÄRMLANDS LÄN</t>
        </is>
      </c>
      <c r="E14642" t="inlineStr">
        <is>
          <t>TORSBY</t>
        </is>
      </c>
      <c r="G14642" t="n">
        <v>1.5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18686-2024</t>
        </is>
      </c>
      <c r="B14643" s="1" t="n">
        <v>45426</v>
      </c>
      <c r="C14643" s="1" t="n">
        <v>45810</v>
      </c>
      <c r="D14643" t="inlineStr">
        <is>
          <t>VÄRMLANDS LÄN</t>
        </is>
      </c>
      <c r="E14643" t="inlineStr">
        <is>
          <t>FORSHAGA</t>
        </is>
      </c>
      <c r="G14643" t="n">
        <v>2.1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18679-2024</t>
        </is>
      </c>
      <c r="B14644" s="1" t="n">
        <v>45426</v>
      </c>
      <c r="C14644" s="1" t="n">
        <v>45810</v>
      </c>
      <c r="D14644" t="inlineStr">
        <is>
          <t>VÄRMLANDS LÄN</t>
        </is>
      </c>
      <c r="E14644" t="inlineStr">
        <is>
          <t>SUNNE</t>
        </is>
      </c>
      <c r="G14644" t="n">
        <v>10.5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18700-2024</t>
        </is>
      </c>
      <c r="B14645" s="1" t="n">
        <v>45426</v>
      </c>
      <c r="C14645" s="1" t="n">
        <v>45810</v>
      </c>
      <c r="D14645" t="inlineStr">
        <is>
          <t>VÄRMLANDS LÄN</t>
        </is>
      </c>
      <c r="E14645" t="inlineStr">
        <is>
          <t>SÄFFLE</t>
        </is>
      </c>
      <c r="G14645" t="n">
        <v>10.8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18740-2024</t>
        </is>
      </c>
      <c r="B14646" s="1" t="n">
        <v>45426</v>
      </c>
      <c r="C14646" s="1" t="n">
        <v>45810</v>
      </c>
      <c r="D14646" t="inlineStr">
        <is>
          <t>VÄRMLANDS LÄN</t>
        </is>
      </c>
      <c r="E14646" t="inlineStr">
        <is>
          <t>SUNNE</t>
        </is>
      </c>
      <c r="G14646" t="n">
        <v>1.7</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18742-2024</t>
        </is>
      </c>
      <c r="B14647" s="1" t="n">
        <v>45426</v>
      </c>
      <c r="C14647" s="1" t="n">
        <v>45810</v>
      </c>
      <c r="D14647" t="inlineStr">
        <is>
          <t>VÄRMLANDS LÄN</t>
        </is>
      </c>
      <c r="E14647" t="inlineStr">
        <is>
          <t>SUNNE</t>
        </is>
      </c>
      <c r="G14647" t="n">
        <v>13.6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18766-2024</t>
        </is>
      </c>
      <c r="B14648" s="1" t="n">
        <v>45426</v>
      </c>
      <c r="C14648" s="1" t="n">
        <v>45810</v>
      </c>
      <c r="D14648" t="inlineStr">
        <is>
          <t>VÄRMLANDS LÄN</t>
        </is>
      </c>
      <c r="E14648" t="inlineStr">
        <is>
          <t>ARVIKA</t>
        </is>
      </c>
      <c r="G14648" t="n">
        <v>2.3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18883-2024</t>
        </is>
      </c>
      <c r="B14649" s="1" t="n">
        <v>45426</v>
      </c>
      <c r="C14649" s="1" t="n">
        <v>45810</v>
      </c>
      <c r="D14649" t="inlineStr">
        <is>
          <t>VÄRMLANDS LÄN</t>
        </is>
      </c>
      <c r="E14649" t="inlineStr">
        <is>
          <t>TORSBY</t>
        </is>
      </c>
      <c r="G14649" t="n">
        <v>2.5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18749-2024</t>
        </is>
      </c>
      <c r="B14650" s="1" t="n">
        <v>45426</v>
      </c>
      <c r="C14650" s="1" t="n">
        <v>45810</v>
      </c>
      <c r="D14650" t="inlineStr">
        <is>
          <t>VÄRMLANDS LÄN</t>
        </is>
      </c>
      <c r="E14650" t="inlineStr">
        <is>
          <t>EDA</t>
        </is>
      </c>
      <c r="G14650" t="n">
        <v>2.7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18753-2024</t>
        </is>
      </c>
      <c r="B14651" s="1" t="n">
        <v>45426</v>
      </c>
      <c r="C14651" s="1" t="n">
        <v>45810</v>
      </c>
      <c r="D14651" t="inlineStr">
        <is>
          <t>VÄRMLANDS LÄN</t>
        </is>
      </c>
      <c r="E14651" t="inlineStr">
        <is>
          <t>EDA</t>
        </is>
      </c>
      <c r="G14651" t="n">
        <v>0.6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18765-2024</t>
        </is>
      </c>
      <c r="B14652" s="1" t="n">
        <v>45426</v>
      </c>
      <c r="C14652" s="1" t="n">
        <v>45810</v>
      </c>
      <c r="D14652" t="inlineStr">
        <is>
          <t>VÄRMLANDS LÄN</t>
        </is>
      </c>
      <c r="E14652" t="inlineStr">
        <is>
          <t>EDA</t>
        </is>
      </c>
      <c r="G14652" t="n">
        <v>1.4</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18793-2024</t>
        </is>
      </c>
      <c r="B14653" s="1" t="n">
        <v>45426</v>
      </c>
      <c r="C14653" s="1" t="n">
        <v>45810</v>
      </c>
      <c r="D14653" t="inlineStr">
        <is>
          <t>VÄRMLANDS LÄN</t>
        </is>
      </c>
      <c r="E14653" t="inlineStr">
        <is>
          <t>KARLSTAD</t>
        </is>
      </c>
      <c r="G14653" t="n">
        <v>4.4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18821-2024</t>
        </is>
      </c>
      <c r="B14654" s="1" t="n">
        <v>45426</v>
      </c>
      <c r="C14654" s="1" t="n">
        <v>45810</v>
      </c>
      <c r="D14654" t="inlineStr">
        <is>
          <t>VÄRMLANDS LÄN</t>
        </is>
      </c>
      <c r="E14654" t="inlineStr">
        <is>
          <t>SUNNE</t>
        </is>
      </c>
      <c r="G14654" t="n">
        <v>5.4</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18834-2024</t>
        </is>
      </c>
      <c r="B14655" s="1" t="n">
        <v>45426</v>
      </c>
      <c r="C14655" s="1" t="n">
        <v>45810</v>
      </c>
      <c r="D14655" t="inlineStr">
        <is>
          <t>VÄRMLANDS LÄN</t>
        </is>
      </c>
      <c r="E14655" t="inlineStr">
        <is>
          <t>ÅRJÄNG</t>
        </is>
      </c>
      <c r="G14655" t="n">
        <v>3.9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18736-2024</t>
        </is>
      </c>
      <c r="B14656" s="1" t="n">
        <v>45426</v>
      </c>
      <c r="C14656" s="1" t="n">
        <v>45810</v>
      </c>
      <c r="D14656" t="inlineStr">
        <is>
          <t>VÄRMLANDS LÄN</t>
        </is>
      </c>
      <c r="E14656" t="inlineStr">
        <is>
          <t>SUNNE</t>
        </is>
      </c>
      <c r="G14656" t="n">
        <v>0.7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18771-2024</t>
        </is>
      </c>
      <c r="B14657" s="1" t="n">
        <v>45426</v>
      </c>
      <c r="C14657" s="1" t="n">
        <v>45810</v>
      </c>
      <c r="D14657" t="inlineStr">
        <is>
          <t>VÄRMLANDS LÄN</t>
        </is>
      </c>
      <c r="E14657" t="inlineStr">
        <is>
          <t>ARVIKA</t>
        </is>
      </c>
      <c r="G14657" t="n">
        <v>7.1</v>
      </c>
      <c r="H14657" t="n">
        <v>0</v>
      </c>
      <c r="I14657" t="n">
        <v>0</v>
      </c>
      <c r="J14657" t="n">
        <v>0</v>
      </c>
      <c r="K14657" t="n">
        <v>0</v>
      </c>
      <c r="L14657" t="n">
        <v>0</v>
      </c>
      <c r="M14657" t="n">
        <v>0</v>
      </c>
      <c r="N14657" t="n">
        <v>0</v>
      </c>
      <c r="O14657" t="n">
        <v>0</v>
      </c>
      <c r="P14657" t="n">
        <v>0</v>
      </c>
      <c r="Q14657" t="n">
        <v>0</v>
      </c>
      <c r="R14657" s="2" t="inlineStr"/>
      <c r="U14657">
        <f>HYPERLINK("https://klasma.github.io/Logging_1784/knärot/A 18771-2024 karta knärot.png", "A 18771-2024")</f>
        <v/>
      </c>
      <c r="V14657">
        <f>HYPERLINK("https://klasma.github.io/Logging_1784/klagomål/A 18771-2024 FSC-klagomål.docx", "A 18771-2024")</f>
        <v/>
      </c>
      <c r="W14657">
        <f>HYPERLINK("https://klasma.github.io/Logging_1784/klagomålsmail/A 18771-2024 FSC-klagomål mail.docx", "A 18771-2024")</f>
        <v/>
      </c>
      <c r="X14657">
        <f>HYPERLINK("https://klasma.github.io/Logging_1784/tillsyn/A 18771-2024 tillsynsbegäran.docx", "A 18771-2024")</f>
        <v/>
      </c>
      <c r="Y14657">
        <f>HYPERLINK("https://klasma.github.io/Logging_1784/tillsynsmail/A 18771-2024 tillsynsbegäran mail.docx", "A 18771-2024")</f>
        <v/>
      </c>
    </row>
    <row r="14658" ht="15" customHeight="1">
      <c r="A14658" t="inlineStr">
        <is>
          <t>A 18783-2024</t>
        </is>
      </c>
      <c r="B14658" s="1" t="n">
        <v>45426</v>
      </c>
      <c r="C14658" s="1" t="n">
        <v>45810</v>
      </c>
      <c r="D14658" t="inlineStr">
        <is>
          <t>VÄRMLANDS LÄN</t>
        </is>
      </c>
      <c r="E14658" t="inlineStr">
        <is>
          <t>SUNNE</t>
        </is>
      </c>
      <c r="G14658" t="n">
        <v>9.800000000000001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18814-2024</t>
        </is>
      </c>
      <c r="B14659" s="1" t="n">
        <v>45426</v>
      </c>
      <c r="C14659" s="1" t="n">
        <v>45810</v>
      </c>
      <c r="D14659" t="inlineStr">
        <is>
          <t>VÄRMLANDS LÄN</t>
        </is>
      </c>
      <c r="E14659" t="inlineStr">
        <is>
          <t>HAGFORS</t>
        </is>
      </c>
      <c r="G14659" t="n">
        <v>7.5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18758-2024</t>
        </is>
      </c>
      <c r="B14660" s="1" t="n">
        <v>45426</v>
      </c>
      <c r="C14660" s="1" t="n">
        <v>45810</v>
      </c>
      <c r="D14660" t="inlineStr">
        <is>
          <t>VÄRMLANDS LÄN</t>
        </is>
      </c>
      <c r="E14660" t="inlineStr">
        <is>
          <t>EDA</t>
        </is>
      </c>
      <c r="G14660" t="n">
        <v>0.5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18799-2024</t>
        </is>
      </c>
      <c r="B14661" s="1" t="n">
        <v>45426</v>
      </c>
      <c r="C14661" s="1" t="n">
        <v>45810</v>
      </c>
      <c r="D14661" t="inlineStr">
        <is>
          <t>VÄRMLANDS LÄN</t>
        </is>
      </c>
      <c r="E14661" t="inlineStr">
        <is>
          <t>SUNNE</t>
        </is>
      </c>
      <c r="G14661" t="n">
        <v>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18855-2024</t>
        </is>
      </c>
      <c r="B14662" s="1" t="n">
        <v>45426</v>
      </c>
      <c r="C14662" s="1" t="n">
        <v>45810</v>
      </c>
      <c r="D14662" t="inlineStr">
        <is>
          <t>VÄRMLANDS LÄN</t>
        </is>
      </c>
      <c r="E14662" t="inlineStr">
        <is>
          <t>TORSBY</t>
        </is>
      </c>
      <c r="G14662" t="n">
        <v>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18890-2024</t>
        </is>
      </c>
      <c r="B14663" s="1" t="n">
        <v>45427</v>
      </c>
      <c r="C14663" s="1" t="n">
        <v>45810</v>
      </c>
      <c r="D14663" t="inlineStr">
        <is>
          <t>VÄRMLANDS LÄN</t>
        </is>
      </c>
      <c r="E14663" t="inlineStr">
        <is>
          <t>TORSBY</t>
        </is>
      </c>
      <c r="G14663" t="n">
        <v>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18894-2024</t>
        </is>
      </c>
      <c r="B14664" s="1" t="n">
        <v>45427</v>
      </c>
      <c r="C14664" s="1" t="n">
        <v>45810</v>
      </c>
      <c r="D14664" t="inlineStr">
        <is>
          <t>VÄRMLANDS LÄN</t>
        </is>
      </c>
      <c r="E14664" t="inlineStr">
        <is>
          <t>HAGFORS</t>
        </is>
      </c>
      <c r="G14664" t="n">
        <v>4.5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18949-2024</t>
        </is>
      </c>
      <c r="B14665" s="1" t="n">
        <v>45427</v>
      </c>
      <c r="C14665" s="1" t="n">
        <v>45810</v>
      </c>
      <c r="D14665" t="inlineStr">
        <is>
          <t>VÄRMLANDS LÄN</t>
        </is>
      </c>
      <c r="E14665" t="inlineStr">
        <is>
          <t>SÄFFLE</t>
        </is>
      </c>
      <c r="G14665" t="n">
        <v>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19034-2024</t>
        </is>
      </c>
      <c r="B14666" s="1" t="n">
        <v>45427</v>
      </c>
      <c r="C14666" s="1" t="n">
        <v>45810</v>
      </c>
      <c r="D14666" t="inlineStr">
        <is>
          <t>VÄRMLANDS LÄN</t>
        </is>
      </c>
      <c r="E14666" t="inlineStr">
        <is>
          <t>FILIPSTAD</t>
        </is>
      </c>
      <c r="G14666" t="n">
        <v>2.8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18953-2024</t>
        </is>
      </c>
      <c r="B14667" s="1" t="n">
        <v>45427</v>
      </c>
      <c r="C14667" s="1" t="n">
        <v>45810</v>
      </c>
      <c r="D14667" t="inlineStr">
        <is>
          <t>VÄRMLANDS LÄN</t>
        </is>
      </c>
      <c r="E14667" t="inlineStr">
        <is>
          <t>TORSBY</t>
        </is>
      </c>
      <c r="G14667" t="n">
        <v>1.4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18925-2024</t>
        </is>
      </c>
      <c r="B14668" s="1" t="n">
        <v>45427</v>
      </c>
      <c r="C14668" s="1" t="n">
        <v>45810</v>
      </c>
      <c r="D14668" t="inlineStr">
        <is>
          <t>VÄRMLANDS LÄN</t>
        </is>
      </c>
      <c r="E14668" t="inlineStr">
        <is>
          <t>SÄFFLE</t>
        </is>
      </c>
      <c r="G14668" t="n">
        <v>7.7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18898-2024</t>
        </is>
      </c>
      <c r="B14669" s="1" t="n">
        <v>45427</v>
      </c>
      <c r="C14669" s="1" t="n">
        <v>45810</v>
      </c>
      <c r="D14669" t="inlineStr">
        <is>
          <t>VÄRMLANDS LÄN</t>
        </is>
      </c>
      <c r="E14669" t="inlineStr">
        <is>
          <t>ARVIKA</t>
        </is>
      </c>
      <c r="G14669" t="n">
        <v>1.1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19035-2024</t>
        </is>
      </c>
      <c r="B14670" s="1" t="n">
        <v>45427</v>
      </c>
      <c r="C14670" s="1" t="n">
        <v>45810</v>
      </c>
      <c r="D14670" t="inlineStr">
        <is>
          <t>VÄRMLANDS LÄN</t>
        </is>
      </c>
      <c r="E14670" t="inlineStr">
        <is>
          <t>FILIPSTAD</t>
        </is>
      </c>
      <c r="G14670" t="n">
        <v>1.6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19027-2024</t>
        </is>
      </c>
      <c r="B14671" s="1" t="n">
        <v>45427</v>
      </c>
      <c r="C14671" s="1" t="n">
        <v>45810</v>
      </c>
      <c r="D14671" t="inlineStr">
        <is>
          <t>VÄRMLANDS LÄN</t>
        </is>
      </c>
      <c r="E14671" t="inlineStr">
        <is>
          <t>ARVIKA</t>
        </is>
      </c>
      <c r="F14671" t="inlineStr">
        <is>
          <t>Bergvik skog väst AB</t>
        </is>
      </c>
      <c r="G14671" t="n">
        <v>1.5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19003-2024</t>
        </is>
      </c>
      <c r="B14672" s="1" t="n">
        <v>45427</v>
      </c>
      <c r="C14672" s="1" t="n">
        <v>45810</v>
      </c>
      <c r="D14672" t="inlineStr">
        <is>
          <t>VÄRMLANDS LÄN</t>
        </is>
      </c>
      <c r="E14672" t="inlineStr">
        <is>
          <t>SUNNE</t>
        </is>
      </c>
      <c r="G14672" t="n">
        <v>2.6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18999-2024</t>
        </is>
      </c>
      <c r="B14673" s="1" t="n">
        <v>45427</v>
      </c>
      <c r="C14673" s="1" t="n">
        <v>45810</v>
      </c>
      <c r="D14673" t="inlineStr">
        <is>
          <t>VÄRMLANDS LÄN</t>
        </is>
      </c>
      <c r="E14673" t="inlineStr">
        <is>
          <t>FILIPSTAD</t>
        </is>
      </c>
      <c r="F14673" t="inlineStr">
        <is>
          <t>Bergvik skog väst AB</t>
        </is>
      </c>
      <c r="G14673" t="n">
        <v>0.5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18930-2024</t>
        </is>
      </c>
      <c r="B14674" s="1" t="n">
        <v>45427</v>
      </c>
      <c r="C14674" s="1" t="n">
        <v>45810</v>
      </c>
      <c r="D14674" t="inlineStr">
        <is>
          <t>VÄRMLANDS LÄN</t>
        </is>
      </c>
      <c r="E14674" t="inlineStr">
        <is>
          <t>ARVIKA</t>
        </is>
      </c>
      <c r="F14674" t="inlineStr">
        <is>
          <t>Bergvik skog väst AB</t>
        </is>
      </c>
      <c r="G14674" t="n">
        <v>0.9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19052-2024</t>
        </is>
      </c>
      <c r="B14675" s="1" t="n">
        <v>45427</v>
      </c>
      <c r="C14675" s="1" t="n">
        <v>45810</v>
      </c>
      <c r="D14675" t="inlineStr">
        <is>
          <t>VÄRMLANDS LÄN</t>
        </is>
      </c>
      <c r="E14675" t="inlineStr">
        <is>
          <t>GRUMS</t>
        </is>
      </c>
      <c r="G14675" t="n">
        <v>7.7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18959-2024</t>
        </is>
      </c>
      <c r="B14676" s="1" t="n">
        <v>45427</v>
      </c>
      <c r="C14676" s="1" t="n">
        <v>45810</v>
      </c>
      <c r="D14676" t="inlineStr">
        <is>
          <t>VÄRMLANDS LÄN</t>
        </is>
      </c>
      <c r="E14676" t="inlineStr">
        <is>
          <t>TORSBY</t>
        </is>
      </c>
      <c r="G14676" t="n">
        <v>0.5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18955-2024</t>
        </is>
      </c>
      <c r="B14677" s="1" t="n">
        <v>45427</v>
      </c>
      <c r="C14677" s="1" t="n">
        <v>45810</v>
      </c>
      <c r="D14677" t="inlineStr">
        <is>
          <t>VÄRMLANDS LÄN</t>
        </is>
      </c>
      <c r="E14677" t="inlineStr">
        <is>
          <t>TORSBY</t>
        </is>
      </c>
      <c r="G14677" t="n">
        <v>1.1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18943-2024</t>
        </is>
      </c>
      <c r="B14678" s="1" t="n">
        <v>45427</v>
      </c>
      <c r="C14678" s="1" t="n">
        <v>45810</v>
      </c>
      <c r="D14678" t="inlineStr">
        <is>
          <t>VÄRMLANDS LÄN</t>
        </is>
      </c>
      <c r="E14678" t="inlineStr">
        <is>
          <t>ARVIKA</t>
        </is>
      </c>
      <c r="F14678" t="inlineStr">
        <is>
          <t>Bergvik skog väst AB</t>
        </is>
      </c>
      <c r="G14678" t="n">
        <v>2.9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18900-2024</t>
        </is>
      </c>
      <c r="B14679" s="1" t="n">
        <v>45427</v>
      </c>
      <c r="C14679" s="1" t="n">
        <v>45810</v>
      </c>
      <c r="D14679" t="inlineStr">
        <is>
          <t>VÄRMLANDS LÄN</t>
        </is>
      </c>
      <c r="E14679" t="inlineStr">
        <is>
          <t>ARVIKA</t>
        </is>
      </c>
      <c r="G14679" t="n">
        <v>1.8</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18984-2024</t>
        </is>
      </c>
      <c r="B14680" s="1" t="n">
        <v>45427</v>
      </c>
      <c r="C14680" s="1" t="n">
        <v>45810</v>
      </c>
      <c r="D14680" t="inlineStr">
        <is>
          <t>VÄRMLANDS LÄN</t>
        </is>
      </c>
      <c r="E14680" t="inlineStr">
        <is>
          <t>FILIPSTAD</t>
        </is>
      </c>
      <c r="F14680" t="inlineStr">
        <is>
          <t>Bergvik skog väst AB</t>
        </is>
      </c>
      <c r="G14680" t="n">
        <v>6.6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19053-2024</t>
        </is>
      </c>
      <c r="B14681" s="1" t="n">
        <v>45427</v>
      </c>
      <c r="C14681" s="1" t="n">
        <v>45810</v>
      </c>
      <c r="D14681" t="inlineStr">
        <is>
          <t>VÄRMLANDS LÄN</t>
        </is>
      </c>
      <c r="E14681" t="inlineStr">
        <is>
          <t>GRUMS</t>
        </is>
      </c>
      <c r="G14681" t="n">
        <v>3.7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18948-2024</t>
        </is>
      </c>
      <c r="B14682" s="1" t="n">
        <v>45427</v>
      </c>
      <c r="C14682" s="1" t="n">
        <v>45810</v>
      </c>
      <c r="D14682" t="inlineStr">
        <is>
          <t>VÄRMLANDS LÄN</t>
        </is>
      </c>
      <c r="E14682" t="inlineStr">
        <is>
          <t>KIL</t>
        </is>
      </c>
      <c r="G14682" t="n">
        <v>1.5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18897-2024</t>
        </is>
      </c>
      <c r="B14683" s="1" t="n">
        <v>45427</v>
      </c>
      <c r="C14683" s="1" t="n">
        <v>45810</v>
      </c>
      <c r="D14683" t="inlineStr">
        <is>
          <t>VÄRMLANDS LÄN</t>
        </is>
      </c>
      <c r="E14683" t="inlineStr">
        <is>
          <t>TORSBY</t>
        </is>
      </c>
      <c r="F14683" t="inlineStr">
        <is>
          <t>Övriga statliga verk och myndigheter</t>
        </is>
      </c>
      <c r="G14683" t="n">
        <v>4.6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19029-2024</t>
        </is>
      </c>
      <c r="B14684" s="1" t="n">
        <v>45427</v>
      </c>
      <c r="C14684" s="1" t="n">
        <v>45810</v>
      </c>
      <c r="D14684" t="inlineStr">
        <is>
          <t>VÄRMLANDS LÄN</t>
        </is>
      </c>
      <c r="E14684" t="inlineStr">
        <is>
          <t>TORSBY</t>
        </is>
      </c>
      <c r="G14684" t="n">
        <v>1.1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18972-2024</t>
        </is>
      </c>
      <c r="B14685" s="1" t="n">
        <v>45427</v>
      </c>
      <c r="C14685" s="1" t="n">
        <v>45810</v>
      </c>
      <c r="D14685" t="inlineStr">
        <is>
          <t>VÄRMLANDS LÄN</t>
        </is>
      </c>
      <c r="E14685" t="inlineStr">
        <is>
          <t>ARVIKA</t>
        </is>
      </c>
      <c r="F14685" t="inlineStr">
        <is>
          <t>Bergvik skog väst AB</t>
        </is>
      </c>
      <c r="G14685" t="n">
        <v>3.5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19136-2024</t>
        </is>
      </c>
      <c r="B14686" s="1" t="n">
        <v>45428</v>
      </c>
      <c r="C14686" s="1" t="n">
        <v>45810</v>
      </c>
      <c r="D14686" t="inlineStr">
        <is>
          <t>VÄRMLANDS LÄN</t>
        </is>
      </c>
      <c r="E14686" t="inlineStr">
        <is>
          <t>TORSBY</t>
        </is>
      </c>
      <c r="G14686" t="n">
        <v>2.9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19140-2024</t>
        </is>
      </c>
      <c r="B14687" s="1" t="n">
        <v>45428</v>
      </c>
      <c r="C14687" s="1" t="n">
        <v>45810</v>
      </c>
      <c r="D14687" t="inlineStr">
        <is>
          <t>VÄRMLANDS LÄN</t>
        </is>
      </c>
      <c r="E14687" t="inlineStr">
        <is>
          <t>SÄFFLE</t>
        </is>
      </c>
      <c r="F14687" t="inlineStr">
        <is>
          <t>Bergvik skog väst AB</t>
        </is>
      </c>
      <c r="G14687" t="n">
        <v>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19109-2024</t>
        </is>
      </c>
      <c r="B14688" s="1" t="n">
        <v>45428</v>
      </c>
      <c r="C14688" s="1" t="n">
        <v>45810</v>
      </c>
      <c r="D14688" t="inlineStr">
        <is>
          <t>VÄRMLANDS LÄN</t>
        </is>
      </c>
      <c r="E14688" t="inlineStr">
        <is>
          <t>ARVIKA</t>
        </is>
      </c>
      <c r="G14688" t="n">
        <v>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19193-2024</t>
        </is>
      </c>
      <c r="B14689" s="1" t="n">
        <v>45428</v>
      </c>
      <c r="C14689" s="1" t="n">
        <v>45810</v>
      </c>
      <c r="D14689" t="inlineStr">
        <is>
          <t>VÄRMLANDS LÄN</t>
        </is>
      </c>
      <c r="E14689" t="inlineStr">
        <is>
          <t>SÄFFLE</t>
        </is>
      </c>
      <c r="G14689" t="n">
        <v>2.1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19246-2024</t>
        </is>
      </c>
      <c r="B14690" s="1" t="n">
        <v>45428</v>
      </c>
      <c r="C14690" s="1" t="n">
        <v>45810</v>
      </c>
      <c r="D14690" t="inlineStr">
        <is>
          <t>VÄRMLANDS LÄN</t>
        </is>
      </c>
      <c r="E14690" t="inlineStr">
        <is>
          <t>ÅRJÄNG</t>
        </is>
      </c>
      <c r="F14690" t="inlineStr">
        <is>
          <t>Bergvik skog väst AB</t>
        </is>
      </c>
      <c r="G14690" t="n">
        <v>2.9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19286-2024</t>
        </is>
      </c>
      <c r="B14691" s="1" t="n">
        <v>45428</v>
      </c>
      <c r="C14691" s="1" t="n">
        <v>45810</v>
      </c>
      <c r="D14691" t="inlineStr">
        <is>
          <t>VÄRMLANDS LÄN</t>
        </is>
      </c>
      <c r="E14691" t="inlineStr">
        <is>
          <t>ARVIKA</t>
        </is>
      </c>
      <c r="G14691" t="n">
        <v>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19099-2024</t>
        </is>
      </c>
      <c r="B14692" s="1" t="n">
        <v>45428</v>
      </c>
      <c r="C14692" s="1" t="n">
        <v>45810</v>
      </c>
      <c r="D14692" t="inlineStr">
        <is>
          <t>VÄRMLANDS LÄN</t>
        </is>
      </c>
      <c r="E14692" t="inlineStr">
        <is>
          <t>STORFORS</t>
        </is>
      </c>
      <c r="F14692" t="inlineStr">
        <is>
          <t>Kyrkan</t>
        </is>
      </c>
      <c r="G14692" t="n">
        <v>2.6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19107-2024</t>
        </is>
      </c>
      <c r="B14693" s="1" t="n">
        <v>45428</v>
      </c>
      <c r="C14693" s="1" t="n">
        <v>45810</v>
      </c>
      <c r="D14693" t="inlineStr">
        <is>
          <t>VÄRMLANDS LÄN</t>
        </is>
      </c>
      <c r="E14693" t="inlineStr">
        <is>
          <t>EDA</t>
        </is>
      </c>
      <c r="G14693" t="n">
        <v>1.2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19125-2024</t>
        </is>
      </c>
      <c r="B14694" s="1" t="n">
        <v>45428</v>
      </c>
      <c r="C14694" s="1" t="n">
        <v>45810</v>
      </c>
      <c r="D14694" t="inlineStr">
        <is>
          <t>VÄRMLANDS LÄN</t>
        </is>
      </c>
      <c r="E14694" t="inlineStr">
        <is>
          <t>HAGFORS</t>
        </is>
      </c>
      <c r="F14694" t="inlineStr">
        <is>
          <t>Bergvik skog väst AB</t>
        </is>
      </c>
      <c r="G14694" t="n">
        <v>19.5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19159-2024</t>
        </is>
      </c>
      <c r="B14695" s="1" t="n">
        <v>45428</v>
      </c>
      <c r="C14695" s="1" t="n">
        <v>45810</v>
      </c>
      <c r="D14695" t="inlineStr">
        <is>
          <t>VÄRMLANDS LÄN</t>
        </is>
      </c>
      <c r="E14695" t="inlineStr">
        <is>
          <t>FILIPSTAD</t>
        </is>
      </c>
      <c r="F14695" t="inlineStr">
        <is>
          <t>Bergvik skog väst AB</t>
        </is>
      </c>
      <c r="G14695" t="n">
        <v>8.4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19166-2024</t>
        </is>
      </c>
      <c r="B14696" s="1" t="n">
        <v>45428</v>
      </c>
      <c r="C14696" s="1" t="n">
        <v>45810</v>
      </c>
      <c r="D14696" t="inlineStr">
        <is>
          <t>VÄRMLANDS LÄN</t>
        </is>
      </c>
      <c r="E14696" t="inlineStr">
        <is>
          <t>SÄFFLE</t>
        </is>
      </c>
      <c r="F14696" t="inlineStr">
        <is>
          <t>Bergvik skog väst AB</t>
        </is>
      </c>
      <c r="G14696" t="n">
        <v>1.7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19175-2024</t>
        </is>
      </c>
      <c r="B14697" s="1" t="n">
        <v>45428</v>
      </c>
      <c r="C14697" s="1" t="n">
        <v>45810</v>
      </c>
      <c r="D14697" t="inlineStr">
        <is>
          <t>VÄRMLANDS LÄN</t>
        </is>
      </c>
      <c r="E14697" t="inlineStr">
        <is>
          <t>SUNNE</t>
        </is>
      </c>
      <c r="G14697" t="n">
        <v>3.9</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19183-2024</t>
        </is>
      </c>
      <c r="B14698" s="1" t="n">
        <v>45428</v>
      </c>
      <c r="C14698" s="1" t="n">
        <v>45810</v>
      </c>
      <c r="D14698" t="inlineStr">
        <is>
          <t>VÄRMLANDS LÄN</t>
        </is>
      </c>
      <c r="E14698" t="inlineStr">
        <is>
          <t>SUNNE</t>
        </is>
      </c>
      <c r="G14698" t="n">
        <v>2.7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19245-2024</t>
        </is>
      </c>
      <c r="B14699" s="1" t="n">
        <v>45428</v>
      </c>
      <c r="C14699" s="1" t="n">
        <v>45810</v>
      </c>
      <c r="D14699" t="inlineStr">
        <is>
          <t>VÄRMLANDS LÄN</t>
        </is>
      </c>
      <c r="E14699" t="inlineStr">
        <is>
          <t>ÅRJÄNG</t>
        </is>
      </c>
      <c r="F14699" t="inlineStr">
        <is>
          <t>Bergvik skog väst AB</t>
        </is>
      </c>
      <c r="G14699" t="n">
        <v>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19257-2024</t>
        </is>
      </c>
      <c r="B14700" s="1" t="n">
        <v>45428</v>
      </c>
      <c r="C14700" s="1" t="n">
        <v>45810</v>
      </c>
      <c r="D14700" t="inlineStr">
        <is>
          <t>VÄRMLANDS LÄN</t>
        </is>
      </c>
      <c r="E14700" t="inlineStr">
        <is>
          <t>ARVIKA</t>
        </is>
      </c>
      <c r="G14700" t="n">
        <v>1.9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19161-2024</t>
        </is>
      </c>
      <c r="B14701" s="1" t="n">
        <v>45428</v>
      </c>
      <c r="C14701" s="1" t="n">
        <v>45810</v>
      </c>
      <c r="D14701" t="inlineStr">
        <is>
          <t>VÄRMLANDS LÄN</t>
        </is>
      </c>
      <c r="E14701" t="inlineStr">
        <is>
          <t>SÄFFLE</t>
        </is>
      </c>
      <c r="G14701" t="n">
        <v>1.3</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19173-2024</t>
        </is>
      </c>
      <c r="B14702" s="1" t="n">
        <v>45428</v>
      </c>
      <c r="C14702" s="1" t="n">
        <v>45810</v>
      </c>
      <c r="D14702" t="inlineStr">
        <is>
          <t>VÄRMLANDS LÄN</t>
        </is>
      </c>
      <c r="E14702" t="inlineStr">
        <is>
          <t>SUNNE</t>
        </is>
      </c>
      <c r="G14702" t="n">
        <v>2.1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19226-2024</t>
        </is>
      </c>
      <c r="B14703" s="1" t="n">
        <v>45428</v>
      </c>
      <c r="C14703" s="1" t="n">
        <v>45810</v>
      </c>
      <c r="D14703" t="inlineStr">
        <is>
          <t>VÄRMLANDS LÄN</t>
        </is>
      </c>
      <c r="E14703" t="inlineStr">
        <is>
          <t>HAGFORS</t>
        </is>
      </c>
      <c r="F14703" t="inlineStr">
        <is>
          <t>Bergvik skog väst AB</t>
        </is>
      </c>
      <c r="G14703" t="n">
        <v>22.8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19251-2024</t>
        </is>
      </c>
      <c r="B14704" s="1" t="n">
        <v>45428</v>
      </c>
      <c r="C14704" s="1" t="n">
        <v>45810</v>
      </c>
      <c r="D14704" t="inlineStr">
        <is>
          <t>VÄRMLANDS LÄN</t>
        </is>
      </c>
      <c r="E14704" t="inlineStr">
        <is>
          <t>TORSBY</t>
        </is>
      </c>
      <c r="G14704" t="n">
        <v>0.9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19215-2024</t>
        </is>
      </c>
      <c r="B14705" s="1" t="n">
        <v>45428</v>
      </c>
      <c r="C14705" s="1" t="n">
        <v>45810</v>
      </c>
      <c r="D14705" t="inlineStr">
        <is>
          <t>VÄRMLANDS LÄN</t>
        </is>
      </c>
      <c r="E14705" t="inlineStr">
        <is>
          <t>TORSBY</t>
        </is>
      </c>
      <c r="G14705" t="n">
        <v>3.7</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19260-2024</t>
        </is>
      </c>
      <c r="B14706" s="1" t="n">
        <v>45428</v>
      </c>
      <c r="C14706" s="1" t="n">
        <v>45810</v>
      </c>
      <c r="D14706" t="inlineStr">
        <is>
          <t>VÄRMLANDS LÄN</t>
        </is>
      </c>
      <c r="E14706" t="inlineStr">
        <is>
          <t>ARVIKA</t>
        </is>
      </c>
      <c r="G14706" t="n">
        <v>0.7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19320-2024</t>
        </is>
      </c>
      <c r="B14707" s="1" t="n">
        <v>45428</v>
      </c>
      <c r="C14707" s="1" t="n">
        <v>45810</v>
      </c>
      <c r="D14707" t="inlineStr">
        <is>
          <t>VÄRMLANDS LÄN</t>
        </is>
      </c>
      <c r="E14707" t="inlineStr">
        <is>
          <t>ARVIKA</t>
        </is>
      </c>
      <c r="G14707" t="n">
        <v>1.5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19321-2024</t>
        </is>
      </c>
      <c r="B14708" s="1" t="n">
        <v>45428</v>
      </c>
      <c r="C14708" s="1" t="n">
        <v>45810</v>
      </c>
      <c r="D14708" t="inlineStr">
        <is>
          <t>VÄRMLANDS LÄN</t>
        </is>
      </c>
      <c r="E14708" t="inlineStr">
        <is>
          <t>ARVIKA</t>
        </is>
      </c>
      <c r="G14708" t="n">
        <v>1.7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19385-2024</t>
        </is>
      </c>
      <c r="B14709" s="1" t="n">
        <v>45428</v>
      </c>
      <c r="C14709" s="1" t="n">
        <v>45810</v>
      </c>
      <c r="D14709" t="inlineStr">
        <is>
          <t>VÄRMLANDS LÄN</t>
        </is>
      </c>
      <c r="E14709" t="inlineStr">
        <is>
          <t>SÄFFLE</t>
        </is>
      </c>
      <c r="G14709" t="n">
        <v>1.4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19365-2024</t>
        </is>
      </c>
      <c r="B14710" s="1" t="n">
        <v>45429</v>
      </c>
      <c r="C14710" s="1" t="n">
        <v>45810</v>
      </c>
      <c r="D14710" t="inlineStr">
        <is>
          <t>VÄRMLANDS LÄN</t>
        </is>
      </c>
      <c r="E14710" t="inlineStr">
        <is>
          <t>MUNKFORS</t>
        </is>
      </c>
      <c r="F14710" t="inlineStr">
        <is>
          <t>Bergvik skog väst AB</t>
        </is>
      </c>
      <c r="G14710" t="n">
        <v>12.2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19369-2024</t>
        </is>
      </c>
      <c r="B14711" s="1" t="n">
        <v>45429</v>
      </c>
      <c r="C14711" s="1" t="n">
        <v>45810</v>
      </c>
      <c r="D14711" t="inlineStr">
        <is>
          <t>VÄRMLANDS LÄN</t>
        </is>
      </c>
      <c r="E14711" t="inlineStr">
        <is>
          <t>ARVIKA</t>
        </is>
      </c>
      <c r="F14711" t="inlineStr">
        <is>
          <t>Bergvik skog väst AB</t>
        </is>
      </c>
      <c r="G14711" t="n">
        <v>7.7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19427-2024</t>
        </is>
      </c>
      <c r="B14712" s="1" t="n">
        <v>45429</v>
      </c>
      <c r="C14712" s="1" t="n">
        <v>45810</v>
      </c>
      <c r="D14712" t="inlineStr">
        <is>
          <t>VÄRMLANDS LÄN</t>
        </is>
      </c>
      <c r="E14712" t="inlineStr">
        <is>
          <t>ARVIKA</t>
        </is>
      </c>
      <c r="G14712" t="n">
        <v>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19447-2024</t>
        </is>
      </c>
      <c r="B14713" s="1" t="n">
        <v>45429</v>
      </c>
      <c r="C14713" s="1" t="n">
        <v>45810</v>
      </c>
      <c r="D14713" t="inlineStr">
        <is>
          <t>VÄRMLANDS LÄN</t>
        </is>
      </c>
      <c r="E14713" t="inlineStr">
        <is>
          <t>KRISTINEHAMN</t>
        </is>
      </c>
      <c r="G14713" t="n">
        <v>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19475-2024</t>
        </is>
      </c>
      <c r="B14714" s="1" t="n">
        <v>45429</v>
      </c>
      <c r="C14714" s="1" t="n">
        <v>45810</v>
      </c>
      <c r="D14714" t="inlineStr">
        <is>
          <t>VÄRMLANDS LÄN</t>
        </is>
      </c>
      <c r="E14714" t="inlineStr">
        <is>
          <t>EDA</t>
        </is>
      </c>
      <c r="G14714" t="n">
        <v>1.2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19487-2024</t>
        </is>
      </c>
      <c r="B14715" s="1" t="n">
        <v>45429</v>
      </c>
      <c r="C14715" s="1" t="n">
        <v>45810</v>
      </c>
      <c r="D14715" t="inlineStr">
        <is>
          <t>VÄRMLANDS LÄN</t>
        </is>
      </c>
      <c r="E14715" t="inlineStr">
        <is>
          <t>SUNNE</t>
        </is>
      </c>
      <c r="G14715" t="n">
        <v>2.7</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19381-2024</t>
        </is>
      </c>
      <c r="B14716" s="1" t="n">
        <v>45429</v>
      </c>
      <c r="C14716" s="1" t="n">
        <v>45810</v>
      </c>
      <c r="D14716" t="inlineStr">
        <is>
          <t>VÄRMLANDS LÄN</t>
        </is>
      </c>
      <c r="E14716" t="inlineStr">
        <is>
          <t>MUNKFORS</t>
        </is>
      </c>
      <c r="F14716" t="inlineStr">
        <is>
          <t>Bergvik skog väst AB</t>
        </is>
      </c>
      <c r="G14716" t="n">
        <v>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19424-2024</t>
        </is>
      </c>
      <c r="B14717" s="1" t="n">
        <v>45429</v>
      </c>
      <c r="C14717" s="1" t="n">
        <v>45810</v>
      </c>
      <c r="D14717" t="inlineStr">
        <is>
          <t>VÄRMLANDS LÄN</t>
        </is>
      </c>
      <c r="E14717" t="inlineStr">
        <is>
          <t>ARVIKA</t>
        </is>
      </c>
      <c r="F14717" t="inlineStr">
        <is>
          <t>Bergvik skog väst AB</t>
        </is>
      </c>
      <c r="G14717" t="n">
        <v>8.5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19425-2024</t>
        </is>
      </c>
      <c r="B14718" s="1" t="n">
        <v>45429</v>
      </c>
      <c r="C14718" s="1" t="n">
        <v>45810</v>
      </c>
      <c r="D14718" t="inlineStr">
        <is>
          <t>VÄRMLANDS LÄN</t>
        </is>
      </c>
      <c r="E14718" t="inlineStr">
        <is>
          <t>ARVIKA</t>
        </is>
      </c>
      <c r="G14718" t="n">
        <v>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19465-2024</t>
        </is>
      </c>
      <c r="B14719" s="1" t="n">
        <v>45429</v>
      </c>
      <c r="C14719" s="1" t="n">
        <v>45810</v>
      </c>
      <c r="D14719" t="inlineStr">
        <is>
          <t>VÄRMLANDS LÄN</t>
        </is>
      </c>
      <c r="E14719" t="inlineStr">
        <is>
          <t>SUNNE</t>
        </is>
      </c>
      <c r="G14719" t="n">
        <v>0.6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19480-2024</t>
        </is>
      </c>
      <c r="B14720" s="1" t="n">
        <v>45429</v>
      </c>
      <c r="C14720" s="1" t="n">
        <v>45810</v>
      </c>
      <c r="D14720" t="inlineStr">
        <is>
          <t>VÄRMLANDS LÄN</t>
        </is>
      </c>
      <c r="E14720" t="inlineStr">
        <is>
          <t>FORSHAGA</t>
        </is>
      </c>
      <c r="F14720" t="inlineStr">
        <is>
          <t>Bergvik skog väst AB</t>
        </is>
      </c>
      <c r="G14720" t="n">
        <v>2.6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19496-2024</t>
        </is>
      </c>
      <c r="B14721" s="1" t="n">
        <v>45429</v>
      </c>
      <c r="C14721" s="1" t="n">
        <v>45810</v>
      </c>
      <c r="D14721" t="inlineStr">
        <is>
          <t>VÄRMLANDS LÄN</t>
        </is>
      </c>
      <c r="E14721" t="inlineStr">
        <is>
          <t>FORSHAGA</t>
        </is>
      </c>
      <c r="F14721" t="inlineStr">
        <is>
          <t>Bergvik skog väst AB</t>
        </is>
      </c>
      <c r="G14721" t="n">
        <v>5.9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19410-2024</t>
        </is>
      </c>
      <c r="B14722" s="1" t="n">
        <v>45429</v>
      </c>
      <c r="C14722" s="1" t="n">
        <v>45810</v>
      </c>
      <c r="D14722" t="inlineStr">
        <is>
          <t>VÄRMLANDS LÄN</t>
        </is>
      </c>
      <c r="E14722" t="inlineStr">
        <is>
          <t>ÅRJÄNG</t>
        </is>
      </c>
      <c r="G14722" t="n">
        <v>7.9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19482-2024</t>
        </is>
      </c>
      <c r="B14723" s="1" t="n">
        <v>45429</v>
      </c>
      <c r="C14723" s="1" t="n">
        <v>45810</v>
      </c>
      <c r="D14723" t="inlineStr">
        <is>
          <t>VÄRMLANDS LÄN</t>
        </is>
      </c>
      <c r="E14723" t="inlineStr">
        <is>
          <t>ARVIKA</t>
        </is>
      </c>
      <c r="F14723" t="inlineStr">
        <is>
          <t>Bergvik skog väst AB</t>
        </is>
      </c>
      <c r="G14723" t="n">
        <v>16.3</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19516-2024</t>
        </is>
      </c>
      <c r="B14724" s="1" t="n">
        <v>45429</v>
      </c>
      <c r="C14724" s="1" t="n">
        <v>45810</v>
      </c>
      <c r="D14724" t="inlineStr">
        <is>
          <t>VÄRMLANDS LÄN</t>
        </is>
      </c>
      <c r="E14724" t="inlineStr">
        <is>
          <t>ÅRJÄNG</t>
        </is>
      </c>
      <c r="G14724" t="n">
        <v>1.2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19524-2024</t>
        </is>
      </c>
      <c r="B14725" s="1" t="n">
        <v>45429</v>
      </c>
      <c r="C14725" s="1" t="n">
        <v>45810</v>
      </c>
      <c r="D14725" t="inlineStr">
        <is>
          <t>VÄRMLANDS LÄN</t>
        </is>
      </c>
      <c r="E14725" t="inlineStr">
        <is>
          <t>GRUMS</t>
        </is>
      </c>
      <c r="G14725" t="n">
        <v>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19540-2024</t>
        </is>
      </c>
      <c r="B14726" s="1" t="n">
        <v>45429</v>
      </c>
      <c r="C14726" s="1" t="n">
        <v>45810</v>
      </c>
      <c r="D14726" t="inlineStr">
        <is>
          <t>VÄRMLANDS LÄN</t>
        </is>
      </c>
      <c r="E14726" t="inlineStr">
        <is>
          <t>KIL</t>
        </is>
      </c>
      <c r="G14726" t="n">
        <v>3.9</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19554-2024</t>
        </is>
      </c>
      <c r="B14727" s="1" t="n">
        <v>45429</v>
      </c>
      <c r="C14727" s="1" t="n">
        <v>45810</v>
      </c>
      <c r="D14727" t="inlineStr">
        <is>
          <t>VÄRMLANDS LÄN</t>
        </is>
      </c>
      <c r="E14727" t="inlineStr">
        <is>
          <t>HAGFORS</t>
        </is>
      </c>
      <c r="F14727" t="inlineStr">
        <is>
          <t>Bergvik skog väst AB</t>
        </is>
      </c>
      <c r="G14727" t="n">
        <v>3.8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19511-2024</t>
        </is>
      </c>
      <c r="B14728" s="1" t="n">
        <v>45429</v>
      </c>
      <c r="C14728" s="1" t="n">
        <v>45810</v>
      </c>
      <c r="D14728" t="inlineStr">
        <is>
          <t>VÄRMLANDS LÄN</t>
        </is>
      </c>
      <c r="E14728" t="inlineStr">
        <is>
          <t>ÅRJÄNG</t>
        </is>
      </c>
      <c r="G14728" t="n">
        <v>1.2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19538-2024</t>
        </is>
      </c>
      <c r="B14729" s="1" t="n">
        <v>45429</v>
      </c>
      <c r="C14729" s="1" t="n">
        <v>45810</v>
      </c>
      <c r="D14729" t="inlineStr">
        <is>
          <t>VÄRMLANDS LÄN</t>
        </is>
      </c>
      <c r="E14729" t="inlineStr">
        <is>
          <t>SUNNE</t>
        </is>
      </c>
      <c r="G14729" t="n">
        <v>3.6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19593-2024</t>
        </is>
      </c>
      <c r="B14730" s="1" t="n">
        <v>45430</v>
      </c>
      <c r="C14730" s="1" t="n">
        <v>45810</v>
      </c>
      <c r="D14730" t="inlineStr">
        <is>
          <t>VÄRMLANDS LÄN</t>
        </is>
      </c>
      <c r="E14730" t="inlineStr">
        <is>
          <t>SÄFFLE</t>
        </is>
      </c>
      <c r="G14730" t="n">
        <v>5.1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19665-2024</t>
        </is>
      </c>
      <c r="B14731" s="1" t="n">
        <v>45432</v>
      </c>
      <c r="C14731" s="1" t="n">
        <v>45810</v>
      </c>
      <c r="D14731" t="inlineStr">
        <is>
          <t>VÄRMLANDS LÄN</t>
        </is>
      </c>
      <c r="E14731" t="inlineStr">
        <is>
          <t>TORSBY</t>
        </is>
      </c>
      <c r="G14731" t="n">
        <v>1.1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19681-2024</t>
        </is>
      </c>
      <c r="B14732" s="1" t="n">
        <v>45432</v>
      </c>
      <c r="C14732" s="1" t="n">
        <v>45810</v>
      </c>
      <c r="D14732" t="inlineStr">
        <is>
          <t>VÄRMLANDS LÄN</t>
        </is>
      </c>
      <c r="E14732" t="inlineStr">
        <is>
          <t>EDA</t>
        </is>
      </c>
      <c r="G14732" t="n">
        <v>8.699999999999999</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19685-2024</t>
        </is>
      </c>
      <c r="B14733" s="1" t="n">
        <v>45432</v>
      </c>
      <c r="C14733" s="1" t="n">
        <v>45810</v>
      </c>
      <c r="D14733" t="inlineStr">
        <is>
          <t>VÄRMLANDS LÄN</t>
        </is>
      </c>
      <c r="E14733" t="inlineStr">
        <is>
          <t>EDA</t>
        </is>
      </c>
      <c r="G14733" t="n">
        <v>1.1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19694-2024</t>
        </is>
      </c>
      <c r="B14734" s="1" t="n">
        <v>45432</v>
      </c>
      <c r="C14734" s="1" t="n">
        <v>45810</v>
      </c>
      <c r="D14734" t="inlineStr">
        <is>
          <t>VÄRMLANDS LÄN</t>
        </is>
      </c>
      <c r="E14734" t="inlineStr">
        <is>
          <t>SÄFFLE</t>
        </is>
      </c>
      <c r="G14734" t="n">
        <v>0.7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19711-2024</t>
        </is>
      </c>
      <c r="B14735" s="1" t="n">
        <v>45432</v>
      </c>
      <c r="C14735" s="1" t="n">
        <v>45810</v>
      </c>
      <c r="D14735" t="inlineStr">
        <is>
          <t>VÄRMLANDS LÄN</t>
        </is>
      </c>
      <c r="E14735" t="inlineStr">
        <is>
          <t>HAGFORS</t>
        </is>
      </c>
      <c r="F14735" t="inlineStr">
        <is>
          <t>Bergvik skog väst AB</t>
        </is>
      </c>
      <c r="G14735" t="n">
        <v>2.8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19715-2024</t>
        </is>
      </c>
      <c r="B14736" s="1" t="n">
        <v>45432</v>
      </c>
      <c r="C14736" s="1" t="n">
        <v>45810</v>
      </c>
      <c r="D14736" t="inlineStr">
        <is>
          <t>VÄRMLANDS LÄN</t>
        </is>
      </c>
      <c r="E14736" t="inlineStr">
        <is>
          <t>SUNNE</t>
        </is>
      </c>
      <c r="G14736" t="n">
        <v>1.6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19753-2024</t>
        </is>
      </c>
      <c r="B14737" s="1" t="n">
        <v>45432</v>
      </c>
      <c r="C14737" s="1" t="n">
        <v>45810</v>
      </c>
      <c r="D14737" t="inlineStr">
        <is>
          <t>VÄRMLANDS LÄN</t>
        </is>
      </c>
      <c r="E14737" t="inlineStr">
        <is>
          <t>GRUMS</t>
        </is>
      </c>
      <c r="G14737" t="n">
        <v>1.5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19761-2024</t>
        </is>
      </c>
      <c r="B14738" s="1" t="n">
        <v>45432</v>
      </c>
      <c r="C14738" s="1" t="n">
        <v>45810</v>
      </c>
      <c r="D14738" t="inlineStr">
        <is>
          <t>VÄRMLANDS LÄN</t>
        </is>
      </c>
      <c r="E14738" t="inlineStr">
        <is>
          <t>HAGFORS</t>
        </is>
      </c>
      <c r="G14738" t="n">
        <v>1.4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19654-2024</t>
        </is>
      </c>
      <c r="B14739" s="1" t="n">
        <v>45432</v>
      </c>
      <c r="C14739" s="1" t="n">
        <v>45810</v>
      </c>
      <c r="D14739" t="inlineStr">
        <is>
          <t>VÄRMLANDS LÄN</t>
        </is>
      </c>
      <c r="E14739" t="inlineStr">
        <is>
          <t>HAGFORS</t>
        </is>
      </c>
      <c r="G14739" t="n">
        <v>1.7</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19627-2024</t>
        </is>
      </c>
      <c r="B14740" s="1" t="n">
        <v>45432</v>
      </c>
      <c r="C14740" s="1" t="n">
        <v>45810</v>
      </c>
      <c r="D14740" t="inlineStr">
        <is>
          <t>VÄRMLANDS LÄN</t>
        </is>
      </c>
      <c r="E14740" t="inlineStr">
        <is>
          <t>ARVIKA</t>
        </is>
      </c>
      <c r="G14740" t="n">
        <v>0.9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19668-2024</t>
        </is>
      </c>
      <c r="B14741" s="1" t="n">
        <v>45432</v>
      </c>
      <c r="C14741" s="1" t="n">
        <v>45810</v>
      </c>
      <c r="D14741" t="inlineStr">
        <is>
          <t>VÄRMLANDS LÄN</t>
        </is>
      </c>
      <c r="E14741" t="inlineStr">
        <is>
          <t>SUNNE</t>
        </is>
      </c>
      <c r="G14741" t="n">
        <v>4.9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19804-2024</t>
        </is>
      </c>
      <c r="B14742" s="1" t="n">
        <v>45432</v>
      </c>
      <c r="C14742" s="1" t="n">
        <v>45810</v>
      </c>
      <c r="D14742" t="inlineStr">
        <is>
          <t>VÄRMLANDS LÄN</t>
        </is>
      </c>
      <c r="E14742" t="inlineStr">
        <is>
          <t>SÄFFLE</t>
        </is>
      </c>
      <c r="F14742" t="inlineStr">
        <is>
          <t>Bergvik skog väst AB</t>
        </is>
      </c>
      <c r="G14742" t="n">
        <v>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19844-2024</t>
        </is>
      </c>
      <c r="B14743" s="1" t="n">
        <v>45432</v>
      </c>
      <c r="C14743" s="1" t="n">
        <v>45810</v>
      </c>
      <c r="D14743" t="inlineStr">
        <is>
          <t>VÄRMLANDS LÄN</t>
        </is>
      </c>
      <c r="E14743" t="inlineStr">
        <is>
          <t>KARLSTAD</t>
        </is>
      </c>
      <c r="G14743" t="n">
        <v>3.4</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19692-2024</t>
        </is>
      </c>
      <c r="B14744" s="1" t="n">
        <v>45432</v>
      </c>
      <c r="C14744" s="1" t="n">
        <v>45810</v>
      </c>
      <c r="D14744" t="inlineStr">
        <is>
          <t>VÄRMLANDS LÄN</t>
        </is>
      </c>
      <c r="E14744" t="inlineStr">
        <is>
          <t>SÄFFLE</t>
        </is>
      </c>
      <c r="G14744" t="n">
        <v>1.2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19802-2024</t>
        </is>
      </c>
      <c r="B14745" s="1" t="n">
        <v>45432</v>
      </c>
      <c r="C14745" s="1" t="n">
        <v>45810</v>
      </c>
      <c r="D14745" t="inlineStr">
        <is>
          <t>VÄRMLANDS LÄN</t>
        </is>
      </c>
      <c r="E14745" t="inlineStr">
        <is>
          <t>GRUMS</t>
        </is>
      </c>
      <c r="F14745" t="inlineStr">
        <is>
          <t>Bergvik skog väst AB</t>
        </is>
      </c>
      <c r="G14745" t="n">
        <v>2.5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19859-2024</t>
        </is>
      </c>
      <c r="B14746" s="1" t="n">
        <v>45433</v>
      </c>
      <c r="C14746" s="1" t="n">
        <v>45810</v>
      </c>
      <c r="D14746" t="inlineStr">
        <is>
          <t>VÄRMLANDS LÄN</t>
        </is>
      </c>
      <c r="E14746" t="inlineStr">
        <is>
          <t>ÅRJÄNG</t>
        </is>
      </c>
      <c r="G14746" t="n">
        <v>1.1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19885-2024</t>
        </is>
      </c>
      <c r="B14747" s="1" t="n">
        <v>45433</v>
      </c>
      <c r="C14747" s="1" t="n">
        <v>45810</v>
      </c>
      <c r="D14747" t="inlineStr">
        <is>
          <t>VÄRMLANDS LÄN</t>
        </is>
      </c>
      <c r="E14747" t="inlineStr">
        <is>
          <t>ÅRJÄNG</t>
        </is>
      </c>
      <c r="G14747" t="n">
        <v>0.7</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19882-2024</t>
        </is>
      </c>
      <c r="B14748" s="1" t="n">
        <v>45433</v>
      </c>
      <c r="C14748" s="1" t="n">
        <v>45810</v>
      </c>
      <c r="D14748" t="inlineStr">
        <is>
          <t>VÄRMLANDS LÄN</t>
        </is>
      </c>
      <c r="E14748" t="inlineStr">
        <is>
          <t>ÅRJÄNG</t>
        </is>
      </c>
      <c r="G14748" t="n">
        <v>0.9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19886-2024</t>
        </is>
      </c>
      <c r="B14749" s="1" t="n">
        <v>45433</v>
      </c>
      <c r="C14749" s="1" t="n">
        <v>45810</v>
      </c>
      <c r="D14749" t="inlineStr">
        <is>
          <t>VÄRMLANDS LÄN</t>
        </is>
      </c>
      <c r="E14749" t="inlineStr">
        <is>
          <t>ÅRJÄNG</t>
        </is>
      </c>
      <c r="G14749" t="n">
        <v>2.5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19890-2024</t>
        </is>
      </c>
      <c r="B14750" s="1" t="n">
        <v>45433</v>
      </c>
      <c r="C14750" s="1" t="n">
        <v>45810</v>
      </c>
      <c r="D14750" t="inlineStr">
        <is>
          <t>VÄRMLANDS LÄN</t>
        </is>
      </c>
      <c r="E14750" t="inlineStr">
        <is>
          <t>ARVIKA</t>
        </is>
      </c>
      <c r="G14750" t="n">
        <v>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19894-2024</t>
        </is>
      </c>
      <c r="B14751" s="1" t="n">
        <v>45433</v>
      </c>
      <c r="C14751" s="1" t="n">
        <v>45810</v>
      </c>
      <c r="D14751" t="inlineStr">
        <is>
          <t>VÄRMLANDS LÄN</t>
        </is>
      </c>
      <c r="E14751" t="inlineStr">
        <is>
          <t>HAGFORS</t>
        </is>
      </c>
      <c r="F14751" t="inlineStr">
        <is>
          <t>Bergvik skog väst AB</t>
        </is>
      </c>
      <c r="G14751" t="n">
        <v>0.5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19902-2024</t>
        </is>
      </c>
      <c r="B14752" s="1" t="n">
        <v>45433</v>
      </c>
      <c r="C14752" s="1" t="n">
        <v>45810</v>
      </c>
      <c r="D14752" t="inlineStr">
        <is>
          <t>VÄRMLANDS LÄN</t>
        </is>
      </c>
      <c r="E14752" t="inlineStr">
        <is>
          <t>SUNNE</t>
        </is>
      </c>
      <c r="G14752" t="n">
        <v>1.3</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19887-2024</t>
        </is>
      </c>
      <c r="B14753" s="1" t="n">
        <v>45433</v>
      </c>
      <c r="C14753" s="1" t="n">
        <v>45810</v>
      </c>
      <c r="D14753" t="inlineStr">
        <is>
          <t>VÄRMLANDS LÄN</t>
        </is>
      </c>
      <c r="E14753" t="inlineStr">
        <is>
          <t>TORSBY</t>
        </is>
      </c>
      <c r="G14753" t="n">
        <v>10.1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19899-2024</t>
        </is>
      </c>
      <c r="B14754" s="1" t="n">
        <v>45433</v>
      </c>
      <c r="C14754" s="1" t="n">
        <v>45810</v>
      </c>
      <c r="D14754" t="inlineStr">
        <is>
          <t>VÄRMLANDS LÄN</t>
        </is>
      </c>
      <c r="E14754" t="inlineStr">
        <is>
          <t>EDA</t>
        </is>
      </c>
      <c r="G14754" t="n">
        <v>3.5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19901-2024</t>
        </is>
      </c>
      <c r="B14755" s="1" t="n">
        <v>45433</v>
      </c>
      <c r="C14755" s="1" t="n">
        <v>45810</v>
      </c>
      <c r="D14755" t="inlineStr">
        <is>
          <t>VÄRMLANDS LÄN</t>
        </is>
      </c>
      <c r="E14755" t="inlineStr">
        <is>
          <t>ÅRJÄNG</t>
        </is>
      </c>
      <c r="G14755" t="n">
        <v>1.6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19913-2024</t>
        </is>
      </c>
      <c r="B14756" s="1" t="n">
        <v>45433</v>
      </c>
      <c r="C14756" s="1" t="n">
        <v>45810</v>
      </c>
      <c r="D14756" t="inlineStr">
        <is>
          <t>VÄRMLANDS LÄN</t>
        </is>
      </c>
      <c r="E14756" t="inlineStr">
        <is>
          <t>ARVIKA</t>
        </is>
      </c>
      <c r="G14756" t="n">
        <v>1.5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19918-2024</t>
        </is>
      </c>
      <c r="B14757" s="1" t="n">
        <v>45433</v>
      </c>
      <c r="C14757" s="1" t="n">
        <v>45810</v>
      </c>
      <c r="D14757" t="inlineStr">
        <is>
          <t>VÄRMLANDS LÄN</t>
        </is>
      </c>
      <c r="E14757" t="inlineStr">
        <is>
          <t>ARVIKA</t>
        </is>
      </c>
      <c r="G14757" t="n">
        <v>1.3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19922-2024</t>
        </is>
      </c>
      <c r="B14758" s="1" t="n">
        <v>45433</v>
      </c>
      <c r="C14758" s="1" t="n">
        <v>45810</v>
      </c>
      <c r="D14758" t="inlineStr">
        <is>
          <t>VÄRMLANDS LÄN</t>
        </is>
      </c>
      <c r="E14758" t="inlineStr">
        <is>
          <t>ARVIKA</t>
        </is>
      </c>
      <c r="G14758" t="n">
        <v>1.1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19930-2024</t>
        </is>
      </c>
      <c r="B14759" s="1" t="n">
        <v>45433</v>
      </c>
      <c r="C14759" s="1" t="n">
        <v>45810</v>
      </c>
      <c r="D14759" t="inlineStr">
        <is>
          <t>VÄRMLANDS LÄN</t>
        </is>
      </c>
      <c r="E14759" t="inlineStr">
        <is>
          <t>ARVIKA</t>
        </is>
      </c>
      <c r="G14759" t="n">
        <v>0.5</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19934-2024</t>
        </is>
      </c>
      <c r="B14760" s="1" t="n">
        <v>45433</v>
      </c>
      <c r="C14760" s="1" t="n">
        <v>45810</v>
      </c>
      <c r="D14760" t="inlineStr">
        <is>
          <t>VÄRMLANDS LÄN</t>
        </is>
      </c>
      <c r="E14760" t="inlineStr">
        <is>
          <t>EDA</t>
        </is>
      </c>
      <c r="G14760" t="n">
        <v>6.7</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19920-2024</t>
        </is>
      </c>
      <c r="B14761" s="1" t="n">
        <v>45433</v>
      </c>
      <c r="C14761" s="1" t="n">
        <v>45810</v>
      </c>
      <c r="D14761" t="inlineStr">
        <is>
          <t>VÄRMLANDS LÄN</t>
        </is>
      </c>
      <c r="E14761" t="inlineStr">
        <is>
          <t>ÅRJÄNG</t>
        </is>
      </c>
      <c r="F14761" t="inlineStr">
        <is>
          <t>Bergvik skog väst AB</t>
        </is>
      </c>
      <c r="G14761" t="n">
        <v>3.6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19924-2024</t>
        </is>
      </c>
      <c r="B14762" s="1" t="n">
        <v>45433</v>
      </c>
      <c r="C14762" s="1" t="n">
        <v>45810</v>
      </c>
      <c r="D14762" t="inlineStr">
        <is>
          <t>VÄRMLANDS LÄN</t>
        </is>
      </c>
      <c r="E14762" t="inlineStr">
        <is>
          <t>ARVIKA</t>
        </is>
      </c>
      <c r="G14762" t="n">
        <v>0.8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19928-2024</t>
        </is>
      </c>
      <c r="B14763" s="1" t="n">
        <v>45433</v>
      </c>
      <c r="C14763" s="1" t="n">
        <v>45810</v>
      </c>
      <c r="D14763" t="inlineStr">
        <is>
          <t>VÄRMLANDS LÄN</t>
        </is>
      </c>
      <c r="E14763" t="inlineStr">
        <is>
          <t>ARVIKA</t>
        </is>
      </c>
      <c r="F14763" t="inlineStr">
        <is>
          <t>Bergvik skog väst AB</t>
        </is>
      </c>
      <c r="G14763" t="n">
        <v>0.4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19932-2024</t>
        </is>
      </c>
      <c r="B14764" s="1" t="n">
        <v>45433</v>
      </c>
      <c r="C14764" s="1" t="n">
        <v>45810</v>
      </c>
      <c r="D14764" t="inlineStr">
        <is>
          <t>VÄRMLANDS LÄN</t>
        </is>
      </c>
      <c r="E14764" t="inlineStr">
        <is>
          <t>ARVIKA</t>
        </is>
      </c>
      <c r="G14764" t="n">
        <v>1.2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19941-2024</t>
        </is>
      </c>
      <c r="B14765" s="1" t="n">
        <v>45433</v>
      </c>
      <c r="C14765" s="1" t="n">
        <v>45810</v>
      </c>
      <c r="D14765" t="inlineStr">
        <is>
          <t>VÄRMLANDS LÄN</t>
        </is>
      </c>
      <c r="E14765" t="inlineStr">
        <is>
          <t>ARVIKA</t>
        </is>
      </c>
      <c r="G14765" t="n">
        <v>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19954-2024</t>
        </is>
      </c>
      <c r="B14766" s="1" t="n">
        <v>45433</v>
      </c>
      <c r="C14766" s="1" t="n">
        <v>45810</v>
      </c>
      <c r="D14766" t="inlineStr">
        <is>
          <t>VÄRMLANDS LÄN</t>
        </is>
      </c>
      <c r="E14766" t="inlineStr">
        <is>
          <t>SUNNE</t>
        </is>
      </c>
      <c r="G14766" t="n">
        <v>1.8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19944-2024</t>
        </is>
      </c>
      <c r="B14767" s="1" t="n">
        <v>45433</v>
      </c>
      <c r="C14767" s="1" t="n">
        <v>45810</v>
      </c>
      <c r="D14767" t="inlineStr">
        <is>
          <t>VÄRMLANDS LÄN</t>
        </is>
      </c>
      <c r="E14767" t="inlineStr">
        <is>
          <t>ARVIKA</t>
        </is>
      </c>
      <c r="G14767" t="n">
        <v>3.4</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19952-2024</t>
        </is>
      </c>
      <c r="B14768" s="1" t="n">
        <v>45433</v>
      </c>
      <c r="C14768" s="1" t="n">
        <v>45810</v>
      </c>
      <c r="D14768" t="inlineStr">
        <is>
          <t>VÄRMLANDS LÄN</t>
        </is>
      </c>
      <c r="E14768" t="inlineStr">
        <is>
          <t>SÄFFLE</t>
        </is>
      </c>
      <c r="G14768" t="n">
        <v>2.5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19956-2024</t>
        </is>
      </c>
      <c r="B14769" s="1" t="n">
        <v>45433</v>
      </c>
      <c r="C14769" s="1" t="n">
        <v>45810</v>
      </c>
      <c r="D14769" t="inlineStr">
        <is>
          <t>VÄRMLANDS LÄN</t>
        </is>
      </c>
      <c r="E14769" t="inlineStr">
        <is>
          <t>SÄFFLE</t>
        </is>
      </c>
      <c r="G14769" t="n">
        <v>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20034-2024</t>
        </is>
      </c>
      <c r="B14770" s="1" t="n">
        <v>45434</v>
      </c>
      <c r="C14770" s="1" t="n">
        <v>45810</v>
      </c>
      <c r="D14770" t="inlineStr">
        <is>
          <t>VÄRMLANDS LÄN</t>
        </is>
      </c>
      <c r="E14770" t="inlineStr">
        <is>
          <t>ARVIKA</t>
        </is>
      </c>
      <c r="G14770" t="n">
        <v>2.9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20103-2024</t>
        </is>
      </c>
      <c r="B14771" s="1" t="n">
        <v>45434</v>
      </c>
      <c r="C14771" s="1" t="n">
        <v>45810</v>
      </c>
      <c r="D14771" t="inlineStr">
        <is>
          <t>VÄRMLANDS LÄN</t>
        </is>
      </c>
      <c r="E14771" t="inlineStr">
        <is>
          <t>HAGFORS</t>
        </is>
      </c>
      <c r="F14771" t="inlineStr">
        <is>
          <t>Bergvik skog väst AB</t>
        </is>
      </c>
      <c r="G14771" t="n">
        <v>3.9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20027-2024</t>
        </is>
      </c>
      <c r="B14772" s="1" t="n">
        <v>45434</v>
      </c>
      <c r="C14772" s="1" t="n">
        <v>45810</v>
      </c>
      <c r="D14772" t="inlineStr">
        <is>
          <t>VÄRMLANDS LÄN</t>
        </is>
      </c>
      <c r="E14772" t="inlineStr">
        <is>
          <t>FORSHAGA</t>
        </is>
      </c>
      <c r="F14772" t="inlineStr">
        <is>
          <t>Bergvik skog väst AB</t>
        </is>
      </c>
      <c r="G14772" t="n">
        <v>8.5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20052-2024</t>
        </is>
      </c>
      <c r="B14773" s="1" t="n">
        <v>45434</v>
      </c>
      <c r="C14773" s="1" t="n">
        <v>45810</v>
      </c>
      <c r="D14773" t="inlineStr">
        <is>
          <t>VÄRMLANDS LÄN</t>
        </is>
      </c>
      <c r="E14773" t="inlineStr">
        <is>
          <t>EDA</t>
        </is>
      </c>
      <c r="G14773" t="n">
        <v>3.8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20116-2024</t>
        </is>
      </c>
      <c r="B14774" s="1" t="n">
        <v>45434</v>
      </c>
      <c r="C14774" s="1" t="n">
        <v>45810</v>
      </c>
      <c r="D14774" t="inlineStr">
        <is>
          <t>VÄRMLANDS LÄN</t>
        </is>
      </c>
      <c r="E14774" t="inlineStr">
        <is>
          <t>HAGFORS</t>
        </is>
      </c>
      <c r="F14774" t="inlineStr">
        <is>
          <t>Bergvik skog väst AB</t>
        </is>
      </c>
      <c r="G14774" t="n">
        <v>9.699999999999999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20140-2024</t>
        </is>
      </c>
      <c r="B14775" s="1" t="n">
        <v>45434</v>
      </c>
      <c r="C14775" s="1" t="n">
        <v>45810</v>
      </c>
      <c r="D14775" t="inlineStr">
        <is>
          <t>VÄRMLANDS LÄN</t>
        </is>
      </c>
      <c r="E14775" t="inlineStr">
        <is>
          <t>KARLSTAD</t>
        </is>
      </c>
      <c r="G14775" t="n">
        <v>1.1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20029-2024</t>
        </is>
      </c>
      <c r="B14776" s="1" t="n">
        <v>45434</v>
      </c>
      <c r="C14776" s="1" t="n">
        <v>45810</v>
      </c>
      <c r="D14776" t="inlineStr">
        <is>
          <t>VÄRMLANDS LÄN</t>
        </is>
      </c>
      <c r="E14776" t="inlineStr">
        <is>
          <t>ARVIKA</t>
        </is>
      </c>
      <c r="G14776" t="n">
        <v>7.2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20058-2024</t>
        </is>
      </c>
      <c r="B14777" s="1" t="n">
        <v>45434</v>
      </c>
      <c r="C14777" s="1" t="n">
        <v>45810</v>
      </c>
      <c r="D14777" t="inlineStr">
        <is>
          <t>VÄRMLANDS LÄN</t>
        </is>
      </c>
      <c r="E14777" t="inlineStr">
        <is>
          <t>SUNNE</t>
        </is>
      </c>
      <c r="G14777" t="n">
        <v>9.5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20062-2024</t>
        </is>
      </c>
      <c r="B14778" s="1" t="n">
        <v>45434</v>
      </c>
      <c r="C14778" s="1" t="n">
        <v>45810</v>
      </c>
      <c r="D14778" t="inlineStr">
        <is>
          <t>VÄRMLANDS LÄN</t>
        </is>
      </c>
      <c r="E14778" t="inlineStr">
        <is>
          <t>HAGFORS</t>
        </is>
      </c>
      <c r="F14778" t="inlineStr">
        <is>
          <t>Bergvik skog väst AB</t>
        </is>
      </c>
      <c r="G14778" t="n">
        <v>3</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20070-2024</t>
        </is>
      </c>
      <c r="B14779" s="1" t="n">
        <v>45434</v>
      </c>
      <c r="C14779" s="1" t="n">
        <v>45810</v>
      </c>
      <c r="D14779" t="inlineStr">
        <is>
          <t>VÄRMLANDS LÄN</t>
        </is>
      </c>
      <c r="E14779" t="inlineStr">
        <is>
          <t>HAGFORS</t>
        </is>
      </c>
      <c r="F14779" t="inlineStr">
        <is>
          <t>Bergvik skog väst AB</t>
        </is>
      </c>
      <c r="G14779" t="n">
        <v>4.2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20102-2024</t>
        </is>
      </c>
      <c r="B14780" s="1" t="n">
        <v>45434</v>
      </c>
      <c r="C14780" s="1" t="n">
        <v>45810</v>
      </c>
      <c r="D14780" t="inlineStr">
        <is>
          <t>VÄRMLANDS LÄN</t>
        </is>
      </c>
      <c r="E14780" t="inlineStr">
        <is>
          <t>SUNNE</t>
        </is>
      </c>
      <c r="G14780" t="n">
        <v>4.3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20106-2024</t>
        </is>
      </c>
      <c r="B14781" s="1" t="n">
        <v>45434</v>
      </c>
      <c r="C14781" s="1" t="n">
        <v>45810</v>
      </c>
      <c r="D14781" t="inlineStr">
        <is>
          <t>VÄRMLANDS LÄN</t>
        </is>
      </c>
      <c r="E14781" t="inlineStr">
        <is>
          <t>SUNNE</t>
        </is>
      </c>
      <c r="G14781" t="n">
        <v>1.4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20138-2024</t>
        </is>
      </c>
      <c r="B14782" s="1" t="n">
        <v>45434</v>
      </c>
      <c r="C14782" s="1" t="n">
        <v>45810</v>
      </c>
      <c r="D14782" t="inlineStr">
        <is>
          <t>VÄRMLANDS LÄN</t>
        </is>
      </c>
      <c r="E14782" t="inlineStr">
        <is>
          <t>FORSHAGA</t>
        </is>
      </c>
      <c r="F14782" t="inlineStr">
        <is>
          <t>Bergvik skog väst AB</t>
        </is>
      </c>
      <c r="G14782" t="n">
        <v>1.2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20053-2024</t>
        </is>
      </c>
      <c r="B14783" s="1" t="n">
        <v>45434</v>
      </c>
      <c r="C14783" s="1" t="n">
        <v>45810</v>
      </c>
      <c r="D14783" t="inlineStr">
        <is>
          <t>VÄRMLANDS LÄN</t>
        </is>
      </c>
      <c r="E14783" t="inlineStr">
        <is>
          <t>SUNNE</t>
        </is>
      </c>
      <c r="G14783" t="n">
        <v>1.4</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20057-2024</t>
        </is>
      </c>
      <c r="B14784" s="1" t="n">
        <v>45434</v>
      </c>
      <c r="C14784" s="1" t="n">
        <v>45810</v>
      </c>
      <c r="D14784" t="inlineStr">
        <is>
          <t>VÄRMLANDS LÄN</t>
        </is>
      </c>
      <c r="E14784" t="inlineStr">
        <is>
          <t>SUNNE</t>
        </is>
      </c>
      <c r="G14784" t="n">
        <v>1.8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20061-2024</t>
        </is>
      </c>
      <c r="B14785" s="1" t="n">
        <v>45434</v>
      </c>
      <c r="C14785" s="1" t="n">
        <v>45810</v>
      </c>
      <c r="D14785" t="inlineStr">
        <is>
          <t>VÄRMLANDS LÄN</t>
        </is>
      </c>
      <c r="E14785" t="inlineStr">
        <is>
          <t>SUNNE</t>
        </is>
      </c>
      <c r="G14785" t="n">
        <v>1.4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20065-2024</t>
        </is>
      </c>
      <c r="B14786" s="1" t="n">
        <v>45434</v>
      </c>
      <c r="C14786" s="1" t="n">
        <v>45810</v>
      </c>
      <c r="D14786" t="inlineStr">
        <is>
          <t>VÄRMLANDS LÄN</t>
        </is>
      </c>
      <c r="E14786" t="inlineStr">
        <is>
          <t>HAGFORS</t>
        </is>
      </c>
      <c r="F14786" t="inlineStr">
        <is>
          <t>Bergvik skog väst AB</t>
        </is>
      </c>
      <c r="G14786" t="n">
        <v>2.1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20097-2024</t>
        </is>
      </c>
      <c r="B14787" s="1" t="n">
        <v>45434</v>
      </c>
      <c r="C14787" s="1" t="n">
        <v>45810</v>
      </c>
      <c r="D14787" t="inlineStr">
        <is>
          <t>VÄRMLANDS LÄN</t>
        </is>
      </c>
      <c r="E14787" t="inlineStr">
        <is>
          <t>SUNNE</t>
        </is>
      </c>
      <c r="G14787" t="n">
        <v>3.8</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20133-2024</t>
        </is>
      </c>
      <c r="B14788" s="1" t="n">
        <v>45434</v>
      </c>
      <c r="C14788" s="1" t="n">
        <v>45810</v>
      </c>
      <c r="D14788" t="inlineStr">
        <is>
          <t>VÄRMLANDS LÄN</t>
        </is>
      </c>
      <c r="E14788" t="inlineStr">
        <is>
          <t>FORSHAGA</t>
        </is>
      </c>
      <c r="F14788" t="inlineStr">
        <is>
          <t>Bergvik skog väst AB</t>
        </is>
      </c>
      <c r="G14788" t="n">
        <v>5.2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20161-2024</t>
        </is>
      </c>
      <c r="B14789" s="1" t="n">
        <v>45434</v>
      </c>
      <c r="C14789" s="1" t="n">
        <v>45810</v>
      </c>
      <c r="D14789" t="inlineStr">
        <is>
          <t>VÄRMLANDS LÄN</t>
        </is>
      </c>
      <c r="E14789" t="inlineStr">
        <is>
          <t>EDA</t>
        </is>
      </c>
      <c r="G14789" t="n">
        <v>1.2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20198-2024</t>
        </is>
      </c>
      <c r="B14790" s="1" t="n">
        <v>45434</v>
      </c>
      <c r="C14790" s="1" t="n">
        <v>45810</v>
      </c>
      <c r="D14790" t="inlineStr">
        <is>
          <t>VÄRMLANDS LÄN</t>
        </is>
      </c>
      <c r="E14790" t="inlineStr">
        <is>
          <t>HAGFORS</t>
        </is>
      </c>
      <c r="F14790" t="inlineStr">
        <is>
          <t>Bergvik skog väst AB</t>
        </is>
      </c>
      <c r="G14790" t="n">
        <v>4.3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20238-2024</t>
        </is>
      </c>
      <c r="B14791" s="1" t="n">
        <v>45434</v>
      </c>
      <c r="C14791" s="1" t="n">
        <v>45810</v>
      </c>
      <c r="D14791" t="inlineStr">
        <is>
          <t>VÄRMLANDS LÄN</t>
        </is>
      </c>
      <c r="E14791" t="inlineStr">
        <is>
          <t>GRUMS</t>
        </is>
      </c>
      <c r="G14791" t="n">
        <v>1.3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20197-2024</t>
        </is>
      </c>
      <c r="B14792" s="1" t="n">
        <v>45434</v>
      </c>
      <c r="C14792" s="1" t="n">
        <v>45810</v>
      </c>
      <c r="D14792" t="inlineStr">
        <is>
          <t>VÄRMLANDS LÄN</t>
        </is>
      </c>
      <c r="E14792" t="inlineStr">
        <is>
          <t>SÄFFLE</t>
        </is>
      </c>
      <c r="G14792" t="n">
        <v>11.5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20217-2024</t>
        </is>
      </c>
      <c r="B14793" s="1" t="n">
        <v>45434</v>
      </c>
      <c r="C14793" s="1" t="n">
        <v>45810</v>
      </c>
      <c r="D14793" t="inlineStr">
        <is>
          <t>VÄRMLANDS LÄN</t>
        </is>
      </c>
      <c r="E14793" t="inlineStr">
        <is>
          <t>HAGFORS</t>
        </is>
      </c>
      <c r="F14793" t="inlineStr">
        <is>
          <t>Bergvik skog väst AB</t>
        </is>
      </c>
      <c r="G14793" t="n">
        <v>2.6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20195-2024</t>
        </is>
      </c>
      <c r="B14794" s="1" t="n">
        <v>45434</v>
      </c>
      <c r="C14794" s="1" t="n">
        <v>45810</v>
      </c>
      <c r="D14794" t="inlineStr">
        <is>
          <t>VÄRMLANDS LÄN</t>
        </is>
      </c>
      <c r="E14794" t="inlineStr">
        <is>
          <t>EDA</t>
        </is>
      </c>
      <c r="G14794" t="n">
        <v>2.8</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20203-2024</t>
        </is>
      </c>
      <c r="B14795" s="1" t="n">
        <v>45434</v>
      </c>
      <c r="C14795" s="1" t="n">
        <v>45810</v>
      </c>
      <c r="D14795" t="inlineStr">
        <is>
          <t>VÄRMLANDS LÄN</t>
        </is>
      </c>
      <c r="E14795" t="inlineStr">
        <is>
          <t>HAGFORS</t>
        </is>
      </c>
      <c r="F14795" t="inlineStr">
        <is>
          <t>Bergvik skog väst AB</t>
        </is>
      </c>
      <c r="G14795" t="n">
        <v>4.8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20200-2024</t>
        </is>
      </c>
      <c r="B14796" s="1" t="n">
        <v>45434</v>
      </c>
      <c r="C14796" s="1" t="n">
        <v>45810</v>
      </c>
      <c r="D14796" t="inlineStr">
        <is>
          <t>VÄRMLANDS LÄN</t>
        </is>
      </c>
      <c r="E14796" t="inlineStr">
        <is>
          <t>FILIPSTAD</t>
        </is>
      </c>
      <c r="F14796" t="inlineStr">
        <is>
          <t>Bergvik skog väst AB</t>
        </is>
      </c>
      <c r="G14796" t="n">
        <v>4.4</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20148-2024</t>
        </is>
      </c>
      <c r="B14797" s="1" t="n">
        <v>45434</v>
      </c>
      <c r="C14797" s="1" t="n">
        <v>45810</v>
      </c>
      <c r="D14797" t="inlineStr">
        <is>
          <t>VÄRMLANDS LÄN</t>
        </is>
      </c>
      <c r="E14797" t="inlineStr">
        <is>
          <t>SUNNE</t>
        </is>
      </c>
      <c r="G14797" t="n">
        <v>1.7</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20344-2024</t>
        </is>
      </c>
      <c r="B14798" s="1" t="n">
        <v>45435</v>
      </c>
      <c r="C14798" s="1" t="n">
        <v>45810</v>
      </c>
      <c r="D14798" t="inlineStr">
        <is>
          <t>VÄRMLANDS LÄN</t>
        </is>
      </c>
      <c r="E14798" t="inlineStr">
        <is>
          <t>FILIPSTAD</t>
        </is>
      </c>
      <c r="F14798" t="inlineStr">
        <is>
          <t>Bergvik skog väst AB</t>
        </is>
      </c>
      <c r="G14798" t="n">
        <v>1.8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20364-2024</t>
        </is>
      </c>
      <c r="B14799" s="1" t="n">
        <v>45435</v>
      </c>
      <c r="C14799" s="1" t="n">
        <v>45810</v>
      </c>
      <c r="D14799" t="inlineStr">
        <is>
          <t>VÄRMLANDS LÄN</t>
        </is>
      </c>
      <c r="E14799" t="inlineStr">
        <is>
          <t>KARLSTAD</t>
        </is>
      </c>
      <c r="G14799" t="n">
        <v>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20404-2024</t>
        </is>
      </c>
      <c r="B14800" s="1" t="n">
        <v>45435</v>
      </c>
      <c r="C14800" s="1" t="n">
        <v>45810</v>
      </c>
      <c r="D14800" t="inlineStr">
        <is>
          <t>VÄRMLANDS LÄN</t>
        </is>
      </c>
      <c r="E14800" t="inlineStr">
        <is>
          <t>KIL</t>
        </is>
      </c>
      <c r="F14800" t="inlineStr">
        <is>
          <t>Bergvik skog väst AB</t>
        </is>
      </c>
      <c r="G14800" t="n">
        <v>2.8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20296-2024</t>
        </is>
      </c>
      <c r="B14801" s="1" t="n">
        <v>45435</v>
      </c>
      <c r="C14801" s="1" t="n">
        <v>45810</v>
      </c>
      <c r="D14801" t="inlineStr">
        <is>
          <t>VÄRMLANDS LÄN</t>
        </is>
      </c>
      <c r="E14801" t="inlineStr">
        <is>
          <t>GRUMS</t>
        </is>
      </c>
      <c r="G14801" t="n">
        <v>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20383-2024</t>
        </is>
      </c>
      <c r="B14802" s="1" t="n">
        <v>45435</v>
      </c>
      <c r="C14802" s="1" t="n">
        <v>45810</v>
      </c>
      <c r="D14802" t="inlineStr">
        <is>
          <t>VÄRMLANDS LÄN</t>
        </is>
      </c>
      <c r="E14802" t="inlineStr">
        <is>
          <t>FILIPSTAD</t>
        </is>
      </c>
      <c r="F14802" t="inlineStr">
        <is>
          <t>Bergvik skog väst AB</t>
        </is>
      </c>
      <c r="G14802" t="n">
        <v>3.6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20369-2024</t>
        </is>
      </c>
      <c r="B14803" s="1" t="n">
        <v>45435</v>
      </c>
      <c r="C14803" s="1" t="n">
        <v>45810</v>
      </c>
      <c r="D14803" t="inlineStr">
        <is>
          <t>VÄRMLANDS LÄN</t>
        </is>
      </c>
      <c r="E14803" t="inlineStr">
        <is>
          <t>GRUMS</t>
        </is>
      </c>
      <c r="G14803" t="n">
        <v>1.4</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20385-2024</t>
        </is>
      </c>
      <c r="B14804" s="1" t="n">
        <v>45435</v>
      </c>
      <c r="C14804" s="1" t="n">
        <v>45810</v>
      </c>
      <c r="D14804" t="inlineStr">
        <is>
          <t>VÄRMLANDS LÄN</t>
        </is>
      </c>
      <c r="E14804" t="inlineStr">
        <is>
          <t>FILIPSTAD</t>
        </is>
      </c>
      <c r="F14804" t="inlineStr">
        <is>
          <t>Bergvik skog väst AB</t>
        </is>
      </c>
      <c r="G14804" t="n">
        <v>1.8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20401-2024</t>
        </is>
      </c>
      <c r="B14805" s="1" t="n">
        <v>45435</v>
      </c>
      <c r="C14805" s="1" t="n">
        <v>45810</v>
      </c>
      <c r="D14805" t="inlineStr">
        <is>
          <t>VÄRMLANDS LÄN</t>
        </is>
      </c>
      <c r="E14805" t="inlineStr">
        <is>
          <t>ARVIKA</t>
        </is>
      </c>
      <c r="F14805" t="inlineStr">
        <is>
          <t>Bergvik skog väst AB</t>
        </is>
      </c>
      <c r="G14805" t="n">
        <v>13.1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20387-2024</t>
        </is>
      </c>
      <c r="B14806" s="1" t="n">
        <v>45435</v>
      </c>
      <c r="C14806" s="1" t="n">
        <v>45810</v>
      </c>
      <c r="D14806" t="inlineStr">
        <is>
          <t>VÄRMLANDS LÄN</t>
        </is>
      </c>
      <c r="E14806" t="inlineStr">
        <is>
          <t>FILIPSTAD</t>
        </is>
      </c>
      <c r="F14806" t="inlineStr">
        <is>
          <t>Bergvik skog väst AB</t>
        </is>
      </c>
      <c r="G14806" t="n">
        <v>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20449-2024</t>
        </is>
      </c>
      <c r="B14807" s="1" t="n">
        <v>45435</v>
      </c>
      <c r="C14807" s="1" t="n">
        <v>45810</v>
      </c>
      <c r="D14807" t="inlineStr">
        <is>
          <t>VÄRMLANDS LÄN</t>
        </is>
      </c>
      <c r="E14807" t="inlineStr">
        <is>
          <t>EDA</t>
        </is>
      </c>
      <c r="G14807" t="n">
        <v>2.5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20469-2024</t>
        </is>
      </c>
      <c r="B14808" s="1" t="n">
        <v>45435</v>
      </c>
      <c r="C14808" s="1" t="n">
        <v>45810</v>
      </c>
      <c r="D14808" t="inlineStr">
        <is>
          <t>VÄRMLANDS LÄN</t>
        </is>
      </c>
      <c r="E14808" t="inlineStr">
        <is>
          <t>ARVIKA</t>
        </is>
      </c>
      <c r="G14808" t="n">
        <v>2.5</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20422-2024</t>
        </is>
      </c>
      <c r="B14809" s="1" t="n">
        <v>45435</v>
      </c>
      <c r="C14809" s="1" t="n">
        <v>45810</v>
      </c>
      <c r="D14809" t="inlineStr">
        <is>
          <t>VÄRMLANDS LÄN</t>
        </is>
      </c>
      <c r="E14809" t="inlineStr">
        <is>
          <t>ARVIKA</t>
        </is>
      </c>
      <c r="F14809" t="inlineStr">
        <is>
          <t>Bergvik skog väst AB</t>
        </is>
      </c>
      <c r="G14809" t="n">
        <v>10.3</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20342-2024</t>
        </is>
      </c>
      <c r="B14810" s="1" t="n">
        <v>45435</v>
      </c>
      <c r="C14810" s="1" t="n">
        <v>45810</v>
      </c>
      <c r="D14810" t="inlineStr">
        <is>
          <t>VÄRMLANDS LÄN</t>
        </is>
      </c>
      <c r="E14810" t="inlineStr">
        <is>
          <t>FILIPSTAD</t>
        </is>
      </c>
      <c r="F14810" t="inlineStr">
        <is>
          <t>Bergvik skog väst AB</t>
        </is>
      </c>
      <c r="G14810" t="n">
        <v>1.2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20440-2024</t>
        </is>
      </c>
      <c r="B14811" s="1" t="n">
        <v>45435</v>
      </c>
      <c r="C14811" s="1" t="n">
        <v>45810</v>
      </c>
      <c r="D14811" t="inlineStr">
        <is>
          <t>VÄRMLANDS LÄN</t>
        </is>
      </c>
      <c r="E14811" t="inlineStr">
        <is>
          <t>TORSBY</t>
        </is>
      </c>
      <c r="G14811" t="n">
        <v>0.8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20444-2024</t>
        </is>
      </c>
      <c r="B14812" s="1" t="n">
        <v>45435</v>
      </c>
      <c r="C14812" s="1" t="n">
        <v>45810</v>
      </c>
      <c r="D14812" t="inlineStr">
        <is>
          <t>VÄRMLANDS LÄN</t>
        </is>
      </c>
      <c r="E14812" t="inlineStr">
        <is>
          <t>HAGFORS</t>
        </is>
      </c>
      <c r="F14812" t="inlineStr">
        <is>
          <t>Bergvik skog väst AB</t>
        </is>
      </c>
      <c r="G14812" t="n">
        <v>5.7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20472-2024</t>
        </is>
      </c>
      <c r="B14813" s="1" t="n">
        <v>45435</v>
      </c>
      <c r="C14813" s="1" t="n">
        <v>45810</v>
      </c>
      <c r="D14813" t="inlineStr">
        <is>
          <t>VÄRMLANDS LÄN</t>
        </is>
      </c>
      <c r="E14813" t="inlineStr">
        <is>
          <t>TORSBY</t>
        </is>
      </c>
      <c r="F14813" t="inlineStr">
        <is>
          <t>Bergvik skog väst AB</t>
        </is>
      </c>
      <c r="G14813" t="n">
        <v>46.1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20476-2024</t>
        </is>
      </c>
      <c r="B14814" s="1" t="n">
        <v>45435</v>
      </c>
      <c r="C14814" s="1" t="n">
        <v>45810</v>
      </c>
      <c r="D14814" t="inlineStr">
        <is>
          <t>VÄRMLANDS LÄN</t>
        </is>
      </c>
      <c r="E14814" t="inlineStr">
        <is>
          <t>KIL</t>
        </is>
      </c>
      <c r="G14814" t="n">
        <v>0.8</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20435-2024</t>
        </is>
      </c>
      <c r="B14815" s="1" t="n">
        <v>45435</v>
      </c>
      <c r="C14815" s="1" t="n">
        <v>45810</v>
      </c>
      <c r="D14815" t="inlineStr">
        <is>
          <t>VÄRMLANDS LÄN</t>
        </is>
      </c>
      <c r="E14815" t="inlineStr">
        <is>
          <t>SUNNE</t>
        </is>
      </c>
      <c r="G14815" t="n">
        <v>11.9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20447-2024</t>
        </is>
      </c>
      <c r="B14816" s="1" t="n">
        <v>45435</v>
      </c>
      <c r="C14816" s="1" t="n">
        <v>45810</v>
      </c>
      <c r="D14816" t="inlineStr">
        <is>
          <t>VÄRMLANDS LÄN</t>
        </is>
      </c>
      <c r="E14816" t="inlineStr">
        <is>
          <t>HAGFORS</t>
        </is>
      </c>
      <c r="F14816" t="inlineStr">
        <is>
          <t>Bergvik skog väst AB</t>
        </is>
      </c>
      <c r="G14816" t="n">
        <v>3.5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20463-2024</t>
        </is>
      </c>
      <c r="B14817" s="1" t="n">
        <v>45435</v>
      </c>
      <c r="C14817" s="1" t="n">
        <v>45810</v>
      </c>
      <c r="D14817" t="inlineStr">
        <is>
          <t>VÄRMLANDS LÄN</t>
        </is>
      </c>
      <c r="E14817" t="inlineStr">
        <is>
          <t>ÅRJÄNG</t>
        </is>
      </c>
      <c r="G14817" t="n">
        <v>3.2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20467-2024</t>
        </is>
      </c>
      <c r="B14818" s="1" t="n">
        <v>45435</v>
      </c>
      <c r="C14818" s="1" t="n">
        <v>45810</v>
      </c>
      <c r="D14818" t="inlineStr">
        <is>
          <t>VÄRMLANDS LÄN</t>
        </is>
      </c>
      <c r="E14818" t="inlineStr">
        <is>
          <t>ARVIKA</t>
        </is>
      </c>
      <c r="F14818" t="inlineStr">
        <is>
          <t>Bergvik skog väst AB</t>
        </is>
      </c>
      <c r="G14818" t="n">
        <v>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20471-2024</t>
        </is>
      </c>
      <c r="B14819" s="1" t="n">
        <v>45435</v>
      </c>
      <c r="C14819" s="1" t="n">
        <v>45810</v>
      </c>
      <c r="D14819" t="inlineStr">
        <is>
          <t>VÄRMLANDS LÄN</t>
        </is>
      </c>
      <c r="E14819" t="inlineStr">
        <is>
          <t>EDA</t>
        </is>
      </c>
      <c r="G14819" t="n">
        <v>2.2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20495-2024</t>
        </is>
      </c>
      <c r="B14820" s="1" t="n">
        <v>45435</v>
      </c>
      <c r="C14820" s="1" t="n">
        <v>45810</v>
      </c>
      <c r="D14820" t="inlineStr">
        <is>
          <t>VÄRMLANDS LÄN</t>
        </is>
      </c>
      <c r="E14820" t="inlineStr">
        <is>
          <t>EDA</t>
        </is>
      </c>
      <c r="G14820" t="n">
        <v>1.2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20294-2024</t>
        </is>
      </c>
      <c r="B14821" s="1" t="n">
        <v>45435</v>
      </c>
      <c r="C14821" s="1" t="n">
        <v>45810</v>
      </c>
      <c r="D14821" t="inlineStr">
        <is>
          <t>VÄRMLANDS LÄN</t>
        </is>
      </c>
      <c r="E14821" t="inlineStr">
        <is>
          <t>GRUMS</t>
        </is>
      </c>
      <c r="G14821" t="n">
        <v>3</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20645-2024</t>
        </is>
      </c>
      <c r="B14822" s="1" t="n">
        <v>45436</v>
      </c>
      <c r="C14822" s="1" t="n">
        <v>45810</v>
      </c>
      <c r="D14822" t="inlineStr">
        <is>
          <t>VÄRMLANDS LÄN</t>
        </is>
      </c>
      <c r="E14822" t="inlineStr">
        <is>
          <t>TORSBY</t>
        </is>
      </c>
      <c r="G14822" t="n">
        <v>2.1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20662-2024</t>
        </is>
      </c>
      <c r="B14823" s="1" t="n">
        <v>45436</v>
      </c>
      <c r="C14823" s="1" t="n">
        <v>45810</v>
      </c>
      <c r="D14823" t="inlineStr">
        <is>
          <t>VÄRMLANDS LÄN</t>
        </is>
      </c>
      <c r="E14823" t="inlineStr">
        <is>
          <t>HAGFORS</t>
        </is>
      </c>
      <c r="F14823" t="inlineStr">
        <is>
          <t>Bergvik skog väst AB</t>
        </is>
      </c>
      <c r="G14823" t="n">
        <v>15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20725-2024</t>
        </is>
      </c>
      <c r="B14824" s="1" t="n">
        <v>45436</v>
      </c>
      <c r="C14824" s="1" t="n">
        <v>45810</v>
      </c>
      <c r="D14824" t="inlineStr">
        <is>
          <t>VÄRMLANDS LÄN</t>
        </is>
      </c>
      <c r="E14824" t="inlineStr">
        <is>
          <t>TORSBY</t>
        </is>
      </c>
      <c r="F14824" t="inlineStr">
        <is>
          <t>Bergvik skog väst AB</t>
        </is>
      </c>
      <c r="G14824" t="n">
        <v>5.7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20745-2024</t>
        </is>
      </c>
      <c r="B14825" s="1" t="n">
        <v>45436</v>
      </c>
      <c r="C14825" s="1" t="n">
        <v>45810</v>
      </c>
      <c r="D14825" t="inlineStr">
        <is>
          <t>VÄRMLANDS LÄN</t>
        </is>
      </c>
      <c r="E14825" t="inlineStr">
        <is>
          <t>KIL</t>
        </is>
      </c>
      <c r="G14825" t="n">
        <v>1.8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20586-2024</t>
        </is>
      </c>
      <c r="B14826" s="1" t="n">
        <v>45436</v>
      </c>
      <c r="C14826" s="1" t="n">
        <v>45810</v>
      </c>
      <c r="D14826" t="inlineStr">
        <is>
          <t>VÄRMLANDS LÄN</t>
        </is>
      </c>
      <c r="E14826" t="inlineStr">
        <is>
          <t>SUNNE</t>
        </is>
      </c>
      <c r="G14826" t="n">
        <v>5.9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20608-2024</t>
        </is>
      </c>
      <c r="B14827" s="1" t="n">
        <v>45436</v>
      </c>
      <c r="C14827" s="1" t="n">
        <v>45810</v>
      </c>
      <c r="D14827" t="inlineStr">
        <is>
          <t>VÄRMLANDS LÄN</t>
        </is>
      </c>
      <c r="E14827" t="inlineStr">
        <is>
          <t>HAGFORS</t>
        </is>
      </c>
      <c r="F14827" t="inlineStr">
        <is>
          <t>Bergvik skog väst AB</t>
        </is>
      </c>
      <c r="G14827" t="n">
        <v>13.6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20657-2024</t>
        </is>
      </c>
      <c r="B14828" s="1" t="n">
        <v>45436</v>
      </c>
      <c r="C14828" s="1" t="n">
        <v>45810</v>
      </c>
      <c r="D14828" t="inlineStr">
        <is>
          <t>VÄRMLANDS LÄN</t>
        </is>
      </c>
      <c r="E14828" t="inlineStr">
        <is>
          <t>FILIPSTAD</t>
        </is>
      </c>
      <c r="F14828" t="inlineStr">
        <is>
          <t>Bergvik skog väst AB</t>
        </is>
      </c>
      <c r="G14828" t="n">
        <v>9.1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20661-2024</t>
        </is>
      </c>
      <c r="B14829" s="1" t="n">
        <v>45436</v>
      </c>
      <c r="C14829" s="1" t="n">
        <v>45810</v>
      </c>
      <c r="D14829" t="inlineStr">
        <is>
          <t>VÄRMLANDS LÄN</t>
        </is>
      </c>
      <c r="E14829" t="inlineStr">
        <is>
          <t>FILIPSTAD</t>
        </is>
      </c>
      <c r="G14829" t="n">
        <v>0.8</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20696-2024</t>
        </is>
      </c>
      <c r="B14830" s="1" t="n">
        <v>45436</v>
      </c>
      <c r="C14830" s="1" t="n">
        <v>45810</v>
      </c>
      <c r="D14830" t="inlineStr">
        <is>
          <t>VÄRMLANDS LÄN</t>
        </is>
      </c>
      <c r="E14830" t="inlineStr">
        <is>
          <t>HAGFORS</t>
        </is>
      </c>
      <c r="F14830" t="inlineStr">
        <is>
          <t>Bergvik skog väst AB</t>
        </is>
      </c>
      <c r="G14830" t="n">
        <v>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20743-2024</t>
        </is>
      </c>
      <c r="B14831" s="1" t="n">
        <v>45436</v>
      </c>
      <c r="C14831" s="1" t="n">
        <v>45810</v>
      </c>
      <c r="D14831" t="inlineStr">
        <is>
          <t>VÄRMLANDS LÄN</t>
        </is>
      </c>
      <c r="E14831" t="inlineStr">
        <is>
          <t>KIL</t>
        </is>
      </c>
      <c r="G14831" t="n">
        <v>1.4</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20633-2024</t>
        </is>
      </c>
      <c r="B14832" s="1" t="n">
        <v>45436</v>
      </c>
      <c r="C14832" s="1" t="n">
        <v>45810</v>
      </c>
      <c r="D14832" t="inlineStr">
        <is>
          <t>VÄRMLANDS LÄN</t>
        </is>
      </c>
      <c r="E14832" t="inlineStr">
        <is>
          <t>TORSBY</t>
        </is>
      </c>
      <c r="G14832" t="n">
        <v>2.2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20597-2024</t>
        </is>
      </c>
      <c r="B14833" s="1" t="n">
        <v>45436</v>
      </c>
      <c r="C14833" s="1" t="n">
        <v>45810</v>
      </c>
      <c r="D14833" t="inlineStr">
        <is>
          <t>VÄRMLANDS LÄN</t>
        </is>
      </c>
      <c r="E14833" t="inlineStr">
        <is>
          <t>SUNNE</t>
        </is>
      </c>
      <c r="G14833" t="n">
        <v>0.9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20663-2024</t>
        </is>
      </c>
      <c r="B14834" s="1" t="n">
        <v>45436</v>
      </c>
      <c r="C14834" s="1" t="n">
        <v>45810</v>
      </c>
      <c r="D14834" t="inlineStr">
        <is>
          <t>VÄRMLANDS LÄN</t>
        </is>
      </c>
      <c r="E14834" t="inlineStr">
        <is>
          <t>FILIPSTAD</t>
        </is>
      </c>
      <c r="F14834" t="inlineStr">
        <is>
          <t>Bergvik skog väst AB</t>
        </is>
      </c>
      <c r="G14834" t="n">
        <v>0.7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20537-2024</t>
        </is>
      </c>
      <c r="B14835" s="1" t="n">
        <v>45436</v>
      </c>
      <c r="C14835" s="1" t="n">
        <v>45810</v>
      </c>
      <c r="D14835" t="inlineStr">
        <is>
          <t>VÄRMLANDS LÄN</t>
        </is>
      </c>
      <c r="E14835" t="inlineStr">
        <is>
          <t>TORSBY</t>
        </is>
      </c>
      <c r="G14835" t="n">
        <v>1.6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20615-2024</t>
        </is>
      </c>
      <c r="B14836" s="1" t="n">
        <v>45436</v>
      </c>
      <c r="C14836" s="1" t="n">
        <v>45810</v>
      </c>
      <c r="D14836" t="inlineStr">
        <is>
          <t>VÄRMLANDS LÄN</t>
        </is>
      </c>
      <c r="E14836" t="inlineStr">
        <is>
          <t>SUNNE</t>
        </is>
      </c>
      <c r="G14836" t="n">
        <v>2.8</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20627-2024</t>
        </is>
      </c>
      <c r="B14837" s="1" t="n">
        <v>45436</v>
      </c>
      <c r="C14837" s="1" t="n">
        <v>45810</v>
      </c>
      <c r="D14837" t="inlineStr">
        <is>
          <t>VÄRMLANDS LÄN</t>
        </is>
      </c>
      <c r="E14837" t="inlineStr">
        <is>
          <t>HAGFORS</t>
        </is>
      </c>
      <c r="F14837" t="inlineStr">
        <is>
          <t>Bergvik skog väst AB</t>
        </is>
      </c>
      <c r="G14837" t="n">
        <v>2.6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20647-2024</t>
        </is>
      </c>
      <c r="B14838" s="1" t="n">
        <v>45436</v>
      </c>
      <c r="C14838" s="1" t="n">
        <v>45810</v>
      </c>
      <c r="D14838" t="inlineStr">
        <is>
          <t>VÄRMLANDS LÄN</t>
        </is>
      </c>
      <c r="E14838" t="inlineStr">
        <is>
          <t>TORSBY</t>
        </is>
      </c>
      <c r="G14838" t="n">
        <v>1.3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20672-2024</t>
        </is>
      </c>
      <c r="B14839" s="1" t="n">
        <v>45436</v>
      </c>
      <c r="C14839" s="1" t="n">
        <v>45810</v>
      </c>
      <c r="D14839" t="inlineStr">
        <is>
          <t>VÄRMLANDS LÄN</t>
        </is>
      </c>
      <c r="E14839" t="inlineStr">
        <is>
          <t>SÄFFLE</t>
        </is>
      </c>
      <c r="F14839" t="inlineStr">
        <is>
          <t>Kyrkan</t>
        </is>
      </c>
      <c r="G14839" t="n">
        <v>2.8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20682-2024</t>
        </is>
      </c>
      <c r="B14840" s="1" t="n">
        <v>45436</v>
      </c>
      <c r="C14840" s="1" t="n">
        <v>45810</v>
      </c>
      <c r="D14840" t="inlineStr">
        <is>
          <t>VÄRMLANDS LÄN</t>
        </is>
      </c>
      <c r="E14840" t="inlineStr">
        <is>
          <t>HAGFORS</t>
        </is>
      </c>
      <c r="F14840" t="inlineStr">
        <is>
          <t>Bergvik skog väst AB</t>
        </is>
      </c>
      <c r="G14840" t="n">
        <v>2.3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20686-2024</t>
        </is>
      </c>
      <c r="B14841" s="1" t="n">
        <v>45436</v>
      </c>
      <c r="C14841" s="1" t="n">
        <v>45810</v>
      </c>
      <c r="D14841" t="inlineStr">
        <is>
          <t>VÄRMLANDS LÄN</t>
        </is>
      </c>
      <c r="E14841" t="inlineStr">
        <is>
          <t>FILIPSTAD</t>
        </is>
      </c>
      <c r="F14841" t="inlineStr">
        <is>
          <t>Bergvik skog väst AB</t>
        </is>
      </c>
      <c r="G14841" t="n">
        <v>7.5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20793-2024</t>
        </is>
      </c>
      <c r="B14842" s="1" t="n">
        <v>45438</v>
      </c>
      <c r="C14842" s="1" t="n">
        <v>45810</v>
      </c>
      <c r="D14842" t="inlineStr">
        <is>
          <t>VÄRMLANDS LÄN</t>
        </is>
      </c>
      <c r="E14842" t="inlineStr">
        <is>
          <t>ARVIKA</t>
        </is>
      </c>
      <c r="F14842" t="inlineStr">
        <is>
          <t>Bergvik skog väst AB</t>
        </is>
      </c>
      <c r="G14842" t="n">
        <v>9.800000000000001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20869-2024</t>
        </is>
      </c>
      <c r="B14843" s="1" t="n">
        <v>45439</v>
      </c>
      <c r="C14843" s="1" t="n">
        <v>45810</v>
      </c>
      <c r="D14843" t="inlineStr">
        <is>
          <t>VÄRMLANDS LÄN</t>
        </is>
      </c>
      <c r="E14843" t="inlineStr">
        <is>
          <t>HAGFORS</t>
        </is>
      </c>
      <c r="F14843" t="inlineStr">
        <is>
          <t>Bergvik skog väst AB</t>
        </is>
      </c>
      <c r="G14843" t="n">
        <v>7.3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20910-2024</t>
        </is>
      </c>
      <c r="B14844" s="1" t="n">
        <v>45439</v>
      </c>
      <c r="C14844" s="1" t="n">
        <v>45810</v>
      </c>
      <c r="D14844" t="inlineStr">
        <is>
          <t>VÄRMLANDS LÄN</t>
        </is>
      </c>
      <c r="E14844" t="inlineStr">
        <is>
          <t>SUNNE</t>
        </is>
      </c>
      <c r="F14844" t="inlineStr">
        <is>
          <t>Bergvik skog väst AB</t>
        </is>
      </c>
      <c r="G14844" t="n">
        <v>6.6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20905-2024</t>
        </is>
      </c>
      <c r="B14845" s="1" t="n">
        <v>45439</v>
      </c>
      <c r="C14845" s="1" t="n">
        <v>45810</v>
      </c>
      <c r="D14845" t="inlineStr">
        <is>
          <t>VÄRMLANDS LÄN</t>
        </is>
      </c>
      <c r="E14845" t="inlineStr">
        <is>
          <t>EDA</t>
        </is>
      </c>
      <c r="G14845" t="n">
        <v>3.2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20888-2024</t>
        </is>
      </c>
      <c r="B14846" s="1" t="n">
        <v>45439</v>
      </c>
      <c r="C14846" s="1" t="n">
        <v>45810</v>
      </c>
      <c r="D14846" t="inlineStr">
        <is>
          <t>VÄRMLANDS LÄN</t>
        </is>
      </c>
      <c r="E14846" t="inlineStr">
        <is>
          <t>GRUMS</t>
        </is>
      </c>
      <c r="G14846" t="n">
        <v>1.6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20884-2024</t>
        </is>
      </c>
      <c r="B14847" s="1" t="n">
        <v>45439</v>
      </c>
      <c r="C14847" s="1" t="n">
        <v>45810</v>
      </c>
      <c r="D14847" t="inlineStr">
        <is>
          <t>VÄRMLANDS LÄN</t>
        </is>
      </c>
      <c r="E14847" t="inlineStr">
        <is>
          <t>ARVIKA</t>
        </is>
      </c>
      <c r="G14847" t="n">
        <v>1.9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20880-2024</t>
        </is>
      </c>
      <c r="B14848" s="1" t="n">
        <v>45439</v>
      </c>
      <c r="C14848" s="1" t="n">
        <v>45810</v>
      </c>
      <c r="D14848" t="inlineStr">
        <is>
          <t>VÄRMLANDS LÄN</t>
        </is>
      </c>
      <c r="E14848" t="inlineStr">
        <is>
          <t>FORSHAGA</t>
        </is>
      </c>
      <c r="G14848" t="n">
        <v>1.5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20872-2024</t>
        </is>
      </c>
      <c r="B14849" s="1" t="n">
        <v>45439</v>
      </c>
      <c r="C14849" s="1" t="n">
        <v>45810</v>
      </c>
      <c r="D14849" t="inlineStr">
        <is>
          <t>VÄRMLANDS LÄN</t>
        </is>
      </c>
      <c r="E14849" t="inlineStr">
        <is>
          <t>TORSBY</t>
        </is>
      </c>
      <c r="G14849" t="n">
        <v>7.4</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20844-2024</t>
        </is>
      </c>
      <c r="B14850" s="1" t="n">
        <v>45439</v>
      </c>
      <c r="C14850" s="1" t="n">
        <v>45810</v>
      </c>
      <c r="D14850" t="inlineStr">
        <is>
          <t>VÄRMLANDS LÄN</t>
        </is>
      </c>
      <c r="E14850" t="inlineStr">
        <is>
          <t>FILIPSTAD</t>
        </is>
      </c>
      <c r="G14850" t="n">
        <v>1.6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21013-2024</t>
        </is>
      </c>
      <c r="B14851" s="1" t="n">
        <v>45439</v>
      </c>
      <c r="C14851" s="1" t="n">
        <v>45810</v>
      </c>
      <c r="D14851" t="inlineStr">
        <is>
          <t>VÄRMLANDS LÄN</t>
        </is>
      </c>
      <c r="E14851" t="inlineStr">
        <is>
          <t>TORSBY</t>
        </is>
      </c>
      <c r="G14851" t="n">
        <v>2.8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21025-2024</t>
        </is>
      </c>
      <c r="B14852" s="1" t="n">
        <v>45439</v>
      </c>
      <c r="C14852" s="1" t="n">
        <v>45810</v>
      </c>
      <c r="D14852" t="inlineStr">
        <is>
          <t>VÄRMLANDS LÄN</t>
        </is>
      </c>
      <c r="E14852" t="inlineStr">
        <is>
          <t>ARVIKA</t>
        </is>
      </c>
      <c r="G14852" t="n">
        <v>7.1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21047-2024</t>
        </is>
      </c>
      <c r="B14853" s="1" t="n">
        <v>45439</v>
      </c>
      <c r="C14853" s="1" t="n">
        <v>45810</v>
      </c>
      <c r="D14853" t="inlineStr">
        <is>
          <t>VÄRMLANDS LÄN</t>
        </is>
      </c>
      <c r="E14853" t="inlineStr">
        <is>
          <t>ARVIKA</t>
        </is>
      </c>
      <c r="G14853" t="n">
        <v>0.8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21051-2024</t>
        </is>
      </c>
      <c r="B14854" s="1" t="n">
        <v>45439</v>
      </c>
      <c r="C14854" s="1" t="n">
        <v>45810</v>
      </c>
      <c r="D14854" t="inlineStr">
        <is>
          <t>VÄRMLANDS LÄN</t>
        </is>
      </c>
      <c r="E14854" t="inlineStr">
        <is>
          <t>ARVIKA</t>
        </is>
      </c>
      <c r="G14854" t="n">
        <v>0.7</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21065-2024</t>
        </is>
      </c>
      <c r="B14855" s="1" t="n">
        <v>45439</v>
      </c>
      <c r="C14855" s="1" t="n">
        <v>45810</v>
      </c>
      <c r="D14855" t="inlineStr">
        <is>
          <t>VÄRMLANDS LÄN</t>
        </is>
      </c>
      <c r="E14855" t="inlineStr">
        <is>
          <t>HAGFORS</t>
        </is>
      </c>
      <c r="F14855" t="inlineStr">
        <is>
          <t>Bergvik skog väst AB</t>
        </is>
      </c>
      <c r="G14855" t="n">
        <v>6.2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21074-2024</t>
        </is>
      </c>
      <c r="B14856" s="1" t="n">
        <v>45439</v>
      </c>
      <c r="C14856" s="1" t="n">
        <v>45810</v>
      </c>
      <c r="D14856" t="inlineStr">
        <is>
          <t>VÄRMLANDS LÄN</t>
        </is>
      </c>
      <c r="E14856" t="inlineStr">
        <is>
          <t>SÄFFLE</t>
        </is>
      </c>
      <c r="G14856" t="n">
        <v>2.9</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21044-2024</t>
        </is>
      </c>
      <c r="B14857" s="1" t="n">
        <v>45439</v>
      </c>
      <c r="C14857" s="1" t="n">
        <v>45810</v>
      </c>
      <c r="D14857" t="inlineStr">
        <is>
          <t>VÄRMLANDS LÄN</t>
        </is>
      </c>
      <c r="E14857" t="inlineStr">
        <is>
          <t>FORSHAGA</t>
        </is>
      </c>
      <c r="G14857" t="n">
        <v>4.4</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20988-2024</t>
        </is>
      </c>
      <c r="B14858" s="1" t="n">
        <v>45439</v>
      </c>
      <c r="C14858" s="1" t="n">
        <v>45810</v>
      </c>
      <c r="D14858" t="inlineStr">
        <is>
          <t>VÄRMLANDS LÄN</t>
        </is>
      </c>
      <c r="E14858" t="inlineStr">
        <is>
          <t>FORSHAGA</t>
        </is>
      </c>
      <c r="G14858" t="n">
        <v>8.699999999999999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20963-2024</t>
        </is>
      </c>
      <c r="B14859" s="1" t="n">
        <v>45439</v>
      </c>
      <c r="C14859" s="1" t="n">
        <v>45810</v>
      </c>
      <c r="D14859" t="inlineStr">
        <is>
          <t>VÄRMLANDS LÄN</t>
        </is>
      </c>
      <c r="E14859" t="inlineStr">
        <is>
          <t>ÅRJÄNG</t>
        </is>
      </c>
      <c r="F14859" t="inlineStr">
        <is>
          <t>Bergvik skog väst AB</t>
        </is>
      </c>
      <c r="G14859" t="n">
        <v>0.8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20943-2024</t>
        </is>
      </c>
      <c r="B14860" s="1" t="n">
        <v>45439</v>
      </c>
      <c r="C14860" s="1" t="n">
        <v>45810</v>
      </c>
      <c r="D14860" t="inlineStr">
        <is>
          <t>VÄRMLANDS LÄN</t>
        </is>
      </c>
      <c r="E14860" t="inlineStr">
        <is>
          <t>SUNNE</t>
        </is>
      </c>
      <c r="F14860" t="inlineStr">
        <is>
          <t>Bergvik skog väst AB</t>
        </is>
      </c>
      <c r="G14860" t="n">
        <v>0.5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21007-2024</t>
        </is>
      </c>
      <c r="B14861" s="1" t="n">
        <v>45439</v>
      </c>
      <c r="C14861" s="1" t="n">
        <v>45810</v>
      </c>
      <c r="D14861" t="inlineStr">
        <is>
          <t>VÄRMLANDS LÄN</t>
        </is>
      </c>
      <c r="E14861" t="inlineStr">
        <is>
          <t>ARVIKA</t>
        </is>
      </c>
      <c r="F14861" t="inlineStr">
        <is>
          <t>Bergvik skog väst AB</t>
        </is>
      </c>
      <c r="G14861" t="n">
        <v>1.6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20982-2024</t>
        </is>
      </c>
      <c r="B14862" s="1" t="n">
        <v>45439</v>
      </c>
      <c r="C14862" s="1" t="n">
        <v>45810</v>
      </c>
      <c r="D14862" t="inlineStr">
        <is>
          <t>VÄRMLANDS LÄN</t>
        </is>
      </c>
      <c r="E14862" t="inlineStr">
        <is>
          <t>TORSBY</t>
        </is>
      </c>
      <c r="F14862" t="inlineStr">
        <is>
          <t>Bergvik skog väst AB</t>
        </is>
      </c>
      <c r="G14862" t="n">
        <v>10.2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20978-2024</t>
        </is>
      </c>
      <c r="B14863" s="1" t="n">
        <v>45439</v>
      </c>
      <c r="C14863" s="1" t="n">
        <v>45810</v>
      </c>
      <c r="D14863" t="inlineStr">
        <is>
          <t>VÄRMLANDS LÄN</t>
        </is>
      </c>
      <c r="E14863" t="inlineStr">
        <is>
          <t>EDA</t>
        </is>
      </c>
      <c r="F14863" t="inlineStr">
        <is>
          <t>Kyrkan</t>
        </is>
      </c>
      <c r="G14863" t="n">
        <v>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20965-2024</t>
        </is>
      </c>
      <c r="B14864" s="1" t="n">
        <v>45439</v>
      </c>
      <c r="C14864" s="1" t="n">
        <v>45810</v>
      </c>
      <c r="D14864" t="inlineStr">
        <is>
          <t>VÄRMLANDS LÄN</t>
        </is>
      </c>
      <c r="E14864" t="inlineStr">
        <is>
          <t>ÅRJÄNG</t>
        </is>
      </c>
      <c r="F14864" t="inlineStr">
        <is>
          <t>Bergvik skog väst AB</t>
        </is>
      </c>
      <c r="G14864" t="n">
        <v>5.3</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20957-2024</t>
        </is>
      </c>
      <c r="B14865" s="1" t="n">
        <v>45439</v>
      </c>
      <c r="C14865" s="1" t="n">
        <v>45810</v>
      </c>
      <c r="D14865" t="inlineStr">
        <is>
          <t>VÄRMLANDS LÄN</t>
        </is>
      </c>
      <c r="E14865" t="inlineStr">
        <is>
          <t>FILIPSTAD</t>
        </is>
      </c>
      <c r="F14865" t="inlineStr">
        <is>
          <t>Bergvik skog väst AB</t>
        </is>
      </c>
      <c r="G14865" t="n">
        <v>1.7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20953-2024</t>
        </is>
      </c>
      <c r="B14866" s="1" t="n">
        <v>45439</v>
      </c>
      <c r="C14866" s="1" t="n">
        <v>45810</v>
      </c>
      <c r="D14866" t="inlineStr">
        <is>
          <t>VÄRMLANDS LÄN</t>
        </is>
      </c>
      <c r="E14866" t="inlineStr">
        <is>
          <t>ARVIKA</t>
        </is>
      </c>
      <c r="F14866" t="inlineStr">
        <is>
          <t>Bergvik skog väst AB</t>
        </is>
      </c>
      <c r="G14866" t="n">
        <v>1.3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20949-2024</t>
        </is>
      </c>
      <c r="B14867" s="1" t="n">
        <v>45439</v>
      </c>
      <c r="C14867" s="1" t="n">
        <v>45810</v>
      </c>
      <c r="D14867" t="inlineStr">
        <is>
          <t>VÄRMLANDS LÄN</t>
        </is>
      </c>
      <c r="E14867" t="inlineStr">
        <is>
          <t>FILIPSTAD</t>
        </is>
      </c>
      <c r="F14867" t="inlineStr">
        <is>
          <t>Bergvik skog väst AB</t>
        </is>
      </c>
      <c r="G14867" t="n">
        <v>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20933-2024</t>
        </is>
      </c>
      <c r="B14868" s="1" t="n">
        <v>45439</v>
      </c>
      <c r="C14868" s="1" t="n">
        <v>45810</v>
      </c>
      <c r="D14868" t="inlineStr">
        <is>
          <t>VÄRMLANDS LÄN</t>
        </is>
      </c>
      <c r="E14868" t="inlineStr">
        <is>
          <t>FORSHAGA</t>
        </is>
      </c>
      <c r="G14868" t="n">
        <v>11.3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20875-2024</t>
        </is>
      </c>
      <c r="B14869" s="1" t="n">
        <v>45439</v>
      </c>
      <c r="C14869" s="1" t="n">
        <v>45810</v>
      </c>
      <c r="D14869" t="inlineStr">
        <is>
          <t>VÄRMLANDS LÄN</t>
        </is>
      </c>
      <c r="E14869" t="inlineStr">
        <is>
          <t>FILIPSTAD</t>
        </is>
      </c>
      <c r="F14869" t="inlineStr">
        <is>
          <t>Bergvik skog väst AB</t>
        </is>
      </c>
      <c r="G14869" t="n">
        <v>6.8</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20855-2024</t>
        </is>
      </c>
      <c r="B14870" s="1" t="n">
        <v>45439</v>
      </c>
      <c r="C14870" s="1" t="n">
        <v>45810</v>
      </c>
      <c r="D14870" t="inlineStr">
        <is>
          <t>VÄRMLANDS LÄN</t>
        </is>
      </c>
      <c r="E14870" t="inlineStr">
        <is>
          <t>KRISTINEHAMN</t>
        </is>
      </c>
      <c r="F14870" t="inlineStr">
        <is>
          <t>Sveaskog</t>
        </is>
      </c>
      <c r="G14870" t="n">
        <v>7.6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21042-2024</t>
        </is>
      </c>
      <c r="B14871" s="1" t="n">
        <v>45439</v>
      </c>
      <c r="C14871" s="1" t="n">
        <v>45810</v>
      </c>
      <c r="D14871" t="inlineStr">
        <is>
          <t>VÄRMLANDS LÄN</t>
        </is>
      </c>
      <c r="E14871" t="inlineStr">
        <is>
          <t>ARVIKA</t>
        </is>
      </c>
      <c r="G14871" t="n">
        <v>2.3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21038-2024</t>
        </is>
      </c>
      <c r="B14872" s="1" t="n">
        <v>45439</v>
      </c>
      <c r="C14872" s="1" t="n">
        <v>45810</v>
      </c>
      <c r="D14872" t="inlineStr">
        <is>
          <t>VÄRMLANDS LÄN</t>
        </is>
      </c>
      <c r="E14872" t="inlineStr">
        <is>
          <t>ARVIKA</t>
        </is>
      </c>
      <c r="G14872" t="n">
        <v>3.5</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21010-2024</t>
        </is>
      </c>
      <c r="B14873" s="1" t="n">
        <v>45439</v>
      </c>
      <c r="C14873" s="1" t="n">
        <v>45810</v>
      </c>
      <c r="D14873" t="inlineStr">
        <is>
          <t>VÄRMLANDS LÄN</t>
        </is>
      </c>
      <c r="E14873" t="inlineStr">
        <is>
          <t>SUNNE</t>
        </is>
      </c>
      <c r="G14873" t="n">
        <v>3.1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20985-2024</t>
        </is>
      </c>
      <c r="B14874" s="1" t="n">
        <v>45439</v>
      </c>
      <c r="C14874" s="1" t="n">
        <v>45810</v>
      </c>
      <c r="D14874" t="inlineStr">
        <is>
          <t>VÄRMLANDS LÄN</t>
        </is>
      </c>
      <c r="E14874" t="inlineStr">
        <is>
          <t>TORSBY</t>
        </is>
      </c>
      <c r="G14874" t="n">
        <v>3.2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20972-2024</t>
        </is>
      </c>
      <c r="B14875" s="1" t="n">
        <v>45439</v>
      </c>
      <c r="C14875" s="1" t="n">
        <v>45810</v>
      </c>
      <c r="D14875" t="inlineStr">
        <is>
          <t>VÄRMLANDS LÄN</t>
        </is>
      </c>
      <c r="E14875" t="inlineStr">
        <is>
          <t>ÅRJÄNG</t>
        </is>
      </c>
      <c r="G14875" t="n">
        <v>1.2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20968-2024</t>
        </is>
      </c>
      <c r="B14876" s="1" t="n">
        <v>45439</v>
      </c>
      <c r="C14876" s="1" t="n">
        <v>45810</v>
      </c>
      <c r="D14876" t="inlineStr">
        <is>
          <t>VÄRMLANDS LÄN</t>
        </is>
      </c>
      <c r="E14876" t="inlineStr">
        <is>
          <t>TORSBY</t>
        </is>
      </c>
      <c r="G14876" t="n">
        <v>0.6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20928-2024</t>
        </is>
      </c>
      <c r="B14877" s="1" t="n">
        <v>45439</v>
      </c>
      <c r="C14877" s="1" t="n">
        <v>45810</v>
      </c>
      <c r="D14877" t="inlineStr">
        <is>
          <t>VÄRMLANDS LÄN</t>
        </is>
      </c>
      <c r="E14877" t="inlineStr">
        <is>
          <t>FORSHAGA</t>
        </is>
      </c>
      <c r="G14877" t="n">
        <v>2.9</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21075-2024</t>
        </is>
      </c>
      <c r="B14878" s="1" t="n">
        <v>45440</v>
      </c>
      <c r="C14878" s="1" t="n">
        <v>45810</v>
      </c>
      <c r="D14878" t="inlineStr">
        <is>
          <t>VÄRMLANDS LÄN</t>
        </is>
      </c>
      <c r="E14878" t="inlineStr">
        <is>
          <t>SÄFFLE</t>
        </is>
      </c>
      <c r="G14878" t="n">
        <v>4.5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20886-2024</t>
        </is>
      </c>
      <c r="B14879" s="1" t="n">
        <v>45439</v>
      </c>
      <c r="C14879" s="1" t="n">
        <v>45810</v>
      </c>
      <c r="D14879" t="inlineStr">
        <is>
          <t>VÄRMLANDS LÄN</t>
        </is>
      </c>
      <c r="E14879" t="inlineStr">
        <is>
          <t>GRUMS</t>
        </is>
      </c>
      <c r="G14879" t="n">
        <v>5.5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20991-2024</t>
        </is>
      </c>
      <c r="B14880" s="1" t="n">
        <v>45439</v>
      </c>
      <c r="C14880" s="1" t="n">
        <v>45810</v>
      </c>
      <c r="D14880" t="inlineStr">
        <is>
          <t>VÄRMLANDS LÄN</t>
        </is>
      </c>
      <c r="E14880" t="inlineStr">
        <is>
          <t>FORSHAGA</t>
        </is>
      </c>
      <c r="F14880" t="inlineStr">
        <is>
          <t>Bergvik skog väst AB</t>
        </is>
      </c>
      <c r="G14880" t="n">
        <v>2.8</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20966-2024</t>
        </is>
      </c>
      <c r="B14881" s="1" t="n">
        <v>45439</v>
      </c>
      <c r="C14881" s="1" t="n">
        <v>45810</v>
      </c>
      <c r="D14881" t="inlineStr">
        <is>
          <t>VÄRMLANDS LÄN</t>
        </is>
      </c>
      <c r="E14881" t="inlineStr">
        <is>
          <t>FILIPSTAD</t>
        </is>
      </c>
      <c r="F14881" t="inlineStr">
        <is>
          <t>Bergvik skog väst AB</t>
        </is>
      </c>
      <c r="G14881" t="n">
        <v>0.9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20950-2024</t>
        </is>
      </c>
      <c r="B14882" s="1" t="n">
        <v>45439</v>
      </c>
      <c r="C14882" s="1" t="n">
        <v>45810</v>
      </c>
      <c r="D14882" t="inlineStr">
        <is>
          <t>VÄRMLANDS LÄN</t>
        </is>
      </c>
      <c r="E14882" t="inlineStr">
        <is>
          <t>SÄFFLE</t>
        </is>
      </c>
      <c r="G14882" t="n">
        <v>0.7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20918-2024</t>
        </is>
      </c>
      <c r="B14883" s="1" t="n">
        <v>45439</v>
      </c>
      <c r="C14883" s="1" t="n">
        <v>45810</v>
      </c>
      <c r="D14883" t="inlineStr">
        <is>
          <t>VÄRMLANDS LÄN</t>
        </is>
      </c>
      <c r="E14883" t="inlineStr">
        <is>
          <t>ARVIKA</t>
        </is>
      </c>
      <c r="G14883" t="n">
        <v>2.2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20862-2024</t>
        </is>
      </c>
      <c r="B14884" s="1" t="n">
        <v>45439</v>
      </c>
      <c r="C14884" s="1" t="n">
        <v>45810</v>
      </c>
      <c r="D14884" t="inlineStr">
        <is>
          <t>VÄRMLANDS LÄN</t>
        </is>
      </c>
      <c r="E14884" t="inlineStr">
        <is>
          <t>FORSHAGA</t>
        </is>
      </c>
      <c r="G14884" t="n">
        <v>9.199999999999999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21153-2024</t>
        </is>
      </c>
      <c r="B14885" s="1" t="n">
        <v>45440</v>
      </c>
      <c r="C14885" s="1" t="n">
        <v>45810</v>
      </c>
      <c r="D14885" t="inlineStr">
        <is>
          <t>VÄRMLANDS LÄN</t>
        </is>
      </c>
      <c r="E14885" t="inlineStr">
        <is>
          <t>SUNNE</t>
        </is>
      </c>
      <c r="G14885" t="n">
        <v>1.3</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21155-2024</t>
        </is>
      </c>
      <c r="B14886" s="1" t="n">
        <v>45440</v>
      </c>
      <c r="C14886" s="1" t="n">
        <v>45810</v>
      </c>
      <c r="D14886" t="inlineStr">
        <is>
          <t>VÄRMLANDS LÄN</t>
        </is>
      </c>
      <c r="E14886" t="inlineStr">
        <is>
          <t>ÅRJÄNG</t>
        </is>
      </c>
      <c r="G14886" t="n">
        <v>2.9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21208-2024</t>
        </is>
      </c>
      <c r="B14887" s="1" t="n">
        <v>45440</v>
      </c>
      <c r="C14887" s="1" t="n">
        <v>45810</v>
      </c>
      <c r="D14887" t="inlineStr">
        <is>
          <t>VÄRMLANDS LÄN</t>
        </is>
      </c>
      <c r="E14887" t="inlineStr">
        <is>
          <t>SUNNE</t>
        </is>
      </c>
      <c r="F14887" t="inlineStr">
        <is>
          <t>Bergvik skog väst AB</t>
        </is>
      </c>
      <c r="G14887" t="n">
        <v>12.1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21233-2024</t>
        </is>
      </c>
      <c r="B14888" s="1" t="n">
        <v>45440</v>
      </c>
      <c r="C14888" s="1" t="n">
        <v>45810</v>
      </c>
      <c r="D14888" t="inlineStr">
        <is>
          <t>VÄRMLANDS LÄN</t>
        </is>
      </c>
      <c r="E14888" t="inlineStr">
        <is>
          <t>ARVIKA</t>
        </is>
      </c>
      <c r="F14888" t="inlineStr">
        <is>
          <t>Bergvik skog väst AB</t>
        </is>
      </c>
      <c r="G14888" t="n">
        <v>2.1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21237-2024</t>
        </is>
      </c>
      <c r="B14889" s="1" t="n">
        <v>45440</v>
      </c>
      <c r="C14889" s="1" t="n">
        <v>45810</v>
      </c>
      <c r="D14889" t="inlineStr">
        <is>
          <t>VÄRMLANDS LÄN</t>
        </is>
      </c>
      <c r="E14889" t="inlineStr">
        <is>
          <t>SUNNE</t>
        </is>
      </c>
      <c r="G14889" t="n">
        <v>0.9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21257-2024</t>
        </is>
      </c>
      <c r="B14890" s="1" t="n">
        <v>45440</v>
      </c>
      <c r="C14890" s="1" t="n">
        <v>45810</v>
      </c>
      <c r="D14890" t="inlineStr">
        <is>
          <t>VÄRMLANDS LÄN</t>
        </is>
      </c>
      <c r="E14890" t="inlineStr">
        <is>
          <t>SUNNE</t>
        </is>
      </c>
      <c r="G14890" t="n">
        <v>2.2</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21260-2024</t>
        </is>
      </c>
      <c r="B14891" s="1" t="n">
        <v>45440</v>
      </c>
      <c r="C14891" s="1" t="n">
        <v>45810</v>
      </c>
      <c r="D14891" t="inlineStr">
        <is>
          <t>VÄRMLANDS LÄN</t>
        </is>
      </c>
      <c r="E14891" t="inlineStr">
        <is>
          <t>EDA</t>
        </is>
      </c>
      <c r="G14891" t="n">
        <v>5.8</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21251-2024</t>
        </is>
      </c>
      <c r="B14892" s="1" t="n">
        <v>45440</v>
      </c>
      <c r="C14892" s="1" t="n">
        <v>45810</v>
      </c>
      <c r="D14892" t="inlineStr">
        <is>
          <t>VÄRMLANDS LÄN</t>
        </is>
      </c>
      <c r="E14892" t="inlineStr">
        <is>
          <t>SUNNE</t>
        </is>
      </c>
      <c r="G14892" t="n">
        <v>0.7</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21311-2024</t>
        </is>
      </c>
      <c r="B14893" s="1" t="n">
        <v>45440</v>
      </c>
      <c r="C14893" s="1" t="n">
        <v>45810</v>
      </c>
      <c r="D14893" t="inlineStr">
        <is>
          <t>VÄRMLANDS LÄN</t>
        </is>
      </c>
      <c r="E14893" t="inlineStr">
        <is>
          <t>GRUMS</t>
        </is>
      </c>
      <c r="F14893" t="inlineStr">
        <is>
          <t>Bergvik skog väst AB</t>
        </is>
      </c>
      <c r="G14893" t="n">
        <v>4.3</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21280-2024</t>
        </is>
      </c>
      <c r="B14894" s="1" t="n">
        <v>45440</v>
      </c>
      <c r="C14894" s="1" t="n">
        <v>45810</v>
      </c>
      <c r="D14894" t="inlineStr">
        <is>
          <t>VÄRMLANDS LÄN</t>
        </is>
      </c>
      <c r="E14894" t="inlineStr">
        <is>
          <t>TORSBY</t>
        </is>
      </c>
      <c r="G14894" t="n">
        <v>10.1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21297-2024</t>
        </is>
      </c>
      <c r="B14895" s="1" t="n">
        <v>45440</v>
      </c>
      <c r="C14895" s="1" t="n">
        <v>45810</v>
      </c>
      <c r="D14895" t="inlineStr">
        <is>
          <t>VÄRMLANDS LÄN</t>
        </is>
      </c>
      <c r="E14895" t="inlineStr">
        <is>
          <t>TORSBY</t>
        </is>
      </c>
      <c r="G14895" t="n">
        <v>3.5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21308-2024</t>
        </is>
      </c>
      <c r="B14896" s="1" t="n">
        <v>45440</v>
      </c>
      <c r="C14896" s="1" t="n">
        <v>45810</v>
      </c>
      <c r="D14896" t="inlineStr">
        <is>
          <t>VÄRMLANDS LÄN</t>
        </is>
      </c>
      <c r="E14896" t="inlineStr">
        <is>
          <t>TORSBY</t>
        </is>
      </c>
      <c r="G14896" t="n">
        <v>18.9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21396-2024</t>
        </is>
      </c>
      <c r="B14897" s="1" t="n">
        <v>45441</v>
      </c>
      <c r="C14897" s="1" t="n">
        <v>45810</v>
      </c>
      <c r="D14897" t="inlineStr">
        <is>
          <t>VÄRMLANDS LÄN</t>
        </is>
      </c>
      <c r="E14897" t="inlineStr">
        <is>
          <t>SÄFFLE</t>
        </is>
      </c>
      <c r="G14897" t="n">
        <v>2.1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21518-2024</t>
        </is>
      </c>
      <c r="B14898" s="1" t="n">
        <v>45441</v>
      </c>
      <c r="C14898" s="1" t="n">
        <v>45810</v>
      </c>
      <c r="D14898" t="inlineStr">
        <is>
          <t>VÄRMLANDS LÄN</t>
        </is>
      </c>
      <c r="E14898" t="inlineStr">
        <is>
          <t>TORSBY</t>
        </is>
      </c>
      <c r="G14898" t="n">
        <v>1.7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21409-2024</t>
        </is>
      </c>
      <c r="B14899" s="1" t="n">
        <v>45441</v>
      </c>
      <c r="C14899" s="1" t="n">
        <v>45810</v>
      </c>
      <c r="D14899" t="inlineStr">
        <is>
          <t>VÄRMLANDS LÄN</t>
        </is>
      </c>
      <c r="E14899" t="inlineStr">
        <is>
          <t>SUNNE</t>
        </is>
      </c>
      <c r="F14899" t="inlineStr">
        <is>
          <t>Bergvik skog väst AB</t>
        </is>
      </c>
      <c r="G14899" t="n">
        <v>0.7</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21402-2024</t>
        </is>
      </c>
      <c r="B14900" s="1" t="n">
        <v>45441</v>
      </c>
      <c r="C14900" s="1" t="n">
        <v>45810</v>
      </c>
      <c r="D14900" t="inlineStr">
        <is>
          <t>VÄRMLANDS LÄN</t>
        </is>
      </c>
      <c r="E14900" t="inlineStr">
        <is>
          <t>GRUMS</t>
        </is>
      </c>
      <c r="G14900" t="n">
        <v>1.3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21451-2024</t>
        </is>
      </c>
      <c r="B14901" s="1" t="n">
        <v>45441</v>
      </c>
      <c r="C14901" s="1" t="n">
        <v>45810</v>
      </c>
      <c r="D14901" t="inlineStr">
        <is>
          <t>VÄRMLANDS LÄN</t>
        </is>
      </c>
      <c r="E14901" t="inlineStr">
        <is>
          <t>HAGFORS</t>
        </is>
      </c>
      <c r="G14901" t="n">
        <v>3.8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21528-2024</t>
        </is>
      </c>
      <c r="B14902" s="1" t="n">
        <v>45441</v>
      </c>
      <c r="C14902" s="1" t="n">
        <v>45810</v>
      </c>
      <c r="D14902" t="inlineStr">
        <is>
          <t>VÄRMLANDS LÄN</t>
        </is>
      </c>
      <c r="E14902" t="inlineStr">
        <is>
          <t>GRUMS</t>
        </is>
      </c>
      <c r="G14902" t="n">
        <v>1.4</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21542-2024</t>
        </is>
      </c>
      <c r="B14903" s="1" t="n">
        <v>45441</v>
      </c>
      <c r="C14903" s="1" t="n">
        <v>45810</v>
      </c>
      <c r="D14903" t="inlineStr">
        <is>
          <t>VÄRMLANDS LÄN</t>
        </is>
      </c>
      <c r="E14903" t="inlineStr">
        <is>
          <t>TORSBY</t>
        </is>
      </c>
      <c r="G14903" t="n">
        <v>3.7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21519-2024</t>
        </is>
      </c>
      <c r="B14904" s="1" t="n">
        <v>45441</v>
      </c>
      <c r="C14904" s="1" t="n">
        <v>45810</v>
      </c>
      <c r="D14904" t="inlineStr">
        <is>
          <t>VÄRMLANDS LÄN</t>
        </is>
      </c>
      <c r="E14904" t="inlineStr">
        <is>
          <t>ÅRJÄNG</t>
        </is>
      </c>
      <c r="G14904" t="n">
        <v>1.5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21580-2024</t>
        </is>
      </c>
      <c r="B14905" s="1" t="n">
        <v>45441</v>
      </c>
      <c r="C14905" s="1" t="n">
        <v>45810</v>
      </c>
      <c r="D14905" t="inlineStr">
        <is>
          <t>VÄRMLANDS LÄN</t>
        </is>
      </c>
      <c r="E14905" t="inlineStr">
        <is>
          <t>TORSBY</t>
        </is>
      </c>
      <c r="G14905" t="n">
        <v>2.8</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21513-2024</t>
        </is>
      </c>
      <c r="B14906" s="1" t="n">
        <v>45441</v>
      </c>
      <c r="C14906" s="1" t="n">
        <v>45810</v>
      </c>
      <c r="D14906" t="inlineStr">
        <is>
          <t>VÄRMLANDS LÄN</t>
        </is>
      </c>
      <c r="E14906" t="inlineStr">
        <is>
          <t>ÅRJÄNG</t>
        </is>
      </c>
      <c r="G14906" t="n">
        <v>2.1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21586-2024</t>
        </is>
      </c>
      <c r="B14907" s="1" t="n">
        <v>45441</v>
      </c>
      <c r="C14907" s="1" t="n">
        <v>45810</v>
      </c>
      <c r="D14907" t="inlineStr">
        <is>
          <t>VÄRMLANDS LÄN</t>
        </is>
      </c>
      <c r="E14907" t="inlineStr">
        <is>
          <t>TORSBY</t>
        </is>
      </c>
      <c r="G14907" t="n">
        <v>2.7</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21581-2024</t>
        </is>
      </c>
      <c r="B14908" s="1" t="n">
        <v>45441</v>
      </c>
      <c r="C14908" s="1" t="n">
        <v>45810</v>
      </c>
      <c r="D14908" t="inlineStr">
        <is>
          <t>VÄRMLANDS LÄN</t>
        </is>
      </c>
      <c r="E14908" t="inlineStr">
        <is>
          <t>TORSBY</t>
        </is>
      </c>
      <c r="G14908" t="n">
        <v>5.5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21585-2024</t>
        </is>
      </c>
      <c r="B14909" s="1" t="n">
        <v>45441</v>
      </c>
      <c r="C14909" s="1" t="n">
        <v>45810</v>
      </c>
      <c r="D14909" t="inlineStr">
        <is>
          <t>VÄRMLANDS LÄN</t>
        </is>
      </c>
      <c r="E14909" t="inlineStr">
        <is>
          <t>TORSBY</t>
        </is>
      </c>
      <c r="G14909" t="n">
        <v>1.8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21498-2024</t>
        </is>
      </c>
      <c r="B14910" s="1" t="n">
        <v>45441</v>
      </c>
      <c r="C14910" s="1" t="n">
        <v>45810</v>
      </c>
      <c r="D14910" t="inlineStr">
        <is>
          <t>VÄRMLANDS LÄN</t>
        </is>
      </c>
      <c r="E14910" t="inlineStr">
        <is>
          <t>SUNNE</t>
        </is>
      </c>
      <c r="F14910" t="inlineStr">
        <is>
          <t>Bergvik skog väst AB</t>
        </is>
      </c>
      <c r="G14910" t="n">
        <v>2.2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21577-2024</t>
        </is>
      </c>
      <c r="B14911" s="1" t="n">
        <v>45441</v>
      </c>
      <c r="C14911" s="1" t="n">
        <v>45810</v>
      </c>
      <c r="D14911" t="inlineStr">
        <is>
          <t>VÄRMLANDS LÄN</t>
        </is>
      </c>
      <c r="E14911" t="inlineStr">
        <is>
          <t>SUNNE</t>
        </is>
      </c>
      <c r="G14911" t="n">
        <v>1.8</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21587-2024</t>
        </is>
      </c>
      <c r="B14912" s="1" t="n">
        <v>45441</v>
      </c>
      <c r="C14912" s="1" t="n">
        <v>45810</v>
      </c>
      <c r="D14912" t="inlineStr">
        <is>
          <t>VÄRMLANDS LÄN</t>
        </is>
      </c>
      <c r="E14912" t="inlineStr">
        <is>
          <t>TORSBY</t>
        </is>
      </c>
      <c r="G14912" t="n">
        <v>4.8</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21457-2024</t>
        </is>
      </c>
      <c r="B14913" s="1" t="n">
        <v>45441</v>
      </c>
      <c r="C14913" s="1" t="n">
        <v>45810</v>
      </c>
      <c r="D14913" t="inlineStr">
        <is>
          <t>VÄRMLANDS LÄN</t>
        </is>
      </c>
      <c r="E14913" t="inlineStr">
        <is>
          <t>HAGFORS</t>
        </is>
      </c>
      <c r="G14913" t="n">
        <v>5.4</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21416-2024</t>
        </is>
      </c>
      <c r="B14914" s="1" t="n">
        <v>45441</v>
      </c>
      <c r="C14914" s="1" t="n">
        <v>45810</v>
      </c>
      <c r="D14914" t="inlineStr">
        <is>
          <t>VÄRMLANDS LÄN</t>
        </is>
      </c>
      <c r="E14914" t="inlineStr">
        <is>
          <t>SUNNE</t>
        </is>
      </c>
      <c r="F14914" t="inlineStr">
        <is>
          <t>Bergvik skog väst AB</t>
        </is>
      </c>
      <c r="G14914" t="n">
        <v>1.7</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21439-2024</t>
        </is>
      </c>
      <c r="B14915" s="1" t="n">
        <v>45441</v>
      </c>
      <c r="C14915" s="1" t="n">
        <v>45810</v>
      </c>
      <c r="D14915" t="inlineStr">
        <is>
          <t>VÄRMLANDS LÄN</t>
        </is>
      </c>
      <c r="E14915" t="inlineStr">
        <is>
          <t>ÅRJÄNG</t>
        </is>
      </c>
      <c r="G14915" t="n">
        <v>6.8</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21391-2024</t>
        </is>
      </c>
      <c r="B14916" s="1" t="n">
        <v>45441</v>
      </c>
      <c r="C14916" s="1" t="n">
        <v>45810</v>
      </c>
      <c r="D14916" t="inlineStr">
        <is>
          <t>VÄRMLANDS LÄN</t>
        </is>
      </c>
      <c r="E14916" t="inlineStr">
        <is>
          <t>EDA</t>
        </is>
      </c>
      <c r="G14916" t="n">
        <v>3.4</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21638-2024</t>
        </is>
      </c>
      <c r="B14917" s="1" t="n">
        <v>45442</v>
      </c>
      <c r="C14917" s="1" t="n">
        <v>45810</v>
      </c>
      <c r="D14917" t="inlineStr">
        <is>
          <t>VÄRMLANDS LÄN</t>
        </is>
      </c>
      <c r="E14917" t="inlineStr">
        <is>
          <t>GRUMS</t>
        </is>
      </c>
      <c r="G14917" t="n">
        <v>7.7</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21681-2024</t>
        </is>
      </c>
      <c r="B14918" s="1" t="n">
        <v>45442</v>
      </c>
      <c r="C14918" s="1" t="n">
        <v>45810</v>
      </c>
      <c r="D14918" t="inlineStr">
        <is>
          <t>VÄRMLANDS LÄN</t>
        </is>
      </c>
      <c r="E14918" t="inlineStr">
        <is>
          <t>SUNNE</t>
        </is>
      </c>
      <c r="G14918" t="n">
        <v>2.3</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21702-2024</t>
        </is>
      </c>
      <c r="B14919" s="1" t="n">
        <v>45442</v>
      </c>
      <c r="C14919" s="1" t="n">
        <v>45810</v>
      </c>
      <c r="D14919" t="inlineStr">
        <is>
          <t>VÄRMLANDS LÄN</t>
        </is>
      </c>
      <c r="E14919" t="inlineStr">
        <is>
          <t>KRISTINEHAMN</t>
        </is>
      </c>
      <c r="G14919" t="n">
        <v>14.9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21688-2024</t>
        </is>
      </c>
      <c r="B14920" s="1" t="n">
        <v>45442</v>
      </c>
      <c r="C14920" s="1" t="n">
        <v>45810</v>
      </c>
      <c r="D14920" t="inlineStr">
        <is>
          <t>VÄRMLANDS LÄN</t>
        </is>
      </c>
      <c r="E14920" t="inlineStr">
        <is>
          <t>KRISTINEHAMN</t>
        </is>
      </c>
      <c r="G14920" t="n">
        <v>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21745-2024</t>
        </is>
      </c>
      <c r="B14921" s="1" t="n">
        <v>45442</v>
      </c>
      <c r="C14921" s="1" t="n">
        <v>45810</v>
      </c>
      <c r="D14921" t="inlineStr">
        <is>
          <t>VÄRMLANDS LÄN</t>
        </is>
      </c>
      <c r="E14921" t="inlineStr">
        <is>
          <t>FORSHAGA</t>
        </is>
      </c>
      <c r="G14921" t="n">
        <v>2.7</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21757-2024</t>
        </is>
      </c>
      <c r="B14922" s="1" t="n">
        <v>45442</v>
      </c>
      <c r="C14922" s="1" t="n">
        <v>45810</v>
      </c>
      <c r="D14922" t="inlineStr">
        <is>
          <t>VÄRMLANDS LÄN</t>
        </is>
      </c>
      <c r="E14922" t="inlineStr">
        <is>
          <t>TORSBY</t>
        </is>
      </c>
      <c r="G14922" t="n">
        <v>1.6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21825-2024</t>
        </is>
      </c>
      <c r="B14923" s="1" t="n">
        <v>45442</v>
      </c>
      <c r="C14923" s="1" t="n">
        <v>45810</v>
      </c>
      <c r="D14923" t="inlineStr">
        <is>
          <t>VÄRMLANDS LÄN</t>
        </is>
      </c>
      <c r="E14923" t="inlineStr">
        <is>
          <t>TORSBY</t>
        </is>
      </c>
      <c r="G14923" t="n">
        <v>2.1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21829-2024</t>
        </is>
      </c>
      <c r="B14924" s="1" t="n">
        <v>45442</v>
      </c>
      <c r="C14924" s="1" t="n">
        <v>45810</v>
      </c>
      <c r="D14924" t="inlineStr">
        <is>
          <t>VÄRMLANDS LÄN</t>
        </is>
      </c>
      <c r="E14924" t="inlineStr">
        <is>
          <t>TORSBY</t>
        </is>
      </c>
      <c r="G14924" t="n">
        <v>1.1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21625-2024</t>
        </is>
      </c>
      <c r="B14925" s="1" t="n">
        <v>45442</v>
      </c>
      <c r="C14925" s="1" t="n">
        <v>45810</v>
      </c>
      <c r="D14925" t="inlineStr">
        <is>
          <t>VÄRMLANDS LÄN</t>
        </is>
      </c>
      <c r="E14925" t="inlineStr">
        <is>
          <t>HAGFORS</t>
        </is>
      </c>
      <c r="F14925" t="inlineStr">
        <is>
          <t>Bergvik skog väst AB</t>
        </is>
      </c>
      <c r="G14925" t="n">
        <v>7.8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21744-2024</t>
        </is>
      </c>
      <c r="B14926" s="1" t="n">
        <v>45442</v>
      </c>
      <c r="C14926" s="1" t="n">
        <v>45810</v>
      </c>
      <c r="D14926" t="inlineStr">
        <is>
          <t>VÄRMLANDS LÄN</t>
        </is>
      </c>
      <c r="E14926" t="inlineStr">
        <is>
          <t>TORSBY</t>
        </is>
      </c>
      <c r="G14926" t="n">
        <v>3.3</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21828-2024</t>
        </is>
      </c>
      <c r="B14927" s="1" t="n">
        <v>45442</v>
      </c>
      <c r="C14927" s="1" t="n">
        <v>45810</v>
      </c>
      <c r="D14927" t="inlineStr">
        <is>
          <t>VÄRMLANDS LÄN</t>
        </is>
      </c>
      <c r="E14927" t="inlineStr">
        <is>
          <t>TORSBY</t>
        </is>
      </c>
      <c r="G14927" t="n">
        <v>0.7</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21830-2024</t>
        </is>
      </c>
      <c r="B14928" s="1" t="n">
        <v>45442</v>
      </c>
      <c r="C14928" s="1" t="n">
        <v>45810</v>
      </c>
      <c r="D14928" t="inlineStr">
        <is>
          <t>VÄRMLANDS LÄN</t>
        </is>
      </c>
      <c r="E14928" t="inlineStr">
        <is>
          <t>SUNNE</t>
        </is>
      </c>
      <c r="G14928" t="n">
        <v>0.7</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21706-2024</t>
        </is>
      </c>
      <c r="B14929" s="1" t="n">
        <v>45442</v>
      </c>
      <c r="C14929" s="1" t="n">
        <v>45810</v>
      </c>
      <c r="D14929" t="inlineStr">
        <is>
          <t>VÄRMLANDS LÄN</t>
        </is>
      </c>
      <c r="E14929" t="inlineStr">
        <is>
          <t>ÅRJÄNG</t>
        </is>
      </c>
      <c r="G14929" t="n">
        <v>10.4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21680-2024</t>
        </is>
      </c>
      <c r="B14930" s="1" t="n">
        <v>45442</v>
      </c>
      <c r="C14930" s="1" t="n">
        <v>45810</v>
      </c>
      <c r="D14930" t="inlineStr">
        <is>
          <t>VÄRMLANDS LÄN</t>
        </is>
      </c>
      <c r="E14930" t="inlineStr">
        <is>
          <t>SÄFFLE</t>
        </is>
      </c>
      <c r="G14930" t="n">
        <v>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21694-2024</t>
        </is>
      </c>
      <c r="B14931" s="1" t="n">
        <v>45442</v>
      </c>
      <c r="C14931" s="1" t="n">
        <v>45810</v>
      </c>
      <c r="D14931" t="inlineStr">
        <is>
          <t>VÄRMLANDS LÄN</t>
        </is>
      </c>
      <c r="E14931" t="inlineStr">
        <is>
          <t>KRISTINEHAMN</t>
        </is>
      </c>
      <c r="G14931" t="n">
        <v>1.5</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21632-2024</t>
        </is>
      </c>
      <c r="B14932" s="1" t="n">
        <v>45442</v>
      </c>
      <c r="C14932" s="1" t="n">
        <v>45810</v>
      </c>
      <c r="D14932" t="inlineStr">
        <is>
          <t>VÄRMLANDS LÄN</t>
        </is>
      </c>
      <c r="E14932" t="inlineStr">
        <is>
          <t>SUNNE</t>
        </is>
      </c>
      <c r="F14932" t="inlineStr">
        <is>
          <t>Bergvik skog väst AB</t>
        </is>
      </c>
      <c r="G14932" t="n">
        <v>0.7</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21627-2024</t>
        </is>
      </c>
      <c r="B14933" s="1" t="n">
        <v>45442</v>
      </c>
      <c r="C14933" s="1" t="n">
        <v>45810</v>
      </c>
      <c r="D14933" t="inlineStr">
        <is>
          <t>VÄRMLANDS LÄN</t>
        </is>
      </c>
      <c r="E14933" t="inlineStr">
        <is>
          <t>EDA</t>
        </is>
      </c>
      <c r="G14933" t="n">
        <v>8.1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21631-2024</t>
        </is>
      </c>
      <c r="B14934" s="1" t="n">
        <v>45442</v>
      </c>
      <c r="C14934" s="1" t="n">
        <v>45810</v>
      </c>
      <c r="D14934" t="inlineStr">
        <is>
          <t>VÄRMLANDS LÄN</t>
        </is>
      </c>
      <c r="E14934" t="inlineStr">
        <is>
          <t>SUNNE</t>
        </is>
      </c>
      <c r="F14934" t="inlineStr">
        <is>
          <t>Bergvik skog väst AB</t>
        </is>
      </c>
      <c r="G14934" t="n">
        <v>0.7</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21703-2024</t>
        </is>
      </c>
      <c r="B14935" s="1" t="n">
        <v>45442</v>
      </c>
      <c r="C14935" s="1" t="n">
        <v>45810</v>
      </c>
      <c r="D14935" t="inlineStr">
        <is>
          <t>VÄRMLANDS LÄN</t>
        </is>
      </c>
      <c r="E14935" t="inlineStr">
        <is>
          <t>HAGFORS</t>
        </is>
      </c>
      <c r="G14935" t="n">
        <v>3.2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21715-2024</t>
        </is>
      </c>
      <c r="B14936" s="1" t="n">
        <v>45442</v>
      </c>
      <c r="C14936" s="1" t="n">
        <v>45810</v>
      </c>
      <c r="D14936" t="inlineStr">
        <is>
          <t>VÄRMLANDS LÄN</t>
        </is>
      </c>
      <c r="E14936" t="inlineStr">
        <is>
          <t>FILIPSTAD</t>
        </is>
      </c>
      <c r="F14936" t="inlineStr">
        <is>
          <t>Bergvik skog väst AB</t>
        </is>
      </c>
      <c r="G14936" t="n">
        <v>6.5</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22038-2024</t>
        </is>
      </c>
      <c r="B14937" s="1" t="n">
        <v>45443</v>
      </c>
      <c r="C14937" s="1" t="n">
        <v>45810</v>
      </c>
      <c r="D14937" t="inlineStr">
        <is>
          <t>VÄRMLANDS LÄN</t>
        </is>
      </c>
      <c r="E14937" t="inlineStr">
        <is>
          <t>HAGFORS</t>
        </is>
      </c>
      <c r="F14937" t="inlineStr">
        <is>
          <t>Bergvik skog väst AB</t>
        </is>
      </c>
      <c r="G14937" t="n">
        <v>7.4</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21930-2024</t>
        </is>
      </c>
      <c r="B14938" s="1" t="n">
        <v>45443</v>
      </c>
      <c r="C14938" s="1" t="n">
        <v>45810</v>
      </c>
      <c r="D14938" t="inlineStr">
        <is>
          <t>VÄRMLANDS LÄN</t>
        </is>
      </c>
      <c r="E14938" t="inlineStr">
        <is>
          <t>TORSBY</t>
        </is>
      </c>
      <c r="G14938" t="n">
        <v>3.2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21942-2024</t>
        </is>
      </c>
      <c r="B14939" s="1" t="n">
        <v>45443</v>
      </c>
      <c r="C14939" s="1" t="n">
        <v>45810</v>
      </c>
      <c r="D14939" t="inlineStr">
        <is>
          <t>VÄRMLANDS LÄN</t>
        </is>
      </c>
      <c r="E14939" t="inlineStr">
        <is>
          <t>STORFORS</t>
        </is>
      </c>
      <c r="G14939" t="n">
        <v>4.3</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21955-2024</t>
        </is>
      </c>
      <c r="B14940" s="1" t="n">
        <v>45443</v>
      </c>
      <c r="C14940" s="1" t="n">
        <v>45810</v>
      </c>
      <c r="D14940" t="inlineStr">
        <is>
          <t>VÄRMLANDS LÄN</t>
        </is>
      </c>
      <c r="E14940" t="inlineStr">
        <is>
          <t>KRISTINEHAMN</t>
        </is>
      </c>
      <c r="F14940" t="inlineStr">
        <is>
          <t>Sveaskog</t>
        </is>
      </c>
      <c r="G14940" t="n">
        <v>2.1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21975-2024</t>
        </is>
      </c>
      <c r="B14941" s="1" t="n">
        <v>45443</v>
      </c>
      <c r="C14941" s="1" t="n">
        <v>45810</v>
      </c>
      <c r="D14941" t="inlineStr">
        <is>
          <t>VÄRMLANDS LÄN</t>
        </is>
      </c>
      <c r="E14941" t="inlineStr">
        <is>
          <t>ARVIKA</t>
        </is>
      </c>
      <c r="F14941" t="inlineStr">
        <is>
          <t>Bergvik skog väst AB</t>
        </is>
      </c>
      <c r="G14941" t="n">
        <v>2.7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22051-2024</t>
        </is>
      </c>
      <c r="B14942" s="1" t="n">
        <v>45443</v>
      </c>
      <c r="C14942" s="1" t="n">
        <v>45810</v>
      </c>
      <c r="D14942" t="inlineStr">
        <is>
          <t>VÄRMLANDS LÄN</t>
        </is>
      </c>
      <c r="E14942" t="inlineStr">
        <is>
          <t>EDA</t>
        </is>
      </c>
      <c r="G14942" t="n">
        <v>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21866-2024</t>
        </is>
      </c>
      <c r="B14943" s="1" t="n">
        <v>45443</v>
      </c>
      <c r="C14943" s="1" t="n">
        <v>45810</v>
      </c>
      <c r="D14943" t="inlineStr">
        <is>
          <t>VÄRMLANDS LÄN</t>
        </is>
      </c>
      <c r="E14943" t="inlineStr">
        <is>
          <t>ARVIKA</t>
        </is>
      </c>
      <c r="G14943" t="n">
        <v>1.5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21870-2024</t>
        </is>
      </c>
      <c r="B14944" s="1" t="n">
        <v>45443</v>
      </c>
      <c r="C14944" s="1" t="n">
        <v>45810</v>
      </c>
      <c r="D14944" t="inlineStr">
        <is>
          <t>VÄRMLANDS LÄN</t>
        </is>
      </c>
      <c r="E14944" t="inlineStr">
        <is>
          <t>ARVIKA</t>
        </is>
      </c>
      <c r="G14944" t="n">
        <v>2.5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21957-2024</t>
        </is>
      </c>
      <c r="B14945" s="1" t="n">
        <v>45443</v>
      </c>
      <c r="C14945" s="1" t="n">
        <v>45810</v>
      </c>
      <c r="D14945" t="inlineStr">
        <is>
          <t>VÄRMLANDS LÄN</t>
        </is>
      </c>
      <c r="E14945" t="inlineStr">
        <is>
          <t>KRISTINEHAMN</t>
        </is>
      </c>
      <c r="F14945" t="inlineStr">
        <is>
          <t>Sveaskog</t>
        </is>
      </c>
      <c r="G14945" t="n">
        <v>1.3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22062-2024</t>
        </is>
      </c>
      <c r="B14946" s="1" t="n">
        <v>45443</v>
      </c>
      <c r="C14946" s="1" t="n">
        <v>45810</v>
      </c>
      <c r="D14946" t="inlineStr">
        <is>
          <t>VÄRMLANDS LÄN</t>
        </is>
      </c>
      <c r="E14946" t="inlineStr">
        <is>
          <t>EDA</t>
        </is>
      </c>
      <c r="G14946" t="n">
        <v>1.2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22083-2024</t>
        </is>
      </c>
      <c r="B14947" s="1" t="n">
        <v>45443</v>
      </c>
      <c r="C14947" s="1" t="n">
        <v>45810</v>
      </c>
      <c r="D14947" t="inlineStr">
        <is>
          <t>VÄRMLANDS LÄN</t>
        </is>
      </c>
      <c r="E14947" t="inlineStr">
        <is>
          <t>EDA</t>
        </is>
      </c>
      <c r="G14947" t="n">
        <v>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22085-2024</t>
        </is>
      </c>
      <c r="B14948" s="1" t="n">
        <v>45443</v>
      </c>
      <c r="C14948" s="1" t="n">
        <v>45810</v>
      </c>
      <c r="D14948" t="inlineStr">
        <is>
          <t>VÄRMLANDS LÄN</t>
        </is>
      </c>
      <c r="E14948" t="inlineStr">
        <is>
          <t>ÅRJÄNG</t>
        </is>
      </c>
      <c r="G14948" t="n">
        <v>1.2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22073-2024</t>
        </is>
      </c>
      <c r="B14949" s="1" t="n">
        <v>45443</v>
      </c>
      <c r="C14949" s="1" t="n">
        <v>45810</v>
      </c>
      <c r="D14949" t="inlineStr">
        <is>
          <t>VÄRMLANDS LÄN</t>
        </is>
      </c>
      <c r="E14949" t="inlineStr">
        <is>
          <t>KRISTINEHAMN</t>
        </is>
      </c>
      <c r="G14949" t="n">
        <v>13.4</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21873-2024</t>
        </is>
      </c>
      <c r="B14950" s="1" t="n">
        <v>45443</v>
      </c>
      <c r="C14950" s="1" t="n">
        <v>45810</v>
      </c>
      <c r="D14950" t="inlineStr">
        <is>
          <t>VÄRMLANDS LÄN</t>
        </is>
      </c>
      <c r="E14950" t="inlineStr">
        <is>
          <t>HAGFORS</t>
        </is>
      </c>
      <c r="F14950" t="inlineStr">
        <is>
          <t>Bergvik skog väst AB</t>
        </is>
      </c>
      <c r="G14950" t="n">
        <v>3.4</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21877-2024</t>
        </is>
      </c>
      <c r="B14951" s="1" t="n">
        <v>45443</v>
      </c>
      <c r="C14951" s="1" t="n">
        <v>45810</v>
      </c>
      <c r="D14951" t="inlineStr">
        <is>
          <t>VÄRMLANDS LÄN</t>
        </is>
      </c>
      <c r="E14951" t="inlineStr">
        <is>
          <t>HAGFORS</t>
        </is>
      </c>
      <c r="F14951" t="inlineStr">
        <is>
          <t>Bergvik skog väst AB</t>
        </is>
      </c>
      <c r="G14951" t="n">
        <v>9.6</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21956-2024</t>
        </is>
      </c>
      <c r="B14952" s="1" t="n">
        <v>45443</v>
      </c>
      <c r="C14952" s="1" t="n">
        <v>45810</v>
      </c>
      <c r="D14952" t="inlineStr">
        <is>
          <t>VÄRMLANDS LÄN</t>
        </is>
      </c>
      <c r="E14952" t="inlineStr">
        <is>
          <t>KRISTINEHAMN</t>
        </is>
      </c>
      <c r="F14952" t="inlineStr">
        <is>
          <t>Sveaskog</t>
        </is>
      </c>
      <c r="G14952" t="n">
        <v>3.7</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21867-2024</t>
        </is>
      </c>
      <c r="B14953" s="1" t="n">
        <v>45443</v>
      </c>
      <c r="C14953" s="1" t="n">
        <v>45810</v>
      </c>
      <c r="D14953" t="inlineStr">
        <is>
          <t>VÄRMLANDS LÄN</t>
        </is>
      </c>
      <c r="E14953" t="inlineStr">
        <is>
          <t>HAGFORS</t>
        </is>
      </c>
      <c r="G14953" t="n">
        <v>0.8</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22156-2024</t>
        </is>
      </c>
      <c r="B14954" s="1" t="n">
        <v>45445</v>
      </c>
      <c r="C14954" s="1" t="n">
        <v>45810</v>
      </c>
      <c r="D14954" t="inlineStr">
        <is>
          <t>VÄRMLANDS LÄN</t>
        </is>
      </c>
      <c r="E14954" t="inlineStr">
        <is>
          <t>ÅRJÄNG</t>
        </is>
      </c>
      <c r="G14954" t="n">
        <v>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22196-2024</t>
        </is>
      </c>
      <c r="B14955" s="1" t="n">
        <v>45446</v>
      </c>
      <c r="C14955" s="1" t="n">
        <v>45810</v>
      </c>
      <c r="D14955" t="inlineStr">
        <is>
          <t>VÄRMLANDS LÄN</t>
        </is>
      </c>
      <c r="E14955" t="inlineStr">
        <is>
          <t>KARLSTAD</t>
        </is>
      </c>
      <c r="F14955" t="inlineStr">
        <is>
          <t>Bergvik skog väst AB</t>
        </is>
      </c>
      <c r="G14955" t="n">
        <v>9.300000000000001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22193-2024</t>
        </is>
      </c>
      <c r="B14956" s="1" t="n">
        <v>45446</v>
      </c>
      <c r="C14956" s="1" t="n">
        <v>45810</v>
      </c>
      <c r="D14956" t="inlineStr">
        <is>
          <t>VÄRMLANDS LÄN</t>
        </is>
      </c>
      <c r="E14956" t="inlineStr">
        <is>
          <t>KARLSTAD</t>
        </is>
      </c>
      <c r="G14956" t="n">
        <v>4.4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22332-2024</t>
        </is>
      </c>
      <c r="B14957" s="1" t="n">
        <v>45446</v>
      </c>
      <c r="C14957" s="1" t="n">
        <v>45810</v>
      </c>
      <c r="D14957" t="inlineStr">
        <is>
          <t>VÄRMLANDS LÄN</t>
        </is>
      </c>
      <c r="E14957" t="inlineStr">
        <is>
          <t>HAGFORS</t>
        </is>
      </c>
      <c r="G14957" t="n">
        <v>1.2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22362-2024</t>
        </is>
      </c>
      <c r="B14958" s="1" t="n">
        <v>45446</v>
      </c>
      <c r="C14958" s="1" t="n">
        <v>45810</v>
      </c>
      <c r="D14958" t="inlineStr">
        <is>
          <t>VÄRMLANDS LÄN</t>
        </is>
      </c>
      <c r="E14958" t="inlineStr">
        <is>
          <t>FORSHAGA</t>
        </is>
      </c>
      <c r="G14958" t="n">
        <v>1.6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22407-2024</t>
        </is>
      </c>
      <c r="B14959" s="1" t="n">
        <v>45446</v>
      </c>
      <c r="C14959" s="1" t="n">
        <v>45810</v>
      </c>
      <c r="D14959" t="inlineStr">
        <is>
          <t>VÄRMLANDS LÄN</t>
        </is>
      </c>
      <c r="E14959" t="inlineStr">
        <is>
          <t>FORSHAGA</t>
        </is>
      </c>
      <c r="G14959" t="n">
        <v>6.2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22216-2024</t>
        </is>
      </c>
      <c r="B14960" s="1" t="n">
        <v>45446</v>
      </c>
      <c r="C14960" s="1" t="n">
        <v>45810</v>
      </c>
      <c r="D14960" t="inlineStr">
        <is>
          <t>VÄRMLANDS LÄN</t>
        </is>
      </c>
      <c r="E14960" t="inlineStr">
        <is>
          <t>TORSBY</t>
        </is>
      </c>
      <c r="G14960" t="n">
        <v>1.6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22225-2024</t>
        </is>
      </c>
      <c r="B14961" s="1" t="n">
        <v>45446</v>
      </c>
      <c r="C14961" s="1" t="n">
        <v>45810</v>
      </c>
      <c r="D14961" t="inlineStr">
        <is>
          <t>VÄRMLANDS LÄN</t>
        </is>
      </c>
      <c r="E14961" t="inlineStr">
        <is>
          <t>MUNKFORS</t>
        </is>
      </c>
      <c r="F14961" t="inlineStr">
        <is>
          <t>Bergvik skog väst AB</t>
        </is>
      </c>
      <c r="G14961" t="n">
        <v>2.8</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22483-2024</t>
        </is>
      </c>
      <c r="B14962" s="1" t="n">
        <v>45446</v>
      </c>
      <c r="C14962" s="1" t="n">
        <v>45810</v>
      </c>
      <c r="D14962" t="inlineStr">
        <is>
          <t>VÄRMLANDS LÄN</t>
        </is>
      </c>
      <c r="E14962" t="inlineStr">
        <is>
          <t>TORSBY</t>
        </is>
      </c>
      <c r="G14962" t="n">
        <v>1.5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22274-2024</t>
        </is>
      </c>
      <c r="B14963" s="1" t="n">
        <v>45446</v>
      </c>
      <c r="C14963" s="1" t="n">
        <v>45810</v>
      </c>
      <c r="D14963" t="inlineStr">
        <is>
          <t>VÄRMLANDS LÄN</t>
        </is>
      </c>
      <c r="E14963" t="inlineStr">
        <is>
          <t>ÅRJÄNG</t>
        </is>
      </c>
      <c r="G14963" t="n">
        <v>8.6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22262-2024</t>
        </is>
      </c>
      <c r="B14964" s="1" t="n">
        <v>45446</v>
      </c>
      <c r="C14964" s="1" t="n">
        <v>45810</v>
      </c>
      <c r="D14964" t="inlineStr">
        <is>
          <t>VÄRMLANDS LÄN</t>
        </is>
      </c>
      <c r="E14964" t="inlineStr">
        <is>
          <t>ARVIKA</t>
        </is>
      </c>
      <c r="F14964" t="inlineStr">
        <is>
          <t>Bergvik skog väst AB</t>
        </is>
      </c>
      <c r="G14964" t="n">
        <v>25.5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22210-2024</t>
        </is>
      </c>
      <c r="B14965" s="1" t="n">
        <v>45446</v>
      </c>
      <c r="C14965" s="1" t="n">
        <v>45810</v>
      </c>
      <c r="D14965" t="inlineStr">
        <is>
          <t>VÄRMLANDS LÄN</t>
        </is>
      </c>
      <c r="E14965" t="inlineStr">
        <is>
          <t>KARLSTAD</t>
        </is>
      </c>
      <c r="F14965" t="inlineStr">
        <is>
          <t>Bergvik skog väst AB</t>
        </is>
      </c>
      <c r="G14965" t="n">
        <v>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22421-2024</t>
        </is>
      </c>
      <c r="B14966" s="1" t="n">
        <v>45446</v>
      </c>
      <c r="C14966" s="1" t="n">
        <v>45810</v>
      </c>
      <c r="D14966" t="inlineStr">
        <is>
          <t>VÄRMLANDS LÄN</t>
        </is>
      </c>
      <c r="E14966" t="inlineStr">
        <is>
          <t>TORSBY</t>
        </is>
      </c>
      <c r="G14966" t="n">
        <v>8.9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22200-2024</t>
        </is>
      </c>
      <c r="B14967" s="1" t="n">
        <v>45446</v>
      </c>
      <c r="C14967" s="1" t="n">
        <v>45810</v>
      </c>
      <c r="D14967" t="inlineStr">
        <is>
          <t>VÄRMLANDS LÄN</t>
        </is>
      </c>
      <c r="E14967" t="inlineStr">
        <is>
          <t>KARLSTAD</t>
        </is>
      </c>
      <c r="G14967" t="n">
        <v>0.9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22180-2024</t>
        </is>
      </c>
      <c r="B14968" s="1" t="n">
        <v>45446</v>
      </c>
      <c r="C14968" s="1" t="n">
        <v>45810</v>
      </c>
      <c r="D14968" t="inlineStr">
        <is>
          <t>VÄRMLANDS LÄN</t>
        </is>
      </c>
      <c r="E14968" t="inlineStr">
        <is>
          <t>HAGFORS</t>
        </is>
      </c>
      <c r="G14968" t="n">
        <v>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22426-2024</t>
        </is>
      </c>
      <c r="B14969" s="1" t="n">
        <v>45446</v>
      </c>
      <c r="C14969" s="1" t="n">
        <v>45810</v>
      </c>
      <c r="D14969" t="inlineStr">
        <is>
          <t>VÄRMLANDS LÄN</t>
        </is>
      </c>
      <c r="E14969" t="inlineStr">
        <is>
          <t>TORSBY</t>
        </is>
      </c>
      <c r="G14969" t="n">
        <v>3</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22658-2024</t>
        </is>
      </c>
      <c r="B14970" s="1" t="n">
        <v>45447</v>
      </c>
      <c r="C14970" s="1" t="n">
        <v>45810</v>
      </c>
      <c r="D14970" t="inlineStr">
        <is>
          <t>VÄRMLANDS LÄN</t>
        </is>
      </c>
      <c r="E14970" t="inlineStr">
        <is>
          <t>KRISTINEHAMN</t>
        </is>
      </c>
      <c r="G14970" t="n">
        <v>5.2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22637-2024</t>
        </is>
      </c>
      <c r="B14971" s="1" t="n">
        <v>45447</v>
      </c>
      <c r="C14971" s="1" t="n">
        <v>45810</v>
      </c>
      <c r="D14971" t="inlineStr">
        <is>
          <t>VÄRMLANDS LÄN</t>
        </is>
      </c>
      <c r="E14971" t="inlineStr">
        <is>
          <t>KRISTINEHAMN</t>
        </is>
      </c>
      <c r="G14971" t="n">
        <v>1.9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22616-2024</t>
        </is>
      </c>
      <c r="B14972" s="1" t="n">
        <v>45447</v>
      </c>
      <c r="C14972" s="1" t="n">
        <v>45810</v>
      </c>
      <c r="D14972" t="inlineStr">
        <is>
          <t>VÄRMLANDS LÄN</t>
        </is>
      </c>
      <c r="E14972" t="inlineStr">
        <is>
          <t>EDA</t>
        </is>
      </c>
      <c r="G14972" t="n">
        <v>1.9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22582-2024</t>
        </is>
      </c>
      <c r="B14973" s="1" t="n">
        <v>45447</v>
      </c>
      <c r="C14973" s="1" t="n">
        <v>45810</v>
      </c>
      <c r="D14973" t="inlineStr">
        <is>
          <t>VÄRMLANDS LÄN</t>
        </is>
      </c>
      <c r="E14973" t="inlineStr">
        <is>
          <t>FORSHAGA</t>
        </is>
      </c>
      <c r="F14973" t="inlineStr">
        <is>
          <t>Bergvik skog väst AB</t>
        </is>
      </c>
      <c r="G14973" t="n">
        <v>4.9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22578-2024</t>
        </is>
      </c>
      <c r="B14974" s="1" t="n">
        <v>45447</v>
      </c>
      <c r="C14974" s="1" t="n">
        <v>45810</v>
      </c>
      <c r="D14974" t="inlineStr">
        <is>
          <t>VÄRMLANDS LÄN</t>
        </is>
      </c>
      <c r="E14974" t="inlineStr">
        <is>
          <t>FILIPSTAD</t>
        </is>
      </c>
      <c r="F14974" t="inlineStr">
        <is>
          <t>Bergvik skog väst AB</t>
        </is>
      </c>
      <c r="G14974" t="n">
        <v>6.2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22562-2024</t>
        </is>
      </c>
      <c r="B14975" s="1" t="n">
        <v>45447</v>
      </c>
      <c r="C14975" s="1" t="n">
        <v>45810</v>
      </c>
      <c r="D14975" t="inlineStr">
        <is>
          <t>VÄRMLANDS LÄN</t>
        </is>
      </c>
      <c r="E14975" t="inlineStr">
        <is>
          <t>FORSHAGA</t>
        </is>
      </c>
      <c r="F14975" t="inlineStr">
        <is>
          <t>Bergvik skog väst AB</t>
        </is>
      </c>
      <c r="G14975" t="n">
        <v>12.9</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22525-2024</t>
        </is>
      </c>
      <c r="B14976" s="1" t="n">
        <v>45447</v>
      </c>
      <c r="C14976" s="1" t="n">
        <v>45810</v>
      </c>
      <c r="D14976" t="inlineStr">
        <is>
          <t>VÄRMLANDS LÄN</t>
        </is>
      </c>
      <c r="E14976" t="inlineStr">
        <is>
          <t>TORSBY</t>
        </is>
      </c>
      <c r="G14976" t="n">
        <v>7.3</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22626-2024</t>
        </is>
      </c>
      <c r="B14977" s="1" t="n">
        <v>45447</v>
      </c>
      <c r="C14977" s="1" t="n">
        <v>45810</v>
      </c>
      <c r="D14977" t="inlineStr">
        <is>
          <t>VÄRMLANDS LÄN</t>
        </is>
      </c>
      <c r="E14977" t="inlineStr">
        <is>
          <t>HAGFORS</t>
        </is>
      </c>
      <c r="F14977" t="inlineStr">
        <is>
          <t>Bergvik skog väst AB</t>
        </is>
      </c>
      <c r="G14977" t="n">
        <v>3.5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22565-2024</t>
        </is>
      </c>
      <c r="B14978" s="1" t="n">
        <v>45447</v>
      </c>
      <c r="C14978" s="1" t="n">
        <v>45810</v>
      </c>
      <c r="D14978" t="inlineStr">
        <is>
          <t>VÄRMLANDS LÄN</t>
        </is>
      </c>
      <c r="E14978" t="inlineStr">
        <is>
          <t>TORSBY</t>
        </is>
      </c>
      <c r="G14978" t="n">
        <v>3</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22536-2024</t>
        </is>
      </c>
      <c r="B14979" s="1" t="n">
        <v>45447</v>
      </c>
      <c r="C14979" s="1" t="n">
        <v>45810</v>
      </c>
      <c r="D14979" t="inlineStr">
        <is>
          <t>VÄRMLANDS LÄN</t>
        </is>
      </c>
      <c r="E14979" t="inlineStr">
        <is>
          <t>TORSBY</t>
        </is>
      </c>
      <c r="G14979" t="n">
        <v>25.2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22503-2024</t>
        </is>
      </c>
      <c r="B14980" s="1" t="n">
        <v>45447</v>
      </c>
      <c r="C14980" s="1" t="n">
        <v>45810</v>
      </c>
      <c r="D14980" t="inlineStr">
        <is>
          <t>VÄRMLANDS LÄN</t>
        </is>
      </c>
      <c r="E14980" t="inlineStr">
        <is>
          <t>HAGFORS</t>
        </is>
      </c>
      <c r="G14980" t="n">
        <v>0.2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22832-2024</t>
        </is>
      </c>
      <c r="B14981" s="1" t="n">
        <v>45448</v>
      </c>
      <c r="C14981" s="1" t="n">
        <v>45810</v>
      </c>
      <c r="D14981" t="inlineStr">
        <is>
          <t>VÄRMLANDS LÄN</t>
        </is>
      </c>
      <c r="E14981" t="inlineStr">
        <is>
          <t>KRISTINEHAMN</t>
        </is>
      </c>
      <c r="G14981" t="n">
        <v>4</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22844-2024</t>
        </is>
      </c>
      <c r="B14982" s="1" t="n">
        <v>45448</v>
      </c>
      <c r="C14982" s="1" t="n">
        <v>45810</v>
      </c>
      <c r="D14982" t="inlineStr">
        <is>
          <t>VÄRMLANDS LÄN</t>
        </is>
      </c>
      <c r="E14982" t="inlineStr">
        <is>
          <t>TORSBY</t>
        </is>
      </c>
      <c r="F14982" t="inlineStr">
        <is>
          <t>Bergvik skog väst AB</t>
        </is>
      </c>
      <c r="G14982" t="n">
        <v>16.3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22868-2024</t>
        </is>
      </c>
      <c r="B14983" s="1" t="n">
        <v>45448</v>
      </c>
      <c r="C14983" s="1" t="n">
        <v>45810</v>
      </c>
      <c r="D14983" t="inlineStr">
        <is>
          <t>VÄRMLANDS LÄN</t>
        </is>
      </c>
      <c r="E14983" t="inlineStr">
        <is>
          <t>FILIPSTAD</t>
        </is>
      </c>
      <c r="F14983" t="inlineStr">
        <is>
          <t>Bergvik skog väst AB</t>
        </is>
      </c>
      <c r="G14983" t="n">
        <v>4.3</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22729-2024</t>
        </is>
      </c>
      <c r="B14984" s="1" t="n">
        <v>45448</v>
      </c>
      <c r="C14984" s="1" t="n">
        <v>45810</v>
      </c>
      <c r="D14984" t="inlineStr">
        <is>
          <t>VÄRMLANDS LÄN</t>
        </is>
      </c>
      <c r="E14984" t="inlineStr">
        <is>
          <t>TORSBY</t>
        </is>
      </c>
      <c r="G14984" t="n">
        <v>2.8</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22717-2024</t>
        </is>
      </c>
      <c r="B14985" s="1" t="n">
        <v>45448</v>
      </c>
      <c r="C14985" s="1" t="n">
        <v>45810</v>
      </c>
      <c r="D14985" t="inlineStr">
        <is>
          <t>VÄRMLANDS LÄN</t>
        </is>
      </c>
      <c r="E14985" t="inlineStr">
        <is>
          <t>ARVIKA</t>
        </is>
      </c>
      <c r="F14985" t="inlineStr">
        <is>
          <t>Bergvik skog väst AB</t>
        </is>
      </c>
      <c r="G14985" t="n">
        <v>1.7</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22745-2024</t>
        </is>
      </c>
      <c r="B14986" s="1" t="n">
        <v>45448</v>
      </c>
      <c r="C14986" s="1" t="n">
        <v>45810</v>
      </c>
      <c r="D14986" t="inlineStr">
        <is>
          <t>VÄRMLANDS LÄN</t>
        </is>
      </c>
      <c r="E14986" t="inlineStr">
        <is>
          <t>MUNKFORS</t>
        </is>
      </c>
      <c r="G14986" t="n">
        <v>5.8</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22734-2024</t>
        </is>
      </c>
      <c r="B14987" s="1" t="n">
        <v>45448</v>
      </c>
      <c r="C14987" s="1" t="n">
        <v>45810</v>
      </c>
      <c r="D14987" t="inlineStr">
        <is>
          <t>VÄRMLANDS LÄN</t>
        </is>
      </c>
      <c r="E14987" t="inlineStr">
        <is>
          <t>SUNNE</t>
        </is>
      </c>
      <c r="F14987" t="inlineStr">
        <is>
          <t>Bergvik skog väst AB</t>
        </is>
      </c>
      <c r="G14987" t="n">
        <v>1.6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22720-2024</t>
        </is>
      </c>
      <c r="B14988" s="1" t="n">
        <v>45448</v>
      </c>
      <c r="C14988" s="1" t="n">
        <v>45810</v>
      </c>
      <c r="D14988" t="inlineStr">
        <is>
          <t>VÄRMLANDS LÄN</t>
        </is>
      </c>
      <c r="E14988" t="inlineStr">
        <is>
          <t>ARVIKA</t>
        </is>
      </c>
      <c r="F14988" t="inlineStr">
        <is>
          <t>Bergvik skog väst AB</t>
        </is>
      </c>
      <c r="G14988" t="n">
        <v>1.2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22763-2024</t>
        </is>
      </c>
      <c r="B14989" s="1" t="n">
        <v>45448</v>
      </c>
      <c r="C14989" s="1" t="n">
        <v>45810</v>
      </c>
      <c r="D14989" t="inlineStr">
        <is>
          <t>VÄRMLANDS LÄN</t>
        </is>
      </c>
      <c r="E14989" t="inlineStr">
        <is>
          <t>ARVIKA</t>
        </is>
      </c>
      <c r="F14989" t="inlineStr">
        <is>
          <t>Kyrkan</t>
        </is>
      </c>
      <c r="G14989" t="n">
        <v>1.7</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22775-2024</t>
        </is>
      </c>
      <c r="B14990" s="1" t="n">
        <v>45448</v>
      </c>
      <c r="C14990" s="1" t="n">
        <v>45810</v>
      </c>
      <c r="D14990" t="inlineStr">
        <is>
          <t>VÄRMLANDS LÄN</t>
        </is>
      </c>
      <c r="E14990" t="inlineStr">
        <is>
          <t>KRISTINEHAMN</t>
        </is>
      </c>
      <c r="G14990" t="n">
        <v>6.2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22754-2024</t>
        </is>
      </c>
      <c r="B14991" s="1" t="n">
        <v>45448</v>
      </c>
      <c r="C14991" s="1" t="n">
        <v>45810</v>
      </c>
      <c r="D14991" t="inlineStr">
        <is>
          <t>VÄRMLANDS LÄN</t>
        </is>
      </c>
      <c r="E14991" t="inlineStr">
        <is>
          <t>MUNKFORS</t>
        </is>
      </c>
      <c r="G14991" t="n">
        <v>0.9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22787-2024</t>
        </is>
      </c>
      <c r="B14992" s="1" t="n">
        <v>45448</v>
      </c>
      <c r="C14992" s="1" t="n">
        <v>45810</v>
      </c>
      <c r="D14992" t="inlineStr">
        <is>
          <t>VÄRMLANDS LÄN</t>
        </is>
      </c>
      <c r="E14992" t="inlineStr">
        <is>
          <t>HAGFORS</t>
        </is>
      </c>
      <c r="G14992" t="n">
        <v>3.6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22714-2024</t>
        </is>
      </c>
      <c r="B14993" s="1" t="n">
        <v>45448</v>
      </c>
      <c r="C14993" s="1" t="n">
        <v>45810</v>
      </c>
      <c r="D14993" t="inlineStr">
        <is>
          <t>VÄRMLANDS LÄN</t>
        </is>
      </c>
      <c r="E14993" t="inlineStr">
        <is>
          <t>ARVIKA</t>
        </is>
      </c>
      <c r="F14993" t="inlineStr">
        <is>
          <t>Bergvik skog väst AB</t>
        </is>
      </c>
      <c r="G14993" t="n">
        <v>0.5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22718-2024</t>
        </is>
      </c>
      <c r="B14994" s="1" t="n">
        <v>45448</v>
      </c>
      <c r="C14994" s="1" t="n">
        <v>45810</v>
      </c>
      <c r="D14994" t="inlineStr">
        <is>
          <t>VÄRMLANDS LÄN</t>
        </is>
      </c>
      <c r="E14994" t="inlineStr">
        <is>
          <t>EDA</t>
        </is>
      </c>
      <c r="G14994" t="n">
        <v>1.3</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22722-2024</t>
        </is>
      </c>
      <c r="B14995" s="1" t="n">
        <v>45448</v>
      </c>
      <c r="C14995" s="1" t="n">
        <v>45810</v>
      </c>
      <c r="D14995" t="inlineStr">
        <is>
          <t>VÄRMLANDS LÄN</t>
        </is>
      </c>
      <c r="E14995" t="inlineStr">
        <is>
          <t>ARVIKA</t>
        </is>
      </c>
      <c r="F14995" t="inlineStr">
        <is>
          <t>Bergvik skog väst AB</t>
        </is>
      </c>
      <c r="G14995" t="n">
        <v>1.2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22780-2024</t>
        </is>
      </c>
      <c r="B14996" s="1" t="n">
        <v>45448</v>
      </c>
      <c r="C14996" s="1" t="n">
        <v>45810</v>
      </c>
      <c r="D14996" t="inlineStr">
        <is>
          <t>VÄRMLANDS LÄN</t>
        </is>
      </c>
      <c r="E14996" t="inlineStr">
        <is>
          <t>STORFORS</t>
        </is>
      </c>
      <c r="F14996" t="inlineStr">
        <is>
          <t>Naturvårdsverket</t>
        </is>
      </c>
      <c r="G14996" t="n">
        <v>1.3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22798-2024</t>
        </is>
      </c>
      <c r="B14997" s="1" t="n">
        <v>45448</v>
      </c>
      <c r="C14997" s="1" t="n">
        <v>45810</v>
      </c>
      <c r="D14997" t="inlineStr">
        <is>
          <t>VÄRMLANDS LÄN</t>
        </is>
      </c>
      <c r="E14997" t="inlineStr">
        <is>
          <t>KIL</t>
        </is>
      </c>
      <c r="F14997" t="inlineStr">
        <is>
          <t>Kyrkan</t>
        </is>
      </c>
      <c r="G14997" t="n">
        <v>5.9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22822-2024</t>
        </is>
      </c>
      <c r="B14998" s="1" t="n">
        <v>45448</v>
      </c>
      <c r="C14998" s="1" t="n">
        <v>45810</v>
      </c>
      <c r="D14998" t="inlineStr">
        <is>
          <t>VÄRMLANDS LÄN</t>
        </is>
      </c>
      <c r="E14998" t="inlineStr">
        <is>
          <t>GRUMS</t>
        </is>
      </c>
      <c r="G14998" t="n">
        <v>1.3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22894-2024</t>
        </is>
      </c>
      <c r="B14999" s="1" t="n">
        <v>45448</v>
      </c>
      <c r="C14999" s="1" t="n">
        <v>45810</v>
      </c>
      <c r="D14999" t="inlineStr">
        <is>
          <t>VÄRMLANDS LÄN</t>
        </is>
      </c>
      <c r="E14999" t="inlineStr">
        <is>
          <t>ÅRJÄNG</t>
        </is>
      </c>
      <c r="G14999" t="n">
        <v>1.1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22898-2024</t>
        </is>
      </c>
      <c r="B15000" s="1" t="n">
        <v>45448</v>
      </c>
      <c r="C15000" s="1" t="n">
        <v>45810</v>
      </c>
      <c r="D15000" t="inlineStr">
        <is>
          <t>VÄRMLANDS LÄN</t>
        </is>
      </c>
      <c r="E15000" t="inlineStr">
        <is>
          <t>ÅRJÄNG</t>
        </is>
      </c>
      <c r="G15000" t="n">
        <v>0.6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22757-2024</t>
        </is>
      </c>
      <c r="B15001" s="1" t="n">
        <v>45448</v>
      </c>
      <c r="C15001" s="1" t="n">
        <v>45810</v>
      </c>
      <c r="D15001" t="inlineStr">
        <is>
          <t>VÄRMLANDS LÄN</t>
        </is>
      </c>
      <c r="E15001" t="inlineStr">
        <is>
          <t>MUNKFORS</t>
        </is>
      </c>
      <c r="G15001" t="n">
        <v>0.5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22765-2024</t>
        </is>
      </c>
      <c r="B15002" s="1" t="n">
        <v>45448</v>
      </c>
      <c r="C15002" s="1" t="n">
        <v>45810</v>
      </c>
      <c r="D15002" t="inlineStr">
        <is>
          <t>VÄRMLANDS LÄN</t>
        </is>
      </c>
      <c r="E15002" t="inlineStr">
        <is>
          <t>SUNNE</t>
        </is>
      </c>
      <c r="G15002" t="n">
        <v>1.4</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22795-2024</t>
        </is>
      </c>
      <c r="B15003" s="1" t="n">
        <v>45448</v>
      </c>
      <c r="C15003" s="1" t="n">
        <v>45810</v>
      </c>
      <c r="D15003" t="inlineStr">
        <is>
          <t>VÄRMLANDS LÄN</t>
        </is>
      </c>
      <c r="E15003" t="inlineStr">
        <is>
          <t>KARLSTAD</t>
        </is>
      </c>
      <c r="G15003" t="n">
        <v>2.9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22799-2024</t>
        </is>
      </c>
      <c r="B15004" s="1" t="n">
        <v>45448</v>
      </c>
      <c r="C15004" s="1" t="n">
        <v>45810</v>
      </c>
      <c r="D15004" t="inlineStr">
        <is>
          <t>VÄRMLANDS LÄN</t>
        </is>
      </c>
      <c r="E15004" t="inlineStr">
        <is>
          <t>KARLSTAD</t>
        </is>
      </c>
      <c r="G15004" t="n">
        <v>0.9</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22843-2024</t>
        </is>
      </c>
      <c r="B15005" s="1" t="n">
        <v>45448</v>
      </c>
      <c r="C15005" s="1" t="n">
        <v>45810</v>
      </c>
      <c r="D15005" t="inlineStr">
        <is>
          <t>VÄRMLANDS LÄN</t>
        </is>
      </c>
      <c r="E15005" t="inlineStr">
        <is>
          <t>TORSBY</t>
        </is>
      </c>
      <c r="F15005" t="inlineStr">
        <is>
          <t>Bergvik skog väst AB</t>
        </is>
      </c>
      <c r="G15005" t="n">
        <v>0.7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22863-2024</t>
        </is>
      </c>
      <c r="B15006" s="1" t="n">
        <v>45448</v>
      </c>
      <c r="C15006" s="1" t="n">
        <v>45810</v>
      </c>
      <c r="D15006" t="inlineStr">
        <is>
          <t>VÄRMLANDS LÄN</t>
        </is>
      </c>
      <c r="E15006" t="inlineStr">
        <is>
          <t>SÄFFLE</t>
        </is>
      </c>
      <c r="G15006" t="n">
        <v>0.5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22964-2024</t>
        </is>
      </c>
      <c r="B15007" s="1" t="n">
        <v>45449</v>
      </c>
      <c r="C15007" s="1" t="n">
        <v>45810</v>
      </c>
      <c r="D15007" t="inlineStr">
        <is>
          <t>VÄRMLANDS LÄN</t>
        </is>
      </c>
      <c r="E15007" t="inlineStr">
        <is>
          <t>SUNNE</t>
        </is>
      </c>
      <c r="G15007" t="n">
        <v>4.1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22973-2024</t>
        </is>
      </c>
      <c r="B15008" s="1" t="n">
        <v>45449</v>
      </c>
      <c r="C15008" s="1" t="n">
        <v>45810</v>
      </c>
      <c r="D15008" t="inlineStr">
        <is>
          <t>VÄRMLANDS LÄN</t>
        </is>
      </c>
      <c r="E15008" t="inlineStr">
        <is>
          <t>TORSBY</t>
        </is>
      </c>
      <c r="G15008" t="n">
        <v>0.5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23061-2024</t>
        </is>
      </c>
      <c r="B15009" s="1" t="n">
        <v>45449</v>
      </c>
      <c r="C15009" s="1" t="n">
        <v>45810</v>
      </c>
      <c r="D15009" t="inlineStr">
        <is>
          <t>VÄRMLANDS LÄN</t>
        </is>
      </c>
      <c r="E15009" t="inlineStr">
        <is>
          <t>SUNNE</t>
        </is>
      </c>
      <c r="G15009" t="n">
        <v>0.9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23066-2024</t>
        </is>
      </c>
      <c r="B15010" s="1" t="n">
        <v>45449</v>
      </c>
      <c r="C15010" s="1" t="n">
        <v>45810</v>
      </c>
      <c r="D15010" t="inlineStr">
        <is>
          <t>VÄRMLANDS LÄN</t>
        </is>
      </c>
      <c r="E15010" t="inlineStr">
        <is>
          <t>KIL</t>
        </is>
      </c>
      <c r="G15010" t="n">
        <v>2.6</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23042-2024</t>
        </is>
      </c>
      <c r="B15011" s="1" t="n">
        <v>45450</v>
      </c>
      <c r="C15011" s="1" t="n">
        <v>45810</v>
      </c>
      <c r="D15011" t="inlineStr">
        <is>
          <t>VÄRMLANDS LÄN</t>
        </is>
      </c>
      <c r="E15011" t="inlineStr">
        <is>
          <t>TORSBY</t>
        </is>
      </c>
      <c r="G15011" t="n">
        <v>2.7</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23047-2024</t>
        </is>
      </c>
      <c r="B15012" s="1" t="n">
        <v>45450</v>
      </c>
      <c r="C15012" s="1" t="n">
        <v>45810</v>
      </c>
      <c r="D15012" t="inlineStr">
        <is>
          <t>VÄRMLANDS LÄN</t>
        </is>
      </c>
      <c r="E15012" t="inlineStr">
        <is>
          <t>HAGFORS</t>
        </is>
      </c>
      <c r="G15012" t="n">
        <v>0.8</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23054-2024</t>
        </is>
      </c>
      <c r="B15013" s="1" t="n">
        <v>45450</v>
      </c>
      <c r="C15013" s="1" t="n">
        <v>45810</v>
      </c>
      <c r="D15013" t="inlineStr">
        <is>
          <t>VÄRMLANDS LÄN</t>
        </is>
      </c>
      <c r="E15013" t="inlineStr">
        <is>
          <t>ÅRJÄNG</t>
        </is>
      </c>
      <c r="G15013" t="n">
        <v>4.1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23085-2024</t>
        </is>
      </c>
      <c r="B15014" s="1" t="n">
        <v>45450</v>
      </c>
      <c r="C15014" s="1" t="n">
        <v>45810</v>
      </c>
      <c r="D15014" t="inlineStr">
        <is>
          <t>VÄRMLANDS LÄN</t>
        </is>
      </c>
      <c r="E15014" t="inlineStr">
        <is>
          <t>ARVIKA</t>
        </is>
      </c>
      <c r="F15014" t="inlineStr">
        <is>
          <t>Bergvik skog väst AB</t>
        </is>
      </c>
      <c r="G15014" t="n">
        <v>0.7</v>
      </c>
      <c r="H15014" t="n">
        <v>0</v>
      </c>
      <c r="I15014" t="n">
        <v>0</v>
      </c>
      <c r="J15014" t="n">
        <v>0</v>
      </c>
      <c r="K15014" t="n">
        <v>0</v>
      </c>
      <c r="L15014" t="n">
        <v>0</v>
      </c>
      <c r="M15014" t="n">
        <v>0</v>
      </c>
      <c r="N15014" t="n">
        <v>0</v>
      </c>
      <c r="O15014" t="n">
        <v>0</v>
      </c>
      <c r="P15014" t="n">
        <v>0</v>
      </c>
      <c r="Q15014" t="n">
        <v>0</v>
      </c>
      <c r="R15014" s="2" t="inlineStr"/>
      <c r="U15014">
        <f>HYPERLINK("https://klasma.github.io/Logging_1784/knärot/A 23085-2024 karta knärot.png", "A 23085-2024")</f>
        <v/>
      </c>
      <c r="V15014">
        <f>HYPERLINK("https://klasma.github.io/Logging_1784/klagomål/A 23085-2024 FSC-klagomål.docx", "A 23085-2024")</f>
        <v/>
      </c>
      <c r="W15014">
        <f>HYPERLINK("https://klasma.github.io/Logging_1784/klagomålsmail/A 23085-2024 FSC-klagomål mail.docx", "A 23085-2024")</f>
        <v/>
      </c>
      <c r="X15014">
        <f>HYPERLINK("https://klasma.github.io/Logging_1784/tillsyn/A 23085-2024 tillsynsbegäran.docx", "A 23085-2024")</f>
        <v/>
      </c>
      <c r="Y15014">
        <f>HYPERLINK("https://klasma.github.io/Logging_1784/tillsynsmail/A 23085-2024 tillsynsbegäran mail.docx", "A 23085-2024")</f>
        <v/>
      </c>
    </row>
    <row r="15015" ht="15" customHeight="1">
      <c r="A15015" t="inlineStr">
        <is>
          <t>A 23089-2024</t>
        </is>
      </c>
      <c r="B15015" s="1" t="n">
        <v>45450</v>
      </c>
      <c r="C15015" s="1" t="n">
        <v>45810</v>
      </c>
      <c r="D15015" t="inlineStr">
        <is>
          <t>VÄRMLANDS LÄN</t>
        </is>
      </c>
      <c r="E15015" t="inlineStr">
        <is>
          <t>ARVIKA</t>
        </is>
      </c>
      <c r="F15015" t="inlineStr">
        <is>
          <t>Bergvik skog väst AB</t>
        </is>
      </c>
      <c r="G15015" t="n">
        <v>0.7</v>
      </c>
      <c r="H15015" t="n">
        <v>0</v>
      </c>
      <c r="I15015" t="n">
        <v>0</v>
      </c>
      <c r="J15015" t="n">
        <v>0</v>
      </c>
      <c r="K15015" t="n">
        <v>0</v>
      </c>
      <c r="L15015" t="n">
        <v>0</v>
      </c>
      <c r="M15015" t="n">
        <v>0</v>
      </c>
      <c r="N15015" t="n">
        <v>0</v>
      </c>
      <c r="O15015" t="n">
        <v>0</v>
      </c>
      <c r="P15015" t="n">
        <v>0</v>
      </c>
      <c r="Q15015" t="n">
        <v>0</v>
      </c>
      <c r="R15015" s="2" t="inlineStr"/>
      <c r="U15015">
        <f>HYPERLINK("https://klasma.github.io/Logging_1784/knärot/A 23089-2024 karta knärot.png", "A 23089-2024")</f>
        <v/>
      </c>
      <c r="V15015">
        <f>HYPERLINK("https://klasma.github.io/Logging_1784/klagomål/A 23089-2024 FSC-klagomål.docx", "A 23089-2024")</f>
        <v/>
      </c>
      <c r="W15015">
        <f>HYPERLINK("https://klasma.github.io/Logging_1784/klagomålsmail/A 23089-2024 FSC-klagomål mail.docx", "A 23089-2024")</f>
        <v/>
      </c>
      <c r="X15015">
        <f>HYPERLINK("https://klasma.github.io/Logging_1784/tillsyn/A 23089-2024 tillsynsbegäran.docx", "A 23089-2024")</f>
        <v/>
      </c>
      <c r="Y15015">
        <f>HYPERLINK("https://klasma.github.io/Logging_1784/tillsynsmail/A 23089-2024 tillsynsbegäran mail.docx", "A 23089-2024")</f>
        <v/>
      </c>
    </row>
    <row r="15016" ht="15" customHeight="1">
      <c r="A15016" t="inlineStr">
        <is>
          <t>A 23133-2024</t>
        </is>
      </c>
      <c r="B15016" s="1" t="n">
        <v>45450</v>
      </c>
      <c r="C15016" s="1" t="n">
        <v>45810</v>
      </c>
      <c r="D15016" t="inlineStr">
        <is>
          <t>VÄRMLANDS LÄN</t>
        </is>
      </c>
      <c r="E15016" t="inlineStr">
        <is>
          <t>TORSBY</t>
        </is>
      </c>
      <c r="G15016" t="n">
        <v>3.2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23041-2024</t>
        </is>
      </c>
      <c r="B15017" s="1" t="n">
        <v>45450</v>
      </c>
      <c r="C15017" s="1" t="n">
        <v>45810</v>
      </c>
      <c r="D15017" t="inlineStr">
        <is>
          <t>VÄRMLANDS LÄN</t>
        </is>
      </c>
      <c r="E15017" t="inlineStr">
        <is>
          <t>HAGFORS</t>
        </is>
      </c>
      <c r="G15017" t="n">
        <v>5.9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23051-2024</t>
        </is>
      </c>
      <c r="B15018" s="1" t="n">
        <v>45450</v>
      </c>
      <c r="C15018" s="1" t="n">
        <v>45810</v>
      </c>
      <c r="D15018" t="inlineStr">
        <is>
          <t>VÄRMLANDS LÄN</t>
        </is>
      </c>
      <c r="E15018" t="inlineStr">
        <is>
          <t>ÅRJÄNG</t>
        </is>
      </c>
      <c r="G15018" t="n">
        <v>2.4</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23070-2024</t>
        </is>
      </c>
      <c r="B15019" s="1" t="n">
        <v>45450</v>
      </c>
      <c r="C15019" s="1" t="n">
        <v>45810</v>
      </c>
      <c r="D15019" t="inlineStr">
        <is>
          <t>VÄRMLANDS LÄN</t>
        </is>
      </c>
      <c r="E15019" t="inlineStr">
        <is>
          <t>EDA</t>
        </is>
      </c>
      <c r="G15019" t="n">
        <v>2.4</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23108-2024</t>
        </is>
      </c>
      <c r="B15020" s="1" t="n">
        <v>45450</v>
      </c>
      <c r="C15020" s="1" t="n">
        <v>45810</v>
      </c>
      <c r="D15020" t="inlineStr">
        <is>
          <t>VÄRMLANDS LÄN</t>
        </is>
      </c>
      <c r="E15020" t="inlineStr">
        <is>
          <t>TORSBY</t>
        </is>
      </c>
      <c r="F15020" t="inlineStr">
        <is>
          <t>Bergvik skog väst AB</t>
        </is>
      </c>
      <c r="G15020" t="n">
        <v>11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23044-2024</t>
        </is>
      </c>
      <c r="B15021" s="1" t="n">
        <v>45450</v>
      </c>
      <c r="C15021" s="1" t="n">
        <v>45810</v>
      </c>
      <c r="D15021" t="inlineStr">
        <is>
          <t>VÄRMLANDS LÄN</t>
        </is>
      </c>
      <c r="E15021" t="inlineStr">
        <is>
          <t>TORSBY</t>
        </is>
      </c>
      <c r="G15021" t="n">
        <v>2.9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23048-2024</t>
        </is>
      </c>
      <c r="B15022" s="1" t="n">
        <v>45450</v>
      </c>
      <c r="C15022" s="1" t="n">
        <v>45810</v>
      </c>
      <c r="D15022" t="inlineStr">
        <is>
          <t>VÄRMLANDS LÄN</t>
        </is>
      </c>
      <c r="E15022" t="inlineStr">
        <is>
          <t>ÅRJÄNG</t>
        </is>
      </c>
      <c r="G15022" t="n">
        <v>2.2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23106-2024</t>
        </is>
      </c>
      <c r="B15023" s="1" t="n">
        <v>45450</v>
      </c>
      <c r="C15023" s="1" t="n">
        <v>45810</v>
      </c>
      <c r="D15023" t="inlineStr">
        <is>
          <t>VÄRMLANDS LÄN</t>
        </is>
      </c>
      <c r="E15023" t="inlineStr">
        <is>
          <t>TORSBY</t>
        </is>
      </c>
      <c r="F15023" t="inlineStr">
        <is>
          <t>Bergvik skog väst AB</t>
        </is>
      </c>
      <c r="G15023" t="n">
        <v>2.1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23114-2024</t>
        </is>
      </c>
      <c r="B15024" s="1" t="n">
        <v>45450</v>
      </c>
      <c r="C15024" s="1" t="n">
        <v>45810</v>
      </c>
      <c r="D15024" t="inlineStr">
        <is>
          <t>VÄRMLANDS LÄN</t>
        </is>
      </c>
      <c r="E15024" t="inlineStr">
        <is>
          <t>KARLSTAD</t>
        </is>
      </c>
      <c r="G15024" t="n">
        <v>10.7</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23155-2024</t>
        </is>
      </c>
      <c r="B15025" s="1" t="n">
        <v>45450</v>
      </c>
      <c r="C15025" s="1" t="n">
        <v>45810</v>
      </c>
      <c r="D15025" t="inlineStr">
        <is>
          <t>VÄRMLANDS LÄN</t>
        </is>
      </c>
      <c r="E15025" t="inlineStr">
        <is>
          <t>ÅRJÄNG</t>
        </is>
      </c>
      <c r="G15025" t="n">
        <v>1.1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23189-2024</t>
        </is>
      </c>
      <c r="B15026" s="1" t="n">
        <v>45450</v>
      </c>
      <c r="C15026" s="1" t="n">
        <v>45810</v>
      </c>
      <c r="D15026" t="inlineStr">
        <is>
          <t>VÄRMLANDS LÄN</t>
        </is>
      </c>
      <c r="E15026" t="inlineStr">
        <is>
          <t>GRUMS</t>
        </is>
      </c>
      <c r="F15026" t="inlineStr">
        <is>
          <t>Bergvik skog väst AB</t>
        </is>
      </c>
      <c r="G15026" t="n">
        <v>1.9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23246-2024</t>
        </is>
      </c>
      <c r="B15027" s="1" t="n">
        <v>45450</v>
      </c>
      <c r="C15027" s="1" t="n">
        <v>45810</v>
      </c>
      <c r="D15027" t="inlineStr">
        <is>
          <t>VÄRMLANDS LÄN</t>
        </is>
      </c>
      <c r="E15027" t="inlineStr">
        <is>
          <t>KRISTINEHAMN</t>
        </is>
      </c>
      <c r="F15027" t="inlineStr">
        <is>
          <t>Kommuner</t>
        </is>
      </c>
      <c r="G15027" t="n">
        <v>1.6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23188-2024</t>
        </is>
      </c>
      <c r="B15028" s="1" t="n">
        <v>45450</v>
      </c>
      <c r="C15028" s="1" t="n">
        <v>45810</v>
      </c>
      <c r="D15028" t="inlineStr">
        <is>
          <t>VÄRMLANDS LÄN</t>
        </is>
      </c>
      <c r="E15028" t="inlineStr">
        <is>
          <t>SÄFFLE</t>
        </is>
      </c>
      <c r="F15028" t="inlineStr">
        <is>
          <t>Bergvik skog väst AB</t>
        </is>
      </c>
      <c r="G15028" t="n">
        <v>2.9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23270-2024</t>
        </is>
      </c>
      <c r="B15029" s="1" t="n">
        <v>45450</v>
      </c>
      <c r="C15029" s="1" t="n">
        <v>45810</v>
      </c>
      <c r="D15029" t="inlineStr">
        <is>
          <t>VÄRMLANDS LÄN</t>
        </is>
      </c>
      <c r="E15029" t="inlineStr">
        <is>
          <t>KRISTINEHAMN</t>
        </is>
      </c>
      <c r="F15029" t="inlineStr">
        <is>
          <t>Kommuner</t>
        </is>
      </c>
      <c r="G15029" t="n">
        <v>2.8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23247-2024</t>
        </is>
      </c>
      <c r="B15030" s="1" t="n">
        <v>45453</v>
      </c>
      <c r="C15030" s="1" t="n">
        <v>45810</v>
      </c>
      <c r="D15030" t="inlineStr">
        <is>
          <t>VÄRMLANDS LÄN</t>
        </is>
      </c>
      <c r="E15030" t="inlineStr">
        <is>
          <t>HAGFORS</t>
        </is>
      </c>
      <c r="F15030" t="inlineStr">
        <is>
          <t>Bergvik skog väst AB</t>
        </is>
      </c>
      <c r="G15030" t="n">
        <v>26.3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23293-2024</t>
        </is>
      </c>
      <c r="B15031" s="1" t="n">
        <v>45453</v>
      </c>
      <c r="C15031" s="1" t="n">
        <v>45810</v>
      </c>
      <c r="D15031" t="inlineStr">
        <is>
          <t>VÄRMLANDS LÄN</t>
        </is>
      </c>
      <c r="E15031" t="inlineStr">
        <is>
          <t>KRISTINEHAMN</t>
        </is>
      </c>
      <c r="G15031" t="n">
        <v>0.7</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23305-2024</t>
        </is>
      </c>
      <c r="B15032" s="1" t="n">
        <v>45453</v>
      </c>
      <c r="C15032" s="1" t="n">
        <v>45810</v>
      </c>
      <c r="D15032" t="inlineStr">
        <is>
          <t>VÄRMLANDS LÄN</t>
        </is>
      </c>
      <c r="E15032" t="inlineStr">
        <is>
          <t>ARVIKA</t>
        </is>
      </c>
      <c r="G15032" t="n">
        <v>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23273-2024</t>
        </is>
      </c>
      <c r="B15033" s="1" t="n">
        <v>45453</v>
      </c>
      <c r="C15033" s="1" t="n">
        <v>45810</v>
      </c>
      <c r="D15033" t="inlineStr">
        <is>
          <t>VÄRMLANDS LÄN</t>
        </is>
      </c>
      <c r="E15033" t="inlineStr">
        <is>
          <t>ARVIKA</t>
        </is>
      </c>
      <c r="G15033" t="n">
        <v>2.8</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23279-2024</t>
        </is>
      </c>
      <c r="B15034" s="1" t="n">
        <v>45453</v>
      </c>
      <c r="C15034" s="1" t="n">
        <v>45810</v>
      </c>
      <c r="D15034" t="inlineStr">
        <is>
          <t>VÄRMLANDS LÄN</t>
        </is>
      </c>
      <c r="E15034" t="inlineStr">
        <is>
          <t>STORFORS</t>
        </is>
      </c>
      <c r="G15034" t="n">
        <v>1.5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23332-2024</t>
        </is>
      </c>
      <c r="B15035" s="1" t="n">
        <v>45453</v>
      </c>
      <c r="C15035" s="1" t="n">
        <v>45810</v>
      </c>
      <c r="D15035" t="inlineStr">
        <is>
          <t>VÄRMLANDS LÄN</t>
        </is>
      </c>
      <c r="E15035" t="inlineStr">
        <is>
          <t>KRISTINEHAMN</t>
        </is>
      </c>
      <c r="G15035" t="n">
        <v>0.6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23382-2024</t>
        </is>
      </c>
      <c r="B15036" s="1" t="n">
        <v>45453</v>
      </c>
      <c r="C15036" s="1" t="n">
        <v>45810</v>
      </c>
      <c r="D15036" t="inlineStr">
        <is>
          <t>VÄRMLANDS LÄN</t>
        </is>
      </c>
      <c r="E15036" t="inlineStr">
        <is>
          <t>FILIPSTAD</t>
        </is>
      </c>
      <c r="F15036" t="inlineStr">
        <is>
          <t>Bergvik skog väst AB</t>
        </is>
      </c>
      <c r="G15036" t="n">
        <v>2.9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23510-2024</t>
        </is>
      </c>
      <c r="B15037" s="1" t="n">
        <v>45453</v>
      </c>
      <c r="C15037" s="1" t="n">
        <v>45810</v>
      </c>
      <c r="D15037" t="inlineStr">
        <is>
          <t>VÄRMLANDS LÄN</t>
        </is>
      </c>
      <c r="E15037" t="inlineStr">
        <is>
          <t>SUNNE</t>
        </is>
      </c>
      <c r="G15037" t="n">
        <v>1.5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23430-2024</t>
        </is>
      </c>
      <c r="B15038" s="1" t="n">
        <v>45453</v>
      </c>
      <c r="C15038" s="1" t="n">
        <v>45810</v>
      </c>
      <c r="D15038" t="inlineStr">
        <is>
          <t>VÄRMLANDS LÄN</t>
        </is>
      </c>
      <c r="E15038" t="inlineStr">
        <is>
          <t>ARVIKA</t>
        </is>
      </c>
      <c r="F15038" t="inlineStr">
        <is>
          <t>Bergvik skog väst AB</t>
        </is>
      </c>
      <c r="G15038" t="n">
        <v>2.6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23337-2024</t>
        </is>
      </c>
      <c r="B15039" s="1" t="n">
        <v>45453</v>
      </c>
      <c r="C15039" s="1" t="n">
        <v>45810</v>
      </c>
      <c r="D15039" t="inlineStr">
        <is>
          <t>VÄRMLANDS LÄN</t>
        </is>
      </c>
      <c r="E15039" t="inlineStr">
        <is>
          <t>SÄFFLE</t>
        </is>
      </c>
      <c r="G15039" t="n">
        <v>1.8</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23292-2024</t>
        </is>
      </c>
      <c r="B15040" s="1" t="n">
        <v>45453</v>
      </c>
      <c r="C15040" s="1" t="n">
        <v>45810</v>
      </c>
      <c r="D15040" t="inlineStr">
        <is>
          <t>VÄRMLANDS LÄN</t>
        </is>
      </c>
      <c r="E15040" t="inlineStr">
        <is>
          <t>ARVIKA</t>
        </is>
      </c>
      <c r="G15040" t="n">
        <v>0.6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23280-2024</t>
        </is>
      </c>
      <c r="B15041" s="1" t="n">
        <v>45453</v>
      </c>
      <c r="C15041" s="1" t="n">
        <v>45810</v>
      </c>
      <c r="D15041" t="inlineStr">
        <is>
          <t>VÄRMLANDS LÄN</t>
        </is>
      </c>
      <c r="E15041" t="inlineStr">
        <is>
          <t>ARVIKA</t>
        </is>
      </c>
      <c r="G15041" t="n">
        <v>0.5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23274-2024</t>
        </is>
      </c>
      <c r="B15042" s="1" t="n">
        <v>45453</v>
      </c>
      <c r="C15042" s="1" t="n">
        <v>45810</v>
      </c>
      <c r="D15042" t="inlineStr">
        <is>
          <t>VÄRMLANDS LÄN</t>
        </is>
      </c>
      <c r="E15042" t="inlineStr">
        <is>
          <t>KRISTINEHAMN</t>
        </is>
      </c>
      <c r="G15042" t="n">
        <v>2.2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23436-2024</t>
        </is>
      </c>
      <c r="B15043" s="1" t="n">
        <v>45453</v>
      </c>
      <c r="C15043" s="1" t="n">
        <v>45810</v>
      </c>
      <c r="D15043" t="inlineStr">
        <is>
          <t>VÄRMLANDS LÄN</t>
        </is>
      </c>
      <c r="E15043" t="inlineStr">
        <is>
          <t>SÄFFLE</t>
        </is>
      </c>
      <c r="G15043" t="n">
        <v>6.3</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23424-2024</t>
        </is>
      </c>
      <c r="B15044" s="1" t="n">
        <v>45453</v>
      </c>
      <c r="C15044" s="1" t="n">
        <v>45810</v>
      </c>
      <c r="D15044" t="inlineStr">
        <is>
          <t>VÄRMLANDS LÄN</t>
        </is>
      </c>
      <c r="E15044" t="inlineStr">
        <is>
          <t>ARVIKA</t>
        </is>
      </c>
      <c r="F15044" t="inlineStr">
        <is>
          <t>Bergvik skog väst AB</t>
        </is>
      </c>
      <c r="G15044" t="n">
        <v>11.3</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23423-2024</t>
        </is>
      </c>
      <c r="B15045" s="1" t="n">
        <v>45453</v>
      </c>
      <c r="C15045" s="1" t="n">
        <v>45810</v>
      </c>
      <c r="D15045" t="inlineStr">
        <is>
          <t>VÄRMLANDS LÄN</t>
        </is>
      </c>
      <c r="E15045" t="inlineStr">
        <is>
          <t>TORSBY</t>
        </is>
      </c>
      <c r="G15045" t="n">
        <v>3.1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23451-2024</t>
        </is>
      </c>
      <c r="B15046" s="1" t="n">
        <v>45453</v>
      </c>
      <c r="C15046" s="1" t="n">
        <v>45810</v>
      </c>
      <c r="D15046" t="inlineStr">
        <is>
          <t>VÄRMLANDS LÄN</t>
        </is>
      </c>
      <c r="E15046" t="inlineStr">
        <is>
          <t>FORSHAGA</t>
        </is>
      </c>
      <c r="G15046" t="n">
        <v>6.1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23409-2024</t>
        </is>
      </c>
      <c r="B15047" s="1" t="n">
        <v>45453</v>
      </c>
      <c r="C15047" s="1" t="n">
        <v>45810</v>
      </c>
      <c r="D15047" t="inlineStr">
        <is>
          <t>VÄRMLANDS LÄN</t>
        </is>
      </c>
      <c r="E15047" t="inlineStr">
        <is>
          <t>FORSHAGA</t>
        </is>
      </c>
      <c r="G15047" t="n">
        <v>5.9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23505-2024</t>
        </is>
      </c>
      <c r="B15048" s="1" t="n">
        <v>45453</v>
      </c>
      <c r="C15048" s="1" t="n">
        <v>45810</v>
      </c>
      <c r="D15048" t="inlineStr">
        <is>
          <t>VÄRMLANDS LÄN</t>
        </is>
      </c>
      <c r="E15048" t="inlineStr">
        <is>
          <t>SUNNE</t>
        </is>
      </c>
      <c r="G15048" t="n">
        <v>13.7</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23371-2024</t>
        </is>
      </c>
      <c r="B15049" s="1" t="n">
        <v>45453</v>
      </c>
      <c r="C15049" s="1" t="n">
        <v>45810</v>
      </c>
      <c r="D15049" t="inlineStr">
        <is>
          <t>VÄRMLANDS LÄN</t>
        </is>
      </c>
      <c r="E15049" t="inlineStr">
        <is>
          <t>FILIPSTAD</t>
        </is>
      </c>
      <c r="F15049" t="inlineStr">
        <is>
          <t>Bergvik skog väst AB</t>
        </is>
      </c>
      <c r="G15049" t="n">
        <v>13.3</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23267-2024</t>
        </is>
      </c>
      <c r="B15050" s="1" t="n">
        <v>45453</v>
      </c>
      <c r="C15050" s="1" t="n">
        <v>45810</v>
      </c>
      <c r="D15050" t="inlineStr">
        <is>
          <t>VÄRMLANDS LÄN</t>
        </is>
      </c>
      <c r="E15050" t="inlineStr">
        <is>
          <t>ARVIKA</t>
        </is>
      </c>
      <c r="G15050" t="n">
        <v>1.4</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23241-2024</t>
        </is>
      </c>
      <c r="B15051" s="1" t="n">
        <v>45453</v>
      </c>
      <c r="C15051" s="1" t="n">
        <v>45810</v>
      </c>
      <c r="D15051" t="inlineStr">
        <is>
          <t>VÄRMLANDS LÄN</t>
        </is>
      </c>
      <c r="E15051" t="inlineStr">
        <is>
          <t>HAGFORS</t>
        </is>
      </c>
      <c r="F15051" t="inlineStr">
        <is>
          <t>Bergvik skog väst AB</t>
        </is>
      </c>
      <c r="G15051" t="n">
        <v>9.6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23595-2024</t>
        </is>
      </c>
      <c r="B15052" s="1" t="n">
        <v>45454</v>
      </c>
      <c r="C15052" s="1" t="n">
        <v>45810</v>
      </c>
      <c r="D15052" t="inlineStr">
        <is>
          <t>VÄRMLANDS LÄN</t>
        </is>
      </c>
      <c r="E15052" t="inlineStr">
        <is>
          <t>SUNNE</t>
        </is>
      </c>
      <c r="G15052" t="n">
        <v>3.6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23678-2024</t>
        </is>
      </c>
      <c r="B15053" s="1" t="n">
        <v>45454</v>
      </c>
      <c r="C15053" s="1" t="n">
        <v>45810</v>
      </c>
      <c r="D15053" t="inlineStr">
        <is>
          <t>VÄRMLANDS LÄN</t>
        </is>
      </c>
      <c r="E15053" t="inlineStr">
        <is>
          <t>TORSBY</t>
        </is>
      </c>
      <c r="F15053" t="inlineStr">
        <is>
          <t>Bergvik skog väst AB</t>
        </is>
      </c>
      <c r="G15053" t="n">
        <v>3.5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23719-2024</t>
        </is>
      </c>
      <c r="B15054" s="1" t="n">
        <v>45454</v>
      </c>
      <c r="C15054" s="1" t="n">
        <v>45810</v>
      </c>
      <c r="D15054" t="inlineStr">
        <is>
          <t>VÄRMLANDS LÄN</t>
        </is>
      </c>
      <c r="E15054" t="inlineStr">
        <is>
          <t>TORSBY</t>
        </is>
      </c>
      <c r="G15054" t="n">
        <v>4.4</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23690-2024</t>
        </is>
      </c>
      <c r="B15055" s="1" t="n">
        <v>45454</v>
      </c>
      <c r="C15055" s="1" t="n">
        <v>45810</v>
      </c>
      <c r="D15055" t="inlineStr">
        <is>
          <t>VÄRMLANDS LÄN</t>
        </is>
      </c>
      <c r="E15055" t="inlineStr">
        <is>
          <t>ÅRJÄNG</t>
        </is>
      </c>
      <c r="G15055" t="n">
        <v>2.4</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23746-2024</t>
        </is>
      </c>
      <c r="B15056" s="1" t="n">
        <v>45454</v>
      </c>
      <c r="C15056" s="1" t="n">
        <v>45810</v>
      </c>
      <c r="D15056" t="inlineStr">
        <is>
          <t>VÄRMLANDS LÄN</t>
        </is>
      </c>
      <c r="E15056" t="inlineStr">
        <is>
          <t>TORSBY</t>
        </is>
      </c>
      <c r="G15056" t="n">
        <v>1.2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23688-2024</t>
        </is>
      </c>
      <c r="B15057" s="1" t="n">
        <v>45454</v>
      </c>
      <c r="C15057" s="1" t="n">
        <v>45810</v>
      </c>
      <c r="D15057" t="inlineStr">
        <is>
          <t>VÄRMLANDS LÄN</t>
        </is>
      </c>
      <c r="E15057" t="inlineStr">
        <is>
          <t>ÅRJÄNG</t>
        </is>
      </c>
      <c r="G15057" t="n">
        <v>3.4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23737-2024</t>
        </is>
      </c>
      <c r="B15058" s="1" t="n">
        <v>45454</v>
      </c>
      <c r="C15058" s="1" t="n">
        <v>45810</v>
      </c>
      <c r="D15058" t="inlineStr">
        <is>
          <t>VÄRMLANDS LÄN</t>
        </is>
      </c>
      <c r="E15058" t="inlineStr">
        <is>
          <t>SÄFFLE</t>
        </is>
      </c>
      <c r="F15058" t="inlineStr">
        <is>
          <t>Bergvik skog väst AB</t>
        </is>
      </c>
      <c r="G15058" t="n">
        <v>0.7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23709-2024</t>
        </is>
      </c>
      <c r="B15059" s="1" t="n">
        <v>45454</v>
      </c>
      <c r="C15059" s="1" t="n">
        <v>45810</v>
      </c>
      <c r="D15059" t="inlineStr">
        <is>
          <t>VÄRMLANDS LÄN</t>
        </is>
      </c>
      <c r="E15059" t="inlineStr">
        <is>
          <t>ÅRJÄNG</t>
        </is>
      </c>
      <c r="G15059" t="n">
        <v>3.3</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23624-2024</t>
        </is>
      </c>
      <c r="B15060" s="1" t="n">
        <v>45454</v>
      </c>
      <c r="C15060" s="1" t="n">
        <v>45810</v>
      </c>
      <c r="D15060" t="inlineStr">
        <is>
          <t>VÄRMLANDS LÄN</t>
        </is>
      </c>
      <c r="E15060" t="inlineStr">
        <is>
          <t>SÄFFLE</t>
        </is>
      </c>
      <c r="F15060" t="inlineStr">
        <is>
          <t>Kommuner</t>
        </is>
      </c>
      <c r="G15060" t="n">
        <v>0</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23817-2024</t>
        </is>
      </c>
      <c r="B15061" s="1" t="n">
        <v>45455</v>
      </c>
      <c r="C15061" s="1" t="n">
        <v>45810</v>
      </c>
      <c r="D15061" t="inlineStr">
        <is>
          <t>VÄRMLANDS LÄN</t>
        </is>
      </c>
      <c r="E15061" t="inlineStr">
        <is>
          <t>EDA</t>
        </is>
      </c>
      <c r="G15061" t="n">
        <v>2.9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23820-2024</t>
        </is>
      </c>
      <c r="B15062" s="1" t="n">
        <v>45455</v>
      </c>
      <c r="C15062" s="1" t="n">
        <v>45810</v>
      </c>
      <c r="D15062" t="inlineStr">
        <is>
          <t>VÄRMLANDS LÄN</t>
        </is>
      </c>
      <c r="E15062" t="inlineStr">
        <is>
          <t>TORSBY</t>
        </is>
      </c>
      <c r="F15062" t="inlineStr">
        <is>
          <t>Kyrkan</t>
        </is>
      </c>
      <c r="G15062" t="n">
        <v>1.6</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23777-2024</t>
        </is>
      </c>
      <c r="B15063" s="1" t="n">
        <v>45455</v>
      </c>
      <c r="C15063" s="1" t="n">
        <v>45810</v>
      </c>
      <c r="D15063" t="inlineStr">
        <is>
          <t>VÄRMLANDS LÄN</t>
        </is>
      </c>
      <c r="E15063" t="inlineStr">
        <is>
          <t>KARLSTAD</t>
        </is>
      </c>
      <c r="G15063" t="n">
        <v>4.5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23814-2024</t>
        </is>
      </c>
      <c r="B15064" s="1" t="n">
        <v>45455</v>
      </c>
      <c r="C15064" s="1" t="n">
        <v>45810</v>
      </c>
      <c r="D15064" t="inlineStr">
        <is>
          <t>VÄRMLANDS LÄN</t>
        </is>
      </c>
      <c r="E15064" t="inlineStr">
        <is>
          <t>ÅRJÄNG</t>
        </is>
      </c>
      <c r="G15064" t="n">
        <v>1.2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23846-2024</t>
        </is>
      </c>
      <c r="B15065" s="1" t="n">
        <v>45455</v>
      </c>
      <c r="C15065" s="1" t="n">
        <v>45810</v>
      </c>
      <c r="D15065" t="inlineStr">
        <is>
          <t>VÄRMLANDS LÄN</t>
        </is>
      </c>
      <c r="E15065" t="inlineStr">
        <is>
          <t>TORSBY</t>
        </is>
      </c>
      <c r="G15065" t="n">
        <v>3.9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23824-2024</t>
        </is>
      </c>
      <c r="B15066" s="1" t="n">
        <v>45455</v>
      </c>
      <c r="C15066" s="1" t="n">
        <v>45810</v>
      </c>
      <c r="D15066" t="inlineStr">
        <is>
          <t>VÄRMLANDS LÄN</t>
        </is>
      </c>
      <c r="E15066" t="inlineStr">
        <is>
          <t>TORSBY</t>
        </is>
      </c>
      <c r="F15066" t="inlineStr">
        <is>
          <t>Kyrkan</t>
        </is>
      </c>
      <c r="G15066" t="n">
        <v>0.9</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23811-2024</t>
        </is>
      </c>
      <c r="B15067" s="1" t="n">
        <v>45455</v>
      </c>
      <c r="C15067" s="1" t="n">
        <v>45810</v>
      </c>
      <c r="D15067" t="inlineStr">
        <is>
          <t>VÄRMLANDS LÄN</t>
        </is>
      </c>
      <c r="E15067" t="inlineStr">
        <is>
          <t>ÅRJÄNG</t>
        </is>
      </c>
      <c r="G15067" t="n">
        <v>6.5</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23845-2024</t>
        </is>
      </c>
      <c r="B15068" s="1" t="n">
        <v>45455</v>
      </c>
      <c r="C15068" s="1" t="n">
        <v>45810</v>
      </c>
      <c r="D15068" t="inlineStr">
        <is>
          <t>VÄRMLANDS LÄN</t>
        </is>
      </c>
      <c r="E15068" t="inlineStr">
        <is>
          <t>TORSBY</t>
        </is>
      </c>
      <c r="G15068" t="n">
        <v>3.7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23904-2024</t>
        </is>
      </c>
      <c r="B15069" s="1" t="n">
        <v>45455</v>
      </c>
      <c r="C15069" s="1" t="n">
        <v>45810</v>
      </c>
      <c r="D15069" t="inlineStr">
        <is>
          <t>VÄRMLANDS LÄN</t>
        </is>
      </c>
      <c r="E15069" t="inlineStr">
        <is>
          <t>EDA</t>
        </is>
      </c>
      <c r="G15069" t="n">
        <v>3.6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23900-2024</t>
        </is>
      </c>
      <c r="B15070" s="1" t="n">
        <v>45455</v>
      </c>
      <c r="C15070" s="1" t="n">
        <v>45810</v>
      </c>
      <c r="D15070" t="inlineStr">
        <is>
          <t>VÄRMLANDS LÄN</t>
        </is>
      </c>
      <c r="E15070" t="inlineStr">
        <is>
          <t>FORSHAGA</t>
        </is>
      </c>
      <c r="G15070" t="n">
        <v>6.9</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23848-2024</t>
        </is>
      </c>
      <c r="B15071" s="1" t="n">
        <v>45455</v>
      </c>
      <c r="C15071" s="1" t="n">
        <v>45810</v>
      </c>
      <c r="D15071" t="inlineStr">
        <is>
          <t>VÄRMLANDS LÄN</t>
        </is>
      </c>
      <c r="E15071" t="inlineStr">
        <is>
          <t>SUNNE</t>
        </is>
      </c>
      <c r="G15071" t="n">
        <v>4.1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23843-2024</t>
        </is>
      </c>
      <c r="B15072" s="1" t="n">
        <v>45455</v>
      </c>
      <c r="C15072" s="1" t="n">
        <v>45810</v>
      </c>
      <c r="D15072" t="inlineStr">
        <is>
          <t>VÄRMLANDS LÄN</t>
        </is>
      </c>
      <c r="E15072" t="inlineStr">
        <is>
          <t>TORSBY</t>
        </is>
      </c>
      <c r="G15072" t="n">
        <v>1.2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23835-2024</t>
        </is>
      </c>
      <c r="B15073" s="1" t="n">
        <v>45455</v>
      </c>
      <c r="C15073" s="1" t="n">
        <v>45810</v>
      </c>
      <c r="D15073" t="inlineStr">
        <is>
          <t>VÄRMLANDS LÄN</t>
        </is>
      </c>
      <c r="E15073" t="inlineStr">
        <is>
          <t>TORSBY</t>
        </is>
      </c>
      <c r="F15073" t="inlineStr">
        <is>
          <t>Bergvik skog väst AB</t>
        </is>
      </c>
      <c r="G15073" t="n">
        <v>4.6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23754-2024</t>
        </is>
      </c>
      <c r="B15074" s="1" t="n">
        <v>45455</v>
      </c>
      <c r="C15074" s="1" t="n">
        <v>45810</v>
      </c>
      <c r="D15074" t="inlineStr">
        <is>
          <t>VÄRMLANDS LÄN</t>
        </is>
      </c>
      <c r="E15074" t="inlineStr">
        <is>
          <t>ÅRJÄNG</t>
        </is>
      </c>
      <c r="G15074" t="n">
        <v>0.9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23981-2024</t>
        </is>
      </c>
      <c r="B15075" s="1" t="n">
        <v>45456</v>
      </c>
      <c r="C15075" s="1" t="n">
        <v>45810</v>
      </c>
      <c r="D15075" t="inlineStr">
        <is>
          <t>VÄRMLANDS LÄN</t>
        </is>
      </c>
      <c r="E15075" t="inlineStr">
        <is>
          <t>HAGFORS</t>
        </is>
      </c>
      <c r="F15075" t="inlineStr">
        <is>
          <t>Bergvik skog väst AB</t>
        </is>
      </c>
      <c r="G15075" t="n">
        <v>12.3</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24020-2024</t>
        </is>
      </c>
      <c r="B15076" s="1" t="n">
        <v>45456</v>
      </c>
      <c r="C15076" s="1" t="n">
        <v>45810</v>
      </c>
      <c r="D15076" t="inlineStr">
        <is>
          <t>VÄRMLANDS LÄN</t>
        </is>
      </c>
      <c r="E15076" t="inlineStr">
        <is>
          <t>TORSBY</t>
        </is>
      </c>
      <c r="F15076" t="inlineStr">
        <is>
          <t>Bergvik skog väst AB</t>
        </is>
      </c>
      <c r="G15076" t="n">
        <v>19.4</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24089-2024</t>
        </is>
      </c>
      <c r="B15077" s="1" t="n">
        <v>45456</v>
      </c>
      <c r="C15077" s="1" t="n">
        <v>45810</v>
      </c>
      <c r="D15077" t="inlineStr">
        <is>
          <t>VÄRMLANDS LÄN</t>
        </is>
      </c>
      <c r="E15077" t="inlineStr">
        <is>
          <t>SUNNE</t>
        </is>
      </c>
      <c r="G15077" t="n">
        <v>0.9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24093-2024</t>
        </is>
      </c>
      <c r="B15078" s="1" t="n">
        <v>45456</v>
      </c>
      <c r="C15078" s="1" t="n">
        <v>45810</v>
      </c>
      <c r="D15078" t="inlineStr">
        <is>
          <t>VÄRMLANDS LÄN</t>
        </is>
      </c>
      <c r="E15078" t="inlineStr">
        <is>
          <t>EDA</t>
        </is>
      </c>
      <c r="G15078" t="n">
        <v>1.3</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23996-2024</t>
        </is>
      </c>
      <c r="B15079" s="1" t="n">
        <v>45456</v>
      </c>
      <c r="C15079" s="1" t="n">
        <v>45810</v>
      </c>
      <c r="D15079" t="inlineStr">
        <is>
          <t>VÄRMLANDS LÄN</t>
        </is>
      </c>
      <c r="E15079" t="inlineStr">
        <is>
          <t>TORSBY</t>
        </is>
      </c>
      <c r="F15079" t="inlineStr">
        <is>
          <t>Bergvik skog väst AB</t>
        </is>
      </c>
      <c r="G15079" t="n">
        <v>0.8</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24117-2024</t>
        </is>
      </c>
      <c r="B15080" s="1" t="n">
        <v>45456</v>
      </c>
      <c r="C15080" s="1" t="n">
        <v>45810</v>
      </c>
      <c r="D15080" t="inlineStr">
        <is>
          <t>VÄRMLANDS LÄN</t>
        </is>
      </c>
      <c r="E15080" t="inlineStr">
        <is>
          <t>KRISTINEHAMN</t>
        </is>
      </c>
      <c r="G15080" t="n">
        <v>1.5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24004-2024</t>
        </is>
      </c>
      <c r="B15081" s="1" t="n">
        <v>45456</v>
      </c>
      <c r="C15081" s="1" t="n">
        <v>45810</v>
      </c>
      <c r="D15081" t="inlineStr">
        <is>
          <t>VÄRMLANDS LÄN</t>
        </is>
      </c>
      <c r="E15081" t="inlineStr">
        <is>
          <t>TORSBY</t>
        </is>
      </c>
      <c r="G15081" t="n">
        <v>2.9</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24140-2024</t>
        </is>
      </c>
      <c r="B15082" s="1" t="n">
        <v>45456</v>
      </c>
      <c r="C15082" s="1" t="n">
        <v>45810</v>
      </c>
      <c r="D15082" t="inlineStr">
        <is>
          <t>VÄRMLANDS LÄN</t>
        </is>
      </c>
      <c r="E15082" t="inlineStr">
        <is>
          <t>ARVIKA</t>
        </is>
      </c>
      <c r="G15082" t="n">
        <v>0.6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24148-2024</t>
        </is>
      </c>
      <c r="B15083" s="1" t="n">
        <v>45456</v>
      </c>
      <c r="C15083" s="1" t="n">
        <v>45810</v>
      </c>
      <c r="D15083" t="inlineStr">
        <is>
          <t>VÄRMLANDS LÄN</t>
        </is>
      </c>
      <c r="E15083" t="inlineStr">
        <is>
          <t>TORSBY</t>
        </is>
      </c>
      <c r="G15083" t="n">
        <v>2.7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24082-2024</t>
        </is>
      </c>
      <c r="B15084" s="1" t="n">
        <v>45456</v>
      </c>
      <c r="C15084" s="1" t="n">
        <v>45810</v>
      </c>
      <c r="D15084" t="inlineStr">
        <is>
          <t>VÄRMLANDS LÄN</t>
        </is>
      </c>
      <c r="E15084" t="inlineStr">
        <is>
          <t>FILIPSTAD</t>
        </is>
      </c>
      <c r="F15084" t="inlineStr">
        <is>
          <t>Bergvik skog väst AB</t>
        </is>
      </c>
      <c r="G15084" t="n">
        <v>0.9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24112-2024</t>
        </is>
      </c>
      <c r="B15085" s="1" t="n">
        <v>45456</v>
      </c>
      <c r="C15085" s="1" t="n">
        <v>45810</v>
      </c>
      <c r="D15085" t="inlineStr">
        <is>
          <t>VÄRMLANDS LÄN</t>
        </is>
      </c>
      <c r="E15085" t="inlineStr">
        <is>
          <t>EDA</t>
        </is>
      </c>
      <c r="G15085" t="n">
        <v>6.6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24118-2024</t>
        </is>
      </c>
      <c r="B15086" s="1" t="n">
        <v>45456</v>
      </c>
      <c r="C15086" s="1" t="n">
        <v>45810</v>
      </c>
      <c r="D15086" t="inlineStr">
        <is>
          <t>VÄRMLANDS LÄN</t>
        </is>
      </c>
      <c r="E15086" t="inlineStr">
        <is>
          <t>KRISTINEHAMN</t>
        </is>
      </c>
      <c r="G15086" t="n">
        <v>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24013-2024</t>
        </is>
      </c>
      <c r="B15087" s="1" t="n">
        <v>45456</v>
      </c>
      <c r="C15087" s="1" t="n">
        <v>45810</v>
      </c>
      <c r="D15087" t="inlineStr">
        <is>
          <t>VÄRMLANDS LÄN</t>
        </is>
      </c>
      <c r="E15087" t="inlineStr">
        <is>
          <t>KRISTINEHAMN</t>
        </is>
      </c>
      <c r="G15087" t="n">
        <v>2.4</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24054-2024</t>
        </is>
      </c>
      <c r="B15088" s="1" t="n">
        <v>45456</v>
      </c>
      <c r="C15088" s="1" t="n">
        <v>45810</v>
      </c>
      <c r="D15088" t="inlineStr">
        <is>
          <t>VÄRMLANDS LÄN</t>
        </is>
      </c>
      <c r="E15088" t="inlineStr">
        <is>
          <t>FILIPSTAD</t>
        </is>
      </c>
      <c r="F15088" t="inlineStr">
        <is>
          <t>Bergvik skog väst AB</t>
        </is>
      </c>
      <c r="G15088" t="n">
        <v>4.1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24158-2024</t>
        </is>
      </c>
      <c r="B15089" s="1" t="n">
        <v>45456</v>
      </c>
      <c r="C15089" s="1" t="n">
        <v>45810</v>
      </c>
      <c r="D15089" t="inlineStr">
        <is>
          <t>VÄRMLANDS LÄN</t>
        </is>
      </c>
      <c r="E15089" t="inlineStr">
        <is>
          <t>ARVIKA</t>
        </is>
      </c>
      <c r="G15089" t="n">
        <v>1.6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24166-2024</t>
        </is>
      </c>
      <c r="B15090" s="1" t="n">
        <v>45456</v>
      </c>
      <c r="C15090" s="1" t="n">
        <v>45810</v>
      </c>
      <c r="D15090" t="inlineStr">
        <is>
          <t>VÄRMLANDS LÄN</t>
        </is>
      </c>
      <c r="E15090" t="inlineStr">
        <is>
          <t>HAGFORS</t>
        </is>
      </c>
      <c r="F15090" t="inlineStr">
        <is>
          <t>Bergvik skog väst AB</t>
        </is>
      </c>
      <c r="G15090" t="n">
        <v>3.9</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24182-2024</t>
        </is>
      </c>
      <c r="B15091" s="1" t="n">
        <v>45456</v>
      </c>
      <c r="C15091" s="1" t="n">
        <v>45810</v>
      </c>
      <c r="D15091" t="inlineStr">
        <is>
          <t>VÄRMLANDS LÄN</t>
        </is>
      </c>
      <c r="E15091" t="inlineStr">
        <is>
          <t>TORSBY</t>
        </is>
      </c>
      <c r="F15091" t="inlineStr">
        <is>
          <t>Bergvik skog väst AB</t>
        </is>
      </c>
      <c r="G15091" t="n">
        <v>28.9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24087-2024</t>
        </is>
      </c>
      <c r="B15092" s="1" t="n">
        <v>45456</v>
      </c>
      <c r="C15092" s="1" t="n">
        <v>45810</v>
      </c>
      <c r="D15092" t="inlineStr">
        <is>
          <t>VÄRMLANDS LÄN</t>
        </is>
      </c>
      <c r="E15092" t="inlineStr">
        <is>
          <t>TORSBY</t>
        </is>
      </c>
      <c r="G15092" t="n">
        <v>1.8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24095-2024</t>
        </is>
      </c>
      <c r="B15093" s="1" t="n">
        <v>45456</v>
      </c>
      <c r="C15093" s="1" t="n">
        <v>45810</v>
      </c>
      <c r="D15093" t="inlineStr">
        <is>
          <t>VÄRMLANDS LÄN</t>
        </is>
      </c>
      <c r="E15093" t="inlineStr">
        <is>
          <t>SUNNE</t>
        </is>
      </c>
      <c r="G15093" t="n">
        <v>3.4</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24113-2024</t>
        </is>
      </c>
      <c r="B15094" s="1" t="n">
        <v>45456</v>
      </c>
      <c r="C15094" s="1" t="n">
        <v>45810</v>
      </c>
      <c r="D15094" t="inlineStr">
        <is>
          <t>VÄRMLANDS LÄN</t>
        </is>
      </c>
      <c r="E15094" t="inlineStr">
        <is>
          <t>TORSBY</t>
        </is>
      </c>
      <c r="G15094" t="n">
        <v>1.2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24139-2024</t>
        </is>
      </c>
      <c r="B15095" s="1" t="n">
        <v>45456</v>
      </c>
      <c r="C15095" s="1" t="n">
        <v>45810</v>
      </c>
      <c r="D15095" t="inlineStr">
        <is>
          <t>VÄRMLANDS LÄN</t>
        </is>
      </c>
      <c r="E15095" t="inlineStr">
        <is>
          <t>FILIPSTAD</t>
        </is>
      </c>
      <c r="F15095" t="inlineStr">
        <is>
          <t>Bergvik skog väst AB</t>
        </is>
      </c>
      <c r="G15095" t="n">
        <v>2.4</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24242-2024</t>
        </is>
      </c>
      <c r="B15096" s="1" t="n">
        <v>45457</v>
      </c>
      <c r="C15096" s="1" t="n">
        <v>45810</v>
      </c>
      <c r="D15096" t="inlineStr">
        <is>
          <t>VÄRMLANDS LÄN</t>
        </is>
      </c>
      <c r="E15096" t="inlineStr">
        <is>
          <t>TORSBY</t>
        </is>
      </c>
      <c r="F15096" t="inlineStr">
        <is>
          <t>Bergvik skog väst AB</t>
        </is>
      </c>
      <c r="G15096" t="n">
        <v>3.1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24270-2024</t>
        </is>
      </c>
      <c r="B15097" s="1" t="n">
        <v>45457</v>
      </c>
      <c r="C15097" s="1" t="n">
        <v>45810</v>
      </c>
      <c r="D15097" t="inlineStr">
        <is>
          <t>VÄRMLANDS LÄN</t>
        </is>
      </c>
      <c r="E15097" t="inlineStr">
        <is>
          <t>KARLSTAD</t>
        </is>
      </c>
      <c r="G15097" t="n">
        <v>2.6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24314-2024</t>
        </is>
      </c>
      <c r="B15098" s="1" t="n">
        <v>45457</v>
      </c>
      <c r="C15098" s="1" t="n">
        <v>45810</v>
      </c>
      <c r="D15098" t="inlineStr">
        <is>
          <t>VÄRMLANDS LÄN</t>
        </is>
      </c>
      <c r="E15098" t="inlineStr">
        <is>
          <t>ARVIKA</t>
        </is>
      </c>
      <c r="G15098" t="n">
        <v>3.8</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24318-2024</t>
        </is>
      </c>
      <c r="B15099" s="1" t="n">
        <v>45457</v>
      </c>
      <c r="C15099" s="1" t="n">
        <v>45810</v>
      </c>
      <c r="D15099" t="inlineStr">
        <is>
          <t>VÄRMLANDS LÄN</t>
        </is>
      </c>
      <c r="E15099" t="inlineStr">
        <is>
          <t>ARVIKA</t>
        </is>
      </c>
      <c r="G15099" t="n">
        <v>1.4</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24342-2024</t>
        </is>
      </c>
      <c r="B15100" s="1" t="n">
        <v>45457</v>
      </c>
      <c r="C15100" s="1" t="n">
        <v>45810</v>
      </c>
      <c r="D15100" t="inlineStr">
        <is>
          <t>VÄRMLANDS LÄN</t>
        </is>
      </c>
      <c r="E15100" t="inlineStr">
        <is>
          <t>ÅRJÄNG</t>
        </is>
      </c>
      <c r="G15100" t="n">
        <v>0.8</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24216-2024</t>
        </is>
      </c>
      <c r="B15101" s="1" t="n">
        <v>45457</v>
      </c>
      <c r="C15101" s="1" t="n">
        <v>45810</v>
      </c>
      <c r="D15101" t="inlineStr">
        <is>
          <t>VÄRMLANDS LÄN</t>
        </is>
      </c>
      <c r="E15101" t="inlineStr">
        <is>
          <t>ÅRJÄNG</t>
        </is>
      </c>
      <c r="G15101" t="n">
        <v>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24378-2024</t>
        </is>
      </c>
      <c r="B15102" s="1" t="n">
        <v>45457</v>
      </c>
      <c r="C15102" s="1" t="n">
        <v>45810</v>
      </c>
      <c r="D15102" t="inlineStr">
        <is>
          <t>VÄRMLANDS LÄN</t>
        </is>
      </c>
      <c r="E15102" t="inlineStr">
        <is>
          <t>GRUMS</t>
        </is>
      </c>
      <c r="G15102" t="n">
        <v>3.3</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24390-2024</t>
        </is>
      </c>
      <c r="B15103" s="1" t="n">
        <v>45457</v>
      </c>
      <c r="C15103" s="1" t="n">
        <v>45810</v>
      </c>
      <c r="D15103" t="inlineStr">
        <is>
          <t>VÄRMLANDS LÄN</t>
        </is>
      </c>
      <c r="E15103" t="inlineStr">
        <is>
          <t>ÅRJÄNG</t>
        </is>
      </c>
      <c r="F15103" t="inlineStr">
        <is>
          <t>Bergvik skog väst AB</t>
        </is>
      </c>
      <c r="G15103" t="n">
        <v>2.8</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24410-2024</t>
        </is>
      </c>
      <c r="B15104" s="1" t="n">
        <v>45457</v>
      </c>
      <c r="C15104" s="1" t="n">
        <v>45810</v>
      </c>
      <c r="D15104" t="inlineStr">
        <is>
          <t>VÄRMLANDS LÄN</t>
        </is>
      </c>
      <c r="E15104" t="inlineStr">
        <is>
          <t>SÄFFLE</t>
        </is>
      </c>
      <c r="G15104" t="n">
        <v>1.7</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24505-2024</t>
        </is>
      </c>
      <c r="B15105" s="1" t="n">
        <v>45457</v>
      </c>
      <c r="C15105" s="1" t="n">
        <v>45810</v>
      </c>
      <c r="D15105" t="inlineStr">
        <is>
          <t>VÄRMLANDS LÄN</t>
        </is>
      </c>
      <c r="E15105" t="inlineStr">
        <is>
          <t>SUNNE</t>
        </is>
      </c>
      <c r="G15105" t="n">
        <v>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24261-2024</t>
        </is>
      </c>
      <c r="B15106" s="1" t="n">
        <v>45457</v>
      </c>
      <c r="C15106" s="1" t="n">
        <v>45810</v>
      </c>
      <c r="D15106" t="inlineStr">
        <is>
          <t>VÄRMLANDS LÄN</t>
        </is>
      </c>
      <c r="E15106" t="inlineStr">
        <is>
          <t>TORSBY</t>
        </is>
      </c>
      <c r="G15106" t="n">
        <v>3.5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24281-2024</t>
        </is>
      </c>
      <c r="B15107" s="1" t="n">
        <v>45457</v>
      </c>
      <c r="C15107" s="1" t="n">
        <v>45810</v>
      </c>
      <c r="D15107" t="inlineStr">
        <is>
          <t>VÄRMLANDS LÄN</t>
        </is>
      </c>
      <c r="E15107" t="inlineStr">
        <is>
          <t>ÅRJÄNG</t>
        </is>
      </c>
      <c r="G15107" t="n">
        <v>8.300000000000001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24305-2024</t>
        </is>
      </c>
      <c r="B15108" s="1" t="n">
        <v>45457</v>
      </c>
      <c r="C15108" s="1" t="n">
        <v>45810</v>
      </c>
      <c r="D15108" t="inlineStr">
        <is>
          <t>VÄRMLANDS LÄN</t>
        </is>
      </c>
      <c r="E15108" t="inlineStr">
        <is>
          <t>SÄFFLE</t>
        </is>
      </c>
      <c r="G15108" t="n">
        <v>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24321-2024</t>
        </is>
      </c>
      <c r="B15109" s="1" t="n">
        <v>45457</v>
      </c>
      <c r="C15109" s="1" t="n">
        <v>45810</v>
      </c>
      <c r="D15109" t="inlineStr">
        <is>
          <t>VÄRMLANDS LÄN</t>
        </is>
      </c>
      <c r="E15109" t="inlineStr">
        <is>
          <t>SÄFFLE</t>
        </is>
      </c>
      <c r="G15109" t="n">
        <v>0.8</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24381-2024</t>
        </is>
      </c>
      <c r="B15110" s="1" t="n">
        <v>45457</v>
      </c>
      <c r="C15110" s="1" t="n">
        <v>45810</v>
      </c>
      <c r="D15110" t="inlineStr">
        <is>
          <t>VÄRMLANDS LÄN</t>
        </is>
      </c>
      <c r="E15110" t="inlineStr">
        <is>
          <t>GRUMS</t>
        </is>
      </c>
      <c r="G15110" t="n">
        <v>1.7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24393-2024</t>
        </is>
      </c>
      <c r="B15111" s="1" t="n">
        <v>45457</v>
      </c>
      <c r="C15111" s="1" t="n">
        <v>45810</v>
      </c>
      <c r="D15111" t="inlineStr">
        <is>
          <t>VÄRMLANDS LÄN</t>
        </is>
      </c>
      <c r="E15111" t="inlineStr">
        <is>
          <t>STORFORS</t>
        </is>
      </c>
      <c r="F15111" t="inlineStr">
        <is>
          <t>Bergvik skog väst AB</t>
        </is>
      </c>
      <c r="G15111" t="n">
        <v>17.1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24260-2024</t>
        </is>
      </c>
      <c r="B15112" s="1" t="n">
        <v>45457</v>
      </c>
      <c r="C15112" s="1" t="n">
        <v>45810</v>
      </c>
      <c r="D15112" t="inlineStr">
        <is>
          <t>VÄRMLANDS LÄN</t>
        </is>
      </c>
      <c r="E15112" t="inlineStr">
        <is>
          <t>FILIPSTAD</t>
        </is>
      </c>
      <c r="F15112" t="inlineStr">
        <is>
          <t>Bergvik skog väst AB</t>
        </is>
      </c>
      <c r="G15112" t="n">
        <v>5.1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24268-2024</t>
        </is>
      </c>
      <c r="B15113" s="1" t="n">
        <v>45457</v>
      </c>
      <c r="C15113" s="1" t="n">
        <v>45810</v>
      </c>
      <c r="D15113" t="inlineStr">
        <is>
          <t>VÄRMLANDS LÄN</t>
        </is>
      </c>
      <c r="E15113" t="inlineStr">
        <is>
          <t>KARLSTAD</t>
        </is>
      </c>
      <c r="G15113" t="n">
        <v>2</v>
      </c>
      <c r="H15113" t="n">
        <v>0</v>
      </c>
      <c r="I15113" t="n">
        <v>0</v>
      </c>
      <c r="J15113" t="n">
        <v>0</v>
      </c>
      <c r="K15113" t="n">
        <v>0</v>
      </c>
      <c r="L15113" t="n">
        <v>0</v>
      </c>
      <c r="M15113" t="n">
        <v>0</v>
      </c>
      <c r="N15113" t="n">
        <v>0</v>
      </c>
      <c r="O15113" t="n">
        <v>0</v>
      </c>
      <c r="P15113" t="n">
        <v>0</v>
      </c>
      <c r="Q15113" t="n">
        <v>0</v>
      </c>
      <c r="R15113" s="2" t="inlineStr"/>
      <c r="U15113">
        <f>HYPERLINK("https://klasma.github.io/Logging_1780/knärot/A 24268-2024 karta knärot.png", "A 24268-2024")</f>
        <v/>
      </c>
      <c r="V15113">
        <f>HYPERLINK("https://klasma.github.io/Logging_1780/klagomål/A 24268-2024 FSC-klagomål.docx", "A 24268-2024")</f>
        <v/>
      </c>
      <c r="W15113">
        <f>HYPERLINK("https://klasma.github.io/Logging_1780/klagomålsmail/A 24268-2024 FSC-klagomål mail.docx", "A 24268-2024")</f>
        <v/>
      </c>
      <c r="X15113">
        <f>HYPERLINK("https://klasma.github.io/Logging_1780/tillsyn/A 24268-2024 tillsynsbegäran.docx", "A 24268-2024")</f>
        <v/>
      </c>
      <c r="Y15113">
        <f>HYPERLINK("https://klasma.github.io/Logging_1780/tillsynsmail/A 24268-2024 tillsynsbegäran mail.docx", "A 24268-2024")</f>
        <v/>
      </c>
    </row>
    <row r="15114" ht="15" customHeight="1">
      <c r="A15114" t="inlineStr">
        <is>
          <t>A 24280-2024</t>
        </is>
      </c>
      <c r="B15114" s="1" t="n">
        <v>45457</v>
      </c>
      <c r="C15114" s="1" t="n">
        <v>45810</v>
      </c>
      <c r="D15114" t="inlineStr">
        <is>
          <t>VÄRMLANDS LÄN</t>
        </is>
      </c>
      <c r="E15114" t="inlineStr">
        <is>
          <t>SUNNE</t>
        </is>
      </c>
      <c r="G15114" t="n">
        <v>4.4</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24316-2024</t>
        </is>
      </c>
      <c r="B15115" s="1" t="n">
        <v>45457</v>
      </c>
      <c r="C15115" s="1" t="n">
        <v>45810</v>
      </c>
      <c r="D15115" t="inlineStr">
        <is>
          <t>VÄRMLANDS LÄN</t>
        </is>
      </c>
      <c r="E15115" t="inlineStr">
        <is>
          <t>SÄFFLE</t>
        </is>
      </c>
      <c r="G15115" t="n">
        <v>2.2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24368-2024</t>
        </is>
      </c>
      <c r="B15116" s="1" t="n">
        <v>45457</v>
      </c>
      <c r="C15116" s="1" t="n">
        <v>45810</v>
      </c>
      <c r="D15116" t="inlineStr">
        <is>
          <t>VÄRMLANDS LÄN</t>
        </is>
      </c>
      <c r="E15116" t="inlineStr">
        <is>
          <t>HAGFORS</t>
        </is>
      </c>
      <c r="G15116" t="n">
        <v>3.1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24372-2024</t>
        </is>
      </c>
      <c r="B15117" s="1" t="n">
        <v>45457</v>
      </c>
      <c r="C15117" s="1" t="n">
        <v>45810</v>
      </c>
      <c r="D15117" t="inlineStr">
        <is>
          <t>VÄRMLANDS LÄN</t>
        </is>
      </c>
      <c r="E15117" t="inlineStr">
        <is>
          <t>HAGFORS</t>
        </is>
      </c>
      <c r="G15117" t="n">
        <v>2.2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24267-2024</t>
        </is>
      </c>
      <c r="B15118" s="1" t="n">
        <v>45457</v>
      </c>
      <c r="C15118" s="1" t="n">
        <v>45810</v>
      </c>
      <c r="D15118" t="inlineStr">
        <is>
          <t>VÄRMLANDS LÄN</t>
        </is>
      </c>
      <c r="E15118" t="inlineStr">
        <is>
          <t>TORSBY</t>
        </is>
      </c>
      <c r="G15118" t="n">
        <v>0.7</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24283-2024</t>
        </is>
      </c>
      <c r="B15119" s="1" t="n">
        <v>45457</v>
      </c>
      <c r="C15119" s="1" t="n">
        <v>45810</v>
      </c>
      <c r="D15119" t="inlineStr">
        <is>
          <t>VÄRMLANDS LÄN</t>
        </is>
      </c>
      <c r="E15119" t="inlineStr">
        <is>
          <t>SÄFFLE</t>
        </is>
      </c>
      <c r="G15119" t="n">
        <v>12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24315-2024</t>
        </is>
      </c>
      <c r="B15120" s="1" t="n">
        <v>45457</v>
      </c>
      <c r="C15120" s="1" t="n">
        <v>45810</v>
      </c>
      <c r="D15120" t="inlineStr">
        <is>
          <t>VÄRMLANDS LÄN</t>
        </is>
      </c>
      <c r="E15120" t="inlineStr">
        <is>
          <t>SÄFFLE</t>
        </is>
      </c>
      <c r="G15120" t="n">
        <v>2.2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24319-2024</t>
        </is>
      </c>
      <c r="B15121" s="1" t="n">
        <v>45457</v>
      </c>
      <c r="C15121" s="1" t="n">
        <v>45810</v>
      </c>
      <c r="D15121" t="inlineStr">
        <is>
          <t>VÄRMLANDS LÄN</t>
        </is>
      </c>
      <c r="E15121" t="inlineStr">
        <is>
          <t>ARVIKA</t>
        </is>
      </c>
      <c r="G15121" t="n">
        <v>4.6</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24331-2024</t>
        </is>
      </c>
      <c r="B15122" s="1" t="n">
        <v>45457</v>
      </c>
      <c r="C15122" s="1" t="n">
        <v>45810</v>
      </c>
      <c r="D15122" t="inlineStr">
        <is>
          <t>VÄRMLANDS LÄN</t>
        </is>
      </c>
      <c r="E15122" t="inlineStr">
        <is>
          <t>SUNNE</t>
        </is>
      </c>
      <c r="G15122" t="n">
        <v>1.8</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24339-2024</t>
        </is>
      </c>
      <c r="B15123" s="1" t="n">
        <v>45457</v>
      </c>
      <c r="C15123" s="1" t="n">
        <v>45810</v>
      </c>
      <c r="D15123" t="inlineStr">
        <is>
          <t>VÄRMLANDS LÄN</t>
        </is>
      </c>
      <c r="E15123" t="inlineStr">
        <is>
          <t>ÅRJÄNG</t>
        </is>
      </c>
      <c r="G15123" t="n">
        <v>0.9</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24347-2024</t>
        </is>
      </c>
      <c r="B15124" s="1" t="n">
        <v>45457</v>
      </c>
      <c r="C15124" s="1" t="n">
        <v>45810</v>
      </c>
      <c r="D15124" t="inlineStr">
        <is>
          <t>VÄRMLANDS LÄN</t>
        </is>
      </c>
      <c r="E15124" t="inlineStr">
        <is>
          <t>SÄFFLE</t>
        </is>
      </c>
      <c r="G15124" t="n">
        <v>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24359-2024</t>
        </is>
      </c>
      <c r="B15125" s="1" t="n">
        <v>45457</v>
      </c>
      <c r="C15125" s="1" t="n">
        <v>45810</v>
      </c>
      <c r="D15125" t="inlineStr">
        <is>
          <t>VÄRMLANDS LÄN</t>
        </is>
      </c>
      <c r="E15125" t="inlineStr">
        <is>
          <t>HAGFORS</t>
        </is>
      </c>
      <c r="G15125" t="n">
        <v>4.3</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24480-2024</t>
        </is>
      </c>
      <c r="B15126" s="1" t="n">
        <v>45459</v>
      </c>
      <c r="C15126" s="1" t="n">
        <v>45810</v>
      </c>
      <c r="D15126" t="inlineStr">
        <is>
          <t>VÄRMLANDS LÄN</t>
        </is>
      </c>
      <c r="E15126" t="inlineStr">
        <is>
          <t>ARVIKA</t>
        </is>
      </c>
      <c r="F15126" t="inlineStr">
        <is>
          <t>Bergvik skog väst AB</t>
        </is>
      </c>
      <c r="G15126" t="n">
        <v>1.5</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24493-2024</t>
        </is>
      </c>
      <c r="B15127" s="1" t="n">
        <v>45459</v>
      </c>
      <c r="C15127" s="1" t="n">
        <v>45810</v>
      </c>
      <c r="D15127" t="inlineStr">
        <is>
          <t>VÄRMLANDS LÄN</t>
        </is>
      </c>
      <c r="E15127" t="inlineStr">
        <is>
          <t>TORSBY</t>
        </is>
      </c>
      <c r="G15127" t="n">
        <v>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24497-2024</t>
        </is>
      </c>
      <c r="B15128" s="1" t="n">
        <v>45459</v>
      </c>
      <c r="C15128" s="1" t="n">
        <v>45810</v>
      </c>
      <c r="D15128" t="inlineStr">
        <is>
          <t>VÄRMLANDS LÄN</t>
        </is>
      </c>
      <c r="E15128" t="inlineStr">
        <is>
          <t>KARLSTAD</t>
        </is>
      </c>
      <c r="G15128" t="n">
        <v>1.4</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24479-2024</t>
        </is>
      </c>
      <c r="B15129" s="1" t="n">
        <v>45459</v>
      </c>
      <c r="C15129" s="1" t="n">
        <v>45810</v>
      </c>
      <c r="D15129" t="inlineStr">
        <is>
          <t>VÄRMLANDS LÄN</t>
        </is>
      </c>
      <c r="E15129" t="inlineStr">
        <is>
          <t>ARVIKA</t>
        </is>
      </c>
      <c r="F15129" t="inlineStr">
        <is>
          <t>Bergvik skog väst AB</t>
        </is>
      </c>
      <c r="G15129" t="n">
        <v>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24483-2024</t>
        </is>
      </c>
      <c r="B15130" s="1" t="n">
        <v>45459</v>
      </c>
      <c r="C15130" s="1" t="n">
        <v>45810</v>
      </c>
      <c r="D15130" t="inlineStr">
        <is>
          <t>VÄRMLANDS LÄN</t>
        </is>
      </c>
      <c r="E15130" t="inlineStr">
        <is>
          <t>ÅRJÄNG</t>
        </is>
      </c>
      <c r="G15130" t="n">
        <v>3.6</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24490-2024</t>
        </is>
      </c>
      <c r="B15131" s="1" t="n">
        <v>45459</v>
      </c>
      <c r="C15131" s="1" t="n">
        <v>45810</v>
      </c>
      <c r="D15131" t="inlineStr">
        <is>
          <t>VÄRMLANDS LÄN</t>
        </is>
      </c>
      <c r="E15131" t="inlineStr">
        <is>
          <t>TORSBY</t>
        </is>
      </c>
      <c r="G15131" t="n">
        <v>0.7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24758-2024</t>
        </is>
      </c>
      <c r="B15132" s="1" t="n">
        <v>45460</v>
      </c>
      <c r="C15132" s="1" t="n">
        <v>45810</v>
      </c>
      <c r="D15132" t="inlineStr">
        <is>
          <t>VÄRMLANDS LÄN</t>
        </is>
      </c>
      <c r="E15132" t="inlineStr">
        <is>
          <t>ARVIKA</t>
        </is>
      </c>
      <c r="G15132" t="n">
        <v>1.8</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24789-2024</t>
        </is>
      </c>
      <c r="B15133" s="1" t="n">
        <v>45460</v>
      </c>
      <c r="C15133" s="1" t="n">
        <v>45810</v>
      </c>
      <c r="D15133" t="inlineStr">
        <is>
          <t>VÄRMLANDS LÄN</t>
        </is>
      </c>
      <c r="E15133" t="inlineStr">
        <is>
          <t>ÅRJÄNG</t>
        </is>
      </c>
      <c r="G15133" t="n">
        <v>1.7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24680-2024</t>
        </is>
      </c>
      <c r="B15134" s="1" t="n">
        <v>45460</v>
      </c>
      <c r="C15134" s="1" t="n">
        <v>45810</v>
      </c>
      <c r="D15134" t="inlineStr">
        <is>
          <t>VÄRMLANDS LÄN</t>
        </is>
      </c>
      <c r="E15134" t="inlineStr">
        <is>
          <t>HAGFORS</t>
        </is>
      </c>
      <c r="G15134" t="n">
        <v>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24704-2024</t>
        </is>
      </c>
      <c r="B15135" s="1" t="n">
        <v>45460</v>
      </c>
      <c r="C15135" s="1" t="n">
        <v>45810</v>
      </c>
      <c r="D15135" t="inlineStr">
        <is>
          <t>VÄRMLANDS LÄN</t>
        </is>
      </c>
      <c r="E15135" t="inlineStr">
        <is>
          <t>SÄFFLE</t>
        </is>
      </c>
      <c r="G15135" t="n">
        <v>49.7</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24708-2024</t>
        </is>
      </c>
      <c r="B15136" s="1" t="n">
        <v>45460</v>
      </c>
      <c r="C15136" s="1" t="n">
        <v>45810</v>
      </c>
      <c r="D15136" t="inlineStr">
        <is>
          <t>VÄRMLANDS LÄN</t>
        </is>
      </c>
      <c r="E15136" t="inlineStr">
        <is>
          <t>TORSBY</t>
        </is>
      </c>
      <c r="G15136" t="n">
        <v>3.9</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24720-2024</t>
        </is>
      </c>
      <c r="B15137" s="1" t="n">
        <v>45460</v>
      </c>
      <c r="C15137" s="1" t="n">
        <v>45810</v>
      </c>
      <c r="D15137" t="inlineStr">
        <is>
          <t>VÄRMLANDS LÄN</t>
        </is>
      </c>
      <c r="E15137" t="inlineStr">
        <is>
          <t>SÄFFLE</t>
        </is>
      </c>
      <c r="G15137" t="n">
        <v>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24715-2024</t>
        </is>
      </c>
      <c r="B15138" s="1" t="n">
        <v>45460</v>
      </c>
      <c r="C15138" s="1" t="n">
        <v>45810</v>
      </c>
      <c r="D15138" t="inlineStr">
        <is>
          <t>VÄRMLANDS LÄN</t>
        </is>
      </c>
      <c r="E15138" t="inlineStr">
        <is>
          <t>ARVIKA</t>
        </is>
      </c>
      <c r="F15138" t="inlineStr">
        <is>
          <t>Bergvik skog väst AB</t>
        </is>
      </c>
      <c r="G15138" t="n">
        <v>2.2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24723-2024</t>
        </is>
      </c>
      <c r="B15139" s="1" t="n">
        <v>45460</v>
      </c>
      <c r="C15139" s="1" t="n">
        <v>45810</v>
      </c>
      <c r="D15139" t="inlineStr">
        <is>
          <t>VÄRMLANDS LÄN</t>
        </is>
      </c>
      <c r="E15139" t="inlineStr">
        <is>
          <t>TORSBY</t>
        </is>
      </c>
      <c r="G15139" t="n">
        <v>1.9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24721-2024</t>
        </is>
      </c>
      <c r="B15140" s="1" t="n">
        <v>45460</v>
      </c>
      <c r="C15140" s="1" t="n">
        <v>45810</v>
      </c>
      <c r="D15140" t="inlineStr">
        <is>
          <t>VÄRMLANDS LÄN</t>
        </is>
      </c>
      <c r="E15140" t="inlineStr">
        <is>
          <t>HAGFORS</t>
        </is>
      </c>
      <c r="G15140" t="n">
        <v>1.7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24717-2024</t>
        </is>
      </c>
      <c r="B15141" s="1" t="n">
        <v>45460</v>
      </c>
      <c r="C15141" s="1" t="n">
        <v>45810</v>
      </c>
      <c r="D15141" t="inlineStr">
        <is>
          <t>VÄRMLANDS LÄN</t>
        </is>
      </c>
      <c r="E15141" t="inlineStr">
        <is>
          <t>TORSBY</t>
        </is>
      </c>
      <c r="F15141" t="inlineStr">
        <is>
          <t>Övriga statliga verk och myndigheter</t>
        </is>
      </c>
      <c r="G15141" t="n">
        <v>2.1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24664-2024</t>
        </is>
      </c>
      <c r="B15142" s="1" t="n">
        <v>45460</v>
      </c>
      <c r="C15142" s="1" t="n">
        <v>45810</v>
      </c>
      <c r="D15142" t="inlineStr">
        <is>
          <t>VÄRMLANDS LÄN</t>
        </is>
      </c>
      <c r="E15142" t="inlineStr">
        <is>
          <t>HAGFORS</t>
        </is>
      </c>
      <c r="G15142" t="n">
        <v>10.1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24636-2024</t>
        </is>
      </c>
      <c r="B15143" s="1" t="n">
        <v>45460</v>
      </c>
      <c r="C15143" s="1" t="n">
        <v>45810</v>
      </c>
      <c r="D15143" t="inlineStr">
        <is>
          <t>VÄRMLANDS LÄN</t>
        </is>
      </c>
      <c r="E15143" t="inlineStr">
        <is>
          <t>TORSBY</t>
        </is>
      </c>
      <c r="G15143" t="n">
        <v>0.7</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24620-2024</t>
        </is>
      </c>
      <c r="B15144" s="1" t="n">
        <v>45460</v>
      </c>
      <c r="C15144" s="1" t="n">
        <v>45810</v>
      </c>
      <c r="D15144" t="inlineStr">
        <is>
          <t>VÄRMLANDS LÄN</t>
        </is>
      </c>
      <c r="E15144" t="inlineStr">
        <is>
          <t>ARVIKA</t>
        </is>
      </c>
      <c r="G15144" t="n">
        <v>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24543-2024</t>
        </is>
      </c>
      <c r="B15145" s="1" t="n">
        <v>45460</v>
      </c>
      <c r="C15145" s="1" t="n">
        <v>45810</v>
      </c>
      <c r="D15145" t="inlineStr">
        <is>
          <t>VÄRMLANDS LÄN</t>
        </is>
      </c>
      <c r="E15145" t="inlineStr">
        <is>
          <t>GRUMS</t>
        </is>
      </c>
      <c r="F15145" t="inlineStr">
        <is>
          <t>Bergvik skog väst AB</t>
        </is>
      </c>
      <c r="G15145" t="n">
        <v>5.8</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24529-2024</t>
        </is>
      </c>
      <c r="B15146" s="1" t="n">
        <v>45460</v>
      </c>
      <c r="C15146" s="1" t="n">
        <v>45810</v>
      </c>
      <c r="D15146" t="inlineStr">
        <is>
          <t>VÄRMLANDS LÄN</t>
        </is>
      </c>
      <c r="E15146" t="inlineStr">
        <is>
          <t>ARVIKA</t>
        </is>
      </c>
      <c r="F15146" t="inlineStr">
        <is>
          <t>Bergvik skog väst AB</t>
        </is>
      </c>
      <c r="G15146" t="n">
        <v>10.8</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24582-2024</t>
        </is>
      </c>
      <c r="B15147" s="1" t="n">
        <v>45460</v>
      </c>
      <c r="C15147" s="1" t="n">
        <v>45810</v>
      </c>
      <c r="D15147" t="inlineStr">
        <is>
          <t>VÄRMLANDS LÄN</t>
        </is>
      </c>
      <c r="E15147" t="inlineStr">
        <is>
          <t>KIL</t>
        </is>
      </c>
      <c r="G15147" t="n">
        <v>1.3</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24630-2024</t>
        </is>
      </c>
      <c r="B15148" s="1" t="n">
        <v>45460</v>
      </c>
      <c r="C15148" s="1" t="n">
        <v>45810</v>
      </c>
      <c r="D15148" t="inlineStr">
        <is>
          <t>VÄRMLANDS LÄN</t>
        </is>
      </c>
      <c r="E15148" t="inlineStr">
        <is>
          <t>TORSBY</t>
        </is>
      </c>
      <c r="G15148" t="n">
        <v>1.1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24634-2024</t>
        </is>
      </c>
      <c r="B15149" s="1" t="n">
        <v>45460</v>
      </c>
      <c r="C15149" s="1" t="n">
        <v>45810</v>
      </c>
      <c r="D15149" t="inlineStr">
        <is>
          <t>VÄRMLANDS LÄN</t>
        </is>
      </c>
      <c r="E15149" t="inlineStr">
        <is>
          <t>KIL</t>
        </is>
      </c>
      <c r="G15149" t="n">
        <v>5.2</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24635-2024</t>
        </is>
      </c>
      <c r="B15150" s="1" t="n">
        <v>45460</v>
      </c>
      <c r="C15150" s="1" t="n">
        <v>45810</v>
      </c>
      <c r="D15150" t="inlineStr">
        <is>
          <t>VÄRMLANDS LÄN</t>
        </is>
      </c>
      <c r="E15150" t="inlineStr">
        <is>
          <t>KIL</t>
        </is>
      </c>
      <c r="G15150" t="n">
        <v>1.2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24631-2024</t>
        </is>
      </c>
      <c r="B15151" s="1" t="n">
        <v>45460</v>
      </c>
      <c r="C15151" s="1" t="n">
        <v>45810</v>
      </c>
      <c r="D15151" t="inlineStr">
        <is>
          <t>VÄRMLANDS LÄN</t>
        </is>
      </c>
      <c r="E15151" t="inlineStr">
        <is>
          <t>STORFORS</t>
        </is>
      </c>
      <c r="G15151" t="n">
        <v>21.2</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24603-2024</t>
        </is>
      </c>
      <c r="B15152" s="1" t="n">
        <v>45460</v>
      </c>
      <c r="C15152" s="1" t="n">
        <v>45810</v>
      </c>
      <c r="D15152" t="inlineStr">
        <is>
          <t>VÄRMLANDS LÄN</t>
        </is>
      </c>
      <c r="E15152" t="inlineStr">
        <is>
          <t>KRISTINEHAMN</t>
        </is>
      </c>
      <c r="F15152" t="inlineStr">
        <is>
          <t>Naturvårdsverket</t>
        </is>
      </c>
      <c r="G15152" t="n">
        <v>3.5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24587-2024</t>
        </is>
      </c>
      <c r="B15153" s="1" t="n">
        <v>45460</v>
      </c>
      <c r="C15153" s="1" t="n">
        <v>45810</v>
      </c>
      <c r="D15153" t="inlineStr">
        <is>
          <t>VÄRMLANDS LÄN</t>
        </is>
      </c>
      <c r="E15153" t="inlineStr">
        <is>
          <t>KIL</t>
        </is>
      </c>
      <c r="G15153" t="n">
        <v>2.2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24537-2024</t>
        </is>
      </c>
      <c r="B15154" s="1" t="n">
        <v>45460</v>
      </c>
      <c r="C15154" s="1" t="n">
        <v>45810</v>
      </c>
      <c r="D15154" t="inlineStr">
        <is>
          <t>VÄRMLANDS LÄN</t>
        </is>
      </c>
      <c r="E15154" t="inlineStr">
        <is>
          <t>HAGFORS</t>
        </is>
      </c>
      <c r="F15154" t="inlineStr">
        <is>
          <t>Bergvik skog väst AB</t>
        </is>
      </c>
      <c r="G15154" t="n">
        <v>2.1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24521-2024</t>
        </is>
      </c>
      <c r="B15155" s="1" t="n">
        <v>45460</v>
      </c>
      <c r="C15155" s="1" t="n">
        <v>45810</v>
      </c>
      <c r="D15155" t="inlineStr">
        <is>
          <t>VÄRMLANDS LÄN</t>
        </is>
      </c>
      <c r="E15155" t="inlineStr">
        <is>
          <t>SUNNE</t>
        </is>
      </c>
      <c r="G15155" t="n">
        <v>1.8</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24535-2024</t>
        </is>
      </c>
      <c r="B15156" s="1" t="n">
        <v>45460</v>
      </c>
      <c r="C15156" s="1" t="n">
        <v>45810</v>
      </c>
      <c r="D15156" t="inlineStr">
        <is>
          <t>VÄRMLANDS LÄN</t>
        </is>
      </c>
      <c r="E15156" t="inlineStr">
        <is>
          <t>ARVIKA</t>
        </is>
      </c>
      <c r="F15156" t="inlineStr">
        <is>
          <t>Bergvik skog väst AB</t>
        </is>
      </c>
      <c r="G15156" t="n">
        <v>1.2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24540-2024</t>
        </is>
      </c>
      <c r="B15157" s="1" t="n">
        <v>45460</v>
      </c>
      <c r="C15157" s="1" t="n">
        <v>45810</v>
      </c>
      <c r="D15157" t="inlineStr">
        <is>
          <t>VÄRMLANDS LÄN</t>
        </is>
      </c>
      <c r="E15157" t="inlineStr">
        <is>
          <t>EDA</t>
        </is>
      </c>
      <c r="F15157" t="inlineStr">
        <is>
          <t>Bergvik skog väst AB</t>
        </is>
      </c>
      <c r="G15157" t="n">
        <v>2.2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24568-2024</t>
        </is>
      </c>
      <c r="B15158" s="1" t="n">
        <v>45460</v>
      </c>
      <c r="C15158" s="1" t="n">
        <v>45810</v>
      </c>
      <c r="D15158" t="inlineStr">
        <is>
          <t>VÄRMLANDS LÄN</t>
        </is>
      </c>
      <c r="E15158" t="inlineStr">
        <is>
          <t>KIL</t>
        </is>
      </c>
      <c r="G15158" t="n">
        <v>4.5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24657-2024</t>
        </is>
      </c>
      <c r="B15159" s="1" t="n">
        <v>45460</v>
      </c>
      <c r="C15159" s="1" t="n">
        <v>45810</v>
      </c>
      <c r="D15159" t="inlineStr">
        <is>
          <t>VÄRMLANDS LÄN</t>
        </is>
      </c>
      <c r="E15159" t="inlineStr">
        <is>
          <t>TORSBY</t>
        </is>
      </c>
      <c r="G15159" t="n">
        <v>1.6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24506-2024</t>
        </is>
      </c>
      <c r="B15160" s="1" t="n">
        <v>45460</v>
      </c>
      <c r="C15160" s="1" t="n">
        <v>45810</v>
      </c>
      <c r="D15160" t="inlineStr">
        <is>
          <t>VÄRMLANDS LÄN</t>
        </is>
      </c>
      <c r="E15160" t="inlineStr">
        <is>
          <t>SUNNE</t>
        </is>
      </c>
      <c r="G15160" t="n">
        <v>5</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24710-2024</t>
        </is>
      </c>
      <c r="B15161" s="1" t="n">
        <v>45460</v>
      </c>
      <c r="C15161" s="1" t="n">
        <v>45810</v>
      </c>
      <c r="D15161" t="inlineStr">
        <is>
          <t>VÄRMLANDS LÄN</t>
        </is>
      </c>
      <c r="E15161" t="inlineStr">
        <is>
          <t>KRISTINEHAMN</t>
        </is>
      </c>
      <c r="G15161" t="n">
        <v>1.2</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24881-2024</t>
        </is>
      </c>
      <c r="B15162" s="1" t="n">
        <v>45461</v>
      </c>
      <c r="C15162" s="1" t="n">
        <v>45810</v>
      </c>
      <c r="D15162" t="inlineStr">
        <is>
          <t>VÄRMLANDS LÄN</t>
        </is>
      </c>
      <c r="E15162" t="inlineStr">
        <is>
          <t>SUNNE</t>
        </is>
      </c>
      <c r="G15162" t="n">
        <v>5.5</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24985-2024</t>
        </is>
      </c>
      <c r="B15163" s="1" t="n">
        <v>45461</v>
      </c>
      <c r="C15163" s="1" t="n">
        <v>45810</v>
      </c>
      <c r="D15163" t="inlineStr">
        <is>
          <t>VÄRMLANDS LÄN</t>
        </is>
      </c>
      <c r="E15163" t="inlineStr">
        <is>
          <t>SÄFFLE</t>
        </is>
      </c>
      <c r="G15163" t="n">
        <v>5.5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24989-2024</t>
        </is>
      </c>
      <c r="B15164" s="1" t="n">
        <v>45461</v>
      </c>
      <c r="C15164" s="1" t="n">
        <v>45810</v>
      </c>
      <c r="D15164" t="inlineStr">
        <is>
          <t>VÄRMLANDS LÄN</t>
        </is>
      </c>
      <c r="E15164" t="inlineStr">
        <is>
          <t>SÄFFLE</t>
        </is>
      </c>
      <c r="G15164" t="n">
        <v>1.1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24995-2024</t>
        </is>
      </c>
      <c r="B15165" s="1" t="n">
        <v>45461</v>
      </c>
      <c r="C15165" s="1" t="n">
        <v>45810</v>
      </c>
      <c r="D15165" t="inlineStr">
        <is>
          <t>VÄRMLANDS LÄN</t>
        </is>
      </c>
      <c r="E15165" t="inlineStr">
        <is>
          <t>TORSBY</t>
        </is>
      </c>
      <c r="G15165" t="n">
        <v>1.2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24999-2024</t>
        </is>
      </c>
      <c r="B15166" s="1" t="n">
        <v>45461</v>
      </c>
      <c r="C15166" s="1" t="n">
        <v>45810</v>
      </c>
      <c r="D15166" t="inlineStr">
        <is>
          <t>VÄRMLANDS LÄN</t>
        </is>
      </c>
      <c r="E15166" t="inlineStr">
        <is>
          <t>ARVIKA</t>
        </is>
      </c>
      <c r="G15166" t="n">
        <v>1.2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25016-2024</t>
        </is>
      </c>
      <c r="B15167" s="1" t="n">
        <v>45461</v>
      </c>
      <c r="C15167" s="1" t="n">
        <v>45810</v>
      </c>
      <c r="D15167" t="inlineStr">
        <is>
          <t>VÄRMLANDS LÄN</t>
        </is>
      </c>
      <c r="E15167" t="inlineStr">
        <is>
          <t>KARLSTAD</t>
        </is>
      </c>
      <c r="G15167" t="n">
        <v>7.5</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24870-2024</t>
        </is>
      </c>
      <c r="B15168" s="1" t="n">
        <v>45461</v>
      </c>
      <c r="C15168" s="1" t="n">
        <v>45810</v>
      </c>
      <c r="D15168" t="inlineStr">
        <is>
          <t>VÄRMLANDS LÄN</t>
        </is>
      </c>
      <c r="E15168" t="inlineStr">
        <is>
          <t>ARVIKA</t>
        </is>
      </c>
      <c r="G15168" t="n">
        <v>1.5</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24893-2024</t>
        </is>
      </c>
      <c r="B15169" s="1" t="n">
        <v>45461</v>
      </c>
      <c r="C15169" s="1" t="n">
        <v>45810</v>
      </c>
      <c r="D15169" t="inlineStr">
        <is>
          <t>VÄRMLANDS LÄN</t>
        </is>
      </c>
      <c r="E15169" t="inlineStr">
        <is>
          <t>ÅRJÄNG</t>
        </is>
      </c>
      <c r="G15169" t="n">
        <v>3.1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24921-2024</t>
        </is>
      </c>
      <c r="B15170" s="1" t="n">
        <v>45461</v>
      </c>
      <c r="C15170" s="1" t="n">
        <v>45810</v>
      </c>
      <c r="D15170" t="inlineStr">
        <is>
          <t>VÄRMLANDS LÄN</t>
        </is>
      </c>
      <c r="E15170" t="inlineStr">
        <is>
          <t>ARVIKA</t>
        </is>
      </c>
      <c r="G15170" t="n">
        <v>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24958-2024</t>
        </is>
      </c>
      <c r="B15171" s="1" t="n">
        <v>45461</v>
      </c>
      <c r="C15171" s="1" t="n">
        <v>45810</v>
      </c>
      <c r="D15171" t="inlineStr">
        <is>
          <t>VÄRMLANDS LÄN</t>
        </is>
      </c>
      <c r="E15171" t="inlineStr">
        <is>
          <t>HAGFORS</t>
        </is>
      </c>
      <c r="G15171" t="n">
        <v>0.9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25014-2024</t>
        </is>
      </c>
      <c r="B15172" s="1" t="n">
        <v>45461</v>
      </c>
      <c r="C15172" s="1" t="n">
        <v>45810</v>
      </c>
      <c r="D15172" t="inlineStr">
        <is>
          <t>VÄRMLANDS LÄN</t>
        </is>
      </c>
      <c r="E15172" t="inlineStr">
        <is>
          <t>GRUMS</t>
        </is>
      </c>
      <c r="G15172" t="n">
        <v>12.8</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24883-2024</t>
        </is>
      </c>
      <c r="B15173" s="1" t="n">
        <v>45461</v>
      </c>
      <c r="C15173" s="1" t="n">
        <v>45810</v>
      </c>
      <c r="D15173" t="inlineStr">
        <is>
          <t>VÄRMLANDS LÄN</t>
        </is>
      </c>
      <c r="E15173" t="inlineStr">
        <is>
          <t>KRISTINEHAMN</t>
        </is>
      </c>
      <c r="G15173" t="n">
        <v>4.2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24851-2024</t>
        </is>
      </c>
      <c r="B15174" s="1" t="n">
        <v>45461</v>
      </c>
      <c r="C15174" s="1" t="n">
        <v>45810</v>
      </c>
      <c r="D15174" t="inlineStr">
        <is>
          <t>VÄRMLANDS LÄN</t>
        </is>
      </c>
      <c r="E15174" t="inlineStr">
        <is>
          <t>TORSBY</t>
        </is>
      </c>
      <c r="G15174" t="n">
        <v>5.6</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25013-2024</t>
        </is>
      </c>
      <c r="B15175" s="1" t="n">
        <v>45461</v>
      </c>
      <c r="C15175" s="1" t="n">
        <v>45810</v>
      </c>
      <c r="D15175" t="inlineStr">
        <is>
          <t>VÄRMLANDS LÄN</t>
        </is>
      </c>
      <c r="E15175" t="inlineStr">
        <is>
          <t>GRUMS</t>
        </is>
      </c>
      <c r="G15175" t="n">
        <v>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24947-2024</t>
        </is>
      </c>
      <c r="B15176" s="1" t="n">
        <v>45461</v>
      </c>
      <c r="C15176" s="1" t="n">
        <v>45810</v>
      </c>
      <c r="D15176" t="inlineStr">
        <is>
          <t>VÄRMLANDS LÄN</t>
        </is>
      </c>
      <c r="E15176" t="inlineStr">
        <is>
          <t>HAGFORS</t>
        </is>
      </c>
      <c r="G15176" t="n">
        <v>0.7</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24955-2024</t>
        </is>
      </c>
      <c r="B15177" s="1" t="n">
        <v>45461</v>
      </c>
      <c r="C15177" s="1" t="n">
        <v>45810</v>
      </c>
      <c r="D15177" t="inlineStr">
        <is>
          <t>VÄRMLANDS LÄN</t>
        </is>
      </c>
      <c r="E15177" t="inlineStr">
        <is>
          <t>HAGFORS</t>
        </is>
      </c>
      <c r="G15177" t="n">
        <v>2.2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24998-2024</t>
        </is>
      </c>
      <c r="B15178" s="1" t="n">
        <v>45461</v>
      </c>
      <c r="C15178" s="1" t="n">
        <v>45810</v>
      </c>
      <c r="D15178" t="inlineStr">
        <is>
          <t>VÄRMLANDS LÄN</t>
        </is>
      </c>
      <c r="E15178" t="inlineStr">
        <is>
          <t>KIL</t>
        </is>
      </c>
      <c r="G15178" t="n">
        <v>4.7</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24990-2024</t>
        </is>
      </c>
      <c r="B15179" s="1" t="n">
        <v>45461</v>
      </c>
      <c r="C15179" s="1" t="n">
        <v>45810</v>
      </c>
      <c r="D15179" t="inlineStr">
        <is>
          <t>VÄRMLANDS LÄN</t>
        </is>
      </c>
      <c r="E15179" t="inlineStr">
        <is>
          <t>SÄFFLE</t>
        </is>
      </c>
      <c r="G15179" t="n">
        <v>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24986-2024</t>
        </is>
      </c>
      <c r="B15180" s="1" t="n">
        <v>45461</v>
      </c>
      <c r="C15180" s="1" t="n">
        <v>45810</v>
      </c>
      <c r="D15180" t="inlineStr">
        <is>
          <t>VÄRMLANDS LÄN</t>
        </is>
      </c>
      <c r="E15180" t="inlineStr">
        <is>
          <t>ARVIKA</t>
        </is>
      </c>
      <c r="G15180" t="n">
        <v>0.7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24965-2024</t>
        </is>
      </c>
      <c r="B15181" s="1" t="n">
        <v>45461</v>
      </c>
      <c r="C15181" s="1" t="n">
        <v>45810</v>
      </c>
      <c r="D15181" t="inlineStr">
        <is>
          <t>VÄRMLANDS LÄN</t>
        </is>
      </c>
      <c r="E15181" t="inlineStr">
        <is>
          <t>HAGFORS</t>
        </is>
      </c>
      <c r="G15181" t="n">
        <v>2.9</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24961-2024</t>
        </is>
      </c>
      <c r="B15182" s="1" t="n">
        <v>45461</v>
      </c>
      <c r="C15182" s="1" t="n">
        <v>45810</v>
      </c>
      <c r="D15182" t="inlineStr">
        <is>
          <t>VÄRMLANDS LÄN</t>
        </is>
      </c>
      <c r="E15182" t="inlineStr">
        <is>
          <t>HAGFORS</t>
        </is>
      </c>
      <c r="G15182" t="n">
        <v>2.5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24953-2024</t>
        </is>
      </c>
      <c r="B15183" s="1" t="n">
        <v>45461</v>
      </c>
      <c r="C15183" s="1" t="n">
        <v>45810</v>
      </c>
      <c r="D15183" t="inlineStr">
        <is>
          <t>VÄRMLANDS LÄN</t>
        </is>
      </c>
      <c r="E15183" t="inlineStr">
        <is>
          <t>SUNNE</t>
        </is>
      </c>
      <c r="F15183" t="inlineStr">
        <is>
          <t>Bergvik skog väst AB</t>
        </is>
      </c>
      <c r="G15183" t="n">
        <v>0.9</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24916-2024</t>
        </is>
      </c>
      <c r="B15184" s="1" t="n">
        <v>45461</v>
      </c>
      <c r="C15184" s="1" t="n">
        <v>45810</v>
      </c>
      <c r="D15184" t="inlineStr">
        <is>
          <t>VÄRMLANDS LÄN</t>
        </is>
      </c>
      <c r="E15184" t="inlineStr">
        <is>
          <t>ÅRJÄNG</t>
        </is>
      </c>
      <c r="G15184" t="n">
        <v>0.7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24908-2024</t>
        </is>
      </c>
      <c r="B15185" s="1" t="n">
        <v>45461</v>
      </c>
      <c r="C15185" s="1" t="n">
        <v>45810</v>
      </c>
      <c r="D15185" t="inlineStr">
        <is>
          <t>VÄRMLANDS LÄN</t>
        </is>
      </c>
      <c r="E15185" t="inlineStr">
        <is>
          <t>HAGFORS</t>
        </is>
      </c>
      <c r="G15185" t="n">
        <v>3.9</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24896-2024</t>
        </is>
      </c>
      <c r="B15186" s="1" t="n">
        <v>45461</v>
      </c>
      <c r="C15186" s="1" t="n">
        <v>45810</v>
      </c>
      <c r="D15186" t="inlineStr">
        <is>
          <t>VÄRMLANDS LÄN</t>
        </is>
      </c>
      <c r="E15186" t="inlineStr">
        <is>
          <t>ÅRJÄNG</t>
        </is>
      </c>
      <c r="G15186" t="n">
        <v>0.8</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24888-2024</t>
        </is>
      </c>
      <c r="B15187" s="1" t="n">
        <v>45461</v>
      </c>
      <c r="C15187" s="1" t="n">
        <v>45810</v>
      </c>
      <c r="D15187" t="inlineStr">
        <is>
          <t>VÄRMLANDS LÄN</t>
        </is>
      </c>
      <c r="E15187" t="inlineStr">
        <is>
          <t>ARVIKA</t>
        </is>
      </c>
      <c r="G15187" t="n">
        <v>0.9</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24876-2024</t>
        </is>
      </c>
      <c r="B15188" s="1" t="n">
        <v>45461</v>
      </c>
      <c r="C15188" s="1" t="n">
        <v>45810</v>
      </c>
      <c r="D15188" t="inlineStr">
        <is>
          <t>VÄRMLANDS LÄN</t>
        </is>
      </c>
      <c r="E15188" t="inlineStr">
        <is>
          <t>ÅRJÄNG</t>
        </is>
      </c>
      <c r="G15188" t="n">
        <v>0.7</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24871-2024</t>
        </is>
      </c>
      <c r="B15189" s="1" t="n">
        <v>45461</v>
      </c>
      <c r="C15189" s="1" t="n">
        <v>45810</v>
      </c>
      <c r="D15189" t="inlineStr">
        <is>
          <t>VÄRMLANDS LÄN</t>
        </is>
      </c>
      <c r="E15189" t="inlineStr">
        <is>
          <t>FILIPSTAD</t>
        </is>
      </c>
      <c r="F15189" t="inlineStr">
        <is>
          <t>Bergvik skog väst AB</t>
        </is>
      </c>
      <c r="G15189" t="n">
        <v>9.5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24984-2024</t>
        </is>
      </c>
      <c r="B15190" s="1" t="n">
        <v>45461</v>
      </c>
      <c r="C15190" s="1" t="n">
        <v>45810</v>
      </c>
      <c r="D15190" t="inlineStr">
        <is>
          <t>VÄRMLANDS LÄN</t>
        </is>
      </c>
      <c r="E15190" t="inlineStr">
        <is>
          <t>ARVIKA</t>
        </is>
      </c>
      <c r="G15190" t="n">
        <v>3.2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24819-2024</t>
        </is>
      </c>
      <c r="B15191" s="1" t="n">
        <v>45461</v>
      </c>
      <c r="C15191" s="1" t="n">
        <v>45810</v>
      </c>
      <c r="D15191" t="inlineStr">
        <is>
          <t>VÄRMLANDS LÄN</t>
        </is>
      </c>
      <c r="E15191" t="inlineStr">
        <is>
          <t>SÄFFLE</t>
        </is>
      </c>
      <c r="G15191" t="n">
        <v>0.7</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24814-2024</t>
        </is>
      </c>
      <c r="B15192" s="1" t="n">
        <v>45461</v>
      </c>
      <c r="C15192" s="1" t="n">
        <v>45810</v>
      </c>
      <c r="D15192" t="inlineStr">
        <is>
          <t>VÄRMLANDS LÄN</t>
        </is>
      </c>
      <c r="E15192" t="inlineStr">
        <is>
          <t>HAGFORS</t>
        </is>
      </c>
      <c r="G15192" t="n">
        <v>1.7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25355-2024</t>
        </is>
      </c>
      <c r="B15193" s="1" t="n">
        <v>45463</v>
      </c>
      <c r="C15193" s="1" t="n">
        <v>45810</v>
      </c>
      <c r="D15193" t="inlineStr">
        <is>
          <t>VÄRMLANDS LÄN</t>
        </is>
      </c>
      <c r="E15193" t="inlineStr">
        <is>
          <t>TORSBY</t>
        </is>
      </c>
      <c r="G15193" t="n">
        <v>1.7</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25330-2024</t>
        </is>
      </c>
      <c r="B15194" s="1" t="n">
        <v>45462</v>
      </c>
      <c r="C15194" s="1" t="n">
        <v>45810</v>
      </c>
      <c r="D15194" t="inlineStr">
        <is>
          <t>VÄRMLANDS LÄN</t>
        </is>
      </c>
      <c r="E15194" t="inlineStr">
        <is>
          <t>KARLSTAD</t>
        </is>
      </c>
      <c r="G15194" t="n">
        <v>1.4</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25181-2024</t>
        </is>
      </c>
      <c r="B15195" s="1" t="n">
        <v>45462</v>
      </c>
      <c r="C15195" s="1" t="n">
        <v>45810</v>
      </c>
      <c r="D15195" t="inlineStr">
        <is>
          <t>VÄRMLANDS LÄN</t>
        </is>
      </c>
      <c r="E15195" t="inlineStr">
        <is>
          <t>KRISTINEHAMN</t>
        </is>
      </c>
      <c r="F15195" t="inlineStr">
        <is>
          <t>Sveaskog</t>
        </is>
      </c>
      <c r="G15195" t="n">
        <v>7.7</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25141-2024</t>
        </is>
      </c>
      <c r="B15196" s="1" t="n">
        <v>45462</v>
      </c>
      <c r="C15196" s="1" t="n">
        <v>45810</v>
      </c>
      <c r="D15196" t="inlineStr">
        <is>
          <t>VÄRMLANDS LÄN</t>
        </is>
      </c>
      <c r="E15196" t="inlineStr">
        <is>
          <t>ÅRJÄNG</t>
        </is>
      </c>
      <c r="G15196" t="n">
        <v>1.2</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25313-2024</t>
        </is>
      </c>
      <c r="B15197" s="1" t="n">
        <v>45462</v>
      </c>
      <c r="C15197" s="1" t="n">
        <v>45810</v>
      </c>
      <c r="D15197" t="inlineStr">
        <is>
          <t>VÄRMLANDS LÄN</t>
        </is>
      </c>
      <c r="E15197" t="inlineStr">
        <is>
          <t>TORSBY</t>
        </is>
      </c>
      <c r="G15197" t="n">
        <v>0.7</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25094-2024</t>
        </is>
      </c>
      <c r="B15198" s="1" t="n">
        <v>45462</v>
      </c>
      <c r="C15198" s="1" t="n">
        <v>45810</v>
      </c>
      <c r="D15198" t="inlineStr">
        <is>
          <t>VÄRMLANDS LÄN</t>
        </is>
      </c>
      <c r="E15198" t="inlineStr">
        <is>
          <t>FORSHAGA</t>
        </is>
      </c>
      <c r="G15198" t="n">
        <v>1.1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25090-2024</t>
        </is>
      </c>
      <c r="B15199" s="1" t="n">
        <v>45462</v>
      </c>
      <c r="C15199" s="1" t="n">
        <v>45810</v>
      </c>
      <c r="D15199" t="inlineStr">
        <is>
          <t>VÄRMLANDS LÄN</t>
        </is>
      </c>
      <c r="E15199" t="inlineStr">
        <is>
          <t>TORSBY</t>
        </is>
      </c>
      <c r="G15199" t="n">
        <v>1.3</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25264-2024</t>
        </is>
      </c>
      <c r="B15200" s="1" t="n">
        <v>45462</v>
      </c>
      <c r="C15200" s="1" t="n">
        <v>45810</v>
      </c>
      <c r="D15200" t="inlineStr">
        <is>
          <t>VÄRMLANDS LÄN</t>
        </is>
      </c>
      <c r="E15200" t="inlineStr">
        <is>
          <t>TORSBY</t>
        </is>
      </c>
      <c r="G15200" t="n">
        <v>10.7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25180-2024</t>
        </is>
      </c>
      <c r="B15201" s="1" t="n">
        <v>45462</v>
      </c>
      <c r="C15201" s="1" t="n">
        <v>45810</v>
      </c>
      <c r="D15201" t="inlineStr">
        <is>
          <t>VÄRMLANDS LÄN</t>
        </is>
      </c>
      <c r="E15201" t="inlineStr">
        <is>
          <t>HAGFORS</t>
        </is>
      </c>
      <c r="F15201" t="inlineStr">
        <is>
          <t>Bergvik skog väst AB</t>
        </is>
      </c>
      <c r="G15201" t="n">
        <v>17.4</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25140-2024</t>
        </is>
      </c>
      <c r="B15202" s="1" t="n">
        <v>45462</v>
      </c>
      <c r="C15202" s="1" t="n">
        <v>45810</v>
      </c>
      <c r="D15202" t="inlineStr">
        <is>
          <t>VÄRMLANDS LÄN</t>
        </is>
      </c>
      <c r="E15202" t="inlineStr">
        <is>
          <t>HAGFORS</t>
        </is>
      </c>
      <c r="F15202" t="inlineStr">
        <is>
          <t>Kyrkan</t>
        </is>
      </c>
      <c r="G15202" t="n">
        <v>9.699999999999999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25040-2024</t>
        </is>
      </c>
      <c r="B15203" s="1" t="n">
        <v>45462</v>
      </c>
      <c r="C15203" s="1" t="n">
        <v>45810</v>
      </c>
      <c r="D15203" t="inlineStr">
        <is>
          <t>VÄRMLANDS LÄN</t>
        </is>
      </c>
      <c r="E15203" t="inlineStr">
        <is>
          <t>KARLSTAD</t>
        </is>
      </c>
      <c r="G15203" t="n">
        <v>0.5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25275-2024</t>
        </is>
      </c>
      <c r="B15204" s="1" t="n">
        <v>45462</v>
      </c>
      <c r="C15204" s="1" t="n">
        <v>45810</v>
      </c>
      <c r="D15204" t="inlineStr">
        <is>
          <t>VÄRMLANDS LÄN</t>
        </is>
      </c>
      <c r="E15204" t="inlineStr">
        <is>
          <t>ARVIKA</t>
        </is>
      </c>
      <c r="F15204" t="inlineStr">
        <is>
          <t>Bergvik skog väst AB</t>
        </is>
      </c>
      <c r="G15204" t="n">
        <v>3.3</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25254-2024</t>
        </is>
      </c>
      <c r="B15205" s="1" t="n">
        <v>45462</v>
      </c>
      <c r="C15205" s="1" t="n">
        <v>45810</v>
      </c>
      <c r="D15205" t="inlineStr">
        <is>
          <t>VÄRMLANDS LÄN</t>
        </is>
      </c>
      <c r="E15205" t="inlineStr">
        <is>
          <t>FILIPSTAD</t>
        </is>
      </c>
      <c r="F15205" t="inlineStr">
        <is>
          <t>Bergvik skog väst AB</t>
        </is>
      </c>
      <c r="G15205" t="n">
        <v>3.2</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25194-2024</t>
        </is>
      </c>
      <c r="B15206" s="1" t="n">
        <v>45462</v>
      </c>
      <c r="C15206" s="1" t="n">
        <v>45810</v>
      </c>
      <c r="D15206" t="inlineStr">
        <is>
          <t>VÄRMLANDS LÄN</t>
        </is>
      </c>
      <c r="E15206" t="inlineStr">
        <is>
          <t>TORSBY</t>
        </is>
      </c>
      <c r="G15206" t="n">
        <v>4.8</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25166-2024</t>
        </is>
      </c>
      <c r="B15207" s="1" t="n">
        <v>45462</v>
      </c>
      <c r="C15207" s="1" t="n">
        <v>45810</v>
      </c>
      <c r="D15207" t="inlineStr">
        <is>
          <t>VÄRMLANDS LÄN</t>
        </is>
      </c>
      <c r="E15207" t="inlineStr">
        <is>
          <t>SÄFFLE</t>
        </is>
      </c>
      <c r="G15207" t="n">
        <v>1.3</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25069-2024</t>
        </is>
      </c>
      <c r="B15208" s="1" t="n">
        <v>45462</v>
      </c>
      <c r="C15208" s="1" t="n">
        <v>45810</v>
      </c>
      <c r="D15208" t="inlineStr">
        <is>
          <t>VÄRMLANDS LÄN</t>
        </is>
      </c>
      <c r="E15208" t="inlineStr">
        <is>
          <t>HAGFORS</t>
        </is>
      </c>
      <c r="F15208" t="inlineStr">
        <is>
          <t>Kyrkan</t>
        </is>
      </c>
      <c r="G15208" t="n">
        <v>28.3</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25041-2024</t>
        </is>
      </c>
      <c r="B15209" s="1" t="n">
        <v>45462</v>
      </c>
      <c r="C15209" s="1" t="n">
        <v>45810</v>
      </c>
      <c r="D15209" t="inlineStr">
        <is>
          <t>VÄRMLANDS LÄN</t>
        </is>
      </c>
      <c r="E15209" t="inlineStr">
        <is>
          <t>EDA</t>
        </is>
      </c>
      <c r="G15209" t="n">
        <v>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25332-2024</t>
        </is>
      </c>
      <c r="B15210" s="1" t="n">
        <v>45462</v>
      </c>
      <c r="C15210" s="1" t="n">
        <v>45810</v>
      </c>
      <c r="D15210" t="inlineStr">
        <is>
          <t>VÄRMLANDS LÄN</t>
        </is>
      </c>
      <c r="E15210" t="inlineStr">
        <is>
          <t>SÄFFLE</t>
        </is>
      </c>
      <c r="G15210" t="n">
        <v>11.1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25316-2024</t>
        </is>
      </c>
      <c r="B15211" s="1" t="n">
        <v>45462</v>
      </c>
      <c r="C15211" s="1" t="n">
        <v>45810</v>
      </c>
      <c r="D15211" t="inlineStr">
        <is>
          <t>VÄRMLANDS LÄN</t>
        </is>
      </c>
      <c r="E15211" t="inlineStr">
        <is>
          <t>TORSBY</t>
        </is>
      </c>
      <c r="G15211" t="n">
        <v>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25211-2024</t>
        </is>
      </c>
      <c r="B15212" s="1" t="n">
        <v>45462</v>
      </c>
      <c r="C15212" s="1" t="n">
        <v>45810</v>
      </c>
      <c r="D15212" t="inlineStr">
        <is>
          <t>VÄRMLANDS LÄN</t>
        </is>
      </c>
      <c r="E15212" t="inlineStr">
        <is>
          <t>SUNNE</t>
        </is>
      </c>
      <c r="F15212" t="inlineStr">
        <is>
          <t>Bergvik skog väst AB</t>
        </is>
      </c>
      <c r="G15212" t="n">
        <v>15.2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25123-2024</t>
        </is>
      </c>
      <c r="B15213" s="1" t="n">
        <v>45462</v>
      </c>
      <c r="C15213" s="1" t="n">
        <v>45810</v>
      </c>
      <c r="D15213" t="inlineStr">
        <is>
          <t>VÄRMLANDS LÄN</t>
        </is>
      </c>
      <c r="E15213" t="inlineStr">
        <is>
          <t>HAGFORS</t>
        </is>
      </c>
      <c r="F15213" t="inlineStr">
        <is>
          <t>Kyrkan</t>
        </is>
      </c>
      <c r="G15213" t="n">
        <v>0.8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25082-2024</t>
        </is>
      </c>
      <c r="B15214" s="1" t="n">
        <v>45462</v>
      </c>
      <c r="C15214" s="1" t="n">
        <v>45810</v>
      </c>
      <c r="D15214" t="inlineStr">
        <is>
          <t>VÄRMLANDS LÄN</t>
        </is>
      </c>
      <c r="E15214" t="inlineStr">
        <is>
          <t>SUNNE</t>
        </is>
      </c>
      <c r="G15214" t="n">
        <v>2</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25054-2024</t>
        </is>
      </c>
      <c r="B15215" s="1" t="n">
        <v>45462</v>
      </c>
      <c r="C15215" s="1" t="n">
        <v>45810</v>
      </c>
      <c r="D15215" t="inlineStr">
        <is>
          <t>VÄRMLANDS LÄN</t>
        </is>
      </c>
      <c r="E15215" t="inlineStr">
        <is>
          <t>KIL</t>
        </is>
      </c>
      <c r="G15215" t="n">
        <v>3.8</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25659-2024</t>
        </is>
      </c>
      <c r="B15216" s="1" t="n">
        <v>45463</v>
      </c>
      <c r="C15216" s="1" t="n">
        <v>45810</v>
      </c>
      <c r="D15216" t="inlineStr">
        <is>
          <t>VÄRMLANDS LÄN</t>
        </is>
      </c>
      <c r="E15216" t="inlineStr">
        <is>
          <t>ÅRJÄNG</t>
        </is>
      </c>
      <c r="G15216" t="n">
        <v>1.3</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25654-2024</t>
        </is>
      </c>
      <c r="B15217" s="1" t="n">
        <v>45463</v>
      </c>
      <c r="C15217" s="1" t="n">
        <v>45810</v>
      </c>
      <c r="D15217" t="inlineStr">
        <is>
          <t>VÄRMLANDS LÄN</t>
        </is>
      </c>
      <c r="E15217" t="inlineStr">
        <is>
          <t>ÅRJÄNG</t>
        </is>
      </c>
      <c r="G15217" t="n">
        <v>16.9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25509-2024</t>
        </is>
      </c>
      <c r="B15218" s="1" t="n">
        <v>45463</v>
      </c>
      <c r="C15218" s="1" t="n">
        <v>45810</v>
      </c>
      <c r="D15218" t="inlineStr">
        <is>
          <t>VÄRMLANDS LÄN</t>
        </is>
      </c>
      <c r="E15218" t="inlineStr">
        <is>
          <t>SUNNE</t>
        </is>
      </c>
      <c r="G15218" t="n">
        <v>5.7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25629-2024</t>
        </is>
      </c>
      <c r="B15219" s="1" t="n">
        <v>45463</v>
      </c>
      <c r="C15219" s="1" t="n">
        <v>45810</v>
      </c>
      <c r="D15219" t="inlineStr">
        <is>
          <t>VÄRMLANDS LÄN</t>
        </is>
      </c>
      <c r="E15219" t="inlineStr">
        <is>
          <t>TORSBY</t>
        </is>
      </c>
      <c r="G15219" t="n">
        <v>1.1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25521-2024</t>
        </is>
      </c>
      <c r="B15220" s="1" t="n">
        <v>45463</v>
      </c>
      <c r="C15220" s="1" t="n">
        <v>45810</v>
      </c>
      <c r="D15220" t="inlineStr">
        <is>
          <t>VÄRMLANDS LÄN</t>
        </is>
      </c>
      <c r="E15220" t="inlineStr">
        <is>
          <t>FILIPSTAD</t>
        </is>
      </c>
      <c r="F15220" t="inlineStr">
        <is>
          <t>Bergvik skog väst AB</t>
        </is>
      </c>
      <c r="G15220" t="n">
        <v>3.1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25504-2024</t>
        </is>
      </c>
      <c r="B15221" s="1" t="n">
        <v>45463</v>
      </c>
      <c r="C15221" s="1" t="n">
        <v>45810</v>
      </c>
      <c r="D15221" t="inlineStr">
        <is>
          <t>VÄRMLANDS LÄN</t>
        </is>
      </c>
      <c r="E15221" t="inlineStr">
        <is>
          <t>TORSBY</t>
        </is>
      </c>
      <c r="G15221" t="n">
        <v>2.7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25468-2024</t>
        </is>
      </c>
      <c r="B15222" s="1" t="n">
        <v>45463</v>
      </c>
      <c r="C15222" s="1" t="n">
        <v>45810</v>
      </c>
      <c r="D15222" t="inlineStr">
        <is>
          <t>VÄRMLANDS LÄN</t>
        </is>
      </c>
      <c r="E15222" t="inlineStr">
        <is>
          <t>FILIPSTAD</t>
        </is>
      </c>
      <c r="G15222" t="n">
        <v>13.2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25464-2024</t>
        </is>
      </c>
      <c r="B15223" s="1" t="n">
        <v>45463</v>
      </c>
      <c r="C15223" s="1" t="n">
        <v>45810</v>
      </c>
      <c r="D15223" t="inlineStr">
        <is>
          <t>VÄRMLANDS LÄN</t>
        </is>
      </c>
      <c r="E15223" t="inlineStr">
        <is>
          <t>HAGFORS</t>
        </is>
      </c>
      <c r="F15223" t="inlineStr">
        <is>
          <t>Bergvik skog väst AB</t>
        </is>
      </c>
      <c r="G15223" t="n">
        <v>6.3</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25409-2024</t>
        </is>
      </c>
      <c r="B15224" s="1" t="n">
        <v>45463</v>
      </c>
      <c r="C15224" s="1" t="n">
        <v>45810</v>
      </c>
      <c r="D15224" t="inlineStr">
        <is>
          <t>VÄRMLANDS LÄN</t>
        </is>
      </c>
      <c r="E15224" t="inlineStr">
        <is>
          <t>KIL</t>
        </is>
      </c>
      <c r="F15224" t="inlineStr">
        <is>
          <t>Kyrkan</t>
        </is>
      </c>
      <c r="G15224" t="n">
        <v>1.7</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25520-2024</t>
        </is>
      </c>
      <c r="B15225" s="1" t="n">
        <v>45463</v>
      </c>
      <c r="C15225" s="1" t="n">
        <v>45810</v>
      </c>
      <c r="D15225" t="inlineStr">
        <is>
          <t>VÄRMLANDS LÄN</t>
        </is>
      </c>
      <c r="E15225" t="inlineStr">
        <is>
          <t>ARVIKA</t>
        </is>
      </c>
      <c r="G15225" t="n">
        <v>1.4</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25495-2024</t>
        </is>
      </c>
      <c r="B15226" s="1" t="n">
        <v>45463</v>
      </c>
      <c r="C15226" s="1" t="n">
        <v>45810</v>
      </c>
      <c r="D15226" t="inlineStr">
        <is>
          <t>VÄRMLANDS LÄN</t>
        </is>
      </c>
      <c r="E15226" t="inlineStr">
        <is>
          <t>ÅRJÄNG</t>
        </is>
      </c>
      <c r="F15226" t="inlineStr">
        <is>
          <t>Kyrkan</t>
        </is>
      </c>
      <c r="G15226" t="n">
        <v>9.800000000000001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25475-2024</t>
        </is>
      </c>
      <c r="B15227" s="1" t="n">
        <v>45463</v>
      </c>
      <c r="C15227" s="1" t="n">
        <v>45810</v>
      </c>
      <c r="D15227" t="inlineStr">
        <is>
          <t>VÄRMLANDS LÄN</t>
        </is>
      </c>
      <c r="E15227" t="inlineStr">
        <is>
          <t>SUNNE</t>
        </is>
      </c>
      <c r="G15227" t="n">
        <v>2.4</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25462-2024</t>
        </is>
      </c>
      <c r="B15228" s="1" t="n">
        <v>45463</v>
      </c>
      <c r="C15228" s="1" t="n">
        <v>45810</v>
      </c>
      <c r="D15228" t="inlineStr">
        <is>
          <t>VÄRMLANDS LÄN</t>
        </is>
      </c>
      <c r="E15228" t="inlineStr">
        <is>
          <t>FILIPSTAD</t>
        </is>
      </c>
      <c r="G15228" t="n">
        <v>2.9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25435-2024</t>
        </is>
      </c>
      <c r="B15229" s="1" t="n">
        <v>45463</v>
      </c>
      <c r="C15229" s="1" t="n">
        <v>45810</v>
      </c>
      <c r="D15229" t="inlineStr">
        <is>
          <t>VÄRMLANDS LÄN</t>
        </is>
      </c>
      <c r="E15229" t="inlineStr">
        <is>
          <t>KIL</t>
        </is>
      </c>
      <c r="F15229" t="inlineStr">
        <is>
          <t>Kyrkan</t>
        </is>
      </c>
      <c r="G15229" t="n">
        <v>2.3</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25786-2024</t>
        </is>
      </c>
      <c r="B15230" s="1" t="n">
        <v>45466</v>
      </c>
      <c r="C15230" s="1" t="n">
        <v>45810</v>
      </c>
      <c r="D15230" t="inlineStr">
        <is>
          <t>VÄRMLANDS LÄN</t>
        </is>
      </c>
      <c r="E15230" t="inlineStr">
        <is>
          <t>KARLSTAD</t>
        </is>
      </c>
      <c r="G15230" t="n">
        <v>3.1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25785-2024</t>
        </is>
      </c>
      <c r="B15231" s="1" t="n">
        <v>45466</v>
      </c>
      <c r="C15231" s="1" t="n">
        <v>45810</v>
      </c>
      <c r="D15231" t="inlineStr">
        <is>
          <t>VÄRMLANDS LÄN</t>
        </is>
      </c>
      <c r="E15231" t="inlineStr">
        <is>
          <t>STORFORS</t>
        </is>
      </c>
      <c r="G15231" t="n">
        <v>3.5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25796-2024</t>
        </is>
      </c>
      <c r="B15232" s="1" t="n">
        <v>45467</v>
      </c>
      <c r="C15232" s="1" t="n">
        <v>45810</v>
      </c>
      <c r="D15232" t="inlineStr">
        <is>
          <t>VÄRMLANDS LÄN</t>
        </is>
      </c>
      <c r="E15232" t="inlineStr">
        <is>
          <t>SUNNE</t>
        </is>
      </c>
      <c r="G15232" t="n">
        <v>0.4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25802-2024</t>
        </is>
      </c>
      <c r="B15233" s="1" t="n">
        <v>45467</v>
      </c>
      <c r="C15233" s="1" t="n">
        <v>45810</v>
      </c>
      <c r="D15233" t="inlineStr">
        <is>
          <t>VÄRMLANDS LÄN</t>
        </is>
      </c>
      <c r="E15233" t="inlineStr">
        <is>
          <t>SUNNE</t>
        </is>
      </c>
      <c r="G15233" t="n">
        <v>2.4</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25792-2024</t>
        </is>
      </c>
      <c r="B15234" s="1" t="n">
        <v>45467</v>
      </c>
      <c r="C15234" s="1" t="n">
        <v>45810</v>
      </c>
      <c r="D15234" t="inlineStr">
        <is>
          <t>VÄRMLANDS LÄN</t>
        </is>
      </c>
      <c r="E15234" t="inlineStr">
        <is>
          <t>SUNNE</t>
        </is>
      </c>
      <c r="G15234" t="n">
        <v>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25797-2024</t>
        </is>
      </c>
      <c r="B15235" s="1" t="n">
        <v>45467</v>
      </c>
      <c r="C15235" s="1" t="n">
        <v>45810</v>
      </c>
      <c r="D15235" t="inlineStr">
        <is>
          <t>VÄRMLANDS LÄN</t>
        </is>
      </c>
      <c r="E15235" t="inlineStr">
        <is>
          <t>SUNNE</t>
        </is>
      </c>
      <c r="G15235" t="n">
        <v>2.6</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25816-2024</t>
        </is>
      </c>
      <c r="B15236" s="1" t="n">
        <v>45467</v>
      </c>
      <c r="C15236" s="1" t="n">
        <v>45810</v>
      </c>
      <c r="D15236" t="inlineStr">
        <is>
          <t>VÄRMLANDS LÄN</t>
        </is>
      </c>
      <c r="E15236" t="inlineStr">
        <is>
          <t>SUNNE</t>
        </is>
      </c>
      <c r="G15236" t="n">
        <v>1.3</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25820-2024</t>
        </is>
      </c>
      <c r="B15237" s="1" t="n">
        <v>45467</v>
      </c>
      <c r="C15237" s="1" t="n">
        <v>45810</v>
      </c>
      <c r="D15237" t="inlineStr">
        <is>
          <t>VÄRMLANDS LÄN</t>
        </is>
      </c>
      <c r="E15237" t="inlineStr">
        <is>
          <t>SUNNE</t>
        </is>
      </c>
      <c r="G15237" t="n">
        <v>0.6</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25840-2024</t>
        </is>
      </c>
      <c r="B15238" s="1" t="n">
        <v>45467</v>
      </c>
      <c r="C15238" s="1" t="n">
        <v>45810</v>
      </c>
      <c r="D15238" t="inlineStr">
        <is>
          <t>VÄRMLANDS LÄN</t>
        </is>
      </c>
      <c r="E15238" t="inlineStr">
        <is>
          <t>GRUMS</t>
        </is>
      </c>
      <c r="G15238" t="n">
        <v>2.2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25848-2024</t>
        </is>
      </c>
      <c r="B15239" s="1" t="n">
        <v>45467</v>
      </c>
      <c r="C15239" s="1" t="n">
        <v>45810</v>
      </c>
      <c r="D15239" t="inlineStr">
        <is>
          <t>VÄRMLANDS LÄN</t>
        </is>
      </c>
      <c r="E15239" t="inlineStr">
        <is>
          <t>EDA</t>
        </is>
      </c>
      <c r="G15239" t="n">
        <v>3.1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25827-2024</t>
        </is>
      </c>
      <c r="B15240" s="1" t="n">
        <v>45467</v>
      </c>
      <c r="C15240" s="1" t="n">
        <v>45810</v>
      </c>
      <c r="D15240" t="inlineStr">
        <is>
          <t>VÄRMLANDS LÄN</t>
        </is>
      </c>
      <c r="E15240" t="inlineStr">
        <is>
          <t>TORSBY</t>
        </is>
      </c>
      <c r="G15240" t="n">
        <v>20.5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25898-2024</t>
        </is>
      </c>
      <c r="B15241" s="1" t="n">
        <v>45467</v>
      </c>
      <c r="C15241" s="1" t="n">
        <v>45810</v>
      </c>
      <c r="D15241" t="inlineStr">
        <is>
          <t>VÄRMLANDS LÄN</t>
        </is>
      </c>
      <c r="E15241" t="inlineStr">
        <is>
          <t>TORSBY</t>
        </is>
      </c>
      <c r="G15241" t="n">
        <v>27.6</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25911-2024</t>
        </is>
      </c>
      <c r="B15242" s="1" t="n">
        <v>45467</v>
      </c>
      <c r="C15242" s="1" t="n">
        <v>45810</v>
      </c>
      <c r="D15242" t="inlineStr">
        <is>
          <t>VÄRMLANDS LÄN</t>
        </is>
      </c>
      <c r="E15242" t="inlineStr">
        <is>
          <t>SUNNE</t>
        </is>
      </c>
      <c r="F15242" t="inlineStr">
        <is>
          <t>Bergvik skog väst AB</t>
        </is>
      </c>
      <c r="G15242" t="n">
        <v>3.6</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25916-2024</t>
        </is>
      </c>
      <c r="B15243" s="1" t="n">
        <v>45467</v>
      </c>
      <c r="C15243" s="1" t="n">
        <v>45810</v>
      </c>
      <c r="D15243" t="inlineStr">
        <is>
          <t>VÄRMLANDS LÄN</t>
        </is>
      </c>
      <c r="E15243" t="inlineStr">
        <is>
          <t>STORFORS</t>
        </is>
      </c>
      <c r="F15243" t="inlineStr">
        <is>
          <t>Bergvik skog väst AB</t>
        </is>
      </c>
      <c r="G15243" t="n">
        <v>4.7</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25932-2024</t>
        </is>
      </c>
      <c r="B15244" s="1" t="n">
        <v>45467</v>
      </c>
      <c r="C15244" s="1" t="n">
        <v>45810</v>
      </c>
      <c r="D15244" t="inlineStr">
        <is>
          <t>VÄRMLANDS LÄN</t>
        </is>
      </c>
      <c r="E15244" t="inlineStr">
        <is>
          <t>TORSBY</t>
        </is>
      </c>
      <c r="G15244" t="n">
        <v>1.7</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25980-2024</t>
        </is>
      </c>
      <c r="B15245" s="1" t="n">
        <v>45467</v>
      </c>
      <c r="C15245" s="1" t="n">
        <v>45810</v>
      </c>
      <c r="D15245" t="inlineStr">
        <is>
          <t>VÄRMLANDS LÄN</t>
        </is>
      </c>
      <c r="E15245" t="inlineStr">
        <is>
          <t>SÄFFLE</t>
        </is>
      </c>
      <c r="G15245" t="n">
        <v>8.199999999999999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25933-2024</t>
        </is>
      </c>
      <c r="B15246" s="1" t="n">
        <v>45467</v>
      </c>
      <c r="C15246" s="1" t="n">
        <v>45810</v>
      </c>
      <c r="D15246" t="inlineStr">
        <is>
          <t>VÄRMLANDS LÄN</t>
        </is>
      </c>
      <c r="E15246" t="inlineStr">
        <is>
          <t>TORSBY</t>
        </is>
      </c>
      <c r="G15246" t="n">
        <v>2.9</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25949-2024</t>
        </is>
      </c>
      <c r="B15247" s="1" t="n">
        <v>45467</v>
      </c>
      <c r="C15247" s="1" t="n">
        <v>45810</v>
      </c>
      <c r="D15247" t="inlineStr">
        <is>
          <t>VÄRMLANDS LÄN</t>
        </is>
      </c>
      <c r="E15247" t="inlineStr">
        <is>
          <t>TORSBY</t>
        </is>
      </c>
      <c r="F15247" t="inlineStr">
        <is>
          <t>Bergvik skog väst AB</t>
        </is>
      </c>
      <c r="G15247" t="n">
        <v>2.3</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26230-2024</t>
        </is>
      </c>
      <c r="B15248" s="1" t="n">
        <v>45468</v>
      </c>
      <c r="C15248" s="1" t="n">
        <v>45810</v>
      </c>
      <c r="D15248" t="inlineStr">
        <is>
          <t>VÄRMLANDS LÄN</t>
        </is>
      </c>
      <c r="E15248" t="inlineStr">
        <is>
          <t>STORFORS</t>
        </is>
      </c>
      <c r="F15248" t="inlineStr">
        <is>
          <t>Bergvik skog väst AB</t>
        </is>
      </c>
      <c r="G15248" t="n">
        <v>0.9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26259-2024</t>
        </is>
      </c>
      <c r="B15249" s="1" t="n">
        <v>45468</v>
      </c>
      <c r="C15249" s="1" t="n">
        <v>45810</v>
      </c>
      <c r="D15249" t="inlineStr">
        <is>
          <t>VÄRMLANDS LÄN</t>
        </is>
      </c>
      <c r="E15249" t="inlineStr">
        <is>
          <t>ÅRJÄNG</t>
        </is>
      </c>
      <c r="G15249" t="n">
        <v>4.3</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26297-2024</t>
        </is>
      </c>
      <c r="B15250" s="1" t="n">
        <v>45468</v>
      </c>
      <c r="C15250" s="1" t="n">
        <v>45810</v>
      </c>
      <c r="D15250" t="inlineStr">
        <is>
          <t>VÄRMLANDS LÄN</t>
        </is>
      </c>
      <c r="E15250" t="inlineStr">
        <is>
          <t>HAGFORS</t>
        </is>
      </c>
      <c r="G15250" t="n">
        <v>3.4</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26265-2024</t>
        </is>
      </c>
      <c r="B15251" s="1" t="n">
        <v>45468</v>
      </c>
      <c r="C15251" s="1" t="n">
        <v>45810</v>
      </c>
      <c r="D15251" t="inlineStr">
        <is>
          <t>VÄRMLANDS LÄN</t>
        </is>
      </c>
      <c r="E15251" t="inlineStr">
        <is>
          <t>ÅRJÄNG</t>
        </is>
      </c>
      <c r="G15251" t="n">
        <v>3.4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26186-2024</t>
        </is>
      </c>
      <c r="B15252" s="1" t="n">
        <v>45468</v>
      </c>
      <c r="C15252" s="1" t="n">
        <v>45810</v>
      </c>
      <c r="D15252" t="inlineStr">
        <is>
          <t>VÄRMLANDS LÄN</t>
        </is>
      </c>
      <c r="E15252" t="inlineStr">
        <is>
          <t>TORSBY</t>
        </is>
      </c>
      <c r="F15252" t="inlineStr">
        <is>
          <t>Bergvik skog väst AB</t>
        </is>
      </c>
      <c r="G15252" t="n">
        <v>2.7</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26189-2024</t>
        </is>
      </c>
      <c r="B15253" s="1" t="n">
        <v>45468</v>
      </c>
      <c r="C15253" s="1" t="n">
        <v>45810</v>
      </c>
      <c r="D15253" t="inlineStr">
        <is>
          <t>VÄRMLANDS LÄN</t>
        </is>
      </c>
      <c r="E15253" t="inlineStr">
        <is>
          <t>STORFORS</t>
        </is>
      </c>
      <c r="F15253" t="inlineStr">
        <is>
          <t>Bergvik skog väst AB</t>
        </is>
      </c>
      <c r="G15253" t="n">
        <v>2</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26179-2024</t>
        </is>
      </c>
      <c r="B15254" s="1" t="n">
        <v>45468</v>
      </c>
      <c r="C15254" s="1" t="n">
        <v>45810</v>
      </c>
      <c r="D15254" t="inlineStr">
        <is>
          <t>VÄRMLANDS LÄN</t>
        </is>
      </c>
      <c r="E15254" t="inlineStr">
        <is>
          <t>FILIPSTAD</t>
        </is>
      </c>
      <c r="F15254" t="inlineStr">
        <is>
          <t>Bergvik skog väst AB</t>
        </is>
      </c>
      <c r="G15254" t="n">
        <v>1.4</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26175-2024</t>
        </is>
      </c>
      <c r="B15255" s="1" t="n">
        <v>45468</v>
      </c>
      <c r="C15255" s="1" t="n">
        <v>45810</v>
      </c>
      <c r="D15255" t="inlineStr">
        <is>
          <t>VÄRMLANDS LÄN</t>
        </is>
      </c>
      <c r="E15255" t="inlineStr">
        <is>
          <t>ARVIKA</t>
        </is>
      </c>
      <c r="F15255" t="inlineStr">
        <is>
          <t>Bergvik skog väst AB</t>
        </is>
      </c>
      <c r="G15255" t="n">
        <v>0.8</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26166-2024</t>
        </is>
      </c>
      <c r="B15256" s="1" t="n">
        <v>45468</v>
      </c>
      <c r="C15256" s="1" t="n">
        <v>45810</v>
      </c>
      <c r="D15256" t="inlineStr">
        <is>
          <t>VÄRMLANDS LÄN</t>
        </is>
      </c>
      <c r="E15256" t="inlineStr">
        <is>
          <t>TORSBY</t>
        </is>
      </c>
      <c r="G15256" t="n">
        <v>0.8</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26144-2024</t>
        </is>
      </c>
      <c r="B15257" s="1" t="n">
        <v>45468</v>
      </c>
      <c r="C15257" s="1" t="n">
        <v>45810</v>
      </c>
      <c r="D15257" t="inlineStr">
        <is>
          <t>VÄRMLANDS LÄN</t>
        </is>
      </c>
      <c r="E15257" t="inlineStr">
        <is>
          <t>SÄFFLE</t>
        </is>
      </c>
      <c r="F15257" t="inlineStr">
        <is>
          <t>Bergvik skog väst AB</t>
        </is>
      </c>
      <c r="G15257" t="n">
        <v>0.6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26134-2024</t>
        </is>
      </c>
      <c r="B15258" s="1" t="n">
        <v>45468</v>
      </c>
      <c r="C15258" s="1" t="n">
        <v>45810</v>
      </c>
      <c r="D15258" t="inlineStr">
        <is>
          <t>VÄRMLANDS LÄN</t>
        </is>
      </c>
      <c r="E15258" t="inlineStr">
        <is>
          <t>ARVIKA</t>
        </is>
      </c>
      <c r="F15258" t="inlineStr">
        <is>
          <t>Bergvik skog väst AB</t>
        </is>
      </c>
      <c r="G15258" t="n">
        <v>8.300000000000001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26124-2024</t>
        </is>
      </c>
      <c r="B15259" s="1" t="n">
        <v>45468</v>
      </c>
      <c r="C15259" s="1" t="n">
        <v>45810</v>
      </c>
      <c r="D15259" t="inlineStr">
        <is>
          <t>VÄRMLANDS LÄN</t>
        </is>
      </c>
      <c r="E15259" t="inlineStr">
        <is>
          <t>TORSBY</t>
        </is>
      </c>
      <c r="G15259" t="n">
        <v>5.7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26105-2024</t>
        </is>
      </c>
      <c r="B15260" s="1" t="n">
        <v>45468</v>
      </c>
      <c r="C15260" s="1" t="n">
        <v>45810</v>
      </c>
      <c r="D15260" t="inlineStr">
        <is>
          <t>VÄRMLANDS LÄN</t>
        </is>
      </c>
      <c r="E15260" t="inlineStr">
        <is>
          <t>ARVIKA</t>
        </is>
      </c>
      <c r="F15260" t="inlineStr">
        <is>
          <t>Bergvik skog väst AB</t>
        </is>
      </c>
      <c r="G15260" t="n">
        <v>28.7</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26063-2024</t>
        </is>
      </c>
      <c r="B15261" s="1" t="n">
        <v>45468</v>
      </c>
      <c r="C15261" s="1" t="n">
        <v>45810</v>
      </c>
      <c r="D15261" t="inlineStr">
        <is>
          <t>VÄRMLANDS LÄN</t>
        </is>
      </c>
      <c r="E15261" t="inlineStr">
        <is>
          <t>ARVIKA</t>
        </is>
      </c>
      <c r="F15261" t="inlineStr">
        <is>
          <t>Bergvik skog väst AB</t>
        </is>
      </c>
      <c r="G15261" t="n">
        <v>2.8</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26201-2024</t>
        </is>
      </c>
      <c r="B15262" s="1" t="n">
        <v>45468</v>
      </c>
      <c r="C15262" s="1" t="n">
        <v>45810</v>
      </c>
      <c r="D15262" t="inlineStr">
        <is>
          <t>VÄRMLANDS LÄN</t>
        </is>
      </c>
      <c r="E15262" t="inlineStr">
        <is>
          <t>STORFORS</t>
        </is>
      </c>
      <c r="F15262" t="inlineStr">
        <is>
          <t>Bergvik skog väst AB</t>
        </is>
      </c>
      <c r="G15262" t="n">
        <v>25.4</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26170-2024</t>
        </is>
      </c>
      <c r="B15263" s="1" t="n">
        <v>45468</v>
      </c>
      <c r="C15263" s="1" t="n">
        <v>45810</v>
      </c>
      <c r="D15263" t="inlineStr">
        <is>
          <t>VÄRMLANDS LÄN</t>
        </is>
      </c>
      <c r="E15263" t="inlineStr">
        <is>
          <t>FILIPSTAD</t>
        </is>
      </c>
      <c r="F15263" t="inlineStr">
        <is>
          <t>Bergvik skog väst AB</t>
        </is>
      </c>
      <c r="G15263" t="n">
        <v>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26165-2024</t>
        </is>
      </c>
      <c r="B15264" s="1" t="n">
        <v>45468</v>
      </c>
      <c r="C15264" s="1" t="n">
        <v>45810</v>
      </c>
      <c r="D15264" t="inlineStr">
        <is>
          <t>VÄRMLANDS LÄN</t>
        </is>
      </c>
      <c r="E15264" t="inlineStr">
        <is>
          <t>FILIPSTAD</t>
        </is>
      </c>
      <c r="F15264" t="inlineStr">
        <is>
          <t>Bergvik skog väst AB</t>
        </is>
      </c>
      <c r="G15264" t="n">
        <v>2.5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26060-2024</t>
        </is>
      </c>
      <c r="B15265" s="1" t="n">
        <v>45468</v>
      </c>
      <c r="C15265" s="1" t="n">
        <v>45810</v>
      </c>
      <c r="D15265" t="inlineStr">
        <is>
          <t>VÄRMLANDS LÄN</t>
        </is>
      </c>
      <c r="E15265" t="inlineStr">
        <is>
          <t>ARVIKA</t>
        </is>
      </c>
      <c r="F15265" t="inlineStr">
        <is>
          <t>Bergvik skog väst AB</t>
        </is>
      </c>
      <c r="G15265" t="n">
        <v>0.5</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26056-2024</t>
        </is>
      </c>
      <c r="B15266" s="1" t="n">
        <v>45468</v>
      </c>
      <c r="C15266" s="1" t="n">
        <v>45810</v>
      </c>
      <c r="D15266" t="inlineStr">
        <is>
          <t>VÄRMLANDS LÄN</t>
        </is>
      </c>
      <c r="E15266" t="inlineStr">
        <is>
          <t>ARVIKA</t>
        </is>
      </c>
      <c r="F15266" t="inlineStr">
        <is>
          <t>Bergvik skog väst AB</t>
        </is>
      </c>
      <c r="G15266" t="n">
        <v>1.7</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26086-2024</t>
        </is>
      </c>
      <c r="B15267" s="1" t="n">
        <v>45468</v>
      </c>
      <c r="C15267" s="1" t="n">
        <v>45810</v>
      </c>
      <c r="D15267" t="inlineStr">
        <is>
          <t>VÄRMLANDS LÄN</t>
        </is>
      </c>
      <c r="E15267" t="inlineStr">
        <is>
          <t>TORSBY</t>
        </is>
      </c>
      <c r="G15267" t="n">
        <v>1.1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26042-2024</t>
        </is>
      </c>
      <c r="B15268" s="1" t="n">
        <v>45468</v>
      </c>
      <c r="C15268" s="1" t="n">
        <v>45810</v>
      </c>
      <c r="D15268" t="inlineStr">
        <is>
          <t>VÄRMLANDS LÄN</t>
        </is>
      </c>
      <c r="E15268" t="inlineStr">
        <is>
          <t>TORSBY</t>
        </is>
      </c>
      <c r="G15268" t="n">
        <v>0.9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26408-2024</t>
        </is>
      </c>
      <c r="B15269" s="1" t="n">
        <v>45469</v>
      </c>
      <c r="C15269" s="1" t="n">
        <v>45810</v>
      </c>
      <c r="D15269" t="inlineStr">
        <is>
          <t>VÄRMLANDS LÄN</t>
        </is>
      </c>
      <c r="E15269" t="inlineStr">
        <is>
          <t>HAGFORS</t>
        </is>
      </c>
      <c r="F15269" t="inlineStr">
        <is>
          <t>Bergvik skog väst AB</t>
        </is>
      </c>
      <c r="G15269" t="n">
        <v>1.5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26428-2024</t>
        </is>
      </c>
      <c r="B15270" s="1" t="n">
        <v>45469</v>
      </c>
      <c r="C15270" s="1" t="n">
        <v>45810</v>
      </c>
      <c r="D15270" t="inlineStr">
        <is>
          <t>VÄRMLANDS LÄN</t>
        </is>
      </c>
      <c r="E15270" t="inlineStr">
        <is>
          <t>ARVIKA</t>
        </is>
      </c>
      <c r="G15270" t="n">
        <v>0.6</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26446-2024</t>
        </is>
      </c>
      <c r="B15271" s="1" t="n">
        <v>45469</v>
      </c>
      <c r="C15271" s="1" t="n">
        <v>45810</v>
      </c>
      <c r="D15271" t="inlineStr">
        <is>
          <t>VÄRMLANDS LÄN</t>
        </is>
      </c>
      <c r="E15271" t="inlineStr">
        <is>
          <t>ARVIKA</t>
        </is>
      </c>
      <c r="G15271" t="n">
        <v>6.5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26361-2024</t>
        </is>
      </c>
      <c r="B15272" s="1" t="n">
        <v>45469</v>
      </c>
      <c r="C15272" s="1" t="n">
        <v>45810</v>
      </c>
      <c r="D15272" t="inlineStr">
        <is>
          <t>VÄRMLANDS LÄN</t>
        </is>
      </c>
      <c r="E15272" t="inlineStr">
        <is>
          <t>EDA</t>
        </is>
      </c>
      <c r="G15272" t="n">
        <v>2.1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26406-2024</t>
        </is>
      </c>
      <c r="B15273" s="1" t="n">
        <v>45469</v>
      </c>
      <c r="C15273" s="1" t="n">
        <v>45810</v>
      </c>
      <c r="D15273" t="inlineStr">
        <is>
          <t>VÄRMLANDS LÄN</t>
        </is>
      </c>
      <c r="E15273" t="inlineStr">
        <is>
          <t>ARVIKA</t>
        </is>
      </c>
      <c r="G15273" t="n">
        <v>0.7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26510-2024</t>
        </is>
      </c>
      <c r="B15274" s="1" t="n">
        <v>45469</v>
      </c>
      <c r="C15274" s="1" t="n">
        <v>45810</v>
      </c>
      <c r="D15274" t="inlineStr">
        <is>
          <t>VÄRMLANDS LÄN</t>
        </is>
      </c>
      <c r="E15274" t="inlineStr">
        <is>
          <t>SUNNE</t>
        </is>
      </c>
      <c r="G15274" t="n">
        <v>4.1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26514-2024</t>
        </is>
      </c>
      <c r="B15275" s="1" t="n">
        <v>45469</v>
      </c>
      <c r="C15275" s="1" t="n">
        <v>45810</v>
      </c>
      <c r="D15275" t="inlineStr">
        <is>
          <t>VÄRMLANDS LÄN</t>
        </is>
      </c>
      <c r="E15275" t="inlineStr">
        <is>
          <t>HAGFORS</t>
        </is>
      </c>
      <c r="F15275" t="inlineStr">
        <is>
          <t>Bergvik skog väst AB</t>
        </is>
      </c>
      <c r="G15275" t="n">
        <v>6</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26634-2024</t>
        </is>
      </c>
      <c r="B15276" s="1" t="n">
        <v>45469</v>
      </c>
      <c r="C15276" s="1" t="n">
        <v>45810</v>
      </c>
      <c r="D15276" t="inlineStr">
        <is>
          <t>VÄRMLANDS LÄN</t>
        </is>
      </c>
      <c r="E15276" t="inlineStr">
        <is>
          <t>TORSBY</t>
        </is>
      </c>
      <c r="G15276" t="n">
        <v>1.7</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26504-2024</t>
        </is>
      </c>
      <c r="B15277" s="1" t="n">
        <v>45469</v>
      </c>
      <c r="C15277" s="1" t="n">
        <v>45810</v>
      </c>
      <c r="D15277" t="inlineStr">
        <is>
          <t>VÄRMLANDS LÄN</t>
        </is>
      </c>
      <c r="E15277" t="inlineStr">
        <is>
          <t>HAGFORS</t>
        </is>
      </c>
      <c r="F15277" t="inlineStr">
        <is>
          <t>Bergvik skog väst AB</t>
        </is>
      </c>
      <c r="G15277" t="n">
        <v>4.1</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26508-2024</t>
        </is>
      </c>
      <c r="B15278" s="1" t="n">
        <v>45469</v>
      </c>
      <c r="C15278" s="1" t="n">
        <v>45810</v>
      </c>
      <c r="D15278" t="inlineStr">
        <is>
          <t>VÄRMLANDS LÄN</t>
        </is>
      </c>
      <c r="E15278" t="inlineStr">
        <is>
          <t>ARVIKA</t>
        </is>
      </c>
      <c r="F15278" t="inlineStr">
        <is>
          <t>Bergvik skog väst AB</t>
        </is>
      </c>
      <c r="G15278" t="n">
        <v>1.5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26599-2024</t>
        </is>
      </c>
      <c r="B15279" s="1" t="n">
        <v>45469</v>
      </c>
      <c r="C15279" s="1" t="n">
        <v>45810</v>
      </c>
      <c r="D15279" t="inlineStr">
        <is>
          <t>VÄRMLANDS LÄN</t>
        </is>
      </c>
      <c r="E15279" t="inlineStr">
        <is>
          <t>FILIPSTAD</t>
        </is>
      </c>
      <c r="G15279" t="n">
        <v>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26619-2024</t>
        </is>
      </c>
      <c r="B15280" s="1" t="n">
        <v>45469</v>
      </c>
      <c r="C15280" s="1" t="n">
        <v>45810</v>
      </c>
      <c r="D15280" t="inlineStr">
        <is>
          <t>VÄRMLANDS LÄN</t>
        </is>
      </c>
      <c r="E15280" t="inlineStr">
        <is>
          <t>EDA</t>
        </is>
      </c>
      <c r="G15280" t="n">
        <v>7.6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26615-2024</t>
        </is>
      </c>
      <c r="B15281" s="1" t="n">
        <v>45469</v>
      </c>
      <c r="C15281" s="1" t="n">
        <v>45810</v>
      </c>
      <c r="D15281" t="inlineStr">
        <is>
          <t>VÄRMLANDS LÄN</t>
        </is>
      </c>
      <c r="E15281" t="inlineStr">
        <is>
          <t>HAGFORS</t>
        </is>
      </c>
      <c r="G15281" t="n">
        <v>1.1</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26348-2024</t>
        </is>
      </c>
      <c r="B15282" s="1" t="n">
        <v>45469</v>
      </c>
      <c r="C15282" s="1" t="n">
        <v>45810</v>
      </c>
      <c r="D15282" t="inlineStr">
        <is>
          <t>VÄRMLANDS LÄN</t>
        </is>
      </c>
      <c r="E15282" t="inlineStr">
        <is>
          <t>HAGFORS</t>
        </is>
      </c>
      <c r="F15282" t="inlineStr">
        <is>
          <t>Bergvik skog väst AB</t>
        </is>
      </c>
      <c r="G15282" t="n">
        <v>9.300000000000001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26742-2024</t>
        </is>
      </c>
      <c r="B15283" s="1" t="n">
        <v>45469</v>
      </c>
      <c r="C15283" s="1" t="n">
        <v>45810</v>
      </c>
      <c r="D15283" t="inlineStr">
        <is>
          <t>VÄRMLANDS LÄN</t>
        </is>
      </c>
      <c r="E15283" t="inlineStr">
        <is>
          <t>EDA</t>
        </is>
      </c>
      <c r="G15283" t="n">
        <v>4.4</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26629-2024</t>
        </is>
      </c>
      <c r="B15284" s="1" t="n">
        <v>45469</v>
      </c>
      <c r="C15284" s="1" t="n">
        <v>45810</v>
      </c>
      <c r="D15284" t="inlineStr">
        <is>
          <t>VÄRMLANDS LÄN</t>
        </is>
      </c>
      <c r="E15284" t="inlineStr">
        <is>
          <t>HAGFORS</t>
        </is>
      </c>
      <c r="G15284" t="n">
        <v>2.4</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26513-2024</t>
        </is>
      </c>
      <c r="B15285" s="1" t="n">
        <v>45469</v>
      </c>
      <c r="C15285" s="1" t="n">
        <v>45810</v>
      </c>
      <c r="D15285" t="inlineStr">
        <is>
          <t>VÄRMLANDS LÄN</t>
        </is>
      </c>
      <c r="E15285" t="inlineStr">
        <is>
          <t>SUNNE</t>
        </is>
      </c>
      <c r="G15285" t="n">
        <v>1.3</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26354-2024</t>
        </is>
      </c>
      <c r="B15286" s="1" t="n">
        <v>45469</v>
      </c>
      <c r="C15286" s="1" t="n">
        <v>45810</v>
      </c>
      <c r="D15286" t="inlineStr">
        <is>
          <t>VÄRMLANDS LÄN</t>
        </is>
      </c>
      <c r="E15286" t="inlineStr">
        <is>
          <t>ARVIKA</t>
        </is>
      </c>
      <c r="F15286" t="inlineStr">
        <is>
          <t>Bergvik skog väst AB</t>
        </is>
      </c>
      <c r="G15286" t="n">
        <v>2.5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26340-2024</t>
        </is>
      </c>
      <c r="B15287" s="1" t="n">
        <v>45469</v>
      </c>
      <c r="C15287" s="1" t="n">
        <v>45810</v>
      </c>
      <c r="D15287" t="inlineStr">
        <is>
          <t>VÄRMLANDS LÄN</t>
        </is>
      </c>
      <c r="E15287" t="inlineStr">
        <is>
          <t>GRUMS</t>
        </is>
      </c>
      <c r="G15287" t="n">
        <v>3.5</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26556-2024</t>
        </is>
      </c>
      <c r="B15288" s="1" t="n">
        <v>45469</v>
      </c>
      <c r="C15288" s="1" t="n">
        <v>45810</v>
      </c>
      <c r="D15288" t="inlineStr">
        <is>
          <t>VÄRMLANDS LÄN</t>
        </is>
      </c>
      <c r="E15288" t="inlineStr">
        <is>
          <t>SÄFFLE</t>
        </is>
      </c>
      <c r="G15288" t="n">
        <v>0.7</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26568-2024</t>
        </is>
      </c>
      <c r="B15289" s="1" t="n">
        <v>45469</v>
      </c>
      <c r="C15289" s="1" t="n">
        <v>45810</v>
      </c>
      <c r="D15289" t="inlineStr">
        <is>
          <t>VÄRMLANDS LÄN</t>
        </is>
      </c>
      <c r="E15289" t="inlineStr">
        <is>
          <t>SUNNE</t>
        </is>
      </c>
      <c r="G15289" t="n">
        <v>3.7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26628-2024</t>
        </is>
      </c>
      <c r="B15290" s="1" t="n">
        <v>45469</v>
      </c>
      <c r="C15290" s="1" t="n">
        <v>45810</v>
      </c>
      <c r="D15290" t="inlineStr">
        <is>
          <t>VÄRMLANDS LÄN</t>
        </is>
      </c>
      <c r="E15290" t="inlineStr">
        <is>
          <t>HAGFORS</t>
        </is>
      </c>
      <c r="G15290" t="n">
        <v>1.1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26866-2024</t>
        </is>
      </c>
      <c r="B15291" s="1" t="n">
        <v>45470</v>
      </c>
      <c r="C15291" s="1" t="n">
        <v>45810</v>
      </c>
      <c r="D15291" t="inlineStr">
        <is>
          <t>VÄRMLANDS LÄN</t>
        </is>
      </c>
      <c r="E15291" t="inlineStr">
        <is>
          <t>ÅRJÄNG</t>
        </is>
      </c>
      <c r="F15291" t="inlineStr">
        <is>
          <t>Kyrkan</t>
        </is>
      </c>
      <c r="G15291" t="n">
        <v>3.3</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26728-2024</t>
        </is>
      </c>
      <c r="B15292" s="1" t="n">
        <v>45470</v>
      </c>
      <c r="C15292" s="1" t="n">
        <v>45810</v>
      </c>
      <c r="D15292" t="inlineStr">
        <is>
          <t>VÄRMLANDS LÄN</t>
        </is>
      </c>
      <c r="E15292" t="inlineStr">
        <is>
          <t>HAGFORS</t>
        </is>
      </c>
      <c r="F15292" t="inlineStr">
        <is>
          <t>Bergvik skog väst AB</t>
        </is>
      </c>
      <c r="G15292" t="n">
        <v>2.4</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26676-2024</t>
        </is>
      </c>
      <c r="B15293" s="1" t="n">
        <v>45470</v>
      </c>
      <c r="C15293" s="1" t="n">
        <v>45810</v>
      </c>
      <c r="D15293" t="inlineStr">
        <is>
          <t>VÄRMLANDS LÄN</t>
        </is>
      </c>
      <c r="E15293" t="inlineStr">
        <is>
          <t>SÄFFLE</t>
        </is>
      </c>
      <c r="G15293" t="n">
        <v>6.1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26880-2024</t>
        </is>
      </c>
      <c r="B15294" s="1" t="n">
        <v>45470</v>
      </c>
      <c r="C15294" s="1" t="n">
        <v>45810</v>
      </c>
      <c r="D15294" t="inlineStr">
        <is>
          <t>VÄRMLANDS LÄN</t>
        </is>
      </c>
      <c r="E15294" t="inlineStr">
        <is>
          <t>FILIPSTAD</t>
        </is>
      </c>
      <c r="F15294" t="inlineStr">
        <is>
          <t>Bergvik skog väst AB</t>
        </is>
      </c>
      <c r="G15294" t="n">
        <v>18.3</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26876-2024</t>
        </is>
      </c>
      <c r="B15295" s="1" t="n">
        <v>45470</v>
      </c>
      <c r="C15295" s="1" t="n">
        <v>45810</v>
      </c>
      <c r="D15295" t="inlineStr">
        <is>
          <t>VÄRMLANDS LÄN</t>
        </is>
      </c>
      <c r="E15295" t="inlineStr">
        <is>
          <t>TORSBY</t>
        </is>
      </c>
      <c r="G15295" t="n">
        <v>3.9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26872-2024</t>
        </is>
      </c>
      <c r="B15296" s="1" t="n">
        <v>45470</v>
      </c>
      <c r="C15296" s="1" t="n">
        <v>45810</v>
      </c>
      <c r="D15296" t="inlineStr">
        <is>
          <t>VÄRMLANDS LÄN</t>
        </is>
      </c>
      <c r="E15296" t="inlineStr">
        <is>
          <t>SUNNE</t>
        </is>
      </c>
      <c r="G15296" t="n">
        <v>2.7</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26816-2024</t>
        </is>
      </c>
      <c r="B15297" s="1" t="n">
        <v>45470</v>
      </c>
      <c r="C15297" s="1" t="n">
        <v>45810</v>
      </c>
      <c r="D15297" t="inlineStr">
        <is>
          <t>VÄRMLANDS LÄN</t>
        </is>
      </c>
      <c r="E15297" t="inlineStr">
        <is>
          <t>FILIPSTAD</t>
        </is>
      </c>
      <c r="F15297" t="inlineStr">
        <is>
          <t>Bergvik skog väst AB</t>
        </is>
      </c>
      <c r="G15297" t="n">
        <v>7.2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26887-2024</t>
        </is>
      </c>
      <c r="B15298" s="1" t="n">
        <v>45470</v>
      </c>
      <c r="C15298" s="1" t="n">
        <v>45810</v>
      </c>
      <c r="D15298" t="inlineStr">
        <is>
          <t>VÄRMLANDS LÄN</t>
        </is>
      </c>
      <c r="E15298" t="inlineStr">
        <is>
          <t>TORSBY</t>
        </is>
      </c>
      <c r="G15298" t="n">
        <v>2.9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26863-2024</t>
        </is>
      </c>
      <c r="B15299" s="1" t="n">
        <v>45470</v>
      </c>
      <c r="C15299" s="1" t="n">
        <v>45810</v>
      </c>
      <c r="D15299" t="inlineStr">
        <is>
          <t>VÄRMLANDS LÄN</t>
        </is>
      </c>
      <c r="E15299" t="inlineStr">
        <is>
          <t>ARVIKA</t>
        </is>
      </c>
      <c r="G15299" t="n">
        <v>0.9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26859-2024</t>
        </is>
      </c>
      <c r="B15300" s="1" t="n">
        <v>45470</v>
      </c>
      <c r="C15300" s="1" t="n">
        <v>45810</v>
      </c>
      <c r="D15300" t="inlineStr">
        <is>
          <t>VÄRMLANDS LÄN</t>
        </is>
      </c>
      <c r="E15300" t="inlineStr">
        <is>
          <t>HAGFORS</t>
        </is>
      </c>
      <c r="G15300" t="n">
        <v>2.7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26843-2024</t>
        </is>
      </c>
      <c r="B15301" s="1" t="n">
        <v>45470</v>
      </c>
      <c r="C15301" s="1" t="n">
        <v>45810</v>
      </c>
      <c r="D15301" t="inlineStr">
        <is>
          <t>VÄRMLANDS LÄN</t>
        </is>
      </c>
      <c r="E15301" t="inlineStr">
        <is>
          <t>FILIPSTAD</t>
        </is>
      </c>
      <c r="G15301" t="n">
        <v>3.8</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26811-2024</t>
        </is>
      </c>
      <c r="B15302" s="1" t="n">
        <v>45470</v>
      </c>
      <c r="C15302" s="1" t="n">
        <v>45810</v>
      </c>
      <c r="D15302" t="inlineStr">
        <is>
          <t>VÄRMLANDS LÄN</t>
        </is>
      </c>
      <c r="E15302" t="inlineStr">
        <is>
          <t>FILIPSTAD</t>
        </is>
      </c>
      <c r="F15302" t="inlineStr">
        <is>
          <t>Bergvik skog väst AB</t>
        </is>
      </c>
      <c r="G15302" t="n">
        <v>9.300000000000001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26807-2024</t>
        </is>
      </c>
      <c r="B15303" s="1" t="n">
        <v>45470</v>
      </c>
      <c r="C15303" s="1" t="n">
        <v>45810</v>
      </c>
      <c r="D15303" t="inlineStr">
        <is>
          <t>VÄRMLANDS LÄN</t>
        </is>
      </c>
      <c r="E15303" t="inlineStr">
        <is>
          <t>TORSBY</t>
        </is>
      </c>
      <c r="F15303" t="inlineStr">
        <is>
          <t>Bergvik skog väst AB</t>
        </is>
      </c>
      <c r="G15303" t="n">
        <v>9</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26799-2024</t>
        </is>
      </c>
      <c r="B15304" s="1" t="n">
        <v>45470</v>
      </c>
      <c r="C15304" s="1" t="n">
        <v>45810</v>
      </c>
      <c r="D15304" t="inlineStr">
        <is>
          <t>VÄRMLANDS LÄN</t>
        </is>
      </c>
      <c r="E15304" t="inlineStr">
        <is>
          <t>TORSBY</t>
        </is>
      </c>
      <c r="G15304" t="n">
        <v>0.9</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26783-2024</t>
        </is>
      </c>
      <c r="B15305" s="1" t="n">
        <v>45470</v>
      </c>
      <c r="C15305" s="1" t="n">
        <v>45810</v>
      </c>
      <c r="D15305" t="inlineStr">
        <is>
          <t>VÄRMLANDS LÄN</t>
        </is>
      </c>
      <c r="E15305" t="inlineStr">
        <is>
          <t>ÅRJÄNG</t>
        </is>
      </c>
      <c r="F15305" t="inlineStr">
        <is>
          <t>Övriga Aktiebolag</t>
        </is>
      </c>
      <c r="G15305" t="n">
        <v>1.6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26677-2024</t>
        </is>
      </c>
      <c r="B15306" s="1" t="n">
        <v>45470</v>
      </c>
      <c r="C15306" s="1" t="n">
        <v>45810</v>
      </c>
      <c r="D15306" t="inlineStr">
        <is>
          <t>VÄRMLANDS LÄN</t>
        </is>
      </c>
      <c r="E15306" t="inlineStr">
        <is>
          <t>SÄFFLE</t>
        </is>
      </c>
      <c r="G15306" t="n">
        <v>4.5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26672-2024</t>
        </is>
      </c>
      <c r="B15307" s="1" t="n">
        <v>45470</v>
      </c>
      <c r="C15307" s="1" t="n">
        <v>45810</v>
      </c>
      <c r="D15307" t="inlineStr">
        <is>
          <t>VÄRMLANDS LÄN</t>
        </is>
      </c>
      <c r="E15307" t="inlineStr">
        <is>
          <t>SUNNE</t>
        </is>
      </c>
      <c r="G15307" t="n">
        <v>1.9</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26905-2024</t>
        </is>
      </c>
      <c r="B15308" s="1" t="n">
        <v>45470</v>
      </c>
      <c r="C15308" s="1" t="n">
        <v>45810</v>
      </c>
      <c r="D15308" t="inlineStr">
        <is>
          <t>VÄRMLANDS LÄN</t>
        </is>
      </c>
      <c r="E15308" t="inlineStr">
        <is>
          <t>KRISTINEHAMN</t>
        </is>
      </c>
      <c r="G15308" t="n">
        <v>3.3</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26873-2024</t>
        </is>
      </c>
      <c r="B15309" s="1" t="n">
        <v>45470</v>
      </c>
      <c r="C15309" s="1" t="n">
        <v>45810</v>
      </c>
      <c r="D15309" t="inlineStr">
        <is>
          <t>VÄRMLANDS LÄN</t>
        </is>
      </c>
      <c r="E15309" t="inlineStr">
        <is>
          <t>STORFORS</t>
        </is>
      </c>
      <c r="F15309" t="inlineStr">
        <is>
          <t>Kyrkan</t>
        </is>
      </c>
      <c r="G15309" t="n">
        <v>3.5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26869-2024</t>
        </is>
      </c>
      <c r="B15310" s="1" t="n">
        <v>45470</v>
      </c>
      <c r="C15310" s="1" t="n">
        <v>45810</v>
      </c>
      <c r="D15310" t="inlineStr">
        <is>
          <t>VÄRMLANDS LÄN</t>
        </is>
      </c>
      <c r="E15310" t="inlineStr">
        <is>
          <t>FORSHAGA</t>
        </is>
      </c>
      <c r="F15310" t="inlineStr">
        <is>
          <t>Bergvik skog väst AB</t>
        </is>
      </c>
      <c r="G15310" t="n">
        <v>2.3</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26865-2024</t>
        </is>
      </c>
      <c r="B15311" s="1" t="n">
        <v>45470</v>
      </c>
      <c r="C15311" s="1" t="n">
        <v>45810</v>
      </c>
      <c r="D15311" t="inlineStr">
        <is>
          <t>VÄRMLANDS LÄN</t>
        </is>
      </c>
      <c r="E15311" t="inlineStr">
        <is>
          <t>ÅRJÄNG</t>
        </is>
      </c>
      <c r="F15311" t="inlineStr">
        <is>
          <t>Kyrkan</t>
        </is>
      </c>
      <c r="G15311" t="n">
        <v>3.3</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26833-2024</t>
        </is>
      </c>
      <c r="B15312" s="1" t="n">
        <v>45470</v>
      </c>
      <c r="C15312" s="1" t="n">
        <v>45810</v>
      </c>
      <c r="D15312" t="inlineStr">
        <is>
          <t>VÄRMLANDS LÄN</t>
        </is>
      </c>
      <c r="E15312" t="inlineStr">
        <is>
          <t>ÅRJÄNG</t>
        </is>
      </c>
      <c r="F15312" t="inlineStr">
        <is>
          <t>Kyrkan</t>
        </is>
      </c>
      <c r="G15312" t="n">
        <v>7.9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26809-2024</t>
        </is>
      </c>
      <c r="B15313" s="1" t="n">
        <v>45470</v>
      </c>
      <c r="C15313" s="1" t="n">
        <v>45810</v>
      </c>
      <c r="D15313" t="inlineStr">
        <is>
          <t>VÄRMLANDS LÄN</t>
        </is>
      </c>
      <c r="E15313" t="inlineStr">
        <is>
          <t>FILIPSTAD</t>
        </is>
      </c>
      <c r="F15313" t="inlineStr">
        <is>
          <t>Bergvik skog väst AB</t>
        </is>
      </c>
      <c r="G15313" t="n">
        <v>2.5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26801-2024</t>
        </is>
      </c>
      <c r="B15314" s="1" t="n">
        <v>45470</v>
      </c>
      <c r="C15314" s="1" t="n">
        <v>45810</v>
      </c>
      <c r="D15314" t="inlineStr">
        <is>
          <t>VÄRMLANDS LÄN</t>
        </is>
      </c>
      <c r="E15314" t="inlineStr">
        <is>
          <t>SÄFFLE</t>
        </is>
      </c>
      <c r="F15314" t="inlineStr">
        <is>
          <t>Kommuner</t>
        </is>
      </c>
      <c r="G15314" t="n">
        <v>6.1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27045-2024</t>
        </is>
      </c>
      <c r="B15315" s="1" t="n">
        <v>45471</v>
      </c>
      <c r="C15315" s="1" t="n">
        <v>45810</v>
      </c>
      <c r="D15315" t="inlineStr">
        <is>
          <t>VÄRMLANDS LÄN</t>
        </is>
      </c>
      <c r="E15315" t="inlineStr">
        <is>
          <t>TORSBY</t>
        </is>
      </c>
      <c r="G15315" t="n">
        <v>2.2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27061-2024</t>
        </is>
      </c>
      <c r="B15316" s="1" t="n">
        <v>45471</v>
      </c>
      <c r="C15316" s="1" t="n">
        <v>45810</v>
      </c>
      <c r="D15316" t="inlineStr">
        <is>
          <t>VÄRMLANDS LÄN</t>
        </is>
      </c>
      <c r="E15316" t="inlineStr">
        <is>
          <t>SUNNE</t>
        </is>
      </c>
      <c r="G15316" t="n">
        <v>1.9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27069-2024</t>
        </is>
      </c>
      <c r="B15317" s="1" t="n">
        <v>45471</v>
      </c>
      <c r="C15317" s="1" t="n">
        <v>45810</v>
      </c>
      <c r="D15317" t="inlineStr">
        <is>
          <t>VÄRMLANDS LÄN</t>
        </is>
      </c>
      <c r="E15317" t="inlineStr">
        <is>
          <t>MUNKFORS</t>
        </is>
      </c>
      <c r="G15317" t="n">
        <v>2.9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26986-2024</t>
        </is>
      </c>
      <c r="B15318" s="1" t="n">
        <v>45471</v>
      </c>
      <c r="C15318" s="1" t="n">
        <v>45810</v>
      </c>
      <c r="D15318" t="inlineStr">
        <is>
          <t>VÄRMLANDS LÄN</t>
        </is>
      </c>
      <c r="E15318" t="inlineStr">
        <is>
          <t>ÅRJÄNG</t>
        </is>
      </c>
      <c r="F15318" t="inlineStr">
        <is>
          <t>Kyrkan</t>
        </is>
      </c>
      <c r="G15318" t="n">
        <v>9.1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27106-2024</t>
        </is>
      </c>
      <c r="B15319" s="1" t="n">
        <v>45471</v>
      </c>
      <c r="C15319" s="1" t="n">
        <v>45810</v>
      </c>
      <c r="D15319" t="inlineStr">
        <is>
          <t>VÄRMLANDS LÄN</t>
        </is>
      </c>
      <c r="E15319" t="inlineStr">
        <is>
          <t>HAGFORS</t>
        </is>
      </c>
      <c r="F15319" t="inlineStr">
        <is>
          <t>Bergvik skog väst AB</t>
        </is>
      </c>
      <c r="G15319" t="n">
        <v>9.199999999999999</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27122-2024</t>
        </is>
      </c>
      <c r="B15320" s="1" t="n">
        <v>45471</v>
      </c>
      <c r="C15320" s="1" t="n">
        <v>45810</v>
      </c>
      <c r="D15320" t="inlineStr">
        <is>
          <t>VÄRMLANDS LÄN</t>
        </is>
      </c>
      <c r="E15320" t="inlineStr">
        <is>
          <t>STORFORS</t>
        </is>
      </c>
      <c r="G15320" t="n">
        <v>1.7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27129-2024</t>
        </is>
      </c>
      <c r="B15321" s="1" t="n">
        <v>45471</v>
      </c>
      <c r="C15321" s="1" t="n">
        <v>45810</v>
      </c>
      <c r="D15321" t="inlineStr">
        <is>
          <t>VÄRMLANDS LÄN</t>
        </is>
      </c>
      <c r="E15321" t="inlineStr">
        <is>
          <t>FILIPSTAD</t>
        </is>
      </c>
      <c r="F15321" t="inlineStr">
        <is>
          <t>Bergvik skog väst AB</t>
        </is>
      </c>
      <c r="G15321" t="n">
        <v>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27170-2024</t>
        </is>
      </c>
      <c r="B15322" s="1" t="n">
        <v>45471</v>
      </c>
      <c r="C15322" s="1" t="n">
        <v>45810</v>
      </c>
      <c r="D15322" t="inlineStr">
        <is>
          <t>VÄRMLANDS LÄN</t>
        </is>
      </c>
      <c r="E15322" t="inlineStr">
        <is>
          <t>ARVIKA</t>
        </is>
      </c>
      <c r="F15322" t="inlineStr">
        <is>
          <t>Bergvik skog väst AB</t>
        </is>
      </c>
      <c r="G15322" t="n">
        <v>0.5</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27174-2024</t>
        </is>
      </c>
      <c r="B15323" s="1" t="n">
        <v>45471</v>
      </c>
      <c r="C15323" s="1" t="n">
        <v>45810</v>
      </c>
      <c r="D15323" t="inlineStr">
        <is>
          <t>VÄRMLANDS LÄN</t>
        </is>
      </c>
      <c r="E15323" t="inlineStr">
        <is>
          <t>ÅRJÄNG</t>
        </is>
      </c>
      <c r="G15323" t="n">
        <v>1.5</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27182-2024</t>
        </is>
      </c>
      <c r="B15324" s="1" t="n">
        <v>45471</v>
      </c>
      <c r="C15324" s="1" t="n">
        <v>45810</v>
      </c>
      <c r="D15324" t="inlineStr">
        <is>
          <t>VÄRMLANDS LÄN</t>
        </is>
      </c>
      <c r="E15324" t="inlineStr">
        <is>
          <t>SUNNE</t>
        </is>
      </c>
      <c r="F15324" t="inlineStr">
        <is>
          <t>Bergvik skog väst AB</t>
        </is>
      </c>
      <c r="G15324" t="n">
        <v>3.5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27138-2024</t>
        </is>
      </c>
      <c r="B15325" s="1" t="n">
        <v>45471</v>
      </c>
      <c r="C15325" s="1" t="n">
        <v>45810</v>
      </c>
      <c r="D15325" t="inlineStr">
        <is>
          <t>VÄRMLANDS LÄN</t>
        </is>
      </c>
      <c r="E15325" t="inlineStr">
        <is>
          <t>ÅRJÄNG</t>
        </is>
      </c>
      <c r="G15325" t="n">
        <v>5.7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27155-2024</t>
        </is>
      </c>
      <c r="B15326" s="1" t="n">
        <v>45471</v>
      </c>
      <c r="C15326" s="1" t="n">
        <v>45810</v>
      </c>
      <c r="D15326" t="inlineStr">
        <is>
          <t>VÄRMLANDS LÄN</t>
        </is>
      </c>
      <c r="E15326" t="inlineStr">
        <is>
          <t>ÅRJÄNG</t>
        </is>
      </c>
      <c r="G15326" t="n">
        <v>2.5</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27159-2024</t>
        </is>
      </c>
      <c r="B15327" s="1" t="n">
        <v>45471</v>
      </c>
      <c r="C15327" s="1" t="n">
        <v>45810</v>
      </c>
      <c r="D15327" t="inlineStr">
        <is>
          <t>VÄRMLANDS LÄN</t>
        </is>
      </c>
      <c r="E15327" t="inlineStr">
        <is>
          <t>SUNNE</t>
        </is>
      </c>
      <c r="F15327" t="inlineStr">
        <is>
          <t>Bergvik skog väst AB</t>
        </is>
      </c>
      <c r="G15327" t="n">
        <v>2.6</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27187-2024</t>
        </is>
      </c>
      <c r="B15328" s="1" t="n">
        <v>45471</v>
      </c>
      <c r="C15328" s="1" t="n">
        <v>45810</v>
      </c>
      <c r="D15328" t="inlineStr">
        <is>
          <t>VÄRMLANDS LÄN</t>
        </is>
      </c>
      <c r="E15328" t="inlineStr">
        <is>
          <t>TORSBY</t>
        </is>
      </c>
      <c r="G15328" t="n">
        <v>1.9</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27055-2024</t>
        </is>
      </c>
      <c r="B15329" s="1" t="n">
        <v>45471</v>
      </c>
      <c r="C15329" s="1" t="n">
        <v>45810</v>
      </c>
      <c r="D15329" t="inlineStr">
        <is>
          <t>VÄRMLANDS LÄN</t>
        </is>
      </c>
      <c r="E15329" t="inlineStr">
        <is>
          <t>KRISTINEHAMN</t>
        </is>
      </c>
      <c r="G15329" t="n">
        <v>1.8</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27107-2024</t>
        </is>
      </c>
      <c r="B15330" s="1" t="n">
        <v>45471</v>
      </c>
      <c r="C15330" s="1" t="n">
        <v>45810</v>
      </c>
      <c r="D15330" t="inlineStr">
        <is>
          <t>VÄRMLANDS LÄN</t>
        </is>
      </c>
      <c r="E15330" t="inlineStr">
        <is>
          <t>FILIPSTAD</t>
        </is>
      </c>
      <c r="F15330" t="inlineStr">
        <is>
          <t>Bergvik skog väst AB</t>
        </is>
      </c>
      <c r="G15330" t="n">
        <v>0.7</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27111-2024</t>
        </is>
      </c>
      <c r="B15331" s="1" t="n">
        <v>45471</v>
      </c>
      <c r="C15331" s="1" t="n">
        <v>45810</v>
      </c>
      <c r="D15331" t="inlineStr">
        <is>
          <t>VÄRMLANDS LÄN</t>
        </is>
      </c>
      <c r="E15331" t="inlineStr">
        <is>
          <t>TORSBY</t>
        </is>
      </c>
      <c r="G15331" t="n">
        <v>1.3</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27115-2024</t>
        </is>
      </c>
      <c r="B15332" s="1" t="n">
        <v>45471</v>
      </c>
      <c r="C15332" s="1" t="n">
        <v>45810</v>
      </c>
      <c r="D15332" t="inlineStr">
        <is>
          <t>VÄRMLANDS LÄN</t>
        </is>
      </c>
      <c r="E15332" t="inlineStr">
        <is>
          <t>TORSBY</t>
        </is>
      </c>
      <c r="G15332" t="n">
        <v>1.2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27119-2024</t>
        </is>
      </c>
      <c r="B15333" s="1" t="n">
        <v>45471</v>
      </c>
      <c r="C15333" s="1" t="n">
        <v>45810</v>
      </c>
      <c r="D15333" t="inlineStr">
        <is>
          <t>VÄRMLANDS LÄN</t>
        </is>
      </c>
      <c r="E15333" t="inlineStr">
        <is>
          <t>ARVIKA</t>
        </is>
      </c>
      <c r="F15333" t="inlineStr">
        <is>
          <t>Bergvik skog väst AB</t>
        </is>
      </c>
      <c r="G15333" t="n">
        <v>0.8</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27123-2024</t>
        </is>
      </c>
      <c r="B15334" s="1" t="n">
        <v>45471</v>
      </c>
      <c r="C15334" s="1" t="n">
        <v>45810</v>
      </c>
      <c r="D15334" t="inlineStr">
        <is>
          <t>VÄRMLANDS LÄN</t>
        </is>
      </c>
      <c r="E15334" t="inlineStr">
        <is>
          <t>ARVIKA</t>
        </is>
      </c>
      <c r="F15334" t="inlineStr">
        <is>
          <t>Bergvik skog väst AB</t>
        </is>
      </c>
      <c r="G15334" t="n">
        <v>5.6</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27127-2024</t>
        </is>
      </c>
      <c r="B15335" s="1" t="n">
        <v>45471</v>
      </c>
      <c r="C15335" s="1" t="n">
        <v>45810</v>
      </c>
      <c r="D15335" t="inlineStr">
        <is>
          <t>VÄRMLANDS LÄN</t>
        </is>
      </c>
      <c r="E15335" t="inlineStr">
        <is>
          <t>STORFORS</t>
        </is>
      </c>
      <c r="G15335" t="n">
        <v>1.9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27139-2024</t>
        </is>
      </c>
      <c r="B15336" s="1" t="n">
        <v>45471</v>
      </c>
      <c r="C15336" s="1" t="n">
        <v>45810</v>
      </c>
      <c r="D15336" t="inlineStr">
        <is>
          <t>VÄRMLANDS LÄN</t>
        </is>
      </c>
      <c r="E15336" t="inlineStr">
        <is>
          <t>FILIPSTAD</t>
        </is>
      </c>
      <c r="F15336" t="inlineStr">
        <is>
          <t>Bergvik skog väst AB</t>
        </is>
      </c>
      <c r="G15336" t="n">
        <v>2.5</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27180-2024</t>
        </is>
      </c>
      <c r="B15337" s="1" t="n">
        <v>45471</v>
      </c>
      <c r="C15337" s="1" t="n">
        <v>45810</v>
      </c>
      <c r="D15337" t="inlineStr">
        <is>
          <t>VÄRMLANDS LÄN</t>
        </is>
      </c>
      <c r="E15337" t="inlineStr">
        <is>
          <t>ÅRJÄNG</t>
        </is>
      </c>
      <c r="G15337" t="n">
        <v>4.6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27184-2024</t>
        </is>
      </c>
      <c r="B15338" s="1" t="n">
        <v>45471</v>
      </c>
      <c r="C15338" s="1" t="n">
        <v>45810</v>
      </c>
      <c r="D15338" t="inlineStr">
        <is>
          <t>VÄRMLANDS LÄN</t>
        </is>
      </c>
      <c r="E15338" t="inlineStr">
        <is>
          <t>ÅRJÄNG</t>
        </is>
      </c>
      <c r="G15338" t="n">
        <v>4.8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27201-2024</t>
        </is>
      </c>
      <c r="B15339" s="1" t="n">
        <v>45471</v>
      </c>
      <c r="C15339" s="1" t="n">
        <v>45810</v>
      </c>
      <c r="D15339" t="inlineStr">
        <is>
          <t>VÄRMLANDS LÄN</t>
        </is>
      </c>
      <c r="E15339" t="inlineStr">
        <is>
          <t>KARLSTAD</t>
        </is>
      </c>
      <c r="G15339" t="n">
        <v>8.5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27116-2024</t>
        </is>
      </c>
      <c r="B15340" s="1" t="n">
        <v>45471</v>
      </c>
      <c r="C15340" s="1" t="n">
        <v>45810</v>
      </c>
      <c r="D15340" t="inlineStr">
        <is>
          <t>VÄRMLANDS LÄN</t>
        </is>
      </c>
      <c r="E15340" t="inlineStr">
        <is>
          <t>TORSBY</t>
        </is>
      </c>
      <c r="G15340" t="n">
        <v>0.3</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27120-2024</t>
        </is>
      </c>
      <c r="B15341" s="1" t="n">
        <v>45471</v>
      </c>
      <c r="C15341" s="1" t="n">
        <v>45810</v>
      </c>
      <c r="D15341" t="inlineStr">
        <is>
          <t>VÄRMLANDS LÄN</t>
        </is>
      </c>
      <c r="E15341" t="inlineStr">
        <is>
          <t>TORSBY</t>
        </is>
      </c>
      <c r="G15341" t="n">
        <v>0.6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27124-2024</t>
        </is>
      </c>
      <c r="B15342" s="1" t="n">
        <v>45471</v>
      </c>
      <c r="C15342" s="1" t="n">
        <v>45810</v>
      </c>
      <c r="D15342" t="inlineStr">
        <is>
          <t>VÄRMLANDS LÄN</t>
        </is>
      </c>
      <c r="E15342" t="inlineStr">
        <is>
          <t>TORSBY</t>
        </is>
      </c>
      <c r="G15342" t="n">
        <v>0.6</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27144-2024</t>
        </is>
      </c>
      <c r="B15343" s="1" t="n">
        <v>45471</v>
      </c>
      <c r="C15343" s="1" t="n">
        <v>45810</v>
      </c>
      <c r="D15343" t="inlineStr">
        <is>
          <t>VÄRMLANDS LÄN</t>
        </is>
      </c>
      <c r="E15343" t="inlineStr">
        <is>
          <t>TORSBY</t>
        </is>
      </c>
      <c r="G15343" t="n">
        <v>3.5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27153-2024</t>
        </is>
      </c>
      <c r="B15344" s="1" t="n">
        <v>45471</v>
      </c>
      <c r="C15344" s="1" t="n">
        <v>45810</v>
      </c>
      <c r="D15344" t="inlineStr">
        <is>
          <t>VÄRMLANDS LÄN</t>
        </is>
      </c>
      <c r="E15344" t="inlineStr">
        <is>
          <t>ARVIKA</t>
        </is>
      </c>
      <c r="F15344" t="inlineStr">
        <is>
          <t>Bergvik skog väst AB</t>
        </is>
      </c>
      <c r="G15344" t="n">
        <v>0.5</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27233-2024</t>
        </is>
      </c>
      <c r="B15345" s="1" t="n">
        <v>45471</v>
      </c>
      <c r="C15345" s="1" t="n">
        <v>45810</v>
      </c>
      <c r="D15345" t="inlineStr">
        <is>
          <t>VÄRMLANDS LÄN</t>
        </is>
      </c>
      <c r="E15345" t="inlineStr">
        <is>
          <t>SÄFFLE</t>
        </is>
      </c>
      <c r="G15345" t="n">
        <v>4.2</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27213-2024</t>
        </is>
      </c>
      <c r="B15346" s="1" t="n">
        <v>45471</v>
      </c>
      <c r="C15346" s="1" t="n">
        <v>45810</v>
      </c>
      <c r="D15346" t="inlineStr">
        <is>
          <t>VÄRMLANDS LÄN</t>
        </is>
      </c>
      <c r="E15346" t="inlineStr">
        <is>
          <t>SUNNE</t>
        </is>
      </c>
      <c r="G15346" t="n">
        <v>0.5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27117-2024</t>
        </is>
      </c>
      <c r="B15347" s="1" t="n">
        <v>45471</v>
      </c>
      <c r="C15347" s="1" t="n">
        <v>45810</v>
      </c>
      <c r="D15347" t="inlineStr">
        <is>
          <t>VÄRMLANDS LÄN</t>
        </is>
      </c>
      <c r="E15347" t="inlineStr">
        <is>
          <t>ARVIKA</t>
        </is>
      </c>
      <c r="F15347" t="inlineStr">
        <is>
          <t>Bergvik skog väst AB</t>
        </is>
      </c>
      <c r="G15347" t="n">
        <v>2.9</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27105-2024</t>
        </is>
      </c>
      <c r="B15348" s="1" t="n">
        <v>45471</v>
      </c>
      <c r="C15348" s="1" t="n">
        <v>45810</v>
      </c>
      <c r="D15348" t="inlineStr">
        <is>
          <t>VÄRMLANDS LÄN</t>
        </is>
      </c>
      <c r="E15348" t="inlineStr">
        <is>
          <t>FILIPSTAD</t>
        </is>
      </c>
      <c r="F15348" t="inlineStr">
        <is>
          <t>Bergvik skog väst AB</t>
        </is>
      </c>
      <c r="G15348" t="n">
        <v>11.9</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27101-2024</t>
        </is>
      </c>
      <c r="B15349" s="1" t="n">
        <v>45471</v>
      </c>
      <c r="C15349" s="1" t="n">
        <v>45810</v>
      </c>
      <c r="D15349" t="inlineStr">
        <is>
          <t>VÄRMLANDS LÄN</t>
        </is>
      </c>
      <c r="E15349" t="inlineStr">
        <is>
          <t>TORSBY</t>
        </is>
      </c>
      <c r="G15349" t="n">
        <v>0.5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27033-2024</t>
        </is>
      </c>
      <c r="B15350" s="1" t="n">
        <v>45471</v>
      </c>
      <c r="C15350" s="1" t="n">
        <v>45810</v>
      </c>
      <c r="D15350" t="inlineStr">
        <is>
          <t>VÄRMLANDS LÄN</t>
        </is>
      </c>
      <c r="E15350" t="inlineStr">
        <is>
          <t>ARVIKA</t>
        </is>
      </c>
      <c r="G15350" t="n">
        <v>2.5</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26996-2024</t>
        </is>
      </c>
      <c r="B15351" s="1" t="n">
        <v>45471</v>
      </c>
      <c r="C15351" s="1" t="n">
        <v>45810</v>
      </c>
      <c r="D15351" t="inlineStr">
        <is>
          <t>VÄRMLANDS LÄN</t>
        </is>
      </c>
      <c r="E15351" t="inlineStr">
        <is>
          <t>KARLSTAD</t>
        </is>
      </c>
      <c r="G15351" t="n">
        <v>3.1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27126-2024</t>
        </is>
      </c>
      <c r="B15352" s="1" t="n">
        <v>45471</v>
      </c>
      <c r="C15352" s="1" t="n">
        <v>45810</v>
      </c>
      <c r="D15352" t="inlineStr">
        <is>
          <t>VÄRMLANDS LÄN</t>
        </is>
      </c>
      <c r="E15352" t="inlineStr">
        <is>
          <t>ARVIKA</t>
        </is>
      </c>
      <c r="F15352" t="inlineStr">
        <is>
          <t>Bergvik skog väst AB</t>
        </is>
      </c>
      <c r="G15352" t="n">
        <v>5.3</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26991-2024</t>
        </is>
      </c>
      <c r="B15353" s="1" t="n">
        <v>45471</v>
      </c>
      <c r="C15353" s="1" t="n">
        <v>45810</v>
      </c>
      <c r="D15353" t="inlineStr">
        <is>
          <t>VÄRMLANDS LÄN</t>
        </is>
      </c>
      <c r="E15353" t="inlineStr">
        <is>
          <t>FILIPSTAD</t>
        </is>
      </c>
      <c r="F15353" t="inlineStr">
        <is>
          <t>Bergvik skog väst AB</t>
        </is>
      </c>
      <c r="G15353" t="n">
        <v>8</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26975-2024</t>
        </is>
      </c>
      <c r="B15354" s="1" t="n">
        <v>45471</v>
      </c>
      <c r="C15354" s="1" t="n">
        <v>45810</v>
      </c>
      <c r="D15354" t="inlineStr">
        <is>
          <t>VÄRMLANDS LÄN</t>
        </is>
      </c>
      <c r="E15354" t="inlineStr">
        <is>
          <t>FILIPSTAD</t>
        </is>
      </c>
      <c r="F15354" t="inlineStr">
        <is>
          <t>Bergvik skog väst AB</t>
        </is>
      </c>
      <c r="G15354" t="n">
        <v>6.8</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27090-2024</t>
        </is>
      </c>
      <c r="B15355" s="1" t="n">
        <v>45471</v>
      </c>
      <c r="C15355" s="1" t="n">
        <v>45810</v>
      </c>
      <c r="D15355" t="inlineStr">
        <is>
          <t>VÄRMLANDS LÄN</t>
        </is>
      </c>
      <c r="E15355" t="inlineStr">
        <is>
          <t>TORSBY</t>
        </is>
      </c>
      <c r="G15355" t="n">
        <v>0.4</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27086-2024</t>
        </is>
      </c>
      <c r="B15356" s="1" t="n">
        <v>45471</v>
      </c>
      <c r="C15356" s="1" t="n">
        <v>45810</v>
      </c>
      <c r="D15356" t="inlineStr">
        <is>
          <t>VÄRMLANDS LÄN</t>
        </is>
      </c>
      <c r="E15356" t="inlineStr">
        <is>
          <t>TORSBY</t>
        </is>
      </c>
      <c r="G15356" t="n">
        <v>0.7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27078-2024</t>
        </is>
      </c>
      <c r="B15357" s="1" t="n">
        <v>45471</v>
      </c>
      <c r="C15357" s="1" t="n">
        <v>45810</v>
      </c>
      <c r="D15357" t="inlineStr">
        <is>
          <t>VÄRMLANDS LÄN</t>
        </is>
      </c>
      <c r="E15357" t="inlineStr">
        <is>
          <t>TORSBY</t>
        </is>
      </c>
      <c r="G15357" t="n">
        <v>1.5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27074-2024</t>
        </is>
      </c>
      <c r="B15358" s="1" t="n">
        <v>45471</v>
      </c>
      <c r="C15358" s="1" t="n">
        <v>45810</v>
      </c>
      <c r="D15358" t="inlineStr">
        <is>
          <t>VÄRMLANDS LÄN</t>
        </is>
      </c>
      <c r="E15358" t="inlineStr">
        <is>
          <t>SUNNE</t>
        </is>
      </c>
      <c r="G15358" t="n">
        <v>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27270-2024</t>
        </is>
      </c>
      <c r="B15359" s="1" t="n">
        <v>45471</v>
      </c>
      <c r="C15359" s="1" t="n">
        <v>45810</v>
      </c>
      <c r="D15359" t="inlineStr">
        <is>
          <t>VÄRMLANDS LÄN</t>
        </is>
      </c>
      <c r="E15359" t="inlineStr">
        <is>
          <t>TORSBY</t>
        </is>
      </c>
      <c r="G15359" t="n">
        <v>6.9</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27291-2024</t>
        </is>
      </c>
      <c r="B15360" s="1" t="n">
        <v>45472</v>
      </c>
      <c r="C15360" s="1" t="n">
        <v>45810</v>
      </c>
      <c r="D15360" t="inlineStr">
        <is>
          <t>VÄRMLANDS LÄN</t>
        </is>
      </c>
      <c r="E15360" t="inlineStr">
        <is>
          <t>TORSBY</t>
        </is>
      </c>
      <c r="G15360" t="n">
        <v>0.7</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27227-2024</t>
        </is>
      </c>
      <c r="B15361" s="1" t="n">
        <v>45471</v>
      </c>
      <c r="C15361" s="1" t="n">
        <v>45810</v>
      </c>
      <c r="D15361" t="inlineStr">
        <is>
          <t>VÄRMLANDS LÄN</t>
        </is>
      </c>
      <c r="E15361" t="inlineStr">
        <is>
          <t>SÄFFLE</t>
        </is>
      </c>
      <c r="G15361" t="n">
        <v>5.2</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27231-2024</t>
        </is>
      </c>
      <c r="B15362" s="1" t="n">
        <v>45471</v>
      </c>
      <c r="C15362" s="1" t="n">
        <v>45810</v>
      </c>
      <c r="D15362" t="inlineStr">
        <is>
          <t>VÄRMLANDS LÄN</t>
        </is>
      </c>
      <c r="E15362" t="inlineStr">
        <is>
          <t>SÄFFLE</t>
        </is>
      </c>
      <c r="G15362" t="n">
        <v>3</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27243-2024</t>
        </is>
      </c>
      <c r="B15363" s="1" t="n">
        <v>45471</v>
      </c>
      <c r="C15363" s="1" t="n">
        <v>45810</v>
      </c>
      <c r="D15363" t="inlineStr">
        <is>
          <t>VÄRMLANDS LÄN</t>
        </is>
      </c>
      <c r="E15363" t="inlineStr">
        <is>
          <t>SÄFFLE</t>
        </is>
      </c>
      <c r="G15363" t="n">
        <v>5.2</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27136-2024</t>
        </is>
      </c>
      <c r="B15364" s="1" t="n">
        <v>45471</v>
      </c>
      <c r="C15364" s="1" t="n">
        <v>45810</v>
      </c>
      <c r="D15364" t="inlineStr">
        <is>
          <t>VÄRMLANDS LÄN</t>
        </is>
      </c>
      <c r="E15364" t="inlineStr">
        <is>
          <t>ÅRJÄNG</t>
        </is>
      </c>
      <c r="G15364" t="n">
        <v>1.7</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27112-2024</t>
        </is>
      </c>
      <c r="B15365" s="1" t="n">
        <v>45471</v>
      </c>
      <c r="C15365" s="1" t="n">
        <v>45810</v>
      </c>
      <c r="D15365" t="inlineStr">
        <is>
          <t>VÄRMLANDS LÄN</t>
        </is>
      </c>
      <c r="E15365" t="inlineStr">
        <is>
          <t>ARVIKA</t>
        </is>
      </c>
      <c r="F15365" t="inlineStr">
        <is>
          <t>Bergvik skog väst AB</t>
        </is>
      </c>
      <c r="G15365" t="n">
        <v>2.8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27108-2024</t>
        </is>
      </c>
      <c r="B15366" s="1" t="n">
        <v>45471</v>
      </c>
      <c r="C15366" s="1" t="n">
        <v>45810</v>
      </c>
      <c r="D15366" t="inlineStr">
        <is>
          <t>VÄRMLANDS LÄN</t>
        </is>
      </c>
      <c r="E15366" t="inlineStr">
        <is>
          <t>ARVIKA</t>
        </is>
      </c>
      <c r="F15366" t="inlineStr">
        <is>
          <t>Bergvik skog väst AB</t>
        </is>
      </c>
      <c r="G15366" t="n">
        <v>1.8</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27100-2024</t>
        </is>
      </c>
      <c r="B15367" s="1" t="n">
        <v>45471</v>
      </c>
      <c r="C15367" s="1" t="n">
        <v>45810</v>
      </c>
      <c r="D15367" t="inlineStr">
        <is>
          <t>VÄRMLANDS LÄN</t>
        </is>
      </c>
      <c r="E15367" t="inlineStr">
        <is>
          <t>SUNNE</t>
        </is>
      </c>
      <c r="G15367" t="n">
        <v>1.6</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27096-2024</t>
        </is>
      </c>
      <c r="B15368" s="1" t="n">
        <v>45471</v>
      </c>
      <c r="C15368" s="1" t="n">
        <v>45810</v>
      </c>
      <c r="D15368" t="inlineStr">
        <is>
          <t>VÄRMLANDS LÄN</t>
        </is>
      </c>
      <c r="E15368" t="inlineStr">
        <is>
          <t>TORSBY</t>
        </is>
      </c>
      <c r="G15368" t="n">
        <v>0.5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27016-2024</t>
        </is>
      </c>
      <c r="B15369" s="1" t="n">
        <v>45471</v>
      </c>
      <c r="C15369" s="1" t="n">
        <v>45810</v>
      </c>
      <c r="D15369" t="inlineStr">
        <is>
          <t>VÄRMLANDS LÄN</t>
        </is>
      </c>
      <c r="E15369" t="inlineStr">
        <is>
          <t>SÄFFLE</t>
        </is>
      </c>
      <c r="G15369" t="n">
        <v>1.6</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26999-2024</t>
        </is>
      </c>
      <c r="B15370" s="1" t="n">
        <v>45471</v>
      </c>
      <c r="C15370" s="1" t="n">
        <v>45810</v>
      </c>
      <c r="D15370" t="inlineStr">
        <is>
          <t>VÄRMLANDS LÄN</t>
        </is>
      </c>
      <c r="E15370" t="inlineStr">
        <is>
          <t>SUNNE</t>
        </is>
      </c>
      <c r="F15370" t="inlineStr">
        <is>
          <t>Bergvik skog väst AB</t>
        </is>
      </c>
      <c r="G15370" t="n">
        <v>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26995-2024</t>
        </is>
      </c>
      <c r="B15371" s="1" t="n">
        <v>45471</v>
      </c>
      <c r="C15371" s="1" t="n">
        <v>45810</v>
      </c>
      <c r="D15371" t="inlineStr">
        <is>
          <t>VÄRMLANDS LÄN</t>
        </is>
      </c>
      <c r="E15371" t="inlineStr">
        <is>
          <t>SUNNE</t>
        </is>
      </c>
      <c r="F15371" t="inlineStr">
        <is>
          <t>Bergvik skog väst AB</t>
        </is>
      </c>
      <c r="G15371" t="n">
        <v>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26974-2024</t>
        </is>
      </c>
      <c r="B15372" s="1" t="n">
        <v>45471</v>
      </c>
      <c r="C15372" s="1" t="n">
        <v>45810</v>
      </c>
      <c r="D15372" t="inlineStr">
        <is>
          <t>VÄRMLANDS LÄN</t>
        </is>
      </c>
      <c r="E15372" t="inlineStr">
        <is>
          <t>FILIPSTAD</t>
        </is>
      </c>
      <c r="F15372" t="inlineStr">
        <is>
          <t>Bergvik skog väst AB</t>
        </is>
      </c>
      <c r="G15372" t="n">
        <v>5.2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27273-2024</t>
        </is>
      </c>
      <c r="B15373" s="1" t="n">
        <v>45471</v>
      </c>
      <c r="C15373" s="1" t="n">
        <v>45810</v>
      </c>
      <c r="D15373" t="inlineStr">
        <is>
          <t>VÄRMLANDS LÄN</t>
        </is>
      </c>
      <c r="E15373" t="inlineStr">
        <is>
          <t>TORSBY</t>
        </is>
      </c>
      <c r="G15373" t="n">
        <v>4.1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27038-2024</t>
        </is>
      </c>
      <c r="B15374" s="1" t="n">
        <v>45471</v>
      </c>
      <c r="C15374" s="1" t="n">
        <v>45810</v>
      </c>
      <c r="D15374" t="inlineStr">
        <is>
          <t>VÄRMLANDS LÄN</t>
        </is>
      </c>
      <c r="E15374" t="inlineStr">
        <is>
          <t>TORSBY</t>
        </is>
      </c>
      <c r="G15374" t="n">
        <v>0.7</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26972-2024</t>
        </is>
      </c>
      <c r="B15375" s="1" t="n">
        <v>45471</v>
      </c>
      <c r="C15375" s="1" t="n">
        <v>45810</v>
      </c>
      <c r="D15375" t="inlineStr">
        <is>
          <t>VÄRMLANDS LÄN</t>
        </is>
      </c>
      <c r="E15375" t="inlineStr">
        <is>
          <t>ARVIKA</t>
        </is>
      </c>
      <c r="F15375" t="inlineStr">
        <is>
          <t>Bergvik skog väst AB</t>
        </is>
      </c>
      <c r="G15375" t="n">
        <v>0.9</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27275-2024</t>
        </is>
      </c>
      <c r="B15376" s="1" t="n">
        <v>45471</v>
      </c>
      <c r="C15376" s="1" t="n">
        <v>45810</v>
      </c>
      <c r="D15376" t="inlineStr">
        <is>
          <t>VÄRMLANDS LÄN</t>
        </is>
      </c>
      <c r="E15376" t="inlineStr">
        <is>
          <t>TORSBY</t>
        </is>
      </c>
      <c r="G15376" t="n">
        <v>0.6</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27292-2024</t>
        </is>
      </c>
      <c r="B15377" s="1" t="n">
        <v>45472</v>
      </c>
      <c r="C15377" s="1" t="n">
        <v>45810</v>
      </c>
      <c r="D15377" t="inlineStr">
        <is>
          <t>VÄRMLANDS LÄN</t>
        </is>
      </c>
      <c r="E15377" t="inlineStr">
        <is>
          <t>TORSBY</t>
        </is>
      </c>
      <c r="G15377" t="n">
        <v>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27371-2024</t>
        </is>
      </c>
      <c r="B15378" s="1" t="n">
        <v>45473</v>
      </c>
      <c r="C15378" s="1" t="n">
        <v>45810</v>
      </c>
      <c r="D15378" t="inlineStr">
        <is>
          <t>VÄRMLANDS LÄN</t>
        </is>
      </c>
      <c r="E15378" t="inlineStr">
        <is>
          <t>HAGFORS</t>
        </is>
      </c>
      <c r="G15378" t="n">
        <v>5.7</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27363-2024</t>
        </is>
      </c>
      <c r="B15379" s="1" t="n">
        <v>45473</v>
      </c>
      <c r="C15379" s="1" t="n">
        <v>45810</v>
      </c>
      <c r="D15379" t="inlineStr">
        <is>
          <t>VÄRMLANDS LÄN</t>
        </is>
      </c>
      <c r="E15379" t="inlineStr">
        <is>
          <t>TORSBY</t>
        </is>
      </c>
      <c r="G15379" t="n">
        <v>2.9</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27347-2024</t>
        </is>
      </c>
      <c r="B15380" s="1" t="n">
        <v>45473</v>
      </c>
      <c r="C15380" s="1" t="n">
        <v>45810</v>
      </c>
      <c r="D15380" t="inlineStr">
        <is>
          <t>VÄRMLANDS LÄN</t>
        </is>
      </c>
      <c r="E15380" t="inlineStr">
        <is>
          <t>TORSBY</t>
        </is>
      </c>
      <c r="G15380" t="n">
        <v>1.2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27364-2024</t>
        </is>
      </c>
      <c r="B15381" s="1" t="n">
        <v>45473</v>
      </c>
      <c r="C15381" s="1" t="n">
        <v>45810</v>
      </c>
      <c r="D15381" t="inlineStr">
        <is>
          <t>VÄRMLANDS LÄN</t>
        </is>
      </c>
      <c r="E15381" t="inlineStr">
        <is>
          <t>KIL</t>
        </is>
      </c>
      <c r="G15381" t="n">
        <v>1.9</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27360-2024</t>
        </is>
      </c>
      <c r="B15382" s="1" t="n">
        <v>45473</v>
      </c>
      <c r="C15382" s="1" t="n">
        <v>45810</v>
      </c>
      <c r="D15382" t="inlineStr">
        <is>
          <t>VÄRMLANDS LÄN</t>
        </is>
      </c>
      <c r="E15382" t="inlineStr">
        <is>
          <t>TORSBY</t>
        </is>
      </c>
      <c r="G15382" t="n">
        <v>0.7</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27352-2024</t>
        </is>
      </c>
      <c r="B15383" s="1" t="n">
        <v>45473</v>
      </c>
      <c r="C15383" s="1" t="n">
        <v>45810</v>
      </c>
      <c r="D15383" t="inlineStr">
        <is>
          <t>VÄRMLANDS LÄN</t>
        </is>
      </c>
      <c r="E15383" t="inlineStr">
        <is>
          <t>TORSBY</t>
        </is>
      </c>
      <c r="G15383" t="n">
        <v>6.3</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27358-2024</t>
        </is>
      </c>
      <c r="B15384" s="1" t="n">
        <v>45473</v>
      </c>
      <c r="C15384" s="1" t="n">
        <v>45810</v>
      </c>
      <c r="D15384" t="inlineStr">
        <is>
          <t>VÄRMLANDS LÄN</t>
        </is>
      </c>
      <c r="E15384" t="inlineStr">
        <is>
          <t>TORSBY</t>
        </is>
      </c>
      <c r="G15384" t="n">
        <v>4.2</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27346-2024</t>
        </is>
      </c>
      <c r="B15385" s="1" t="n">
        <v>45473</v>
      </c>
      <c r="C15385" s="1" t="n">
        <v>45810</v>
      </c>
      <c r="D15385" t="inlineStr">
        <is>
          <t>VÄRMLANDS LÄN</t>
        </is>
      </c>
      <c r="E15385" t="inlineStr">
        <is>
          <t>TORSBY</t>
        </is>
      </c>
      <c r="G15385" t="n">
        <v>2.4</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27349-2024</t>
        </is>
      </c>
      <c r="B15386" s="1" t="n">
        <v>45473</v>
      </c>
      <c r="C15386" s="1" t="n">
        <v>45810</v>
      </c>
      <c r="D15386" t="inlineStr">
        <is>
          <t>VÄRMLANDS LÄN</t>
        </is>
      </c>
      <c r="E15386" t="inlineStr">
        <is>
          <t>TORSBY</t>
        </is>
      </c>
      <c r="G15386" t="n">
        <v>0.7</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27400-2024</t>
        </is>
      </c>
      <c r="B15387" s="1" t="n">
        <v>45474</v>
      </c>
      <c r="C15387" s="1" t="n">
        <v>45810</v>
      </c>
      <c r="D15387" t="inlineStr">
        <is>
          <t>VÄRMLANDS LÄN</t>
        </is>
      </c>
      <c r="E15387" t="inlineStr">
        <is>
          <t>FILIPSTAD</t>
        </is>
      </c>
      <c r="G15387" t="n">
        <v>2.6</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27443-2024</t>
        </is>
      </c>
      <c r="B15388" s="1" t="n">
        <v>45474</v>
      </c>
      <c r="C15388" s="1" t="n">
        <v>45810</v>
      </c>
      <c r="D15388" t="inlineStr">
        <is>
          <t>VÄRMLANDS LÄN</t>
        </is>
      </c>
      <c r="E15388" t="inlineStr">
        <is>
          <t>GRUMS</t>
        </is>
      </c>
      <c r="G15388" t="n">
        <v>1.8</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27447-2024</t>
        </is>
      </c>
      <c r="B15389" s="1" t="n">
        <v>45474</v>
      </c>
      <c r="C15389" s="1" t="n">
        <v>45810</v>
      </c>
      <c r="D15389" t="inlineStr">
        <is>
          <t>VÄRMLANDS LÄN</t>
        </is>
      </c>
      <c r="E15389" t="inlineStr">
        <is>
          <t>ARVIKA</t>
        </is>
      </c>
      <c r="F15389" t="inlineStr">
        <is>
          <t>Bergvik skog väst AB</t>
        </is>
      </c>
      <c r="G15389" t="n">
        <v>11.5</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27451-2024</t>
        </is>
      </c>
      <c r="B15390" s="1" t="n">
        <v>45474</v>
      </c>
      <c r="C15390" s="1" t="n">
        <v>45810</v>
      </c>
      <c r="D15390" t="inlineStr">
        <is>
          <t>VÄRMLANDS LÄN</t>
        </is>
      </c>
      <c r="E15390" t="inlineStr">
        <is>
          <t>SUNNE</t>
        </is>
      </c>
      <c r="G15390" t="n">
        <v>2.3</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27484-2024</t>
        </is>
      </c>
      <c r="B15391" s="1" t="n">
        <v>45474</v>
      </c>
      <c r="C15391" s="1" t="n">
        <v>45810</v>
      </c>
      <c r="D15391" t="inlineStr">
        <is>
          <t>VÄRMLANDS LÄN</t>
        </is>
      </c>
      <c r="E15391" t="inlineStr">
        <is>
          <t>KARLSTAD</t>
        </is>
      </c>
      <c r="F15391" t="inlineStr">
        <is>
          <t>Bergvik skog väst AB</t>
        </is>
      </c>
      <c r="G15391" t="n">
        <v>0.2</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27548-2024</t>
        </is>
      </c>
      <c r="B15392" s="1" t="n">
        <v>45474</v>
      </c>
      <c r="C15392" s="1" t="n">
        <v>45810</v>
      </c>
      <c r="D15392" t="inlineStr">
        <is>
          <t>VÄRMLANDS LÄN</t>
        </is>
      </c>
      <c r="E15392" t="inlineStr">
        <is>
          <t>TORSBY</t>
        </is>
      </c>
      <c r="F15392" t="inlineStr">
        <is>
          <t>Bergvik skog väst AB</t>
        </is>
      </c>
      <c r="G15392" t="n">
        <v>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27398-2024</t>
        </is>
      </c>
      <c r="B15393" s="1" t="n">
        <v>45474</v>
      </c>
      <c r="C15393" s="1" t="n">
        <v>45810</v>
      </c>
      <c r="D15393" t="inlineStr">
        <is>
          <t>VÄRMLANDS LÄN</t>
        </is>
      </c>
      <c r="E15393" t="inlineStr">
        <is>
          <t>GRUMS</t>
        </is>
      </c>
      <c r="G15393" t="n">
        <v>1.6</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27419-2024</t>
        </is>
      </c>
      <c r="B15394" s="1" t="n">
        <v>45474</v>
      </c>
      <c r="C15394" s="1" t="n">
        <v>45810</v>
      </c>
      <c r="D15394" t="inlineStr">
        <is>
          <t>VÄRMLANDS LÄN</t>
        </is>
      </c>
      <c r="E15394" t="inlineStr">
        <is>
          <t>ARVIKA</t>
        </is>
      </c>
      <c r="F15394" t="inlineStr">
        <is>
          <t>Bergvik skog väst AB</t>
        </is>
      </c>
      <c r="G15394" t="n">
        <v>2.1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27444-2024</t>
        </is>
      </c>
      <c r="B15395" s="1" t="n">
        <v>45474</v>
      </c>
      <c r="C15395" s="1" t="n">
        <v>45810</v>
      </c>
      <c r="D15395" t="inlineStr">
        <is>
          <t>VÄRMLANDS LÄN</t>
        </is>
      </c>
      <c r="E15395" t="inlineStr">
        <is>
          <t>SÄFFLE</t>
        </is>
      </c>
      <c r="G15395" t="n">
        <v>0.7</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27487-2024</t>
        </is>
      </c>
      <c r="B15396" s="1" t="n">
        <v>45474</v>
      </c>
      <c r="C15396" s="1" t="n">
        <v>45810</v>
      </c>
      <c r="D15396" t="inlineStr">
        <is>
          <t>VÄRMLANDS LÄN</t>
        </is>
      </c>
      <c r="E15396" t="inlineStr">
        <is>
          <t>SUNNE</t>
        </is>
      </c>
      <c r="G15396" t="n">
        <v>0.8</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27615-2024</t>
        </is>
      </c>
      <c r="B15397" s="1" t="n">
        <v>45474</v>
      </c>
      <c r="C15397" s="1" t="n">
        <v>45810</v>
      </c>
      <c r="D15397" t="inlineStr">
        <is>
          <t>VÄRMLANDS LÄN</t>
        </is>
      </c>
      <c r="E15397" t="inlineStr">
        <is>
          <t>TORSBY</t>
        </is>
      </c>
      <c r="G15397" t="n">
        <v>1.3</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27522-2024</t>
        </is>
      </c>
      <c r="B15398" s="1" t="n">
        <v>45474</v>
      </c>
      <c r="C15398" s="1" t="n">
        <v>45810</v>
      </c>
      <c r="D15398" t="inlineStr">
        <is>
          <t>VÄRMLANDS LÄN</t>
        </is>
      </c>
      <c r="E15398" t="inlineStr">
        <is>
          <t>EDA</t>
        </is>
      </c>
      <c r="G15398" t="n">
        <v>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27554-2024</t>
        </is>
      </c>
      <c r="B15399" s="1" t="n">
        <v>45474</v>
      </c>
      <c r="C15399" s="1" t="n">
        <v>45810</v>
      </c>
      <c r="D15399" t="inlineStr">
        <is>
          <t>VÄRMLANDS LÄN</t>
        </is>
      </c>
      <c r="E15399" t="inlineStr">
        <is>
          <t>TORSBY</t>
        </is>
      </c>
      <c r="F15399" t="inlineStr">
        <is>
          <t>Bergvik skog väst AB</t>
        </is>
      </c>
      <c r="G15399" t="n">
        <v>1.3</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27578-2024</t>
        </is>
      </c>
      <c r="B15400" s="1" t="n">
        <v>45474</v>
      </c>
      <c r="C15400" s="1" t="n">
        <v>45810</v>
      </c>
      <c r="D15400" t="inlineStr">
        <is>
          <t>VÄRMLANDS LÄN</t>
        </is>
      </c>
      <c r="E15400" t="inlineStr">
        <is>
          <t>ARVIKA</t>
        </is>
      </c>
      <c r="G15400" t="n">
        <v>1.1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27618-2024</t>
        </is>
      </c>
      <c r="B15401" s="1" t="n">
        <v>45474</v>
      </c>
      <c r="C15401" s="1" t="n">
        <v>45810</v>
      </c>
      <c r="D15401" t="inlineStr">
        <is>
          <t>VÄRMLANDS LÄN</t>
        </is>
      </c>
      <c r="E15401" t="inlineStr">
        <is>
          <t>ARVIKA</t>
        </is>
      </c>
      <c r="G15401" t="n">
        <v>0.6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27588-2024</t>
        </is>
      </c>
      <c r="B15402" s="1" t="n">
        <v>45474</v>
      </c>
      <c r="C15402" s="1" t="n">
        <v>45810</v>
      </c>
      <c r="D15402" t="inlineStr">
        <is>
          <t>VÄRMLANDS LÄN</t>
        </is>
      </c>
      <c r="E15402" t="inlineStr">
        <is>
          <t>TORSBY</t>
        </is>
      </c>
      <c r="G15402" t="n">
        <v>1.4</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27692-2024</t>
        </is>
      </c>
      <c r="B15403" s="1" t="n">
        <v>45474</v>
      </c>
      <c r="C15403" s="1" t="n">
        <v>45810</v>
      </c>
      <c r="D15403" t="inlineStr">
        <is>
          <t>VÄRMLANDS LÄN</t>
        </is>
      </c>
      <c r="E15403" t="inlineStr">
        <is>
          <t>ÅRJÄNG</t>
        </is>
      </c>
      <c r="F15403" t="inlineStr">
        <is>
          <t>Övriga Aktiebolag</t>
        </is>
      </c>
      <c r="G15403" t="n">
        <v>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27686-2024</t>
        </is>
      </c>
      <c r="B15404" s="1" t="n">
        <v>45474</v>
      </c>
      <c r="C15404" s="1" t="n">
        <v>45810</v>
      </c>
      <c r="D15404" t="inlineStr">
        <is>
          <t>VÄRMLANDS LÄN</t>
        </is>
      </c>
      <c r="E15404" t="inlineStr">
        <is>
          <t>ÅRJÄNG</t>
        </is>
      </c>
      <c r="F15404" t="inlineStr">
        <is>
          <t>Övriga Aktiebolag</t>
        </is>
      </c>
      <c r="G15404" t="n">
        <v>1.3</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27481-2024</t>
        </is>
      </c>
      <c r="B15405" s="1" t="n">
        <v>45474</v>
      </c>
      <c r="C15405" s="1" t="n">
        <v>45810</v>
      </c>
      <c r="D15405" t="inlineStr">
        <is>
          <t>VÄRMLANDS LÄN</t>
        </is>
      </c>
      <c r="E15405" t="inlineStr">
        <is>
          <t>HAGFORS</t>
        </is>
      </c>
      <c r="G15405" t="n">
        <v>1.6</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27501-2024</t>
        </is>
      </c>
      <c r="B15406" s="1" t="n">
        <v>45474</v>
      </c>
      <c r="C15406" s="1" t="n">
        <v>45810</v>
      </c>
      <c r="D15406" t="inlineStr">
        <is>
          <t>VÄRMLANDS LÄN</t>
        </is>
      </c>
      <c r="E15406" t="inlineStr">
        <is>
          <t>TORSBY</t>
        </is>
      </c>
      <c r="F15406" t="inlineStr">
        <is>
          <t>Bergvik skog väst AB</t>
        </is>
      </c>
      <c r="G15406" t="n">
        <v>14.4</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27529-2024</t>
        </is>
      </c>
      <c r="B15407" s="1" t="n">
        <v>45474</v>
      </c>
      <c r="C15407" s="1" t="n">
        <v>45810</v>
      </c>
      <c r="D15407" t="inlineStr">
        <is>
          <t>VÄRMLANDS LÄN</t>
        </is>
      </c>
      <c r="E15407" t="inlineStr">
        <is>
          <t>TORSBY</t>
        </is>
      </c>
      <c r="F15407" t="inlineStr">
        <is>
          <t>Bergvik skog väst AB</t>
        </is>
      </c>
      <c r="G15407" t="n">
        <v>1.2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27537-2024</t>
        </is>
      </c>
      <c r="B15408" s="1" t="n">
        <v>45474</v>
      </c>
      <c r="C15408" s="1" t="n">
        <v>45810</v>
      </c>
      <c r="D15408" t="inlineStr">
        <is>
          <t>VÄRMLANDS LÄN</t>
        </is>
      </c>
      <c r="E15408" t="inlineStr">
        <is>
          <t>TORSBY</t>
        </is>
      </c>
      <c r="F15408" t="inlineStr">
        <is>
          <t>Bergvik skog väst AB</t>
        </is>
      </c>
      <c r="G15408" t="n">
        <v>9.300000000000001</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27569-2024</t>
        </is>
      </c>
      <c r="B15409" s="1" t="n">
        <v>45474</v>
      </c>
      <c r="C15409" s="1" t="n">
        <v>45810</v>
      </c>
      <c r="D15409" t="inlineStr">
        <is>
          <t>VÄRMLANDS LÄN</t>
        </is>
      </c>
      <c r="E15409" t="inlineStr">
        <is>
          <t>KARLSTAD</t>
        </is>
      </c>
      <c r="G15409" t="n">
        <v>0.5</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27573-2024</t>
        </is>
      </c>
      <c r="B15410" s="1" t="n">
        <v>45474</v>
      </c>
      <c r="C15410" s="1" t="n">
        <v>45810</v>
      </c>
      <c r="D15410" t="inlineStr">
        <is>
          <t>VÄRMLANDS LÄN</t>
        </is>
      </c>
      <c r="E15410" t="inlineStr">
        <is>
          <t>TORSBY</t>
        </is>
      </c>
      <c r="F15410" t="inlineStr">
        <is>
          <t>Bergvik skog väst AB</t>
        </is>
      </c>
      <c r="G15410" t="n">
        <v>4.5</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27617-2024</t>
        </is>
      </c>
      <c r="B15411" s="1" t="n">
        <v>45474</v>
      </c>
      <c r="C15411" s="1" t="n">
        <v>45810</v>
      </c>
      <c r="D15411" t="inlineStr">
        <is>
          <t>VÄRMLANDS LÄN</t>
        </is>
      </c>
      <c r="E15411" t="inlineStr">
        <is>
          <t>ARVIKA</t>
        </is>
      </c>
      <c r="G15411" t="n">
        <v>3.4</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27826-2024</t>
        </is>
      </c>
      <c r="B15412" s="1" t="n">
        <v>45475</v>
      </c>
      <c r="C15412" s="1" t="n">
        <v>45810</v>
      </c>
      <c r="D15412" t="inlineStr">
        <is>
          <t>VÄRMLANDS LÄN</t>
        </is>
      </c>
      <c r="E15412" t="inlineStr">
        <is>
          <t>HAGFORS</t>
        </is>
      </c>
      <c r="F15412" t="inlineStr">
        <is>
          <t>Bergvik skog väst AB</t>
        </is>
      </c>
      <c r="G15412" t="n">
        <v>0.6</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27790-2024</t>
        </is>
      </c>
      <c r="B15413" s="1" t="n">
        <v>45475</v>
      </c>
      <c r="C15413" s="1" t="n">
        <v>45810</v>
      </c>
      <c r="D15413" t="inlineStr">
        <is>
          <t>VÄRMLANDS LÄN</t>
        </is>
      </c>
      <c r="E15413" t="inlineStr">
        <is>
          <t>TORSBY</t>
        </is>
      </c>
      <c r="F15413" t="inlineStr">
        <is>
          <t>Bergvik skog väst AB</t>
        </is>
      </c>
      <c r="G15413" t="n">
        <v>3.9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27754-2024</t>
        </is>
      </c>
      <c r="B15414" s="1" t="n">
        <v>45475</v>
      </c>
      <c r="C15414" s="1" t="n">
        <v>45810</v>
      </c>
      <c r="D15414" t="inlineStr">
        <is>
          <t>VÄRMLANDS LÄN</t>
        </is>
      </c>
      <c r="E15414" t="inlineStr">
        <is>
          <t>ÅRJÄNG</t>
        </is>
      </c>
      <c r="G15414" t="n">
        <v>3.4</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27750-2024</t>
        </is>
      </c>
      <c r="B15415" s="1" t="n">
        <v>45475</v>
      </c>
      <c r="C15415" s="1" t="n">
        <v>45810</v>
      </c>
      <c r="D15415" t="inlineStr">
        <is>
          <t>VÄRMLANDS LÄN</t>
        </is>
      </c>
      <c r="E15415" t="inlineStr">
        <is>
          <t>HAGFORS</t>
        </is>
      </c>
      <c r="G15415" t="n">
        <v>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27678-2024</t>
        </is>
      </c>
      <c r="B15416" s="1" t="n">
        <v>45475</v>
      </c>
      <c r="C15416" s="1" t="n">
        <v>45810</v>
      </c>
      <c r="D15416" t="inlineStr">
        <is>
          <t>VÄRMLANDS LÄN</t>
        </is>
      </c>
      <c r="E15416" t="inlineStr">
        <is>
          <t>TORSBY</t>
        </is>
      </c>
      <c r="G15416" t="n">
        <v>0.5</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27680-2024</t>
        </is>
      </c>
      <c r="B15417" s="1" t="n">
        <v>45475</v>
      </c>
      <c r="C15417" s="1" t="n">
        <v>45810</v>
      </c>
      <c r="D15417" t="inlineStr">
        <is>
          <t>VÄRMLANDS LÄN</t>
        </is>
      </c>
      <c r="E15417" t="inlineStr">
        <is>
          <t>EDA</t>
        </is>
      </c>
      <c r="G15417" t="n">
        <v>1.5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27756-2024</t>
        </is>
      </c>
      <c r="B15418" s="1" t="n">
        <v>45475</v>
      </c>
      <c r="C15418" s="1" t="n">
        <v>45810</v>
      </c>
      <c r="D15418" t="inlineStr">
        <is>
          <t>VÄRMLANDS LÄN</t>
        </is>
      </c>
      <c r="E15418" t="inlineStr">
        <is>
          <t>HAGFORS</t>
        </is>
      </c>
      <c r="G15418" t="n">
        <v>3.8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27792-2024</t>
        </is>
      </c>
      <c r="B15419" s="1" t="n">
        <v>45475</v>
      </c>
      <c r="C15419" s="1" t="n">
        <v>45810</v>
      </c>
      <c r="D15419" t="inlineStr">
        <is>
          <t>VÄRMLANDS LÄN</t>
        </is>
      </c>
      <c r="E15419" t="inlineStr">
        <is>
          <t>SUNNE</t>
        </is>
      </c>
      <c r="F15419" t="inlineStr">
        <is>
          <t>Bergvik skog väst AB</t>
        </is>
      </c>
      <c r="G15419" t="n">
        <v>3.4</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27824-2024</t>
        </is>
      </c>
      <c r="B15420" s="1" t="n">
        <v>45475</v>
      </c>
      <c r="C15420" s="1" t="n">
        <v>45810</v>
      </c>
      <c r="D15420" t="inlineStr">
        <is>
          <t>VÄRMLANDS LÄN</t>
        </is>
      </c>
      <c r="E15420" t="inlineStr">
        <is>
          <t>TORSBY</t>
        </is>
      </c>
      <c r="G15420" t="n">
        <v>2.9</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27739-2024</t>
        </is>
      </c>
      <c r="B15421" s="1" t="n">
        <v>45475</v>
      </c>
      <c r="C15421" s="1" t="n">
        <v>45810</v>
      </c>
      <c r="D15421" t="inlineStr">
        <is>
          <t>VÄRMLANDS LÄN</t>
        </is>
      </c>
      <c r="E15421" t="inlineStr">
        <is>
          <t>HAGFORS</t>
        </is>
      </c>
      <c r="G15421" t="n">
        <v>4</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27697-2024</t>
        </is>
      </c>
      <c r="B15422" s="1" t="n">
        <v>45475</v>
      </c>
      <c r="C15422" s="1" t="n">
        <v>45810</v>
      </c>
      <c r="D15422" t="inlineStr">
        <is>
          <t>VÄRMLANDS LÄN</t>
        </is>
      </c>
      <c r="E15422" t="inlineStr">
        <is>
          <t>ÅRJÄNG</t>
        </is>
      </c>
      <c r="G15422" t="n">
        <v>2.7</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27688-2024</t>
        </is>
      </c>
      <c r="B15423" s="1" t="n">
        <v>45475</v>
      </c>
      <c r="C15423" s="1" t="n">
        <v>45810</v>
      </c>
      <c r="D15423" t="inlineStr">
        <is>
          <t>VÄRMLANDS LÄN</t>
        </is>
      </c>
      <c r="E15423" t="inlineStr">
        <is>
          <t>EDA</t>
        </is>
      </c>
      <c r="G15423" t="n">
        <v>4.1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27682-2024</t>
        </is>
      </c>
      <c r="B15424" s="1" t="n">
        <v>45475</v>
      </c>
      <c r="C15424" s="1" t="n">
        <v>45810</v>
      </c>
      <c r="D15424" t="inlineStr">
        <is>
          <t>VÄRMLANDS LÄN</t>
        </is>
      </c>
      <c r="E15424" t="inlineStr">
        <is>
          <t>KARLSTAD</t>
        </is>
      </c>
      <c r="G15424" t="n">
        <v>0.8</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27677-2024</t>
        </is>
      </c>
      <c r="B15425" s="1" t="n">
        <v>45475</v>
      </c>
      <c r="C15425" s="1" t="n">
        <v>45810</v>
      </c>
      <c r="D15425" t="inlineStr">
        <is>
          <t>VÄRMLANDS LÄN</t>
        </is>
      </c>
      <c r="E15425" t="inlineStr">
        <is>
          <t>TORSBY</t>
        </is>
      </c>
      <c r="G15425" t="n">
        <v>0.7</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27827-2024</t>
        </is>
      </c>
      <c r="B15426" s="1" t="n">
        <v>45475</v>
      </c>
      <c r="C15426" s="1" t="n">
        <v>45810</v>
      </c>
      <c r="D15426" t="inlineStr">
        <is>
          <t>VÄRMLANDS LÄN</t>
        </is>
      </c>
      <c r="E15426" t="inlineStr">
        <is>
          <t>HAGFORS</t>
        </is>
      </c>
      <c r="F15426" t="inlineStr">
        <is>
          <t>Bergvik skog väst AB</t>
        </is>
      </c>
      <c r="G15426" t="n">
        <v>0.6</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28102-2024</t>
        </is>
      </c>
      <c r="B15427" s="1" t="n">
        <v>45476</v>
      </c>
      <c r="C15427" s="1" t="n">
        <v>45810</v>
      </c>
      <c r="D15427" t="inlineStr">
        <is>
          <t>VÄRMLANDS LÄN</t>
        </is>
      </c>
      <c r="E15427" t="inlineStr">
        <is>
          <t>TORSBY</t>
        </is>
      </c>
      <c r="G15427" t="n">
        <v>2.7</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28034-2024</t>
        </is>
      </c>
      <c r="B15428" s="1" t="n">
        <v>45476</v>
      </c>
      <c r="C15428" s="1" t="n">
        <v>45810</v>
      </c>
      <c r="D15428" t="inlineStr">
        <is>
          <t>VÄRMLANDS LÄN</t>
        </is>
      </c>
      <c r="E15428" t="inlineStr">
        <is>
          <t>FILIPSTAD</t>
        </is>
      </c>
      <c r="F15428" t="inlineStr">
        <is>
          <t>Bergvik skog väst AB</t>
        </is>
      </c>
      <c r="G15428" t="n">
        <v>9</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28107-2024</t>
        </is>
      </c>
      <c r="B15429" s="1" t="n">
        <v>45476</v>
      </c>
      <c r="C15429" s="1" t="n">
        <v>45810</v>
      </c>
      <c r="D15429" t="inlineStr">
        <is>
          <t>VÄRMLANDS LÄN</t>
        </is>
      </c>
      <c r="E15429" t="inlineStr">
        <is>
          <t>SUNNE</t>
        </is>
      </c>
      <c r="G15429" t="n">
        <v>1.2</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28099-2024</t>
        </is>
      </c>
      <c r="B15430" s="1" t="n">
        <v>45476</v>
      </c>
      <c r="C15430" s="1" t="n">
        <v>45810</v>
      </c>
      <c r="D15430" t="inlineStr">
        <is>
          <t>VÄRMLANDS LÄN</t>
        </is>
      </c>
      <c r="E15430" t="inlineStr">
        <is>
          <t>HAGFORS</t>
        </is>
      </c>
      <c r="F15430" t="inlineStr">
        <is>
          <t>Bergvik skog väst AB</t>
        </is>
      </c>
      <c r="G15430" t="n">
        <v>8.6</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28089-2024</t>
        </is>
      </c>
      <c r="B15431" s="1" t="n">
        <v>45476</v>
      </c>
      <c r="C15431" s="1" t="n">
        <v>45810</v>
      </c>
      <c r="D15431" t="inlineStr">
        <is>
          <t>VÄRMLANDS LÄN</t>
        </is>
      </c>
      <c r="E15431" t="inlineStr">
        <is>
          <t>TORSBY</t>
        </is>
      </c>
      <c r="G15431" t="n">
        <v>0.9</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28137-2024</t>
        </is>
      </c>
      <c r="B15432" s="1" t="n">
        <v>45476</v>
      </c>
      <c r="C15432" s="1" t="n">
        <v>45810</v>
      </c>
      <c r="D15432" t="inlineStr">
        <is>
          <t>VÄRMLANDS LÄN</t>
        </is>
      </c>
      <c r="E15432" t="inlineStr">
        <is>
          <t>HAGFORS</t>
        </is>
      </c>
      <c r="F15432" t="inlineStr">
        <is>
          <t>Bergvik skog väst AB</t>
        </is>
      </c>
      <c r="G15432" t="n">
        <v>6.9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28112-2024</t>
        </is>
      </c>
      <c r="B15433" s="1" t="n">
        <v>45476</v>
      </c>
      <c r="C15433" s="1" t="n">
        <v>45810</v>
      </c>
      <c r="D15433" t="inlineStr">
        <is>
          <t>VÄRMLANDS LÄN</t>
        </is>
      </c>
      <c r="E15433" t="inlineStr">
        <is>
          <t>TORSBY</t>
        </is>
      </c>
      <c r="G15433" t="n">
        <v>1.4</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28044-2024</t>
        </is>
      </c>
      <c r="B15434" s="1" t="n">
        <v>45476</v>
      </c>
      <c r="C15434" s="1" t="n">
        <v>45810</v>
      </c>
      <c r="D15434" t="inlineStr">
        <is>
          <t>VÄRMLANDS LÄN</t>
        </is>
      </c>
      <c r="E15434" t="inlineStr">
        <is>
          <t>HAGFORS</t>
        </is>
      </c>
      <c r="F15434" t="inlineStr">
        <is>
          <t>Bergvik skog väst AB</t>
        </is>
      </c>
      <c r="G15434" t="n">
        <v>1.7</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28004-2024</t>
        </is>
      </c>
      <c r="B15435" s="1" t="n">
        <v>45476</v>
      </c>
      <c r="C15435" s="1" t="n">
        <v>45810</v>
      </c>
      <c r="D15435" t="inlineStr">
        <is>
          <t>VÄRMLANDS LÄN</t>
        </is>
      </c>
      <c r="E15435" t="inlineStr">
        <is>
          <t>SUNNE</t>
        </is>
      </c>
      <c r="G15435" t="n">
        <v>2.6</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28069-2024</t>
        </is>
      </c>
      <c r="B15436" s="1" t="n">
        <v>45476</v>
      </c>
      <c r="C15436" s="1" t="n">
        <v>45810</v>
      </c>
      <c r="D15436" t="inlineStr">
        <is>
          <t>VÄRMLANDS LÄN</t>
        </is>
      </c>
      <c r="E15436" t="inlineStr">
        <is>
          <t>SUNNE</t>
        </is>
      </c>
      <c r="G15436" t="n">
        <v>2.1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28087-2024</t>
        </is>
      </c>
      <c r="B15437" s="1" t="n">
        <v>45476</v>
      </c>
      <c r="C15437" s="1" t="n">
        <v>45810</v>
      </c>
      <c r="D15437" t="inlineStr">
        <is>
          <t>VÄRMLANDS LÄN</t>
        </is>
      </c>
      <c r="E15437" t="inlineStr">
        <is>
          <t>HAGFORS</t>
        </is>
      </c>
      <c r="F15437" t="inlineStr">
        <is>
          <t>Bergvik skog väst AB</t>
        </is>
      </c>
      <c r="G15437" t="n">
        <v>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28035-2024</t>
        </is>
      </c>
      <c r="B15438" s="1" t="n">
        <v>45476</v>
      </c>
      <c r="C15438" s="1" t="n">
        <v>45810</v>
      </c>
      <c r="D15438" t="inlineStr">
        <is>
          <t>VÄRMLANDS LÄN</t>
        </is>
      </c>
      <c r="E15438" t="inlineStr">
        <is>
          <t>TORSBY</t>
        </is>
      </c>
      <c r="G15438" t="n">
        <v>13</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27995-2024</t>
        </is>
      </c>
      <c r="B15439" s="1" t="n">
        <v>45476</v>
      </c>
      <c r="C15439" s="1" t="n">
        <v>45810</v>
      </c>
      <c r="D15439" t="inlineStr">
        <is>
          <t>VÄRMLANDS LÄN</t>
        </is>
      </c>
      <c r="E15439" t="inlineStr">
        <is>
          <t>FORSHAGA</t>
        </is>
      </c>
      <c r="G15439" t="n">
        <v>3.8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27988-2024</t>
        </is>
      </c>
      <c r="B15440" s="1" t="n">
        <v>45476</v>
      </c>
      <c r="C15440" s="1" t="n">
        <v>45810</v>
      </c>
      <c r="D15440" t="inlineStr">
        <is>
          <t>VÄRMLANDS LÄN</t>
        </is>
      </c>
      <c r="E15440" t="inlineStr">
        <is>
          <t>SUNNE</t>
        </is>
      </c>
      <c r="G15440" t="n">
        <v>1.1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28005-2024</t>
        </is>
      </c>
      <c r="B15441" s="1" t="n">
        <v>45476</v>
      </c>
      <c r="C15441" s="1" t="n">
        <v>45810</v>
      </c>
      <c r="D15441" t="inlineStr">
        <is>
          <t>VÄRMLANDS LÄN</t>
        </is>
      </c>
      <c r="E15441" t="inlineStr">
        <is>
          <t>TORSBY</t>
        </is>
      </c>
      <c r="G15441" t="n">
        <v>4.5</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28472-2024</t>
        </is>
      </c>
      <c r="B15442" s="1" t="n">
        <v>45477</v>
      </c>
      <c r="C15442" s="1" t="n">
        <v>45810</v>
      </c>
      <c r="D15442" t="inlineStr">
        <is>
          <t>VÄRMLANDS LÄN</t>
        </is>
      </c>
      <c r="E15442" t="inlineStr">
        <is>
          <t>KRISTINEHAMN</t>
        </is>
      </c>
      <c r="G15442" t="n">
        <v>6.8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28361-2024</t>
        </is>
      </c>
      <c r="B15443" s="1" t="n">
        <v>45477</v>
      </c>
      <c r="C15443" s="1" t="n">
        <v>45810</v>
      </c>
      <c r="D15443" t="inlineStr">
        <is>
          <t>VÄRMLANDS LÄN</t>
        </is>
      </c>
      <c r="E15443" t="inlineStr">
        <is>
          <t>FORSHAGA</t>
        </is>
      </c>
      <c r="F15443" t="inlineStr">
        <is>
          <t>Bergvik skog väst AB</t>
        </is>
      </c>
      <c r="G15443" t="n">
        <v>1.1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28357-2024</t>
        </is>
      </c>
      <c r="B15444" s="1" t="n">
        <v>45477</v>
      </c>
      <c r="C15444" s="1" t="n">
        <v>45810</v>
      </c>
      <c r="D15444" t="inlineStr">
        <is>
          <t>VÄRMLANDS LÄN</t>
        </is>
      </c>
      <c r="E15444" t="inlineStr">
        <is>
          <t>FILIPSTAD</t>
        </is>
      </c>
      <c r="F15444" t="inlineStr">
        <is>
          <t>Bergvik skog väst AB</t>
        </is>
      </c>
      <c r="G15444" t="n">
        <v>5.9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28501-2024</t>
        </is>
      </c>
      <c r="B15445" s="1" t="n">
        <v>45478</v>
      </c>
      <c r="C15445" s="1" t="n">
        <v>45810</v>
      </c>
      <c r="D15445" t="inlineStr">
        <is>
          <t>VÄRMLANDS LÄN</t>
        </is>
      </c>
      <c r="E15445" t="inlineStr">
        <is>
          <t>TORSBY</t>
        </is>
      </c>
      <c r="G15445" t="n">
        <v>1.7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28485-2024</t>
        </is>
      </c>
      <c r="B15446" s="1" t="n">
        <v>45477</v>
      </c>
      <c r="C15446" s="1" t="n">
        <v>45810</v>
      </c>
      <c r="D15446" t="inlineStr">
        <is>
          <t>VÄRMLANDS LÄN</t>
        </is>
      </c>
      <c r="E15446" t="inlineStr">
        <is>
          <t>KRISTINEHAMN</t>
        </is>
      </c>
      <c r="G15446" t="n">
        <v>5</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28421-2024</t>
        </is>
      </c>
      <c r="B15447" s="1" t="n">
        <v>45477</v>
      </c>
      <c r="C15447" s="1" t="n">
        <v>45810</v>
      </c>
      <c r="D15447" t="inlineStr">
        <is>
          <t>VÄRMLANDS LÄN</t>
        </is>
      </c>
      <c r="E15447" t="inlineStr">
        <is>
          <t>ARVIKA</t>
        </is>
      </c>
      <c r="G15447" t="n">
        <v>5.2</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28331-2024</t>
        </is>
      </c>
      <c r="B15448" s="1" t="n">
        <v>45477</v>
      </c>
      <c r="C15448" s="1" t="n">
        <v>45810</v>
      </c>
      <c r="D15448" t="inlineStr">
        <is>
          <t>VÄRMLANDS LÄN</t>
        </is>
      </c>
      <c r="E15448" t="inlineStr">
        <is>
          <t>HAGFORS</t>
        </is>
      </c>
      <c r="F15448" t="inlineStr">
        <is>
          <t>Bergvik skog väst AB</t>
        </is>
      </c>
      <c r="G15448" t="n">
        <v>6.5</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28413-2024</t>
        </is>
      </c>
      <c r="B15449" s="1" t="n">
        <v>45477</v>
      </c>
      <c r="C15449" s="1" t="n">
        <v>45810</v>
      </c>
      <c r="D15449" t="inlineStr">
        <is>
          <t>VÄRMLANDS LÄN</t>
        </is>
      </c>
      <c r="E15449" t="inlineStr">
        <is>
          <t>SUNNE</t>
        </is>
      </c>
      <c r="F15449" t="inlineStr">
        <is>
          <t>Övriga Aktiebolag</t>
        </is>
      </c>
      <c r="G15449" t="n">
        <v>13.7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28396-2024</t>
        </is>
      </c>
      <c r="B15450" s="1" t="n">
        <v>45477</v>
      </c>
      <c r="C15450" s="1" t="n">
        <v>45810</v>
      </c>
      <c r="D15450" t="inlineStr">
        <is>
          <t>VÄRMLANDS LÄN</t>
        </is>
      </c>
      <c r="E15450" t="inlineStr">
        <is>
          <t>HAGFORS</t>
        </is>
      </c>
      <c r="F15450" t="inlineStr">
        <is>
          <t>Bergvik skog väst AB</t>
        </is>
      </c>
      <c r="G15450" t="n">
        <v>7.7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28319-2024</t>
        </is>
      </c>
      <c r="B15451" s="1" t="n">
        <v>45477</v>
      </c>
      <c r="C15451" s="1" t="n">
        <v>45810</v>
      </c>
      <c r="D15451" t="inlineStr">
        <is>
          <t>VÄRMLANDS LÄN</t>
        </is>
      </c>
      <c r="E15451" t="inlineStr">
        <is>
          <t>TORSBY</t>
        </is>
      </c>
      <c r="G15451" t="n">
        <v>2.3</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28311-2024</t>
        </is>
      </c>
      <c r="B15452" s="1" t="n">
        <v>45477</v>
      </c>
      <c r="C15452" s="1" t="n">
        <v>45810</v>
      </c>
      <c r="D15452" t="inlineStr">
        <is>
          <t>VÄRMLANDS LÄN</t>
        </is>
      </c>
      <c r="E15452" t="inlineStr">
        <is>
          <t>TORSBY</t>
        </is>
      </c>
      <c r="G15452" t="n">
        <v>4.5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28483-2024</t>
        </is>
      </c>
      <c r="B15453" s="1" t="n">
        <v>45477</v>
      </c>
      <c r="C15453" s="1" t="n">
        <v>45810</v>
      </c>
      <c r="D15453" t="inlineStr">
        <is>
          <t>VÄRMLANDS LÄN</t>
        </is>
      </c>
      <c r="E15453" t="inlineStr">
        <is>
          <t>EDA</t>
        </is>
      </c>
      <c r="G15453" t="n">
        <v>0.6</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28455-2024</t>
        </is>
      </c>
      <c r="B15454" s="1" t="n">
        <v>45477</v>
      </c>
      <c r="C15454" s="1" t="n">
        <v>45810</v>
      </c>
      <c r="D15454" t="inlineStr">
        <is>
          <t>VÄRMLANDS LÄN</t>
        </is>
      </c>
      <c r="E15454" t="inlineStr">
        <is>
          <t>ARVIKA</t>
        </is>
      </c>
      <c r="G15454" t="n">
        <v>1.3</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28451-2024</t>
        </is>
      </c>
      <c r="B15455" s="1" t="n">
        <v>45477</v>
      </c>
      <c r="C15455" s="1" t="n">
        <v>45810</v>
      </c>
      <c r="D15455" t="inlineStr">
        <is>
          <t>VÄRMLANDS LÄN</t>
        </is>
      </c>
      <c r="E15455" t="inlineStr">
        <is>
          <t>KARLSTAD</t>
        </is>
      </c>
      <c r="G15455" t="n">
        <v>4</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28411-2024</t>
        </is>
      </c>
      <c r="B15456" s="1" t="n">
        <v>45477</v>
      </c>
      <c r="C15456" s="1" t="n">
        <v>45810</v>
      </c>
      <c r="D15456" t="inlineStr">
        <is>
          <t>VÄRMLANDS LÄN</t>
        </is>
      </c>
      <c r="E15456" t="inlineStr">
        <is>
          <t>ARVIKA</t>
        </is>
      </c>
      <c r="F15456" t="inlineStr">
        <is>
          <t>Bergvik skog väst AB</t>
        </is>
      </c>
      <c r="G15456" t="n">
        <v>0.9</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28271-2024</t>
        </is>
      </c>
      <c r="B15457" s="1" t="n">
        <v>45477</v>
      </c>
      <c r="C15457" s="1" t="n">
        <v>45810</v>
      </c>
      <c r="D15457" t="inlineStr">
        <is>
          <t>VÄRMLANDS LÄN</t>
        </is>
      </c>
      <c r="E15457" t="inlineStr">
        <is>
          <t>FORSHAGA</t>
        </is>
      </c>
      <c r="G15457" t="n">
        <v>1.9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28267-2024</t>
        </is>
      </c>
      <c r="B15458" s="1" t="n">
        <v>45477</v>
      </c>
      <c r="C15458" s="1" t="n">
        <v>45810</v>
      </c>
      <c r="D15458" t="inlineStr">
        <is>
          <t>VÄRMLANDS LÄN</t>
        </is>
      </c>
      <c r="E15458" t="inlineStr">
        <is>
          <t>SÄFFLE</t>
        </is>
      </c>
      <c r="G15458" t="n">
        <v>9.4</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28301-2024</t>
        </is>
      </c>
      <c r="B15459" s="1" t="n">
        <v>45477</v>
      </c>
      <c r="C15459" s="1" t="n">
        <v>45810</v>
      </c>
      <c r="D15459" t="inlineStr">
        <is>
          <t>VÄRMLANDS LÄN</t>
        </is>
      </c>
      <c r="E15459" t="inlineStr">
        <is>
          <t>FORSHAGA</t>
        </is>
      </c>
      <c r="G15459" t="n">
        <v>1.5</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28329-2024</t>
        </is>
      </c>
      <c r="B15460" s="1" t="n">
        <v>45477</v>
      </c>
      <c r="C15460" s="1" t="n">
        <v>45810</v>
      </c>
      <c r="D15460" t="inlineStr">
        <is>
          <t>VÄRMLANDS LÄN</t>
        </is>
      </c>
      <c r="E15460" t="inlineStr">
        <is>
          <t>TORSBY</t>
        </is>
      </c>
      <c r="G15460" t="n">
        <v>1.8</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28310-2024</t>
        </is>
      </c>
      <c r="B15461" s="1" t="n">
        <v>45477</v>
      </c>
      <c r="C15461" s="1" t="n">
        <v>45810</v>
      </c>
      <c r="D15461" t="inlineStr">
        <is>
          <t>VÄRMLANDS LÄN</t>
        </is>
      </c>
      <c r="E15461" t="inlineStr">
        <is>
          <t>TORSBY</t>
        </is>
      </c>
      <c r="G15461" t="n">
        <v>1.7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28502-2024</t>
        </is>
      </c>
      <c r="B15462" s="1" t="n">
        <v>45478</v>
      </c>
      <c r="C15462" s="1" t="n">
        <v>45810</v>
      </c>
      <c r="D15462" t="inlineStr">
        <is>
          <t>VÄRMLANDS LÄN</t>
        </is>
      </c>
      <c r="E15462" t="inlineStr">
        <is>
          <t>TORSBY</t>
        </is>
      </c>
      <c r="G15462" t="n">
        <v>3.3</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28458-2024</t>
        </is>
      </c>
      <c r="B15463" s="1" t="n">
        <v>45477</v>
      </c>
      <c r="C15463" s="1" t="n">
        <v>45810</v>
      </c>
      <c r="D15463" t="inlineStr">
        <is>
          <t>VÄRMLANDS LÄN</t>
        </is>
      </c>
      <c r="E15463" t="inlineStr">
        <is>
          <t>SÄFFLE</t>
        </is>
      </c>
      <c r="G15463" t="n">
        <v>1.4</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28454-2024</t>
        </is>
      </c>
      <c r="B15464" s="1" t="n">
        <v>45477</v>
      </c>
      <c r="C15464" s="1" t="n">
        <v>45810</v>
      </c>
      <c r="D15464" t="inlineStr">
        <is>
          <t>VÄRMLANDS LÄN</t>
        </is>
      </c>
      <c r="E15464" t="inlineStr">
        <is>
          <t>KARLSTAD</t>
        </is>
      </c>
      <c r="G15464" t="n">
        <v>1.3</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28228-2024</t>
        </is>
      </c>
      <c r="B15465" s="1" t="n">
        <v>45477</v>
      </c>
      <c r="C15465" s="1" t="n">
        <v>45810</v>
      </c>
      <c r="D15465" t="inlineStr">
        <is>
          <t>VÄRMLANDS LÄN</t>
        </is>
      </c>
      <c r="E15465" t="inlineStr">
        <is>
          <t>GRUMS</t>
        </is>
      </c>
      <c r="G15465" t="n">
        <v>0.7</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28249-2024</t>
        </is>
      </c>
      <c r="B15466" s="1" t="n">
        <v>45477</v>
      </c>
      <c r="C15466" s="1" t="n">
        <v>45810</v>
      </c>
      <c r="D15466" t="inlineStr">
        <is>
          <t>VÄRMLANDS LÄN</t>
        </is>
      </c>
      <c r="E15466" t="inlineStr">
        <is>
          <t>TORSBY</t>
        </is>
      </c>
      <c r="G15466" t="n">
        <v>1.5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28242-2024</t>
        </is>
      </c>
      <c r="B15467" s="1" t="n">
        <v>45477</v>
      </c>
      <c r="C15467" s="1" t="n">
        <v>45810</v>
      </c>
      <c r="D15467" t="inlineStr">
        <is>
          <t>VÄRMLANDS LÄN</t>
        </is>
      </c>
      <c r="E15467" t="inlineStr">
        <is>
          <t>FORSHAGA</t>
        </is>
      </c>
      <c r="G15467" t="n">
        <v>2.9</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28197-2024</t>
        </is>
      </c>
      <c r="B15468" s="1" t="n">
        <v>45477</v>
      </c>
      <c r="C15468" s="1" t="n">
        <v>45810</v>
      </c>
      <c r="D15468" t="inlineStr">
        <is>
          <t>VÄRMLANDS LÄN</t>
        </is>
      </c>
      <c r="E15468" t="inlineStr">
        <is>
          <t>EDA</t>
        </is>
      </c>
      <c r="G15468" t="n">
        <v>0.7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28263-2024</t>
        </is>
      </c>
      <c r="B15469" s="1" t="n">
        <v>45477</v>
      </c>
      <c r="C15469" s="1" t="n">
        <v>45810</v>
      </c>
      <c r="D15469" t="inlineStr">
        <is>
          <t>VÄRMLANDS LÄN</t>
        </is>
      </c>
      <c r="E15469" t="inlineStr">
        <is>
          <t>ÅRJÄNG</t>
        </is>
      </c>
      <c r="G15469" t="n">
        <v>8</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28364-2024</t>
        </is>
      </c>
      <c r="B15470" s="1" t="n">
        <v>45477</v>
      </c>
      <c r="C15470" s="1" t="n">
        <v>45810</v>
      </c>
      <c r="D15470" t="inlineStr">
        <is>
          <t>VÄRMLANDS LÄN</t>
        </is>
      </c>
      <c r="E15470" t="inlineStr">
        <is>
          <t>TORSBY</t>
        </is>
      </c>
      <c r="G15470" t="n">
        <v>5.9</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28284-2024</t>
        </is>
      </c>
      <c r="B15471" s="1" t="n">
        <v>45477</v>
      </c>
      <c r="C15471" s="1" t="n">
        <v>45810</v>
      </c>
      <c r="D15471" t="inlineStr">
        <is>
          <t>VÄRMLANDS LÄN</t>
        </is>
      </c>
      <c r="E15471" t="inlineStr">
        <is>
          <t>TORSBY</t>
        </is>
      </c>
      <c r="G15471" t="n">
        <v>0.8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28260-2024</t>
        </is>
      </c>
      <c r="B15472" s="1" t="n">
        <v>45477</v>
      </c>
      <c r="C15472" s="1" t="n">
        <v>45810</v>
      </c>
      <c r="D15472" t="inlineStr">
        <is>
          <t>VÄRMLANDS LÄN</t>
        </is>
      </c>
      <c r="E15472" t="inlineStr">
        <is>
          <t>ÅRJÄNG</t>
        </is>
      </c>
      <c r="G15472" t="n">
        <v>2.4</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28235-2024</t>
        </is>
      </c>
      <c r="B15473" s="1" t="n">
        <v>45477</v>
      </c>
      <c r="C15473" s="1" t="n">
        <v>45810</v>
      </c>
      <c r="D15473" t="inlineStr">
        <is>
          <t>VÄRMLANDS LÄN</t>
        </is>
      </c>
      <c r="E15473" t="inlineStr">
        <is>
          <t>SUNNE</t>
        </is>
      </c>
      <c r="F15473" t="inlineStr">
        <is>
          <t>Bergvik skog väst AB</t>
        </is>
      </c>
      <c r="G15473" t="n">
        <v>1.8</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28539-2024</t>
        </is>
      </c>
      <c r="B15474" s="1" t="n">
        <v>45478</v>
      </c>
      <c r="C15474" s="1" t="n">
        <v>45810</v>
      </c>
      <c r="D15474" t="inlineStr">
        <is>
          <t>VÄRMLANDS LÄN</t>
        </is>
      </c>
      <c r="E15474" t="inlineStr">
        <is>
          <t>TORSBY</t>
        </is>
      </c>
      <c r="F15474" t="inlineStr">
        <is>
          <t>Bergvik skog väst AB</t>
        </is>
      </c>
      <c r="G15474" t="n">
        <v>3.6</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28571-2024</t>
        </is>
      </c>
      <c r="B15475" s="1" t="n">
        <v>45478</v>
      </c>
      <c r="C15475" s="1" t="n">
        <v>45810</v>
      </c>
      <c r="D15475" t="inlineStr">
        <is>
          <t>VÄRMLANDS LÄN</t>
        </is>
      </c>
      <c r="E15475" t="inlineStr">
        <is>
          <t>SÄFFLE</t>
        </is>
      </c>
      <c r="G15475" t="n">
        <v>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28615-2024</t>
        </is>
      </c>
      <c r="B15476" s="1" t="n">
        <v>45478</v>
      </c>
      <c r="C15476" s="1" t="n">
        <v>45810</v>
      </c>
      <c r="D15476" t="inlineStr">
        <is>
          <t>VÄRMLANDS LÄN</t>
        </is>
      </c>
      <c r="E15476" t="inlineStr">
        <is>
          <t>FILIPSTAD</t>
        </is>
      </c>
      <c r="F15476" t="inlineStr">
        <is>
          <t>Bergvik skog väst AB</t>
        </is>
      </c>
      <c r="G15476" t="n">
        <v>8.699999999999999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28619-2024</t>
        </is>
      </c>
      <c r="B15477" s="1" t="n">
        <v>45478</v>
      </c>
      <c r="C15477" s="1" t="n">
        <v>45810</v>
      </c>
      <c r="D15477" t="inlineStr">
        <is>
          <t>VÄRMLANDS LÄN</t>
        </is>
      </c>
      <c r="E15477" t="inlineStr">
        <is>
          <t>TORSBY</t>
        </is>
      </c>
      <c r="G15477" t="n">
        <v>3.3</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28517-2024</t>
        </is>
      </c>
      <c r="B15478" s="1" t="n">
        <v>45478</v>
      </c>
      <c r="C15478" s="1" t="n">
        <v>45810</v>
      </c>
      <c r="D15478" t="inlineStr">
        <is>
          <t>VÄRMLANDS LÄN</t>
        </is>
      </c>
      <c r="E15478" t="inlineStr">
        <is>
          <t>FORSHAGA</t>
        </is>
      </c>
      <c r="F15478" t="inlineStr">
        <is>
          <t>Bergvik skog väst AB</t>
        </is>
      </c>
      <c r="G15478" t="n">
        <v>4.6</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28554-2024</t>
        </is>
      </c>
      <c r="B15479" s="1" t="n">
        <v>45478</v>
      </c>
      <c r="C15479" s="1" t="n">
        <v>45810</v>
      </c>
      <c r="D15479" t="inlineStr">
        <is>
          <t>VÄRMLANDS LÄN</t>
        </is>
      </c>
      <c r="E15479" t="inlineStr">
        <is>
          <t>TORSBY</t>
        </is>
      </c>
      <c r="F15479" t="inlineStr">
        <is>
          <t>Bergvik skog väst AB</t>
        </is>
      </c>
      <c r="G15479" t="n">
        <v>2.5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28646-2024</t>
        </is>
      </c>
      <c r="B15480" s="1" t="n">
        <v>45478</v>
      </c>
      <c r="C15480" s="1" t="n">
        <v>45810</v>
      </c>
      <c r="D15480" t="inlineStr">
        <is>
          <t>VÄRMLANDS LÄN</t>
        </is>
      </c>
      <c r="E15480" t="inlineStr">
        <is>
          <t>TORSBY</t>
        </is>
      </c>
      <c r="F15480" t="inlineStr">
        <is>
          <t>Bergvik skog väst AB</t>
        </is>
      </c>
      <c r="G15480" t="n">
        <v>4.2</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28650-2024</t>
        </is>
      </c>
      <c r="B15481" s="1" t="n">
        <v>45478</v>
      </c>
      <c r="C15481" s="1" t="n">
        <v>45810</v>
      </c>
      <c r="D15481" t="inlineStr">
        <is>
          <t>VÄRMLANDS LÄN</t>
        </is>
      </c>
      <c r="E15481" t="inlineStr">
        <is>
          <t>SUNNE</t>
        </is>
      </c>
      <c r="G15481" t="n">
        <v>2</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28804-2024</t>
        </is>
      </c>
      <c r="B15482" s="1" t="n">
        <v>45478</v>
      </c>
      <c r="C15482" s="1" t="n">
        <v>45810</v>
      </c>
      <c r="D15482" t="inlineStr">
        <is>
          <t>VÄRMLANDS LÄN</t>
        </is>
      </c>
      <c r="E15482" t="inlineStr">
        <is>
          <t>ARVIKA</t>
        </is>
      </c>
      <c r="G15482" t="n">
        <v>5</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28545-2024</t>
        </is>
      </c>
      <c r="B15483" s="1" t="n">
        <v>45478</v>
      </c>
      <c r="C15483" s="1" t="n">
        <v>45810</v>
      </c>
      <c r="D15483" t="inlineStr">
        <is>
          <t>VÄRMLANDS LÄN</t>
        </is>
      </c>
      <c r="E15483" t="inlineStr">
        <is>
          <t>TORSBY</t>
        </is>
      </c>
      <c r="F15483" t="inlineStr">
        <is>
          <t>Bergvik skog väst AB</t>
        </is>
      </c>
      <c r="G15483" t="n">
        <v>1.1</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28573-2024</t>
        </is>
      </c>
      <c r="B15484" s="1" t="n">
        <v>45478</v>
      </c>
      <c r="C15484" s="1" t="n">
        <v>45810</v>
      </c>
      <c r="D15484" t="inlineStr">
        <is>
          <t>VÄRMLANDS LÄN</t>
        </is>
      </c>
      <c r="E15484" t="inlineStr">
        <is>
          <t>ARVIKA</t>
        </is>
      </c>
      <c r="F15484" t="inlineStr">
        <is>
          <t>Bergvik skog väst AB</t>
        </is>
      </c>
      <c r="G15484" t="n">
        <v>5.8</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28589-2024</t>
        </is>
      </c>
      <c r="B15485" s="1" t="n">
        <v>45478</v>
      </c>
      <c r="C15485" s="1" t="n">
        <v>45810</v>
      </c>
      <c r="D15485" t="inlineStr">
        <is>
          <t>VÄRMLANDS LÄN</t>
        </is>
      </c>
      <c r="E15485" t="inlineStr">
        <is>
          <t>TORSBY</t>
        </is>
      </c>
      <c r="G15485" t="n">
        <v>12.7</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28680-2024</t>
        </is>
      </c>
      <c r="B15486" s="1" t="n">
        <v>45478</v>
      </c>
      <c r="C15486" s="1" t="n">
        <v>45810</v>
      </c>
      <c r="D15486" t="inlineStr">
        <is>
          <t>VÄRMLANDS LÄN</t>
        </is>
      </c>
      <c r="E15486" t="inlineStr">
        <is>
          <t>ARVIKA</t>
        </is>
      </c>
      <c r="F15486" t="inlineStr">
        <is>
          <t>Bergvik skog väst AB</t>
        </is>
      </c>
      <c r="G15486" t="n">
        <v>1.2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28709-2024</t>
        </is>
      </c>
      <c r="B15487" s="1" t="n">
        <v>45478</v>
      </c>
      <c r="C15487" s="1" t="n">
        <v>45810</v>
      </c>
      <c r="D15487" t="inlineStr">
        <is>
          <t>VÄRMLANDS LÄN</t>
        </is>
      </c>
      <c r="E15487" t="inlineStr">
        <is>
          <t>ÅRJÄNG</t>
        </is>
      </c>
      <c r="F15487" t="inlineStr">
        <is>
          <t>Bergvik skog väst AB</t>
        </is>
      </c>
      <c r="G15487" t="n">
        <v>2.7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28560-2024</t>
        </is>
      </c>
      <c r="B15488" s="1" t="n">
        <v>45478</v>
      </c>
      <c r="C15488" s="1" t="n">
        <v>45810</v>
      </c>
      <c r="D15488" t="inlineStr">
        <is>
          <t>VÄRMLANDS LÄN</t>
        </is>
      </c>
      <c r="E15488" t="inlineStr">
        <is>
          <t>HAGFORS</t>
        </is>
      </c>
      <c r="G15488" t="n">
        <v>7</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28733-2024</t>
        </is>
      </c>
      <c r="B15489" s="1" t="n">
        <v>45478</v>
      </c>
      <c r="C15489" s="1" t="n">
        <v>45810</v>
      </c>
      <c r="D15489" t="inlineStr">
        <is>
          <t>VÄRMLANDS LÄN</t>
        </is>
      </c>
      <c r="E15489" t="inlineStr">
        <is>
          <t>ÅRJÄNG</t>
        </is>
      </c>
      <c r="F15489" t="inlineStr">
        <is>
          <t>Bergvik skog väst AB</t>
        </is>
      </c>
      <c r="G15489" t="n">
        <v>1.8</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28757-2024</t>
        </is>
      </c>
      <c r="B15490" s="1" t="n">
        <v>45478</v>
      </c>
      <c r="C15490" s="1" t="n">
        <v>45810</v>
      </c>
      <c r="D15490" t="inlineStr">
        <is>
          <t>VÄRMLANDS LÄN</t>
        </is>
      </c>
      <c r="E15490" t="inlineStr">
        <is>
          <t>STORFORS</t>
        </is>
      </c>
      <c r="F15490" t="inlineStr">
        <is>
          <t>Kyrkan</t>
        </is>
      </c>
      <c r="G15490" t="n">
        <v>1.6</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28624-2024</t>
        </is>
      </c>
      <c r="B15491" s="1" t="n">
        <v>45478</v>
      </c>
      <c r="C15491" s="1" t="n">
        <v>45810</v>
      </c>
      <c r="D15491" t="inlineStr">
        <is>
          <t>VÄRMLANDS LÄN</t>
        </is>
      </c>
      <c r="E15491" t="inlineStr">
        <is>
          <t>TORSBY</t>
        </is>
      </c>
      <c r="G15491" t="n">
        <v>3.2</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28797-2024</t>
        </is>
      </c>
      <c r="B15492" s="1" t="n">
        <v>45478</v>
      </c>
      <c r="C15492" s="1" t="n">
        <v>45810</v>
      </c>
      <c r="D15492" t="inlineStr">
        <is>
          <t>VÄRMLANDS LÄN</t>
        </is>
      </c>
      <c r="E15492" t="inlineStr">
        <is>
          <t>STORFORS</t>
        </is>
      </c>
      <c r="G15492" t="n">
        <v>4</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28809-2024</t>
        </is>
      </c>
      <c r="B15493" s="1" t="n">
        <v>45478</v>
      </c>
      <c r="C15493" s="1" t="n">
        <v>45810</v>
      </c>
      <c r="D15493" t="inlineStr">
        <is>
          <t>VÄRMLANDS LÄN</t>
        </is>
      </c>
      <c r="E15493" t="inlineStr">
        <is>
          <t>ARVIKA</t>
        </is>
      </c>
      <c r="G15493" t="n">
        <v>0.7</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28834-2024</t>
        </is>
      </c>
      <c r="B15494" s="1" t="n">
        <v>45478</v>
      </c>
      <c r="C15494" s="1" t="n">
        <v>45810</v>
      </c>
      <c r="D15494" t="inlineStr">
        <is>
          <t>VÄRMLANDS LÄN</t>
        </is>
      </c>
      <c r="E15494" t="inlineStr">
        <is>
          <t>KRISTINEHAMN</t>
        </is>
      </c>
      <c r="G15494" t="n">
        <v>0.6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28846-2024</t>
        </is>
      </c>
      <c r="B15495" s="1" t="n">
        <v>45478</v>
      </c>
      <c r="C15495" s="1" t="n">
        <v>45810</v>
      </c>
      <c r="D15495" t="inlineStr">
        <is>
          <t>VÄRMLANDS LÄN</t>
        </is>
      </c>
      <c r="E15495" t="inlineStr">
        <is>
          <t>KRISTINEHAMN</t>
        </is>
      </c>
      <c r="G15495" t="n">
        <v>12.2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28673-2024</t>
        </is>
      </c>
      <c r="B15496" s="1" t="n">
        <v>45478</v>
      </c>
      <c r="C15496" s="1" t="n">
        <v>45810</v>
      </c>
      <c r="D15496" t="inlineStr">
        <is>
          <t>VÄRMLANDS LÄN</t>
        </is>
      </c>
      <c r="E15496" t="inlineStr">
        <is>
          <t>TORSBY</t>
        </is>
      </c>
      <c r="F15496" t="inlineStr">
        <is>
          <t>Bergvik skog väst AB</t>
        </is>
      </c>
      <c r="G15496" t="n">
        <v>4.7</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28738-2024</t>
        </is>
      </c>
      <c r="B15497" s="1" t="n">
        <v>45478</v>
      </c>
      <c r="C15497" s="1" t="n">
        <v>45810</v>
      </c>
      <c r="D15497" t="inlineStr">
        <is>
          <t>VÄRMLANDS LÄN</t>
        </is>
      </c>
      <c r="E15497" t="inlineStr">
        <is>
          <t>HAGFORS</t>
        </is>
      </c>
      <c r="F15497" t="inlineStr">
        <is>
          <t>Bergvik skog väst AB</t>
        </is>
      </c>
      <c r="G15497" t="n">
        <v>2.4</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28814-2024</t>
        </is>
      </c>
      <c r="B15498" s="1" t="n">
        <v>45478</v>
      </c>
      <c r="C15498" s="1" t="n">
        <v>45810</v>
      </c>
      <c r="D15498" t="inlineStr">
        <is>
          <t>VÄRMLANDS LÄN</t>
        </is>
      </c>
      <c r="E15498" t="inlineStr">
        <is>
          <t>ARVIKA</t>
        </is>
      </c>
      <c r="G15498" t="n">
        <v>0.6</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28819-2024</t>
        </is>
      </c>
      <c r="B15499" s="1" t="n">
        <v>45478</v>
      </c>
      <c r="C15499" s="1" t="n">
        <v>45810</v>
      </c>
      <c r="D15499" t="inlineStr">
        <is>
          <t>VÄRMLANDS LÄN</t>
        </is>
      </c>
      <c r="E15499" t="inlineStr">
        <is>
          <t>STORFORS</t>
        </is>
      </c>
      <c r="F15499" t="inlineStr">
        <is>
          <t>Kyrkan</t>
        </is>
      </c>
      <c r="G15499" t="n">
        <v>3.9</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28827-2024</t>
        </is>
      </c>
      <c r="B15500" s="1" t="n">
        <v>45478</v>
      </c>
      <c r="C15500" s="1" t="n">
        <v>45810</v>
      </c>
      <c r="D15500" t="inlineStr">
        <is>
          <t>VÄRMLANDS LÄN</t>
        </is>
      </c>
      <c r="E15500" t="inlineStr">
        <is>
          <t>KRISTINEHAMN</t>
        </is>
      </c>
      <c r="G15500" t="n">
        <v>2.8</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28835-2024</t>
        </is>
      </c>
      <c r="B15501" s="1" t="n">
        <v>45478</v>
      </c>
      <c r="C15501" s="1" t="n">
        <v>45810</v>
      </c>
      <c r="D15501" t="inlineStr">
        <is>
          <t>VÄRMLANDS LÄN</t>
        </is>
      </c>
      <c r="E15501" t="inlineStr">
        <is>
          <t>SUNNE</t>
        </is>
      </c>
      <c r="G15501" t="n">
        <v>0.7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28839-2024</t>
        </is>
      </c>
      <c r="B15502" s="1" t="n">
        <v>45478</v>
      </c>
      <c r="C15502" s="1" t="n">
        <v>45810</v>
      </c>
      <c r="D15502" t="inlineStr">
        <is>
          <t>VÄRMLANDS LÄN</t>
        </is>
      </c>
      <c r="E15502" t="inlineStr">
        <is>
          <t>SUNNE</t>
        </is>
      </c>
      <c r="G15502" t="n">
        <v>0.8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28609-2024</t>
        </is>
      </c>
      <c r="B15503" s="1" t="n">
        <v>45478</v>
      </c>
      <c r="C15503" s="1" t="n">
        <v>45810</v>
      </c>
      <c r="D15503" t="inlineStr">
        <is>
          <t>VÄRMLANDS LÄN</t>
        </is>
      </c>
      <c r="E15503" t="inlineStr">
        <is>
          <t>TORSBY</t>
        </is>
      </c>
      <c r="F15503" t="inlineStr">
        <is>
          <t>Bergvik skog väst AB</t>
        </is>
      </c>
      <c r="G15503" t="n">
        <v>4.6</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28621-2024</t>
        </is>
      </c>
      <c r="B15504" s="1" t="n">
        <v>45478</v>
      </c>
      <c r="C15504" s="1" t="n">
        <v>45810</v>
      </c>
      <c r="D15504" t="inlineStr">
        <is>
          <t>VÄRMLANDS LÄN</t>
        </is>
      </c>
      <c r="E15504" t="inlineStr">
        <is>
          <t>TORSBY</t>
        </is>
      </c>
      <c r="F15504" t="inlineStr">
        <is>
          <t>Bergvik skog väst AB</t>
        </is>
      </c>
      <c r="G15504" t="n">
        <v>7.7</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28637-2024</t>
        </is>
      </c>
      <c r="B15505" s="1" t="n">
        <v>45478</v>
      </c>
      <c r="C15505" s="1" t="n">
        <v>45810</v>
      </c>
      <c r="D15505" t="inlineStr">
        <is>
          <t>VÄRMLANDS LÄN</t>
        </is>
      </c>
      <c r="E15505" t="inlineStr">
        <is>
          <t>TORSBY</t>
        </is>
      </c>
      <c r="F15505" t="inlineStr">
        <is>
          <t>Bergvik skog väst AB</t>
        </is>
      </c>
      <c r="G15505" t="n">
        <v>10.2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28775-2024</t>
        </is>
      </c>
      <c r="B15506" s="1" t="n">
        <v>45478</v>
      </c>
      <c r="C15506" s="1" t="n">
        <v>45810</v>
      </c>
      <c r="D15506" t="inlineStr">
        <is>
          <t>VÄRMLANDS LÄN</t>
        </is>
      </c>
      <c r="E15506" t="inlineStr">
        <is>
          <t>HAGFORS</t>
        </is>
      </c>
      <c r="G15506" t="n">
        <v>2.8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28807-2024</t>
        </is>
      </c>
      <c r="B15507" s="1" t="n">
        <v>45478</v>
      </c>
      <c r="C15507" s="1" t="n">
        <v>45810</v>
      </c>
      <c r="D15507" t="inlineStr">
        <is>
          <t>VÄRMLANDS LÄN</t>
        </is>
      </c>
      <c r="E15507" t="inlineStr">
        <is>
          <t>ARVIKA</t>
        </is>
      </c>
      <c r="G15507" t="n">
        <v>0.9</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28836-2024</t>
        </is>
      </c>
      <c r="B15508" s="1" t="n">
        <v>45478</v>
      </c>
      <c r="C15508" s="1" t="n">
        <v>45810</v>
      </c>
      <c r="D15508" t="inlineStr">
        <is>
          <t>VÄRMLANDS LÄN</t>
        </is>
      </c>
      <c r="E15508" t="inlineStr">
        <is>
          <t>KRISTINEHAMN</t>
        </is>
      </c>
      <c r="G15508" t="n">
        <v>0.6</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29051-2024</t>
        </is>
      </c>
      <c r="B15509" s="1" t="n">
        <v>45481</v>
      </c>
      <c r="C15509" s="1" t="n">
        <v>45810</v>
      </c>
      <c r="D15509" t="inlineStr">
        <is>
          <t>VÄRMLANDS LÄN</t>
        </is>
      </c>
      <c r="E15509" t="inlineStr">
        <is>
          <t>FORSHAGA</t>
        </is>
      </c>
      <c r="G15509" t="n">
        <v>0.4</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29009-2024</t>
        </is>
      </c>
      <c r="B15510" s="1" t="n">
        <v>45481</v>
      </c>
      <c r="C15510" s="1" t="n">
        <v>45810</v>
      </c>
      <c r="D15510" t="inlineStr">
        <is>
          <t>VÄRMLANDS LÄN</t>
        </is>
      </c>
      <c r="E15510" t="inlineStr">
        <is>
          <t>SÄFFLE</t>
        </is>
      </c>
      <c r="G15510" t="n">
        <v>1.8</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28993-2024</t>
        </is>
      </c>
      <c r="B15511" s="1" t="n">
        <v>45481</v>
      </c>
      <c r="C15511" s="1" t="n">
        <v>45810</v>
      </c>
      <c r="D15511" t="inlineStr">
        <is>
          <t>VÄRMLANDS LÄN</t>
        </is>
      </c>
      <c r="E15511" t="inlineStr">
        <is>
          <t>SUNNE</t>
        </is>
      </c>
      <c r="F15511" t="inlineStr">
        <is>
          <t>Bergvik skog väst AB</t>
        </is>
      </c>
      <c r="G15511" t="n">
        <v>1.5</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28948-2024</t>
        </is>
      </c>
      <c r="B15512" s="1" t="n">
        <v>45481</v>
      </c>
      <c r="C15512" s="1" t="n">
        <v>45810</v>
      </c>
      <c r="D15512" t="inlineStr">
        <is>
          <t>VÄRMLANDS LÄN</t>
        </is>
      </c>
      <c r="E15512" t="inlineStr">
        <is>
          <t>TORSBY</t>
        </is>
      </c>
      <c r="G15512" t="n">
        <v>11.8</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28988-2024</t>
        </is>
      </c>
      <c r="B15513" s="1" t="n">
        <v>45481</v>
      </c>
      <c r="C15513" s="1" t="n">
        <v>45810</v>
      </c>
      <c r="D15513" t="inlineStr">
        <is>
          <t>VÄRMLANDS LÄN</t>
        </is>
      </c>
      <c r="E15513" t="inlineStr">
        <is>
          <t>SÄFFLE</t>
        </is>
      </c>
      <c r="G15513" t="n">
        <v>1.8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28922-2024</t>
        </is>
      </c>
      <c r="B15514" s="1" t="n">
        <v>45481</v>
      </c>
      <c r="C15514" s="1" t="n">
        <v>45810</v>
      </c>
      <c r="D15514" t="inlineStr">
        <is>
          <t>VÄRMLANDS LÄN</t>
        </is>
      </c>
      <c r="E15514" t="inlineStr">
        <is>
          <t>ARVIKA</t>
        </is>
      </c>
      <c r="G15514" t="n">
        <v>4.4</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28987-2024</t>
        </is>
      </c>
      <c r="B15515" s="1" t="n">
        <v>45481</v>
      </c>
      <c r="C15515" s="1" t="n">
        <v>45810</v>
      </c>
      <c r="D15515" t="inlineStr">
        <is>
          <t>VÄRMLANDS LÄN</t>
        </is>
      </c>
      <c r="E15515" t="inlineStr">
        <is>
          <t>TORSBY</t>
        </is>
      </c>
      <c r="G15515" t="n">
        <v>5.5</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29122-2024</t>
        </is>
      </c>
      <c r="B15516" s="1" t="n">
        <v>45482</v>
      </c>
      <c r="C15516" s="1" t="n">
        <v>45810</v>
      </c>
      <c r="D15516" t="inlineStr">
        <is>
          <t>VÄRMLANDS LÄN</t>
        </is>
      </c>
      <c r="E15516" t="inlineStr">
        <is>
          <t>EDA</t>
        </is>
      </c>
      <c r="G15516" t="n">
        <v>2.2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29291-2024</t>
        </is>
      </c>
      <c r="B15517" s="1" t="n">
        <v>45482</v>
      </c>
      <c r="C15517" s="1" t="n">
        <v>45810</v>
      </c>
      <c r="D15517" t="inlineStr">
        <is>
          <t>VÄRMLANDS LÄN</t>
        </is>
      </c>
      <c r="E15517" t="inlineStr">
        <is>
          <t>ARVIKA</t>
        </is>
      </c>
      <c r="G15517" t="n">
        <v>11.8</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29175-2024</t>
        </is>
      </c>
      <c r="B15518" s="1" t="n">
        <v>45482</v>
      </c>
      <c r="C15518" s="1" t="n">
        <v>45810</v>
      </c>
      <c r="D15518" t="inlineStr">
        <is>
          <t>VÄRMLANDS LÄN</t>
        </is>
      </c>
      <c r="E15518" t="inlineStr">
        <is>
          <t>ARVIKA</t>
        </is>
      </c>
      <c r="F15518" t="inlineStr">
        <is>
          <t>Bergvik skog väst AB</t>
        </is>
      </c>
      <c r="G15518" t="n">
        <v>0.4</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29197-2024</t>
        </is>
      </c>
      <c r="B15519" s="1" t="n">
        <v>45482</v>
      </c>
      <c r="C15519" s="1" t="n">
        <v>45810</v>
      </c>
      <c r="D15519" t="inlineStr">
        <is>
          <t>VÄRMLANDS LÄN</t>
        </is>
      </c>
      <c r="E15519" t="inlineStr">
        <is>
          <t>EDA</t>
        </is>
      </c>
      <c r="G15519" t="n">
        <v>0.8</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29123-2024</t>
        </is>
      </c>
      <c r="B15520" s="1" t="n">
        <v>45482</v>
      </c>
      <c r="C15520" s="1" t="n">
        <v>45810</v>
      </c>
      <c r="D15520" t="inlineStr">
        <is>
          <t>VÄRMLANDS LÄN</t>
        </is>
      </c>
      <c r="E15520" t="inlineStr">
        <is>
          <t>EDA</t>
        </is>
      </c>
      <c r="G15520" t="n">
        <v>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29306-2024</t>
        </is>
      </c>
      <c r="B15521" s="1" t="n">
        <v>45483</v>
      </c>
      <c r="C15521" s="1" t="n">
        <v>45810</v>
      </c>
      <c r="D15521" t="inlineStr">
        <is>
          <t>VÄRMLANDS LÄN</t>
        </is>
      </c>
      <c r="E15521" t="inlineStr">
        <is>
          <t>TORSBY</t>
        </is>
      </c>
      <c r="F15521" t="inlineStr">
        <is>
          <t>Kyrkan</t>
        </is>
      </c>
      <c r="G15521" t="n">
        <v>18.3</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29358-2024</t>
        </is>
      </c>
      <c r="B15522" s="1" t="n">
        <v>45483</v>
      </c>
      <c r="C15522" s="1" t="n">
        <v>45810</v>
      </c>
      <c r="D15522" t="inlineStr">
        <is>
          <t>VÄRMLANDS LÄN</t>
        </is>
      </c>
      <c r="E15522" t="inlineStr">
        <is>
          <t>FILIPSTAD</t>
        </is>
      </c>
      <c r="F15522" t="inlineStr">
        <is>
          <t>Bergvik skog väst AB</t>
        </is>
      </c>
      <c r="G15522" t="n">
        <v>6.1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29408-2024</t>
        </is>
      </c>
      <c r="B15523" s="1" t="n">
        <v>45483</v>
      </c>
      <c r="C15523" s="1" t="n">
        <v>45810</v>
      </c>
      <c r="D15523" t="inlineStr">
        <is>
          <t>VÄRMLANDS LÄN</t>
        </is>
      </c>
      <c r="E15523" t="inlineStr">
        <is>
          <t>TORSBY</t>
        </is>
      </c>
      <c r="F15523" t="inlineStr">
        <is>
          <t>Bergvik skog väst AB</t>
        </is>
      </c>
      <c r="G15523" t="n">
        <v>2.7</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29351-2024</t>
        </is>
      </c>
      <c r="B15524" s="1" t="n">
        <v>45483</v>
      </c>
      <c r="C15524" s="1" t="n">
        <v>45810</v>
      </c>
      <c r="D15524" t="inlineStr">
        <is>
          <t>VÄRMLANDS LÄN</t>
        </is>
      </c>
      <c r="E15524" t="inlineStr">
        <is>
          <t>EDA</t>
        </is>
      </c>
      <c r="F15524" t="inlineStr">
        <is>
          <t>Bergvik skog väst AB</t>
        </is>
      </c>
      <c r="G15524" t="n">
        <v>9.4</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29371-2024</t>
        </is>
      </c>
      <c r="B15525" s="1" t="n">
        <v>45483</v>
      </c>
      <c r="C15525" s="1" t="n">
        <v>45810</v>
      </c>
      <c r="D15525" t="inlineStr">
        <is>
          <t>VÄRMLANDS LÄN</t>
        </is>
      </c>
      <c r="E15525" t="inlineStr">
        <is>
          <t>HAGFORS</t>
        </is>
      </c>
      <c r="G15525" t="n">
        <v>5.1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29375-2024</t>
        </is>
      </c>
      <c r="B15526" s="1" t="n">
        <v>45483</v>
      </c>
      <c r="C15526" s="1" t="n">
        <v>45810</v>
      </c>
      <c r="D15526" t="inlineStr">
        <is>
          <t>VÄRMLANDS LÄN</t>
        </is>
      </c>
      <c r="E15526" t="inlineStr">
        <is>
          <t>TORSBY</t>
        </is>
      </c>
      <c r="G15526" t="n">
        <v>1.2</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29384-2024</t>
        </is>
      </c>
      <c r="B15527" s="1" t="n">
        <v>45483</v>
      </c>
      <c r="C15527" s="1" t="n">
        <v>45810</v>
      </c>
      <c r="D15527" t="inlineStr">
        <is>
          <t>VÄRMLANDS LÄN</t>
        </is>
      </c>
      <c r="E15527" t="inlineStr">
        <is>
          <t>KRISTINEHAMN</t>
        </is>
      </c>
      <c r="G15527" t="n">
        <v>9.800000000000001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29293-2024</t>
        </is>
      </c>
      <c r="B15528" s="1" t="n">
        <v>45483</v>
      </c>
      <c r="C15528" s="1" t="n">
        <v>45810</v>
      </c>
      <c r="D15528" t="inlineStr">
        <is>
          <t>VÄRMLANDS LÄN</t>
        </is>
      </c>
      <c r="E15528" t="inlineStr">
        <is>
          <t>ARVIKA</t>
        </is>
      </c>
      <c r="F15528" t="inlineStr">
        <is>
          <t>Bergvik skog väst AB</t>
        </is>
      </c>
      <c r="G15528" t="n">
        <v>9.1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29301-2024</t>
        </is>
      </c>
      <c r="B15529" s="1" t="n">
        <v>45483</v>
      </c>
      <c r="C15529" s="1" t="n">
        <v>45810</v>
      </c>
      <c r="D15529" t="inlineStr">
        <is>
          <t>VÄRMLANDS LÄN</t>
        </is>
      </c>
      <c r="E15529" t="inlineStr">
        <is>
          <t>ARVIKA</t>
        </is>
      </c>
      <c r="G15529" t="n">
        <v>2.4</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29305-2024</t>
        </is>
      </c>
      <c r="B15530" s="1" t="n">
        <v>45483</v>
      </c>
      <c r="C15530" s="1" t="n">
        <v>45810</v>
      </c>
      <c r="D15530" t="inlineStr">
        <is>
          <t>VÄRMLANDS LÄN</t>
        </is>
      </c>
      <c r="E15530" t="inlineStr">
        <is>
          <t>ARVIKA</t>
        </is>
      </c>
      <c r="F15530" t="inlineStr">
        <is>
          <t>Bergvik skog väst AB</t>
        </is>
      </c>
      <c r="G15530" t="n">
        <v>3.3</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29401-2024</t>
        </is>
      </c>
      <c r="B15531" s="1" t="n">
        <v>45483</v>
      </c>
      <c r="C15531" s="1" t="n">
        <v>45810</v>
      </c>
      <c r="D15531" t="inlineStr">
        <is>
          <t>VÄRMLANDS LÄN</t>
        </is>
      </c>
      <c r="E15531" t="inlineStr">
        <is>
          <t>ARVIKA</t>
        </is>
      </c>
      <c r="G15531" t="n">
        <v>1.4</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29333-2024</t>
        </is>
      </c>
      <c r="B15532" s="1" t="n">
        <v>45483</v>
      </c>
      <c r="C15532" s="1" t="n">
        <v>45810</v>
      </c>
      <c r="D15532" t="inlineStr">
        <is>
          <t>VÄRMLANDS LÄN</t>
        </is>
      </c>
      <c r="E15532" t="inlineStr">
        <is>
          <t>SUNNE</t>
        </is>
      </c>
      <c r="F15532" t="inlineStr">
        <is>
          <t>Bergvik skog väst AB</t>
        </is>
      </c>
      <c r="G15532" t="n">
        <v>1.6</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29425-2024</t>
        </is>
      </c>
      <c r="B15533" s="1" t="n">
        <v>45483</v>
      </c>
      <c r="C15533" s="1" t="n">
        <v>45810</v>
      </c>
      <c r="D15533" t="inlineStr">
        <is>
          <t>VÄRMLANDS LÄN</t>
        </is>
      </c>
      <c r="E15533" t="inlineStr">
        <is>
          <t>FORSHAGA</t>
        </is>
      </c>
      <c r="G15533" t="n">
        <v>1.5</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29415-2024</t>
        </is>
      </c>
      <c r="B15534" s="1" t="n">
        <v>45483</v>
      </c>
      <c r="C15534" s="1" t="n">
        <v>45810</v>
      </c>
      <c r="D15534" t="inlineStr">
        <is>
          <t>VÄRMLANDS LÄN</t>
        </is>
      </c>
      <c r="E15534" t="inlineStr">
        <is>
          <t>ÅRJÄNG</t>
        </is>
      </c>
      <c r="G15534" t="n">
        <v>1.6</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29427-2024</t>
        </is>
      </c>
      <c r="B15535" s="1" t="n">
        <v>45483</v>
      </c>
      <c r="C15535" s="1" t="n">
        <v>45810</v>
      </c>
      <c r="D15535" t="inlineStr">
        <is>
          <t>VÄRMLANDS LÄN</t>
        </is>
      </c>
      <c r="E15535" t="inlineStr">
        <is>
          <t>FORSHAGA</t>
        </is>
      </c>
      <c r="G15535" t="n">
        <v>3.7</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29389-2024</t>
        </is>
      </c>
      <c r="B15536" s="1" t="n">
        <v>45483</v>
      </c>
      <c r="C15536" s="1" t="n">
        <v>45810</v>
      </c>
      <c r="D15536" t="inlineStr">
        <is>
          <t>VÄRMLANDS LÄN</t>
        </is>
      </c>
      <c r="E15536" t="inlineStr">
        <is>
          <t>HAGFORS</t>
        </is>
      </c>
      <c r="F15536" t="inlineStr">
        <is>
          <t>Bergvik skog väst AB</t>
        </is>
      </c>
      <c r="G15536" t="n">
        <v>20</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29426-2024</t>
        </is>
      </c>
      <c r="B15537" s="1" t="n">
        <v>45483</v>
      </c>
      <c r="C15537" s="1" t="n">
        <v>45810</v>
      </c>
      <c r="D15537" t="inlineStr">
        <is>
          <t>VÄRMLANDS LÄN</t>
        </is>
      </c>
      <c r="E15537" t="inlineStr">
        <is>
          <t>FORSHAGA</t>
        </is>
      </c>
      <c r="G15537" t="n">
        <v>1.2</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29299-2024</t>
        </is>
      </c>
      <c r="B15538" s="1" t="n">
        <v>45483</v>
      </c>
      <c r="C15538" s="1" t="n">
        <v>45810</v>
      </c>
      <c r="D15538" t="inlineStr">
        <is>
          <t>VÄRMLANDS LÄN</t>
        </is>
      </c>
      <c r="E15538" t="inlineStr">
        <is>
          <t>ARVIKA</t>
        </is>
      </c>
      <c r="G15538" t="n">
        <v>2.3</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29481-2024</t>
        </is>
      </c>
      <c r="B15539" s="1" t="n">
        <v>45484</v>
      </c>
      <c r="C15539" s="1" t="n">
        <v>45810</v>
      </c>
      <c r="D15539" t="inlineStr">
        <is>
          <t>VÄRMLANDS LÄN</t>
        </is>
      </c>
      <c r="E15539" t="inlineStr">
        <is>
          <t>ÅRJÄNG</t>
        </is>
      </c>
      <c r="G15539" t="n">
        <v>0.9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29492-2024</t>
        </is>
      </c>
      <c r="B15540" s="1" t="n">
        <v>45484</v>
      </c>
      <c r="C15540" s="1" t="n">
        <v>45810</v>
      </c>
      <c r="D15540" t="inlineStr">
        <is>
          <t>VÄRMLANDS LÄN</t>
        </is>
      </c>
      <c r="E15540" t="inlineStr">
        <is>
          <t>HAGFORS</t>
        </is>
      </c>
      <c r="G15540" t="n">
        <v>5.4</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29520-2024</t>
        </is>
      </c>
      <c r="B15541" s="1" t="n">
        <v>45484</v>
      </c>
      <c r="C15541" s="1" t="n">
        <v>45810</v>
      </c>
      <c r="D15541" t="inlineStr">
        <is>
          <t>VÄRMLANDS LÄN</t>
        </is>
      </c>
      <c r="E15541" t="inlineStr">
        <is>
          <t>FILIPSTAD</t>
        </is>
      </c>
      <c r="F15541" t="inlineStr">
        <is>
          <t>Bergvik skog väst AB</t>
        </is>
      </c>
      <c r="G15541" t="n">
        <v>4.3</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29541-2024</t>
        </is>
      </c>
      <c r="B15542" s="1" t="n">
        <v>45484</v>
      </c>
      <c r="C15542" s="1" t="n">
        <v>45810</v>
      </c>
      <c r="D15542" t="inlineStr">
        <is>
          <t>VÄRMLANDS LÄN</t>
        </is>
      </c>
      <c r="E15542" t="inlineStr">
        <is>
          <t>TORSBY</t>
        </is>
      </c>
      <c r="F15542" t="inlineStr">
        <is>
          <t>Bergvik skog väst AB</t>
        </is>
      </c>
      <c r="G15542" t="n">
        <v>2.2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29549-2024</t>
        </is>
      </c>
      <c r="B15543" s="1" t="n">
        <v>45484</v>
      </c>
      <c r="C15543" s="1" t="n">
        <v>45810</v>
      </c>
      <c r="D15543" t="inlineStr">
        <is>
          <t>VÄRMLANDS LÄN</t>
        </is>
      </c>
      <c r="E15543" t="inlineStr">
        <is>
          <t>TORSBY</t>
        </is>
      </c>
      <c r="F15543" t="inlineStr">
        <is>
          <t>Bergvik skog väst AB</t>
        </is>
      </c>
      <c r="G15543" t="n">
        <v>2.9</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29601-2024</t>
        </is>
      </c>
      <c r="B15544" s="1" t="n">
        <v>45484</v>
      </c>
      <c r="C15544" s="1" t="n">
        <v>45810</v>
      </c>
      <c r="D15544" t="inlineStr">
        <is>
          <t>VÄRMLANDS LÄN</t>
        </is>
      </c>
      <c r="E15544" t="inlineStr">
        <is>
          <t>ÅRJÄNG</t>
        </is>
      </c>
      <c r="G15544" t="n">
        <v>2</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29593-2024</t>
        </is>
      </c>
      <c r="B15545" s="1" t="n">
        <v>45484</v>
      </c>
      <c r="C15545" s="1" t="n">
        <v>45810</v>
      </c>
      <c r="D15545" t="inlineStr">
        <is>
          <t>VÄRMLANDS LÄN</t>
        </is>
      </c>
      <c r="E15545" t="inlineStr">
        <is>
          <t>TORSBY</t>
        </is>
      </c>
      <c r="F15545" t="inlineStr">
        <is>
          <t>Bergvik skog väst AB</t>
        </is>
      </c>
      <c r="G15545" t="n">
        <v>11.3</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29577-2024</t>
        </is>
      </c>
      <c r="B15546" s="1" t="n">
        <v>45484</v>
      </c>
      <c r="C15546" s="1" t="n">
        <v>45810</v>
      </c>
      <c r="D15546" t="inlineStr">
        <is>
          <t>VÄRMLANDS LÄN</t>
        </is>
      </c>
      <c r="E15546" t="inlineStr">
        <is>
          <t>GRUMS</t>
        </is>
      </c>
      <c r="F15546" t="inlineStr">
        <is>
          <t>Bergvik skog väst AB</t>
        </is>
      </c>
      <c r="G15546" t="n">
        <v>10.1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29698-2024</t>
        </is>
      </c>
      <c r="B15547" s="1" t="n">
        <v>45484</v>
      </c>
      <c r="C15547" s="1" t="n">
        <v>45810</v>
      </c>
      <c r="D15547" t="inlineStr">
        <is>
          <t>VÄRMLANDS LÄN</t>
        </is>
      </c>
      <c r="E15547" t="inlineStr">
        <is>
          <t>KIL</t>
        </is>
      </c>
      <c r="G15547" t="n">
        <v>0.4</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29535-2024</t>
        </is>
      </c>
      <c r="B15548" s="1" t="n">
        <v>45484</v>
      </c>
      <c r="C15548" s="1" t="n">
        <v>45810</v>
      </c>
      <c r="D15548" t="inlineStr">
        <is>
          <t>VÄRMLANDS LÄN</t>
        </is>
      </c>
      <c r="E15548" t="inlineStr">
        <is>
          <t>TORSBY</t>
        </is>
      </c>
      <c r="F15548" t="inlineStr">
        <is>
          <t>Bergvik skog väst AB</t>
        </is>
      </c>
      <c r="G15548" t="n">
        <v>2.6</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29611-2024</t>
        </is>
      </c>
      <c r="B15549" s="1" t="n">
        <v>45484</v>
      </c>
      <c r="C15549" s="1" t="n">
        <v>45810</v>
      </c>
      <c r="D15549" t="inlineStr">
        <is>
          <t>VÄRMLANDS LÄN</t>
        </is>
      </c>
      <c r="E15549" t="inlineStr">
        <is>
          <t>ÅRJÄNG</t>
        </is>
      </c>
      <c r="G15549" t="n">
        <v>3.6</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29603-2024</t>
        </is>
      </c>
      <c r="B15550" s="1" t="n">
        <v>45484</v>
      </c>
      <c r="C15550" s="1" t="n">
        <v>45810</v>
      </c>
      <c r="D15550" t="inlineStr">
        <is>
          <t>VÄRMLANDS LÄN</t>
        </is>
      </c>
      <c r="E15550" t="inlineStr">
        <is>
          <t>ÅRJÄNG</t>
        </is>
      </c>
      <c r="G15550" t="n">
        <v>7.5</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29559-2024</t>
        </is>
      </c>
      <c r="B15551" s="1" t="n">
        <v>45484</v>
      </c>
      <c r="C15551" s="1" t="n">
        <v>45810</v>
      </c>
      <c r="D15551" t="inlineStr">
        <is>
          <t>VÄRMLANDS LÄN</t>
        </is>
      </c>
      <c r="E15551" t="inlineStr">
        <is>
          <t>TORSBY</t>
        </is>
      </c>
      <c r="F15551" t="inlineStr">
        <is>
          <t>Bergvik skog väst AB</t>
        </is>
      </c>
      <c r="G15551" t="n">
        <v>8.5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29502-2024</t>
        </is>
      </c>
      <c r="B15552" s="1" t="n">
        <v>45484</v>
      </c>
      <c r="C15552" s="1" t="n">
        <v>45810</v>
      </c>
      <c r="D15552" t="inlineStr">
        <is>
          <t>VÄRMLANDS LÄN</t>
        </is>
      </c>
      <c r="E15552" t="inlineStr">
        <is>
          <t>TORSBY</t>
        </is>
      </c>
      <c r="F15552" t="inlineStr">
        <is>
          <t>Bergvik skog väst AB</t>
        </is>
      </c>
      <c r="G15552" t="n">
        <v>11.3</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29494-2024</t>
        </is>
      </c>
      <c r="B15553" s="1" t="n">
        <v>45484</v>
      </c>
      <c r="C15553" s="1" t="n">
        <v>45810</v>
      </c>
      <c r="D15553" t="inlineStr">
        <is>
          <t>VÄRMLANDS LÄN</t>
        </is>
      </c>
      <c r="E15553" t="inlineStr">
        <is>
          <t>ARVIKA</t>
        </is>
      </c>
      <c r="G15553" t="n">
        <v>3.9</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29483-2024</t>
        </is>
      </c>
      <c r="B15554" s="1" t="n">
        <v>45484</v>
      </c>
      <c r="C15554" s="1" t="n">
        <v>45810</v>
      </c>
      <c r="D15554" t="inlineStr">
        <is>
          <t>VÄRMLANDS LÄN</t>
        </is>
      </c>
      <c r="E15554" t="inlineStr">
        <is>
          <t>ÅRJÄNG</t>
        </is>
      </c>
      <c r="G15554" t="n">
        <v>1.1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29474-2024</t>
        </is>
      </c>
      <c r="B15555" s="1" t="n">
        <v>45484</v>
      </c>
      <c r="C15555" s="1" t="n">
        <v>45810</v>
      </c>
      <c r="D15555" t="inlineStr">
        <is>
          <t>VÄRMLANDS LÄN</t>
        </is>
      </c>
      <c r="E15555" t="inlineStr">
        <is>
          <t>FILIPSTAD</t>
        </is>
      </c>
      <c r="G15555" t="n">
        <v>1.1</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29582-2024</t>
        </is>
      </c>
      <c r="B15556" s="1" t="n">
        <v>45484</v>
      </c>
      <c r="C15556" s="1" t="n">
        <v>45810</v>
      </c>
      <c r="D15556" t="inlineStr">
        <is>
          <t>VÄRMLANDS LÄN</t>
        </is>
      </c>
      <c r="E15556" t="inlineStr">
        <is>
          <t>GRUMS</t>
        </is>
      </c>
      <c r="F15556" t="inlineStr">
        <is>
          <t>Bergvik skog väst AB</t>
        </is>
      </c>
      <c r="G15556" t="n">
        <v>3.1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29558-2024</t>
        </is>
      </c>
      <c r="B15557" s="1" t="n">
        <v>45484</v>
      </c>
      <c r="C15557" s="1" t="n">
        <v>45810</v>
      </c>
      <c r="D15557" t="inlineStr">
        <is>
          <t>VÄRMLANDS LÄN</t>
        </is>
      </c>
      <c r="E15557" t="inlineStr">
        <is>
          <t>ÅRJÄNG</t>
        </is>
      </c>
      <c r="G15557" t="n">
        <v>1.1</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29486-2024</t>
        </is>
      </c>
      <c r="B15558" s="1" t="n">
        <v>45484</v>
      </c>
      <c r="C15558" s="1" t="n">
        <v>45810</v>
      </c>
      <c r="D15558" t="inlineStr">
        <is>
          <t>VÄRMLANDS LÄN</t>
        </is>
      </c>
      <c r="E15558" t="inlineStr">
        <is>
          <t>ÅRJÄNG</t>
        </is>
      </c>
      <c r="G15558" t="n">
        <v>0.9</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29473-2024</t>
        </is>
      </c>
      <c r="B15559" s="1" t="n">
        <v>45484</v>
      </c>
      <c r="C15559" s="1" t="n">
        <v>45810</v>
      </c>
      <c r="D15559" t="inlineStr">
        <is>
          <t>VÄRMLANDS LÄN</t>
        </is>
      </c>
      <c r="E15559" t="inlineStr">
        <is>
          <t>FILIPSTAD</t>
        </is>
      </c>
      <c r="G15559" t="n">
        <v>1.1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29827-2024</t>
        </is>
      </c>
      <c r="B15560" s="1" t="n">
        <v>45485</v>
      </c>
      <c r="C15560" s="1" t="n">
        <v>45810</v>
      </c>
      <c r="D15560" t="inlineStr">
        <is>
          <t>VÄRMLANDS LÄN</t>
        </is>
      </c>
      <c r="E15560" t="inlineStr">
        <is>
          <t>HAGFORS</t>
        </is>
      </c>
      <c r="F15560" t="inlineStr">
        <is>
          <t>Bergvik skog väst AB</t>
        </is>
      </c>
      <c r="G15560" t="n">
        <v>13.4</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29807-2024</t>
        </is>
      </c>
      <c r="B15561" s="1" t="n">
        <v>45485</v>
      </c>
      <c r="C15561" s="1" t="n">
        <v>45810</v>
      </c>
      <c r="D15561" t="inlineStr">
        <is>
          <t>VÄRMLANDS LÄN</t>
        </is>
      </c>
      <c r="E15561" t="inlineStr">
        <is>
          <t>SÄFFLE</t>
        </is>
      </c>
      <c r="F15561" t="inlineStr">
        <is>
          <t>Bergvik skog väst AB</t>
        </is>
      </c>
      <c r="G15561" t="n">
        <v>2</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29726-2024</t>
        </is>
      </c>
      <c r="B15562" s="1" t="n">
        <v>45485</v>
      </c>
      <c r="C15562" s="1" t="n">
        <v>45810</v>
      </c>
      <c r="D15562" t="inlineStr">
        <is>
          <t>VÄRMLANDS LÄN</t>
        </is>
      </c>
      <c r="E15562" t="inlineStr">
        <is>
          <t>HAGFORS</t>
        </is>
      </c>
      <c r="G15562" t="n">
        <v>0.5</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29730-2024</t>
        </is>
      </c>
      <c r="B15563" s="1" t="n">
        <v>45485</v>
      </c>
      <c r="C15563" s="1" t="n">
        <v>45810</v>
      </c>
      <c r="D15563" t="inlineStr">
        <is>
          <t>VÄRMLANDS LÄN</t>
        </is>
      </c>
      <c r="E15563" t="inlineStr">
        <is>
          <t>EDA</t>
        </is>
      </c>
      <c r="G15563" t="n">
        <v>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29759-2024</t>
        </is>
      </c>
      <c r="B15564" s="1" t="n">
        <v>45485</v>
      </c>
      <c r="C15564" s="1" t="n">
        <v>45810</v>
      </c>
      <c r="D15564" t="inlineStr">
        <is>
          <t>VÄRMLANDS LÄN</t>
        </is>
      </c>
      <c r="E15564" t="inlineStr">
        <is>
          <t>TORSBY</t>
        </is>
      </c>
      <c r="F15564" t="inlineStr">
        <is>
          <t>Bergvik skog väst AB</t>
        </is>
      </c>
      <c r="G15564" t="n">
        <v>2.1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29745-2024</t>
        </is>
      </c>
      <c r="B15565" s="1" t="n">
        <v>45485</v>
      </c>
      <c r="C15565" s="1" t="n">
        <v>45810</v>
      </c>
      <c r="D15565" t="inlineStr">
        <is>
          <t>VÄRMLANDS LÄN</t>
        </is>
      </c>
      <c r="E15565" t="inlineStr">
        <is>
          <t>MUNKFORS</t>
        </is>
      </c>
      <c r="G15565" t="n">
        <v>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29785-2024</t>
        </is>
      </c>
      <c r="B15566" s="1" t="n">
        <v>45485</v>
      </c>
      <c r="C15566" s="1" t="n">
        <v>45810</v>
      </c>
      <c r="D15566" t="inlineStr">
        <is>
          <t>VÄRMLANDS LÄN</t>
        </is>
      </c>
      <c r="E15566" t="inlineStr">
        <is>
          <t>ARVIKA</t>
        </is>
      </c>
      <c r="G15566" t="n">
        <v>0.8</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29852-2024</t>
        </is>
      </c>
      <c r="B15567" s="1" t="n">
        <v>45485</v>
      </c>
      <c r="C15567" s="1" t="n">
        <v>45810</v>
      </c>
      <c r="D15567" t="inlineStr">
        <is>
          <t>VÄRMLANDS LÄN</t>
        </is>
      </c>
      <c r="E15567" t="inlineStr">
        <is>
          <t>TORSBY</t>
        </is>
      </c>
      <c r="F15567" t="inlineStr">
        <is>
          <t>Bergvik skog väst AB</t>
        </is>
      </c>
      <c r="G15567" t="n">
        <v>9.1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29898-2024</t>
        </is>
      </c>
      <c r="B15568" s="1" t="n">
        <v>45487</v>
      </c>
      <c r="C15568" s="1" t="n">
        <v>45810</v>
      </c>
      <c r="D15568" t="inlineStr">
        <is>
          <t>VÄRMLANDS LÄN</t>
        </is>
      </c>
      <c r="E15568" t="inlineStr">
        <is>
          <t>TORSBY</t>
        </is>
      </c>
      <c r="G15568" t="n">
        <v>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29910-2024</t>
        </is>
      </c>
      <c r="B15569" s="1" t="n">
        <v>45487</v>
      </c>
      <c r="C15569" s="1" t="n">
        <v>45810</v>
      </c>
      <c r="D15569" t="inlineStr">
        <is>
          <t>VÄRMLANDS LÄN</t>
        </is>
      </c>
      <c r="E15569" t="inlineStr">
        <is>
          <t>EDA</t>
        </is>
      </c>
      <c r="G15569" t="n">
        <v>1.6</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29895-2024</t>
        </is>
      </c>
      <c r="B15570" s="1" t="n">
        <v>45487</v>
      </c>
      <c r="C15570" s="1" t="n">
        <v>45810</v>
      </c>
      <c r="D15570" t="inlineStr">
        <is>
          <t>VÄRMLANDS LÄN</t>
        </is>
      </c>
      <c r="E15570" t="inlineStr">
        <is>
          <t>TORSBY</t>
        </is>
      </c>
      <c r="G15570" t="n">
        <v>7.2</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29911-2024</t>
        </is>
      </c>
      <c r="B15571" s="1" t="n">
        <v>45487</v>
      </c>
      <c r="C15571" s="1" t="n">
        <v>45810</v>
      </c>
      <c r="D15571" t="inlineStr">
        <is>
          <t>VÄRMLANDS LÄN</t>
        </is>
      </c>
      <c r="E15571" t="inlineStr">
        <is>
          <t>EDA</t>
        </is>
      </c>
      <c r="G15571" t="n">
        <v>0.8</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29893-2024</t>
        </is>
      </c>
      <c r="B15572" s="1" t="n">
        <v>45487</v>
      </c>
      <c r="C15572" s="1" t="n">
        <v>45810</v>
      </c>
      <c r="D15572" t="inlineStr">
        <is>
          <t>VÄRMLANDS LÄN</t>
        </is>
      </c>
      <c r="E15572" t="inlineStr">
        <is>
          <t>KARLSTAD</t>
        </is>
      </c>
      <c r="G15572" t="n">
        <v>2.8</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29897-2024</t>
        </is>
      </c>
      <c r="B15573" s="1" t="n">
        <v>45487</v>
      </c>
      <c r="C15573" s="1" t="n">
        <v>45810</v>
      </c>
      <c r="D15573" t="inlineStr">
        <is>
          <t>VÄRMLANDS LÄN</t>
        </is>
      </c>
      <c r="E15573" t="inlineStr">
        <is>
          <t>TORSBY</t>
        </is>
      </c>
      <c r="G15573" t="n">
        <v>1.9</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30015-2024</t>
        </is>
      </c>
      <c r="B15574" s="1" t="n">
        <v>45488</v>
      </c>
      <c r="C15574" s="1" t="n">
        <v>45810</v>
      </c>
      <c r="D15574" t="inlineStr">
        <is>
          <t>VÄRMLANDS LÄN</t>
        </is>
      </c>
      <c r="E15574" t="inlineStr">
        <is>
          <t>SÄFFLE</t>
        </is>
      </c>
      <c r="G15574" t="n">
        <v>11.1</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29936-2024</t>
        </is>
      </c>
      <c r="B15575" s="1" t="n">
        <v>45488</v>
      </c>
      <c r="C15575" s="1" t="n">
        <v>45810</v>
      </c>
      <c r="D15575" t="inlineStr">
        <is>
          <t>VÄRMLANDS LÄN</t>
        </is>
      </c>
      <c r="E15575" t="inlineStr">
        <is>
          <t>TORSBY</t>
        </is>
      </c>
      <c r="F15575" t="inlineStr">
        <is>
          <t>Kommuner</t>
        </is>
      </c>
      <c r="G15575" t="n">
        <v>1.3</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29925-2024</t>
        </is>
      </c>
      <c r="B15576" s="1" t="n">
        <v>45488</v>
      </c>
      <c r="C15576" s="1" t="n">
        <v>45810</v>
      </c>
      <c r="D15576" t="inlineStr">
        <is>
          <t>VÄRMLANDS LÄN</t>
        </is>
      </c>
      <c r="E15576" t="inlineStr">
        <is>
          <t>TORSBY</t>
        </is>
      </c>
      <c r="F15576" t="inlineStr">
        <is>
          <t>Kyrkan</t>
        </is>
      </c>
      <c r="G15576" t="n">
        <v>7.9</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30002-2024</t>
        </is>
      </c>
      <c r="B15577" s="1" t="n">
        <v>45488</v>
      </c>
      <c r="C15577" s="1" t="n">
        <v>45810</v>
      </c>
      <c r="D15577" t="inlineStr">
        <is>
          <t>VÄRMLANDS LÄN</t>
        </is>
      </c>
      <c r="E15577" t="inlineStr">
        <is>
          <t>TORSBY</t>
        </is>
      </c>
      <c r="F15577" t="inlineStr">
        <is>
          <t>Kommuner</t>
        </is>
      </c>
      <c r="G15577" t="n">
        <v>3.1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30011-2024</t>
        </is>
      </c>
      <c r="B15578" s="1" t="n">
        <v>45488</v>
      </c>
      <c r="C15578" s="1" t="n">
        <v>45810</v>
      </c>
      <c r="D15578" t="inlineStr">
        <is>
          <t>VÄRMLANDS LÄN</t>
        </is>
      </c>
      <c r="E15578" t="inlineStr">
        <is>
          <t>TORSBY</t>
        </is>
      </c>
      <c r="F15578" t="inlineStr">
        <is>
          <t>Kommuner</t>
        </is>
      </c>
      <c r="G15578" t="n">
        <v>4.7</v>
      </c>
      <c r="H15578" t="n">
        <v>0</v>
      </c>
      <c r="I15578" t="n">
        <v>0</v>
      </c>
      <c r="J15578" t="n">
        <v>0</v>
      </c>
      <c r="K15578" t="n">
        <v>0</v>
      </c>
      <c r="L15578" t="n">
        <v>0</v>
      </c>
      <c r="M15578" t="n">
        <v>0</v>
      </c>
      <c r="N15578" t="n">
        <v>0</v>
      </c>
      <c r="O15578" t="n">
        <v>0</v>
      </c>
      <c r="P15578" t="n">
        <v>0</v>
      </c>
      <c r="Q15578" t="n">
        <v>0</v>
      </c>
      <c r="R15578" s="2" t="inlineStr"/>
    </row>
    <row r="15579" ht="15" customHeight="1">
      <c r="A15579" t="inlineStr">
        <is>
          <t>A 29940-2024</t>
        </is>
      </c>
      <c r="B15579" s="1" t="n">
        <v>45488</v>
      </c>
      <c r="C15579" s="1" t="n">
        <v>45810</v>
      </c>
      <c r="D15579" t="inlineStr">
        <is>
          <t>VÄRMLANDS LÄN</t>
        </is>
      </c>
      <c r="E15579" t="inlineStr">
        <is>
          <t>SUNNE</t>
        </is>
      </c>
      <c r="G15579" t="n">
        <v>2.3</v>
      </c>
      <c r="H15579" t="n">
        <v>0</v>
      </c>
      <c r="I15579" t="n">
        <v>0</v>
      </c>
      <c r="J15579" t="n">
        <v>0</v>
      </c>
      <c r="K15579" t="n">
        <v>0</v>
      </c>
      <c r="L15579" t="n">
        <v>0</v>
      </c>
      <c r="M15579" t="n">
        <v>0</v>
      </c>
      <c r="N15579" t="n">
        <v>0</v>
      </c>
      <c r="O15579" t="n">
        <v>0</v>
      </c>
      <c r="P15579" t="n">
        <v>0</v>
      </c>
      <c r="Q15579" t="n">
        <v>0</v>
      </c>
      <c r="R15579" s="2" t="inlineStr"/>
    </row>
    <row r="15580" ht="15" customHeight="1">
      <c r="A15580" t="inlineStr">
        <is>
          <t>A 29926-2024</t>
        </is>
      </c>
      <c r="B15580" s="1" t="n">
        <v>45488</v>
      </c>
      <c r="C15580" s="1" t="n">
        <v>45810</v>
      </c>
      <c r="D15580" t="inlineStr">
        <is>
          <t>VÄRMLANDS LÄN</t>
        </is>
      </c>
      <c r="E15580" t="inlineStr">
        <is>
          <t>TORSBY</t>
        </is>
      </c>
      <c r="F15580" t="inlineStr">
        <is>
          <t>Kommuner</t>
        </is>
      </c>
      <c r="G15580" t="n">
        <v>1.1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29939-2024</t>
        </is>
      </c>
      <c r="B15581" s="1" t="n">
        <v>45488</v>
      </c>
      <c r="C15581" s="1" t="n">
        <v>45810</v>
      </c>
      <c r="D15581" t="inlineStr">
        <is>
          <t>VÄRMLANDS LÄN</t>
        </is>
      </c>
      <c r="E15581" t="inlineStr">
        <is>
          <t>KARLSTAD</t>
        </is>
      </c>
      <c r="G15581" t="n">
        <v>8.6</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30036-2024</t>
        </is>
      </c>
      <c r="B15582" s="1" t="n">
        <v>45488</v>
      </c>
      <c r="C15582" s="1" t="n">
        <v>45810</v>
      </c>
      <c r="D15582" t="inlineStr">
        <is>
          <t>VÄRMLANDS LÄN</t>
        </is>
      </c>
      <c r="E15582" t="inlineStr">
        <is>
          <t>SUNNE</t>
        </is>
      </c>
      <c r="G15582" t="n">
        <v>1.8</v>
      </c>
      <c r="H15582" t="n">
        <v>0</v>
      </c>
      <c r="I15582" t="n">
        <v>0</v>
      </c>
      <c r="J15582" t="n">
        <v>0</v>
      </c>
      <c r="K15582" t="n">
        <v>0</v>
      </c>
      <c r="L15582" t="n">
        <v>0</v>
      </c>
      <c r="M15582" t="n">
        <v>0</v>
      </c>
      <c r="N15582" t="n">
        <v>0</v>
      </c>
      <c r="O15582" t="n">
        <v>0</v>
      </c>
      <c r="P15582" t="n">
        <v>0</v>
      </c>
      <c r="Q15582" t="n">
        <v>0</v>
      </c>
      <c r="R15582" s="2" t="inlineStr"/>
    </row>
    <row r="15583" ht="15" customHeight="1">
      <c r="A15583" t="inlineStr">
        <is>
          <t>A 29958-2024</t>
        </is>
      </c>
      <c r="B15583" s="1" t="n">
        <v>45488</v>
      </c>
      <c r="C15583" s="1" t="n">
        <v>45810</v>
      </c>
      <c r="D15583" t="inlineStr">
        <is>
          <t>VÄRMLANDS LÄN</t>
        </is>
      </c>
      <c r="E15583" t="inlineStr">
        <is>
          <t>SUNNE</t>
        </is>
      </c>
      <c r="G15583" t="n">
        <v>0.9</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30158-2024</t>
        </is>
      </c>
      <c r="B15584" s="1" t="n">
        <v>45489</v>
      </c>
      <c r="C15584" s="1" t="n">
        <v>45810</v>
      </c>
      <c r="D15584" t="inlineStr">
        <is>
          <t>VÄRMLANDS LÄN</t>
        </is>
      </c>
      <c r="E15584" t="inlineStr">
        <is>
          <t>HAGFORS</t>
        </is>
      </c>
      <c r="G15584" t="n">
        <v>0.8</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30074-2024</t>
        </is>
      </c>
      <c r="B15585" s="1" t="n">
        <v>45489</v>
      </c>
      <c r="C15585" s="1" t="n">
        <v>45810</v>
      </c>
      <c r="D15585" t="inlineStr">
        <is>
          <t>VÄRMLANDS LÄN</t>
        </is>
      </c>
      <c r="E15585" t="inlineStr">
        <is>
          <t>TORSBY</t>
        </is>
      </c>
      <c r="F15585" t="inlineStr">
        <is>
          <t>Kyrkan</t>
        </is>
      </c>
      <c r="G15585" t="n">
        <v>6.5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30156-2024</t>
        </is>
      </c>
      <c r="B15586" s="1" t="n">
        <v>45489</v>
      </c>
      <c r="C15586" s="1" t="n">
        <v>45810</v>
      </c>
      <c r="D15586" t="inlineStr">
        <is>
          <t>VÄRMLANDS LÄN</t>
        </is>
      </c>
      <c r="E15586" t="inlineStr">
        <is>
          <t>ÅRJÄNG</t>
        </is>
      </c>
      <c r="G15586" t="n">
        <v>1.4</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30239-2024</t>
        </is>
      </c>
      <c r="B15587" s="1" t="n">
        <v>45490</v>
      </c>
      <c r="C15587" s="1" t="n">
        <v>45810</v>
      </c>
      <c r="D15587" t="inlineStr">
        <is>
          <t>VÄRMLANDS LÄN</t>
        </is>
      </c>
      <c r="E15587" t="inlineStr">
        <is>
          <t>SÄFFLE</t>
        </is>
      </c>
      <c r="G15587" t="n">
        <v>7.4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30218-2024</t>
        </is>
      </c>
      <c r="B15588" s="1" t="n">
        <v>45490</v>
      </c>
      <c r="C15588" s="1" t="n">
        <v>45810</v>
      </c>
      <c r="D15588" t="inlineStr">
        <is>
          <t>VÄRMLANDS LÄN</t>
        </is>
      </c>
      <c r="E15588" t="inlineStr">
        <is>
          <t>SUNNE</t>
        </is>
      </c>
      <c r="F15588" t="inlineStr">
        <is>
          <t>Bergvik skog väst AB</t>
        </is>
      </c>
      <c r="G15588" t="n">
        <v>1.1</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30304-2024</t>
        </is>
      </c>
      <c r="B15589" s="1" t="n">
        <v>45490</v>
      </c>
      <c r="C15589" s="1" t="n">
        <v>45810</v>
      </c>
      <c r="D15589" t="inlineStr">
        <is>
          <t>VÄRMLANDS LÄN</t>
        </is>
      </c>
      <c r="E15589" t="inlineStr">
        <is>
          <t>SUNNE</t>
        </is>
      </c>
      <c r="G15589" t="n">
        <v>0.6</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30267-2024</t>
        </is>
      </c>
      <c r="B15590" s="1" t="n">
        <v>45490</v>
      </c>
      <c r="C15590" s="1" t="n">
        <v>45810</v>
      </c>
      <c r="D15590" t="inlineStr">
        <is>
          <t>VÄRMLANDS LÄN</t>
        </is>
      </c>
      <c r="E15590" t="inlineStr">
        <is>
          <t>TORSBY</t>
        </is>
      </c>
      <c r="F15590" t="inlineStr">
        <is>
          <t>Bergvik skog väst AB</t>
        </is>
      </c>
      <c r="G15590" t="n">
        <v>4.9</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30266-2024</t>
        </is>
      </c>
      <c r="B15591" s="1" t="n">
        <v>45490</v>
      </c>
      <c r="C15591" s="1" t="n">
        <v>45810</v>
      </c>
      <c r="D15591" t="inlineStr">
        <is>
          <t>VÄRMLANDS LÄN</t>
        </is>
      </c>
      <c r="E15591" t="inlineStr">
        <is>
          <t>MUNKFORS</t>
        </is>
      </c>
      <c r="F15591" t="inlineStr">
        <is>
          <t>Bergvik skog väst AB</t>
        </is>
      </c>
      <c r="G15591" t="n">
        <v>6</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30387-2024</t>
        </is>
      </c>
      <c r="B15592" s="1" t="n">
        <v>45491</v>
      </c>
      <c r="C15592" s="1" t="n">
        <v>45810</v>
      </c>
      <c r="D15592" t="inlineStr">
        <is>
          <t>VÄRMLANDS LÄN</t>
        </is>
      </c>
      <c r="E15592" t="inlineStr">
        <is>
          <t>SÄFFLE</t>
        </is>
      </c>
      <c r="G15592" t="n">
        <v>0.6</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30369-2024</t>
        </is>
      </c>
      <c r="B15593" s="1" t="n">
        <v>45491</v>
      </c>
      <c r="C15593" s="1" t="n">
        <v>45810</v>
      </c>
      <c r="D15593" t="inlineStr">
        <is>
          <t>VÄRMLANDS LÄN</t>
        </is>
      </c>
      <c r="E15593" t="inlineStr">
        <is>
          <t>EDA</t>
        </is>
      </c>
      <c r="G15593" t="n">
        <v>1.6</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30403-2024</t>
        </is>
      </c>
      <c r="B15594" s="1" t="n">
        <v>45491</v>
      </c>
      <c r="C15594" s="1" t="n">
        <v>45810</v>
      </c>
      <c r="D15594" t="inlineStr">
        <is>
          <t>VÄRMLANDS LÄN</t>
        </is>
      </c>
      <c r="E15594" t="inlineStr">
        <is>
          <t>TORSBY</t>
        </is>
      </c>
      <c r="G15594" t="n">
        <v>3</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30535-2024</t>
        </is>
      </c>
      <c r="B15595" s="1" t="n">
        <v>45492</v>
      </c>
      <c r="C15595" s="1" t="n">
        <v>45810</v>
      </c>
      <c r="D15595" t="inlineStr">
        <is>
          <t>VÄRMLANDS LÄN</t>
        </is>
      </c>
      <c r="E15595" t="inlineStr">
        <is>
          <t>HAGFORS</t>
        </is>
      </c>
      <c r="F15595" t="inlineStr">
        <is>
          <t>Bergvik skog väst AB</t>
        </is>
      </c>
      <c r="G15595" t="n">
        <v>4.6</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30520-2024</t>
        </is>
      </c>
      <c r="B15596" s="1" t="n">
        <v>45492</v>
      </c>
      <c r="C15596" s="1" t="n">
        <v>45810</v>
      </c>
      <c r="D15596" t="inlineStr">
        <is>
          <t>VÄRMLANDS LÄN</t>
        </is>
      </c>
      <c r="E15596" t="inlineStr">
        <is>
          <t>HAGFORS</t>
        </is>
      </c>
      <c r="F15596" t="inlineStr">
        <is>
          <t>Kyrkan</t>
        </is>
      </c>
      <c r="G15596" t="n">
        <v>5.7</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30512-2024</t>
        </is>
      </c>
      <c r="B15597" s="1" t="n">
        <v>45492</v>
      </c>
      <c r="C15597" s="1" t="n">
        <v>45810</v>
      </c>
      <c r="D15597" t="inlineStr">
        <is>
          <t>VÄRMLANDS LÄN</t>
        </is>
      </c>
      <c r="E15597" t="inlineStr">
        <is>
          <t>HAGFORS</t>
        </is>
      </c>
      <c r="F15597" t="inlineStr">
        <is>
          <t>Kyrkan</t>
        </is>
      </c>
      <c r="G15597" t="n">
        <v>9.300000000000001</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30540-2024</t>
        </is>
      </c>
      <c r="B15598" s="1" t="n">
        <v>45492</v>
      </c>
      <c r="C15598" s="1" t="n">
        <v>45810</v>
      </c>
      <c r="D15598" t="inlineStr">
        <is>
          <t>VÄRMLANDS LÄN</t>
        </is>
      </c>
      <c r="E15598" t="inlineStr">
        <is>
          <t>FILIPSTAD</t>
        </is>
      </c>
      <c r="G15598" t="n">
        <v>1.7</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30552-2024</t>
        </is>
      </c>
      <c r="B15599" s="1" t="n">
        <v>45492</v>
      </c>
      <c r="C15599" s="1" t="n">
        <v>45810</v>
      </c>
      <c r="D15599" t="inlineStr">
        <is>
          <t>VÄRMLANDS LÄN</t>
        </is>
      </c>
      <c r="E15599" t="inlineStr">
        <is>
          <t>FILIPSTAD</t>
        </is>
      </c>
      <c r="G15599" t="n">
        <v>4.3</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30624-2024</t>
        </is>
      </c>
      <c r="B15600" s="1" t="n">
        <v>45495</v>
      </c>
      <c r="C15600" s="1" t="n">
        <v>45810</v>
      </c>
      <c r="D15600" t="inlineStr">
        <is>
          <t>VÄRMLANDS LÄN</t>
        </is>
      </c>
      <c r="E15600" t="inlineStr">
        <is>
          <t>SÄFFLE</t>
        </is>
      </c>
      <c r="G15600" t="n">
        <v>2.6</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30619-2024</t>
        </is>
      </c>
      <c r="B15601" s="1" t="n">
        <v>45495</v>
      </c>
      <c r="C15601" s="1" t="n">
        <v>45810</v>
      </c>
      <c r="D15601" t="inlineStr">
        <is>
          <t>VÄRMLANDS LÄN</t>
        </is>
      </c>
      <c r="E15601" t="inlineStr">
        <is>
          <t>SÄFFLE</t>
        </is>
      </c>
      <c r="G15601" t="n">
        <v>5.9</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30659-2024</t>
        </is>
      </c>
      <c r="B15602" s="1" t="n">
        <v>45495</v>
      </c>
      <c r="C15602" s="1" t="n">
        <v>45810</v>
      </c>
      <c r="D15602" t="inlineStr">
        <is>
          <t>VÄRMLANDS LÄN</t>
        </is>
      </c>
      <c r="E15602" t="inlineStr">
        <is>
          <t>EDA</t>
        </is>
      </c>
      <c r="G15602" t="n">
        <v>4.8</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30609-2024</t>
        </is>
      </c>
      <c r="B15603" s="1" t="n">
        <v>45495</v>
      </c>
      <c r="C15603" s="1" t="n">
        <v>45810</v>
      </c>
      <c r="D15603" t="inlineStr">
        <is>
          <t>VÄRMLANDS LÄN</t>
        </is>
      </c>
      <c r="E15603" t="inlineStr">
        <is>
          <t>ARVIKA</t>
        </is>
      </c>
      <c r="G15603" t="n">
        <v>2.2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30625-2024</t>
        </is>
      </c>
      <c r="B15604" s="1" t="n">
        <v>45495</v>
      </c>
      <c r="C15604" s="1" t="n">
        <v>45810</v>
      </c>
      <c r="D15604" t="inlineStr">
        <is>
          <t>VÄRMLANDS LÄN</t>
        </is>
      </c>
      <c r="E15604" t="inlineStr">
        <is>
          <t>ARVIKA</t>
        </is>
      </c>
      <c r="G15604" t="n">
        <v>1</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30629-2024</t>
        </is>
      </c>
      <c r="B15605" s="1" t="n">
        <v>45495</v>
      </c>
      <c r="C15605" s="1" t="n">
        <v>45810</v>
      </c>
      <c r="D15605" t="inlineStr">
        <is>
          <t>VÄRMLANDS LÄN</t>
        </is>
      </c>
      <c r="E15605" t="inlineStr">
        <is>
          <t>TORSBY</t>
        </is>
      </c>
      <c r="F15605" t="inlineStr">
        <is>
          <t>Bergvik skog väst AB</t>
        </is>
      </c>
      <c r="G15605" t="n">
        <v>12.8</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30645-2024</t>
        </is>
      </c>
      <c r="B15606" s="1" t="n">
        <v>45495</v>
      </c>
      <c r="C15606" s="1" t="n">
        <v>45810</v>
      </c>
      <c r="D15606" t="inlineStr">
        <is>
          <t>VÄRMLANDS LÄN</t>
        </is>
      </c>
      <c r="E15606" t="inlineStr">
        <is>
          <t>SUNNE</t>
        </is>
      </c>
      <c r="F15606" t="inlineStr">
        <is>
          <t>Bergvik skog väst AB</t>
        </is>
      </c>
      <c r="G15606" t="n">
        <v>4.1</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30649-2024</t>
        </is>
      </c>
      <c r="B15607" s="1" t="n">
        <v>45495</v>
      </c>
      <c r="C15607" s="1" t="n">
        <v>45810</v>
      </c>
      <c r="D15607" t="inlineStr">
        <is>
          <t>VÄRMLANDS LÄN</t>
        </is>
      </c>
      <c r="E15607" t="inlineStr">
        <is>
          <t>SUNNE</t>
        </is>
      </c>
      <c r="F15607" t="inlineStr">
        <is>
          <t>Bergvik skog väst AB</t>
        </is>
      </c>
      <c r="G15607" t="n">
        <v>2.5</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30669-2024</t>
        </is>
      </c>
      <c r="B15608" s="1" t="n">
        <v>45495</v>
      </c>
      <c r="C15608" s="1" t="n">
        <v>45810</v>
      </c>
      <c r="D15608" t="inlineStr">
        <is>
          <t>VÄRMLANDS LÄN</t>
        </is>
      </c>
      <c r="E15608" t="inlineStr">
        <is>
          <t>SUNNE</t>
        </is>
      </c>
      <c r="G15608" t="n">
        <v>1.1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30646-2024</t>
        </is>
      </c>
      <c r="B15609" s="1" t="n">
        <v>45495</v>
      </c>
      <c r="C15609" s="1" t="n">
        <v>45810</v>
      </c>
      <c r="D15609" t="inlineStr">
        <is>
          <t>VÄRMLANDS LÄN</t>
        </is>
      </c>
      <c r="E15609" t="inlineStr">
        <is>
          <t>FILIPSTAD</t>
        </is>
      </c>
      <c r="G15609" t="n">
        <v>4.6</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30664-2024</t>
        </is>
      </c>
      <c r="B15610" s="1" t="n">
        <v>45495</v>
      </c>
      <c r="C15610" s="1" t="n">
        <v>45810</v>
      </c>
      <c r="D15610" t="inlineStr">
        <is>
          <t>VÄRMLANDS LÄN</t>
        </is>
      </c>
      <c r="E15610" t="inlineStr">
        <is>
          <t>EDA</t>
        </is>
      </c>
      <c r="G15610" t="n">
        <v>1.8</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30730-2024</t>
        </is>
      </c>
      <c r="B15611" s="1" t="n">
        <v>45496</v>
      </c>
      <c r="C15611" s="1" t="n">
        <v>45810</v>
      </c>
      <c r="D15611" t="inlineStr">
        <is>
          <t>VÄRMLANDS LÄN</t>
        </is>
      </c>
      <c r="E15611" t="inlineStr">
        <is>
          <t>SUNNE</t>
        </is>
      </c>
      <c r="F15611" t="inlineStr">
        <is>
          <t>Bergvik skog väst AB</t>
        </is>
      </c>
      <c r="G15611" t="n">
        <v>1.1</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30726-2024</t>
        </is>
      </c>
      <c r="B15612" s="1" t="n">
        <v>45496</v>
      </c>
      <c r="C15612" s="1" t="n">
        <v>45810</v>
      </c>
      <c r="D15612" t="inlineStr">
        <is>
          <t>VÄRMLANDS LÄN</t>
        </is>
      </c>
      <c r="E15612" t="inlineStr">
        <is>
          <t>SÄFFLE</t>
        </is>
      </c>
      <c r="G15612" t="n">
        <v>3.3</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30718-2024</t>
        </is>
      </c>
      <c r="B15613" s="1" t="n">
        <v>45496</v>
      </c>
      <c r="C15613" s="1" t="n">
        <v>45810</v>
      </c>
      <c r="D15613" t="inlineStr">
        <is>
          <t>VÄRMLANDS LÄN</t>
        </is>
      </c>
      <c r="E15613" t="inlineStr">
        <is>
          <t>TORSBY</t>
        </is>
      </c>
      <c r="F15613" t="inlineStr">
        <is>
          <t>Bergvik skog väst AB</t>
        </is>
      </c>
      <c r="G15613" t="n">
        <v>2.1</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30714-2024</t>
        </is>
      </c>
      <c r="B15614" s="1" t="n">
        <v>45496</v>
      </c>
      <c r="C15614" s="1" t="n">
        <v>45810</v>
      </c>
      <c r="D15614" t="inlineStr">
        <is>
          <t>VÄRMLANDS LÄN</t>
        </is>
      </c>
      <c r="E15614" t="inlineStr">
        <is>
          <t>ARVIKA</t>
        </is>
      </c>
      <c r="G15614" t="n">
        <v>1.6</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30706-2024</t>
        </is>
      </c>
      <c r="B15615" s="1" t="n">
        <v>45496</v>
      </c>
      <c r="C15615" s="1" t="n">
        <v>45810</v>
      </c>
      <c r="D15615" t="inlineStr">
        <is>
          <t>VÄRMLANDS LÄN</t>
        </is>
      </c>
      <c r="E15615" t="inlineStr">
        <is>
          <t>TORSBY</t>
        </is>
      </c>
      <c r="F15615" t="inlineStr">
        <is>
          <t>Bergvik skog väst AB</t>
        </is>
      </c>
      <c r="G15615" t="n">
        <v>1.5</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30694-2024</t>
        </is>
      </c>
      <c r="B15616" s="1" t="n">
        <v>45496</v>
      </c>
      <c r="C15616" s="1" t="n">
        <v>45810</v>
      </c>
      <c r="D15616" t="inlineStr">
        <is>
          <t>VÄRMLANDS LÄN</t>
        </is>
      </c>
      <c r="E15616" t="inlineStr">
        <is>
          <t>HAGFORS</t>
        </is>
      </c>
      <c r="G15616" t="n">
        <v>1.5</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30720-2024</t>
        </is>
      </c>
      <c r="B15617" s="1" t="n">
        <v>45496</v>
      </c>
      <c r="C15617" s="1" t="n">
        <v>45810</v>
      </c>
      <c r="D15617" t="inlineStr">
        <is>
          <t>VÄRMLANDS LÄN</t>
        </is>
      </c>
      <c r="E15617" t="inlineStr">
        <is>
          <t>TORSBY</t>
        </is>
      </c>
      <c r="F15617" t="inlineStr">
        <is>
          <t>Bergvik skog väst AB</t>
        </is>
      </c>
      <c r="G15617" t="n">
        <v>4.5</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30700-2024</t>
        </is>
      </c>
      <c r="B15618" s="1" t="n">
        <v>45496</v>
      </c>
      <c r="C15618" s="1" t="n">
        <v>45810</v>
      </c>
      <c r="D15618" t="inlineStr">
        <is>
          <t>VÄRMLANDS LÄN</t>
        </is>
      </c>
      <c r="E15618" t="inlineStr">
        <is>
          <t>TORSBY</t>
        </is>
      </c>
      <c r="G15618" t="n">
        <v>7.2</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30696-2024</t>
        </is>
      </c>
      <c r="B15619" s="1" t="n">
        <v>45496</v>
      </c>
      <c r="C15619" s="1" t="n">
        <v>45810</v>
      </c>
      <c r="D15619" t="inlineStr">
        <is>
          <t>VÄRMLANDS LÄN</t>
        </is>
      </c>
      <c r="E15619" t="inlineStr">
        <is>
          <t>TORSBY</t>
        </is>
      </c>
      <c r="F15619" t="inlineStr">
        <is>
          <t>Bergvik skog väst AB</t>
        </is>
      </c>
      <c r="G15619" t="n">
        <v>9.9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30735-2024</t>
        </is>
      </c>
      <c r="B15620" s="1" t="n">
        <v>45496</v>
      </c>
      <c r="C15620" s="1" t="n">
        <v>45810</v>
      </c>
      <c r="D15620" t="inlineStr">
        <is>
          <t>VÄRMLANDS LÄN</t>
        </is>
      </c>
      <c r="E15620" t="inlineStr">
        <is>
          <t>SUNNE</t>
        </is>
      </c>
      <c r="F15620" t="inlineStr">
        <is>
          <t>Bergvik skog väst AB</t>
        </is>
      </c>
      <c r="G15620" t="n">
        <v>3.9</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30731-2024</t>
        </is>
      </c>
      <c r="B15621" s="1" t="n">
        <v>45496</v>
      </c>
      <c r="C15621" s="1" t="n">
        <v>45810</v>
      </c>
      <c r="D15621" t="inlineStr">
        <is>
          <t>VÄRMLANDS LÄN</t>
        </is>
      </c>
      <c r="E15621" t="inlineStr">
        <is>
          <t>HAGFORS</t>
        </is>
      </c>
      <c r="G15621" t="n">
        <v>9.4</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30715-2024</t>
        </is>
      </c>
      <c r="B15622" s="1" t="n">
        <v>45496</v>
      </c>
      <c r="C15622" s="1" t="n">
        <v>45810</v>
      </c>
      <c r="D15622" t="inlineStr">
        <is>
          <t>VÄRMLANDS LÄN</t>
        </is>
      </c>
      <c r="E15622" t="inlineStr">
        <is>
          <t>ARVIKA</t>
        </is>
      </c>
      <c r="G15622" t="n">
        <v>7.2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30707-2024</t>
        </is>
      </c>
      <c r="B15623" s="1" t="n">
        <v>45496</v>
      </c>
      <c r="C15623" s="1" t="n">
        <v>45810</v>
      </c>
      <c r="D15623" t="inlineStr">
        <is>
          <t>VÄRMLANDS LÄN</t>
        </is>
      </c>
      <c r="E15623" t="inlineStr">
        <is>
          <t>SUNNE</t>
        </is>
      </c>
      <c r="F15623" t="inlineStr">
        <is>
          <t>Kyrkan</t>
        </is>
      </c>
      <c r="G15623" t="n">
        <v>1.5</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30699-2024</t>
        </is>
      </c>
      <c r="B15624" s="1" t="n">
        <v>45496</v>
      </c>
      <c r="C15624" s="1" t="n">
        <v>45810</v>
      </c>
      <c r="D15624" t="inlineStr">
        <is>
          <t>VÄRMLANDS LÄN</t>
        </is>
      </c>
      <c r="E15624" t="inlineStr">
        <is>
          <t>TORSBY</t>
        </is>
      </c>
      <c r="F15624" t="inlineStr">
        <is>
          <t>Kyrkan</t>
        </is>
      </c>
      <c r="G15624" t="n">
        <v>4.3</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30705-2024</t>
        </is>
      </c>
      <c r="B15625" s="1" t="n">
        <v>45496</v>
      </c>
      <c r="C15625" s="1" t="n">
        <v>45810</v>
      </c>
      <c r="D15625" t="inlineStr">
        <is>
          <t>VÄRMLANDS LÄN</t>
        </is>
      </c>
      <c r="E15625" t="inlineStr">
        <is>
          <t>TORSBY</t>
        </is>
      </c>
      <c r="F15625" t="inlineStr">
        <is>
          <t>Bergvik skog väst AB</t>
        </is>
      </c>
      <c r="G15625" t="n">
        <v>1.4</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30693-2024</t>
        </is>
      </c>
      <c r="B15626" s="1" t="n">
        <v>45496</v>
      </c>
      <c r="C15626" s="1" t="n">
        <v>45810</v>
      </c>
      <c r="D15626" t="inlineStr">
        <is>
          <t>VÄRMLANDS LÄN</t>
        </is>
      </c>
      <c r="E15626" t="inlineStr">
        <is>
          <t>HAGFORS</t>
        </is>
      </c>
      <c r="G15626" t="n">
        <v>3.9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30856-2024</t>
        </is>
      </c>
      <c r="B15627" s="1" t="n">
        <v>45497</v>
      </c>
      <c r="C15627" s="1" t="n">
        <v>45810</v>
      </c>
      <c r="D15627" t="inlineStr">
        <is>
          <t>VÄRMLANDS LÄN</t>
        </is>
      </c>
      <c r="E15627" t="inlineStr">
        <is>
          <t>SUNNE</t>
        </is>
      </c>
      <c r="F15627" t="inlineStr">
        <is>
          <t>Bergvik skog väst AB</t>
        </is>
      </c>
      <c r="G15627" t="n">
        <v>1.2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30850-2024</t>
        </is>
      </c>
      <c r="B15628" s="1" t="n">
        <v>45497</v>
      </c>
      <c r="C15628" s="1" t="n">
        <v>45810</v>
      </c>
      <c r="D15628" t="inlineStr">
        <is>
          <t>VÄRMLANDS LÄN</t>
        </is>
      </c>
      <c r="E15628" t="inlineStr">
        <is>
          <t>SUNNE</t>
        </is>
      </c>
      <c r="F15628" t="inlineStr">
        <is>
          <t>Bergvik skog väst AB</t>
        </is>
      </c>
      <c r="G15628" t="n">
        <v>0.9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30857-2024</t>
        </is>
      </c>
      <c r="B15629" s="1" t="n">
        <v>45497</v>
      </c>
      <c r="C15629" s="1" t="n">
        <v>45810</v>
      </c>
      <c r="D15629" t="inlineStr">
        <is>
          <t>VÄRMLANDS LÄN</t>
        </is>
      </c>
      <c r="E15629" t="inlineStr">
        <is>
          <t>SUNNE</t>
        </is>
      </c>
      <c r="G15629" t="n">
        <v>0.7</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30853-2024</t>
        </is>
      </c>
      <c r="B15630" s="1" t="n">
        <v>45497</v>
      </c>
      <c r="C15630" s="1" t="n">
        <v>45810</v>
      </c>
      <c r="D15630" t="inlineStr">
        <is>
          <t>VÄRMLANDS LÄN</t>
        </is>
      </c>
      <c r="E15630" t="inlineStr">
        <is>
          <t>SUNNE</t>
        </is>
      </c>
      <c r="F15630" t="inlineStr">
        <is>
          <t>Bergvik skog väst AB</t>
        </is>
      </c>
      <c r="G15630" t="n">
        <v>0.8</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30833-2024</t>
        </is>
      </c>
      <c r="B15631" s="1" t="n">
        <v>45497</v>
      </c>
      <c r="C15631" s="1" t="n">
        <v>45810</v>
      </c>
      <c r="D15631" t="inlineStr">
        <is>
          <t>VÄRMLANDS LÄN</t>
        </is>
      </c>
      <c r="E15631" t="inlineStr">
        <is>
          <t>SUNNE</t>
        </is>
      </c>
      <c r="F15631" t="inlineStr">
        <is>
          <t>Bergvik skog väst AB</t>
        </is>
      </c>
      <c r="G15631" t="n">
        <v>2.4</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30829-2024</t>
        </is>
      </c>
      <c r="B15632" s="1" t="n">
        <v>45497</v>
      </c>
      <c r="C15632" s="1" t="n">
        <v>45810</v>
      </c>
      <c r="D15632" t="inlineStr">
        <is>
          <t>VÄRMLANDS LÄN</t>
        </is>
      </c>
      <c r="E15632" t="inlineStr">
        <is>
          <t>GRUMS</t>
        </is>
      </c>
      <c r="G15632" t="n">
        <v>2.1</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30859-2024</t>
        </is>
      </c>
      <c r="B15633" s="1" t="n">
        <v>45497</v>
      </c>
      <c r="C15633" s="1" t="n">
        <v>45810</v>
      </c>
      <c r="D15633" t="inlineStr">
        <is>
          <t>VÄRMLANDS LÄN</t>
        </is>
      </c>
      <c r="E15633" t="inlineStr">
        <is>
          <t>FORSHAGA</t>
        </is>
      </c>
      <c r="G15633" t="n">
        <v>3.8</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30855-2024</t>
        </is>
      </c>
      <c r="B15634" s="1" t="n">
        <v>45497</v>
      </c>
      <c r="C15634" s="1" t="n">
        <v>45810</v>
      </c>
      <c r="D15634" t="inlineStr">
        <is>
          <t>VÄRMLANDS LÄN</t>
        </is>
      </c>
      <c r="E15634" t="inlineStr">
        <is>
          <t>SUNNE</t>
        </is>
      </c>
      <c r="F15634" t="inlineStr">
        <is>
          <t>Bergvik skog väst AB</t>
        </is>
      </c>
      <c r="G15634" t="n">
        <v>0.4</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30832-2024</t>
        </is>
      </c>
      <c r="B15635" s="1" t="n">
        <v>45497</v>
      </c>
      <c r="C15635" s="1" t="n">
        <v>45810</v>
      </c>
      <c r="D15635" t="inlineStr">
        <is>
          <t>VÄRMLANDS LÄN</t>
        </is>
      </c>
      <c r="E15635" t="inlineStr">
        <is>
          <t>SUNNE</t>
        </is>
      </c>
      <c r="F15635" t="inlineStr">
        <is>
          <t>Bergvik skog väst AB</t>
        </is>
      </c>
      <c r="G15635" t="n">
        <v>1.4</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30790-2024</t>
        </is>
      </c>
      <c r="B15636" s="1" t="n">
        <v>45497</v>
      </c>
      <c r="C15636" s="1" t="n">
        <v>45810</v>
      </c>
      <c r="D15636" t="inlineStr">
        <is>
          <t>VÄRMLANDS LÄN</t>
        </is>
      </c>
      <c r="E15636" t="inlineStr">
        <is>
          <t>TORSBY</t>
        </is>
      </c>
      <c r="G15636" t="n">
        <v>49.9</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30789-2024</t>
        </is>
      </c>
      <c r="B15637" s="1" t="n">
        <v>45497</v>
      </c>
      <c r="C15637" s="1" t="n">
        <v>45810</v>
      </c>
      <c r="D15637" t="inlineStr">
        <is>
          <t>VÄRMLANDS LÄN</t>
        </is>
      </c>
      <c r="E15637" t="inlineStr">
        <is>
          <t>TORSBY</t>
        </is>
      </c>
      <c r="G15637" t="n">
        <v>5.2</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30869-2024</t>
        </is>
      </c>
      <c r="B15638" s="1" t="n">
        <v>45497</v>
      </c>
      <c r="C15638" s="1" t="n">
        <v>45810</v>
      </c>
      <c r="D15638" t="inlineStr">
        <is>
          <t>VÄRMLANDS LÄN</t>
        </is>
      </c>
      <c r="E15638" t="inlineStr">
        <is>
          <t>ARVIKA</t>
        </is>
      </c>
      <c r="G15638" t="n">
        <v>0.7</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30808-2024</t>
        </is>
      </c>
      <c r="B15639" s="1" t="n">
        <v>45497</v>
      </c>
      <c r="C15639" s="1" t="n">
        <v>45810</v>
      </c>
      <c r="D15639" t="inlineStr">
        <is>
          <t>VÄRMLANDS LÄN</t>
        </is>
      </c>
      <c r="E15639" t="inlineStr">
        <is>
          <t>SÄFFLE</t>
        </is>
      </c>
      <c r="G15639" t="n">
        <v>1.4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30827-2024</t>
        </is>
      </c>
      <c r="B15640" s="1" t="n">
        <v>45497</v>
      </c>
      <c r="C15640" s="1" t="n">
        <v>45810</v>
      </c>
      <c r="D15640" t="inlineStr">
        <is>
          <t>VÄRMLANDS LÄN</t>
        </is>
      </c>
      <c r="E15640" t="inlineStr">
        <is>
          <t>GRUMS</t>
        </is>
      </c>
      <c r="G15640" t="n">
        <v>2.2</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30803-2024</t>
        </is>
      </c>
      <c r="B15641" s="1" t="n">
        <v>45497</v>
      </c>
      <c r="C15641" s="1" t="n">
        <v>45810</v>
      </c>
      <c r="D15641" t="inlineStr">
        <is>
          <t>VÄRMLANDS LÄN</t>
        </is>
      </c>
      <c r="E15641" t="inlineStr">
        <is>
          <t>TORSBY</t>
        </is>
      </c>
      <c r="F15641" t="inlineStr">
        <is>
          <t>Kyrkan</t>
        </is>
      </c>
      <c r="G15641" t="n">
        <v>7.7</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30791-2024</t>
        </is>
      </c>
      <c r="B15642" s="1" t="n">
        <v>45497</v>
      </c>
      <c r="C15642" s="1" t="n">
        <v>45810</v>
      </c>
      <c r="D15642" t="inlineStr">
        <is>
          <t>VÄRMLANDS LÄN</t>
        </is>
      </c>
      <c r="E15642" t="inlineStr">
        <is>
          <t>TORSBY</t>
        </is>
      </c>
      <c r="G15642" t="n">
        <v>44.2</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30887-2024</t>
        </is>
      </c>
      <c r="B15643" s="1" t="n">
        <v>45498</v>
      </c>
      <c r="C15643" s="1" t="n">
        <v>45810</v>
      </c>
      <c r="D15643" t="inlineStr">
        <is>
          <t>VÄRMLANDS LÄN</t>
        </is>
      </c>
      <c r="E15643" t="inlineStr">
        <is>
          <t>SUNNE</t>
        </is>
      </c>
      <c r="G15643" t="n">
        <v>0.7</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30891-2024</t>
        </is>
      </c>
      <c r="B15644" s="1" t="n">
        <v>45498</v>
      </c>
      <c r="C15644" s="1" t="n">
        <v>45810</v>
      </c>
      <c r="D15644" t="inlineStr">
        <is>
          <t>VÄRMLANDS LÄN</t>
        </is>
      </c>
      <c r="E15644" t="inlineStr">
        <is>
          <t>ARVIKA</t>
        </is>
      </c>
      <c r="G15644" t="n">
        <v>1.4</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30873-2024</t>
        </is>
      </c>
      <c r="B15645" s="1" t="n">
        <v>45498</v>
      </c>
      <c r="C15645" s="1" t="n">
        <v>45810</v>
      </c>
      <c r="D15645" t="inlineStr">
        <is>
          <t>VÄRMLANDS LÄN</t>
        </is>
      </c>
      <c r="E15645" t="inlineStr">
        <is>
          <t>TORSBY</t>
        </is>
      </c>
      <c r="G15645" t="n">
        <v>4.8</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30895-2024</t>
        </is>
      </c>
      <c r="B15646" s="1" t="n">
        <v>45498</v>
      </c>
      <c r="C15646" s="1" t="n">
        <v>45810</v>
      </c>
      <c r="D15646" t="inlineStr">
        <is>
          <t>VÄRMLANDS LÄN</t>
        </is>
      </c>
      <c r="E15646" t="inlineStr">
        <is>
          <t>EDA</t>
        </is>
      </c>
      <c r="G15646" t="n">
        <v>0.8</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30940-2024</t>
        </is>
      </c>
      <c r="B15647" s="1" t="n">
        <v>45498</v>
      </c>
      <c r="C15647" s="1" t="n">
        <v>45810</v>
      </c>
      <c r="D15647" t="inlineStr">
        <is>
          <t>VÄRMLANDS LÄN</t>
        </is>
      </c>
      <c r="E15647" t="inlineStr">
        <is>
          <t>ARVIKA</t>
        </is>
      </c>
      <c r="G15647" t="n">
        <v>1</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30878-2024</t>
        </is>
      </c>
      <c r="B15648" s="1" t="n">
        <v>45498</v>
      </c>
      <c r="C15648" s="1" t="n">
        <v>45810</v>
      </c>
      <c r="D15648" t="inlineStr">
        <is>
          <t>VÄRMLANDS LÄN</t>
        </is>
      </c>
      <c r="E15648" t="inlineStr">
        <is>
          <t>SÄFFLE</t>
        </is>
      </c>
      <c r="G15648" t="n">
        <v>5.1</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30952-2024</t>
        </is>
      </c>
      <c r="B15649" s="1" t="n">
        <v>45499</v>
      </c>
      <c r="C15649" s="1" t="n">
        <v>45810</v>
      </c>
      <c r="D15649" t="inlineStr">
        <is>
          <t>VÄRMLANDS LÄN</t>
        </is>
      </c>
      <c r="E15649" t="inlineStr">
        <is>
          <t>TORSBY</t>
        </is>
      </c>
      <c r="F15649" t="inlineStr">
        <is>
          <t>Bergvik skog väst AB</t>
        </is>
      </c>
      <c r="G15649" t="n">
        <v>2.6</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30960-2024</t>
        </is>
      </c>
      <c r="B15650" s="1" t="n">
        <v>45499</v>
      </c>
      <c r="C15650" s="1" t="n">
        <v>45810</v>
      </c>
      <c r="D15650" t="inlineStr">
        <is>
          <t>VÄRMLANDS LÄN</t>
        </is>
      </c>
      <c r="E15650" t="inlineStr">
        <is>
          <t>ÅRJÄNG</t>
        </is>
      </c>
      <c r="F15650" t="inlineStr">
        <is>
          <t>Kyrkan</t>
        </is>
      </c>
      <c r="G15650" t="n">
        <v>5.9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30947-2024</t>
        </is>
      </c>
      <c r="B15651" s="1" t="n">
        <v>45499</v>
      </c>
      <c r="C15651" s="1" t="n">
        <v>45810</v>
      </c>
      <c r="D15651" t="inlineStr">
        <is>
          <t>VÄRMLANDS LÄN</t>
        </is>
      </c>
      <c r="E15651" t="inlineStr">
        <is>
          <t>TORSBY</t>
        </is>
      </c>
      <c r="F15651" t="inlineStr">
        <is>
          <t>Bergvik skog väst AB</t>
        </is>
      </c>
      <c r="G15651" t="n">
        <v>0.6</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30955-2024</t>
        </is>
      </c>
      <c r="B15652" s="1" t="n">
        <v>45499</v>
      </c>
      <c r="C15652" s="1" t="n">
        <v>45810</v>
      </c>
      <c r="D15652" t="inlineStr">
        <is>
          <t>VÄRMLANDS LÄN</t>
        </is>
      </c>
      <c r="E15652" t="inlineStr">
        <is>
          <t>HAGFORS</t>
        </is>
      </c>
      <c r="F15652" t="inlineStr">
        <is>
          <t>Bergvik skog väst AB</t>
        </is>
      </c>
      <c r="G15652" t="n">
        <v>21.1</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30993-2024</t>
        </is>
      </c>
      <c r="B15653" s="1" t="n">
        <v>45499</v>
      </c>
      <c r="C15653" s="1" t="n">
        <v>45810</v>
      </c>
      <c r="D15653" t="inlineStr">
        <is>
          <t>VÄRMLANDS LÄN</t>
        </is>
      </c>
      <c r="E15653" t="inlineStr">
        <is>
          <t>ÅRJÄNG</t>
        </is>
      </c>
      <c r="F15653" t="inlineStr">
        <is>
          <t>Kyrkan</t>
        </is>
      </c>
      <c r="G15653" t="n">
        <v>4.7</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30996-2024</t>
        </is>
      </c>
      <c r="B15654" s="1" t="n">
        <v>45499</v>
      </c>
      <c r="C15654" s="1" t="n">
        <v>45810</v>
      </c>
      <c r="D15654" t="inlineStr">
        <is>
          <t>VÄRMLANDS LÄN</t>
        </is>
      </c>
      <c r="E15654" t="inlineStr">
        <is>
          <t>ÅRJÄNG</t>
        </is>
      </c>
      <c r="F15654" t="inlineStr">
        <is>
          <t>Kyrkan</t>
        </is>
      </c>
      <c r="G15654" t="n">
        <v>2.3</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31005-2024</t>
        </is>
      </c>
      <c r="B15655" s="1" t="n">
        <v>45499</v>
      </c>
      <c r="C15655" s="1" t="n">
        <v>45810</v>
      </c>
      <c r="D15655" t="inlineStr">
        <is>
          <t>VÄRMLANDS LÄN</t>
        </is>
      </c>
      <c r="E15655" t="inlineStr">
        <is>
          <t>KIL</t>
        </is>
      </c>
      <c r="G15655" t="n">
        <v>3.1</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31004-2024</t>
        </is>
      </c>
      <c r="B15656" s="1" t="n">
        <v>45499</v>
      </c>
      <c r="C15656" s="1" t="n">
        <v>45810</v>
      </c>
      <c r="D15656" t="inlineStr">
        <is>
          <t>VÄRMLANDS LÄN</t>
        </is>
      </c>
      <c r="E15656" t="inlineStr">
        <is>
          <t>TORSBY</t>
        </is>
      </c>
      <c r="F15656" t="inlineStr">
        <is>
          <t>Bergvik skog väst AB</t>
        </is>
      </c>
      <c r="G15656" t="n">
        <v>14.2</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30942-2024</t>
        </is>
      </c>
      <c r="B15657" s="1" t="n">
        <v>45499</v>
      </c>
      <c r="C15657" s="1" t="n">
        <v>45810</v>
      </c>
      <c r="D15657" t="inlineStr">
        <is>
          <t>VÄRMLANDS LÄN</t>
        </is>
      </c>
      <c r="E15657" t="inlineStr">
        <is>
          <t>TORSBY</t>
        </is>
      </c>
      <c r="F15657" t="inlineStr">
        <is>
          <t>Bergvik skog väst AB</t>
        </is>
      </c>
      <c r="G15657" t="n">
        <v>3.3</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31020-2024</t>
        </is>
      </c>
      <c r="B15658" s="1" t="n">
        <v>45499</v>
      </c>
      <c r="C15658" s="1" t="n">
        <v>45810</v>
      </c>
      <c r="D15658" t="inlineStr">
        <is>
          <t>VÄRMLANDS LÄN</t>
        </is>
      </c>
      <c r="E15658" t="inlineStr">
        <is>
          <t>SUNNE</t>
        </is>
      </c>
      <c r="G15658" t="n">
        <v>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31032-2024</t>
        </is>
      </c>
      <c r="B15659" s="1" t="n">
        <v>45501</v>
      </c>
      <c r="C15659" s="1" t="n">
        <v>45810</v>
      </c>
      <c r="D15659" t="inlineStr">
        <is>
          <t>VÄRMLANDS LÄN</t>
        </is>
      </c>
      <c r="E15659" t="inlineStr">
        <is>
          <t>KIL</t>
        </is>
      </c>
      <c r="G15659" t="n">
        <v>1.9</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31037-2024</t>
        </is>
      </c>
      <c r="B15660" s="1" t="n">
        <v>45501</v>
      </c>
      <c r="C15660" s="1" t="n">
        <v>45810</v>
      </c>
      <c r="D15660" t="inlineStr">
        <is>
          <t>VÄRMLANDS LÄN</t>
        </is>
      </c>
      <c r="E15660" t="inlineStr">
        <is>
          <t>STORFORS</t>
        </is>
      </c>
      <c r="F15660" t="inlineStr">
        <is>
          <t>Bergvik skog väst AB</t>
        </is>
      </c>
      <c r="G15660" t="n">
        <v>1.6</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31033-2024</t>
        </is>
      </c>
      <c r="B15661" s="1" t="n">
        <v>45501</v>
      </c>
      <c r="C15661" s="1" t="n">
        <v>45810</v>
      </c>
      <c r="D15661" t="inlineStr">
        <is>
          <t>VÄRMLANDS LÄN</t>
        </is>
      </c>
      <c r="E15661" t="inlineStr">
        <is>
          <t>KIL</t>
        </is>
      </c>
      <c r="G15661" t="n">
        <v>1.9</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31026-2024</t>
        </is>
      </c>
      <c r="B15662" s="1" t="n">
        <v>45501</v>
      </c>
      <c r="C15662" s="1" t="n">
        <v>45810</v>
      </c>
      <c r="D15662" t="inlineStr">
        <is>
          <t>VÄRMLANDS LÄN</t>
        </is>
      </c>
      <c r="E15662" t="inlineStr">
        <is>
          <t>SÄFFLE</t>
        </is>
      </c>
      <c r="G15662" t="n">
        <v>1.4</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31087-2024</t>
        </is>
      </c>
      <c r="B15663" s="1" t="n">
        <v>45502</v>
      </c>
      <c r="C15663" s="1" t="n">
        <v>45810</v>
      </c>
      <c r="D15663" t="inlineStr">
        <is>
          <t>VÄRMLANDS LÄN</t>
        </is>
      </c>
      <c r="E15663" t="inlineStr">
        <is>
          <t>HAGFORS</t>
        </is>
      </c>
      <c r="G15663" t="n">
        <v>1.5</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31075-2024</t>
        </is>
      </c>
      <c r="B15664" s="1" t="n">
        <v>45502</v>
      </c>
      <c r="C15664" s="1" t="n">
        <v>45810</v>
      </c>
      <c r="D15664" t="inlineStr">
        <is>
          <t>VÄRMLANDS LÄN</t>
        </is>
      </c>
      <c r="E15664" t="inlineStr">
        <is>
          <t>SUNNE</t>
        </is>
      </c>
      <c r="G15664" t="n">
        <v>0.9</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31086-2024</t>
        </is>
      </c>
      <c r="B15665" s="1" t="n">
        <v>45502</v>
      </c>
      <c r="C15665" s="1" t="n">
        <v>45810</v>
      </c>
      <c r="D15665" t="inlineStr">
        <is>
          <t>VÄRMLANDS LÄN</t>
        </is>
      </c>
      <c r="E15665" t="inlineStr">
        <is>
          <t>SUNNE</t>
        </is>
      </c>
      <c r="G15665" t="n">
        <v>2.1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31133-2024</t>
        </is>
      </c>
      <c r="B15666" s="1" t="n">
        <v>45502</v>
      </c>
      <c r="C15666" s="1" t="n">
        <v>45810</v>
      </c>
      <c r="D15666" t="inlineStr">
        <is>
          <t>VÄRMLANDS LÄN</t>
        </is>
      </c>
      <c r="E15666" t="inlineStr">
        <is>
          <t>GRUMS</t>
        </is>
      </c>
      <c r="G15666" t="n">
        <v>4.9</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31121-2024</t>
        </is>
      </c>
      <c r="B15667" s="1" t="n">
        <v>45502</v>
      </c>
      <c r="C15667" s="1" t="n">
        <v>45810</v>
      </c>
      <c r="D15667" t="inlineStr">
        <is>
          <t>VÄRMLANDS LÄN</t>
        </is>
      </c>
      <c r="E15667" t="inlineStr">
        <is>
          <t>SUNNE</t>
        </is>
      </c>
      <c r="G15667" t="n">
        <v>1.1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31089-2024</t>
        </is>
      </c>
      <c r="B15668" s="1" t="n">
        <v>45502</v>
      </c>
      <c r="C15668" s="1" t="n">
        <v>45810</v>
      </c>
      <c r="D15668" t="inlineStr">
        <is>
          <t>VÄRMLANDS LÄN</t>
        </is>
      </c>
      <c r="E15668" t="inlineStr">
        <is>
          <t>TORSBY</t>
        </is>
      </c>
      <c r="G15668" t="n">
        <v>5.5</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31077-2024</t>
        </is>
      </c>
      <c r="B15669" s="1" t="n">
        <v>45502</v>
      </c>
      <c r="C15669" s="1" t="n">
        <v>45810</v>
      </c>
      <c r="D15669" t="inlineStr">
        <is>
          <t>VÄRMLANDS LÄN</t>
        </is>
      </c>
      <c r="E15669" t="inlineStr">
        <is>
          <t>EDA</t>
        </is>
      </c>
      <c r="G15669" t="n">
        <v>3.7</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31158-2024</t>
        </is>
      </c>
      <c r="B15670" s="1" t="n">
        <v>45503</v>
      </c>
      <c r="C15670" s="1" t="n">
        <v>45810</v>
      </c>
      <c r="D15670" t="inlineStr">
        <is>
          <t>VÄRMLANDS LÄN</t>
        </is>
      </c>
      <c r="E15670" t="inlineStr">
        <is>
          <t>TORSBY</t>
        </is>
      </c>
      <c r="F15670" t="inlineStr">
        <is>
          <t>Kyrkan</t>
        </is>
      </c>
      <c r="G15670" t="n">
        <v>1.2</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31164-2024</t>
        </is>
      </c>
      <c r="B15671" s="1" t="n">
        <v>45503</v>
      </c>
      <c r="C15671" s="1" t="n">
        <v>45810</v>
      </c>
      <c r="D15671" t="inlineStr">
        <is>
          <t>VÄRMLANDS LÄN</t>
        </is>
      </c>
      <c r="E15671" t="inlineStr">
        <is>
          <t>TORSBY</t>
        </is>
      </c>
      <c r="F15671" t="inlineStr">
        <is>
          <t>Kyrkan</t>
        </is>
      </c>
      <c r="G15671" t="n">
        <v>1.9</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31199-2024</t>
        </is>
      </c>
      <c r="B15672" s="1" t="n">
        <v>45503</v>
      </c>
      <c r="C15672" s="1" t="n">
        <v>45810</v>
      </c>
      <c r="D15672" t="inlineStr">
        <is>
          <t>VÄRMLANDS LÄN</t>
        </is>
      </c>
      <c r="E15672" t="inlineStr">
        <is>
          <t>SÄFFLE</t>
        </is>
      </c>
      <c r="G15672" t="n">
        <v>1.8</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31203-2024</t>
        </is>
      </c>
      <c r="B15673" s="1" t="n">
        <v>45503</v>
      </c>
      <c r="C15673" s="1" t="n">
        <v>45810</v>
      </c>
      <c r="D15673" t="inlineStr">
        <is>
          <t>VÄRMLANDS LÄN</t>
        </is>
      </c>
      <c r="E15673" t="inlineStr">
        <is>
          <t>SÄFFLE</t>
        </is>
      </c>
      <c r="G15673" t="n">
        <v>2.7</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31221-2024</t>
        </is>
      </c>
      <c r="B15674" s="1" t="n">
        <v>45503</v>
      </c>
      <c r="C15674" s="1" t="n">
        <v>45810</v>
      </c>
      <c r="D15674" t="inlineStr">
        <is>
          <t>VÄRMLANDS LÄN</t>
        </is>
      </c>
      <c r="E15674" t="inlineStr">
        <is>
          <t>SUNNE</t>
        </is>
      </c>
      <c r="G15674" t="n">
        <v>2.1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31226-2024</t>
        </is>
      </c>
      <c r="B15675" s="1" t="n">
        <v>45503</v>
      </c>
      <c r="C15675" s="1" t="n">
        <v>45810</v>
      </c>
      <c r="D15675" t="inlineStr">
        <is>
          <t>VÄRMLANDS LÄN</t>
        </is>
      </c>
      <c r="E15675" t="inlineStr">
        <is>
          <t>SUNNE</t>
        </is>
      </c>
      <c r="G15675" t="n">
        <v>1.6</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31269-2024</t>
        </is>
      </c>
      <c r="B15676" s="1" t="n">
        <v>45504</v>
      </c>
      <c r="C15676" s="1" t="n">
        <v>45810</v>
      </c>
      <c r="D15676" t="inlineStr">
        <is>
          <t>VÄRMLANDS LÄN</t>
        </is>
      </c>
      <c r="E15676" t="inlineStr">
        <is>
          <t>ARVIKA</t>
        </is>
      </c>
      <c r="G15676" t="n">
        <v>1.5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31303-2024</t>
        </is>
      </c>
      <c r="B15677" s="1" t="n">
        <v>45504</v>
      </c>
      <c r="C15677" s="1" t="n">
        <v>45810</v>
      </c>
      <c r="D15677" t="inlineStr">
        <is>
          <t>VÄRMLANDS LÄN</t>
        </is>
      </c>
      <c r="E15677" t="inlineStr">
        <is>
          <t>ARVIKA</t>
        </is>
      </c>
      <c r="G15677" t="n">
        <v>5.5</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31285-2024</t>
        </is>
      </c>
      <c r="B15678" s="1" t="n">
        <v>45504</v>
      </c>
      <c r="C15678" s="1" t="n">
        <v>45810</v>
      </c>
      <c r="D15678" t="inlineStr">
        <is>
          <t>VÄRMLANDS LÄN</t>
        </is>
      </c>
      <c r="E15678" t="inlineStr">
        <is>
          <t>TORSBY</t>
        </is>
      </c>
      <c r="G15678" t="n">
        <v>13</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31289-2024</t>
        </is>
      </c>
      <c r="B15679" s="1" t="n">
        <v>45504</v>
      </c>
      <c r="C15679" s="1" t="n">
        <v>45810</v>
      </c>
      <c r="D15679" t="inlineStr">
        <is>
          <t>VÄRMLANDS LÄN</t>
        </is>
      </c>
      <c r="E15679" t="inlineStr">
        <is>
          <t>TORSBY</t>
        </is>
      </c>
      <c r="G15679" t="n">
        <v>16.8</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31380-2024</t>
        </is>
      </c>
      <c r="B15680" s="1" t="n">
        <v>45505</v>
      </c>
      <c r="C15680" s="1" t="n">
        <v>45810</v>
      </c>
      <c r="D15680" t="inlineStr">
        <is>
          <t>VÄRMLANDS LÄN</t>
        </is>
      </c>
      <c r="E15680" t="inlineStr">
        <is>
          <t>TORSBY</t>
        </is>
      </c>
      <c r="G15680" t="n">
        <v>2</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31362-2024</t>
        </is>
      </c>
      <c r="B15681" s="1" t="n">
        <v>45505</v>
      </c>
      <c r="C15681" s="1" t="n">
        <v>45810</v>
      </c>
      <c r="D15681" t="inlineStr">
        <is>
          <t>VÄRMLANDS LÄN</t>
        </is>
      </c>
      <c r="E15681" t="inlineStr">
        <is>
          <t>GRUMS</t>
        </is>
      </c>
      <c r="G15681" t="n">
        <v>0.6</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31409-2024</t>
        </is>
      </c>
      <c r="B15682" s="1" t="n">
        <v>45505</v>
      </c>
      <c r="C15682" s="1" t="n">
        <v>45810</v>
      </c>
      <c r="D15682" t="inlineStr">
        <is>
          <t>VÄRMLANDS LÄN</t>
        </is>
      </c>
      <c r="E15682" t="inlineStr">
        <is>
          <t>MUNKFORS</t>
        </is>
      </c>
      <c r="F15682" t="inlineStr">
        <is>
          <t>Bergvik skog väst AB</t>
        </is>
      </c>
      <c r="G15682" t="n">
        <v>2.8</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31357-2024</t>
        </is>
      </c>
      <c r="B15683" s="1" t="n">
        <v>45505</v>
      </c>
      <c r="C15683" s="1" t="n">
        <v>45810</v>
      </c>
      <c r="D15683" t="inlineStr">
        <is>
          <t>VÄRMLANDS LÄN</t>
        </is>
      </c>
      <c r="E15683" t="inlineStr">
        <is>
          <t>GRUMS</t>
        </is>
      </c>
      <c r="G15683" t="n">
        <v>1.2</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31360-2024</t>
        </is>
      </c>
      <c r="B15684" s="1" t="n">
        <v>45505</v>
      </c>
      <c r="C15684" s="1" t="n">
        <v>45810</v>
      </c>
      <c r="D15684" t="inlineStr">
        <is>
          <t>VÄRMLANDS LÄN</t>
        </is>
      </c>
      <c r="E15684" t="inlineStr">
        <is>
          <t>GRUMS</t>
        </is>
      </c>
      <c r="G15684" t="n">
        <v>3.1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31402-2024</t>
        </is>
      </c>
      <c r="B15685" s="1" t="n">
        <v>45505</v>
      </c>
      <c r="C15685" s="1" t="n">
        <v>45810</v>
      </c>
      <c r="D15685" t="inlineStr">
        <is>
          <t>VÄRMLANDS LÄN</t>
        </is>
      </c>
      <c r="E15685" t="inlineStr">
        <is>
          <t>ARVIKA</t>
        </is>
      </c>
      <c r="F15685" t="inlineStr">
        <is>
          <t>Bergvik skog väst AB</t>
        </is>
      </c>
      <c r="G15685" t="n">
        <v>2.2</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31432-2024</t>
        </is>
      </c>
      <c r="B15686" s="1" t="n">
        <v>45505</v>
      </c>
      <c r="C15686" s="1" t="n">
        <v>45810</v>
      </c>
      <c r="D15686" t="inlineStr">
        <is>
          <t>VÄRMLANDS LÄN</t>
        </is>
      </c>
      <c r="E15686" t="inlineStr">
        <is>
          <t>SUNNE</t>
        </is>
      </c>
      <c r="G15686" t="n">
        <v>0.9</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31385-2024</t>
        </is>
      </c>
      <c r="B15687" s="1" t="n">
        <v>45505</v>
      </c>
      <c r="C15687" s="1" t="n">
        <v>45810</v>
      </c>
      <c r="D15687" t="inlineStr">
        <is>
          <t>VÄRMLANDS LÄN</t>
        </is>
      </c>
      <c r="E15687" t="inlineStr">
        <is>
          <t>TORSBY</t>
        </is>
      </c>
      <c r="G15687" t="n">
        <v>0.7</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31377-2024</t>
        </is>
      </c>
      <c r="B15688" s="1" t="n">
        <v>45505</v>
      </c>
      <c r="C15688" s="1" t="n">
        <v>45810</v>
      </c>
      <c r="D15688" t="inlineStr">
        <is>
          <t>VÄRMLANDS LÄN</t>
        </is>
      </c>
      <c r="E15688" t="inlineStr">
        <is>
          <t>TORSBY</t>
        </is>
      </c>
      <c r="G15688" t="n">
        <v>2.3</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31351-2024</t>
        </is>
      </c>
      <c r="B15689" s="1" t="n">
        <v>45505</v>
      </c>
      <c r="C15689" s="1" t="n">
        <v>45810</v>
      </c>
      <c r="D15689" t="inlineStr">
        <is>
          <t>VÄRMLANDS LÄN</t>
        </is>
      </c>
      <c r="E15689" t="inlineStr">
        <is>
          <t>TORSBY</t>
        </is>
      </c>
      <c r="F15689" t="inlineStr">
        <is>
          <t>Kyrkan</t>
        </is>
      </c>
      <c r="G15689" t="n">
        <v>6.5</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31582-2024</t>
        </is>
      </c>
      <c r="B15690" s="1" t="n">
        <v>45506</v>
      </c>
      <c r="C15690" s="1" t="n">
        <v>45810</v>
      </c>
      <c r="D15690" t="inlineStr">
        <is>
          <t>VÄRMLANDS LÄN</t>
        </is>
      </c>
      <c r="E15690" t="inlineStr">
        <is>
          <t>ARVIKA</t>
        </is>
      </c>
      <c r="G15690" t="n">
        <v>2.5</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31624-2024</t>
        </is>
      </c>
      <c r="B15691" s="1" t="n">
        <v>45506</v>
      </c>
      <c r="C15691" s="1" t="n">
        <v>45810</v>
      </c>
      <c r="D15691" t="inlineStr">
        <is>
          <t>VÄRMLANDS LÄN</t>
        </is>
      </c>
      <c r="E15691" t="inlineStr">
        <is>
          <t>SÄFFLE</t>
        </is>
      </c>
      <c r="F15691" t="inlineStr">
        <is>
          <t>Kyrkan</t>
        </is>
      </c>
      <c r="G15691" t="n">
        <v>2.4</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31585-2024</t>
        </is>
      </c>
      <c r="B15692" s="1" t="n">
        <v>45506</v>
      </c>
      <c r="C15692" s="1" t="n">
        <v>45810</v>
      </c>
      <c r="D15692" t="inlineStr">
        <is>
          <t>VÄRMLANDS LÄN</t>
        </is>
      </c>
      <c r="E15692" t="inlineStr">
        <is>
          <t>ARVIKA</t>
        </is>
      </c>
      <c r="G15692" t="n">
        <v>1.4</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31576-2024</t>
        </is>
      </c>
      <c r="B15693" s="1" t="n">
        <v>45506</v>
      </c>
      <c r="C15693" s="1" t="n">
        <v>45810</v>
      </c>
      <c r="D15693" t="inlineStr">
        <is>
          <t>VÄRMLANDS LÄN</t>
        </is>
      </c>
      <c r="E15693" t="inlineStr">
        <is>
          <t>ARVIKA</t>
        </is>
      </c>
      <c r="G15693" t="n">
        <v>2.5</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31657-2024</t>
        </is>
      </c>
      <c r="B15694" s="1" t="n">
        <v>45506</v>
      </c>
      <c r="C15694" s="1" t="n">
        <v>45810</v>
      </c>
      <c r="D15694" t="inlineStr">
        <is>
          <t>VÄRMLANDS LÄN</t>
        </is>
      </c>
      <c r="E15694" t="inlineStr">
        <is>
          <t>HAGFORS</t>
        </is>
      </c>
      <c r="G15694" t="n">
        <v>1.9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31622-2024</t>
        </is>
      </c>
      <c r="B15695" s="1" t="n">
        <v>45506</v>
      </c>
      <c r="C15695" s="1" t="n">
        <v>45810</v>
      </c>
      <c r="D15695" t="inlineStr">
        <is>
          <t>VÄRMLANDS LÄN</t>
        </is>
      </c>
      <c r="E15695" t="inlineStr">
        <is>
          <t>ÅRJÄNG</t>
        </is>
      </c>
      <c r="G15695" t="n">
        <v>4</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31630-2024</t>
        </is>
      </c>
      <c r="B15696" s="1" t="n">
        <v>45506</v>
      </c>
      <c r="C15696" s="1" t="n">
        <v>45810</v>
      </c>
      <c r="D15696" t="inlineStr">
        <is>
          <t>VÄRMLANDS LÄN</t>
        </is>
      </c>
      <c r="E15696" t="inlineStr">
        <is>
          <t>FILIPSTAD</t>
        </is>
      </c>
      <c r="F15696" t="inlineStr">
        <is>
          <t>Bergvik skog väst AB</t>
        </is>
      </c>
      <c r="G15696" t="n">
        <v>5.2</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31591-2024</t>
        </is>
      </c>
      <c r="B15697" s="1" t="n">
        <v>45506</v>
      </c>
      <c r="C15697" s="1" t="n">
        <v>45810</v>
      </c>
      <c r="D15697" t="inlineStr">
        <is>
          <t>VÄRMLANDS LÄN</t>
        </is>
      </c>
      <c r="E15697" t="inlineStr">
        <is>
          <t>SÄFFLE</t>
        </is>
      </c>
      <c r="F15697" t="inlineStr">
        <is>
          <t>Kyrkan</t>
        </is>
      </c>
      <c r="G15697" t="n">
        <v>10.2</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31632-2024</t>
        </is>
      </c>
      <c r="B15698" s="1" t="n">
        <v>45506</v>
      </c>
      <c r="C15698" s="1" t="n">
        <v>45810</v>
      </c>
      <c r="D15698" t="inlineStr">
        <is>
          <t>VÄRMLANDS LÄN</t>
        </is>
      </c>
      <c r="E15698" t="inlineStr">
        <is>
          <t>FILIPSTAD</t>
        </is>
      </c>
      <c r="F15698" t="inlineStr">
        <is>
          <t>Bergvik skog väst AB</t>
        </is>
      </c>
      <c r="G15698" t="n">
        <v>3.9</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31715-2024</t>
        </is>
      </c>
      <c r="B15699" s="1" t="n">
        <v>45507</v>
      </c>
      <c r="C15699" s="1" t="n">
        <v>45810</v>
      </c>
      <c r="D15699" t="inlineStr">
        <is>
          <t>VÄRMLANDS LÄN</t>
        </is>
      </c>
      <c r="E15699" t="inlineStr">
        <is>
          <t>ÅRJÄNG</t>
        </is>
      </c>
      <c r="F15699" t="inlineStr">
        <is>
          <t>Övriga Aktiebolag</t>
        </is>
      </c>
      <c r="G15699" t="n">
        <v>1.3</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31697-2024</t>
        </is>
      </c>
      <c r="B15700" s="1" t="n">
        <v>45508</v>
      </c>
      <c r="C15700" s="1" t="n">
        <v>45810</v>
      </c>
      <c r="D15700" t="inlineStr">
        <is>
          <t>VÄRMLANDS LÄN</t>
        </is>
      </c>
      <c r="E15700" t="inlineStr">
        <is>
          <t>EDA</t>
        </is>
      </c>
      <c r="G15700" t="n">
        <v>1.5</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31703-2024</t>
        </is>
      </c>
      <c r="B15701" s="1" t="n">
        <v>45508</v>
      </c>
      <c r="C15701" s="1" t="n">
        <v>45810</v>
      </c>
      <c r="D15701" t="inlineStr">
        <is>
          <t>VÄRMLANDS LÄN</t>
        </is>
      </c>
      <c r="E15701" t="inlineStr">
        <is>
          <t>ARVIKA</t>
        </is>
      </c>
      <c r="G15701" t="n">
        <v>2.9</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31698-2024</t>
        </is>
      </c>
      <c r="B15702" s="1" t="n">
        <v>45508</v>
      </c>
      <c r="C15702" s="1" t="n">
        <v>45810</v>
      </c>
      <c r="D15702" t="inlineStr">
        <is>
          <t>VÄRMLANDS LÄN</t>
        </is>
      </c>
      <c r="E15702" t="inlineStr">
        <is>
          <t>EDA</t>
        </is>
      </c>
      <c r="G15702" t="n">
        <v>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31702-2024</t>
        </is>
      </c>
      <c r="B15703" s="1" t="n">
        <v>45508</v>
      </c>
      <c r="C15703" s="1" t="n">
        <v>45810</v>
      </c>
      <c r="D15703" t="inlineStr">
        <is>
          <t>VÄRMLANDS LÄN</t>
        </is>
      </c>
      <c r="E15703" t="inlineStr">
        <is>
          <t>SUNNE</t>
        </is>
      </c>
      <c r="G15703" t="n">
        <v>3</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31813-2024</t>
        </is>
      </c>
      <c r="B15704" s="1" t="n">
        <v>45509</v>
      </c>
      <c r="C15704" s="1" t="n">
        <v>45810</v>
      </c>
      <c r="D15704" t="inlineStr">
        <is>
          <t>VÄRMLANDS LÄN</t>
        </is>
      </c>
      <c r="E15704" t="inlineStr">
        <is>
          <t>HAGFORS</t>
        </is>
      </c>
      <c r="F15704" t="inlineStr">
        <is>
          <t>Kommuner</t>
        </is>
      </c>
      <c r="G15704" t="n">
        <v>1.1</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31821-2024</t>
        </is>
      </c>
      <c r="B15705" s="1" t="n">
        <v>45509</v>
      </c>
      <c r="C15705" s="1" t="n">
        <v>45810</v>
      </c>
      <c r="D15705" t="inlineStr">
        <is>
          <t>VÄRMLANDS LÄN</t>
        </is>
      </c>
      <c r="E15705" t="inlineStr">
        <is>
          <t>SUNNE</t>
        </is>
      </c>
      <c r="G15705" t="n">
        <v>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31751-2024</t>
        </is>
      </c>
      <c r="B15706" s="1" t="n">
        <v>45509</v>
      </c>
      <c r="C15706" s="1" t="n">
        <v>45810</v>
      </c>
      <c r="D15706" t="inlineStr">
        <is>
          <t>VÄRMLANDS LÄN</t>
        </is>
      </c>
      <c r="E15706" t="inlineStr">
        <is>
          <t>ARVIKA</t>
        </is>
      </c>
      <c r="F15706" t="inlineStr">
        <is>
          <t>Bergvik skog väst AB</t>
        </is>
      </c>
      <c r="G15706" t="n">
        <v>6.9</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31767-2024</t>
        </is>
      </c>
      <c r="B15707" s="1" t="n">
        <v>45509</v>
      </c>
      <c r="C15707" s="1" t="n">
        <v>45810</v>
      </c>
      <c r="D15707" t="inlineStr">
        <is>
          <t>VÄRMLANDS LÄN</t>
        </is>
      </c>
      <c r="E15707" t="inlineStr">
        <is>
          <t>TORSBY</t>
        </is>
      </c>
      <c r="G15707" t="n">
        <v>0.6</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31815-2024</t>
        </is>
      </c>
      <c r="B15708" s="1" t="n">
        <v>45509</v>
      </c>
      <c r="C15708" s="1" t="n">
        <v>45810</v>
      </c>
      <c r="D15708" t="inlineStr">
        <is>
          <t>VÄRMLANDS LÄN</t>
        </is>
      </c>
      <c r="E15708" t="inlineStr">
        <is>
          <t>HAGFORS</t>
        </is>
      </c>
      <c r="F15708" t="inlineStr">
        <is>
          <t>Kommuner</t>
        </is>
      </c>
      <c r="G15708" t="n">
        <v>1.5</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31716-2024</t>
        </is>
      </c>
      <c r="B15709" s="1" t="n">
        <v>45509</v>
      </c>
      <c r="C15709" s="1" t="n">
        <v>45810</v>
      </c>
      <c r="D15709" t="inlineStr">
        <is>
          <t>VÄRMLANDS LÄN</t>
        </is>
      </c>
      <c r="E15709" t="inlineStr">
        <is>
          <t>TORSBY</t>
        </is>
      </c>
      <c r="F15709" t="inlineStr">
        <is>
          <t>Bergvik skog väst AB</t>
        </is>
      </c>
      <c r="G15709" t="n">
        <v>19.3</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31836-2024</t>
        </is>
      </c>
      <c r="B15710" s="1" t="n">
        <v>45509</v>
      </c>
      <c r="C15710" s="1" t="n">
        <v>45810</v>
      </c>
      <c r="D15710" t="inlineStr">
        <is>
          <t>VÄRMLANDS LÄN</t>
        </is>
      </c>
      <c r="E15710" t="inlineStr">
        <is>
          <t>TORSBY</t>
        </is>
      </c>
      <c r="G15710" t="n">
        <v>2.3</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31824-2024</t>
        </is>
      </c>
      <c r="B15711" s="1" t="n">
        <v>45509</v>
      </c>
      <c r="C15711" s="1" t="n">
        <v>45810</v>
      </c>
      <c r="D15711" t="inlineStr">
        <is>
          <t>VÄRMLANDS LÄN</t>
        </is>
      </c>
      <c r="E15711" t="inlineStr">
        <is>
          <t>HAGFORS</t>
        </is>
      </c>
      <c r="F15711" t="inlineStr">
        <is>
          <t>Kommuner</t>
        </is>
      </c>
      <c r="G15711" t="n">
        <v>4.6</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31812-2024</t>
        </is>
      </c>
      <c r="B15712" s="1" t="n">
        <v>45509</v>
      </c>
      <c r="C15712" s="1" t="n">
        <v>45810</v>
      </c>
      <c r="D15712" t="inlineStr">
        <is>
          <t>VÄRMLANDS LÄN</t>
        </is>
      </c>
      <c r="E15712" t="inlineStr">
        <is>
          <t>HAGFORS</t>
        </is>
      </c>
      <c r="F15712" t="inlineStr">
        <is>
          <t>Kommuner</t>
        </is>
      </c>
      <c r="G15712" t="n">
        <v>4.2</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31792-2024</t>
        </is>
      </c>
      <c r="B15713" s="1" t="n">
        <v>45509</v>
      </c>
      <c r="C15713" s="1" t="n">
        <v>45810</v>
      </c>
      <c r="D15713" t="inlineStr">
        <is>
          <t>VÄRMLANDS LÄN</t>
        </is>
      </c>
      <c r="E15713" t="inlineStr">
        <is>
          <t>EDA</t>
        </is>
      </c>
      <c r="G15713" t="n">
        <v>2.5</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31744-2024</t>
        </is>
      </c>
      <c r="B15714" s="1" t="n">
        <v>45509</v>
      </c>
      <c r="C15714" s="1" t="n">
        <v>45810</v>
      </c>
      <c r="D15714" t="inlineStr">
        <is>
          <t>VÄRMLANDS LÄN</t>
        </is>
      </c>
      <c r="E15714" t="inlineStr">
        <is>
          <t>KARLSTAD</t>
        </is>
      </c>
      <c r="G15714" t="n">
        <v>0.7</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31830-2024</t>
        </is>
      </c>
      <c r="B15715" s="1" t="n">
        <v>45509</v>
      </c>
      <c r="C15715" s="1" t="n">
        <v>45810</v>
      </c>
      <c r="D15715" t="inlineStr">
        <is>
          <t>VÄRMLANDS LÄN</t>
        </is>
      </c>
      <c r="E15715" t="inlineStr">
        <is>
          <t>TORSBY</t>
        </is>
      </c>
      <c r="G15715" t="n">
        <v>2.6</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31810-2024</t>
        </is>
      </c>
      <c r="B15716" s="1" t="n">
        <v>45509</v>
      </c>
      <c r="C15716" s="1" t="n">
        <v>45810</v>
      </c>
      <c r="D15716" t="inlineStr">
        <is>
          <t>VÄRMLANDS LÄN</t>
        </is>
      </c>
      <c r="E15716" t="inlineStr">
        <is>
          <t>HAGFORS</t>
        </is>
      </c>
      <c r="F15716" t="inlineStr">
        <is>
          <t>Kommuner</t>
        </is>
      </c>
      <c r="G15716" t="n">
        <v>0.8</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31947-2024</t>
        </is>
      </c>
      <c r="B15717" s="1" t="n">
        <v>45510</v>
      </c>
      <c r="C15717" s="1" t="n">
        <v>45810</v>
      </c>
      <c r="D15717" t="inlineStr">
        <is>
          <t>VÄRMLANDS LÄN</t>
        </is>
      </c>
      <c r="E15717" t="inlineStr">
        <is>
          <t>EDA</t>
        </is>
      </c>
      <c r="G15717" t="n">
        <v>0.8</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31939-2024</t>
        </is>
      </c>
      <c r="B15718" s="1" t="n">
        <v>45510</v>
      </c>
      <c r="C15718" s="1" t="n">
        <v>45810</v>
      </c>
      <c r="D15718" t="inlineStr">
        <is>
          <t>VÄRMLANDS LÄN</t>
        </is>
      </c>
      <c r="E15718" t="inlineStr">
        <is>
          <t>EDA</t>
        </is>
      </c>
      <c r="G15718" t="n">
        <v>2.9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31930-2024</t>
        </is>
      </c>
      <c r="B15719" s="1" t="n">
        <v>45510</v>
      </c>
      <c r="C15719" s="1" t="n">
        <v>45810</v>
      </c>
      <c r="D15719" t="inlineStr">
        <is>
          <t>VÄRMLANDS LÄN</t>
        </is>
      </c>
      <c r="E15719" t="inlineStr">
        <is>
          <t>GRUMS</t>
        </is>
      </c>
      <c r="G15719" t="n">
        <v>0.6</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32033-2024</t>
        </is>
      </c>
      <c r="B15720" s="1" t="n">
        <v>45510</v>
      </c>
      <c r="C15720" s="1" t="n">
        <v>45810</v>
      </c>
      <c r="D15720" t="inlineStr">
        <is>
          <t>VÄRMLANDS LÄN</t>
        </is>
      </c>
      <c r="E15720" t="inlineStr">
        <is>
          <t>HAGFORS</t>
        </is>
      </c>
      <c r="G15720" t="n">
        <v>1.8</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32013-2024</t>
        </is>
      </c>
      <c r="B15721" s="1" t="n">
        <v>45510</v>
      </c>
      <c r="C15721" s="1" t="n">
        <v>45810</v>
      </c>
      <c r="D15721" t="inlineStr">
        <is>
          <t>VÄRMLANDS LÄN</t>
        </is>
      </c>
      <c r="E15721" t="inlineStr">
        <is>
          <t>ARVIKA</t>
        </is>
      </c>
      <c r="G15721" t="n">
        <v>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31911-2024</t>
        </is>
      </c>
      <c r="B15722" s="1" t="n">
        <v>45510</v>
      </c>
      <c r="C15722" s="1" t="n">
        <v>45810</v>
      </c>
      <c r="D15722" t="inlineStr">
        <is>
          <t>VÄRMLANDS LÄN</t>
        </is>
      </c>
      <c r="E15722" t="inlineStr">
        <is>
          <t>ARVIKA</t>
        </is>
      </c>
      <c r="G15722" t="n">
        <v>1.9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32043-2024</t>
        </is>
      </c>
      <c r="B15723" s="1" t="n">
        <v>45510</v>
      </c>
      <c r="C15723" s="1" t="n">
        <v>45810</v>
      </c>
      <c r="D15723" t="inlineStr">
        <is>
          <t>VÄRMLANDS LÄN</t>
        </is>
      </c>
      <c r="E15723" t="inlineStr">
        <is>
          <t>ÅRJÄNG</t>
        </is>
      </c>
      <c r="G15723" t="n">
        <v>1.3</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32031-2024</t>
        </is>
      </c>
      <c r="B15724" s="1" t="n">
        <v>45510</v>
      </c>
      <c r="C15724" s="1" t="n">
        <v>45810</v>
      </c>
      <c r="D15724" t="inlineStr">
        <is>
          <t>VÄRMLANDS LÄN</t>
        </is>
      </c>
      <c r="E15724" t="inlineStr">
        <is>
          <t>HAGFORS</t>
        </is>
      </c>
      <c r="G15724" t="n">
        <v>2.4</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31979-2024</t>
        </is>
      </c>
      <c r="B15725" s="1" t="n">
        <v>45510</v>
      </c>
      <c r="C15725" s="1" t="n">
        <v>45810</v>
      </c>
      <c r="D15725" t="inlineStr">
        <is>
          <t>VÄRMLANDS LÄN</t>
        </is>
      </c>
      <c r="E15725" t="inlineStr">
        <is>
          <t>SÄFFLE</t>
        </is>
      </c>
      <c r="F15725" t="inlineStr">
        <is>
          <t>Kyrkan</t>
        </is>
      </c>
      <c r="G15725" t="n">
        <v>13</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31899-2024</t>
        </is>
      </c>
      <c r="B15726" s="1" t="n">
        <v>45510</v>
      </c>
      <c r="C15726" s="1" t="n">
        <v>45810</v>
      </c>
      <c r="D15726" t="inlineStr">
        <is>
          <t>VÄRMLANDS LÄN</t>
        </is>
      </c>
      <c r="E15726" t="inlineStr">
        <is>
          <t>SUNNE</t>
        </is>
      </c>
      <c r="G15726" t="n">
        <v>1.1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31998-2024</t>
        </is>
      </c>
      <c r="B15727" s="1" t="n">
        <v>45510</v>
      </c>
      <c r="C15727" s="1" t="n">
        <v>45810</v>
      </c>
      <c r="D15727" t="inlineStr">
        <is>
          <t>VÄRMLANDS LÄN</t>
        </is>
      </c>
      <c r="E15727" t="inlineStr">
        <is>
          <t>ARVIKA</t>
        </is>
      </c>
      <c r="G15727" t="n">
        <v>4.5</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31986-2024</t>
        </is>
      </c>
      <c r="B15728" s="1" t="n">
        <v>45510</v>
      </c>
      <c r="C15728" s="1" t="n">
        <v>45810</v>
      </c>
      <c r="D15728" t="inlineStr">
        <is>
          <t>VÄRMLANDS LÄN</t>
        </is>
      </c>
      <c r="E15728" t="inlineStr">
        <is>
          <t>KARLSTAD</t>
        </is>
      </c>
      <c r="G15728" t="n">
        <v>2.4</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31949-2024</t>
        </is>
      </c>
      <c r="B15729" s="1" t="n">
        <v>45510</v>
      </c>
      <c r="C15729" s="1" t="n">
        <v>45810</v>
      </c>
      <c r="D15729" t="inlineStr">
        <is>
          <t>VÄRMLANDS LÄN</t>
        </is>
      </c>
      <c r="E15729" t="inlineStr">
        <is>
          <t>GRUMS</t>
        </is>
      </c>
      <c r="F15729" t="inlineStr">
        <is>
          <t>Bergvik skog väst AB</t>
        </is>
      </c>
      <c r="G15729" t="n">
        <v>4.4</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31945-2024</t>
        </is>
      </c>
      <c r="B15730" s="1" t="n">
        <v>45510</v>
      </c>
      <c r="C15730" s="1" t="n">
        <v>45810</v>
      </c>
      <c r="D15730" t="inlineStr">
        <is>
          <t>VÄRMLANDS LÄN</t>
        </is>
      </c>
      <c r="E15730" t="inlineStr">
        <is>
          <t>TORSBY</t>
        </is>
      </c>
      <c r="G15730" t="n">
        <v>2.5</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31932-2024</t>
        </is>
      </c>
      <c r="B15731" s="1" t="n">
        <v>45510</v>
      </c>
      <c r="C15731" s="1" t="n">
        <v>45810</v>
      </c>
      <c r="D15731" t="inlineStr">
        <is>
          <t>VÄRMLANDS LÄN</t>
        </is>
      </c>
      <c r="E15731" t="inlineStr">
        <is>
          <t>EDA</t>
        </is>
      </c>
      <c r="G15731" t="n">
        <v>2.7</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31924-2024</t>
        </is>
      </c>
      <c r="B15732" s="1" t="n">
        <v>45510</v>
      </c>
      <c r="C15732" s="1" t="n">
        <v>45810</v>
      </c>
      <c r="D15732" t="inlineStr">
        <is>
          <t>VÄRMLANDS LÄN</t>
        </is>
      </c>
      <c r="E15732" t="inlineStr">
        <is>
          <t>EDA</t>
        </is>
      </c>
      <c r="G15732" t="n">
        <v>3.2</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31908-2024</t>
        </is>
      </c>
      <c r="B15733" s="1" t="n">
        <v>45510</v>
      </c>
      <c r="C15733" s="1" t="n">
        <v>45810</v>
      </c>
      <c r="D15733" t="inlineStr">
        <is>
          <t>VÄRMLANDS LÄN</t>
        </is>
      </c>
      <c r="E15733" t="inlineStr">
        <is>
          <t>HAGFORS</t>
        </is>
      </c>
      <c r="F15733" t="inlineStr">
        <is>
          <t>Kyrkan</t>
        </is>
      </c>
      <c r="G15733" t="n">
        <v>5.7</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32095-2024</t>
        </is>
      </c>
      <c r="B15734" s="1" t="n">
        <v>45511</v>
      </c>
      <c r="C15734" s="1" t="n">
        <v>45810</v>
      </c>
      <c r="D15734" t="inlineStr">
        <is>
          <t>VÄRMLANDS LÄN</t>
        </is>
      </c>
      <c r="E15734" t="inlineStr">
        <is>
          <t>ÅRJÄNG</t>
        </is>
      </c>
      <c r="G15734" t="n">
        <v>4.6</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32155-2024</t>
        </is>
      </c>
      <c r="B15735" s="1" t="n">
        <v>45511</v>
      </c>
      <c r="C15735" s="1" t="n">
        <v>45810</v>
      </c>
      <c r="D15735" t="inlineStr">
        <is>
          <t>VÄRMLANDS LÄN</t>
        </is>
      </c>
      <c r="E15735" t="inlineStr">
        <is>
          <t>TORSBY</t>
        </is>
      </c>
      <c r="F15735" t="inlineStr">
        <is>
          <t>Bergvik skog väst AB</t>
        </is>
      </c>
      <c r="G15735" t="n">
        <v>13.5</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32082-2024</t>
        </is>
      </c>
      <c r="B15736" s="1" t="n">
        <v>45511</v>
      </c>
      <c r="C15736" s="1" t="n">
        <v>45810</v>
      </c>
      <c r="D15736" t="inlineStr">
        <is>
          <t>VÄRMLANDS LÄN</t>
        </is>
      </c>
      <c r="E15736" t="inlineStr">
        <is>
          <t>ÅRJÄNG</t>
        </is>
      </c>
      <c r="G15736" t="n">
        <v>4.8</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32090-2024</t>
        </is>
      </c>
      <c r="B15737" s="1" t="n">
        <v>45511</v>
      </c>
      <c r="C15737" s="1" t="n">
        <v>45810</v>
      </c>
      <c r="D15737" t="inlineStr">
        <is>
          <t>VÄRMLANDS LÄN</t>
        </is>
      </c>
      <c r="E15737" t="inlineStr">
        <is>
          <t>HAGFORS</t>
        </is>
      </c>
      <c r="G15737" t="n">
        <v>4.3</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32094-2024</t>
        </is>
      </c>
      <c r="B15738" s="1" t="n">
        <v>45511</v>
      </c>
      <c r="C15738" s="1" t="n">
        <v>45810</v>
      </c>
      <c r="D15738" t="inlineStr">
        <is>
          <t>VÄRMLANDS LÄN</t>
        </is>
      </c>
      <c r="E15738" t="inlineStr">
        <is>
          <t>FILIPSTAD</t>
        </is>
      </c>
      <c r="F15738" t="inlineStr">
        <is>
          <t>Bergvik skog väst AB</t>
        </is>
      </c>
      <c r="G15738" t="n">
        <v>13.9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32138-2024</t>
        </is>
      </c>
      <c r="B15739" s="1" t="n">
        <v>45511</v>
      </c>
      <c r="C15739" s="1" t="n">
        <v>45810</v>
      </c>
      <c r="D15739" t="inlineStr">
        <is>
          <t>VÄRMLANDS LÄN</t>
        </is>
      </c>
      <c r="E15739" t="inlineStr">
        <is>
          <t>TORSBY</t>
        </is>
      </c>
      <c r="F15739" t="inlineStr">
        <is>
          <t>Bergvik skog väst AB</t>
        </is>
      </c>
      <c r="G15739" t="n">
        <v>26.3</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32194-2024</t>
        </is>
      </c>
      <c r="B15740" s="1" t="n">
        <v>45511</v>
      </c>
      <c r="C15740" s="1" t="n">
        <v>45810</v>
      </c>
      <c r="D15740" t="inlineStr">
        <is>
          <t>VÄRMLANDS LÄN</t>
        </is>
      </c>
      <c r="E15740" t="inlineStr">
        <is>
          <t>ARVIKA</t>
        </is>
      </c>
      <c r="G15740" t="n">
        <v>3</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32116-2024</t>
        </is>
      </c>
      <c r="B15741" s="1" t="n">
        <v>45511</v>
      </c>
      <c r="C15741" s="1" t="n">
        <v>45810</v>
      </c>
      <c r="D15741" t="inlineStr">
        <is>
          <t>VÄRMLANDS LÄN</t>
        </is>
      </c>
      <c r="E15741" t="inlineStr">
        <is>
          <t>EDA</t>
        </is>
      </c>
      <c r="G15741" t="n">
        <v>1.9</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32172-2024</t>
        </is>
      </c>
      <c r="B15742" s="1" t="n">
        <v>45511</v>
      </c>
      <c r="C15742" s="1" t="n">
        <v>45810</v>
      </c>
      <c r="D15742" t="inlineStr">
        <is>
          <t>VÄRMLANDS LÄN</t>
        </is>
      </c>
      <c r="E15742" t="inlineStr">
        <is>
          <t>FILIPSTAD</t>
        </is>
      </c>
      <c r="F15742" t="inlineStr">
        <is>
          <t>Bergvik skog väst AB</t>
        </is>
      </c>
      <c r="G15742" t="n">
        <v>2.7</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32213-2024</t>
        </is>
      </c>
      <c r="B15743" s="1" t="n">
        <v>45511</v>
      </c>
      <c r="C15743" s="1" t="n">
        <v>45810</v>
      </c>
      <c r="D15743" t="inlineStr">
        <is>
          <t>VÄRMLANDS LÄN</t>
        </is>
      </c>
      <c r="E15743" t="inlineStr">
        <is>
          <t>TORSBY</t>
        </is>
      </c>
      <c r="G15743" t="n">
        <v>10.3</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32198-2024</t>
        </is>
      </c>
      <c r="B15744" s="1" t="n">
        <v>45511</v>
      </c>
      <c r="C15744" s="1" t="n">
        <v>45810</v>
      </c>
      <c r="D15744" t="inlineStr">
        <is>
          <t>VÄRMLANDS LÄN</t>
        </is>
      </c>
      <c r="E15744" t="inlineStr">
        <is>
          <t>KRISTINEHAMN</t>
        </is>
      </c>
      <c r="G15744" t="n">
        <v>1.3</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32185-2024</t>
        </is>
      </c>
      <c r="B15745" s="1" t="n">
        <v>45511</v>
      </c>
      <c r="C15745" s="1" t="n">
        <v>45810</v>
      </c>
      <c r="D15745" t="inlineStr">
        <is>
          <t>VÄRMLANDS LÄN</t>
        </is>
      </c>
      <c r="E15745" t="inlineStr">
        <is>
          <t>FILIPSTAD</t>
        </is>
      </c>
      <c r="F15745" t="inlineStr">
        <is>
          <t>Bergvik skog väst AB</t>
        </is>
      </c>
      <c r="G15745" t="n">
        <v>3.9</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32262-2024</t>
        </is>
      </c>
      <c r="B15746" s="1" t="n">
        <v>45512</v>
      </c>
      <c r="C15746" s="1" t="n">
        <v>45810</v>
      </c>
      <c r="D15746" t="inlineStr">
        <is>
          <t>VÄRMLANDS LÄN</t>
        </is>
      </c>
      <c r="E15746" t="inlineStr">
        <is>
          <t>ARVIKA</t>
        </is>
      </c>
      <c r="G15746" t="n">
        <v>1.3</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32302-2024</t>
        </is>
      </c>
      <c r="B15747" s="1" t="n">
        <v>45512</v>
      </c>
      <c r="C15747" s="1" t="n">
        <v>45810</v>
      </c>
      <c r="D15747" t="inlineStr">
        <is>
          <t>VÄRMLANDS LÄN</t>
        </is>
      </c>
      <c r="E15747" t="inlineStr">
        <is>
          <t>GRUMS</t>
        </is>
      </c>
      <c r="F15747" t="inlineStr">
        <is>
          <t>Bergvik skog väst AB</t>
        </is>
      </c>
      <c r="G15747" t="n">
        <v>3.3</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32369-2024</t>
        </is>
      </c>
      <c r="B15748" s="1" t="n">
        <v>45512</v>
      </c>
      <c r="C15748" s="1" t="n">
        <v>45810</v>
      </c>
      <c r="D15748" t="inlineStr">
        <is>
          <t>VÄRMLANDS LÄN</t>
        </is>
      </c>
      <c r="E15748" t="inlineStr">
        <is>
          <t>KARLSTAD</t>
        </is>
      </c>
      <c r="F15748" t="inlineStr">
        <is>
          <t>Bergvik skog väst AB</t>
        </is>
      </c>
      <c r="G15748" t="n">
        <v>4.9</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32390-2024</t>
        </is>
      </c>
      <c r="B15749" s="1" t="n">
        <v>45512</v>
      </c>
      <c r="C15749" s="1" t="n">
        <v>45810</v>
      </c>
      <c r="D15749" t="inlineStr">
        <is>
          <t>VÄRMLANDS LÄN</t>
        </is>
      </c>
      <c r="E15749" t="inlineStr">
        <is>
          <t>SUNNE</t>
        </is>
      </c>
      <c r="G15749" t="n">
        <v>0.8</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32314-2024</t>
        </is>
      </c>
      <c r="B15750" s="1" t="n">
        <v>45512</v>
      </c>
      <c r="C15750" s="1" t="n">
        <v>45810</v>
      </c>
      <c r="D15750" t="inlineStr">
        <is>
          <t>VÄRMLANDS LÄN</t>
        </is>
      </c>
      <c r="E15750" t="inlineStr">
        <is>
          <t>TORSBY</t>
        </is>
      </c>
      <c r="F15750" t="inlineStr">
        <is>
          <t>Bergvik skog väst AB</t>
        </is>
      </c>
      <c r="G15750" t="n">
        <v>35.1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32338-2024</t>
        </is>
      </c>
      <c r="B15751" s="1" t="n">
        <v>45512</v>
      </c>
      <c r="C15751" s="1" t="n">
        <v>45810</v>
      </c>
      <c r="D15751" t="inlineStr">
        <is>
          <t>VÄRMLANDS LÄN</t>
        </is>
      </c>
      <c r="E15751" t="inlineStr">
        <is>
          <t>ÅRJÄNG</t>
        </is>
      </c>
      <c r="G15751" t="n">
        <v>2.1</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32370-2024</t>
        </is>
      </c>
      <c r="B15752" s="1" t="n">
        <v>45512</v>
      </c>
      <c r="C15752" s="1" t="n">
        <v>45810</v>
      </c>
      <c r="D15752" t="inlineStr">
        <is>
          <t>VÄRMLANDS LÄN</t>
        </is>
      </c>
      <c r="E15752" t="inlineStr">
        <is>
          <t>SUNNE</t>
        </is>
      </c>
      <c r="G15752" t="n">
        <v>2.5</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32400-2024</t>
        </is>
      </c>
      <c r="B15753" s="1" t="n">
        <v>45512</v>
      </c>
      <c r="C15753" s="1" t="n">
        <v>45810</v>
      </c>
      <c r="D15753" t="inlineStr">
        <is>
          <t>VÄRMLANDS LÄN</t>
        </is>
      </c>
      <c r="E15753" t="inlineStr">
        <is>
          <t>EDA</t>
        </is>
      </c>
      <c r="G15753" t="n">
        <v>3.9</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32375-2024</t>
        </is>
      </c>
      <c r="B15754" s="1" t="n">
        <v>45512</v>
      </c>
      <c r="C15754" s="1" t="n">
        <v>45810</v>
      </c>
      <c r="D15754" t="inlineStr">
        <is>
          <t>VÄRMLANDS LÄN</t>
        </is>
      </c>
      <c r="E15754" t="inlineStr">
        <is>
          <t>ARVIKA</t>
        </is>
      </c>
      <c r="G15754" t="n">
        <v>1</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32371-2024</t>
        </is>
      </c>
      <c r="B15755" s="1" t="n">
        <v>45512</v>
      </c>
      <c r="C15755" s="1" t="n">
        <v>45810</v>
      </c>
      <c r="D15755" t="inlineStr">
        <is>
          <t>VÄRMLANDS LÄN</t>
        </is>
      </c>
      <c r="E15755" t="inlineStr">
        <is>
          <t>SUNNE</t>
        </is>
      </c>
      <c r="G15755" t="n">
        <v>3.3</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32343-2024</t>
        </is>
      </c>
      <c r="B15756" s="1" t="n">
        <v>45512</v>
      </c>
      <c r="C15756" s="1" t="n">
        <v>45810</v>
      </c>
      <c r="D15756" t="inlineStr">
        <is>
          <t>VÄRMLANDS LÄN</t>
        </is>
      </c>
      <c r="E15756" t="inlineStr">
        <is>
          <t>TORSBY</t>
        </is>
      </c>
      <c r="G15756" t="n">
        <v>5</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32340-2024</t>
        </is>
      </c>
      <c r="B15757" s="1" t="n">
        <v>45512</v>
      </c>
      <c r="C15757" s="1" t="n">
        <v>45810</v>
      </c>
      <c r="D15757" t="inlineStr">
        <is>
          <t>VÄRMLANDS LÄN</t>
        </is>
      </c>
      <c r="E15757" t="inlineStr">
        <is>
          <t>TORSBY</t>
        </is>
      </c>
      <c r="G15757" t="n">
        <v>9.9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32323-2024</t>
        </is>
      </c>
      <c r="B15758" s="1" t="n">
        <v>45512</v>
      </c>
      <c r="C15758" s="1" t="n">
        <v>45810</v>
      </c>
      <c r="D15758" t="inlineStr">
        <is>
          <t>VÄRMLANDS LÄN</t>
        </is>
      </c>
      <c r="E15758" t="inlineStr">
        <is>
          <t>EDA</t>
        </is>
      </c>
      <c r="G15758" t="n">
        <v>8.9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32319-2024</t>
        </is>
      </c>
      <c r="B15759" s="1" t="n">
        <v>45512</v>
      </c>
      <c r="C15759" s="1" t="n">
        <v>45810</v>
      </c>
      <c r="D15759" t="inlineStr">
        <is>
          <t>VÄRMLANDS LÄN</t>
        </is>
      </c>
      <c r="E15759" t="inlineStr">
        <is>
          <t>TORSBY</t>
        </is>
      </c>
      <c r="G15759" t="n">
        <v>2.6</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32263-2024</t>
        </is>
      </c>
      <c r="B15760" s="1" t="n">
        <v>45512</v>
      </c>
      <c r="C15760" s="1" t="n">
        <v>45810</v>
      </c>
      <c r="D15760" t="inlineStr">
        <is>
          <t>VÄRMLANDS LÄN</t>
        </is>
      </c>
      <c r="E15760" t="inlineStr">
        <is>
          <t>ARVIKA</t>
        </is>
      </c>
      <c r="G15760" t="n">
        <v>0.6</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32587-2024</t>
        </is>
      </c>
      <c r="B15761" s="1" t="n">
        <v>45513</v>
      </c>
      <c r="C15761" s="1" t="n">
        <v>45810</v>
      </c>
      <c r="D15761" t="inlineStr">
        <is>
          <t>VÄRMLANDS LÄN</t>
        </is>
      </c>
      <c r="E15761" t="inlineStr">
        <is>
          <t>SUNNE</t>
        </is>
      </c>
      <c r="F15761" t="inlineStr">
        <is>
          <t>Bergvik skog väst AB</t>
        </is>
      </c>
      <c r="G15761" t="n">
        <v>1.1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32595-2024</t>
        </is>
      </c>
      <c r="B15762" s="1" t="n">
        <v>45513</v>
      </c>
      <c r="C15762" s="1" t="n">
        <v>45810</v>
      </c>
      <c r="D15762" t="inlineStr">
        <is>
          <t>VÄRMLANDS LÄN</t>
        </is>
      </c>
      <c r="E15762" t="inlineStr">
        <is>
          <t>SUNNE</t>
        </is>
      </c>
      <c r="F15762" t="inlineStr">
        <is>
          <t>Bergvik skog väst AB</t>
        </is>
      </c>
      <c r="G15762" t="n">
        <v>1.6</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32504-2024</t>
        </is>
      </c>
      <c r="B15763" s="1" t="n">
        <v>45513</v>
      </c>
      <c r="C15763" s="1" t="n">
        <v>45810</v>
      </c>
      <c r="D15763" t="inlineStr">
        <is>
          <t>VÄRMLANDS LÄN</t>
        </is>
      </c>
      <c r="E15763" t="inlineStr">
        <is>
          <t>MUNKFORS</t>
        </is>
      </c>
      <c r="F15763" t="inlineStr">
        <is>
          <t>Bergvik skog väst AB</t>
        </is>
      </c>
      <c r="G15763" t="n">
        <v>7.2</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32505-2024</t>
        </is>
      </c>
      <c r="B15764" s="1" t="n">
        <v>45513</v>
      </c>
      <c r="C15764" s="1" t="n">
        <v>45810</v>
      </c>
      <c r="D15764" t="inlineStr">
        <is>
          <t>VÄRMLANDS LÄN</t>
        </is>
      </c>
      <c r="E15764" t="inlineStr">
        <is>
          <t>ARVIKA</t>
        </is>
      </c>
      <c r="G15764" t="n">
        <v>1.9</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32531-2024</t>
        </is>
      </c>
      <c r="B15765" s="1" t="n">
        <v>45513</v>
      </c>
      <c r="C15765" s="1" t="n">
        <v>45810</v>
      </c>
      <c r="D15765" t="inlineStr">
        <is>
          <t>VÄRMLANDS LÄN</t>
        </is>
      </c>
      <c r="E15765" t="inlineStr">
        <is>
          <t>GRUMS</t>
        </is>
      </c>
      <c r="G15765" t="n">
        <v>8.199999999999999</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32503-2024</t>
        </is>
      </c>
      <c r="B15766" s="1" t="n">
        <v>45513</v>
      </c>
      <c r="C15766" s="1" t="n">
        <v>45810</v>
      </c>
      <c r="D15766" t="inlineStr">
        <is>
          <t>VÄRMLANDS LÄN</t>
        </is>
      </c>
      <c r="E15766" t="inlineStr">
        <is>
          <t>ARVIKA</t>
        </is>
      </c>
      <c r="G15766" t="n">
        <v>1.2</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32520-2024</t>
        </is>
      </c>
      <c r="B15767" s="1" t="n">
        <v>45513</v>
      </c>
      <c r="C15767" s="1" t="n">
        <v>45810</v>
      </c>
      <c r="D15767" t="inlineStr">
        <is>
          <t>VÄRMLANDS LÄN</t>
        </is>
      </c>
      <c r="E15767" t="inlineStr">
        <is>
          <t>ARVIKA</t>
        </is>
      </c>
      <c r="G15767" t="n">
        <v>4.2</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32556-2024</t>
        </is>
      </c>
      <c r="B15768" s="1" t="n">
        <v>45513</v>
      </c>
      <c r="C15768" s="1" t="n">
        <v>45810</v>
      </c>
      <c r="D15768" t="inlineStr">
        <is>
          <t>VÄRMLANDS LÄN</t>
        </is>
      </c>
      <c r="E15768" t="inlineStr">
        <is>
          <t>ARVIKA</t>
        </is>
      </c>
      <c r="F15768" t="inlineStr">
        <is>
          <t>Bergvik skog väst AB</t>
        </is>
      </c>
      <c r="G15768" t="n">
        <v>5.3</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32568-2024</t>
        </is>
      </c>
      <c r="B15769" s="1" t="n">
        <v>45513</v>
      </c>
      <c r="C15769" s="1" t="n">
        <v>45810</v>
      </c>
      <c r="D15769" t="inlineStr">
        <is>
          <t>VÄRMLANDS LÄN</t>
        </is>
      </c>
      <c r="E15769" t="inlineStr">
        <is>
          <t>FILIPSTAD</t>
        </is>
      </c>
      <c r="F15769" t="inlineStr">
        <is>
          <t>Bergvik skog väst AB</t>
        </is>
      </c>
      <c r="G15769" t="n">
        <v>11.8</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32572-2024</t>
        </is>
      </c>
      <c r="B15770" s="1" t="n">
        <v>45513</v>
      </c>
      <c r="C15770" s="1" t="n">
        <v>45810</v>
      </c>
      <c r="D15770" t="inlineStr">
        <is>
          <t>VÄRMLANDS LÄN</t>
        </is>
      </c>
      <c r="E15770" t="inlineStr">
        <is>
          <t>SUNNE</t>
        </is>
      </c>
      <c r="G15770" t="n">
        <v>0.5</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32588-2024</t>
        </is>
      </c>
      <c r="B15771" s="1" t="n">
        <v>45513</v>
      </c>
      <c r="C15771" s="1" t="n">
        <v>45810</v>
      </c>
      <c r="D15771" t="inlineStr">
        <is>
          <t>VÄRMLANDS LÄN</t>
        </is>
      </c>
      <c r="E15771" t="inlineStr">
        <is>
          <t>TORSBY</t>
        </is>
      </c>
      <c r="F15771" t="inlineStr">
        <is>
          <t>Bergvik skog väst AB</t>
        </is>
      </c>
      <c r="G15771" t="n">
        <v>5.2</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32624-2024</t>
        </is>
      </c>
      <c r="B15772" s="1" t="n">
        <v>45513</v>
      </c>
      <c r="C15772" s="1" t="n">
        <v>45810</v>
      </c>
      <c r="D15772" t="inlineStr">
        <is>
          <t>VÄRMLANDS LÄN</t>
        </is>
      </c>
      <c r="E15772" t="inlineStr">
        <is>
          <t>KRISTINEHAMN</t>
        </is>
      </c>
      <c r="G15772" t="n">
        <v>0.7</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32509-2024</t>
        </is>
      </c>
      <c r="B15773" s="1" t="n">
        <v>45513</v>
      </c>
      <c r="C15773" s="1" t="n">
        <v>45810</v>
      </c>
      <c r="D15773" t="inlineStr">
        <is>
          <t>VÄRMLANDS LÄN</t>
        </is>
      </c>
      <c r="E15773" t="inlineStr">
        <is>
          <t>ARVIKA</t>
        </is>
      </c>
      <c r="G15773" t="n">
        <v>2.5</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32522-2024</t>
        </is>
      </c>
      <c r="B15774" s="1" t="n">
        <v>45513</v>
      </c>
      <c r="C15774" s="1" t="n">
        <v>45810</v>
      </c>
      <c r="D15774" t="inlineStr">
        <is>
          <t>VÄRMLANDS LÄN</t>
        </is>
      </c>
      <c r="E15774" t="inlineStr">
        <is>
          <t>GRUMS</t>
        </is>
      </c>
      <c r="G15774" t="n">
        <v>2.3</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32538-2024</t>
        </is>
      </c>
      <c r="B15775" s="1" t="n">
        <v>45513</v>
      </c>
      <c r="C15775" s="1" t="n">
        <v>45810</v>
      </c>
      <c r="D15775" t="inlineStr">
        <is>
          <t>VÄRMLANDS LÄN</t>
        </is>
      </c>
      <c r="E15775" t="inlineStr">
        <is>
          <t>EDA</t>
        </is>
      </c>
      <c r="G15775" t="n">
        <v>1.7</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32550-2024</t>
        </is>
      </c>
      <c r="B15776" s="1" t="n">
        <v>45513</v>
      </c>
      <c r="C15776" s="1" t="n">
        <v>45810</v>
      </c>
      <c r="D15776" t="inlineStr">
        <is>
          <t>VÄRMLANDS LÄN</t>
        </is>
      </c>
      <c r="E15776" t="inlineStr">
        <is>
          <t>ÅRJÄNG</t>
        </is>
      </c>
      <c r="F15776" t="inlineStr">
        <is>
          <t>Bergvik skog väst AB</t>
        </is>
      </c>
      <c r="G15776" t="n">
        <v>0.5</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32562-2024</t>
        </is>
      </c>
      <c r="B15777" s="1" t="n">
        <v>45513</v>
      </c>
      <c r="C15777" s="1" t="n">
        <v>45810</v>
      </c>
      <c r="D15777" t="inlineStr">
        <is>
          <t>VÄRMLANDS LÄN</t>
        </is>
      </c>
      <c r="E15777" t="inlineStr">
        <is>
          <t>KARLSTAD</t>
        </is>
      </c>
      <c r="G15777" t="n">
        <v>1.4</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32566-2024</t>
        </is>
      </c>
      <c r="B15778" s="1" t="n">
        <v>45513</v>
      </c>
      <c r="C15778" s="1" t="n">
        <v>45810</v>
      </c>
      <c r="D15778" t="inlineStr">
        <is>
          <t>VÄRMLANDS LÄN</t>
        </is>
      </c>
      <c r="E15778" t="inlineStr">
        <is>
          <t>ARVIKA</t>
        </is>
      </c>
      <c r="G15778" t="n">
        <v>2.7</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32598-2024</t>
        </is>
      </c>
      <c r="B15779" s="1" t="n">
        <v>45513</v>
      </c>
      <c r="C15779" s="1" t="n">
        <v>45810</v>
      </c>
      <c r="D15779" t="inlineStr">
        <is>
          <t>VÄRMLANDS LÄN</t>
        </is>
      </c>
      <c r="E15779" t="inlineStr">
        <is>
          <t>SUNNE</t>
        </is>
      </c>
      <c r="F15779" t="inlineStr">
        <is>
          <t>Bergvik skog väst AB</t>
        </is>
      </c>
      <c r="G15779" t="n">
        <v>2.1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32533-2024</t>
        </is>
      </c>
      <c r="B15780" s="1" t="n">
        <v>45513</v>
      </c>
      <c r="C15780" s="1" t="n">
        <v>45810</v>
      </c>
      <c r="D15780" t="inlineStr">
        <is>
          <t>VÄRMLANDS LÄN</t>
        </is>
      </c>
      <c r="E15780" t="inlineStr">
        <is>
          <t>EDA</t>
        </is>
      </c>
      <c r="G15780" t="n">
        <v>0.9</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32545-2024</t>
        </is>
      </c>
      <c r="B15781" s="1" t="n">
        <v>45513</v>
      </c>
      <c r="C15781" s="1" t="n">
        <v>45810</v>
      </c>
      <c r="D15781" t="inlineStr">
        <is>
          <t>VÄRMLANDS LÄN</t>
        </is>
      </c>
      <c r="E15781" t="inlineStr">
        <is>
          <t>EDA</t>
        </is>
      </c>
      <c r="G15781" t="n">
        <v>1.1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32535-2024</t>
        </is>
      </c>
      <c r="B15782" s="1" t="n">
        <v>45513</v>
      </c>
      <c r="C15782" s="1" t="n">
        <v>45810</v>
      </c>
      <c r="D15782" t="inlineStr">
        <is>
          <t>VÄRMLANDS LÄN</t>
        </is>
      </c>
      <c r="E15782" t="inlineStr">
        <is>
          <t>GRUMS</t>
        </is>
      </c>
      <c r="G15782" t="n">
        <v>2.8</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32539-2024</t>
        </is>
      </c>
      <c r="B15783" s="1" t="n">
        <v>45513</v>
      </c>
      <c r="C15783" s="1" t="n">
        <v>45810</v>
      </c>
      <c r="D15783" t="inlineStr">
        <is>
          <t>VÄRMLANDS LÄN</t>
        </is>
      </c>
      <c r="E15783" t="inlineStr">
        <is>
          <t>KARLSTAD</t>
        </is>
      </c>
      <c r="G15783" t="n">
        <v>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32603-2024</t>
        </is>
      </c>
      <c r="B15784" s="1" t="n">
        <v>45513</v>
      </c>
      <c r="C15784" s="1" t="n">
        <v>45810</v>
      </c>
      <c r="D15784" t="inlineStr">
        <is>
          <t>VÄRMLANDS LÄN</t>
        </is>
      </c>
      <c r="E15784" t="inlineStr">
        <is>
          <t>TORSBY</t>
        </is>
      </c>
      <c r="G15784" t="n">
        <v>3.3</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32607-2024</t>
        </is>
      </c>
      <c r="B15785" s="1" t="n">
        <v>45513</v>
      </c>
      <c r="C15785" s="1" t="n">
        <v>45810</v>
      </c>
      <c r="D15785" t="inlineStr">
        <is>
          <t>VÄRMLANDS LÄN</t>
        </is>
      </c>
      <c r="E15785" t="inlineStr">
        <is>
          <t>ARVIKA</t>
        </is>
      </c>
      <c r="F15785" t="inlineStr">
        <is>
          <t>Bergvik skog väst AB</t>
        </is>
      </c>
      <c r="G15785" t="n">
        <v>5.7</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32675-2024</t>
        </is>
      </c>
      <c r="B15786" s="1" t="n">
        <v>45514</v>
      </c>
      <c r="C15786" s="1" t="n">
        <v>45810</v>
      </c>
      <c r="D15786" t="inlineStr">
        <is>
          <t>VÄRMLANDS LÄN</t>
        </is>
      </c>
      <c r="E15786" t="inlineStr">
        <is>
          <t>ARVIKA</t>
        </is>
      </c>
      <c r="G15786" t="n">
        <v>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32685-2024</t>
        </is>
      </c>
      <c r="B15787" s="1" t="n">
        <v>45515</v>
      </c>
      <c r="C15787" s="1" t="n">
        <v>45810</v>
      </c>
      <c r="D15787" t="inlineStr">
        <is>
          <t>VÄRMLANDS LÄN</t>
        </is>
      </c>
      <c r="E15787" t="inlineStr">
        <is>
          <t>ARVIKA</t>
        </is>
      </c>
      <c r="G15787" t="n">
        <v>1.6</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32764-2024</t>
        </is>
      </c>
      <c r="B15788" s="1" t="n">
        <v>45515</v>
      </c>
      <c r="C15788" s="1" t="n">
        <v>45810</v>
      </c>
      <c r="D15788" t="inlineStr">
        <is>
          <t>VÄRMLANDS LÄN</t>
        </is>
      </c>
      <c r="E15788" t="inlineStr">
        <is>
          <t>TORSBY</t>
        </is>
      </c>
      <c r="G15788" t="n">
        <v>9.9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32755-2024</t>
        </is>
      </c>
      <c r="B15789" s="1" t="n">
        <v>45515</v>
      </c>
      <c r="C15789" s="1" t="n">
        <v>45810</v>
      </c>
      <c r="D15789" t="inlineStr">
        <is>
          <t>VÄRMLANDS LÄN</t>
        </is>
      </c>
      <c r="E15789" t="inlineStr">
        <is>
          <t>TORSBY</t>
        </is>
      </c>
      <c r="G15789" t="n">
        <v>2.1</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32746-2024</t>
        </is>
      </c>
      <c r="B15790" s="1" t="n">
        <v>45515</v>
      </c>
      <c r="C15790" s="1" t="n">
        <v>45810</v>
      </c>
      <c r="D15790" t="inlineStr">
        <is>
          <t>VÄRMLANDS LÄN</t>
        </is>
      </c>
      <c r="E15790" t="inlineStr">
        <is>
          <t>TORSBY</t>
        </is>
      </c>
      <c r="G15790" t="n">
        <v>1.2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32691-2024</t>
        </is>
      </c>
      <c r="B15791" s="1" t="n">
        <v>45516</v>
      </c>
      <c r="C15791" s="1" t="n">
        <v>45810</v>
      </c>
      <c r="D15791" t="inlineStr">
        <is>
          <t>VÄRMLANDS LÄN</t>
        </is>
      </c>
      <c r="E15791" t="inlineStr">
        <is>
          <t>SUNNE</t>
        </is>
      </c>
      <c r="G15791" t="n">
        <v>1.9</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32758-2024</t>
        </is>
      </c>
      <c r="B15792" s="1" t="n">
        <v>45515</v>
      </c>
      <c r="C15792" s="1" t="n">
        <v>45810</v>
      </c>
      <c r="D15792" t="inlineStr">
        <is>
          <t>VÄRMLANDS LÄN</t>
        </is>
      </c>
      <c r="E15792" t="inlineStr">
        <is>
          <t>TORSBY</t>
        </is>
      </c>
      <c r="G15792" t="n">
        <v>9.699999999999999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32877-2024</t>
        </is>
      </c>
      <c r="B15793" s="1" t="n">
        <v>45516</v>
      </c>
      <c r="C15793" s="1" t="n">
        <v>45810</v>
      </c>
      <c r="D15793" t="inlineStr">
        <is>
          <t>VÄRMLANDS LÄN</t>
        </is>
      </c>
      <c r="E15793" t="inlineStr">
        <is>
          <t>SÄFFLE</t>
        </is>
      </c>
      <c r="G15793" t="n">
        <v>10.2</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32894-2024</t>
        </is>
      </c>
      <c r="B15794" s="1" t="n">
        <v>45516</v>
      </c>
      <c r="C15794" s="1" t="n">
        <v>45810</v>
      </c>
      <c r="D15794" t="inlineStr">
        <is>
          <t>VÄRMLANDS LÄN</t>
        </is>
      </c>
      <c r="E15794" t="inlineStr">
        <is>
          <t>FILIPSTAD</t>
        </is>
      </c>
      <c r="G15794" t="n">
        <v>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32786-2024</t>
        </is>
      </c>
      <c r="B15795" s="1" t="n">
        <v>45516</v>
      </c>
      <c r="C15795" s="1" t="n">
        <v>45810</v>
      </c>
      <c r="D15795" t="inlineStr">
        <is>
          <t>VÄRMLANDS LÄN</t>
        </is>
      </c>
      <c r="E15795" t="inlineStr">
        <is>
          <t>FILIPSTAD</t>
        </is>
      </c>
      <c r="G15795" t="n">
        <v>1.7</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32776-2024</t>
        </is>
      </c>
      <c r="B15796" s="1" t="n">
        <v>45516</v>
      </c>
      <c r="C15796" s="1" t="n">
        <v>45810</v>
      </c>
      <c r="D15796" t="inlineStr">
        <is>
          <t>VÄRMLANDS LÄN</t>
        </is>
      </c>
      <c r="E15796" t="inlineStr">
        <is>
          <t>ÅRJÄNG</t>
        </is>
      </c>
      <c r="G15796" t="n">
        <v>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32752-2024</t>
        </is>
      </c>
      <c r="B15797" s="1" t="n">
        <v>45516</v>
      </c>
      <c r="C15797" s="1" t="n">
        <v>45810</v>
      </c>
      <c r="D15797" t="inlineStr">
        <is>
          <t>VÄRMLANDS LÄN</t>
        </is>
      </c>
      <c r="E15797" t="inlineStr">
        <is>
          <t>SÄFFLE</t>
        </is>
      </c>
      <c r="F15797" t="inlineStr">
        <is>
          <t>Kyrkan</t>
        </is>
      </c>
      <c r="G15797" t="n">
        <v>5.4</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32774-2024</t>
        </is>
      </c>
      <c r="B15798" s="1" t="n">
        <v>45516</v>
      </c>
      <c r="C15798" s="1" t="n">
        <v>45810</v>
      </c>
      <c r="D15798" t="inlineStr">
        <is>
          <t>VÄRMLANDS LÄN</t>
        </is>
      </c>
      <c r="E15798" t="inlineStr">
        <is>
          <t>SUNNE</t>
        </is>
      </c>
      <c r="G15798" t="n">
        <v>8.800000000000001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32763-2024</t>
        </is>
      </c>
      <c r="B15799" s="1" t="n">
        <v>45516</v>
      </c>
      <c r="C15799" s="1" t="n">
        <v>45810</v>
      </c>
      <c r="D15799" t="inlineStr">
        <is>
          <t>VÄRMLANDS LÄN</t>
        </is>
      </c>
      <c r="E15799" t="inlineStr">
        <is>
          <t>ÅRJÄNG</t>
        </is>
      </c>
      <c r="G15799" t="n">
        <v>2.2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32751-2024</t>
        </is>
      </c>
      <c r="B15800" s="1" t="n">
        <v>45516</v>
      </c>
      <c r="C15800" s="1" t="n">
        <v>45810</v>
      </c>
      <c r="D15800" t="inlineStr">
        <is>
          <t>VÄRMLANDS LÄN</t>
        </is>
      </c>
      <c r="E15800" t="inlineStr">
        <is>
          <t>SÄFFLE</t>
        </is>
      </c>
      <c r="G15800" t="n">
        <v>3.6</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32747-2024</t>
        </is>
      </c>
      <c r="B15801" s="1" t="n">
        <v>45516</v>
      </c>
      <c r="C15801" s="1" t="n">
        <v>45810</v>
      </c>
      <c r="D15801" t="inlineStr">
        <is>
          <t>VÄRMLANDS LÄN</t>
        </is>
      </c>
      <c r="E15801" t="inlineStr">
        <is>
          <t>SÄFFLE</t>
        </is>
      </c>
      <c r="G15801" t="n">
        <v>2</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32836-2024</t>
        </is>
      </c>
      <c r="B15802" s="1" t="n">
        <v>45516</v>
      </c>
      <c r="C15802" s="1" t="n">
        <v>45810</v>
      </c>
      <c r="D15802" t="inlineStr">
        <is>
          <t>VÄRMLANDS LÄN</t>
        </is>
      </c>
      <c r="E15802" t="inlineStr">
        <is>
          <t>ARVIKA</t>
        </is>
      </c>
      <c r="F15802" t="inlineStr">
        <is>
          <t>Bergvik skog väst AB</t>
        </is>
      </c>
      <c r="G15802" t="n">
        <v>12.5</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32784-2024</t>
        </is>
      </c>
      <c r="B15803" s="1" t="n">
        <v>45516</v>
      </c>
      <c r="C15803" s="1" t="n">
        <v>45810</v>
      </c>
      <c r="D15803" t="inlineStr">
        <is>
          <t>VÄRMLANDS LÄN</t>
        </is>
      </c>
      <c r="E15803" t="inlineStr">
        <is>
          <t>FILIPSTAD</t>
        </is>
      </c>
      <c r="G15803" t="n">
        <v>1.2</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32778-2024</t>
        </is>
      </c>
      <c r="B15804" s="1" t="n">
        <v>45516</v>
      </c>
      <c r="C15804" s="1" t="n">
        <v>45810</v>
      </c>
      <c r="D15804" t="inlineStr">
        <is>
          <t>VÄRMLANDS LÄN</t>
        </is>
      </c>
      <c r="E15804" t="inlineStr">
        <is>
          <t>ÅRJÄNG</t>
        </is>
      </c>
      <c r="G15804" t="n">
        <v>2.8</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32773-2024</t>
        </is>
      </c>
      <c r="B15805" s="1" t="n">
        <v>45516</v>
      </c>
      <c r="C15805" s="1" t="n">
        <v>45810</v>
      </c>
      <c r="D15805" t="inlineStr">
        <is>
          <t>VÄRMLANDS LÄN</t>
        </is>
      </c>
      <c r="E15805" t="inlineStr">
        <is>
          <t>ÅRJÄNG</t>
        </is>
      </c>
      <c r="G15805" t="n">
        <v>1.5</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32845-2024</t>
        </is>
      </c>
      <c r="B15806" s="1" t="n">
        <v>45516</v>
      </c>
      <c r="C15806" s="1" t="n">
        <v>45810</v>
      </c>
      <c r="D15806" t="inlineStr">
        <is>
          <t>VÄRMLANDS LÄN</t>
        </is>
      </c>
      <c r="E15806" t="inlineStr">
        <is>
          <t>TORSBY</t>
        </is>
      </c>
      <c r="F15806" t="inlineStr">
        <is>
          <t>Bergvik skog väst AB</t>
        </is>
      </c>
      <c r="G15806" t="n">
        <v>2.8</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32847-2024</t>
        </is>
      </c>
      <c r="B15807" s="1" t="n">
        <v>45516</v>
      </c>
      <c r="C15807" s="1" t="n">
        <v>45810</v>
      </c>
      <c r="D15807" t="inlineStr">
        <is>
          <t>VÄRMLANDS LÄN</t>
        </is>
      </c>
      <c r="E15807" t="inlineStr">
        <is>
          <t>TORSBY</t>
        </is>
      </c>
      <c r="F15807" t="inlineStr">
        <is>
          <t>Bergvik skog väst AB</t>
        </is>
      </c>
      <c r="G15807" t="n">
        <v>3.9</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32753-2024</t>
        </is>
      </c>
      <c r="B15808" s="1" t="n">
        <v>45516</v>
      </c>
      <c r="C15808" s="1" t="n">
        <v>45810</v>
      </c>
      <c r="D15808" t="inlineStr">
        <is>
          <t>VÄRMLANDS LÄN</t>
        </is>
      </c>
      <c r="E15808" t="inlineStr">
        <is>
          <t>SUNNE</t>
        </is>
      </c>
      <c r="G15808" t="n">
        <v>1.9</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32723-2024</t>
        </is>
      </c>
      <c r="B15809" s="1" t="n">
        <v>45516</v>
      </c>
      <c r="C15809" s="1" t="n">
        <v>45810</v>
      </c>
      <c r="D15809" t="inlineStr">
        <is>
          <t>VÄRMLANDS LÄN</t>
        </is>
      </c>
      <c r="E15809" t="inlineStr">
        <is>
          <t>ÅRJÄNG</t>
        </is>
      </c>
      <c r="G15809" t="n">
        <v>2.4</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32698-2024</t>
        </is>
      </c>
      <c r="B15810" s="1" t="n">
        <v>45516</v>
      </c>
      <c r="C15810" s="1" t="n">
        <v>45810</v>
      </c>
      <c r="D15810" t="inlineStr">
        <is>
          <t>VÄRMLANDS LÄN</t>
        </is>
      </c>
      <c r="E15810" t="inlineStr">
        <is>
          <t>EDA</t>
        </is>
      </c>
      <c r="G15810" t="n">
        <v>0.8</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33088-2024</t>
        </is>
      </c>
      <c r="B15811" s="1" t="n">
        <v>45517</v>
      </c>
      <c r="C15811" s="1" t="n">
        <v>45810</v>
      </c>
      <c r="D15811" t="inlineStr">
        <is>
          <t>VÄRMLANDS LÄN</t>
        </is>
      </c>
      <c r="E15811" t="inlineStr">
        <is>
          <t>TORSBY</t>
        </is>
      </c>
      <c r="G15811" t="n">
        <v>1.3</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33078-2024</t>
        </is>
      </c>
      <c r="B15812" s="1" t="n">
        <v>45517</v>
      </c>
      <c r="C15812" s="1" t="n">
        <v>45810</v>
      </c>
      <c r="D15812" t="inlineStr">
        <is>
          <t>VÄRMLANDS LÄN</t>
        </is>
      </c>
      <c r="E15812" t="inlineStr">
        <is>
          <t>TORSBY</t>
        </is>
      </c>
      <c r="G15812" t="n">
        <v>2.1</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33070-2024</t>
        </is>
      </c>
      <c r="B15813" s="1" t="n">
        <v>45517</v>
      </c>
      <c r="C15813" s="1" t="n">
        <v>45810</v>
      </c>
      <c r="D15813" t="inlineStr">
        <is>
          <t>VÄRMLANDS LÄN</t>
        </is>
      </c>
      <c r="E15813" t="inlineStr">
        <is>
          <t>FORSHAGA</t>
        </is>
      </c>
      <c r="G15813" t="n">
        <v>6.3</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32973-2024</t>
        </is>
      </c>
      <c r="B15814" s="1" t="n">
        <v>45517</v>
      </c>
      <c r="C15814" s="1" t="n">
        <v>45810</v>
      </c>
      <c r="D15814" t="inlineStr">
        <is>
          <t>VÄRMLANDS LÄN</t>
        </is>
      </c>
      <c r="E15814" t="inlineStr">
        <is>
          <t>TORSBY</t>
        </is>
      </c>
      <c r="G15814" t="n">
        <v>1.7</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33050-2024</t>
        </is>
      </c>
      <c r="B15815" s="1" t="n">
        <v>45517</v>
      </c>
      <c r="C15815" s="1" t="n">
        <v>45810</v>
      </c>
      <c r="D15815" t="inlineStr">
        <is>
          <t>VÄRMLANDS LÄN</t>
        </is>
      </c>
      <c r="E15815" t="inlineStr">
        <is>
          <t>ARVIKA</t>
        </is>
      </c>
      <c r="G15815" t="n">
        <v>0.5</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33034-2024</t>
        </is>
      </c>
      <c r="B15816" s="1" t="n">
        <v>45517</v>
      </c>
      <c r="C15816" s="1" t="n">
        <v>45810</v>
      </c>
      <c r="D15816" t="inlineStr">
        <is>
          <t>VÄRMLANDS LÄN</t>
        </is>
      </c>
      <c r="E15816" t="inlineStr">
        <is>
          <t>FORSHAGA</t>
        </is>
      </c>
      <c r="G15816" t="n">
        <v>3.9</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33036-2024</t>
        </is>
      </c>
      <c r="B15817" s="1" t="n">
        <v>45517</v>
      </c>
      <c r="C15817" s="1" t="n">
        <v>45810</v>
      </c>
      <c r="D15817" t="inlineStr">
        <is>
          <t>VÄRMLANDS LÄN</t>
        </is>
      </c>
      <c r="E15817" t="inlineStr">
        <is>
          <t>SUNNE</t>
        </is>
      </c>
      <c r="G15817" t="n">
        <v>1.9</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33013-2024</t>
        </is>
      </c>
      <c r="B15818" s="1" t="n">
        <v>45517</v>
      </c>
      <c r="C15818" s="1" t="n">
        <v>45810</v>
      </c>
      <c r="D15818" t="inlineStr">
        <is>
          <t>VÄRMLANDS LÄN</t>
        </is>
      </c>
      <c r="E15818" t="inlineStr">
        <is>
          <t>FORSHAGA</t>
        </is>
      </c>
      <c r="G15818" t="n">
        <v>2.2</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32968-2024</t>
        </is>
      </c>
      <c r="B15819" s="1" t="n">
        <v>45517</v>
      </c>
      <c r="C15819" s="1" t="n">
        <v>45810</v>
      </c>
      <c r="D15819" t="inlineStr">
        <is>
          <t>VÄRMLANDS LÄN</t>
        </is>
      </c>
      <c r="E15819" t="inlineStr">
        <is>
          <t>SÄFFLE</t>
        </is>
      </c>
      <c r="G15819" t="n">
        <v>2.1</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33058-2024</t>
        </is>
      </c>
      <c r="B15820" s="1" t="n">
        <v>45517</v>
      </c>
      <c r="C15820" s="1" t="n">
        <v>45810</v>
      </c>
      <c r="D15820" t="inlineStr">
        <is>
          <t>VÄRMLANDS LÄN</t>
        </is>
      </c>
      <c r="E15820" t="inlineStr">
        <is>
          <t>FORSHAGA</t>
        </is>
      </c>
      <c r="G15820" t="n">
        <v>4.1</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33085-2024</t>
        </is>
      </c>
      <c r="B15821" s="1" t="n">
        <v>45517</v>
      </c>
      <c r="C15821" s="1" t="n">
        <v>45810</v>
      </c>
      <c r="D15821" t="inlineStr">
        <is>
          <t>VÄRMLANDS LÄN</t>
        </is>
      </c>
      <c r="E15821" t="inlineStr">
        <is>
          <t>TORSBY</t>
        </is>
      </c>
      <c r="G15821" t="n">
        <v>4.4</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33073-2024</t>
        </is>
      </c>
      <c r="B15822" s="1" t="n">
        <v>45517</v>
      </c>
      <c r="C15822" s="1" t="n">
        <v>45810</v>
      </c>
      <c r="D15822" t="inlineStr">
        <is>
          <t>VÄRMLANDS LÄN</t>
        </is>
      </c>
      <c r="E15822" t="inlineStr">
        <is>
          <t>TORSBY</t>
        </is>
      </c>
      <c r="G15822" t="n">
        <v>3.3</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33065-2024</t>
        </is>
      </c>
      <c r="B15823" s="1" t="n">
        <v>45517</v>
      </c>
      <c r="C15823" s="1" t="n">
        <v>45810</v>
      </c>
      <c r="D15823" t="inlineStr">
        <is>
          <t>VÄRMLANDS LÄN</t>
        </is>
      </c>
      <c r="E15823" t="inlineStr">
        <is>
          <t>FORSHAGA</t>
        </is>
      </c>
      <c r="G15823" t="n">
        <v>1.5</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33057-2024</t>
        </is>
      </c>
      <c r="B15824" s="1" t="n">
        <v>45517</v>
      </c>
      <c r="C15824" s="1" t="n">
        <v>45810</v>
      </c>
      <c r="D15824" t="inlineStr">
        <is>
          <t>VÄRMLANDS LÄN</t>
        </is>
      </c>
      <c r="E15824" t="inlineStr">
        <is>
          <t>SUNNE</t>
        </is>
      </c>
      <c r="G15824" t="n">
        <v>0.8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33008-2024</t>
        </is>
      </c>
      <c r="B15825" s="1" t="n">
        <v>45517</v>
      </c>
      <c r="C15825" s="1" t="n">
        <v>45810</v>
      </c>
      <c r="D15825" t="inlineStr">
        <is>
          <t>VÄRMLANDS LÄN</t>
        </is>
      </c>
      <c r="E15825" t="inlineStr">
        <is>
          <t>SUNNE</t>
        </is>
      </c>
      <c r="G15825" t="n">
        <v>0.5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32988-2024</t>
        </is>
      </c>
      <c r="B15826" s="1" t="n">
        <v>45517</v>
      </c>
      <c r="C15826" s="1" t="n">
        <v>45810</v>
      </c>
      <c r="D15826" t="inlineStr">
        <is>
          <t>VÄRMLANDS LÄN</t>
        </is>
      </c>
      <c r="E15826" t="inlineStr">
        <is>
          <t>TORSBY</t>
        </is>
      </c>
      <c r="G15826" t="n">
        <v>1</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32950-2024</t>
        </is>
      </c>
      <c r="B15827" s="1" t="n">
        <v>45517</v>
      </c>
      <c r="C15827" s="1" t="n">
        <v>45810</v>
      </c>
      <c r="D15827" t="inlineStr">
        <is>
          <t>VÄRMLANDS LÄN</t>
        </is>
      </c>
      <c r="E15827" t="inlineStr">
        <is>
          <t>ÅRJÄNG</t>
        </is>
      </c>
      <c r="G15827" t="n">
        <v>1</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32932-2024</t>
        </is>
      </c>
      <c r="B15828" s="1" t="n">
        <v>45517</v>
      </c>
      <c r="C15828" s="1" t="n">
        <v>45810</v>
      </c>
      <c r="D15828" t="inlineStr">
        <is>
          <t>VÄRMLANDS LÄN</t>
        </is>
      </c>
      <c r="E15828" t="inlineStr">
        <is>
          <t>TORSBY</t>
        </is>
      </c>
      <c r="G15828" t="n">
        <v>6.3</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32936-2024</t>
        </is>
      </c>
      <c r="B15829" s="1" t="n">
        <v>45517</v>
      </c>
      <c r="C15829" s="1" t="n">
        <v>45810</v>
      </c>
      <c r="D15829" t="inlineStr">
        <is>
          <t>VÄRMLANDS LÄN</t>
        </is>
      </c>
      <c r="E15829" t="inlineStr">
        <is>
          <t>TORSBY</t>
        </is>
      </c>
      <c r="G15829" t="n">
        <v>8.300000000000001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33047-2024</t>
        </is>
      </c>
      <c r="B15830" s="1" t="n">
        <v>45517</v>
      </c>
      <c r="C15830" s="1" t="n">
        <v>45810</v>
      </c>
      <c r="D15830" t="inlineStr">
        <is>
          <t>VÄRMLANDS LÄN</t>
        </is>
      </c>
      <c r="E15830" t="inlineStr">
        <is>
          <t>ARVIKA</t>
        </is>
      </c>
      <c r="G15830" t="n">
        <v>1.5</v>
      </c>
      <c r="H15830" t="n">
        <v>0</v>
      </c>
      <c r="I15830" t="n">
        <v>0</v>
      </c>
      <c r="J15830" t="n">
        <v>0</v>
      </c>
      <c r="K15830" t="n">
        <v>0</v>
      </c>
      <c r="L15830" t="n">
        <v>0</v>
      </c>
      <c r="M15830" t="n">
        <v>0</v>
      </c>
      <c r="N15830" t="n">
        <v>0</v>
      </c>
      <c r="O15830" t="n">
        <v>0</v>
      </c>
      <c r="P15830" t="n">
        <v>0</v>
      </c>
      <c r="Q15830" t="n">
        <v>0</v>
      </c>
      <c r="R15830" s="2" t="inlineStr"/>
      <c r="U15830">
        <f>HYPERLINK("https://klasma.github.io/Logging_1784/knärot/A 33047-2024 karta knärot.png", "A 33047-2024")</f>
        <v/>
      </c>
      <c r="V15830">
        <f>HYPERLINK("https://klasma.github.io/Logging_1784/klagomål/A 33047-2024 FSC-klagomål.docx", "A 33047-2024")</f>
        <v/>
      </c>
      <c r="W15830">
        <f>HYPERLINK("https://klasma.github.io/Logging_1784/klagomålsmail/A 33047-2024 FSC-klagomål mail.docx", "A 33047-2024")</f>
        <v/>
      </c>
      <c r="X15830">
        <f>HYPERLINK("https://klasma.github.io/Logging_1784/tillsyn/A 33047-2024 tillsynsbegäran.docx", "A 33047-2024")</f>
        <v/>
      </c>
      <c r="Y15830">
        <f>HYPERLINK("https://klasma.github.io/Logging_1784/tillsynsmail/A 33047-2024 tillsynsbegäran mail.docx", "A 33047-2024")</f>
        <v/>
      </c>
    </row>
    <row r="15831" ht="15" customHeight="1">
      <c r="A15831" t="inlineStr">
        <is>
          <t>A 33010-2024</t>
        </is>
      </c>
      <c r="B15831" s="1" t="n">
        <v>45517</v>
      </c>
      <c r="C15831" s="1" t="n">
        <v>45810</v>
      </c>
      <c r="D15831" t="inlineStr">
        <is>
          <t>VÄRMLANDS LÄN</t>
        </is>
      </c>
      <c r="E15831" t="inlineStr">
        <is>
          <t>SUNNE</t>
        </is>
      </c>
      <c r="G15831" t="n">
        <v>0.6</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32980-2024</t>
        </is>
      </c>
      <c r="B15832" s="1" t="n">
        <v>45517</v>
      </c>
      <c r="C15832" s="1" t="n">
        <v>45810</v>
      </c>
      <c r="D15832" t="inlineStr">
        <is>
          <t>VÄRMLANDS LÄN</t>
        </is>
      </c>
      <c r="E15832" t="inlineStr">
        <is>
          <t>SUNNE</t>
        </is>
      </c>
      <c r="G15832" t="n">
        <v>5.5</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32939-2024</t>
        </is>
      </c>
      <c r="B15833" s="1" t="n">
        <v>45517</v>
      </c>
      <c r="C15833" s="1" t="n">
        <v>45810</v>
      </c>
      <c r="D15833" t="inlineStr">
        <is>
          <t>VÄRMLANDS LÄN</t>
        </is>
      </c>
      <c r="E15833" t="inlineStr">
        <is>
          <t>TORSBY</t>
        </is>
      </c>
      <c r="G15833" t="n">
        <v>7.1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33185-2024</t>
        </is>
      </c>
      <c r="B15834" s="1" t="n">
        <v>45518</v>
      </c>
      <c r="C15834" s="1" t="n">
        <v>45810</v>
      </c>
      <c r="D15834" t="inlineStr">
        <is>
          <t>VÄRMLANDS LÄN</t>
        </is>
      </c>
      <c r="E15834" t="inlineStr">
        <is>
          <t>TORSBY</t>
        </is>
      </c>
      <c r="G15834" t="n">
        <v>2.3</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33181-2024</t>
        </is>
      </c>
      <c r="B15835" s="1" t="n">
        <v>45518</v>
      </c>
      <c r="C15835" s="1" t="n">
        <v>45810</v>
      </c>
      <c r="D15835" t="inlineStr">
        <is>
          <t>VÄRMLANDS LÄN</t>
        </is>
      </c>
      <c r="E15835" t="inlineStr">
        <is>
          <t>HAGFORS</t>
        </is>
      </c>
      <c r="G15835" t="n">
        <v>1.6</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33152-2024</t>
        </is>
      </c>
      <c r="B15836" s="1" t="n">
        <v>45518</v>
      </c>
      <c r="C15836" s="1" t="n">
        <v>45810</v>
      </c>
      <c r="D15836" t="inlineStr">
        <is>
          <t>VÄRMLANDS LÄN</t>
        </is>
      </c>
      <c r="E15836" t="inlineStr">
        <is>
          <t>HAGFORS</t>
        </is>
      </c>
      <c r="G15836" t="n">
        <v>4</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33293-2024</t>
        </is>
      </c>
      <c r="B15837" s="1" t="n">
        <v>45518</v>
      </c>
      <c r="C15837" s="1" t="n">
        <v>45810</v>
      </c>
      <c r="D15837" t="inlineStr">
        <is>
          <t>VÄRMLANDS LÄN</t>
        </is>
      </c>
      <c r="E15837" t="inlineStr">
        <is>
          <t>TORSBY</t>
        </is>
      </c>
      <c r="G15837" t="n">
        <v>1.7</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33270-2024</t>
        </is>
      </c>
      <c r="B15838" s="1" t="n">
        <v>45518</v>
      </c>
      <c r="C15838" s="1" t="n">
        <v>45810</v>
      </c>
      <c r="D15838" t="inlineStr">
        <is>
          <t>VÄRMLANDS LÄN</t>
        </is>
      </c>
      <c r="E15838" t="inlineStr">
        <is>
          <t>GRUMS</t>
        </is>
      </c>
      <c r="G15838" t="n">
        <v>1.9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33218-2024</t>
        </is>
      </c>
      <c r="B15839" s="1" t="n">
        <v>45518</v>
      </c>
      <c r="C15839" s="1" t="n">
        <v>45810</v>
      </c>
      <c r="D15839" t="inlineStr">
        <is>
          <t>VÄRMLANDS LÄN</t>
        </is>
      </c>
      <c r="E15839" t="inlineStr">
        <is>
          <t>TORSBY</t>
        </is>
      </c>
      <c r="G15839" t="n">
        <v>1.7</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33232-2024</t>
        </is>
      </c>
      <c r="B15840" s="1" t="n">
        <v>45518</v>
      </c>
      <c r="C15840" s="1" t="n">
        <v>45810</v>
      </c>
      <c r="D15840" t="inlineStr">
        <is>
          <t>VÄRMLANDS LÄN</t>
        </is>
      </c>
      <c r="E15840" t="inlineStr">
        <is>
          <t>TORSBY</t>
        </is>
      </c>
      <c r="F15840" t="inlineStr">
        <is>
          <t>Bergvik skog väst AB</t>
        </is>
      </c>
      <c r="G15840" t="n">
        <v>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33133-2024</t>
        </is>
      </c>
      <c r="B15841" s="1" t="n">
        <v>45518</v>
      </c>
      <c r="C15841" s="1" t="n">
        <v>45810</v>
      </c>
      <c r="D15841" t="inlineStr">
        <is>
          <t>VÄRMLANDS LÄN</t>
        </is>
      </c>
      <c r="E15841" t="inlineStr">
        <is>
          <t>TORSBY</t>
        </is>
      </c>
      <c r="F15841" t="inlineStr">
        <is>
          <t>Bergvik skog väst AB</t>
        </is>
      </c>
      <c r="G15841" t="n">
        <v>0.8</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33247-2024</t>
        </is>
      </c>
      <c r="B15842" s="1" t="n">
        <v>45518</v>
      </c>
      <c r="C15842" s="1" t="n">
        <v>45810</v>
      </c>
      <c r="D15842" t="inlineStr">
        <is>
          <t>VÄRMLANDS LÄN</t>
        </is>
      </c>
      <c r="E15842" t="inlineStr">
        <is>
          <t>SUNNE</t>
        </is>
      </c>
      <c r="G15842" t="n">
        <v>0.6</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33227-2024</t>
        </is>
      </c>
      <c r="B15843" s="1" t="n">
        <v>45518</v>
      </c>
      <c r="C15843" s="1" t="n">
        <v>45810</v>
      </c>
      <c r="D15843" t="inlineStr">
        <is>
          <t>VÄRMLANDS LÄN</t>
        </is>
      </c>
      <c r="E15843" t="inlineStr">
        <is>
          <t>TORSBY</t>
        </is>
      </c>
      <c r="F15843" t="inlineStr">
        <is>
          <t>Bergvik skog väst AB</t>
        </is>
      </c>
      <c r="G15843" t="n">
        <v>3.8</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33203-2024</t>
        </is>
      </c>
      <c r="B15844" s="1" t="n">
        <v>45518</v>
      </c>
      <c r="C15844" s="1" t="n">
        <v>45810</v>
      </c>
      <c r="D15844" t="inlineStr">
        <is>
          <t>VÄRMLANDS LÄN</t>
        </is>
      </c>
      <c r="E15844" t="inlineStr">
        <is>
          <t>ARVIKA</t>
        </is>
      </c>
      <c r="G15844" t="n">
        <v>2</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33220-2024</t>
        </is>
      </c>
      <c r="B15845" s="1" t="n">
        <v>45518</v>
      </c>
      <c r="C15845" s="1" t="n">
        <v>45810</v>
      </c>
      <c r="D15845" t="inlineStr">
        <is>
          <t>VÄRMLANDS LÄN</t>
        </is>
      </c>
      <c r="E15845" t="inlineStr">
        <is>
          <t>TORSBY</t>
        </is>
      </c>
      <c r="F15845" t="inlineStr">
        <is>
          <t>Bergvik skog väst AB</t>
        </is>
      </c>
      <c r="G15845" t="n">
        <v>4.6</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33146-2024</t>
        </is>
      </c>
      <c r="B15846" s="1" t="n">
        <v>45518</v>
      </c>
      <c r="C15846" s="1" t="n">
        <v>45810</v>
      </c>
      <c r="D15846" t="inlineStr">
        <is>
          <t>VÄRMLANDS LÄN</t>
        </is>
      </c>
      <c r="E15846" t="inlineStr">
        <is>
          <t>HAGFORS</t>
        </is>
      </c>
      <c r="G15846" t="n">
        <v>2</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33172-2024</t>
        </is>
      </c>
      <c r="B15847" s="1" t="n">
        <v>45518</v>
      </c>
      <c r="C15847" s="1" t="n">
        <v>45810</v>
      </c>
      <c r="D15847" t="inlineStr">
        <is>
          <t>VÄRMLANDS LÄN</t>
        </is>
      </c>
      <c r="E15847" t="inlineStr">
        <is>
          <t>TORSBY</t>
        </is>
      </c>
      <c r="G15847" t="n">
        <v>0.9</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33151-2024</t>
        </is>
      </c>
      <c r="B15848" s="1" t="n">
        <v>45518</v>
      </c>
      <c r="C15848" s="1" t="n">
        <v>45810</v>
      </c>
      <c r="D15848" t="inlineStr">
        <is>
          <t>VÄRMLANDS LÄN</t>
        </is>
      </c>
      <c r="E15848" t="inlineStr">
        <is>
          <t>TORSBY</t>
        </is>
      </c>
      <c r="F15848" t="inlineStr">
        <is>
          <t>Bergvik skog väst AB</t>
        </is>
      </c>
      <c r="G15848" t="n">
        <v>28.2</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33360-2024</t>
        </is>
      </c>
      <c r="B15849" s="1" t="n">
        <v>45519</v>
      </c>
      <c r="C15849" s="1" t="n">
        <v>45810</v>
      </c>
      <c r="D15849" t="inlineStr">
        <is>
          <t>VÄRMLANDS LÄN</t>
        </is>
      </c>
      <c r="E15849" t="inlineStr">
        <is>
          <t>ARVIKA</t>
        </is>
      </c>
      <c r="G15849" t="n">
        <v>1.8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33393-2024</t>
        </is>
      </c>
      <c r="B15850" s="1" t="n">
        <v>45519</v>
      </c>
      <c r="C15850" s="1" t="n">
        <v>45810</v>
      </c>
      <c r="D15850" t="inlineStr">
        <is>
          <t>VÄRMLANDS LÄN</t>
        </is>
      </c>
      <c r="E15850" t="inlineStr">
        <is>
          <t>MUNKFORS</t>
        </is>
      </c>
      <c r="F15850" t="inlineStr">
        <is>
          <t>Bergvik skog väst AB</t>
        </is>
      </c>
      <c r="G15850" t="n">
        <v>2.5</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33338-2024</t>
        </is>
      </c>
      <c r="B15851" s="1" t="n">
        <v>45519</v>
      </c>
      <c r="C15851" s="1" t="n">
        <v>45810</v>
      </c>
      <c r="D15851" t="inlineStr">
        <is>
          <t>VÄRMLANDS LÄN</t>
        </is>
      </c>
      <c r="E15851" t="inlineStr">
        <is>
          <t>TORSBY</t>
        </is>
      </c>
      <c r="G15851" t="n">
        <v>0.7</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33342-2024</t>
        </is>
      </c>
      <c r="B15852" s="1" t="n">
        <v>45519</v>
      </c>
      <c r="C15852" s="1" t="n">
        <v>45810</v>
      </c>
      <c r="D15852" t="inlineStr">
        <is>
          <t>VÄRMLANDS LÄN</t>
        </is>
      </c>
      <c r="E15852" t="inlineStr">
        <is>
          <t>KIL</t>
        </is>
      </c>
      <c r="G15852" t="n">
        <v>6.3</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33370-2024</t>
        </is>
      </c>
      <c r="B15853" s="1" t="n">
        <v>45519</v>
      </c>
      <c r="C15853" s="1" t="n">
        <v>45810</v>
      </c>
      <c r="D15853" t="inlineStr">
        <is>
          <t>VÄRMLANDS LÄN</t>
        </is>
      </c>
      <c r="E15853" t="inlineStr">
        <is>
          <t>TORSBY</t>
        </is>
      </c>
      <c r="G15853" t="n">
        <v>2.4</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33378-2024</t>
        </is>
      </c>
      <c r="B15854" s="1" t="n">
        <v>45519</v>
      </c>
      <c r="C15854" s="1" t="n">
        <v>45810</v>
      </c>
      <c r="D15854" t="inlineStr">
        <is>
          <t>VÄRMLANDS LÄN</t>
        </is>
      </c>
      <c r="E15854" t="inlineStr">
        <is>
          <t>HAGFORS</t>
        </is>
      </c>
      <c r="F15854" t="inlineStr">
        <is>
          <t>Bergvik skog väst AB</t>
        </is>
      </c>
      <c r="G15854" t="n">
        <v>3.9</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33382-2024</t>
        </is>
      </c>
      <c r="B15855" s="1" t="n">
        <v>45519</v>
      </c>
      <c r="C15855" s="1" t="n">
        <v>45810</v>
      </c>
      <c r="D15855" t="inlineStr">
        <is>
          <t>VÄRMLANDS LÄN</t>
        </is>
      </c>
      <c r="E15855" t="inlineStr">
        <is>
          <t>SÄFFLE</t>
        </is>
      </c>
      <c r="G15855" t="n">
        <v>5</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33399-2024</t>
        </is>
      </c>
      <c r="B15856" s="1" t="n">
        <v>45519</v>
      </c>
      <c r="C15856" s="1" t="n">
        <v>45810</v>
      </c>
      <c r="D15856" t="inlineStr">
        <is>
          <t>VÄRMLANDS LÄN</t>
        </is>
      </c>
      <c r="E15856" t="inlineStr">
        <is>
          <t>HAGFORS</t>
        </is>
      </c>
      <c r="G15856" t="n">
        <v>8.4</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33337-2024</t>
        </is>
      </c>
      <c r="B15857" s="1" t="n">
        <v>45519</v>
      </c>
      <c r="C15857" s="1" t="n">
        <v>45810</v>
      </c>
      <c r="D15857" t="inlineStr">
        <is>
          <t>VÄRMLANDS LÄN</t>
        </is>
      </c>
      <c r="E15857" t="inlineStr">
        <is>
          <t>TORSBY</t>
        </is>
      </c>
      <c r="F15857" t="inlineStr">
        <is>
          <t>Bergvik skog väst AB</t>
        </is>
      </c>
      <c r="G15857" t="n">
        <v>4.6</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33341-2024</t>
        </is>
      </c>
      <c r="B15858" s="1" t="n">
        <v>45519</v>
      </c>
      <c r="C15858" s="1" t="n">
        <v>45810</v>
      </c>
      <c r="D15858" t="inlineStr">
        <is>
          <t>VÄRMLANDS LÄN</t>
        </is>
      </c>
      <c r="E15858" t="inlineStr">
        <is>
          <t>TORSBY</t>
        </is>
      </c>
      <c r="G15858" t="n">
        <v>1.1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33405-2024</t>
        </is>
      </c>
      <c r="B15859" s="1" t="n">
        <v>45519</v>
      </c>
      <c r="C15859" s="1" t="n">
        <v>45810</v>
      </c>
      <c r="D15859" t="inlineStr">
        <is>
          <t>VÄRMLANDS LÄN</t>
        </is>
      </c>
      <c r="E15859" t="inlineStr">
        <is>
          <t>HAGFORS</t>
        </is>
      </c>
      <c r="F15859" t="inlineStr">
        <is>
          <t>Bergvik skog väst AB</t>
        </is>
      </c>
      <c r="G15859" t="n">
        <v>5.2</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33421-2024</t>
        </is>
      </c>
      <c r="B15860" s="1" t="n">
        <v>45519</v>
      </c>
      <c r="C15860" s="1" t="n">
        <v>45810</v>
      </c>
      <c r="D15860" t="inlineStr">
        <is>
          <t>VÄRMLANDS LÄN</t>
        </is>
      </c>
      <c r="E15860" t="inlineStr">
        <is>
          <t>ARVIKA</t>
        </is>
      </c>
      <c r="F15860" t="inlineStr">
        <is>
          <t>Bergvik skog väst AB</t>
        </is>
      </c>
      <c r="G15860" t="n">
        <v>2.1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33425-2024</t>
        </is>
      </c>
      <c r="B15861" s="1" t="n">
        <v>45519</v>
      </c>
      <c r="C15861" s="1" t="n">
        <v>45810</v>
      </c>
      <c r="D15861" t="inlineStr">
        <is>
          <t>VÄRMLANDS LÄN</t>
        </is>
      </c>
      <c r="E15861" t="inlineStr">
        <is>
          <t>TORSBY</t>
        </is>
      </c>
      <c r="G15861" t="n">
        <v>1.6</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33429-2024</t>
        </is>
      </c>
      <c r="B15862" s="1" t="n">
        <v>45519</v>
      </c>
      <c r="C15862" s="1" t="n">
        <v>45810</v>
      </c>
      <c r="D15862" t="inlineStr">
        <is>
          <t>VÄRMLANDS LÄN</t>
        </is>
      </c>
      <c r="E15862" t="inlineStr">
        <is>
          <t>TORSBY</t>
        </is>
      </c>
      <c r="F15862" t="inlineStr">
        <is>
          <t>Bergvik skog väst AB</t>
        </is>
      </c>
      <c r="G15862" t="n">
        <v>7.9</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33457-2024</t>
        </is>
      </c>
      <c r="B15863" s="1" t="n">
        <v>45519</v>
      </c>
      <c r="C15863" s="1" t="n">
        <v>45810</v>
      </c>
      <c r="D15863" t="inlineStr">
        <is>
          <t>VÄRMLANDS LÄN</t>
        </is>
      </c>
      <c r="E15863" t="inlineStr">
        <is>
          <t>HAGFORS</t>
        </is>
      </c>
      <c r="F15863" t="inlineStr">
        <is>
          <t>Bergvik skog väst AB</t>
        </is>
      </c>
      <c r="G15863" t="n">
        <v>13.6</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33469-2024</t>
        </is>
      </c>
      <c r="B15864" s="1" t="n">
        <v>45519</v>
      </c>
      <c r="C15864" s="1" t="n">
        <v>45810</v>
      </c>
      <c r="D15864" t="inlineStr">
        <is>
          <t>VÄRMLANDS LÄN</t>
        </is>
      </c>
      <c r="E15864" t="inlineStr">
        <is>
          <t>TORSBY</t>
        </is>
      </c>
      <c r="F15864" t="inlineStr">
        <is>
          <t>Bergvik skog väst AB</t>
        </is>
      </c>
      <c r="G15864" t="n">
        <v>2.2</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33485-2024</t>
        </is>
      </c>
      <c r="B15865" s="1" t="n">
        <v>45519</v>
      </c>
      <c r="C15865" s="1" t="n">
        <v>45810</v>
      </c>
      <c r="D15865" t="inlineStr">
        <is>
          <t>VÄRMLANDS LÄN</t>
        </is>
      </c>
      <c r="E15865" t="inlineStr">
        <is>
          <t>KIL</t>
        </is>
      </c>
      <c r="G15865" t="n">
        <v>2.6</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33546-2024</t>
        </is>
      </c>
      <c r="B15866" s="1" t="n">
        <v>45519</v>
      </c>
      <c r="C15866" s="1" t="n">
        <v>45810</v>
      </c>
      <c r="D15866" t="inlineStr">
        <is>
          <t>VÄRMLANDS LÄN</t>
        </is>
      </c>
      <c r="E15866" t="inlineStr">
        <is>
          <t>TORSBY</t>
        </is>
      </c>
      <c r="G15866" t="n">
        <v>7.2</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33418-2024</t>
        </is>
      </c>
      <c r="B15867" s="1" t="n">
        <v>45519</v>
      </c>
      <c r="C15867" s="1" t="n">
        <v>45810</v>
      </c>
      <c r="D15867" t="inlineStr">
        <is>
          <t>VÄRMLANDS LÄN</t>
        </is>
      </c>
      <c r="E15867" t="inlineStr">
        <is>
          <t>TORSBY</t>
        </is>
      </c>
      <c r="F15867" t="inlineStr">
        <is>
          <t>Bergvik skog väst AB</t>
        </is>
      </c>
      <c r="G15867" t="n">
        <v>27.6</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33411-2024</t>
        </is>
      </c>
      <c r="B15868" s="1" t="n">
        <v>45519</v>
      </c>
      <c r="C15868" s="1" t="n">
        <v>45810</v>
      </c>
      <c r="D15868" t="inlineStr">
        <is>
          <t>VÄRMLANDS LÄN</t>
        </is>
      </c>
      <c r="E15868" t="inlineStr">
        <is>
          <t>ARVIKA</t>
        </is>
      </c>
      <c r="F15868" t="inlineStr">
        <is>
          <t>Bergvik skog väst AB</t>
        </is>
      </c>
      <c r="G15868" t="n">
        <v>2.5</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33486-2024</t>
        </is>
      </c>
      <c r="B15869" s="1" t="n">
        <v>45519</v>
      </c>
      <c r="C15869" s="1" t="n">
        <v>45810</v>
      </c>
      <c r="D15869" t="inlineStr">
        <is>
          <t>VÄRMLANDS LÄN</t>
        </is>
      </c>
      <c r="E15869" t="inlineStr">
        <is>
          <t>FILIPSTAD</t>
        </is>
      </c>
      <c r="F15869" t="inlineStr">
        <is>
          <t>Bergvik skog väst AB</t>
        </is>
      </c>
      <c r="G15869" t="n">
        <v>12.4</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33459-2024</t>
        </is>
      </c>
      <c r="B15870" s="1" t="n">
        <v>45519</v>
      </c>
      <c r="C15870" s="1" t="n">
        <v>45810</v>
      </c>
      <c r="D15870" t="inlineStr">
        <is>
          <t>VÄRMLANDS LÄN</t>
        </is>
      </c>
      <c r="E15870" t="inlineStr">
        <is>
          <t>SUNNE</t>
        </is>
      </c>
      <c r="F15870" t="inlineStr">
        <is>
          <t>Bergvik skog väst AB</t>
        </is>
      </c>
      <c r="G15870" t="n">
        <v>2.6</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33511-2024</t>
        </is>
      </c>
      <c r="B15871" s="1" t="n">
        <v>45519</v>
      </c>
      <c r="C15871" s="1" t="n">
        <v>45810</v>
      </c>
      <c r="D15871" t="inlineStr">
        <is>
          <t>VÄRMLANDS LÄN</t>
        </is>
      </c>
      <c r="E15871" t="inlineStr">
        <is>
          <t>TORSBY</t>
        </is>
      </c>
      <c r="F15871" t="inlineStr">
        <is>
          <t>Bergvik skog väst AB</t>
        </is>
      </c>
      <c r="G15871" t="n">
        <v>12.1</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33547-2024</t>
        </is>
      </c>
      <c r="B15872" s="1" t="n">
        <v>45519</v>
      </c>
      <c r="C15872" s="1" t="n">
        <v>45810</v>
      </c>
      <c r="D15872" t="inlineStr">
        <is>
          <t>VÄRMLANDS LÄN</t>
        </is>
      </c>
      <c r="E15872" t="inlineStr">
        <is>
          <t>TORSBY</t>
        </is>
      </c>
      <c r="G15872" t="n">
        <v>3.3</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33475-2024</t>
        </is>
      </c>
      <c r="B15873" s="1" t="n">
        <v>45519</v>
      </c>
      <c r="C15873" s="1" t="n">
        <v>45810</v>
      </c>
      <c r="D15873" t="inlineStr">
        <is>
          <t>VÄRMLANDS LÄN</t>
        </is>
      </c>
      <c r="E15873" t="inlineStr">
        <is>
          <t>KIL</t>
        </is>
      </c>
      <c r="G15873" t="n">
        <v>3.8</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33495-2024</t>
        </is>
      </c>
      <c r="B15874" s="1" t="n">
        <v>45519</v>
      </c>
      <c r="C15874" s="1" t="n">
        <v>45810</v>
      </c>
      <c r="D15874" t="inlineStr">
        <is>
          <t>VÄRMLANDS LÄN</t>
        </is>
      </c>
      <c r="E15874" t="inlineStr">
        <is>
          <t>TORSBY</t>
        </is>
      </c>
      <c r="G15874" t="n">
        <v>2.5</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33499-2024</t>
        </is>
      </c>
      <c r="B15875" s="1" t="n">
        <v>45519</v>
      </c>
      <c r="C15875" s="1" t="n">
        <v>45810</v>
      </c>
      <c r="D15875" t="inlineStr">
        <is>
          <t>VÄRMLANDS LÄN</t>
        </is>
      </c>
      <c r="E15875" t="inlineStr">
        <is>
          <t>TORSBY</t>
        </is>
      </c>
      <c r="G15875" t="n">
        <v>1.6</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33516-2024</t>
        </is>
      </c>
      <c r="B15876" s="1" t="n">
        <v>45519</v>
      </c>
      <c r="C15876" s="1" t="n">
        <v>45810</v>
      </c>
      <c r="D15876" t="inlineStr">
        <is>
          <t>VÄRMLANDS LÄN</t>
        </is>
      </c>
      <c r="E15876" t="inlineStr">
        <is>
          <t>KIL</t>
        </is>
      </c>
      <c r="G15876" t="n">
        <v>1.6</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33548-2024</t>
        </is>
      </c>
      <c r="B15877" s="1" t="n">
        <v>45519</v>
      </c>
      <c r="C15877" s="1" t="n">
        <v>45810</v>
      </c>
      <c r="D15877" t="inlineStr">
        <is>
          <t>VÄRMLANDS LÄN</t>
        </is>
      </c>
      <c r="E15877" t="inlineStr">
        <is>
          <t>TORSBY</t>
        </is>
      </c>
      <c r="G15877" t="n">
        <v>1.7</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33367-2024</t>
        </is>
      </c>
      <c r="B15878" s="1" t="n">
        <v>45519</v>
      </c>
      <c r="C15878" s="1" t="n">
        <v>45810</v>
      </c>
      <c r="D15878" t="inlineStr">
        <is>
          <t>VÄRMLANDS LÄN</t>
        </is>
      </c>
      <c r="E15878" t="inlineStr">
        <is>
          <t>TORSBY</t>
        </is>
      </c>
      <c r="G15878" t="n">
        <v>2.2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33371-2024</t>
        </is>
      </c>
      <c r="B15879" s="1" t="n">
        <v>45519</v>
      </c>
      <c r="C15879" s="1" t="n">
        <v>45810</v>
      </c>
      <c r="D15879" t="inlineStr">
        <is>
          <t>VÄRMLANDS LÄN</t>
        </is>
      </c>
      <c r="E15879" t="inlineStr">
        <is>
          <t>TORSBY</t>
        </is>
      </c>
      <c r="F15879" t="inlineStr">
        <is>
          <t>Bergvik skog väst AB</t>
        </is>
      </c>
      <c r="G15879" t="n">
        <v>4.1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33388-2024</t>
        </is>
      </c>
      <c r="B15880" s="1" t="n">
        <v>45519</v>
      </c>
      <c r="C15880" s="1" t="n">
        <v>45810</v>
      </c>
      <c r="D15880" t="inlineStr">
        <is>
          <t>VÄRMLANDS LÄN</t>
        </is>
      </c>
      <c r="E15880" t="inlineStr">
        <is>
          <t>ARVIKA</t>
        </is>
      </c>
      <c r="G15880" t="n">
        <v>1.9</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33452-2024</t>
        </is>
      </c>
      <c r="B15881" s="1" t="n">
        <v>45519</v>
      </c>
      <c r="C15881" s="1" t="n">
        <v>45810</v>
      </c>
      <c r="D15881" t="inlineStr">
        <is>
          <t>VÄRMLANDS LÄN</t>
        </is>
      </c>
      <c r="E15881" t="inlineStr">
        <is>
          <t>HAGFORS</t>
        </is>
      </c>
      <c r="F15881" t="inlineStr">
        <is>
          <t>Bergvik skog väst AB</t>
        </is>
      </c>
      <c r="G15881" t="n">
        <v>2.9</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33505-2024</t>
        </is>
      </c>
      <c r="B15882" s="1" t="n">
        <v>45519</v>
      </c>
      <c r="C15882" s="1" t="n">
        <v>45810</v>
      </c>
      <c r="D15882" t="inlineStr">
        <is>
          <t>VÄRMLANDS LÄN</t>
        </is>
      </c>
      <c r="E15882" t="inlineStr">
        <is>
          <t>FILIPSTAD</t>
        </is>
      </c>
      <c r="G15882" t="n">
        <v>2.5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33509-2024</t>
        </is>
      </c>
      <c r="B15883" s="1" t="n">
        <v>45519</v>
      </c>
      <c r="C15883" s="1" t="n">
        <v>45810</v>
      </c>
      <c r="D15883" t="inlineStr">
        <is>
          <t>VÄRMLANDS LÄN</t>
        </is>
      </c>
      <c r="E15883" t="inlineStr">
        <is>
          <t>KIL</t>
        </is>
      </c>
      <c r="G15883" t="n">
        <v>1.3</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33521-2024</t>
        </is>
      </c>
      <c r="B15884" s="1" t="n">
        <v>45519</v>
      </c>
      <c r="C15884" s="1" t="n">
        <v>45810</v>
      </c>
      <c r="D15884" t="inlineStr">
        <is>
          <t>VÄRMLANDS LÄN</t>
        </is>
      </c>
      <c r="E15884" t="inlineStr">
        <is>
          <t>TORSBY</t>
        </is>
      </c>
      <c r="G15884" t="n">
        <v>1.8</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33525-2024</t>
        </is>
      </c>
      <c r="B15885" s="1" t="n">
        <v>45519</v>
      </c>
      <c r="C15885" s="1" t="n">
        <v>45810</v>
      </c>
      <c r="D15885" t="inlineStr">
        <is>
          <t>VÄRMLANDS LÄN</t>
        </is>
      </c>
      <c r="E15885" t="inlineStr">
        <is>
          <t>HAGFORS</t>
        </is>
      </c>
      <c r="F15885" t="inlineStr">
        <is>
          <t>Bergvik skog väst AB</t>
        </is>
      </c>
      <c r="G15885" t="n">
        <v>12.5</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33545-2024</t>
        </is>
      </c>
      <c r="B15886" s="1" t="n">
        <v>45519</v>
      </c>
      <c r="C15886" s="1" t="n">
        <v>45810</v>
      </c>
      <c r="D15886" t="inlineStr">
        <is>
          <t>VÄRMLANDS LÄN</t>
        </is>
      </c>
      <c r="E15886" t="inlineStr">
        <is>
          <t>HAGFORS</t>
        </is>
      </c>
      <c r="F15886" t="inlineStr">
        <is>
          <t>Bergvik skog väst AB</t>
        </is>
      </c>
      <c r="G15886" t="n">
        <v>21.5</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33582-2024</t>
        </is>
      </c>
      <c r="B15887" s="1" t="n">
        <v>45520</v>
      </c>
      <c r="C15887" s="1" t="n">
        <v>45810</v>
      </c>
      <c r="D15887" t="inlineStr">
        <is>
          <t>VÄRMLANDS LÄN</t>
        </is>
      </c>
      <c r="E15887" t="inlineStr">
        <is>
          <t>SUNNE</t>
        </is>
      </c>
      <c r="F15887" t="inlineStr">
        <is>
          <t>Bergvik skog väst AB</t>
        </is>
      </c>
      <c r="G15887" t="n">
        <v>2.7</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33590-2024</t>
        </is>
      </c>
      <c r="B15888" s="1" t="n">
        <v>45520</v>
      </c>
      <c r="C15888" s="1" t="n">
        <v>45810</v>
      </c>
      <c r="D15888" t="inlineStr">
        <is>
          <t>VÄRMLANDS LÄN</t>
        </is>
      </c>
      <c r="E15888" t="inlineStr">
        <is>
          <t>FORSHAGA</t>
        </is>
      </c>
      <c r="F15888" t="inlineStr">
        <is>
          <t>Bergvik skog väst AB</t>
        </is>
      </c>
      <c r="G15888" t="n">
        <v>7.8</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33598-2024</t>
        </is>
      </c>
      <c r="B15889" s="1" t="n">
        <v>45520</v>
      </c>
      <c r="C15889" s="1" t="n">
        <v>45810</v>
      </c>
      <c r="D15889" t="inlineStr">
        <is>
          <t>VÄRMLANDS LÄN</t>
        </is>
      </c>
      <c r="E15889" t="inlineStr">
        <is>
          <t>ARVIKA</t>
        </is>
      </c>
      <c r="F15889" t="inlineStr">
        <is>
          <t>Bergvik skog väst AB</t>
        </is>
      </c>
      <c r="G15889" t="n">
        <v>1.5</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33614-2024</t>
        </is>
      </c>
      <c r="B15890" s="1" t="n">
        <v>45520</v>
      </c>
      <c r="C15890" s="1" t="n">
        <v>45810</v>
      </c>
      <c r="D15890" t="inlineStr">
        <is>
          <t>VÄRMLANDS LÄN</t>
        </is>
      </c>
      <c r="E15890" t="inlineStr">
        <is>
          <t>FILIPSTAD</t>
        </is>
      </c>
      <c r="F15890" t="inlineStr">
        <is>
          <t>Bergvik skog väst AB</t>
        </is>
      </c>
      <c r="G15890" t="n">
        <v>2.2</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33566-2024</t>
        </is>
      </c>
      <c r="B15891" s="1" t="n">
        <v>45520</v>
      </c>
      <c r="C15891" s="1" t="n">
        <v>45810</v>
      </c>
      <c r="D15891" t="inlineStr">
        <is>
          <t>VÄRMLANDS LÄN</t>
        </is>
      </c>
      <c r="E15891" t="inlineStr">
        <is>
          <t>KIL</t>
        </is>
      </c>
      <c r="G15891" t="n">
        <v>0.8</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33620-2024</t>
        </is>
      </c>
      <c r="B15892" s="1" t="n">
        <v>45520</v>
      </c>
      <c r="C15892" s="1" t="n">
        <v>45810</v>
      </c>
      <c r="D15892" t="inlineStr">
        <is>
          <t>VÄRMLANDS LÄN</t>
        </is>
      </c>
      <c r="E15892" t="inlineStr">
        <is>
          <t>TORSBY</t>
        </is>
      </c>
      <c r="F15892" t="inlineStr">
        <is>
          <t>Bergvik skog väst AB</t>
        </is>
      </c>
      <c r="G15892" t="n">
        <v>2.8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33569-2024</t>
        </is>
      </c>
      <c r="B15893" s="1" t="n">
        <v>45520</v>
      </c>
      <c r="C15893" s="1" t="n">
        <v>45810</v>
      </c>
      <c r="D15893" t="inlineStr">
        <is>
          <t>VÄRMLANDS LÄN</t>
        </is>
      </c>
      <c r="E15893" t="inlineStr">
        <is>
          <t>FORSHAGA</t>
        </is>
      </c>
      <c r="F15893" t="inlineStr">
        <is>
          <t>Bergvik skog väst AB</t>
        </is>
      </c>
      <c r="G15893" t="n">
        <v>14.8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33585-2024</t>
        </is>
      </c>
      <c r="B15894" s="1" t="n">
        <v>45520</v>
      </c>
      <c r="C15894" s="1" t="n">
        <v>45810</v>
      </c>
      <c r="D15894" t="inlineStr">
        <is>
          <t>VÄRMLANDS LÄN</t>
        </is>
      </c>
      <c r="E15894" t="inlineStr">
        <is>
          <t>SUNNE</t>
        </is>
      </c>
      <c r="F15894" t="inlineStr">
        <is>
          <t>Bergvik skog väst AB</t>
        </is>
      </c>
      <c r="G15894" t="n">
        <v>1.3</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33605-2024</t>
        </is>
      </c>
      <c r="B15895" s="1" t="n">
        <v>45520</v>
      </c>
      <c r="C15895" s="1" t="n">
        <v>45810</v>
      </c>
      <c r="D15895" t="inlineStr">
        <is>
          <t>VÄRMLANDS LÄN</t>
        </is>
      </c>
      <c r="E15895" t="inlineStr">
        <is>
          <t>ARVIKA</t>
        </is>
      </c>
      <c r="F15895" t="inlineStr">
        <is>
          <t>Bergvik skog väst AB</t>
        </is>
      </c>
      <c r="G15895" t="n">
        <v>2.5</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33626-2024</t>
        </is>
      </c>
      <c r="B15896" s="1" t="n">
        <v>45520</v>
      </c>
      <c r="C15896" s="1" t="n">
        <v>45810</v>
      </c>
      <c r="D15896" t="inlineStr">
        <is>
          <t>VÄRMLANDS LÄN</t>
        </is>
      </c>
      <c r="E15896" t="inlineStr">
        <is>
          <t>SUNNE</t>
        </is>
      </c>
      <c r="F15896" t="inlineStr">
        <is>
          <t>Bergvik skog väst AB</t>
        </is>
      </c>
      <c r="G15896" t="n">
        <v>2.2</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33641-2024</t>
        </is>
      </c>
      <c r="B15897" s="1" t="n">
        <v>45520</v>
      </c>
      <c r="C15897" s="1" t="n">
        <v>45810</v>
      </c>
      <c r="D15897" t="inlineStr">
        <is>
          <t>VÄRMLANDS LÄN</t>
        </is>
      </c>
      <c r="E15897" t="inlineStr">
        <is>
          <t>ARVIKA</t>
        </is>
      </c>
      <c r="F15897" t="inlineStr">
        <is>
          <t>Bergvik skog väst AB</t>
        </is>
      </c>
      <c r="G15897" t="n">
        <v>3.4</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33645-2024</t>
        </is>
      </c>
      <c r="B15898" s="1" t="n">
        <v>45520</v>
      </c>
      <c r="C15898" s="1" t="n">
        <v>45810</v>
      </c>
      <c r="D15898" t="inlineStr">
        <is>
          <t>VÄRMLANDS LÄN</t>
        </is>
      </c>
      <c r="E15898" t="inlineStr">
        <is>
          <t>ARVIKA</t>
        </is>
      </c>
      <c r="G15898" t="n">
        <v>1.1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33649-2024</t>
        </is>
      </c>
      <c r="B15899" s="1" t="n">
        <v>45520</v>
      </c>
      <c r="C15899" s="1" t="n">
        <v>45810</v>
      </c>
      <c r="D15899" t="inlineStr">
        <is>
          <t>VÄRMLANDS LÄN</t>
        </is>
      </c>
      <c r="E15899" t="inlineStr">
        <is>
          <t>TORSBY</t>
        </is>
      </c>
      <c r="F15899" t="inlineStr">
        <is>
          <t>Bergvik skog väst AB</t>
        </is>
      </c>
      <c r="G15899" t="n">
        <v>18</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33639-2024</t>
        </is>
      </c>
      <c r="B15900" s="1" t="n">
        <v>45520</v>
      </c>
      <c r="C15900" s="1" t="n">
        <v>45810</v>
      </c>
      <c r="D15900" t="inlineStr">
        <is>
          <t>VÄRMLANDS LÄN</t>
        </is>
      </c>
      <c r="E15900" t="inlineStr">
        <is>
          <t>ARVIKA</t>
        </is>
      </c>
      <c r="F15900" t="inlineStr">
        <is>
          <t>Bergvik skog väst AB</t>
        </is>
      </c>
      <c r="G15900" t="n">
        <v>3.3</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33757-2024</t>
        </is>
      </c>
      <c r="B15901" s="1" t="n">
        <v>45520</v>
      </c>
      <c r="C15901" s="1" t="n">
        <v>45810</v>
      </c>
      <c r="D15901" t="inlineStr">
        <is>
          <t>VÄRMLANDS LÄN</t>
        </is>
      </c>
      <c r="E15901" t="inlineStr">
        <is>
          <t>SUNNE</t>
        </is>
      </c>
      <c r="F15901" t="inlineStr">
        <is>
          <t>Bergvik skog väst AB</t>
        </is>
      </c>
      <c r="G15901" t="n">
        <v>4.4</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33765-2024</t>
        </is>
      </c>
      <c r="B15902" s="1" t="n">
        <v>45520</v>
      </c>
      <c r="C15902" s="1" t="n">
        <v>45810</v>
      </c>
      <c r="D15902" t="inlineStr">
        <is>
          <t>VÄRMLANDS LÄN</t>
        </is>
      </c>
      <c r="E15902" t="inlineStr">
        <is>
          <t>ARVIKA</t>
        </is>
      </c>
      <c r="F15902" t="inlineStr">
        <is>
          <t>Bergvik skog väst AB</t>
        </is>
      </c>
      <c r="G15902" t="n">
        <v>2.6</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33769-2024</t>
        </is>
      </c>
      <c r="B15903" s="1" t="n">
        <v>45520</v>
      </c>
      <c r="C15903" s="1" t="n">
        <v>45810</v>
      </c>
      <c r="D15903" t="inlineStr">
        <is>
          <t>VÄRMLANDS LÄN</t>
        </is>
      </c>
      <c r="E15903" t="inlineStr">
        <is>
          <t>TORSBY</t>
        </is>
      </c>
      <c r="G15903" t="n">
        <v>1.4</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33806-2024</t>
        </is>
      </c>
      <c r="B15904" s="1" t="n">
        <v>45520</v>
      </c>
      <c r="C15904" s="1" t="n">
        <v>45810</v>
      </c>
      <c r="D15904" t="inlineStr">
        <is>
          <t>VÄRMLANDS LÄN</t>
        </is>
      </c>
      <c r="E15904" t="inlineStr">
        <is>
          <t>STORFORS</t>
        </is>
      </c>
      <c r="G15904" t="n">
        <v>1.1</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33814-2024</t>
        </is>
      </c>
      <c r="B15905" s="1" t="n">
        <v>45520</v>
      </c>
      <c r="C15905" s="1" t="n">
        <v>45810</v>
      </c>
      <c r="D15905" t="inlineStr">
        <is>
          <t>VÄRMLANDS LÄN</t>
        </is>
      </c>
      <c r="E15905" t="inlineStr">
        <is>
          <t>FILIPSTAD</t>
        </is>
      </c>
      <c r="F15905" t="inlineStr">
        <is>
          <t>Bergvik skog väst AB</t>
        </is>
      </c>
      <c r="G15905" t="n">
        <v>8.9</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33818-2024</t>
        </is>
      </c>
      <c r="B15906" s="1" t="n">
        <v>45520</v>
      </c>
      <c r="C15906" s="1" t="n">
        <v>45810</v>
      </c>
      <c r="D15906" t="inlineStr">
        <is>
          <t>VÄRMLANDS LÄN</t>
        </is>
      </c>
      <c r="E15906" t="inlineStr">
        <is>
          <t>FILIPSTAD</t>
        </is>
      </c>
      <c r="F15906" t="inlineStr">
        <is>
          <t>Bergvik skog väst AB</t>
        </is>
      </c>
      <c r="G15906" t="n">
        <v>0.6</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33842-2024</t>
        </is>
      </c>
      <c r="B15907" s="1" t="n">
        <v>45520</v>
      </c>
      <c r="C15907" s="1" t="n">
        <v>45810</v>
      </c>
      <c r="D15907" t="inlineStr">
        <is>
          <t>VÄRMLANDS LÄN</t>
        </is>
      </c>
      <c r="E15907" t="inlineStr">
        <is>
          <t>EDA</t>
        </is>
      </c>
      <c r="G15907" t="n">
        <v>1.1</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33862-2024</t>
        </is>
      </c>
      <c r="B15908" s="1" t="n">
        <v>45520</v>
      </c>
      <c r="C15908" s="1" t="n">
        <v>45810</v>
      </c>
      <c r="D15908" t="inlineStr">
        <is>
          <t>VÄRMLANDS LÄN</t>
        </is>
      </c>
      <c r="E15908" t="inlineStr">
        <is>
          <t>TORSBY</t>
        </is>
      </c>
      <c r="G15908" t="n">
        <v>1.8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33660-2024</t>
        </is>
      </c>
      <c r="B15909" s="1" t="n">
        <v>45520</v>
      </c>
      <c r="C15909" s="1" t="n">
        <v>45810</v>
      </c>
      <c r="D15909" t="inlineStr">
        <is>
          <t>VÄRMLANDS LÄN</t>
        </is>
      </c>
      <c r="E15909" t="inlineStr">
        <is>
          <t>STORFORS</t>
        </is>
      </c>
      <c r="F15909" t="inlineStr">
        <is>
          <t>Bergvik skog väst AB</t>
        </is>
      </c>
      <c r="G15909" t="n">
        <v>2.4</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33672-2024</t>
        </is>
      </c>
      <c r="B15910" s="1" t="n">
        <v>45520</v>
      </c>
      <c r="C15910" s="1" t="n">
        <v>45810</v>
      </c>
      <c r="D15910" t="inlineStr">
        <is>
          <t>VÄRMLANDS LÄN</t>
        </is>
      </c>
      <c r="E15910" t="inlineStr">
        <is>
          <t>SÄFFLE</t>
        </is>
      </c>
      <c r="G15910" t="n">
        <v>1.6</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33791-2024</t>
        </is>
      </c>
      <c r="B15911" s="1" t="n">
        <v>45520</v>
      </c>
      <c r="C15911" s="1" t="n">
        <v>45810</v>
      </c>
      <c r="D15911" t="inlineStr">
        <is>
          <t>VÄRMLANDS LÄN</t>
        </is>
      </c>
      <c r="E15911" t="inlineStr">
        <is>
          <t>TORSBY</t>
        </is>
      </c>
      <c r="F15911" t="inlineStr">
        <is>
          <t>Bergvik skog väst AB</t>
        </is>
      </c>
      <c r="G15911" t="n">
        <v>0.8</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33804-2024</t>
        </is>
      </c>
      <c r="B15912" s="1" t="n">
        <v>45520</v>
      </c>
      <c r="C15912" s="1" t="n">
        <v>45810</v>
      </c>
      <c r="D15912" t="inlineStr">
        <is>
          <t>VÄRMLANDS LÄN</t>
        </is>
      </c>
      <c r="E15912" t="inlineStr">
        <is>
          <t>KARLSTAD</t>
        </is>
      </c>
      <c r="G15912" t="n">
        <v>1.8</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33844-2024</t>
        </is>
      </c>
      <c r="B15913" s="1" t="n">
        <v>45520</v>
      </c>
      <c r="C15913" s="1" t="n">
        <v>45810</v>
      </c>
      <c r="D15913" t="inlineStr">
        <is>
          <t>VÄRMLANDS LÄN</t>
        </is>
      </c>
      <c r="E15913" t="inlineStr">
        <is>
          <t>FILIPSTAD</t>
        </is>
      </c>
      <c r="F15913" t="inlineStr">
        <is>
          <t>Bergvik skog väst AB</t>
        </is>
      </c>
      <c r="G15913" t="n">
        <v>8.199999999999999</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33720-2024</t>
        </is>
      </c>
      <c r="B15914" s="1" t="n">
        <v>45520</v>
      </c>
      <c r="C15914" s="1" t="n">
        <v>45810</v>
      </c>
      <c r="D15914" t="inlineStr">
        <is>
          <t>VÄRMLANDS LÄN</t>
        </is>
      </c>
      <c r="E15914" t="inlineStr">
        <is>
          <t>ARVIKA</t>
        </is>
      </c>
      <c r="F15914" t="inlineStr">
        <is>
          <t>Bergvik skog väst AB</t>
        </is>
      </c>
      <c r="G15914" t="n">
        <v>2.7</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33780-2024</t>
        </is>
      </c>
      <c r="B15915" s="1" t="n">
        <v>45520</v>
      </c>
      <c r="C15915" s="1" t="n">
        <v>45810</v>
      </c>
      <c r="D15915" t="inlineStr">
        <is>
          <t>VÄRMLANDS LÄN</t>
        </is>
      </c>
      <c r="E15915" t="inlineStr">
        <is>
          <t>ARVIKA</t>
        </is>
      </c>
      <c r="G15915" t="n">
        <v>1.7</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33809-2024</t>
        </is>
      </c>
      <c r="B15916" s="1" t="n">
        <v>45520</v>
      </c>
      <c r="C15916" s="1" t="n">
        <v>45810</v>
      </c>
      <c r="D15916" t="inlineStr">
        <is>
          <t>VÄRMLANDS LÄN</t>
        </is>
      </c>
      <c r="E15916" t="inlineStr">
        <is>
          <t>KARLSTAD</t>
        </is>
      </c>
      <c r="G15916" t="n">
        <v>1</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33866-2024</t>
        </is>
      </c>
      <c r="B15917" s="1" t="n">
        <v>45520</v>
      </c>
      <c r="C15917" s="1" t="n">
        <v>45810</v>
      </c>
      <c r="D15917" t="inlineStr">
        <is>
          <t>VÄRMLANDS LÄN</t>
        </is>
      </c>
      <c r="E15917" t="inlineStr">
        <is>
          <t>ARVIKA</t>
        </is>
      </c>
      <c r="F15917" t="inlineStr">
        <is>
          <t>Bergvik skog väst AB</t>
        </is>
      </c>
      <c r="G15917" t="n">
        <v>3.8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33718-2024</t>
        </is>
      </c>
      <c r="B15918" s="1" t="n">
        <v>45520</v>
      </c>
      <c r="C15918" s="1" t="n">
        <v>45810</v>
      </c>
      <c r="D15918" t="inlineStr">
        <is>
          <t>VÄRMLANDS LÄN</t>
        </is>
      </c>
      <c r="E15918" t="inlineStr">
        <is>
          <t>STORFORS</t>
        </is>
      </c>
      <c r="F15918" t="inlineStr">
        <is>
          <t>Bergvik skog väst AB</t>
        </is>
      </c>
      <c r="G15918" t="n">
        <v>0.9</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33807-2024</t>
        </is>
      </c>
      <c r="B15919" s="1" t="n">
        <v>45520</v>
      </c>
      <c r="C15919" s="1" t="n">
        <v>45810</v>
      </c>
      <c r="D15919" t="inlineStr">
        <is>
          <t>VÄRMLANDS LÄN</t>
        </is>
      </c>
      <c r="E15919" t="inlineStr">
        <is>
          <t>KARLSTAD</t>
        </is>
      </c>
      <c r="G15919" t="n">
        <v>1.1</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33811-2024</t>
        </is>
      </c>
      <c r="B15920" s="1" t="n">
        <v>45520</v>
      </c>
      <c r="C15920" s="1" t="n">
        <v>45810</v>
      </c>
      <c r="D15920" t="inlineStr">
        <is>
          <t>VÄRMLANDS LÄN</t>
        </is>
      </c>
      <c r="E15920" t="inlineStr">
        <is>
          <t>FORSHAGA</t>
        </is>
      </c>
      <c r="G15920" t="n">
        <v>4.5</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33847-2024</t>
        </is>
      </c>
      <c r="B15921" s="1" t="n">
        <v>45520</v>
      </c>
      <c r="C15921" s="1" t="n">
        <v>45810</v>
      </c>
      <c r="D15921" t="inlineStr">
        <is>
          <t>VÄRMLANDS LÄN</t>
        </is>
      </c>
      <c r="E15921" t="inlineStr">
        <is>
          <t>EDA</t>
        </is>
      </c>
      <c r="G15921" t="n">
        <v>2.6</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33869-2024</t>
        </is>
      </c>
      <c r="B15922" s="1" t="n">
        <v>45520</v>
      </c>
      <c r="C15922" s="1" t="n">
        <v>45810</v>
      </c>
      <c r="D15922" t="inlineStr">
        <is>
          <t>VÄRMLANDS LÄN</t>
        </is>
      </c>
      <c r="E15922" t="inlineStr">
        <is>
          <t>ARVIKA</t>
        </is>
      </c>
      <c r="G15922" t="n">
        <v>5.2</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33877-2024</t>
        </is>
      </c>
      <c r="B15923" s="1" t="n">
        <v>45522</v>
      </c>
      <c r="C15923" s="1" t="n">
        <v>45810</v>
      </c>
      <c r="D15923" t="inlineStr">
        <is>
          <t>VÄRMLANDS LÄN</t>
        </is>
      </c>
      <c r="E15923" t="inlineStr">
        <is>
          <t>ARVIKA</t>
        </is>
      </c>
      <c r="G15923" t="n">
        <v>0.9</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33881-2024</t>
        </is>
      </c>
      <c r="B15924" s="1" t="n">
        <v>45522</v>
      </c>
      <c r="C15924" s="1" t="n">
        <v>45810</v>
      </c>
      <c r="D15924" t="inlineStr">
        <is>
          <t>VÄRMLANDS LÄN</t>
        </is>
      </c>
      <c r="E15924" t="inlineStr">
        <is>
          <t>SÄFFLE</t>
        </is>
      </c>
      <c r="G15924" t="n">
        <v>0.9</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33916-2024</t>
        </is>
      </c>
      <c r="B15925" s="1" t="n">
        <v>45523</v>
      </c>
      <c r="C15925" s="1" t="n">
        <v>45810</v>
      </c>
      <c r="D15925" t="inlineStr">
        <is>
          <t>VÄRMLANDS LÄN</t>
        </is>
      </c>
      <c r="E15925" t="inlineStr">
        <is>
          <t>SÄFFLE</t>
        </is>
      </c>
      <c r="G15925" t="n">
        <v>3.3</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33930-2024</t>
        </is>
      </c>
      <c r="B15926" s="1" t="n">
        <v>45523</v>
      </c>
      <c r="C15926" s="1" t="n">
        <v>45810</v>
      </c>
      <c r="D15926" t="inlineStr">
        <is>
          <t>VÄRMLANDS LÄN</t>
        </is>
      </c>
      <c r="E15926" t="inlineStr">
        <is>
          <t>SÄFFLE</t>
        </is>
      </c>
      <c r="G15926" t="n">
        <v>1.1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33940-2024</t>
        </is>
      </c>
      <c r="B15927" s="1" t="n">
        <v>45523</v>
      </c>
      <c r="C15927" s="1" t="n">
        <v>45810</v>
      </c>
      <c r="D15927" t="inlineStr">
        <is>
          <t>VÄRMLANDS LÄN</t>
        </is>
      </c>
      <c r="E15927" t="inlineStr">
        <is>
          <t>SUNNE</t>
        </is>
      </c>
      <c r="G15927" t="n">
        <v>11.1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33964-2024</t>
        </is>
      </c>
      <c r="B15928" s="1" t="n">
        <v>45523</v>
      </c>
      <c r="C15928" s="1" t="n">
        <v>45810</v>
      </c>
      <c r="D15928" t="inlineStr">
        <is>
          <t>VÄRMLANDS LÄN</t>
        </is>
      </c>
      <c r="E15928" t="inlineStr">
        <is>
          <t>TORSBY</t>
        </is>
      </c>
      <c r="G15928" t="n">
        <v>2.5</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33999-2024</t>
        </is>
      </c>
      <c r="B15929" s="1" t="n">
        <v>45523</v>
      </c>
      <c r="C15929" s="1" t="n">
        <v>45810</v>
      </c>
      <c r="D15929" t="inlineStr">
        <is>
          <t>VÄRMLANDS LÄN</t>
        </is>
      </c>
      <c r="E15929" t="inlineStr">
        <is>
          <t>SÄFFLE</t>
        </is>
      </c>
      <c r="G15929" t="n">
        <v>2.4</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34034-2024</t>
        </is>
      </c>
      <c r="B15930" s="1" t="n">
        <v>45523</v>
      </c>
      <c r="C15930" s="1" t="n">
        <v>45810</v>
      </c>
      <c r="D15930" t="inlineStr">
        <is>
          <t>VÄRMLANDS LÄN</t>
        </is>
      </c>
      <c r="E15930" t="inlineStr">
        <is>
          <t>TORSBY</t>
        </is>
      </c>
      <c r="F15930" t="inlineStr">
        <is>
          <t>Bergvik skog väst AB</t>
        </is>
      </c>
      <c r="G15930" t="n">
        <v>5.5</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33885-2024</t>
        </is>
      </c>
      <c r="B15931" s="1" t="n">
        <v>45523</v>
      </c>
      <c r="C15931" s="1" t="n">
        <v>45810</v>
      </c>
      <c r="D15931" t="inlineStr">
        <is>
          <t>VÄRMLANDS LÄN</t>
        </is>
      </c>
      <c r="E15931" t="inlineStr">
        <is>
          <t>ARVIKA</t>
        </is>
      </c>
      <c r="G15931" t="n">
        <v>5.4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33942-2024</t>
        </is>
      </c>
      <c r="B15932" s="1" t="n">
        <v>45523</v>
      </c>
      <c r="C15932" s="1" t="n">
        <v>45810</v>
      </c>
      <c r="D15932" t="inlineStr">
        <is>
          <t>VÄRMLANDS LÄN</t>
        </is>
      </c>
      <c r="E15932" t="inlineStr">
        <is>
          <t>KARLSTAD</t>
        </is>
      </c>
      <c r="G15932" t="n">
        <v>3.5</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33992-2024</t>
        </is>
      </c>
      <c r="B15933" s="1" t="n">
        <v>45523</v>
      </c>
      <c r="C15933" s="1" t="n">
        <v>45810</v>
      </c>
      <c r="D15933" t="inlineStr">
        <is>
          <t>VÄRMLANDS LÄN</t>
        </is>
      </c>
      <c r="E15933" t="inlineStr">
        <is>
          <t>SUNNE</t>
        </is>
      </c>
      <c r="G15933" t="n">
        <v>0.3</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34000-2024</t>
        </is>
      </c>
      <c r="B15934" s="1" t="n">
        <v>45523</v>
      </c>
      <c r="C15934" s="1" t="n">
        <v>45810</v>
      </c>
      <c r="D15934" t="inlineStr">
        <is>
          <t>VÄRMLANDS LÄN</t>
        </is>
      </c>
      <c r="E15934" t="inlineStr">
        <is>
          <t>ARVIKA</t>
        </is>
      </c>
      <c r="G15934" t="n">
        <v>1.5</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34004-2024</t>
        </is>
      </c>
      <c r="B15935" s="1" t="n">
        <v>45523</v>
      </c>
      <c r="C15935" s="1" t="n">
        <v>45810</v>
      </c>
      <c r="D15935" t="inlineStr">
        <is>
          <t>VÄRMLANDS LÄN</t>
        </is>
      </c>
      <c r="E15935" t="inlineStr">
        <is>
          <t>SUNNE</t>
        </is>
      </c>
      <c r="G15935" t="n">
        <v>0.4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34017-2024</t>
        </is>
      </c>
      <c r="B15936" s="1" t="n">
        <v>45523</v>
      </c>
      <c r="C15936" s="1" t="n">
        <v>45810</v>
      </c>
      <c r="D15936" t="inlineStr">
        <is>
          <t>VÄRMLANDS LÄN</t>
        </is>
      </c>
      <c r="E15936" t="inlineStr">
        <is>
          <t>SUNNE</t>
        </is>
      </c>
      <c r="G15936" t="n">
        <v>0.5</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34031-2024</t>
        </is>
      </c>
      <c r="B15937" s="1" t="n">
        <v>45523</v>
      </c>
      <c r="C15937" s="1" t="n">
        <v>45810</v>
      </c>
      <c r="D15937" t="inlineStr">
        <is>
          <t>VÄRMLANDS LÄN</t>
        </is>
      </c>
      <c r="E15937" t="inlineStr">
        <is>
          <t>TORSBY</t>
        </is>
      </c>
      <c r="F15937" t="inlineStr">
        <is>
          <t>Bergvik skog väst AB</t>
        </is>
      </c>
      <c r="G15937" t="n">
        <v>4.3</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33963-2024</t>
        </is>
      </c>
      <c r="B15938" s="1" t="n">
        <v>45523</v>
      </c>
      <c r="C15938" s="1" t="n">
        <v>45810</v>
      </c>
      <c r="D15938" t="inlineStr">
        <is>
          <t>VÄRMLANDS LÄN</t>
        </is>
      </c>
      <c r="E15938" t="inlineStr">
        <is>
          <t>SUNNE</t>
        </is>
      </c>
      <c r="G15938" t="n">
        <v>6.4</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33993-2024</t>
        </is>
      </c>
      <c r="B15939" s="1" t="n">
        <v>45523</v>
      </c>
      <c r="C15939" s="1" t="n">
        <v>45810</v>
      </c>
      <c r="D15939" t="inlineStr">
        <is>
          <t>VÄRMLANDS LÄN</t>
        </is>
      </c>
      <c r="E15939" t="inlineStr">
        <is>
          <t>SÄFFLE</t>
        </is>
      </c>
      <c r="G15939" t="n">
        <v>4.8</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34014-2024</t>
        </is>
      </c>
      <c r="B15940" s="1" t="n">
        <v>45523</v>
      </c>
      <c r="C15940" s="1" t="n">
        <v>45810</v>
      </c>
      <c r="D15940" t="inlineStr">
        <is>
          <t>VÄRMLANDS LÄN</t>
        </is>
      </c>
      <c r="E15940" t="inlineStr">
        <is>
          <t>SUNNE</t>
        </is>
      </c>
      <c r="G15940" t="n">
        <v>0.9</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34081-2024</t>
        </is>
      </c>
      <c r="B15941" s="1" t="n">
        <v>45523</v>
      </c>
      <c r="C15941" s="1" t="n">
        <v>45810</v>
      </c>
      <c r="D15941" t="inlineStr">
        <is>
          <t>VÄRMLANDS LÄN</t>
        </is>
      </c>
      <c r="E15941" t="inlineStr">
        <is>
          <t>TORSBY</t>
        </is>
      </c>
      <c r="F15941" t="inlineStr">
        <is>
          <t>Bergvik skog väst AB</t>
        </is>
      </c>
      <c r="G15941" t="n">
        <v>12</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34093-2024</t>
        </is>
      </c>
      <c r="B15942" s="1" t="n">
        <v>45523</v>
      </c>
      <c r="C15942" s="1" t="n">
        <v>45810</v>
      </c>
      <c r="D15942" t="inlineStr">
        <is>
          <t>VÄRMLANDS LÄN</t>
        </is>
      </c>
      <c r="E15942" t="inlineStr">
        <is>
          <t>TORSBY</t>
        </is>
      </c>
      <c r="F15942" t="inlineStr">
        <is>
          <t>Bergvik skog väst AB</t>
        </is>
      </c>
      <c r="G15942" t="n">
        <v>5.9</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34106-2024</t>
        </is>
      </c>
      <c r="B15943" s="1" t="n">
        <v>45523</v>
      </c>
      <c r="C15943" s="1" t="n">
        <v>45810</v>
      </c>
      <c r="D15943" t="inlineStr">
        <is>
          <t>VÄRMLANDS LÄN</t>
        </is>
      </c>
      <c r="E15943" t="inlineStr">
        <is>
          <t>ÅRJÄNG</t>
        </is>
      </c>
      <c r="G15943" t="n">
        <v>2.8</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34047-2024</t>
        </is>
      </c>
      <c r="B15944" s="1" t="n">
        <v>45523</v>
      </c>
      <c r="C15944" s="1" t="n">
        <v>45810</v>
      </c>
      <c r="D15944" t="inlineStr">
        <is>
          <t>VÄRMLANDS LÄN</t>
        </is>
      </c>
      <c r="E15944" t="inlineStr">
        <is>
          <t>SUNNE</t>
        </is>
      </c>
      <c r="G15944" t="n">
        <v>2.6</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34187-2024</t>
        </is>
      </c>
      <c r="B15945" s="1" t="n">
        <v>45524</v>
      </c>
      <c r="C15945" s="1" t="n">
        <v>45810</v>
      </c>
      <c r="D15945" t="inlineStr">
        <is>
          <t>VÄRMLANDS LÄN</t>
        </is>
      </c>
      <c r="E15945" t="inlineStr">
        <is>
          <t>ÅRJÄNG</t>
        </is>
      </c>
      <c r="G15945" t="n">
        <v>4.4</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34207-2024</t>
        </is>
      </c>
      <c r="B15946" s="1" t="n">
        <v>45524</v>
      </c>
      <c r="C15946" s="1" t="n">
        <v>45810</v>
      </c>
      <c r="D15946" t="inlineStr">
        <is>
          <t>VÄRMLANDS LÄN</t>
        </is>
      </c>
      <c r="E15946" t="inlineStr">
        <is>
          <t>TORSBY</t>
        </is>
      </c>
      <c r="G15946" t="n">
        <v>3.3</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34121-2024</t>
        </is>
      </c>
      <c r="B15947" s="1" t="n">
        <v>45524</v>
      </c>
      <c r="C15947" s="1" t="n">
        <v>45810</v>
      </c>
      <c r="D15947" t="inlineStr">
        <is>
          <t>VÄRMLANDS LÄN</t>
        </is>
      </c>
      <c r="E15947" t="inlineStr">
        <is>
          <t>SÄFFLE</t>
        </is>
      </c>
      <c r="G15947" t="n">
        <v>2.6</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34145-2024</t>
        </is>
      </c>
      <c r="B15948" s="1" t="n">
        <v>45524</v>
      </c>
      <c r="C15948" s="1" t="n">
        <v>45810</v>
      </c>
      <c r="D15948" t="inlineStr">
        <is>
          <t>VÄRMLANDS LÄN</t>
        </is>
      </c>
      <c r="E15948" t="inlineStr">
        <is>
          <t>FILIPSTAD</t>
        </is>
      </c>
      <c r="F15948" t="inlineStr">
        <is>
          <t>Bergvik skog väst AB</t>
        </is>
      </c>
      <c r="G15948" t="n">
        <v>4.5</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34177-2024</t>
        </is>
      </c>
      <c r="B15949" s="1" t="n">
        <v>45524</v>
      </c>
      <c r="C15949" s="1" t="n">
        <v>45810</v>
      </c>
      <c r="D15949" t="inlineStr">
        <is>
          <t>VÄRMLANDS LÄN</t>
        </is>
      </c>
      <c r="E15949" t="inlineStr">
        <is>
          <t>ÅRJÄNG</t>
        </is>
      </c>
      <c r="G15949" t="n">
        <v>3.4</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34181-2024</t>
        </is>
      </c>
      <c r="B15950" s="1" t="n">
        <v>45524</v>
      </c>
      <c r="C15950" s="1" t="n">
        <v>45810</v>
      </c>
      <c r="D15950" t="inlineStr">
        <is>
          <t>VÄRMLANDS LÄN</t>
        </is>
      </c>
      <c r="E15950" t="inlineStr">
        <is>
          <t>ÅRJÄNG</t>
        </is>
      </c>
      <c r="G15950" t="n">
        <v>0.8</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34210-2024</t>
        </is>
      </c>
      <c r="B15951" s="1" t="n">
        <v>45524</v>
      </c>
      <c r="C15951" s="1" t="n">
        <v>45810</v>
      </c>
      <c r="D15951" t="inlineStr">
        <is>
          <t>VÄRMLANDS LÄN</t>
        </is>
      </c>
      <c r="E15951" t="inlineStr">
        <is>
          <t>HAGFORS</t>
        </is>
      </c>
      <c r="F15951" t="inlineStr">
        <is>
          <t>Bergvik skog väst AB</t>
        </is>
      </c>
      <c r="G15951" t="n">
        <v>3.7</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34219-2024</t>
        </is>
      </c>
      <c r="B15952" s="1" t="n">
        <v>45524</v>
      </c>
      <c r="C15952" s="1" t="n">
        <v>45810</v>
      </c>
      <c r="D15952" t="inlineStr">
        <is>
          <t>VÄRMLANDS LÄN</t>
        </is>
      </c>
      <c r="E15952" t="inlineStr">
        <is>
          <t>TORSBY</t>
        </is>
      </c>
      <c r="G15952" t="n">
        <v>1.6</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34239-2024</t>
        </is>
      </c>
      <c r="B15953" s="1" t="n">
        <v>45524</v>
      </c>
      <c r="C15953" s="1" t="n">
        <v>45810</v>
      </c>
      <c r="D15953" t="inlineStr">
        <is>
          <t>VÄRMLANDS LÄN</t>
        </is>
      </c>
      <c r="E15953" t="inlineStr">
        <is>
          <t>HAGFORS</t>
        </is>
      </c>
      <c r="F15953" t="inlineStr">
        <is>
          <t>Bergvik skog väst AB</t>
        </is>
      </c>
      <c r="G15953" t="n">
        <v>5.7</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34116-2024</t>
        </is>
      </c>
      <c r="B15954" s="1" t="n">
        <v>45524</v>
      </c>
      <c r="C15954" s="1" t="n">
        <v>45810</v>
      </c>
      <c r="D15954" t="inlineStr">
        <is>
          <t>VÄRMLANDS LÄN</t>
        </is>
      </c>
      <c r="E15954" t="inlineStr">
        <is>
          <t>FILIPSTAD</t>
        </is>
      </c>
      <c r="F15954" t="inlineStr">
        <is>
          <t>Bergvik skog väst AB</t>
        </is>
      </c>
      <c r="G15954" t="n">
        <v>3.8</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34156-2024</t>
        </is>
      </c>
      <c r="B15955" s="1" t="n">
        <v>45524</v>
      </c>
      <c r="C15955" s="1" t="n">
        <v>45810</v>
      </c>
      <c r="D15955" t="inlineStr">
        <is>
          <t>VÄRMLANDS LÄN</t>
        </is>
      </c>
      <c r="E15955" t="inlineStr">
        <is>
          <t>KIL</t>
        </is>
      </c>
      <c r="G15955" t="n">
        <v>1</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34164-2024</t>
        </is>
      </c>
      <c r="B15956" s="1" t="n">
        <v>45524</v>
      </c>
      <c r="C15956" s="1" t="n">
        <v>45810</v>
      </c>
      <c r="D15956" t="inlineStr">
        <is>
          <t>VÄRMLANDS LÄN</t>
        </is>
      </c>
      <c r="E15956" t="inlineStr">
        <is>
          <t>TORSBY</t>
        </is>
      </c>
      <c r="F15956" t="inlineStr">
        <is>
          <t>Bergvik skog väst AB</t>
        </is>
      </c>
      <c r="G15956" t="n">
        <v>0.5</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34172-2024</t>
        </is>
      </c>
      <c r="B15957" s="1" t="n">
        <v>45524</v>
      </c>
      <c r="C15957" s="1" t="n">
        <v>45810</v>
      </c>
      <c r="D15957" t="inlineStr">
        <is>
          <t>VÄRMLANDS LÄN</t>
        </is>
      </c>
      <c r="E15957" t="inlineStr">
        <is>
          <t>ÅRJÄNG</t>
        </is>
      </c>
      <c r="G15957" t="n">
        <v>0.9</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34176-2024</t>
        </is>
      </c>
      <c r="B15958" s="1" t="n">
        <v>45524</v>
      </c>
      <c r="C15958" s="1" t="n">
        <v>45810</v>
      </c>
      <c r="D15958" t="inlineStr">
        <is>
          <t>VÄRMLANDS LÄN</t>
        </is>
      </c>
      <c r="E15958" t="inlineStr">
        <is>
          <t>ÅRJÄNG</t>
        </is>
      </c>
      <c r="G15958" t="n">
        <v>2.8</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34184-2024</t>
        </is>
      </c>
      <c r="B15959" s="1" t="n">
        <v>45524</v>
      </c>
      <c r="C15959" s="1" t="n">
        <v>45810</v>
      </c>
      <c r="D15959" t="inlineStr">
        <is>
          <t>VÄRMLANDS LÄN</t>
        </is>
      </c>
      <c r="E15959" t="inlineStr">
        <is>
          <t>ÅRJÄNG</t>
        </is>
      </c>
      <c r="G15959" t="n">
        <v>0.6</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34204-2024</t>
        </is>
      </c>
      <c r="B15960" s="1" t="n">
        <v>45524</v>
      </c>
      <c r="C15960" s="1" t="n">
        <v>45810</v>
      </c>
      <c r="D15960" t="inlineStr">
        <is>
          <t>VÄRMLANDS LÄN</t>
        </is>
      </c>
      <c r="E15960" t="inlineStr">
        <is>
          <t>SÄFFLE</t>
        </is>
      </c>
      <c r="G15960" t="n">
        <v>10.1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34226-2024</t>
        </is>
      </c>
      <c r="B15961" s="1" t="n">
        <v>45524</v>
      </c>
      <c r="C15961" s="1" t="n">
        <v>45810</v>
      </c>
      <c r="D15961" t="inlineStr">
        <is>
          <t>VÄRMLANDS LÄN</t>
        </is>
      </c>
      <c r="E15961" t="inlineStr">
        <is>
          <t>TORSBY</t>
        </is>
      </c>
      <c r="G15961" t="n">
        <v>1.4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34146-2024</t>
        </is>
      </c>
      <c r="B15962" s="1" t="n">
        <v>45524</v>
      </c>
      <c r="C15962" s="1" t="n">
        <v>45810</v>
      </c>
      <c r="D15962" t="inlineStr">
        <is>
          <t>VÄRMLANDS LÄN</t>
        </is>
      </c>
      <c r="E15962" t="inlineStr">
        <is>
          <t>SUNNE</t>
        </is>
      </c>
      <c r="G15962" t="n">
        <v>1.2</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34174-2024</t>
        </is>
      </c>
      <c r="B15963" s="1" t="n">
        <v>45524</v>
      </c>
      <c r="C15963" s="1" t="n">
        <v>45810</v>
      </c>
      <c r="D15963" t="inlineStr">
        <is>
          <t>VÄRMLANDS LÄN</t>
        </is>
      </c>
      <c r="E15963" t="inlineStr">
        <is>
          <t>ÅRJÄNG</t>
        </is>
      </c>
      <c r="G15963" t="n">
        <v>5.2</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34206-2024</t>
        </is>
      </c>
      <c r="B15964" s="1" t="n">
        <v>45524</v>
      </c>
      <c r="C15964" s="1" t="n">
        <v>45810</v>
      </c>
      <c r="D15964" t="inlineStr">
        <is>
          <t>VÄRMLANDS LÄN</t>
        </is>
      </c>
      <c r="E15964" t="inlineStr">
        <is>
          <t>TORSBY</t>
        </is>
      </c>
      <c r="G15964" t="n">
        <v>5.2</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34224-2024</t>
        </is>
      </c>
      <c r="B15965" s="1" t="n">
        <v>45524</v>
      </c>
      <c r="C15965" s="1" t="n">
        <v>45810</v>
      </c>
      <c r="D15965" t="inlineStr">
        <is>
          <t>VÄRMLANDS LÄN</t>
        </is>
      </c>
      <c r="E15965" t="inlineStr">
        <is>
          <t>FILIPSTAD</t>
        </is>
      </c>
      <c r="F15965" t="inlineStr">
        <is>
          <t>Bergvik skog väst AB</t>
        </is>
      </c>
      <c r="G15965" t="n">
        <v>5</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34236-2024</t>
        </is>
      </c>
      <c r="B15966" s="1" t="n">
        <v>45524</v>
      </c>
      <c r="C15966" s="1" t="n">
        <v>45810</v>
      </c>
      <c r="D15966" t="inlineStr">
        <is>
          <t>VÄRMLANDS LÄN</t>
        </is>
      </c>
      <c r="E15966" t="inlineStr">
        <is>
          <t>TORSBY</t>
        </is>
      </c>
      <c r="G15966" t="n">
        <v>2.6</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34262-2024</t>
        </is>
      </c>
      <c r="B15967" s="1" t="n">
        <v>45524</v>
      </c>
      <c r="C15967" s="1" t="n">
        <v>45810</v>
      </c>
      <c r="D15967" t="inlineStr">
        <is>
          <t>VÄRMLANDS LÄN</t>
        </is>
      </c>
      <c r="E15967" t="inlineStr">
        <is>
          <t>FILIPSTAD</t>
        </is>
      </c>
      <c r="G15967" t="n">
        <v>1.4</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34256-2024</t>
        </is>
      </c>
      <c r="B15968" s="1" t="n">
        <v>45524</v>
      </c>
      <c r="C15968" s="1" t="n">
        <v>45810</v>
      </c>
      <c r="D15968" t="inlineStr">
        <is>
          <t>VÄRMLANDS LÄN</t>
        </is>
      </c>
      <c r="E15968" t="inlineStr">
        <is>
          <t>TORSBY</t>
        </is>
      </c>
      <c r="G15968" t="n">
        <v>0.5</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34260-2024</t>
        </is>
      </c>
      <c r="B15969" s="1" t="n">
        <v>45524</v>
      </c>
      <c r="C15969" s="1" t="n">
        <v>45810</v>
      </c>
      <c r="D15969" t="inlineStr">
        <is>
          <t>VÄRMLANDS LÄN</t>
        </is>
      </c>
      <c r="E15969" t="inlineStr">
        <is>
          <t>ARVIKA</t>
        </is>
      </c>
      <c r="G15969" t="n">
        <v>2.6</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34281-2024</t>
        </is>
      </c>
      <c r="B15970" s="1" t="n">
        <v>45524</v>
      </c>
      <c r="C15970" s="1" t="n">
        <v>45810</v>
      </c>
      <c r="D15970" t="inlineStr">
        <is>
          <t>VÄRMLANDS LÄN</t>
        </is>
      </c>
      <c r="E15970" t="inlineStr">
        <is>
          <t>TORSBY</t>
        </is>
      </c>
      <c r="G15970" t="n">
        <v>3</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34321-2024</t>
        </is>
      </c>
      <c r="B15971" s="1" t="n">
        <v>45524</v>
      </c>
      <c r="C15971" s="1" t="n">
        <v>45810</v>
      </c>
      <c r="D15971" t="inlineStr">
        <is>
          <t>VÄRMLANDS LÄN</t>
        </is>
      </c>
      <c r="E15971" t="inlineStr">
        <is>
          <t>KARLSTAD</t>
        </is>
      </c>
      <c r="G15971" t="n">
        <v>1.4</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34267-2024</t>
        </is>
      </c>
      <c r="B15972" s="1" t="n">
        <v>45524</v>
      </c>
      <c r="C15972" s="1" t="n">
        <v>45810</v>
      </c>
      <c r="D15972" t="inlineStr">
        <is>
          <t>VÄRMLANDS LÄN</t>
        </is>
      </c>
      <c r="E15972" t="inlineStr">
        <is>
          <t>HAGFORS</t>
        </is>
      </c>
      <c r="F15972" t="inlineStr">
        <is>
          <t>Bergvik skog väst AB</t>
        </is>
      </c>
      <c r="G15972" t="n">
        <v>2.7</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34304-2024</t>
        </is>
      </c>
      <c r="B15973" s="1" t="n">
        <v>45524</v>
      </c>
      <c r="C15973" s="1" t="n">
        <v>45810</v>
      </c>
      <c r="D15973" t="inlineStr">
        <is>
          <t>VÄRMLANDS LÄN</t>
        </is>
      </c>
      <c r="E15973" t="inlineStr">
        <is>
          <t>TORSBY</t>
        </is>
      </c>
      <c r="G15973" t="n">
        <v>1</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34308-2024</t>
        </is>
      </c>
      <c r="B15974" s="1" t="n">
        <v>45524</v>
      </c>
      <c r="C15974" s="1" t="n">
        <v>45810</v>
      </c>
      <c r="D15974" t="inlineStr">
        <is>
          <t>VÄRMLANDS LÄN</t>
        </is>
      </c>
      <c r="E15974" t="inlineStr">
        <is>
          <t>HAGFORS</t>
        </is>
      </c>
      <c r="F15974" t="inlineStr">
        <is>
          <t>Bergvik skog väst AB</t>
        </is>
      </c>
      <c r="G15974" t="n">
        <v>1.5</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34333-2024</t>
        </is>
      </c>
      <c r="B15975" s="1" t="n">
        <v>45524</v>
      </c>
      <c r="C15975" s="1" t="n">
        <v>45810</v>
      </c>
      <c r="D15975" t="inlineStr">
        <is>
          <t>VÄRMLANDS LÄN</t>
        </is>
      </c>
      <c r="E15975" t="inlineStr">
        <is>
          <t>KRISTINEHAMN</t>
        </is>
      </c>
      <c r="G15975" t="n">
        <v>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34335-2024</t>
        </is>
      </c>
      <c r="B15976" s="1" t="n">
        <v>45525</v>
      </c>
      <c r="C15976" s="1" t="n">
        <v>45810</v>
      </c>
      <c r="D15976" t="inlineStr">
        <is>
          <t>VÄRMLANDS LÄN</t>
        </is>
      </c>
      <c r="E15976" t="inlineStr">
        <is>
          <t>KARLSTAD</t>
        </is>
      </c>
      <c r="G15976" t="n">
        <v>1.8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34334-2024</t>
        </is>
      </c>
      <c r="B15977" s="1" t="n">
        <v>45525</v>
      </c>
      <c r="C15977" s="1" t="n">
        <v>45810</v>
      </c>
      <c r="D15977" t="inlineStr">
        <is>
          <t>VÄRMLANDS LÄN</t>
        </is>
      </c>
      <c r="E15977" t="inlineStr">
        <is>
          <t>KARLSTAD</t>
        </is>
      </c>
      <c r="G15977" t="n">
        <v>4.4</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34378-2024</t>
        </is>
      </c>
      <c r="B15978" s="1" t="n">
        <v>45525</v>
      </c>
      <c r="C15978" s="1" t="n">
        <v>45810</v>
      </c>
      <c r="D15978" t="inlineStr">
        <is>
          <t>VÄRMLANDS LÄN</t>
        </is>
      </c>
      <c r="E15978" t="inlineStr">
        <is>
          <t>EDA</t>
        </is>
      </c>
      <c r="G15978" t="n">
        <v>0.7</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34427-2024</t>
        </is>
      </c>
      <c r="B15979" s="1" t="n">
        <v>45525</v>
      </c>
      <c r="C15979" s="1" t="n">
        <v>45810</v>
      </c>
      <c r="D15979" t="inlineStr">
        <is>
          <t>VÄRMLANDS LÄN</t>
        </is>
      </c>
      <c r="E15979" t="inlineStr">
        <is>
          <t>FORSHAGA</t>
        </is>
      </c>
      <c r="F15979" t="inlineStr">
        <is>
          <t>Bergvik skog väst AB</t>
        </is>
      </c>
      <c r="G15979" t="n">
        <v>2.6</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34443-2024</t>
        </is>
      </c>
      <c r="B15980" s="1" t="n">
        <v>45525</v>
      </c>
      <c r="C15980" s="1" t="n">
        <v>45810</v>
      </c>
      <c r="D15980" t="inlineStr">
        <is>
          <t>VÄRMLANDS LÄN</t>
        </is>
      </c>
      <c r="E15980" t="inlineStr">
        <is>
          <t>ÅRJÄNG</t>
        </is>
      </c>
      <c r="G15980" t="n">
        <v>5.6</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34479-2024</t>
        </is>
      </c>
      <c r="B15981" s="1" t="n">
        <v>45525</v>
      </c>
      <c r="C15981" s="1" t="n">
        <v>45810</v>
      </c>
      <c r="D15981" t="inlineStr">
        <is>
          <t>VÄRMLANDS LÄN</t>
        </is>
      </c>
      <c r="E15981" t="inlineStr">
        <is>
          <t>FILIPSTAD</t>
        </is>
      </c>
      <c r="F15981" t="inlineStr">
        <is>
          <t>Bergvik skog väst AB</t>
        </is>
      </c>
      <c r="G15981" t="n">
        <v>14.1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34500-2024</t>
        </is>
      </c>
      <c r="B15982" s="1" t="n">
        <v>45525</v>
      </c>
      <c r="C15982" s="1" t="n">
        <v>45810</v>
      </c>
      <c r="D15982" t="inlineStr">
        <is>
          <t>VÄRMLANDS LÄN</t>
        </is>
      </c>
      <c r="E15982" t="inlineStr">
        <is>
          <t>TORSBY</t>
        </is>
      </c>
      <c r="G15982" t="n">
        <v>1.7</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34534-2024</t>
        </is>
      </c>
      <c r="B15983" s="1" t="n">
        <v>45525</v>
      </c>
      <c r="C15983" s="1" t="n">
        <v>45810</v>
      </c>
      <c r="D15983" t="inlineStr">
        <is>
          <t>VÄRMLANDS LÄN</t>
        </is>
      </c>
      <c r="E15983" t="inlineStr">
        <is>
          <t>TORSBY</t>
        </is>
      </c>
      <c r="G15983" t="n">
        <v>1.5</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34528-2024</t>
        </is>
      </c>
      <c r="B15984" s="1" t="n">
        <v>45525</v>
      </c>
      <c r="C15984" s="1" t="n">
        <v>45810</v>
      </c>
      <c r="D15984" t="inlineStr">
        <is>
          <t>VÄRMLANDS LÄN</t>
        </is>
      </c>
      <c r="E15984" t="inlineStr">
        <is>
          <t>TORSBY</t>
        </is>
      </c>
      <c r="G15984" t="n">
        <v>3.1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34540-2024</t>
        </is>
      </c>
      <c r="B15985" s="1" t="n">
        <v>45525</v>
      </c>
      <c r="C15985" s="1" t="n">
        <v>45810</v>
      </c>
      <c r="D15985" t="inlineStr">
        <is>
          <t>VÄRMLANDS LÄN</t>
        </is>
      </c>
      <c r="E15985" t="inlineStr">
        <is>
          <t>HAGFORS</t>
        </is>
      </c>
      <c r="G15985" t="n">
        <v>2.6</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34407-2024</t>
        </is>
      </c>
      <c r="B15986" s="1" t="n">
        <v>45525</v>
      </c>
      <c r="C15986" s="1" t="n">
        <v>45810</v>
      </c>
      <c r="D15986" t="inlineStr">
        <is>
          <t>VÄRMLANDS LÄN</t>
        </is>
      </c>
      <c r="E15986" t="inlineStr">
        <is>
          <t>FORSHAGA</t>
        </is>
      </c>
      <c r="F15986" t="inlineStr">
        <is>
          <t>Bergvik skog väst AB</t>
        </is>
      </c>
      <c r="G15986" t="n">
        <v>2.8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34548-2024</t>
        </is>
      </c>
      <c r="B15987" s="1" t="n">
        <v>45525</v>
      </c>
      <c r="C15987" s="1" t="n">
        <v>45810</v>
      </c>
      <c r="D15987" t="inlineStr">
        <is>
          <t>VÄRMLANDS LÄN</t>
        </is>
      </c>
      <c r="E15987" t="inlineStr">
        <is>
          <t>SÄFFLE</t>
        </is>
      </c>
      <c r="G15987" t="n">
        <v>4.3</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34552-2024</t>
        </is>
      </c>
      <c r="B15988" s="1" t="n">
        <v>45525</v>
      </c>
      <c r="C15988" s="1" t="n">
        <v>45810</v>
      </c>
      <c r="D15988" t="inlineStr">
        <is>
          <t>VÄRMLANDS LÄN</t>
        </is>
      </c>
      <c r="E15988" t="inlineStr">
        <is>
          <t>ARVIKA</t>
        </is>
      </c>
      <c r="G15988" t="n">
        <v>0.6</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34554-2024</t>
        </is>
      </c>
      <c r="B15989" s="1" t="n">
        <v>45525</v>
      </c>
      <c r="C15989" s="1" t="n">
        <v>45810</v>
      </c>
      <c r="D15989" t="inlineStr">
        <is>
          <t>VÄRMLANDS LÄN</t>
        </is>
      </c>
      <c r="E15989" t="inlineStr">
        <is>
          <t>TORSBY</t>
        </is>
      </c>
      <c r="G15989" t="n">
        <v>3.7</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34413-2024</t>
        </is>
      </c>
      <c r="B15990" s="1" t="n">
        <v>45525</v>
      </c>
      <c r="C15990" s="1" t="n">
        <v>45810</v>
      </c>
      <c r="D15990" t="inlineStr">
        <is>
          <t>VÄRMLANDS LÄN</t>
        </is>
      </c>
      <c r="E15990" t="inlineStr">
        <is>
          <t>EDA</t>
        </is>
      </c>
      <c r="G15990" t="n">
        <v>1.9</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34380-2024</t>
        </is>
      </c>
      <c r="B15991" s="1" t="n">
        <v>45525</v>
      </c>
      <c r="C15991" s="1" t="n">
        <v>45810</v>
      </c>
      <c r="D15991" t="inlineStr">
        <is>
          <t>VÄRMLANDS LÄN</t>
        </is>
      </c>
      <c r="E15991" t="inlineStr">
        <is>
          <t>EDA</t>
        </is>
      </c>
      <c r="G15991" t="n">
        <v>1.3</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34408-2024</t>
        </is>
      </c>
      <c r="B15992" s="1" t="n">
        <v>45525</v>
      </c>
      <c r="C15992" s="1" t="n">
        <v>45810</v>
      </c>
      <c r="D15992" t="inlineStr">
        <is>
          <t>VÄRMLANDS LÄN</t>
        </is>
      </c>
      <c r="E15992" t="inlineStr">
        <is>
          <t>KIL</t>
        </is>
      </c>
      <c r="G15992" t="n">
        <v>0.4</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34472-2024</t>
        </is>
      </c>
      <c r="B15993" s="1" t="n">
        <v>45525</v>
      </c>
      <c r="C15993" s="1" t="n">
        <v>45810</v>
      </c>
      <c r="D15993" t="inlineStr">
        <is>
          <t>VÄRMLANDS LÄN</t>
        </is>
      </c>
      <c r="E15993" t="inlineStr">
        <is>
          <t>TORSBY</t>
        </is>
      </c>
      <c r="G15993" t="n">
        <v>3.4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34541-2024</t>
        </is>
      </c>
      <c r="B15994" s="1" t="n">
        <v>45525</v>
      </c>
      <c r="C15994" s="1" t="n">
        <v>45810</v>
      </c>
      <c r="D15994" t="inlineStr">
        <is>
          <t>VÄRMLANDS LÄN</t>
        </is>
      </c>
      <c r="E15994" t="inlineStr">
        <is>
          <t>HAGFORS</t>
        </is>
      </c>
      <c r="G15994" t="n">
        <v>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34549-2024</t>
        </is>
      </c>
      <c r="B15995" s="1" t="n">
        <v>45525</v>
      </c>
      <c r="C15995" s="1" t="n">
        <v>45810</v>
      </c>
      <c r="D15995" t="inlineStr">
        <is>
          <t>VÄRMLANDS LÄN</t>
        </is>
      </c>
      <c r="E15995" t="inlineStr">
        <is>
          <t>TORSBY</t>
        </is>
      </c>
      <c r="G15995" t="n">
        <v>0.8</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34553-2024</t>
        </is>
      </c>
      <c r="B15996" s="1" t="n">
        <v>45525</v>
      </c>
      <c r="C15996" s="1" t="n">
        <v>45810</v>
      </c>
      <c r="D15996" t="inlineStr">
        <is>
          <t>VÄRMLANDS LÄN</t>
        </is>
      </c>
      <c r="E15996" t="inlineStr">
        <is>
          <t>SUNNE</t>
        </is>
      </c>
      <c r="G15996" t="n">
        <v>1.8</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34393-2024</t>
        </is>
      </c>
      <c r="B15997" s="1" t="n">
        <v>45525</v>
      </c>
      <c r="C15997" s="1" t="n">
        <v>45810</v>
      </c>
      <c r="D15997" t="inlineStr">
        <is>
          <t>VÄRMLANDS LÄN</t>
        </is>
      </c>
      <c r="E15997" t="inlineStr">
        <is>
          <t>EDA</t>
        </is>
      </c>
      <c r="G15997" t="n">
        <v>2.6</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34385-2024</t>
        </is>
      </c>
      <c r="B15998" s="1" t="n">
        <v>45525</v>
      </c>
      <c r="C15998" s="1" t="n">
        <v>45810</v>
      </c>
      <c r="D15998" t="inlineStr">
        <is>
          <t>VÄRMLANDS LÄN</t>
        </is>
      </c>
      <c r="E15998" t="inlineStr">
        <is>
          <t>FILIPSTAD</t>
        </is>
      </c>
      <c r="F15998" t="inlineStr">
        <is>
          <t>Bergvik skog väst AB</t>
        </is>
      </c>
      <c r="G15998" t="n">
        <v>6</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34551-2024</t>
        </is>
      </c>
      <c r="B15999" s="1" t="n">
        <v>45525</v>
      </c>
      <c r="C15999" s="1" t="n">
        <v>45810</v>
      </c>
      <c r="D15999" t="inlineStr">
        <is>
          <t>VÄRMLANDS LÄN</t>
        </is>
      </c>
      <c r="E15999" t="inlineStr">
        <is>
          <t>TORSBY</t>
        </is>
      </c>
      <c r="G15999" t="n">
        <v>1.1</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34680-2024</t>
        </is>
      </c>
      <c r="B16000" s="1" t="n">
        <v>45526</v>
      </c>
      <c r="C16000" s="1" t="n">
        <v>45810</v>
      </c>
      <c r="D16000" t="inlineStr">
        <is>
          <t>VÄRMLANDS LÄN</t>
        </is>
      </c>
      <c r="E16000" t="inlineStr">
        <is>
          <t>TORSBY</t>
        </is>
      </c>
      <c r="G16000" t="n">
        <v>1.9</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34796-2024</t>
        </is>
      </c>
      <c r="B16001" s="1" t="n">
        <v>45526</v>
      </c>
      <c r="C16001" s="1" t="n">
        <v>45810</v>
      </c>
      <c r="D16001" t="inlineStr">
        <is>
          <t>VÄRMLANDS LÄN</t>
        </is>
      </c>
      <c r="E16001" t="inlineStr">
        <is>
          <t>SUNNE</t>
        </is>
      </c>
      <c r="G16001" t="n">
        <v>4.3</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34568-2024</t>
        </is>
      </c>
      <c r="B16002" s="1" t="n">
        <v>45526</v>
      </c>
      <c r="C16002" s="1" t="n">
        <v>45810</v>
      </c>
      <c r="D16002" t="inlineStr">
        <is>
          <t>VÄRMLANDS LÄN</t>
        </is>
      </c>
      <c r="E16002" t="inlineStr">
        <is>
          <t>TORSBY</t>
        </is>
      </c>
      <c r="G16002" t="n">
        <v>3.1</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34758-2024</t>
        </is>
      </c>
      <c r="B16003" s="1" t="n">
        <v>45526</v>
      </c>
      <c r="C16003" s="1" t="n">
        <v>45810</v>
      </c>
      <c r="D16003" t="inlineStr">
        <is>
          <t>VÄRMLANDS LÄN</t>
        </is>
      </c>
      <c r="E16003" t="inlineStr">
        <is>
          <t>FORSHAGA</t>
        </is>
      </c>
      <c r="F16003" t="inlineStr">
        <is>
          <t>Bergvik skog väst AB</t>
        </is>
      </c>
      <c r="G16003" t="n">
        <v>6.2</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34786-2024</t>
        </is>
      </c>
      <c r="B16004" s="1" t="n">
        <v>45526</v>
      </c>
      <c r="C16004" s="1" t="n">
        <v>45810</v>
      </c>
      <c r="D16004" t="inlineStr">
        <is>
          <t>VÄRMLANDS LÄN</t>
        </is>
      </c>
      <c r="E16004" t="inlineStr">
        <is>
          <t>FORSHAGA</t>
        </is>
      </c>
      <c r="F16004" t="inlineStr">
        <is>
          <t>Bergvik skog väst AB</t>
        </is>
      </c>
      <c r="G16004" t="n">
        <v>1.2</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34569-2024</t>
        </is>
      </c>
      <c r="B16005" s="1" t="n">
        <v>45526</v>
      </c>
      <c r="C16005" s="1" t="n">
        <v>45810</v>
      </c>
      <c r="D16005" t="inlineStr">
        <is>
          <t>VÄRMLANDS LÄN</t>
        </is>
      </c>
      <c r="E16005" t="inlineStr">
        <is>
          <t>EDA</t>
        </is>
      </c>
      <c r="G16005" t="n">
        <v>4.8</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34573-2024</t>
        </is>
      </c>
      <c r="B16006" s="1" t="n">
        <v>45526</v>
      </c>
      <c r="C16006" s="1" t="n">
        <v>45810</v>
      </c>
      <c r="D16006" t="inlineStr">
        <is>
          <t>VÄRMLANDS LÄN</t>
        </is>
      </c>
      <c r="E16006" t="inlineStr">
        <is>
          <t>TORSBY</t>
        </is>
      </c>
      <c r="G16006" t="n">
        <v>3.9</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34636-2024</t>
        </is>
      </c>
      <c r="B16007" s="1" t="n">
        <v>45526</v>
      </c>
      <c r="C16007" s="1" t="n">
        <v>45810</v>
      </c>
      <c r="D16007" t="inlineStr">
        <is>
          <t>VÄRMLANDS LÄN</t>
        </is>
      </c>
      <c r="E16007" t="inlineStr">
        <is>
          <t>HAGFORS</t>
        </is>
      </c>
      <c r="F16007" t="inlineStr">
        <is>
          <t>Bergvik skog väst AB</t>
        </is>
      </c>
      <c r="G16007" t="n">
        <v>0.8</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34697-2024</t>
        </is>
      </c>
      <c r="B16008" s="1" t="n">
        <v>45526</v>
      </c>
      <c r="C16008" s="1" t="n">
        <v>45810</v>
      </c>
      <c r="D16008" t="inlineStr">
        <is>
          <t>VÄRMLANDS LÄN</t>
        </is>
      </c>
      <c r="E16008" t="inlineStr">
        <is>
          <t>TORSBY</t>
        </is>
      </c>
      <c r="G16008" t="n">
        <v>0.9</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34717-2024</t>
        </is>
      </c>
      <c r="B16009" s="1" t="n">
        <v>45526</v>
      </c>
      <c r="C16009" s="1" t="n">
        <v>45810</v>
      </c>
      <c r="D16009" t="inlineStr">
        <is>
          <t>VÄRMLANDS LÄN</t>
        </is>
      </c>
      <c r="E16009" t="inlineStr">
        <is>
          <t>TORSBY</t>
        </is>
      </c>
      <c r="G16009" t="n">
        <v>0.6</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34824-2024</t>
        </is>
      </c>
      <c r="B16010" s="1" t="n">
        <v>45526</v>
      </c>
      <c r="C16010" s="1" t="n">
        <v>45810</v>
      </c>
      <c r="D16010" t="inlineStr">
        <is>
          <t>VÄRMLANDS LÄN</t>
        </is>
      </c>
      <c r="E16010" t="inlineStr">
        <is>
          <t>TORSBY</t>
        </is>
      </c>
      <c r="F16010" t="inlineStr">
        <is>
          <t>Bergvik skog väst AB</t>
        </is>
      </c>
      <c r="G16010" t="n">
        <v>27.5</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34643-2024</t>
        </is>
      </c>
      <c r="B16011" s="1" t="n">
        <v>45526</v>
      </c>
      <c r="C16011" s="1" t="n">
        <v>45810</v>
      </c>
      <c r="D16011" t="inlineStr">
        <is>
          <t>VÄRMLANDS LÄN</t>
        </is>
      </c>
      <c r="E16011" t="inlineStr">
        <is>
          <t>ÅRJÄNG</t>
        </is>
      </c>
      <c r="G16011" t="n">
        <v>3.4</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34675-2024</t>
        </is>
      </c>
      <c r="B16012" s="1" t="n">
        <v>45526</v>
      </c>
      <c r="C16012" s="1" t="n">
        <v>45810</v>
      </c>
      <c r="D16012" t="inlineStr">
        <is>
          <t>VÄRMLANDS LÄN</t>
        </is>
      </c>
      <c r="E16012" t="inlineStr">
        <is>
          <t>SÄFFLE</t>
        </is>
      </c>
      <c r="G16012" t="n">
        <v>4.8</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34683-2024</t>
        </is>
      </c>
      <c r="B16013" s="1" t="n">
        <v>45526</v>
      </c>
      <c r="C16013" s="1" t="n">
        <v>45810</v>
      </c>
      <c r="D16013" t="inlineStr">
        <is>
          <t>VÄRMLANDS LÄN</t>
        </is>
      </c>
      <c r="E16013" t="inlineStr">
        <is>
          <t>HAGFORS</t>
        </is>
      </c>
      <c r="F16013" t="inlineStr">
        <is>
          <t>Bergvik skog väst AB</t>
        </is>
      </c>
      <c r="G16013" t="n">
        <v>10.6</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34749-2024</t>
        </is>
      </c>
      <c r="B16014" s="1" t="n">
        <v>45526</v>
      </c>
      <c r="C16014" s="1" t="n">
        <v>45810</v>
      </c>
      <c r="D16014" t="inlineStr">
        <is>
          <t>VÄRMLANDS LÄN</t>
        </is>
      </c>
      <c r="E16014" t="inlineStr">
        <is>
          <t>ARVIKA</t>
        </is>
      </c>
      <c r="G16014" t="n">
        <v>2.2</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34686-2024</t>
        </is>
      </c>
      <c r="B16015" s="1" t="n">
        <v>45526</v>
      </c>
      <c r="C16015" s="1" t="n">
        <v>45810</v>
      </c>
      <c r="D16015" t="inlineStr">
        <is>
          <t>VÄRMLANDS LÄN</t>
        </is>
      </c>
      <c r="E16015" t="inlineStr">
        <is>
          <t>TORSBY</t>
        </is>
      </c>
      <c r="G16015" t="n">
        <v>2</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34670-2024</t>
        </is>
      </c>
      <c r="B16016" s="1" t="n">
        <v>45526</v>
      </c>
      <c r="C16016" s="1" t="n">
        <v>45810</v>
      </c>
      <c r="D16016" t="inlineStr">
        <is>
          <t>VÄRMLANDS LÄN</t>
        </is>
      </c>
      <c r="E16016" t="inlineStr">
        <is>
          <t>HAGFORS</t>
        </is>
      </c>
      <c r="F16016" t="inlineStr">
        <is>
          <t>Bergvik skog väst AB</t>
        </is>
      </c>
      <c r="G16016" t="n">
        <v>1.9</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34633-2024</t>
        </is>
      </c>
      <c r="B16017" s="1" t="n">
        <v>45526</v>
      </c>
      <c r="C16017" s="1" t="n">
        <v>45810</v>
      </c>
      <c r="D16017" t="inlineStr">
        <is>
          <t>VÄRMLANDS LÄN</t>
        </is>
      </c>
      <c r="E16017" t="inlineStr">
        <is>
          <t>ÅRJÄNG</t>
        </is>
      </c>
      <c r="G16017" t="n">
        <v>2.1</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34780-2024</t>
        </is>
      </c>
      <c r="B16018" s="1" t="n">
        <v>45526</v>
      </c>
      <c r="C16018" s="1" t="n">
        <v>45810</v>
      </c>
      <c r="D16018" t="inlineStr">
        <is>
          <t>VÄRMLANDS LÄN</t>
        </is>
      </c>
      <c r="E16018" t="inlineStr">
        <is>
          <t>HAGFORS</t>
        </is>
      </c>
      <c r="F16018" t="inlineStr">
        <is>
          <t>Bergvik skog väst AB</t>
        </is>
      </c>
      <c r="G16018" t="n">
        <v>8</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35019-2024</t>
        </is>
      </c>
      <c r="B16019" s="1" t="n">
        <v>45527</v>
      </c>
      <c r="C16019" s="1" t="n">
        <v>45810</v>
      </c>
      <c r="D16019" t="inlineStr">
        <is>
          <t>VÄRMLANDS LÄN</t>
        </is>
      </c>
      <c r="E16019" t="inlineStr">
        <is>
          <t>TORSBY</t>
        </is>
      </c>
      <c r="G16019" t="n">
        <v>2.9</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35075-2024</t>
        </is>
      </c>
      <c r="B16020" s="1" t="n">
        <v>45527</v>
      </c>
      <c r="C16020" s="1" t="n">
        <v>45810</v>
      </c>
      <c r="D16020" t="inlineStr">
        <is>
          <t>VÄRMLANDS LÄN</t>
        </is>
      </c>
      <c r="E16020" t="inlineStr">
        <is>
          <t>TORSBY</t>
        </is>
      </c>
      <c r="F16020" t="inlineStr">
        <is>
          <t>Bergvik skog väst AB</t>
        </is>
      </c>
      <c r="G16020" t="n">
        <v>4.8</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35084-2024</t>
        </is>
      </c>
      <c r="B16021" s="1" t="n">
        <v>45527</v>
      </c>
      <c r="C16021" s="1" t="n">
        <v>45810</v>
      </c>
      <c r="D16021" t="inlineStr">
        <is>
          <t>VÄRMLANDS LÄN</t>
        </is>
      </c>
      <c r="E16021" t="inlineStr">
        <is>
          <t>KIL</t>
        </is>
      </c>
      <c r="G16021" t="n">
        <v>2.6</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35088-2024</t>
        </is>
      </c>
      <c r="B16022" s="1" t="n">
        <v>45527</v>
      </c>
      <c r="C16022" s="1" t="n">
        <v>45810</v>
      </c>
      <c r="D16022" t="inlineStr">
        <is>
          <t>VÄRMLANDS LÄN</t>
        </is>
      </c>
      <c r="E16022" t="inlineStr">
        <is>
          <t>HAGFORS</t>
        </is>
      </c>
      <c r="F16022" t="inlineStr">
        <is>
          <t>Bergvik skog väst AB</t>
        </is>
      </c>
      <c r="G16022" t="n">
        <v>0.4</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35092-2024</t>
        </is>
      </c>
      <c r="B16023" s="1" t="n">
        <v>45527</v>
      </c>
      <c r="C16023" s="1" t="n">
        <v>45810</v>
      </c>
      <c r="D16023" t="inlineStr">
        <is>
          <t>VÄRMLANDS LÄN</t>
        </is>
      </c>
      <c r="E16023" t="inlineStr">
        <is>
          <t>SUNNE</t>
        </is>
      </c>
      <c r="G16023" t="n">
        <v>3.4</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35043-2024</t>
        </is>
      </c>
      <c r="B16024" s="1" t="n">
        <v>45527</v>
      </c>
      <c r="C16024" s="1" t="n">
        <v>45810</v>
      </c>
      <c r="D16024" t="inlineStr">
        <is>
          <t>VÄRMLANDS LÄN</t>
        </is>
      </c>
      <c r="E16024" t="inlineStr">
        <is>
          <t>STORFORS</t>
        </is>
      </c>
      <c r="F16024" t="inlineStr">
        <is>
          <t>Bergvik skog väst AB</t>
        </is>
      </c>
      <c r="G16024" t="n">
        <v>1.7</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34970-2024</t>
        </is>
      </c>
      <c r="B16025" s="1" t="n">
        <v>45527</v>
      </c>
      <c r="C16025" s="1" t="n">
        <v>45810</v>
      </c>
      <c r="D16025" t="inlineStr">
        <is>
          <t>VÄRMLANDS LÄN</t>
        </is>
      </c>
      <c r="E16025" t="inlineStr">
        <is>
          <t>TORSBY</t>
        </is>
      </c>
      <c r="F16025" t="inlineStr">
        <is>
          <t>Bergvik skog väst AB</t>
        </is>
      </c>
      <c r="G16025" t="n">
        <v>4.3</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34966-2024</t>
        </is>
      </c>
      <c r="B16026" s="1" t="n">
        <v>45527</v>
      </c>
      <c r="C16026" s="1" t="n">
        <v>45810</v>
      </c>
      <c r="D16026" t="inlineStr">
        <is>
          <t>VÄRMLANDS LÄN</t>
        </is>
      </c>
      <c r="E16026" t="inlineStr">
        <is>
          <t>TORSBY</t>
        </is>
      </c>
      <c r="F16026" t="inlineStr">
        <is>
          <t>Bergvik skog väst AB</t>
        </is>
      </c>
      <c r="G16026" t="n">
        <v>5.2</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34958-2024</t>
        </is>
      </c>
      <c r="B16027" s="1" t="n">
        <v>45527</v>
      </c>
      <c r="C16027" s="1" t="n">
        <v>45810</v>
      </c>
      <c r="D16027" t="inlineStr">
        <is>
          <t>VÄRMLANDS LÄN</t>
        </is>
      </c>
      <c r="E16027" t="inlineStr">
        <is>
          <t>TORSBY</t>
        </is>
      </c>
      <c r="F16027" t="inlineStr">
        <is>
          <t>Bergvik skog väst AB</t>
        </is>
      </c>
      <c r="G16027" t="n">
        <v>12.5</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34946-2024</t>
        </is>
      </c>
      <c r="B16028" s="1" t="n">
        <v>45527</v>
      </c>
      <c r="C16028" s="1" t="n">
        <v>45810</v>
      </c>
      <c r="D16028" t="inlineStr">
        <is>
          <t>VÄRMLANDS LÄN</t>
        </is>
      </c>
      <c r="E16028" t="inlineStr">
        <is>
          <t>TORSBY</t>
        </is>
      </c>
      <c r="F16028" t="inlineStr">
        <is>
          <t>Bergvik skog väst AB</t>
        </is>
      </c>
      <c r="G16028" t="n">
        <v>6</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34938-2024</t>
        </is>
      </c>
      <c r="B16029" s="1" t="n">
        <v>45527</v>
      </c>
      <c r="C16029" s="1" t="n">
        <v>45810</v>
      </c>
      <c r="D16029" t="inlineStr">
        <is>
          <t>VÄRMLANDS LÄN</t>
        </is>
      </c>
      <c r="E16029" t="inlineStr">
        <is>
          <t>FILIPSTAD</t>
        </is>
      </c>
      <c r="F16029" t="inlineStr">
        <is>
          <t>Bergvik skog väst AB</t>
        </is>
      </c>
      <c r="G16029" t="n">
        <v>5.3</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34906-2024</t>
        </is>
      </c>
      <c r="B16030" s="1" t="n">
        <v>45527</v>
      </c>
      <c r="C16030" s="1" t="n">
        <v>45810</v>
      </c>
      <c r="D16030" t="inlineStr">
        <is>
          <t>VÄRMLANDS LÄN</t>
        </is>
      </c>
      <c r="E16030" t="inlineStr">
        <is>
          <t>TORSBY</t>
        </is>
      </c>
      <c r="G16030" t="n">
        <v>1.7</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34886-2024</t>
        </is>
      </c>
      <c r="B16031" s="1" t="n">
        <v>45527</v>
      </c>
      <c r="C16031" s="1" t="n">
        <v>45810</v>
      </c>
      <c r="D16031" t="inlineStr">
        <is>
          <t>VÄRMLANDS LÄN</t>
        </is>
      </c>
      <c r="E16031" t="inlineStr">
        <is>
          <t>FORSHAGA</t>
        </is>
      </c>
      <c r="F16031" t="inlineStr">
        <is>
          <t>Bergvik skog väst AB</t>
        </is>
      </c>
      <c r="G16031" t="n">
        <v>6.3</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35002-2024</t>
        </is>
      </c>
      <c r="B16032" s="1" t="n">
        <v>45527</v>
      </c>
      <c r="C16032" s="1" t="n">
        <v>45810</v>
      </c>
      <c r="D16032" t="inlineStr">
        <is>
          <t>VÄRMLANDS LÄN</t>
        </is>
      </c>
      <c r="E16032" t="inlineStr">
        <is>
          <t>HAGFORS</t>
        </is>
      </c>
      <c r="F16032" t="inlineStr">
        <is>
          <t>Bergvik skog väst AB</t>
        </is>
      </c>
      <c r="G16032" t="n">
        <v>23.1</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34872-2024</t>
        </is>
      </c>
      <c r="B16033" s="1" t="n">
        <v>45527</v>
      </c>
      <c r="C16033" s="1" t="n">
        <v>45810</v>
      </c>
      <c r="D16033" t="inlineStr">
        <is>
          <t>VÄRMLANDS LÄN</t>
        </is>
      </c>
      <c r="E16033" t="inlineStr">
        <is>
          <t>EDA</t>
        </is>
      </c>
      <c r="G16033" t="n">
        <v>2</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35066-2024</t>
        </is>
      </c>
      <c r="B16034" s="1" t="n">
        <v>45527</v>
      </c>
      <c r="C16034" s="1" t="n">
        <v>45810</v>
      </c>
      <c r="D16034" t="inlineStr">
        <is>
          <t>VÄRMLANDS LÄN</t>
        </is>
      </c>
      <c r="E16034" t="inlineStr">
        <is>
          <t>TORSBY</t>
        </is>
      </c>
      <c r="G16034" t="n">
        <v>3.1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35083-2024</t>
        </is>
      </c>
      <c r="B16035" s="1" t="n">
        <v>45527</v>
      </c>
      <c r="C16035" s="1" t="n">
        <v>45810</v>
      </c>
      <c r="D16035" t="inlineStr">
        <is>
          <t>VÄRMLANDS LÄN</t>
        </is>
      </c>
      <c r="E16035" t="inlineStr">
        <is>
          <t>KIL</t>
        </is>
      </c>
      <c r="G16035" t="n">
        <v>0.5</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35117-2024</t>
        </is>
      </c>
      <c r="B16036" s="1" t="n">
        <v>45527</v>
      </c>
      <c r="C16036" s="1" t="n">
        <v>45810</v>
      </c>
      <c r="D16036" t="inlineStr">
        <is>
          <t>VÄRMLANDS LÄN</t>
        </is>
      </c>
      <c r="E16036" t="inlineStr">
        <is>
          <t>SÄFFLE</t>
        </is>
      </c>
      <c r="G16036" t="n">
        <v>2.4</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34961-2024</t>
        </is>
      </c>
      <c r="B16037" s="1" t="n">
        <v>45527</v>
      </c>
      <c r="C16037" s="1" t="n">
        <v>45810</v>
      </c>
      <c r="D16037" t="inlineStr">
        <is>
          <t>VÄRMLANDS LÄN</t>
        </is>
      </c>
      <c r="E16037" t="inlineStr">
        <is>
          <t>TORSBY</t>
        </is>
      </c>
      <c r="F16037" t="inlineStr">
        <is>
          <t>Bergvik skog väst AB</t>
        </is>
      </c>
      <c r="G16037" t="n">
        <v>3.6</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34937-2024</t>
        </is>
      </c>
      <c r="B16038" s="1" t="n">
        <v>45527</v>
      </c>
      <c r="C16038" s="1" t="n">
        <v>45810</v>
      </c>
      <c r="D16038" t="inlineStr">
        <is>
          <t>VÄRMLANDS LÄN</t>
        </is>
      </c>
      <c r="E16038" t="inlineStr">
        <is>
          <t>HAGFORS</t>
        </is>
      </c>
      <c r="F16038" t="inlineStr">
        <is>
          <t>Bergvik skog väst AB</t>
        </is>
      </c>
      <c r="G16038" t="n">
        <v>14.5</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34933-2024</t>
        </is>
      </c>
      <c r="B16039" s="1" t="n">
        <v>45527</v>
      </c>
      <c r="C16039" s="1" t="n">
        <v>45810</v>
      </c>
      <c r="D16039" t="inlineStr">
        <is>
          <t>VÄRMLANDS LÄN</t>
        </is>
      </c>
      <c r="E16039" t="inlineStr">
        <is>
          <t>ARVIKA</t>
        </is>
      </c>
      <c r="F16039" t="inlineStr">
        <is>
          <t>Bergvik skog väst AB</t>
        </is>
      </c>
      <c r="G16039" t="n">
        <v>1.3</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34921-2024</t>
        </is>
      </c>
      <c r="B16040" s="1" t="n">
        <v>45527</v>
      </c>
      <c r="C16040" s="1" t="n">
        <v>45810</v>
      </c>
      <c r="D16040" t="inlineStr">
        <is>
          <t>VÄRMLANDS LÄN</t>
        </is>
      </c>
      <c r="E16040" t="inlineStr">
        <is>
          <t>TORSBY</t>
        </is>
      </c>
      <c r="G16040" t="n">
        <v>0.8</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34901-2024</t>
        </is>
      </c>
      <c r="B16041" s="1" t="n">
        <v>45527</v>
      </c>
      <c r="C16041" s="1" t="n">
        <v>45810</v>
      </c>
      <c r="D16041" t="inlineStr">
        <is>
          <t>VÄRMLANDS LÄN</t>
        </is>
      </c>
      <c r="E16041" t="inlineStr">
        <is>
          <t>HAGFORS</t>
        </is>
      </c>
      <c r="F16041" t="inlineStr">
        <is>
          <t>Bergvik skog väst AB</t>
        </is>
      </c>
      <c r="G16041" t="n">
        <v>4.8</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34849-2024</t>
        </is>
      </c>
      <c r="B16042" s="1" t="n">
        <v>45527</v>
      </c>
      <c r="C16042" s="1" t="n">
        <v>45810</v>
      </c>
      <c r="D16042" t="inlineStr">
        <is>
          <t>VÄRMLANDS LÄN</t>
        </is>
      </c>
      <c r="E16042" t="inlineStr">
        <is>
          <t>FORSHAGA</t>
        </is>
      </c>
      <c r="F16042" t="inlineStr">
        <is>
          <t>Bergvik skog väst AB</t>
        </is>
      </c>
      <c r="G16042" t="n">
        <v>0.5</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34968-2024</t>
        </is>
      </c>
      <c r="B16043" s="1" t="n">
        <v>45527</v>
      </c>
      <c r="C16043" s="1" t="n">
        <v>45810</v>
      </c>
      <c r="D16043" t="inlineStr">
        <is>
          <t>VÄRMLANDS LÄN</t>
        </is>
      </c>
      <c r="E16043" t="inlineStr">
        <is>
          <t>TORSBY</t>
        </is>
      </c>
      <c r="F16043" t="inlineStr">
        <is>
          <t>Bergvik skog väst AB</t>
        </is>
      </c>
      <c r="G16043" t="n">
        <v>10.2</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35021-2024</t>
        </is>
      </c>
      <c r="B16044" s="1" t="n">
        <v>45527</v>
      </c>
      <c r="C16044" s="1" t="n">
        <v>45810</v>
      </c>
      <c r="D16044" t="inlineStr">
        <is>
          <t>VÄRMLANDS LÄN</t>
        </is>
      </c>
      <c r="E16044" t="inlineStr">
        <is>
          <t>HAGFORS</t>
        </is>
      </c>
      <c r="G16044" t="n">
        <v>3.5</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35116-2024</t>
        </is>
      </c>
      <c r="B16045" s="1" t="n">
        <v>45527</v>
      </c>
      <c r="C16045" s="1" t="n">
        <v>45810</v>
      </c>
      <c r="D16045" t="inlineStr">
        <is>
          <t>VÄRMLANDS LÄN</t>
        </is>
      </c>
      <c r="E16045" t="inlineStr">
        <is>
          <t>SÄFFLE</t>
        </is>
      </c>
      <c r="G16045" t="n">
        <v>2.1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34971-2024</t>
        </is>
      </c>
      <c r="B16046" s="1" t="n">
        <v>45527</v>
      </c>
      <c r="C16046" s="1" t="n">
        <v>45810</v>
      </c>
      <c r="D16046" t="inlineStr">
        <is>
          <t>VÄRMLANDS LÄN</t>
        </is>
      </c>
      <c r="E16046" t="inlineStr">
        <is>
          <t>STORFORS</t>
        </is>
      </c>
      <c r="F16046" t="inlineStr">
        <is>
          <t>Kyrkan</t>
        </is>
      </c>
      <c r="G16046" t="n">
        <v>0.9</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34939-2024</t>
        </is>
      </c>
      <c r="B16047" s="1" t="n">
        <v>45527</v>
      </c>
      <c r="C16047" s="1" t="n">
        <v>45810</v>
      </c>
      <c r="D16047" t="inlineStr">
        <is>
          <t>VÄRMLANDS LÄN</t>
        </is>
      </c>
      <c r="E16047" t="inlineStr">
        <is>
          <t>TORSBY</t>
        </is>
      </c>
      <c r="F16047" t="inlineStr">
        <is>
          <t>Bergvik skog väst AB</t>
        </is>
      </c>
      <c r="G16047" t="n">
        <v>2.4</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34895-2024</t>
        </is>
      </c>
      <c r="B16048" s="1" t="n">
        <v>45527</v>
      </c>
      <c r="C16048" s="1" t="n">
        <v>45810</v>
      </c>
      <c r="D16048" t="inlineStr">
        <is>
          <t>VÄRMLANDS LÄN</t>
        </is>
      </c>
      <c r="E16048" t="inlineStr">
        <is>
          <t>HAGFORS</t>
        </is>
      </c>
      <c r="F16048" t="inlineStr">
        <is>
          <t>Bergvik skog väst AB</t>
        </is>
      </c>
      <c r="G16048" t="n">
        <v>1.6</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34863-2024</t>
        </is>
      </c>
      <c r="B16049" s="1" t="n">
        <v>45527</v>
      </c>
      <c r="C16049" s="1" t="n">
        <v>45810</v>
      </c>
      <c r="D16049" t="inlineStr">
        <is>
          <t>VÄRMLANDS LÄN</t>
        </is>
      </c>
      <c r="E16049" t="inlineStr">
        <is>
          <t>SÄFFLE</t>
        </is>
      </c>
      <c r="F16049" t="inlineStr">
        <is>
          <t>Kyrkan</t>
        </is>
      </c>
      <c r="G16049" t="n">
        <v>9.9</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34851-2024</t>
        </is>
      </c>
      <c r="B16050" s="1" t="n">
        <v>45527</v>
      </c>
      <c r="C16050" s="1" t="n">
        <v>45810</v>
      </c>
      <c r="D16050" t="inlineStr">
        <is>
          <t>VÄRMLANDS LÄN</t>
        </is>
      </c>
      <c r="E16050" t="inlineStr">
        <is>
          <t>SÄFFLE</t>
        </is>
      </c>
      <c r="F16050" t="inlineStr">
        <is>
          <t>Kyrkan</t>
        </is>
      </c>
      <c r="G16050" t="n">
        <v>5.4</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35133-2024</t>
        </is>
      </c>
      <c r="B16051" s="1" t="n">
        <v>45529</v>
      </c>
      <c r="C16051" s="1" t="n">
        <v>45810</v>
      </c>
      <c r="D16051" t="inlineStr">
        <is>
          <t>VÄRMLANDS LÄN</t>
        </is>
      </c>
      <c r="E16051" t="inlineStr">
        <is>
          <t>ÅRJÄNG</t>
        </is>
      </c>
      <c r="G16051" t="n">
        <v>10.2</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35107-2024</t>
        </is>
      </c>
      <c r="B16052" s="1" t="n">
        <v>45529</v>
      </c>
      <c r="C16052" s="1" t="n">
        <v>45810</v>
      </c>
      <c r="D16052" t="inlineStr">
        <is>
          <t>VÄRMLANDS LÄN</t>
        </is>
      </c>
      <c r="E16052" t="inlineStr">
        <is>
          <t>TORSBY</t>
        </is>
      </c>
      <c r="G16052" t="n">
        <v>5.1</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35106-2024</t>
        </is>
      </c>
      <c r="B16053" s="1" t="n">
        <v>45529</v>
      </c>
      <c r="C16053" s="1" t="n">
        <v>45810</v>
      </c>
      <c r="D16053" t="inlineStr">
        <is>
          <t>VÄRMLANDS LÄN</t>
        </is>
      </c>
      <c r="E16053" t="inlineStr">
        <is>
          <t>FILIPSTAD</t>
        </is>
      </c>
      <c r="F16053" t="inlineStr">
        <is>
          <t>Bergvik skog väst AB</t>
        </is>
      </c>
      <c r="G16053" t="n">
        <v>3.1</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35277-2024</t>
        </is>
      </c>
      <c r="B16054" s="1" t="n">
        <v>45530</v>
      </c>
      <c r="C16054" s="1" t="n">
        <v>45810</v>
      </c>
      <c r="D16054" t="inlineStr">
        <is>
          <t>VÄRMLANDS LÄN</t>
        </is>
      </c>
      <c r="E16054" t="inlineStr">
        <is>
          <t>EDA</t>
        </is>
      </c>
      <c r="G16054" t="n">
        <v>2</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35303-2024</t>
        </is>
      </c>
      <c r="B16055" s="1" t="n">
        <v>45530</v>
      </c>
      <c r="C16055" s="1" t="n">
        <v>45810</v>
      </c>
      <c r="D16055" t="inlineStr">
        <is>
          <t>VÄRMLANDS LÄN</t>
        </is>
      </c>
      <c r="E16055" t="inlineStr">
        <is>
          <t>FILIPSTAD</t>
        </is>
      </c>
      <c r="F16055" t="inlineStr">
        <is>
          <t>Bergvik skog väst AB</t>
        </is>
      </c>
      <c r="G16055" t="n">
        <v>2.7</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35336-2024</t>
        </is>
      </c>
      <c r="B16056" s="1" t="n">
        <v>45530</v>
      </c>
      <c r="C16056" s="1" t="n">
        <v>45810</v>
      </c>
      <c r="D16056" t="inlineStr">
        <is>
          <t>VÄRMLANDS LÄN</t>
        </is>
      </c>
      <c r="E16056" t="inlineStr">
        <is>
          <t>FORSHAGA</t>
        </is>
      </c>
      <c r="F16056" t="inlineStr">
        <is>
          <t>Kommuner</t>
        </is>
      </c>
      <c r="G16056" t="n">
        <v>1.4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35335-2024</t>
        </is>
      </c>
      <c r="B16057" s="1" t="n">
        <v>45530</v>
      </c>
      <c r="C16057" s="1" t="n">
        <v>45810</v>
      </c>
      <c r="D16057" t="inlineStr">
        <is>
          <t>VÄRMLANDS LÄN</t>
        </is>
      </c>
      <c r="E16057" t="inlineStr">
        <is>
          <t>FORSHAGA</t>
        </is>
      </c>
      <c r="F16057" t="inlineStr">
        <is>
          <t>Kommuner</t>
        </is>
      </c>
      <c r="G16057" t="n">
        <v>1.1</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35275-2024</t>
        </is>
      </c>
      <c r="B16058" s="1" t="n">
        <v>45530</v>
      </c>
      <c r="C16058" s="1" t="n">
        <v>45810</v>
      </c>
      <c r="D16058" t="inlineStr">
        <is>
          <t>VÄRMLANDS LÄN</t>
        </is>
      </c>
      <c r="E16058" t="inlineStr">
        <is>
          <t>HAGFORS</t>
        </is>
      </c>
      <c r="F16058" t="inlineStr">
        <is>
          <t>Bergvik skog väst AB</t>
        </is>
      </c>
      <c r="G16058" t="n">
        <v>7.2</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35215-2024</t>
        </is>
      </c>
      <c r="B16059" s="1" t="n">
        <v>45530</v>
      </c>
      <c r="C16059" s="1" t="n">
        <v>45810</v>
      </c>
      <c r="D16059" t="inlineStr">
        <is>
          <t>VÄRMLANDS LÄN</t>
        </is>
      </c>
      <c r="E16059" t="inlineStr">
        <is>
          <t>FORSHAGA</t>
        </is>
      </c>
      <c r="G16059" t="n">
        <v>1.4</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35333-2024</t>
        </is>
      </c>
      <c r="B16060" s="1" t="n">
        <v>45530</v>
      </c>
      <c r="C16060" s="1" t="n">
        <v>45810</v>
      </c>
      <c r="D16060" t="inlineStr">
        <is>
          <t>VÄRMLANDS LÄN</t>
        </is>
      </c>
      <c r="E16060" t="inlineStr">
        <is>
          <t>FORSHAGA</t>
        </is>
      </c>
      <c r="F16060" t="inlineStr">
        <is>
          <t>Kommuner</t>
        </is>
      </c>
      <c r="G16060" t="n">
        <v>2.8</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35339-2024</t>
        </is>
      </c>
      <c r="B16061" s="1" t="n">
        <v>45530</v>
      </c>
      <c r="C16061" s="1" t="n">
        <v>45810</v>
      </c>
      <c r="D16061" t="inlineStr">
        <is>
          <t>VÄRMLANDS LÄN</t>
        </is>
      </c>
      <c r="E16061" t="inlineStr">
        <is>
          <t>ARVIKA</t>
        </is>
      </c>
      <c r="G16061" t="n">
        <v>3.2</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35304-2024</t>
        </is>
      </c>
      <c r="B16062" s="1" t="n">
        <v>45530</v>
      </c>
      <c r="C16062" s="1" t="n">
        <v>45810</v>
      </c>
      <c r="D16062" t="inlineStr">
        <is>
          <t>VÄRMLANDS LÄN</t>
        </is>
      </c>
      <c r="E16062" t="inlineStr">
        <is>
          <t>FILIPSTAD</t>
        </is>
      </c>
      <c r="F16062" t="inlineStr">
        <is>
          <t>Bergvik skog väst AB</t>
        </is>
      </c>
      <c r="G16062" t="n">
        <v>6.6</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35458-2024</t>
        </is>
      </c>
      <c r="B16063" s="1" t="n">
        <v>45531</v>
      </c>
      <c r="C16063" s="1" t="n">
        <v>45810</v>
      </c>
      <c r="D16063" t="inlineStr">
        <is>
          <t>VÄRMLANDS LÄN</t>
        </is>
      </c>
      <c r="E16063" t="inlineStr">
        <is>
          <t>KIL</t>
        </is>
      </c>
      <c r="G16063" t="n">
        <v>6.3</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35503-2024</t>
        </is>
      </c>
      <c r="B16064" s="1" t="n">
        <v>45531</v>
      </c>
      <c r="C16064" s="1" t="n">
        <v>45810</v>
      </c>
      <c r="D16064" t="inlineStr">
        <is>
          <t>VÄRMLANDS LÄN</t>
        </is>
      </c>
      <c r="E16064" t="inlineStr">
        <is>
          <t>ARVIKA</t>
        </is>
      </c>
      <c r="F16064" t="inlineStr">
        <is>
          <t>Bergvik skog väst AB</t>
        </is>
      </c>
      <c r="G16064" t="n">
        <v>3</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35525-2024</t>
        </is>
      </c>
      <c r="B16065" s="1" t="n">
        <v>45531</v>
      </c>
      <c r="C16065" s="1" t="n">
        <v>45810</v>
      </c>
      <c r="D16065" t="inlineStr">
        <is>
          <t>VÄRMLANDS LÄN</t>
        </is>
      </c>
      <c r="E16065" t="inlineStr">
        <is>
          <t>KARLSTAD</t>
        </is>
      </c>
      <c r="F16065" t="inlineStr">
        <is>
          <t>Bergvik skog väst AB</t>
        </is>
      </c>
      <c r="G16065" t="n">
        <v>2.3</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35533-2024</t>
        </is>
      </c>
      <c r="B16066" s="1" t="n">
        <v>45531</v>
      </c>
      <c r="C16066" s="1" t="n">
        <v>45810</v>
      </c>
      <c r="D16066" t="inlineStr">
        <is>
          <t>VÄRMLANDS LÄN</t>
        </is>
      </c>
      <c r="E16066" t="inlineStr">
        <is>
          <t>SUNNE</t>
        </is>
      </c>
      <c r="F16066" t="inlineStr">
        <is>
          <t>Bergvik skog väst AB</t>
        </is>
      </c>
      <c r="G16066" t="n">
        <v>1.4</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35357-2024</t>
        </is>
      </c>
      <c r="B16067" s="1" t="n">
        <v>45531</v>
      </c>
      <c r="C16067" s="1" t="n">
        <v>45810</v>
      </c>
      <c r="D16067" t="inlineStr">
        <is>
          <t>VÄRMLANDS LÄN</t>
        </is>
      </c>
      <c r="E16067" t="inlineStr">
        <is>
          <t>FILIPSTAD</t>
        </is>
      </c>
      <c r="F16067" t="inlineStr">
        <is>
          <t>Bergvik skog väst AB</t>
        </is>
      </c>
      <c r="G16067" t="n">
        <v>15</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35449-2024</t>
        </is>
      </c>
      <c r="B16068" s="1" t="n">
        <v>45531</v>
      </c>
      <c r="C16068" s="1" t="n">
        <v>45810</v>
      </c>
      <c r="D16068" t="inlineStr">
        <is>
          <t>VÄRMLANDS LÄN</t>
        </is>
      </c>
      <c r="E16068" t="inlineStr">
        <is>
          <t>KIL</t>
        </is>
      </c>
      <c r="G16068" t="n">
        <v>6.8</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35453-2024</t>
        </is>
      </c>
      <c r="B16069" s="1" t="n">
        <v>45531</v>
      </c>
      <c r="C16069" s="1" t="n">
        <v>45810</v>
      </c>
      <c r="D16069" t="inlineStr">
        <is>
          <t>VÄRMLANDS LÄN</t>
        </is>
      </c>
      <c r="E16069" t="inlineStr">
        <is>
          <t>KIL</t>
        </is>
      </c>
      <c r="G16069" t="n">
        <v>4</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35524-2024</t>
        </is>
      </c>
      <c r="B16070" s="1" t="n">
        <v>45531</v>
      </c>
      <c r="C16070" s="1" t="n">
        <v>45810</v>
      </c>
      <c r="D16070" t="inlineStr">
        <is>
          <t>VÄRMLANDS LÄN</t>
        </is>
      </c>
      <c r="E16070" t="inlineStr">
        <is>
          <t>TORSBY</t>
        </is>
      </c>
      <c r="G16070" t="n">
        <v>1.1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35536-2024</t>
        </is>
      </c>
      <c r="B16071" s="1" t="n">
        <v>45531</v>
      </c>
      <c r="C16071" s="1" t="n">
        <v>45810</v>
      </c>
      <c r="D16071" t="inlineStr">
        <is>
          <t>VÄRMLANDS LÄN</t>
        </is>
      </c>
      <c r="E16071" t="inlineStr">
        <is>
          <t>FILIPSTAD</t>
        </is>
      </c>
      <c r="F16071" t="inlineStr">
        <is>
          <t>Bergvik skog väst AB</t>
        </is>
      </c>
      <c r="G16071" t="n">
        <v>4.7</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35493-2024</t>
        </is>
      </c>
      <c r="B16072" s="1" t="n">
        <v>45531</v>
      </c>
      <c r="C16072" s="1" t="n">
        <v>45810</v>
      </c>
      <c r="D16072" t="inlineStr">
        <is>
          <t>VÄRMLANDS LÄN</t>
        </is>
      </c>
      <c r="E16072" t="inlineStr">
        <is>
          <t>TORSBY</t>
        </is>
      </c>
      <c r="G16072" t="n">
        <v>3.3</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35497-2024</t>
        </is>
      </c>
      <c r="B16073" s="1" t="n">
        <v>45531</v>
      </c>
      <c r="C16073" s="1" t="n">
        <v>45810</v>
      </c>
      <c r="D16073" t="inlineStr">
        <is>
          <t>VÄRMLANDS LÄN</t>
        </is>
      </c>
      <c r="E16073" t="inlineStr">
        <is>
          <t>TORSBY</t>
        </is>
      </c>
      <c r="G16073" t="n">
        <v>2</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35501-2024</t>
        </is>
      </c>
      <c r="B16074" s="1" t="n">
        <v>45531</v>
      </c>
      <c r="C16074" s="1" t="n">
        <v>45810</v>
      </c>
      <c r="D16074" t="inlineStr">
        <is>
          <t>VÄRMLANDS LÄN</t>
        </is>
      </c>
      <c r="E16074" t="inlineStr">
        <is>
          <t>SUNNE</t>
        </is>
      </c>
      <c r="G16074" t="n">
        <v>9.6</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35492-2024</t>
        </is>
      </c>
      <c r="B16075" s="1" t="n">
        <v>45531</v>
      </c>
      <c r="C16075" s="1" t="n">
        <v>45810</v>
      </c>
      <c r="D16075" t="inlineStr">
        <is>
          <t>VÄRMLANDS LÄN</t>
        </is>
      </c>
      <c r="E16075" t="inlineStr">
        <is>
          <t>ARVIKA</t>
        </is>
      </c>
      <c r="F16075" t="inlineStr">
        <is>
          <t>Bergvik skog väst AB</t>
        </is>
      </c>
      <c r="G16075" t="n">
        <v>1.6</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35500-2024</t>
        </is>
      </c>
      <c r="B16076" s="1" t="n">
        <v>45531</v>
      </c>
      <c r="C16076" s="1" t="n">
        <v>45810</v>
      </c>
      <c r="D16076" t="inlineStr">
        <is>
          <t>VÄRMLANDS LÄN</t>
        </is>
      </c>
      <c r="E16076" t="inlineStr">
        <is>
          <t>SÄFFLE</t>
        </is>
      </c>
      <c r="G16076" t="n">
        <v>1</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35609-2024</t>
        </is>
      </c>
      <c r="B16077" s="1" t="n">
        <v>45531</v>
      </c>
      <c r="C16077" s="1" t="n">
        <v>45810</v>
      </c>
      <c r="D16077" t="inlineStr">
        <is>
          <t>VÄRMLANDS LÄN</t>
        </is>
      </c>
      <c r="E16077" t="inlineStr">
        <is>
          <t>TORSBY</t>
        </is>
      </c>
      <c r="G16077" t="n">
        <v>38.3</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35629-2024</t>
        </is>
      </c>
      <c r="B16078" s="1" t="n">
        <v>45531</v>
      </c>
      <c r="C16078" s="1" t="n">
        <v>45810</v>
      </c>
      <c r="D16078" t="inlineStr">
        <is>
          <t>VÄRMLANDS LÄN</t>
        </is>
      </c>
      <c r="E16078" t="inlineStr">
        <is>
          <t>SUNNE</t>
        </is>
      </c>
      <c r="G16078" t="n">
        <v>4.9</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35633-2024</t>
        </is>
      </c>
      <c r="B16079" s="1" t="n">
        <v>45531</v>
      </c>
      <c r="C16079" s="1" t="n">
        <v>45810</v>
      </c>
      <c r="D16079" t="inlineStr">
        <is>
          <t>VÄRMLANDS LÄN</t>
        </is>
      </c>
      <c r="E16079" t="inlineStr">
        <is>
          <t>SUNNE</t>
        </is>
      </c>
      <c r="G16079" t="n">
        <v>4.3</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35611-2024</t>
        </is>
      </c>
      <c r="B16080" s="1" t="n">
        <v>45531</v>
      </c>
      <c r="C16080" s="1" t="n">
        <v>45810</v>
      </c>
      <c r="D16080" t="inlineStr">
        <is>
          <t>VÄRMLANDS LÄN</t>
        </is>
      </c>
      <c r="E16080" t="inlineStr">
        <is>
          <t>KIL</t>
        </is>
      </c>
      <c r="G16080" t="n">
        <v>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35634-2024</t>
        </is>
      </c>
      <c r="B16081" s="1" t="n">
        <v>45531</v>
      </c>
      <c r="C16081" s="1" t="n">
        <v>45810</v>
      </c>
      <c r="D16081" t="inlineStr">
        <is>
          <t>VÄRMLANDS LÄN</t>
        </is>
      </c>
      <c r="E16081" t="inlineStr">
        <is>
          <t>SUNNE</t>
        </is>
      </c>
      <c r="G16081" t="n">
        <v>2</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35628-2024</t>
        </is>
      </c>
      <c r="B16082" s="1" t="n">
        <v>45531</v>
      </c>
      <c r="C16082" s="1" t="n">
        <v>45810</v>
      </c>
      <c r="D16082" t="inlineStr">
        <is>
          <t>VÄRMLANDS LÄN</t>
        </is>
      </c>
      <c r="E16082" t="inlineStr">
        <is>
          <t>SUNNE</t>
        </is>
      </c>
      <c r="G16082" t="n">
        <v>9.5</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35632-2024</t>
        </is>
      </c>
      <c r="B16083" s="1" t="n">
        <v>45531</v>
      </c>
      <c r="C16083" s="1" t="n">
        <v>45810</v>
      </c>
      <c r="D16083" t="inlineStr">
        <is>
          <t>VÄRMLANDS LÄN</t>
        </is>
      </c>
      <c r="E16083" t="inlineStr">
        <is>
          <t>TORSBY</t>
        </is>
      </c>
      <c r="G16083" t="n">
        <v>2.2</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35636-2024</t>
        </is>
      </c>
      <c r="B16084" s="1" t="n">
        <v>45531</v>
      </c>
      <c r="C16084" s="1" t="n">
        <v>45810</v>
      </c>
      <c r="D16084" t="inlineStr">
        <is>
          <t>VÄRMLANDS LÄN</t>
        </is>
      </c>
      <c r="E16084" t="inlineStr">
        <is>
          <t>SUNNE</t>
        </is>
      </c>
      <c r="G16084" t="n">
        <v>1.2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35702-2024</t>
        </is>
      </c>
      <c r="B16085" s="1" t="n">
        <v>45532</v>
      </c>
      <c r="C16085" s="1" t="n">
        <v>45810</v>
      </c>
      <c r="D16085" t="inlineStr">
        <is>
          <t>VÄRMLANDS LÄN</t>
        </is>
      </c>
      <c r="E16085" t="inlineStr">
        <is>
          <t>EDA</t>
        </is>
      </c>
      <c r="G16085" t="n">
        <v>2.2</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35714-2024</t>
        </is>
      </c>
      <c r="B16086" s="1" t="n">
        <v>45532</v>
      </c>
      <c r="C16086" s="1" t="n">
        <v>45810</v>
      </c>
      <c r="D16086" t="inlineStr">
        <is>
          <t>VÄRMLANDS LÄN</t>
        </is>
      </c>
      <c r="E16086" t="inlineStr">
        <is>
          <t>SUNNE</t>
        </is>
      </c>
      <c r="G16086" t="n">
        <v>5</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35654-2024</t>
        </is>
      </c>
      <c r="B16087" s="1" t="n">
        <v>45532</v>
      </c>
      <c r="C16087" s="1" t="n">
        <v>45810</v>
      </c>
      <c r="D16087" t="inlineStr">
        <is>
          <t>VÄRMLANDS LÄN</t>
        </is>
      </c>
      <c r="E16087" t="inlineStr">
        <is>
          <t>FORSHAGA</t>
        </is>
      </c>
      <c r="G16087" t="n">
        <v>0.9</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35722-2024</t>
        </is>
      </c>
      <c r="B16088" s="1" t="n">
        <v>45532</v>
      </c>
      <c r="C16088" s="1" t="n">
        <v>45810</v>
      </c>
      <c r="D16088" t="inlineStr">
        <is>
          <t>VÄRMLANDS LÄN</t>
        </is>
      </c>
      <c r="E16088" t="inlineStr">
        <is>
          <t>EDA</t>
        </is>
      </c>
      <c r="G16088" t="n">
        <v>0.4</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35705-2024</t>
        </is>
      </c>
      <c r="B16089" s="1" t="n">
        <v>45532</v>
      </c>
      <c r="C16089" s="1" t="n">
        <v>45810</v>
      </c>
      <c r="D16089" t="inlineStr">
        <is>
          <t>VÄRMLANDS LÄN</t>
        </is>
      </c>
      <c r="E16089" t="inlineStr">
        <is>
          <t>EDA</t>
        </is>
      </c>
      <c r="G16089" t="n">
        <v>1.1</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35762-2024</t>
        </is>
      </c>
      <c r="B16090" s="1" t="n">
        <v>45532</v>
      </c>
      <c r="C16090" s="1" t="n">
        <v>45810</v>
      </c>
      <c r="D16090" t="inlineStr">
        <is>
          <t>VÄRMLANDS LÄN</t>
        </is>
      </c>
      <c r="E16090" t="inlineStr">
        <is>
          <t>TORSBY</t>
        </is>
      </c>
      <c r="G16090" t="n">
        <v>11.8</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35774-2024</t>
        </is>
      </c>
      <c r="B16091" s="1" t="n">
        <v>45532</v>
      </c>
      <c r="C16091" s="1" t="n">
        <v>45810</v>
      </c>
      <c r="D16091" t="inlineStr">
        <is>
          <t>VÄRMLANDS LÄN</t>
        </is>
      </c>
      <c r="E16091" t="inlineStr">
        <is>
          <t>TORSBY</t>
        </is>
      </c>
      <c r="G16091" t="n">
        <v>7.1</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35775-2024</t>
        </is>
      </c>
      <c r="B16092" s="1" t="n">
        <v>45532</v>
      </c>
      <c r="C16092" s="1" t="n">
        <v>45810</v>
      </c>
      <c r="D16092" t="inlineStr">
        <is>
          <t>VÄRMLANDS LÄN</t>
        </is>
      </c>
      <c r="E16092" t="inlineStr">
        <is>
          <t>HAGFORS</t>
        </is>
      </c>
      <c r="G16092" t="n">
        <v>0.4</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35787-2024</t>
        </is>
      </c>
      <c r="B16093" s="1" t="n">
        <v>45532</v>
      </c>
      <c r="C16093" s="1" t="n">
        <v>45810</v>
      </c>
      <c r="D16093" t="inlineStr">
        <is>
          <t>VÄRMLANDS LÄN</t>
        </is>
      </c>
      <c r="E16093" t="inlineStr">
        <is>
          <t>TORSBY</t>
        </is>
      </c>
      <c r="G16093" t="n">
        <v>1.6</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35791-2024</t>
        </is>
      </c>
      <c r="B16094" s="1" t="n">
        <v>45532</v>
      </c>
      <c r="C16094" s="1" t="n">
        <v>45810</v>
      </c>
      <c r="D16094" t="inlineStr">
        <is>
          <t>VÄRMLANDS LÄN</t>
        </is>
      </c>
      <c r="E16094" t="inlineStr">
        <is>
          <t>ARVIKA</t>
        </is>
      </c>
      <c r="G16094" t="n">
        <v>2</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35799-2024</t>
        </is>
      </c>
      <c r="B16095" s="1" t="n">
        <v>45532</v>
      </c>
      <c r="C16095" s="1" t="n">
        <v>45810</v>
      </c>
      <c r="D16095" t="inlineStr">
        <is>
          <t>VÄRMLANDS LÄN</t>
        </is>
      </c>
      <c r="E16095" t="inlineStr">
        <is>
          <t>ARVIKA</t>
        </is>
      </c>
      <c r="G16095" t="n">
        <v>1.3</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35806-2024</t>
        </is>
      </c>
      <c r="B16096" s="1" t="n">
        <v>45532</v>
      </c>
      <c r="C16096" s="1" t="n">
        <v>45810</v>
      </c>
      <c r="D16096" t="inlineStr">
        <is>
          <t>VÄRMLANDS LÄN</t>
        </is>
      </c>
      <c r="E16096" t="inlineStr">
        <is>
          <t>ARVIKA</t>
        </is>
      </c>
      <c r="G16096" t="n">
        <v>1.8</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35769-2024</t>
        </is>
      </c>
      <c r="B16097" s="1" t="n">
        <v>45532</v>
      </c>
      <c r="C16097" s="1" t="n">
        <v>45810</v>
      </c>
      <c r="D16097" t="inlineStr">
        <is>
          <t>VÄRMLANDS LÄN</t>
        </is>
      </c>
      <c r="E16097" t="inlineStr">
        <is>
          <t>TORSBY</t>
        </is>
      </c>
      <c r="G16097" t="n">
        <v>2</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35777-2024</t>
        </is>
      </c>
      <c r="B16098" s="1" t="n">
        <v>45532</v>
      </c>
      <c r="C16098" s="1" t="n">
        <v>45810</v>
      </c>
      <c r="D16098" t="inlineStr">
        <is>
          <t>VÄRMLANDS LÄN</t>
        </is>
      </c>
      <c r="E16098" t="inlineStr">
        <is>
          <t>TORSBY</t>
        </is>
      </c>
      <c r="G16098" t="n">
        <v>1.1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35482-2024</t>
        </is>
      </c>
      <c r="B16099" s="1" t="n">
        <v>45533</v>
      </c>
      <c r="C16099" s="1" t="n">
        <v>45810</v>
      </c>
      <c r="D16099" t="inlineStr">
        <is>
          <t>VÄRMLANDS LÄN</t>
        </is>
      </c>
      <c r="E16099" t="inlineStr">
        <is>
          <t>ÅRJÄNG</t>
        </is>
      </c>
      <c r="G16099" t="n">
        <v>4.5</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35912-2024</t>
        </is>
      </c>
      <c r="B16100" s="1" t="n">
        <v>45533</v>
      </c>
      <c r="C16100" s="1" t="n">
        <v>45810</v>
      </c>
      <c r="D16100" t="inlineStr">
        <is>
          <t>VÄRMLANDS LÄN</t>
        </is>
      </c>
      <c r="E16100" t="inlineStr">
        <is>
          <t>FORSHAGA</t>
        </is>
      </c>
      <c r="G16100" t="n">
        <v>7.1</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35920-2024</t>
        </is>
      </c>
      <c r="B16101" s="1" t="n">
        <v>45533</v>
      </c>
      <c r="C16101" s="1" t="n">
        <v>45810</v>
      </c>
      <c r="D16101" t="inlineStr">
        <is>
          <t>VÄRMLANDS LÄN</t>
        </is>
      </c>
      <c r="E16101" t="inlineStr">
        <is>
          <t>HAGFORS</t>
        </is>
      </c>
      <c r="F16101" t="inlineStr">
        <is>
          <t>Bergvik skog väst AB</t>
        </is>
      </c>
      <c r="G16101" t="n">
        <v>2.5</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35924-2024</t>
        </is>
      </c>
      <c r="B16102" s="1" t="n">
        <v>45533</v>
      </c>
      <c r="C16102" s="1" t="n">
        <v>45810</v>
      </c>
      <c r="D16102" t="inlineStr">
        <is>
          <t>VÄRMLANDS LÄN</t>
        </is>
      </c>
      <c r="E16102" t="inlineStr">
        <is>
          <t>SUNNE</t>
        </is>
      </c>
      <c r="G16102" t="n">
        <v>8.5</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35878-2024</t>
        </is>
      </c>
      <c r="B16103" s="1" t="n">
        <v>45533</v>
      </c>
      <c r="C16103" s="1" t="n">
        <v>45810</v>
      </c>
      <c r="D16103" t="inlineStr">
        <is>
          <t>VÄRMLANDS LÄN</t>
        </is>
      </c>
      <c r="E16103" t="inlineStr">
        <is>
          <t>EDA</t>
        </is>
      </c>
      <c r="G16103" t="n">
        <v>2</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35922-2024</t>
        </is>
      </c>
      <c r="B16104" s="1" t="n">
        <v>45533</v>
      </c>
      <c r="C16104" s="1" t="n">
        <v>45810</v>
      </c>
      <c r="D16104" t="inlineStr">
        <is>
          <t>VÄRMLANDS LÄN</t>
        </is>
      </c>
      <c r="E16104" t="inlineStr">
        <is>
          <t>ARVIKA</t>
        </is>
      </c>
      <c r="G16104" t="n">
        <v>1.4</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35899-2024</t>
        </is>
      </c>
      <c r="B16105" s="1" t="n">
        <v>45533</v>
      </c>
      <c r="C16105" s="1" t="n">
        <v>45810</v>
      </c>
      <c r="D16105" t="inlineStr">
        <is>
          <t>VÄRMLANDS LÄN</t>
        </is>
      </c>
      <c r="E16105" t="inlineStr">
        <is>
          <t>ARVIKA</t>
        </is>
      </c>
      <c r="G16105" t="n">
        <v>0.9</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35994-2024</t>
        </is>
      </c>
      <c r="B16106" s="1" t="n">
        <v>45533</v>
      </c>
      <c r="C16106" s="1" t="n">
        <v>45810</v>
      </c>
      <c r="D16106" t="inlineStr">
        <is>
          <t>VÄRMLANDS LÄN</t>
        </is>
      </c>
      <c r="E16106" t="inlineStr">
        <is>
          <t>HAGFORS</t>
        </is>
      </c>
      <c r="F16106" t="inlineStr">
        <is>
          <t>Bergvik skog väst AB</t>
        </is>
      </c>
      <c r="G16106" t="n">
        <v>2.6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36002-2024</t>
        </is>
      </c>
      <c r="B16107" s="1" t="n">
        <v>45533</v>
      </c>
      <c r="C16107" s="1" t="n">
        <v>45810</v>
      </c>
      <c r="D16107" t="inlineStr">
        <is>
          <t>VÄRMLANDS LÄN</t>
        </is>
      </c>
      <c r="E16107" t="inlineStr">
        <is>
          <t>ARVIKA</t>
        </is>
      </c>
      <c r="F16107" t="inlineStr">
        <is>
          <t>Kommuner</t>
        </is>
      </c>
      <c r="G16107" t="n">
        <v>1.7</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36018-2024</t>
        </is>
      </c>
      <c r="B16108" s="1" t="n">
        <v>45533</v>
      </c>
      <c r="C16108" s="1" t="n">
        <v>45810</v>
      </c>
      <c r="D16108" t="inlineStr">
        <is>
          <t>VÄRMLANDS LÄN</t>
        </is>
      </c>
      <c r="E16108" t="inlineStr">
        <is>
          <t>ÅRJÄNG</t>
        </is>
      </c>
      <c r="G16108" t="n">
        <v>1.3</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36026-2024</t>
        </is>
      </c>
      <c r="B16109" s="1" t="n">
        <v>45533</v>
      </c>
      <c r="C16109" s="1" t="n">
        <v>45810</v>
      </c>
      <c r="D16109" t="inlineStr">
        <is>
          <t>VÄRMLANDS LÄN</t>
        </is>
      </c>
      <c r="E16109" t="inlineStr">
        <is>
          <t>KRISTINEHAMN</t>
        </is>
      </c>
      <c r="G16109" t="n">
        <v>1.7</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35967-2024</t>
        </is>
      </c>
      <c r="B16110" s="1" t="n">
        <v>45533</v>
      </c>
      <c r="C16110" s="1" t="n">
        <v>45810</v>
      </c>
      <c r="D16110" t="inlineStr">
        <is>
          <t>VÄRMLANDS LÄN</t>
        </is>
      </c>
      <c r="E16110" t="inlineStr">
        <is>
          <t>TORSBY</t>
        </is>
      </c>
      <c r="G16110" t="n">
        <v>0.6</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36023-2024</t>
        </is>
      </c>
      <c r="B16111" s="1" t="n">
        <v>45533</v>
      </c>
      <c r="C16111" s="1" t="n">
        <v>45810</v>
      </c>
      <c r="D16111" t="inlineStr">
        <is>
          <t>VÄRMLANDS LÄN</t>
        </is>
      </c>
      <c r="E16111" t="inlineStr">
        <is>
          <t>MUNKFORS</t>
        </is>
      </c>
      <c r="F16111" t="inlineStr">
        <is>
          <t>Bergvik skog väst AB</t>
        </is>
      </c>
      <c r="G16111" t="n">
        <v>1.6</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36035-2024</t>
        </is>
      </c>
      <c r="B16112" s="1" t="n">
        <v>45533</v>
      </c>
      <c r="C16112" s="1" t="n">
        <v>45810</v>
      </c>
      <c r="D16112" t="inlineStr">
        <is>
          <t>VÄRMLANDS LÄN</t>
        </is>
      </c>
      <c r="E16112" t="inlineStr">
        <is>
          <t>ÅRJÄNG</t>
        </is>
      </c>
      <c r="G16112" t="n">
        <v>1.1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35940-2024</t>
        </is>
      </c>
      <c r="B16113" s="1" t="n">
        <v>45533</v>
      </c>
      <c r="C16113" s="1" t="n">
        <v>45810</v>
      </c>
      <c r="D16113" t="inlineStr">
        <is>
          <t>VÄRMLANDS LÄN</t>
        </is>
      </c>
      <c r="E16113" t="inlineStr">
        <is>
          <t>FORSHAGA</t>
        </is>
      </c>
      <c r="G16113" t="n">
        <v>6.7</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35981-2024</t>
        </is>
      </c>
      <c r="B16114" s="1" t="n">
        <v>45533</v>
      </c>
      <c r="C16114" s="1" t="n">
        <v>45810</v>
      </c>
      <c r="D16114" t="inlineStr">
        <is>
          <t>VÄRMLANDS LÄN</t>
        </is>
      </c>
      <c r="E16114" t="inlineStr">
        <is>
          <t>HAGFORS</t>
        </is>
      </c>
      <c r="F16114" t="inlineStr">
        <is>
          <t>Bergvik skog väst AB</t>
        </is>
      </c>
      <c r="G16114" t="n">
        <v>3</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36017-2024</t>
        </is>
      </c>
      <c r="B16115" s="1" t="n">
        <v>45533</v>
      </c>
      <c r="C16115" s="1" t="n">
        <v>45810</v>
      </c>
      <c r="D16115" t="inlineStr">
        <is>
          <t>VÄRMLANDS LÄN</t>
        </is>
      </c>
      <c r="E16115" t="inlineStr">
        <is>
          <t>ÅRJÄNG</t>
        </is>
      </c>
      <c r="G16115" t="n">
        <v>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36025-2024</t>
        </is>
      </c>
      <c r="B16116" s="1" t="n">
        <v>45533</v>
      </c>
      <c r="C16116" s="1" t="n">
        <v>45810</v>
      </c>
      <c r="D16116" t="inlineStr">
        <is>
          <t>VÄRMLANDS LÄN</t>
        </is>
      </c>
      <c r="E16116" t="inlineStr">
        <is>
          <t>ARVIKA</t>
        </is>
      </c>
      <c r="F16116" t="inlineStr">
        <is>
          <t>Bergvik skog väst AB</t>
        </is>
      </c>
      <c r="G16116" t="n">
        <v>2.1</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36057-2024</t>
        </is>
      </c>
      <c r="B16117" s="1" t="n">
        <v>45533</v>
      </c>
      <c r="C16117" s="1" t="n">
        <v>45810</v>
      </c>
      <c r="D16117" t="inlineStr">
        <is>
          <t>VÄRMLANDS LÄN</t>
        </is>
      </c>
      <c r="E16117" t="inlineStr">
        <is>
          <t>TORSBY</t>
        </is>
      </c>
      <c r="G16117" t="n">
        <v>8.300000000000001</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36016-2024</t>
        </is>
      </c>
      <c r="B16118" s="1" t="n">
        <v>45533</v>
      </c>
      <c r="C16118" s="1" t="n">
        <v>45810</v>
      </c>
      <c r="D16118" t="inlineStr">
        <is>
          <t>VÄRMLANDS LÄN</t>
        </is>
      </c>
      <c r="E16118" t="inlineStr">
        <is>
          <t>ÅRJÄNG</t>
        </is>
      </c>
      <c r="G16118" t="n">
        <v>1.4</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36024-2024</t>
        </is>
      </c>
      <c r="B16119" s="1" t="n">
        <v>45533</v>
      </c>
      <c r="C16119" s="1" t="n">
        <v>45810</v>
      </c>
      <c r="D16119" t="inlineStr">
        <is>
          <t>VÄRMLANDS LÄN</t>
        </is>
      </c>
      <c r="E16119" t="inlineStr">
        <is>
          <t>MUNKFORS</t>
        </is>
      </c>
      <c r="F16119" t="inlineStr">
        <is>
          <t>Bergvik skog väst AB</t>
        </is>
      </c>
      <c r="G16119" t="n">
        <v>1.9</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36072-2024</t>
        </is>
      </c>
      <c r="B16120" s="1" t="n">
        <v>45533</v>
      </c>
      <c r="C16120" s="1" t="n">
        <v>45810</v>
      </c>
      <c r="D16120" t="inlineStr">
        <is>
          <t>VÄRMLANDS LÄN</t>
        </is>
      </c>
      <c r="E16120" t="inlineStr">
        <is>
          <t>KARLSTAD</t>
        </is>
      </c>
      <c r="G16120" t="n">
        <v>1.6</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36091-2024</t>
        </is>
      </c>
      <c r="B16121" s="1" t="n">
        <v>45533</v>
      </c>
      <c r="C16121" s="1" t="n">
        <v>45810</v>
      </c>
      <c r="D16121" t="inlineStr">
        <is>
          <t>VÄRMLANDS LÄN</t>
        </is>
      </c>
      <c r="E16121" t="inlineStr">
        <is>
          <t>ARVIKA</t>
        </is>
      </c>
      <c r="G16121" t="n">
        <v>2.4</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36094-2024</t>
        </is>
      </c>
      <c r="B16122" s="1" t="n">
        <v>45533</v>
      </c>
      <c r="C16122" s="1" t="n">
        <v>45810</v>
      </c>
      <c r="D16122" t="inlineStr">
        <is>
          <t>VÄRMLANDS LÄN</t>
        </is>
      </c>
      <c r="E16122" t="inlineStr">
        <is>
          <t>ARVIKA</t>
        </is>
      </c>
      <c r="G16122" t="n">
        <v>1.7</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36153-2024</t>
        </is>
      </c>
      <c r="B16123" s="1" t="n">
        <v>45534</v>
      </c>
      <c r="C16123" s="1" t="n">
        <v>45810</v>
      </c>
      <c r="D16123" t="inlineStr">
        <is>
          <t>VÄRMLANDS LÄN</t>
        </is>
      </c>
      <c r="E16123" t="inlineStr">
        <is>
          <t>TORSBY</t>
        </is>
      </c>
      <c r="G16123" t="n">
        <v>0.9</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36143-2024</t>
        </is>
      </c>
      <c r="B16124" s="1" t="n">
        <v>45534</v>
      </c>
      <c r="C16124" s="1" t="n">
        <v>45810</v>
      </c>
      <c r="D16124" t="inlineStr">
        <is>
          <t>VÄRMLANDS LÄN</t>
        </is>
      </c>
      <c r="E16124" t="inlineStr">
        <is>
          <t>HAGFORS</t>
        </is>
      </c>
      <c r="F16124" t="inlineStr">
        <is>
          <t>Bergvik skog väst AB</t>
        </is>
      </c>
      <c r="G16124" t="n">
        <v>5.3</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36151-2024</t>
        </is>
      </c>
      <c r="B16125" s="1" t="n">
        <v>45534</v>
      </c>
      <c r="C16125" s="1" t="n">
        <v>45810</v>
      </c>
      <c r="D16125" t="inlineStr">
        <is>
          <t>VÄRMLANDS LÄN</t>
        </is>
      </c>
      <c r="E16125" t="inlineStr">
        <is>
          <t>ÅRJÄNG</t>
        </is>
      </c>
      <c r="G16125" t="n">
        <v>1.6</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36175-2024</t>
        </is>
      </c>
      <c r="B16126" s="1" t="n">
        <v>45534</v>
      </c>
      <c r="C16126" s="1" t="n">
        <v>45810</v>
      </c>
      <c r="D16126" t="inlineStr">
        <is>
          <t>VÄRMLANDS LÄN</t>
        </is>
      </c>
      <c r="E16126" t="inlineStr">
        <is>
          <t>TORSBY</t>
        </is>
      </c>
      <c r="G16126" t="n">
        <v>1.1</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36231-2024</t>
        </is>
      </c>
      <c r="B16127" s="1" t="n">
        <v>45534</v>
      </c>
      <c r="C16127" s="1" t="n">
        <v>45810</v>
      </c>
      <c r="D16127" t="inlineStr">
        <is>
          <t>VÄRMLANDS LÄN</t>
        </is>
      </c>
      <c r="E16127" t="inlineStr">
        <is>
          <t>SÄFFLE</t>
        </is>
      </c>
      <c r="G16127" t="n">
        <v>2.4</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36243-2024</t>
        </is>
      </c>
      <c r="B16128" s="1" t="n">
        <v>45534</v>
      </c>
      <c r="C16128" s="1" t="n">
        <v>45810</v>
      </c>
      <c r="D16128" t="inlineStr">
        <is>
          <t>VÄRMLANDS LÄN</t>
        </is>
      </c>
      <c r="E16128" t="inlineStr">
        <is>
          <t>HAGFORS</t>
        </is>
      </c>
      <c r="F16128" t="inlineStr">
        <is>
          <t>Bergvik skog väst AB</t>
        </is>
      </c>
      <c r="G16128" t="n">
        <v>22.1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36251-2024</t>
        </is>
      </c>
      <c r="B16129" s="1" t="n">
        <v>45534</v>
      </c>
      <c r="C16129" s="1" t="n">
        <v>45810</v>
      </c>
      <c r="D16129" t="inlineStr">
        <is>
          <t>VÄRMLANDS LÄN</t>
        </is>
      </c>
      <c r="E16129" t="inlineStr">
        <is>
          <t>ARVIKA</t>
        </is>
      </c>
      <c r="G16129" t="n">
        <v>2.4</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36221-2024</t>
        </is>
      </c>
      <c r="B16130" s="1" t="n">
        <v>45534</v>
      </c>
      <c r="C16130" s="1" t="n">
        <v>45810</v>
      </c>
      <c r="D16130" t="inlineStr">
        <is>
          <t>VÄRMLANDS LÄN</t>
        </is>
      </c>
      <c r="E16130" t="inlineStr">
        <is>
          <t>SUNNE</t>
        </is>
      </c>
      <c r="F16130" t="inlineStr">
        <is>
          <t>Bergvik skog väst AB</t>
        </is>
      </c>
      <c r="G16130" t="n">
        <v>0.9</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36118-2024</t>
        </is>
      </c>
      <c r="B16131" s="1" t="n">
        <v>45534</v>
      </c>
      <c r="C16131" s="1" t="n">
        <v>45810</v>
      </c>
      <c r="D16131" t="inlineStr">
        <is>
          <t>VÄRMLANDS LÄN</t>
        </is>
      </c>
      <c r="E16131" t="inlineStr">
        <is>
          <t>KARLSTAD</t>
        </is>
      </c>
      <c r="G16131" t="n">
        <v>0.5</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36146-2024</t>
        </is>
      </c>
      <c r="B16132" s="1" t="n">
        <v>45534</v>
      </c>
      <c r="C16132" s="1" t="n">
        <v>45810</v>
      </c>
      <c r="D16132" t="inlineStr">
        <is>
          <t>VÄRMLANDS LÄN</t>
        </is>
      </c>
      <c r="E16132" t="inlineStr">
        <is>
          <t>HAGFORS</t>
        </is>
      </c>
      <c r="F16132" t="inlineStr">
        <is>
          <t>Bergvik skog väst AB</t>
        </is>
      </c>
      <c r="G16132" t="n">
        <v>4.7</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36233-2024</t>
        </is>
      </c>
      <c r="B16133" s="1" t="n">
        <v>45534</v>
      </c>
      <c r="C16133" s="1" t="n">
        <v>45810</v>
      </c>
      <c r="D16133" t="inlineStr">
        <is>
          <t>VÄRMLANDS LÄN</t>
        </is>
      </c>
      <c r="E16133" t="inlineStr">
        <is>
          <t>SUNNE</t>
        </is>
      </c>
      <c r="G16133" t="n">
        <v>1</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36282-2024</t>
        </is>
      </c>
      <c r="B16134" s="1" t="n">
        <v>45534</v>
      </c>
      <c r="C16134" s="1" t="n">
        <v>45810</v>
      </c>
      <c r="D16134" t="inlineStr">
        <is>
          <t>VÄRMLANDS LÄN</t>
        </is>
      </c>
      <c r="E16134" t="inlineStr">
        <is>
          <t>ÅRJÄNG</t>
        </is>
      </c>
      <c r="G16134" t="n">
        <v>1.7</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36294-2024</t>
        </is>
      </c>
      <c r="B16135" s="1" t="n">
        <v>45534</v>
      </c>
      <c r="C16135" s="1" t="n">
        <v>45810</v>
      </c>
      <c r="D16135" t="inlineStr">
        <is>
          <t>VÄRMLANDS LÄN</t>
        </is>
      </c>
      <c r="E16135" t="inlineStr">
        <is>
          <t>HAGFORS</t>
        </is>
      </c>
      <c r="F16135" t="inlineStr">
        <is>
          <t>Bergvik skog väst AB</t>
        </is>
      </c>
      <c r="G16135" t="n">
        <v>0.5</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36206-2024</t>
        </is>
      </c>
      <c r="B16136" s="1" t="n">
        <v>45534</v>
      </c>
      <c r="C16136" s="1" t="n">
        <v>45810</v>
      </c>
      <c r="D16136" t="inlineStr">
        <is>
          <t>VÄRMLANDS LÄN</t>
        </is>
      </c>
      <c r="E16136" t="inlineStr">
        <is>
          <t>HAGFORS</t>
        </is>
      </c>
      <c r="F16136" t="inlineStr">
        <is>
          <t>Bergvik skog väst AB</t>
        </is>
      </c>
      <c r="G16136" t="n">
        <v>0.4</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36303-2024</t>
        </is>
      </c>
      <c r="B16137" s="1" t="n">
        <v>45534</v>
      </c>
      <c r="C16137" s="1" t="n">
        <v>45810</v>
      </c>
      <c r="D16137" t="inlineStr">
        <is>
          <t>VÄRMLANDS LÄN</t>
        </is>
      </c>
      <c r="E16137" t="inlineStr">
        <is>
          <t>ARVIKA</t>
        </is>
      </c>
      <c r="G16137" t="n">
        <v>0</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36288-2024</t>
        </is>
      </c>
      <c r="B16138" s="1" t="n">
        <v>45534</v>
      </c>
      <c r="C16138" s="1" t="n">
        <v>45810</v>
      </c>
      <c r="D16138" t="inlineStr">
        <is>
          <t>VÄRMLANDS LÄN</t>
        </is>
      </c>
      <c r="E16138" t="inlineStr">
        <is>
          <t>HAGFORS</t>
        </is>
      </c>
      <c r="F16138" t="inlineStr">
        <is>
          <t>Bergvik skog väst AB</t>
        </is>
      </c>
      <c r="G16138" t="n">
        <v>2.6</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36184-2024</t>
        </is>
      </c>
      <c r="B16139" s="1" t="n">
        <v>45534</v>
      </c>
      <c r="C16139" s="1" t="n">
        <v>45810</v>
      </c>
      <c r="D16139" t="inlineStr">
        <is>
          <t>VÄRMLANDS LÄN</t>
        </is>
      </c>
      <c r="E16139" t="inlineStr">
        <is>
          <t>TORSBY</t>
        </is>
      </c>
      <c r="G16139" t="n">
        <v>2.2</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36200-2024</t>
        </is>
      </c>
      <c r="B16140" s="1" t="n">
        <v>45534</v>
      </c>
      <c r="C16140" s="1" t="n">
        <v>45810</v>
      </c>
      <c r="D16140" t="inlineStr">
        <is>
          <t>VÄRMLANDS LÄN</t>
        </is>
      </c>
      <c r="E16140" t="inlineStr">
        <is>
          <t>SÄFFLE</t>
        </is>
      </c>
      <c r="G16140" t="n">
        <v>5.6</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36208-2024</t>
        </is>
      </c>
      <c r="B16141" s="1" t="n">
        <v>45534</v>
      </c>
      <c r="C16141" s="1" t="n">
        <v>45810</v>
      </c>
      <c r="D16141" t="inlineStr">
        <is>
          <t>VÄRMLANDS LÄN</t>
        </is>
      </c>
      <c r="E16141" t="inlineStr">
        <is>
          <t>SÄFFLE</t>
        </is>
      </c>
      <c r="F16141" t="inlineStr">
        <is>
          <t>Kyrkan</t>
        </is>
      </c>
      <c r="G16141" t="n">
        <v>4.8</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36228-2024</t>
        </is>
      </c>
      <c r="B16142" s="1" t="n">
        <v>45534</v>
      </c>
      <c r="C16142" s="1" t="n">
        <v>45810</v>
      </c>
      <c r="D16142" t="inlineStr">
        <is>
          <t>VÄRMLANDS LÄN</t>
        </is>
      </c>
      <c r="E16142" t="inlineStr">
        <is>
          <t>HAGFORS</t>
        </is>
      </c>
      <c r="G16142" t="n">
        <v>0.8</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36377-2024</t>
        </is>
      </c>
      <c r="B16143" s="1" t="n">
        <v>45534</v>
      </c>
      <c r="C16143" s="1" t="n">
        <v>45810</v>
      </c>
      <c r="D16143" t="inlineStr">
        <is>
          <t>VÄRMLANDS LÄN</t>
        </is>
      </c>
      <c r="E16143" t="inlineStr">
        <is>
          <t>ÅRJÄNG</t>
        </is>
      </c>
      <c r="G16143" t="n">
        <v>1.3</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36418-2024</t>
        </is>
      </c>
      <c r="B16144" s="1" t="n">
        <v>45536</v>
      </c>
      <c r="C16144" s="1" t="n">
        <v>45810</v>
      </c>
      <c r="D16144" t="inlineStr">
        <is>
          <t>VÄRMLANDS LÄN</t>
        </is>
      </c>
      <c r="E16144" t="inlineStr">
        <is>
          <t>ARVIKA</t>
        </is>
      </c>
      <c r="G16144" t="n">
        <v>2.8</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36419-2024</t>
        </is>
      </c>
      <c r="B16145" s="1" t="n">
        <v>45536</v>
      </c>
      <c r="C16145" s="1" t="n">
        <v>45810</v>
      </c>
      <c r="D16145" t="inlineStr">
        <is>
          <t>VÄRMLANDS LÄN</t>
        </is>
      </c>
      <c r="E16145" t="inlineStr">
        <is>
          <t>TORSBY</t>
        </is>
      </c>
      <c r="G16145" t="n">
        <v>8.9</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36514-2024</t>
        </is>
      </c>
      <c r="B16146" s="1" t="n">
        <v>45537</v>
      </c>
      <c r="C16146" s="1" t="n">
        <v>45810</v>
      </c>
      <c r="D16146" t="inlineStr">
        <is>
          <t>VÄRMLANDS LÄN</t>
        </is>
      </c>
      <c r="E16146" t="inlineStr">
        <is>
          <t>ARVIKA</t>
        </is>
      </c>
      <c r="F16146" t="inlineStr">
        <is>
          <t>Bergvik skog väst AB</t>
        </is>
      </c>
      <c r="G16146" t="n">
        <v>2.9</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36558-2024</t>
        </is>
      </c>
      <c r="B16147" s="1" t="n">
        <v>45537</v>
      </c>
      <c r="C16147" s="1" t="n">
        <v>45810</v>
      </c>
      <c r="D16147" t="inlineStr">
        <is>
          <t>VÄRMLANDS LÄN</t>
        </is>
      </c>
      <c r="E16147" t="inlineStr">
        <is>
          <t>TORSBY</t>
        </is>
      </c>
      <c r="G16147" t="n">
        <v>0.4</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36578-2024</t>
        </is>
      </c>
      <c r="B16148" s="1" t="n">
        <v>45537</v>
      </c>
      <c r="C16148" s="1" t="n">
        <v>45810</v>
      </c>
      <c r="D16148" t="inlineStr">
        <is>
          <t>VÄRMLANDS LÄN</t>
        </is>
      </c>
      <c r="E16148" t="inlineStr">
        <is>
          <t>TORSBY</t>
        </is>
      </c>
      <c r="G16148" t="n">
        <v>1.6</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36492-2024</t>
        </is>
      </c>
      <c r="B16149" s="1" t="n">
        <v>45537</v>
      </c>
      <c r="C16149" s="1" t="n">
        <v>45810</v>
      </c>
      <c r="D16149" t="inlineStr">
        <is>
          <t>VÄRMLANDS LÄN</t>
        </is>
      </c>
      <c r="E16149" t="inlineStr">
        <is>
          <t>HAGFORS</t>
        </is>
      </c>
      <c r="G16149" t="n">
        <v>1</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36540-2024</t>
        </is>
      </c>
      <c r="B16150" s="1" t="n">
        <v>45537</v>
      </c>
      <c r="C16150" s="1" t="n">
        <v>45810</v>
      </c>
      <c r="D16150" t="inlineStr">
        <is>
          <t>VÄRMLANDS LÄN</t>
        </is>
      </c>
      <c r="E16150" t="inlineStr">
        <is>
          <t>TORSBY</t>
        </is>
      </c>
      <c r="G16150" t="n">
        <v>1.8</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36485-2024</t>
        </is>
      </c>
      <c r="B16151" s="1" t="n">
        <v>45537</v>
      </c>
      <c r="C16151" s="1" t="n">
        <v>45810</v>
      </c>
      <c r="D16151" t="inlineStr">
        <is>
          <t>VÄRMLANDS LÄN</t>
        </is>
      </c>
      <c r="E16151" t="inlineStr">
        <is>
          <t>HAGFORS</t>
        </is>
      </c>
      <c r="G16151" t="n">
        <v>5.4</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36592-2024</t>
        </is>
      </c>
      <c r="B16152" s="1" t="n">
        <v>45537</v>
      </c>
      <c r="C16152" s="1" t="n">
        <v>45810</v>
      </c>
      <c r="D16152" t="inlineStr">
        <is>
          <t>VÄRMLANDS LÄN</t>
        </is>
      </c>
      <c r="E16152" t="inlineStr">
        <is>
          <t>ÅRJÄNG</t>
        </is>
      </c>
      <c r="G16152" t="n">
        <v>4.4</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36600-2024</t>
        </is>
      </c>
      <c r="B16153" s="1" t="n">
        <v>45537</v>
      </c>
      <c r="C16153" s="1" t="n">
        <v>45810</v>
      </c>
      <c r="D16153" t="inlineStr">
        <is>
          <t>VÄRMLANDS LÄN</t>
        </is>
      </c>
      <c r="E16153" t="inlineStr">
        <is>
          <t>FILIPSTAD</t>
        </is>
      </c>
      <c r="G16153" t="n">
        <v>2.4</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36612-2024</t>
        </is>
      </c>
      <c r="B16154" s="1" t="n">
        <v>45537</v>
      </c>
      <c r="C16154" s="1" t="n">
        <v>45810</v>
      </c>
      <c r="D16154" t="inlineStr">
        <is>
          <t>VÄRMLANDS LÄN</t>
        </is>
      </c>
      <c r="E16154" t="inlineStr">
        <is>
          <t>EDA</t>
        </is>
      </c>
      <c r="G16154" t="n">
        <v>5.6</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36557-2024</t>
        </is>
      </c>
      <c r="B16155" s="1" t="n">
        <v>45537</v>
      </c>
      <c r="C16155" s="1" t="n">
        <v>45810</v>
      </c>
      <c r="D16155" t="inlineStr">
        <is>
          <t>VÄRMLANDS LÄN</t>
        </is>
      </c>
      <c r="E16155" t="inlineStr">
        <is>
          <t>SÄFFLE</t>
        </is>
      </c>
      <c r="F16155" t="inlineStr">
        <is>
          <t>Kyrkan</t>
        </is>
      </c>
      <c r="G16155" t="n">
        <v>11.7</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36445-2024</t>
        </is>
      </c>
      <c r="B16156" s="1" t="n">
        <v>45537</v>
      </c>
      <c r="C16156" s="1" t="n">
        <v>45810</v>
      </c>
      <c r="D16156" t="inlineStr">
        <is>
          <t>VÄRMLANDS LÄN</t>
        </is>
      </c>
      <c r="E16156" t="inlineStr">
        <is>
          <t>TORSBY</t>
        </is>
      </c>
      <c r="F16156" t="inlineStr">
        <is>
          <t>Bergvik skog väst AB</t>
        </is>
      </c>
      <c r="G16156" t="n">
        <v>78.3</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36479-2024</t>
        </is>
      </c>
      <c r="B16157" s="1" t="n">
        <v>45537</v>
      </c>
      <c r="C16157" s="1" t="n">
        <v>45810</v>
      </c>
      <c r="D16157" t="inlineStr">
        <is>
          <t>VÄRMLANDS LÄN</t>
        </is>
      </c>
      <c r="E16157" t="inlineStr">
        <is>
          <t>ARVIKA</t>
        </is>
      </c>
      <c r="G16157" t="n">
        <v>1.7</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36543-2024</t>
        </is>
      </c>
      <c r="B16158" s="1" t="n">
        <v>45537</v>
      </c>
      <c r="C16158" s="1" t="n">
        <v>45810</v>
      </c>
      <c r="D16158" t="inlineStr">
        <is>
          <t>VÄRMLANDS LÄN</t>
        </is>
      </c>
      <c r="E16158" t="inlineStr">
        <is>
          <t>KRISTINEHAMN</t>
        </is>
      </c>
      <c r="F16158" t="inlineStr">
        <is>
          <t>Bergvik skog väst AB</t>
        </is>
      </c>
      <c r="G16158" t="n">
        <v>0.5</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36563-2024</t>
        </is>
      </c>
      <c r="B16159" s="1" t="n">
        <v>45537</v>
      </c>
      <c r="C16159" s="1" t="n">
        <v>45810</v>
      </c>
      <c r="D16159" t="inlineStr">
        <is>
          <t>VÄRMLANDS LÄN</t>
        </is>
      </c>
      <c r="E16159" t="inlineStr">
        <is>
          <t>ÅRJÄNG</t>
        </is>
      </c>
      <c r="G16159" t="n">
        <v>1.1</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36587-2024</t>
        </is>
      </c>
      <c r="B16160" s="1" t="n">
        <v>45537</v>
      </c>
      <c r="C16160" s="1" t="n">
        <v>45810</v>
      </c>
      <c r="D16160" t="inlineStr">
        <is>
          <t>VÄRMLANDS LÄN</t>
        </is>
      </c>
      <c r="E16160" t="inlineStr">
        <is>
          <t>ÅRJÄNG</t>
        </is>
      </c>
      <c r="G16160" t="n">
        <v>2.6</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36599-2024</t>
        </is>
      </c>
      <c r="B16161" s="1" t="n">
        <v>45537</v>
      </c>
      <c r="C16161" s="1" t="n">
        <v>45810</v>
      </c>
      <c r="D16161" t="inlineStr">
        <is>
          <t>VÄRMLANDS LÄN</t>
        </is>
      </c>
      <c r="E16161" t="inlineStr">
        <is>
          <t>SUNNE</t>
        </is>
      </c>
      <c r="G16161" t="n">
        <v>1.1</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36708-2024</t>
        </is>
      </c>
      <c r="B16162" s="1" t="n">
        <v>45537</v>
      </c>
      <c r="C16162" s="1" t="n">
        <v>45810</v>
      </c>
      <c r="D16162" t="inlineStr">
        <is>
          <t>VÄRMLANDS LÄN</t>
        </is>
      </c>
      <c r="E16162" t="inlineStr">
        <is>
          <t>KRISTINEHAMN</t>
        </is>
      </c>
      <c r="G16162" t="n">
        <v>4.9</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36732-2024</t>
        </is>
      </c>
      <c r="B16163" s="1" t="n">
        <v>45537</v>
      </c>
      <c r="C16163" s="1" t="n">
        <v>45810</v>
      </c>
      <c r="D16163" t="inlineStr">
        <is>
          <t>VÄRMLANDS LÄN</t>
        </is>
      </c>
      <c r="E16163" t="inlineStr">
        <is>
          <t>FILIPSTAD</t>
        </is>
      </c>
      <c r="F16163" t="inlineStr">
        <is>
          <t>Bergvik skog väst AB</t>
        </is>
      </c>
      <c r="G16163" t="n">
        <v>2.2</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36717-2024</t>
        </is>
      </c>
      <c r="B16164" s="1" t="n">
        <v>45537</v>
      </c>
      <c r="C16164" s="1" t="n">
        <v>45810</v>
      </c>
      <c r="D16164" t="inlineStr">
        <is>
          <t>VÄRMLANDS LÄN</t>
        </is>
      </c>
      <c r="E16164" t="inlineStr">
        <is>
          <t>SUNNE</t>
        </is>
      </c>
      <c r="G16164" t="n">
        <v>3.7</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36721-2024</t>
        </is>
      </c>
      <c r="B16165" s="1" t="n">
        <v>45537</v>
      </c>
      <c r="C16165" s="1" t="n">
        <v>45810</v>
      </c>
      <c r="D16165" t="inlineStr">
        <is>
          <t>VÄRMLANDS LÄN</t>
        </is>
      </c>
      <c r="E16165" t="inlineStr">
        <is>
          <t>SÄFFLE</t>
        </is>
      </c>
      <c r="G16165" t="n">
        <v>1.3</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36733-2024</t>
        </is>
      </c>
      <c r="B16166" s="1" t="n">
        <v>45538</v>
      </c>
      <c r="C16166" s="1" t="n">
        <v>45810</v>
      </c>
      <c r="D16166" t="inlineStr">
        <is>
          <t>VÄRMLANDS LÄN</t>
        </is>
      </c>
      <c r="E16166" t="inlineStr">
        <is>
          <t>SÄFFLE</t>
        </is>
      </c>
      <c r="G16166" t="n">
        <v>2.5</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36706-2024</t>
        </is>
      </c>
      <c r="B16167" s="1" t="n">
        <v>45537</v>
      </c>
      <c r="C16167" s="1" t="n">
        <v>45810</v>
      </c>
      <c r="D16167" t="inlineStr">
        <is>
          <t>VÄRMLANDS LÄN</t>
        </is>
      </c>
      <c r="E16167" t="inlineStr">
        <is>
          <t>ÅRJÄNG</t>
        </is>
      </c>
      <c r="G16167" t="n">
        <v>5.3</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36718-2024</t>
        </is>
      </c>
      <c r="B16168" s="1" t="n">
        <v>45537</v>
      </c>
      <c r="C16168" s="1" t="n">
        <v>45810</v>
      </c>
      <c r="D16168" t="inlineStr">
        <is>
          <t>VÄRMLANDS LÄN</t>
        </is>
      </c>
      <c r="E16168" t="inlineStr">
        <is>
          <t>TORSBY</t>
        </is>
      </c>
      <c r="G16168" t="n">
        <v>3.7</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36722-2024</t>
        </is>
      </c>
      <c r="B16169" s="1" t="n">
        <v>45537</v>
      </c>
      <c r="C16169" s="1" t="n">
        <v>45810</v>
      </c>
      <c r="D16169" t="inlineStr">
        <is>
          <t>VÄRMLANDS LÄN</t>
        </is>
      </c>
      <c r="E16169" t="inlineStr">
        <is>
          <t>SÄFFLE</t>
        </is>
      </c>
      <c r="G16169" t="n">
        <v>2.4</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36734-2024</t>
        </is>
      </c>
      <c r="B16170" s="1" t="n">
        <v>45538</v>
      </c>
      <c r="C16170" s="1" t="n">
        <v>45810</v>
      </c>
      <c r="D16170" t="inlineStr">
        <is>
          <t>VÄRMLANDS LÄN</t>
        </is>
      </c>
      <c r="E16170" t="inlineStr">
        <is>
          <t>SÄFFLE</t>
        </is>
      </c>
      <c r="G16170" t="n">
        <v>4.2</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36699-2024</t>
        </is>
      </c>
      <c r="B16171" s="1" t="n">
        <v>45537</v>
      </c>
      <c r="C16171" s="1" t="n">
        <v>45810</v>
      </c>
      <c r="D16171" t="inlineStr">
        <is>
          <t>VÄRMLANDS LÄN</t>
        </is>
      </c>
      <c r="E16171" t="inlineStr">
        <is>
          <t>SUNNE</t>
        </is>
      </c>
      <c r="G16171" t="n">
        <v>1</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36765-2024</t>
        </is>
      </c>
      <c r="B16172" s="1" t="n">
        <v>45538</v>
      </c>
      <c r="C16172" s="1" t="n">
        <v>45810</v>
      </c>
      <c r="D16172" t="inlineStr">
        <is>
          <t>VÄRMLANDS LÄN</t>
        </is>
      </c>
      <c r="E16172" t="inlineStr">
        <is>
          <t>TORSBY</t>
        </is>
      </c>
      <c r="F16172" t="inlineStr">
        <is>
          <t>Bergvik skog väst AB</t>
        </is>
      </c>
      <c r="G16172" t="n">
        <v>11.8</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36746-2024</t>
        </is>
      </c>
      <c r="B16173" s="1" t="n">
        <v>45538</v>
      </c>
      <c r="C16173" s="1" t="n">
        <v>45810</v>
      </c>
      <c r="D16173" t="inlineStr">
        <is>
          <t>VÄRMLANDS LÄN</t>
        </is>
      </c>
      <c r="E16173" t="inlineStr">
        <is>
          <t>SÄFFLE</t>
        </is>
      </c>
      <c r="G16173" t="n">
        <v>5.1</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36758-2024</t>
        </is>
      </c>
      <c r="B16174" s="1" t="n">
        <v>45538</v>
      </c>
      <c r="C16174" s="1" t="n">
        <v>45810</v>
      </c>
      <c r="D16174" t="inlineStr">
        <is>
          <t>VÄRMLANDS LÄN</t>
        </is>
      </c>
      <c r="E16174" t="inlineStr">
        <is>
          <t>TORSBY</t>
        </is>
      </c>
      <c r="F16174" t="inlineStr">
        <is>
          <t>Kyrkan</t>
        </is>
      </c>
      <c r="G16174" t="n">
        <v>4.7</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36782-2024</t>
        </is>
      </c>
      <c r="B16175" s="1" t="n">
        <v>45538</v>
      </c>
      <c r="C16175" s="1" t="n">
        <v>45810</v>
      </c>
      <c r="D16175" t="inlineStr">
        <is>
          <t>VÄRMLANDS LÄN</t>
        </is>
      </c>
      <c r="E16175" t="inlineStr">
        <is>
          <t>TORSBY</t>
        </is>
      </c>
      <c r="G16175" t="n">
        <v>4.6</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36790-2024</t>
        </is>
      </c>
      <c r="B16176" s="1" t="n">
        <v>45538</v>
      </c>
      <c r="C16176" s="1" t="n">
        <v>45810</v>
      </c>
      <c r="D16176" t="inlineStr">
        <is>
          <t>VÄRMLANDS LÄN</t>
        </is>
      </c>
      <c r="E16176" t="inlineStr">
        <is>
          <t>TORSBY</t>
        </is>
      </c>
      <c r="G16176" t="n">
        <v>0.7</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36795-2024</t>
        </is>
      </c>
      <c r="B16177" s="1" t="n">
        <v>45538</v>
      </c>
      <c r="C16177" s="1" t="n">
        <v>45810</v>
      </c>
      <c r="D16177" t="inlineStr">
        <is>
          <t>VÄRMLANDS LÄN</t>
        </is>
      </c>
      <c r="E16177" t="inlineStr">
        <is>
          <t>KIL</t>
        </is>
      </c>
      <c r="G16177" t="n">
        <v>9.300000000000001</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36759-2024</t>
        </is>
      </c>
      <c r="B16178" s="1" t="n">
        <v>45538</v>
      </c>
      <c r="C16178" s="1" t="n">
        <v>45810</v>
      </c>
      <c r="D16178" t="inlineStr">
        <is>
          <t>VÄRMLANDS LÄN</t>
        </is>
      </c>
      <c r="E16178" t="inlineStr">
        <is>
          <t>SÄFFLE</t>
        </is>
      </c>
      <c r="G16178" t="n">
        <v>1.4</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36775-2024</t>
        </is>
      </c>
      <c r="B16179" s="1" t="n">
        <v>45538</v>
      </c>
      <c r="C16179" s="1" t="n">
        <v>45810</v>
      </c>
      <c r="D16179" t="inlineStr">
        <is>
          <t>VÄRMLANDS LÄN</t>
        </is>
      </c>
      <c r="E16179" t="inlineStr">
        <is>
          <t>TORSBY</t>
        </is>
      </c>
      <c r="F16179" t="inlineStr">
        <is>
          <t>Kyrkan</t>
        </is>
      </c>
      <c r="G16179" t="n">
        <v>2.6</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36822-2024</t>
        </is>
      </c>
      <c r="B16180" s="1" t="n">
        <v>45538</v>
      </c>
      <c r="C16180" s="1" t="n">
        <v>45810</v>
      </c>
      <c r="D16180" t="inlineStr">
        <is>
          <t>VÄRMLANDS LÄN</t>
        </is>
      </c>
      <c r="E16180" t="inlineStr">
        <is>
          <t>SÄFFLE</t>
        </is>
      </c>
      <c r="G16180" t="n">
        <v>9.4</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36831-2024</t>
        </is>
      </c>
      <c r="B16181" s="1" t="n">
        <v>45538</v>
      </c>
      <c r="C16181" s="1" t="n">
        <v>45810</v>
      </c>
      <c r="D16181" t="inlineStr">
        <is>
          <t>VÄRMLANDS LÄN</t>
        </is>
      </c>
      <c r="E16181" t="inlineStr">
        <is>
          <t>SÄFFLE</t>
        </is>
      </c>
      <c r="G16181" t="n">
        <v>5.4</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36851-2024</t>
        </is>
      </c>
      <c r="B16182" s="1" t="n">
        <v>45538</v>
      </c>
      <c r="C16182" s="1" t="n">
        <v>45810</v>
      </c>
      <c r="D16182" t="inlineStr">
        <is>
          <t>VÄRMLANDS LÄN</t>
        </is>
      </c>
      <c r="E16182" t="inlineStr">
        <is>
          <t>SUNNE</t>
        </is>
      </c>
      <c r="G16182" t="n">
        <v>0.5</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36850-2024</t>
        </is>
      </c>
      <c r="B16183" s="1" t="n">
        <v>45538</v>
      </c>
      <c r="C16183" s="1" t="n">
        <v>45810</v>
      </c>
      <c r="D16183" t="inlineStr">
        <is>
          <t>VÄRMLANDS LÄN</t>
        </is>
      </c>
      <c r="E16183" t="inlineStr">
        <is>
          <t>TORSBY</t>
        </is>
      </c>
      <c r="G16183" t="n">
        <v>2</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36879-2024</t>
        </is>
      </c>
      <c r="B16184" s="1" t="n">
        <v>45538</v>
      </c>
      <c r="C16184" s="1" t="n">
        <v>45810</v>
      </c>
      <c r="D16184" t="inlineStr">
        <is>
          <t>VÄRMLANDS LÄN</t>
        </is>
      </c>
      <c r="E16184" t="inlineStr">
        <is>
          <t>TORSBY</t>
        </is>
      </c>
      <c r="G16184" t="n">
        <v>3.2</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36922-2024</t>
        </is>
      </c>
      <c r="B16185" s="1" t="n">
        <v>45538</v>
      </c>
      <c r="C16185" s="1" t="n">
        <v>45810</v>
      </c>
      <c r="D16185" t="inlineStr">
        <is>
          <t>VÄRMLANDS LÄN</t>
        </is>
      </c>
      <c r="E16185" t="inlineStr">
        <is>
          <t>TORSBY</t>
        </is>
      </c>
      <c r="G16185" t="n">
        <v>2</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36926-2024</t>
        </is>
      </c>
      <c r="B16186" s="1" t="n">
        <v>45538</v>
      </c>
      <c r="C16186" s="1" t="n">
        <v>45810</v>
      </c>
      <c r="D16186" t="inlineStr">
        <is>
          <t>VÄRMLANDS LÄN</t>
        </is>
      </c>
      <c r="E16186" t="inlineStr">
        <is>
          <t>SUNNE</t>
        </is>
      </c>
      <c r="G16186" t="n">
        <v>0.9</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36939-2024</t>
        </is>
      </c>
      <c r="B16187" s="1" t="n">
        <v>45538</v>
      </c>
      <c r="C16187" s="1" t="n">
        <v>45810</v>
      </c>
      <c r="D16187" t="inlineStr">
        <is>
          <t>VÄRMLANDS LÄN</t>
        </is>
      </c>
      <c r="E16187" t="inlineStr">
        <is>
          <t>TORSBY</t>
        </is>
      </c>
      <c r="G16187" t="n">
        <v>4.3</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36917-2024</t>
        </is>
      </c>
      <c r="B16188" s="1" t="n">
        <v>45538</v>
      </c>
      <c r="C16188" s="1" t="n">
        <v>45810</v>
      </c>
      <c r="D16188" t="inlineStr">
        <is>
          <t>VÄRMLANDS LÄN</t>
        </is>
      </c>
      <c r="E16188" t="inlineStr">
        <is>
          <t>TORSBY</t>
        </is>
      </c>
      <c r="G16188" t="n">
        <v>2.9</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36964-2024</t>
        </is>
      </c>
      <c r="B16189" s="1" t="n">
        <v>45538</v>
      </c>
      <c r="C16189" s="1" t="n">
        <v>45810</v>
      </c>
      <c r="D16189" t="inlineStr">
        <is>
          <t>VÄRMLANDS LÄN</t>
        </is>
      </c>
      <c r="E16189" t="inlineStr">
        <is>
          <t>TORSBY</t>
        </is>
      </c>
      <c r="G16189" t="n">
        <v>1.7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36903-2024</t>
        </is>
      </c>
      <c r="B16190" s="1" t="n">
        <v>45538</v>
      </c>
      <c r="C16190" s="1" t="n">
        <v>45810</v>
      </c>
      <c r="D16190" t="inlineStr">
        <is>
          <t>VÄRMLANDS LÄN</t>
        </is>
      </c>
      <c r="E16190" t="inlineStr">
        <is>
          <t>ARVIKA</t>
        </is>
      </c>
      <c r="G16190" t="n">
        <v>1.8</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36904-2024</t>
        </is>
      </c>
      <c r="B16191" s="1" t="n">
        <v>45538</v>
      </c>
      <c r="C16191" s="1" t="n">
        <v>45810</v>
      </c>
      <c r="D16191" t="inlineStr">
        <is>
          <t>VÄRMLANDS LÄN</t>
        </is>
      </c>
      <c r="E16191" t="inlineStr">
        <is>
          <t>SÄFFLE</t>
        </is>
      </c>
      <c r="G16191" t="n">
        <v>2.6</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36971-2024</t>
        </is>
      </c>
      <c r="B16192" s="1" t="n">
        <v>45538</v>
      </c>
      <c r="C16192" s="1" t="n">
        <v>45810</v>
      </c>
      <c r="D16192" t="inlineStr">
        <is>
          <t>VÄRMLANDS LÄN</t>
        </is>
      </c>
      <c r="E16192" t="inlineStr">
        <is>
          <t>KIL</t>
        </is>
      </c>
      <c r="G16192" t="n">
        <v>17.9</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37144-2024</t>
        </is>
      </c>
      <c r="B16193" s="1" t="n">
        <v>45538</v>
      </c>
      <c r="C16193" s="1" t="n">
        <v>45810</v>
      </c>
      <c r="D16193" t="inlineStr">
        <is>
          <t>VÄRMLANDS LÄN</t>
        </is>
      </c>
      <c r="E16193" t="inlineStr">
        <is>
          <t>ARVIKA</t>
        </is>
      </c>
      <c r="G16193" t="n">
        <v>1.1</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37119-2024</t>
        </is>
      </c>
      <c r="B16194" s="1" t="n">
        <v>45539</v>
      </c>
      <c r="C16194" s="1" t="n">
        <v>45810</v>
      </c>
      <c r="D16194" t="inlineStr">
        <is>
          <t>VÄRMLANDS LÄN</t>
        </is>
      </c>
      <c r="E16194" t="inlineStr">
        <is>
          <t>GRUMS</t>
        </is>
      </c>
      <c r="G16194" t="n">
        <v>6.7</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37060-2024</t>
        </is>
      </c>
      <c r="B16195" s="1" t="n">
        <v>45539</v>
      </c>
      <c r="C16195" s="1" t="n">
        <v>45810</v>
      </c>
      <c r="D16195" t="inlineStr">
        <is>
          <t>VÄRMLANDS LÄN</t>
        </is>
      </c>
      <c r="E16195" t="inlineStr">
        <is>
          <t>SUNNE</t>
        </is>
      </c>
      <c r="F16195" t="inlineStr">
        <is>
          <t>Bergvik skog väst AB</t>
        </is>
      </c>
      <c r="G16195" t="n">
        <v>15.2</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37104-2024</t>
        </is>
      </c>
      <c r="B16196" s="1" t="n">
        <v>45539</v>
      </c>
      <c r="C16196" s="1" t="n">
        <v>45810</v>
      </c>
      <c r="D16196" t="inlineStr">
        <is>
          <t>VÄRMLANDS LÄN</t>
        </is>
      </c>
      <c r="E16196" t="inlineStr">
        <is>
          <t>FILIPSTAD</t>
        </is>
      </c>
      <c r="F16196" t="inlineStr">
        <is>
          <t>Bergvik skog väst AB</t>
        </is>
      </c>
      <c r="G16196" t="n">
        <v>1.3</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37029-2024</t>
        </is>
      </c>
      <c r="B16197" s="1" t="n">
        <v>45539</v>
      </c>
      <c r="C16197" s="1" t="n">
        <v>45810</v>
      </c>
      <c r="D16197" t="inlineStr">
        <is>
          <t>VÄRMLANDS LÄN</t>
        </is>
      </c>
      <c r="E16197" t="inlineStr">
        <is>
          <t>ÅRJÄNG</t>
        </is>
      </c>
      <c r="G16197" t="n">
        <v>4.7</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37078-2024</t>
        </is>
      </c>
      <c r="B16198" s="1" t="n">
        <v>45539</v>
      </c>
      <c r="C16198" s="1" t="n">
        <v>45810</v>
      </c>
      <c r="D16198" t="inlineStr">
        <is>
          <t>VÄRMLANDS LÄN</t>
        </is>
      </c>
      <c r="E16198" t="inlineStr">
        <is>
          <t>FILIPSTAD</t>
        </is>
      </c>
      <c r="F16198" t="inlineStr">
        <is>
          <t>Bergvik skog väst AB</t>
        </is>
      </c>
      <c r="G16198" t="n">
        <v>2.5</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37102-2024</t>
        </is>
      </c>
      <c r="B16199" s="1" t="n">
        <v>45539</v>
      </c>
      <c r="C16199" s="1" t="n">
        <v>45810</v>
      </c>
      <c r="D16199" t="inlineStr">
        <is>
          <t>VÄRMLANDS LÄN</t>
        </is>
      </c>
      <c r="E16199" t="inlineStr">
        <is>
          <t>KARLSTAD</t>
        </is>
      </c>
      <c r="F16199" t="inlineStr">
        <is>
          <t>Bergvik skog väst AB</t>
        </is>
      </c>
      <c r="G16199" t="n">
        <v>2.4</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37118-2024</t>
        </is>
      </c>
      <c r="B16200" s="1" t="n">
        <v>45539</v>
      </c>
      <c r="C16200" s="1" t="n">
        <v>45810</v>
      </c>
      <c r="D16200" t="inlineStr">
        <is>
          <t>VÄRMLANDS LÄN</t>
        </is>
      </c>
      <c r="E16200" t="inlineStr">
        <is>
          <t>GRUMS</t>
        </is>
      </c>
      <c r="G16200" t="n">
        <v>1.6</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37138-2024</t>
        </is>
      </c>
      <c r="B16201" s="1" t="n">
        <v>45539</v>
      </c>
      <c r="C16201" s="1" t="n">
        <v>45810</v>
      </c>
      <c r="D16201" t="inlineStr">
        <is>
          <t>VÄRMLANDS LÄN</t>
        </is>
      </c>
      <c r="E16201" t="inlineStr">
        <is>
          <t>HAGFORS</t>
        </is>
      </c>
      <c r="F16201" t="inlineStr">
        <is>
          <t>Bergvik skog väst AB</t>
        </is>
      </c>
      <c r="G16201" t="n">
        <v>45</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37040-2024</t>
        </is>
      </c>
      <c r="B16202" s="1" t="n">
        <v>45539</v>
      </c>
      <c r="C16202" s="1" t="n">
        <v>45810</v>
      </c>
      <c r="D16202" t="inlineStr">
        <is>
          <t>VÄRMLANDS LÄN</t>
        </is>
      </c>
      <c r="E16202" t="inlineStr">
        <is>
          <t>MUNKFORS</t>
        </is>
      </c>
      <c r="G16202" t="n">
        <v>2.3</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37109-2024</t>
        </is>
      </c>
      <c r="B16203" s="1" t="n">
        <v>45539</v>
      </c>
      <c r="C16203" s="1" t="n">
        <v>45810</v>
      </c>
      <c r="D16203" t="inlineStr">
        <is>
          <t>VÄRMLANDS LÄN</t>
        </is>
      </c>
      <c r="E16203" t="inlineStr">
        <is>
          <t>ARVIKA</t>
        </is>
      </c>
      <c r="G16203" t="n">
        <v>1</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37121-2024</t>
        </is>
      </c>
      <c r="B16204" s="1" t="n">
        <v>45539</v>
      </c>
      <c r="C16204" s="1" t="n">
        <v>45810</v>
      </c>
      <c r="D16204" t="inlineStr">
        <is>
          <t>VÄRMLANDS LÄN</t>
        </is>
      </c>
      <c r="E16204" t="inlineStr">
        <is>
          <t>ARVIKA</t>
        </is>
      </c>
      <c r="G16204" t="n">
        <v>4.3</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37191-2024</t>
        </is>
      </c>
      <c r="B16205" s="1" t="n">
        <v>45539</v>
      </c>
      <c r="C16205" s="1" t="n">
        <v>45810</v>
      </c>
      <c r="D16205" t="inlineStr">
        <is>
          <t>VÄRMLANDS LÄN</t>
        </is>
      </c>
      <c r="E16205" t="inlineStr">
        <is>
          <t>KRISTINEHAMN</t>
        </is>
      </c>
      <c r="G16205" t="n">
        <v>1.2</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37164-2024</t>
        </is>
      </c>
      <c r="B16206" s="1" t="n">
        <v>45539</v>
      </c>
      <c r="C16206" s="1" t="n">
        <v>45810</v>
      </c>
      <c r="D16206" t="inlineStr">
        <is>
          <t>VÄRMLANDS LÄN</t>
        </is>
      </c>
      <c r="E16206" t="inlineStr">
        <is>
          <t>HAGFORS</t>
        </is>
      </c>
      <c r="F16206" t="inlineStr">
        <is>
          <t>Bergvik skog väst AB</t>
        </is>
      </c>
      <c r="G16206" t="n">
        <v>15</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37189-2024</t>
        </is>
      </c>
      <c r="B16207" s="1" t="n">
        <v>45539</v>
      </c>
      <c r="C16207" s="1" t="n">
        <v>45810</v>
      </c>
      <c r="D16207" t="inlineStr">
        <is>
          <t>VÄRMLANDS LÄN</t>
        </is>
      </c>
      <c r="E16207" t="inlineStr">
        <is>
          <t>HAGFORS</t>
        </is>
      </c>
      <c r="G16207" t="n">
        <v>8.300000000000001</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37213-2024</t>
        </is>
      </c>
      <c r="B16208" s="1" t="n">
        <v>45539</v>
      </c>
      <c r="C16208" s="1" t="n">
        <v>45810</v>
      </c>
      <c r="D16208" t="inlineStr">
        <is>
          <t>VÄRMLANDS LÄN</t>
        </is>
      </c>
      <c r="E16208" t="inlineStr">
        <is>
          <t>ARVIKA</t>
        </is>
      </c>
      <c r="G16208" t="n">
        <v>1.7</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37220-2024</t>
        </is>
      </c>
      <c r="B16209" s="1" t="n">
        <v>45539</v>
      </c>
      <c r="C16209" s="1" t="n">
        <v>45810</v>
      </c>
      <c r="D16209" t="inlineStr">
        <is>
          <t>VÄRMLANDS LÄN</t>
        </is>
      </c>
      <c r="E16209" t="inlineStr">
        <is>
          <t>ÅRJÄNG</t>
        </is>
      </c>
      <c r="G16209" t="n">
        <v>3.5</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37153-2024</t>
        </is>
      </c>
      <c r="B16210" s="1" t="n">
        <v>45539</v>
      </c>
      <c r="C16210" s="1" t="n">
        <v>45810</v>
      </c>
      <c r="D16210" t="inlineStr">
        <is>
          <t>VÄRMLANDS LÄN</t>
        </is>
      </c>
      <c r="E16210" t="inlineStr">
        <is>
          <t>TORSBY</t>
        </is>
      </c>
      <c r="G16210" t="n">
        <v>3.2</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37227-2024</t>
        </is>
      </c>
      <c r="B16211" s="1" t="n">
        <v>45539</v>
      </c>
      <c r="C16211" s="1" t="n">
        <v>45810</v>
      </c>
      <c r="D16211" t="inlineStr">
        <is>
          <t>VÄRMLANDS LÄN</t>
        </is>
      </c>
      <c r="E16211" t="inlineStr">
        <is>
          <t>ARVIKA</t>
        </is>
      </c>
      <c r="G16211" t="n">
        <v>0.9</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37159-2024</t>
        </is>
      </c>
      <c r="B16212" s="1" t="n">
        <v>45539</v>
      </c>
      <c r="C16212" s="1" t="n">
        <v>45810</v>
      </c>
      <c r="D16212" t="inlineStr">
        <is>
          <t>VÄRMLANDS LÄN</t>
        </is>
      </c>
      <c r="E16212" t="inlineStr">
        <is>
          <t>EDA</t>
        </is>
      </c>
      <c r="G16212" t="n">
        <v>2.4</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36997-2024</t>
        </is>
      </c>
      <c r="B16213" s="1" t="n">
        <v>45539</v>
      </c>
      <c r="C16213" s="1" t="n">
        <v>45810</v>
      </c>
      <c r="D16213" t="inlineStr">
        <is>
          <t>VÄRMLANDS LÄN</t>
        </is>
      </c>
      <c r="E16213" t="inlineStr">
        <is>
          <t>ÅRJÄNG</t>
        </is>
      </c>
      <c r="G16213" t="n">
        <v>1.6</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37229-2024</t>
        </is>
      </c>
      <c r="B16214" s="1" t="n">
        <v>45539</v>
      </c>
      <c r="C16214" s="1" t="n">
        <v>45810</v>
      </c>
      <c r="D16214" t="inlineStr">
        <is>
          <t>VÄRMLANDS LÄN</t>
        </is>
      </c>
      <c r="E16214" t="inlineStr">
        <is>
          <t>ARVIKA</t>
        </is>
      </c>
      <c r="G16214" t="n">
        <v>6.2</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37079-2024</t>
        </is>
      </c>
      <c r="B16215" s="1" t="n">
        <v>45539</v>
      </c>
      <c r="C16215" s="1" t="n">
        <v>45810</v>
      </c>
      <c r="D16215" t="inlineStr">
        <is>
          <t>VÄRMLANDS LÄN</t>
        </is>
      </c>
      <c r="E16215" t="inlineStr">
        <is>
          <t>FILIPSTAD</t>
        </is>
      </c>
      <c r="F16215" t="inlineStr">
        <is>
          <t>Bergvik skog väst AB</t>
        </is>
      </c>
      <c r="G16215" t="n">
        <v>0.5</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37051-2024</t>
        </is>
      </c>
      <c r="B16216" s="1" t="n">
        <v>45539</v>
      </c>
      <c r="C16216" s="1" t="n">
        <v>45810</v>
      </c>
      <c r="D16216" t="inlineStr">
        <is>
          <t>VÄRMLANDS LÄN</t>
        </is>
      </c>
      <c r="E16216" t="inlineStr">
        <is>
          <t>SUNNE</t>
        </is>
      </c>
      <c r="F16216" t="inlineStr">
        <is>
          <t>Bergvik skog väst AB</t>
        </is>
      </c>
      <c r="G16216" t="n">
        <v>5</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37026-2024</t>
        </is>
      </c>
      <c r="B16217" s="1" t="n">
        <v>45539</v>
      </c>
      <c r="C16217" s="1" t="n">
        <v>45810</v>
      </c>
      <c r="D16217" t="inlineStr">
        <is>
          <t>VÄRMLANDS LÄN</t>
        </is>
      </c>
      <c r="E16217" t="inlineStr">
        <is>
          <t>ÅRJÄNG</t>
        </is>
      </c>
      <c r="G16217" t="n">
        <v>1.9</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37222-2024</t>
        </is>
      </c>
      <c r="B16218" s="1" t="n">
        <v>45539</v>
      </c>
      <c r="C16218" s="1" t="n">
        <v>45810</v>
      </c>
      <c r="D16218" t="inlineStr">
        <is>
          <t>VÄRMLANDS LÄN</t>
        </is>
      </c>
      <c r="E16218" t="inlineStr">
        <is>
          <t>ÅRJÄNG</t>
        </is>
      </c>
      <c r="G16218" t="n">
        <v>1.6</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37194-2024</t>
        </is>
      </c>
      <c r="B16219" s="1" t="n">
        <v>45539</v>
      </c>
      <c r="C16219" s="1" t="n">
        <v>45810</v>
      </c>
      <c r="D16219" t="inlineStr">
        <is>
          <t>VÄRMLANDS LÄN</t>
        </is>
      </c>
      <c r="E16219" t="inlineStr">
        <is>
          <t>TORSBY</t>
        </is>
      </c>
      <c r="F16219" t="inlineStr">
        <is>
          <t>Bergvik skog väst AB</t>
        </is>
      </c>
      <c r="G16219" t="n">
        <v>4.2</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37165-2024</t>
        </is>
      </c>
      <c r="B16220" s="1" t="n">
        <v>45539</v>
      </c>
      <c r="C16220" s="1" t="n">
        <v>45810</v>
      </c>
      <c r="D16220" t="inlineStr">
        <is>
          <t>VÄRMLANDS LÄN</t>
        </is>
      </c>
      <c r="E16220" t="inlineStr">
        <is>
          <t>FILIPSTAD</t>
        </is>
      </c>
      <c r="F16220" t="inlineStr">
        <is>
          <t>Bergvik skog väst AB</t>
        </is>
      </c>
      <c r="G16220" t="n">
        <v>2.2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37076-2024</t>
        </is>
      </c>
      <c r="B16221" s="1" t="n">
        <v>45539</v>
      </c>
      <c r="C16221" s="1" t="n">
        <v>45810</v>
      </c>
      <c r="D16221" t="inlineStr">
        <is>
          <t>VÄRMLANDS LÄN</t>
        </is>
      </c>
      <c r="E16221" t="inlineStr">
        <is>
          <t>FILIPSTAD</t>
        </is>
      </c>
      <c r="F16221" t="inlineStr">
        <is>
          <t>Bergvik skog väst AB</t>
        </is>
      </c>
      <c r="G16221" t="n">
        <v>31.9</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37015-2024</t>
        </is>
      </c>
      <c r="B16222" s="1" t="n">
        <v>45539</v>
      </c>
      <c r="C16222" s="1" t="n">
        <v>45810</v>
      </c>
      <c r="D16222" t="inlineStr">
        <is>
          <t>VÄRMLANDS LÄN</t>
        </is>
      </c>
      <c r="E16222" t="inlineStr">
        <is>
          <t>SUNNE</t>
        </is>
      </c>
      <c r="F16222" t="inlineStr">
        <is>
          <t>Bergvik skog väst AB</t>
        </is>
      </c>
      <c r="G16222" t="n">
        <v>5.1</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37238-2024</t>
        </is>
      </c>
      <c r="B16223" s="1" t="n">
        <v>45540</v>
      </c>
      <c r="C16223" s="1" t="n">
        <v>45810</v>
      </c>
      <c r="D16223" t="inlineStr">
        <is>
          <t>VÄRMLANDS LÄN</t>
        </is>
      </c>
      <c r="E16223" t="inlineStr">
        <is>
          <t>TORSBY</t>
        </is>
      </c>
      <c r="F16223" t="inlineStr">
        <is>
          <t>Bergvik skog väst AB</t>
        </is>
      </c>
      <c r="G16223" t="n">
        <v>11.9</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37336-2024</t>
        </is>
      </c>
      <c r="B16224" s="1" t="n">
        <v>45540</v>
      </c>
      <c r="C16224" s="1" t="n">
        <v>45810</v>
      </c>
      <c r="D16224" t="inlineStr">
        <is>
          <t>VÄRMLANDS LÄN</t>
        </is>
      </c>
      <c r="E16224" t="inlineStr">
        <is>
          <t>ÅRJÄNG</t>
        </is>
      </c>
      <c r="G16224" t="n">
        <v>3.9</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37353-2024</t>
        </is>
      </c>
      <c r="B16225" s="1" t="n">
        <v>45540</v>
      </c>
      <c r="C16225" s="1" t="n">
        <v>45810</v>
      </c>
      <c r="D16225" t="inlineStr">
        <is>
          <t>VÄRMLANDS LÄN</t>
        </is>
      </c>
      <c r="E16225" t="inlineStr">
        <is>
          <t>ÅRJÄNG</t>
        </is>
      </c>
      <c r="G16225" t="n">
        <v>1.2</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37377-2024</t>
        </is>
      </c>
      <c r="B16226" s="1" t="n">
        <v>45540</v>
      </c>
      <c r="C16226" s="1" t="n">
        <v>45810</v>
      </c>
      <c r="D16226" t="inlineStr">
        <is>
          <t>VÄRMLANDS LÄN</t>
        </is>
      </c>
      <c r="E16226" t="inlineStr">
        <is>
          <t>FORSHAGA</t>
        </is>
      </c>
      <c r="G16226" t="n">
        <v>1.5</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37240-2024</t>
        </is>
      </c>
      <c r="B16227" s="1" t="n">
        <v>45540</v>
      </c>
      <c r="C16227" s="1" t="n">
        <v>45810</v>
      </c>
      <c r="D16227" t="inlineStr">
        <is>
          <t>VÄRMLANDS LÄN</t>
        </is>
      </c>
      <c r="E16227" t="inlineStr">
        <is>
          <t>ARVIKA</t>
        </is>
      </c>
      <c r="G16227" t="n">
        <v>1.7</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37330-2024</t>
        </is>
      </c>
      <c r="B16228" s="1" t="n">
        <v>45540</v>
      </c>
      <c r="C16228" s="1" t="n">
        <v>45810</v>
      </c>
      <c r="D16228" t="inlineStr">
        <is>
          <t>VÄRMLANDS LÄN</t>
        </is>
      </c>
      <c r="E16228" t="inlineStr">
        <is>
          <t>ÅRJÄNG</t>
        </is>
      </c>
      <c r="G16228" t="n">
        <v>7.6</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37334-2024</t>
        </is>
      </c>
      <c r="B16229" s="1" t="n">
        <v>45540</v>
      </c>
      <c r="C16229" s="1" t="n">
        <v>45810</v>
      </c>
      <c r="D16229" t="inlineStr">
        <is>
          <t>VÄRMLANDS LÄN</t>
        </is>
      </c>
      <c r="E16229" t="inlineStr">
        <is>
          <t>SUNNE</t>
        </is>
      </c>
      <c r="G16229" t="n">
        <v>0.8</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37356-2024</t>
        </is>
      </c>
      <c r="B16230" s="1" t="n">
        <v>45540</v>
      </c>
      <c r="C16230" s="1" t="n">
        <v>45810</v>
      </c>
      <c r="D16230" t="inlineStr">
        <is>
          <t>VÄRMLANDS LÄN</t>
        </is>
      </c>
      <c r="E16230" t="inlineStr">
        <is>
          <t>ÅRJÄNG</t>
        </is>
      </c>
      <c r="G16230" t="n">
        <v>3.4</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37325-2024</t>
        </is>
      </c>
      <c r="B16231" s="1" t="n">
        <v>45540</v>
      </c>
      <c r="C16231" s="1" t="n">
        <v>45810</v>
      </c>
      <c r="D16231" t="inlineStr">
        <is>
          <t>VÄRMLANDS LÄN</t>
        </is>
      </c>
      <c r="E16231" t="inlineStr">
        <is>
          <t>ÅRJÄNG</t>
        </is>
      </c>
      <c r="G16231" t="n">
        <v>0.9</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37347-2024</t>
        </is>
      </c>
      <c r="B16232" s="1" t="n">
        <v>45540</v>
      </c>
      <c r="C16232" s="1" t="n">
        <v>45810</v>
      </c>
      <c r="D16232" t="inlineStr">
        <is>
          <t>VÄRMLANDS LÄN</t>
        </is>
      </c>
      <c r="E16232" t="inlineStr">
        <is>
          <t>ÅRJÄNG</t>
        </is>
      </c>
      <c r="G16232" t="n">
        <v>1.9</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37362-2024</t>
        </is>
      </c>
      <c r="B16233" s="1" t="n">
        <v>45540</v>
      </c>
      <c r="C16233" s="1" t="n">
        <v>45810</v>
      </c>
      <c r="D16233" t="inlineStr">
        <is>
          <t>VÄRMLANDS LÄN</t>
        </is>
      </c>
      <c r="E16233" t="inlineStr">
        <is>
          <t>ÅRJÄNG</t>
        </is>
      </c>
      <c r="G16233" t="n">
        <v>1.9</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37382-2024</t>
        </is>
      </c>
      <c r="B16234" s="1" t="n">
        <v>45540</v>
      </c>
      <c r="C16234" s="1" t="n">
        <v>45810</v>
      </c>
      <c r="D16234" t="inlineStr">
        <is>
          <t>VÄRMLANDS LÄN</t>
        </is>
      </c>
      <c r="E16234" t="inlineStr">
        <is>
          <t>ÅRJÄNG</t>
        </is>
      </c>
      <c r="G16234" t="n">
        <v>12.3</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37430-2024</t>
        </is>
      </c>
      <c r="B16235" s="1" t="n">
        <v>45540</v>
      </c>
      <c r="C16235" s="1" t="n">
        <v>45810</v>
      </c>
      <c r="D16235" t="inlineStr">
        <is>
          <t>VÄRMLANDS LÄN</t>
        </is>
      </c>
      <c r="E16235" t="inlineStr">
        <is>
          <t>STORFORS</t>
        </is>
      </c>
      <c r="G16235" t="n">
        <v>6.4</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37474-2024</t>
        </is>
      </c>
      <c r="B16236" s="1" t="n">
        <v>45541</v>
      </c>
      <c r="C16236" s="1" t="n">
        <v>45810</v>
      </c>
      <c r="D16236" t="inlineStr">
        <is>
          <t>VÄRMLANDS LÄN</t>
        </is>
      </c>
      <c r="E16236" t="inlineStr">
        <is>
          <t>SUNNE</t>
        </is>
      </c>
      <c r="G16236" t="n">
        <v>1.2</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37557-2024</t>
        </is>
      </c>
      <c r="B16237" s="1" t="n">
        <v>45541</v>
      </c>
      <c r="C16237" s="1" t="n">
        <v>45810</v>
      </c>
      <c r="D16237" t="inlineStr">
        <is>
          <t>VÄRMLANDS LÄN</t>
        </is>
      </c>
      <c r="E16237" t="inlineStr">
        <is>
          <t>EDA</t>
        </is>
      </c>
      <c r="G16237" t="n">
        <v>2.8</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37561-2024</t>
        </is>
      </c>
      <c r="B16238" s="1" t="n">
        <v>45541</v>
      </c>
      <c r="C16238" s="1" t="n">
        <v>45810</v>
      </c>
      <c r="D16238" t="inlineStr">
        <is>
          <t>VÄRMLANDS LÄN</t>
        </is>
      </c>
      <c r="E16238" t="inlineStr">
        <is>
          <t>ARVIKA</t>
        </is>
      </c>
      <c r="G16238" t="n">
        <v>8.699999999999999</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37573-2024</t>
        </is>
      </c>
      <c r="B16239" s="1" t="n">
        <v>45541</v>
      </c>
      <c r="C16239" s="1" t="n">
        <v>45810</v>
      </c>
      <c r="D16239" t="inlineStr">
        <is>
          <t>VÄRMLANDS LÄN</t>
        </is>
      </c>
      <c r="E16239" t="inlineStr">
        <is>
          <t>KIL</t>
        </is>
      </c>
      <c r="G16239" t="n">
        <v>1.7</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37477-2024</t>
        </is>
      </c>
      <c r="B16240" s="1" t="n">
        <v>45541</v>
      </c>
      <c r="C16240" s="1" t="n">
        <v>45810</v>
      </c>
      <c r="D16240" t="inlineStr">
        <is>
          <t>VÄRMLANDS LÄN</t>
        </is>
      </c>
      <c r="E16240" t="inlineStr">
        <is>
          <t>TORSBY</t>
        </is>
      </c>
      <c r="F16240" t="inlineStr">
        <is>
          <t>Bergvik skog väst AB</t>
        </is>
      </c>
      <c r="G16240" t="n">
        <v>3.8</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37539-2024</t>
        </is>
      </c>
      <c r="B16241" s="1" t="n">
        <v>45541</v>
      </c>
      <c r="C16241" s="1" t="n">
        <v>45810</v>
      </c>
      <c r="D16241" t="inlineStr">
        <is>
          <t>VÄRMLANDS LÄN</t>
        </is>
      </c>
      <c r="E16241" t="inlineStr">
        <is>
          <t>FILIPSTAD</t>
        </is>
      </c>
      <c r="F16241" t="inlineStr">
        <is>
          <t>Bergvik skog väst AB</t>
        </is>
      </c>
      <c r="G16241" t="n">
        <v>5.5</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37580-2024</t>
        </is>
      </c>
      <c r="B16242" s="1" t="n">
        <v>45541</v>
      </c>
      <c r="C16242" s="1" t="n">
        <v>45810</v>
      </c>
      <c r="D16242" t="inlineStr">
        <is>
          <t>VÄRMLANDS LÄN</t>
        </is>
      </c>
      <c r="E16242" t="inlineStr">
        <is>
          <t>TORSBY</t>
        </is>
      </c>
      <c r="G16242" t="n">
        <v>1.5</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37609-2024</t>
        </is>
      </c>
      <c r="B16243" s="1" t="n">
        <v>45541</v>
      </c>
      <c r="C16243" s="1" t="n">
        <v>45810</v>
      </c>
      <c r="D16243" t="inlineStr">
        <is>
          <t>VÄRMLANDS LÄN</t>
        </is>
      </c>
      <c r="E16243" t="inlineStr">
        <is>
          <t>EDA</t>
        </is>
      </c>
      <c r="G16243" t="n">
        <v>1.9</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37613-2024</t>
        </is>
      </c>
      <c r="B16244" s="1" t="n">
        <v>45541</v>
      </c>
      <c r="C16244" s="1" t="n">
        <v>45810</v>
      </c>
      <c r="D16244" t="inlineStr">
        <is>
          <t>VÄRMLANDS LÄN</t>
        </is>
      </c>
      <c r="E16244" t="inlineStr">
        <is>
          <t>FILIPSTAD</t>
        </is>
      </c>
      <c r="F16244" t="inlineStr">
        <is>
          <t>Bergvik skog väst AB</t>
        </is>
      </c>
      <c r="G16244" t="n">
        <v>6.2</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37665-2024</t>
        </is>
      </c>
      <c r="B16245" s="1" t="n">
        <v>45541</v>
      </c>
      <c r="C16245" s="1" t="n">
        <v>45810</v>
      </c>
      <c r="D16245" t="inlineStr">
        <is>
          <t>VÄRMLANDS LÄN</t>
        </is>
      </c>
      <c r="E16245" t="inlineStr">
        <is>
          <t>TORSBY</t>
        </is>
      </c>
      <c r="F16245" t="inlineStr">
        <is>
          <t>Kyrkan</t>
        </is>
      </c>
      <c r="G16245" t="n">
        <v>1.5</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37606-2024</t>
        </is>
      </c>
      <c r="B16246" s="1" t="n">
        <v>45541</v>
      </c>
      <c r="C16246" s="1" t="n">
        <v>45810</v>
      </c>
      <c r="D16246" t="inlineStr">
        <is>
          <t>VÄRMLANDS LÄN</t>
        </is>
      </c>
      <c r="E16246" t="inlineStr">
        <is>
          <t>FORSHAGA</t>
        </is>
      </c>
      <c r="G16246" t="n">
        <v>3</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37610-2024</t>
        </is>
      </c>
      <c r="B16247" s="1" t="n">
        <v>45541</v>
      </c>
      <c r="C16247" s="1" t="n">
        <v>45810</v>
      </c>
      <c r="D16247" t="inlineStr">
        <is>
          <t>VÄRMLANDS LÄN</t>
        </is>
      </c>
      <c r="E16247" t="inlineStr">
        <is>
          <t>ARVIKA</t>
        </is>
      </c>
      <c r="F16247" t="inlineStr">
        <is>
          <t>Bergvik skog väst AB</t>
        </is>
      </c>
      <c r="G16247" t="n">
        <v>18.7</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37622-2024</t>
        </is>
      </c>
      <c r="B16248" s="1" t="n">
        <v>45541</v>
      </c>
      <c r="C16248" s="1" t="n">
        <v>45810</v>
      </c>
      <c r="D16248" t="inlineStr">
        <is>
          <t>VÄRMLANDS LÄN</t>
        </is>
      </c>
      <c r="E16248" t="inlineStr">
        <is>
          <t>KIL</t>
        </is>
      </c>
      <c r="G16248" t="n">
        <v>0.4</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37630-2024</t>
        </is>
      </c>
      <c r="B16249" s="1" t="n">
        <v>45541</v>
      </c>
      <c r="C16249" s="1" t="n">
        <v>45810</v>
      </c>
      <c r="D16249" t="inlineStr">
        <is>
          <t>VÄRMLANDS LÄN</t>
        </is>
      </c>
      <c r="E16249" t="inlineStr">
        <is>
          <t>ARVIKA</t>
        </is>
      </c>
      <c r="G16249" t="n">
        <v>3</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37642-2024</t>
        </is>
      </c>
      <c r="B16250" s="1" t="n">
        <v>45541</v>
      </c>
      <c r="C16250" s="1" t="n">
        <v>45810</v>
      </c>
      <c r="D16250" t="inlineStr">
        <is>
          <t>VÄRMLANDS LÄN</t>
        </is>
      </c>
      <c r="E16250" t="inlineStr">
        <is>
          <t>GRUMS</t>
        </is>
      </c>
      <c r="G16250" t="n">
        <v>1.3</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37662-2024</t>
        </is>
      </c>
      <c r="B16251" s="1" t="n">
        <v>45541</v>
      </c>
      <c r="C16251" s="1" t="n">
        <v>45810</v>
      </c>
      <c r="D16251" t="inlineStr">
        <is>
          <t>VÄRMLANDS LÄN</t>
        </is>
      </c>
      <c r="E16251" t="inlineStr">
        <is>
          <t>ARVIKA</t>
        </is>
      </c>
      <c r="G16251" t="n">
        <v>0.4</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37670-2024</t>
        </is>
      </c>
      <c r="B16252" s="1" t="n">
        <v>45541</v>
      </c>
      <c r="C16252" s="1" t="n">
        <v>45810</v>
      </c>
      <c r="D16252" t="inlineStr">
        <is>
          <t>VÄRMLANDS LÄN</t>
        </is>
      </c>
      <c r="E16252" t="inlineStr">
        <is>
          <t>FILIPSTAD</t>
        </is>
      </c>
      <c r="F16252" t="inlineStr">
        <is>
          <t>Bergvik skog väst AB</t>
        </is>
      </c>
      <c r="G16252" t="n">
        <v>10.7</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37687-2024</t>
        </is>
      </c>
      <c r="B16253" s="1" t="n">
        <v>45541</v>
      </c>
      <c r="C16253" s="1" t="n">
        <v>45810</v>
      </c>
      <c r="D16253" t="inlineStr">
        <is>
          <t>VÄRMLANDS LÄN</t>
        </is>
      </c>
      <c r="E16253" t="inlineStr">
        <is>
          <t>KRISTINEHAMN</t>
        </is>
      </c>
      <c r="G16253" t="n">
        <v>2.1</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37505-2024</t>
        </is>
      </c>
      <c r="B16254" s="1" t="n">
        <v>45541</v>
      </c>
      <c r="C16254" s="1" t="n">
        <v>45810</v>
      </c>
      <c r="D16254" t="inlineStr">
        <is>
          <t>VÄRMLANDS LÄN</t>
        </is>
      </c>
      <c r="E16254" t="inlineStr">
        <is>
          <t>FILIPSTAD</t>
        </is>
      </c>
      <c r="F16254" t="inlineStr">
        <is>
          <t>Bergvik skog väst AB</t>
        </is>
      </c>
      <c r="G16254" t="n">
        <v>4.6</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37512-2024</t>
        </is>
      </c>
      <c r="B16255" s="1" t="n">
        <v>45541</v>
      </c>
      <c r="C16255" s="1" t="n">
        <v>45810</v>
      </c>
      <c r="D16255" t="inlineStr">
        <is>
          <t>VÄRMLANDS LÄN</t>
        </is>
      </c>
      <c r="E16255" t="inlineStr">
        <is>
          <t>FILIPSTAD</t>
        </is>
      </c>
      <c r="F16255" t="inlineStr">
        <is>
          <t>Bergvik skog väst AB</t>
        </is>
      </c>
      <c r="G16255" t="n">
        <v>18.2</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37620-2024</t>
        </is>
      </c>
      <c r="B16256" s="1" t="n">
        <v>45541</v>
      </c>
      <c r="C16256" s="1" t="n">
        <v>45810</v>
      </c>
      <c r="D16256" t="inlineStr">
        <is>
          <t>VÄRMLANDS LÄN</t>
        </is>
      </c>
      <c r="E16256" t="inlineStr">
        <is>
          <t>KIL</t>
        </is>
      </c>
      <c r="G16256" t="n">
        <v>0.1</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37636-2024</t>
        </is>
      </c>
      <c r="B16257" s="1" t="n">
        <v>45541</v>
      </c>
      <c r="C16257" s="1" t="n">
        <v>45810</v>
      </c>
      <c r="D16257" t="inlineStr">
        <is>
          <t>VÄRMLANDS LÄN</t>
        </is>
      </c>
      <c r="E16257" t="inlineStr">
        <is>
          <t>GRUMS</t>
        </is>
      </c>
      <c r="G16257" t="n">
        <v>1.2</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37668-2024</t>
        </is>
      </c>
      <c r="B16258" s="1" t="n">
        <v>45541</v>
      </c>
      <c r="C16258" s="1" t="n">
        <v>45810</v>
      </c>
      <c r="D16258" t="inlineStr">
        <is>
          <t>VÄRMLANDS LÄN</t>
        </is>
      </c>
      <c r="E16258" t="inlineStr">
        <is>
          <t>ARVIKA</t>
        </is>
      </c>
      <c r="G16258" t="n">
        <v>0.9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37533-2024</t>
        </is>
      </c>
      <c r="B16259" s="1" t="n">
        <v>45541</v>
      </c>
      <c r="C16259" s="1" t="n">
        <v>45810</v>
      </c>
      <c r="D16259" t="inlineStr">
        <is>
          <t>VÄRMLANDS LÄN</t>
        </is>
      </c>
      <c r="E16259" t="inlineStr">
        <is>
          <t>TORSBY</t>
        </is>
      </c>
      <c r="F16259" t="inlineStr">
        <is>
          <t>Bergvik skog väst AB</t>
        </is>
      </c>
      <c r="G16259" t="n">
        <v>6.3</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37570-2024</t>
        </is>
      </c>
      <c r="B16260" s="1" t="n">
        <v>45541</v>
      </c>
      <c r="C16260" s="1" t="n">
        <v>45810</v>
      </c>
      <c r="D16260" t="inlineStr">
        <is>
          <t>VÄRMLANDS LÄN</t>
        </is>
      </c>
      <c r="E16260" t="inlineStr">
        <is>
          <t>KIL</t>
        </is>
      </c>
      <c r="G16260" t="n">
        <v>1.1</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37603-2024</t>
        </is>
      </c>
      <c r="B16261" s="1" t="n">
        <v>45541</v>
      </c>
      <c r="C16261" s="1" t="n">
        <v>45810</v>
      </c>
      <c r="D16261" t="inlineStr">
        <is>
          <t>VÄRMLANDS LÄN</t>
        </is>
      </c>
      <c r="E16261" t="inlineStr">
        <is>
          <t>ARVIKA</t>
        </is>
      </c>
      <c r="F16261" t="inlineStr">
        <is>
          <t>Bergvik skog väst AB</t>
        </is>
      </c>
      <c r="G16261" t="n">
        <v>2.6</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37651-2024</t>
        </is>
      </c>
      <c r="B16262" s="1" t="n">
        <v>45541</v>
      </c>
      <c r="C16262" s="1" t="n">
        <v>45810</v>
      </c>
      <c r="D16262" t="inlineStr">
        <is>
          <t>VÄRMLANDS LÄN</t>
        </is>
      </c>
      <c r="E16262" t="inlineStr">
        <is>
          <t>GRUMS</t>
        </is>
      </c>
      <c r="G16262" t="n">
        <v>3.6</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37655-2024</t>
        </is>
      </c>
      <c r="B16263" s="1" t="n">
        <v>45541</v>
      </c>
      <c r="C16263" s="1" t="n">
        <v>45810</v>
      </c>
      <c r="D16263" t="inlineStr">
        <is>
          <t>VÄRMLANDS LÄN</t>
        </is>
      </c>
      <c r="E16263" t="inlineStr">
        <is>
          <t>GRUMS</t>
        </is>
      </c>
      <c r="G16263" t="n">
        <v>0.5</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37701-2024</t>
        </is>
      </c>
      <c r="B16264" s="1" t="n">
        <v>45541</v>
      </c>
      <c r="C16264" s="1" t="n">
        <v>45810</v>
      </c>
      <c r="D16264" t="inlineStr">
        <is>
          <t>VÄRMLANDS LÄN</t>
        </is>
      </c>
      <c r="E16264" t="inlineStr">
        <is>
          <t>KARLSTAD</t>
        </is>
      </c>
      <c r="G16264" t="n">
        <v>0.7</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37711-2024</t>
        </is>
      </c>
      <c r="B16265" s="1" t="n">
        <v>45541</v>
      </c>
      <c r="C16265" s="1" t="n">
        <v>45810</v>
      </c>
      <c r="D16265" t="inlineStr">
        <is>
          <t>VÄRMLANDS LÄN</t>
        </is>
      </c>
      <c r="E16265" t="inlineStr">
        <is>
          <t>HAGFORS</t>
        </is>
      </c>
      <c r="F16265" t="inlineStr">
        <is>
          <t>Bergvik skog väst AB</t>
        </is>
      </c>
      <c r="G16265" t="n">
        <v>24.3</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37733-2024</t>
        </is>
      </c>
      <c r="B16266" s="1" t="n">
        <v>45541</v>
      </c>
      <c r="C16266" s="1" t="n">
        <v>45810</v>
      </c>
      <c r="D16266" t="inlineStr">
        <is>
          <t>VÄRMLANDS LÄN</t>
        </is>
      </c>
      <c r="E16266" t="inlineStr">
        <is>
          <t>TORSBY</t>
        </is>
      </c>
      <c r="F16266" t="inlineStr">
        <is>
          <t>Bergvik skog väst AB</t>
        </is>
      </c>
      <c r="G16266" t="n">
        <v>6</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37746-2024</t>
        </is>
      </c>
      <c r="B16267" s="1" t="n">
        <v>45541</v>
      </c>
      <c r="C16267" s="1" t="n">
        <v>45810</v>
      </c>
      <c r="D16267" t="inlineStr">
        <is>
          <t>VÄRMLANDS LÄN</t>
        </is>
      </c>
      <c r="E16267" t="inlineStr">
        <is>
          <t>FORSHAGA</t>
        </is>
      </c>
      <c r="F16267" t="inlineStr">
        <is>
          <t>Bergvik skog väst AB</t>
        </is>
      </c>
      <c r="G16267" t="n">
        <v>24.7</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37783-2024</t>
        </is>
      </c>
      <c r="B16268" s="1" t="n">
        <v>45542</v>
      </c>
      <c r="C16268" s="1" t="n">
        <v>45810</v>
      </c>
      <c r="D16268" t="inlineStr">
        <is>
          <t>VÄRMLANDS LÄN</t>
        </is>
      </c>
      <c r="E16268" t="inlineStr">
        <is>
          <t>SÄFFLE</t>
        </is>
      </c>
      <c r="G16268" t="n">
        <v>7.8</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37782-2024</t>
        </is>
      </c>
      <c r="B16269" s="1" t="n">
        <v>45542</v>
      </c>
      <c r="C16269" s="1" t="n">
        <v>45810</v>
      </c>
      <c r="D16269" t="inlineStr">
        <is>
          <t>VÄRMLANDS LÄN</t>
        </is>
      </c>
      <c r="E16269" t="inlineStr">
        <is>
          <t>SÄFFLE</t>
        </is>
      </c>
      <c r="G16269" t="n">
        <v>9</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37790-2024</t>
        </is>
      </c>
      <c r="B16270" s="1" t="n">
        <v>45543</v>
      </c>
      <c r="C16270" s="1" t="n">
        <v>45810</v>
      </c>
      <c r="D16270" t="inlineStr">
        <is>
          <t>VÄRMLANDS LÄN</t>
        </is>
      </c>
      <c r="E16270" t="inlineStr">
        <is>
          <t>SUNNE</t>
        </is>
      </c>
      <c r="G16270" t="n">
        <v>1.9</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37824-2024</t>
        </is>
      </c>
      <c r="B16271" s="1" t="n">
        <v>45544</v>
      </c>
      <c r="C16271" s="1" t="n">
        <v>45810</v>
      </c>
      <c r="D16271" t="inlineStr">
        <is>
          <t>VÄRMLANDS LÄN</t>
        </is>
      </c>
      <c r="E16271" t="inlineStr">
        <is>
          <t>ARVIKA</t>
        </is>
      </c>
      <c r="G16271" t="n">
        <v>0.7</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37884-2024</t>
        </is>
      </c>
      <c r="B16272" s="1" t="n">
        <v>45544</v>
      </c>
      <c r="C16272" s="1" t="n">
        <v>45810</v>
      </c>
      <c r="D16272" t="inlineStr">
        <is>
          <t>VÄRMLANDS LÄN</t>
        </is>
      </c>
      <c r="E16272" t="inlineStr">
        <is>
          <t>TORSBY</t>
        </is>
      </c>
      <c r="G16272" t="n">
        <v>2.7</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37948-2024</t>
        </is>
      </c>
      <c r="B16273" s="1" t="n">
        <v>45544</v>
      </c>
      <c r="C16273" s="1" t="n">
        <v>45810</v>
      </c>
      <c r="D16273" t="inlineStr">
        <is>
          <t>VÄRMLANDS LÄN</t>
        </is>
      </c>
      <c r="E16273" t="inlineStr">
        <is>
          <t>TORSBY</t>
        </is>
      </c>
      <c r="G16273" t="n">
        <v>1.6</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37853-2024</t>
        </is>
      </c>
      <c r="B16274" s="1" t="n">
        <v>45544</v>
      </c>
      <c r="C16274" s="1" t="n">
        <v>45810</v>
      </c>
      <c r="D16274" t="inlineStr">
        <is>
          <t>VÄRMLANDS LÄN</t>
        </is>
      </c>
      <c r="E16274" t="inlineStr">
        <is>
          <t>TORSBY</t>
        </is>
      </c>
      <c r="G16274" t="n">
        <v>2.7</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38024-2024</t>
        </is>
      </c>
      <c r="B16275" s="1" t="n">
        <v>45544</v>
      </c>
      <c r="C16275" s="1" t="n">
        <v>45810</v>
      </c>
      <c r="D16275" t="inlineStr">
        <is>
          <t>VÄRMLANDS LÄN</t>
        </is>
      </c>
      <c r="E16275" t="inlineStr">
        <is>
          <t>ÅRJÄNG</t>
        </is>
      </c>
      <c r="G16275" t="n">
        <v>1.1</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37901-2024</t>
        </is>
      </c>
      <c r="B16276" s="1" t="n">
        <v>45544</v>
      </c>
      <c r="C16276" s="1" t="n">
        <v>45810</v>
      </c>
      <c r="D16276" t="inlineStr">
        <is>
          <t>VÄRMLANDS LÄN</t>
        </is>
      </c>
      <c r="E16276" t="inlineStr">
        <is>
          <t>TORSBY</t>
        </is>
      </c>
      <c r="G16276" t="n">
        <v>3.2</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37913-2024</t>
        </is>
      </c>
      <c r="B16277" s="1" t="n">
        <v>45544</v>
      </c>
      <c r="C16277" s="1" t="n">
        <v>45810</v>
      </c>
      <c r="D16277" t="inlineStr">
        <is>
          <t>VÄRMLANDS LÄN</t>
        </is>
      </c>
      <c r="E16277" t="inlineStr">
        <is>
          <t>TORSBY</t>
        </is>
      </c>
      <c r="F16277" t="inlineStr">
        <is>
          <t>Bergvik skog väst AB</t>
        </is>
      </c>
      <c r="G16277" t="n">
        <v>4.7</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37929-2024</t>
        </is>
      </c>
      <c r="B16278" s="1" t="n">
        <v>45544</v>
      </c>
      <c r="C16278" s="1" t="n">
        <v>45810</v>
      </c>
      <c r="D16278" t="inlineStr">
        <is>
          <t>VÄRMLANDS LÄN</t>
        </is>
      </c>
      <c r="E16278" t="inlineStr">
        <is>
          <t>ARVIKA</t>
        </is>
      </c>
      <c r="F16278" t="inlineStr">
        <is>
          <t>Bergvik skog väst AB</t>
        </is>
      </c>
      <c r="G16278" t="n">
        <v>3.1</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37933-2024</t>
        </is>
      </c>
      <c r="B16279" s="1" t="n">
        <v>45544</v>
      </c>
      <c r="C16279" s="1" t="n">
        <v>45810</v>
      </c>
      <c r="D16279" t="inlineStr">
        <is>
          <t>VÄRMLANDS LÄN</t>
        </is>
      </c>
      <c r="E16279" t="inlineStr">
        <is>
          <t>ARVIKA</t>
        </is>
      </c>
      <c r="F16279" t="inlineStr">
        <is>
          <t>Bergvik skog väst AB</t>
        </is>
      </c>
      <c r="G16279" t="n">
        <v>0.8</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37945-2024</t>
        </is>
      </c>
      <c r="B16280" s="1" t="n">
        <v>45544</v>
      </c>
      <c r="C16280" s="1" t="n">
        <v>45810</v>
      </c>
      <c r="D16280" t="inlineStr">
        <is>
          <t>VÄRMLANDS LÄN</t>
        </is>
      </c>
      <c r="E16280" t="inlineStr">
        <is>
          <t>FILIPSTAD</t>
        </is>
      </c>
      <c r="F16280" t="inlineStr">
        <is>
          <t>Bergvik skog väst AB</t>
        </is>
      </c>
      <c r="G16280" t="n">
        <v>5.2</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37957-2024</t>
        </is>
      </c>
      <c r="B16281" s="1" t="n">
        <v>45544</v>
      </c>
      <c r="C16281" s="1" t="n">
        <v>45810</v>
      </c>
      <c r="D16281" t="inlineStr">
        <is>
          <t>VÄRMLANDS LÄN</t>
        </is>
      </c>
      <c r="E16281" t="inlineStr">
        <is>
          <t>EDA</t>
        </is>
      </c>
      <c r="G16281" t="n">
        <v>0.7</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37961-2024</t>
        </is>
      </c>
      <c r="B16282" s="1" t="n">
        <v>45544</v>
      </c>
      <c r="C16282" s="1" t="n">
        <v>45810</v>
      </c>
      <c r="D16282" t="inlineStr">
        <is>
          <t>VÄRMLANDS LÄN</t>
        </is>
      </c>
      <c r="E16282" t="inlineStr">
        <is>
          <t>EDA</t>
        </is>
      </c>
      <c r="G16282" t="n">
        <v>3.3</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38009-2024</t>
        </is>
      </c>
      <c r="B16283" s="1" t="n">
        <v>45544</v>
      </c>
      <c r="C16283" s="1" t="n">
        <v>45810</v>
      </c>
      <c r="D16283" t="inlineStr">
        <is>
          <t>VÄRMLANDS LÄN</t>
        </is>
      </c>
      <c r="E16283" t="inlineStr">
        <is>
          <t>ARVIKA</t>
        </is>
      </c>
      <c r="F16283" t="inlineStr">
        <is>
          <t>Bergvik skog väst AB</t>
        </is>
      </c>
      <c r="G16283" t="n">
        <v>1</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37822-2024</t>
        </is>
      </c>
      <c r="B16284" s="1" t="n">
        <v>45544</v>
      </c>
      <c r="C16284" s="1" t="n">
        <v>45810</v>
      </c>
      <c r="D16284" t="inlineStr">
        <is>
          <t>VÄRMLANDS LÄN</t>
        </is>
      </c>
      <c r="E16284" t="inlineStr">
        <is>
          <t>EDA</t>
        </is>
      </c>
      <c r="G16284" t="n">
        <v>0.8</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37922-2024</t>
        </is>
      </c>
      <c r="B16285" s="1" t="n">
        <v>45544</v>
      </c>
      <c r="C16285" s="1" t="n">
        <v>45810</v>
      </c>
      <c r="D16285" t="inlineStr">
        <is>
          <t>VÄRMLANDS LÄN</t>
        </is>
      </c>
      <c r="E16285" t="inlineStr">
        <is>
          <t>ARVIKA</t>
        </is>
      </c>
      <c r="G16285" t="n">
        <v>1.7</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37934-2024</t>
        </is>
      </c>
      <c r="B16286" s="1" t="n">
        <v>45544</v>
      </c>
      <c r="C16286" s="1" t="n">
        <v>45810</v>
      </c>
      <c r="D16286" t="inlineStr">
        <is>
          <t>VÄRMLANDS LÄN</t>
        </is>
      </c>
      <c r="E16286" t="inlineStr">
        <is>
          <t>HAMMARÖ</t>
        </is>
      </c>
      <c r="G16286" t="n">
        <v>1.3</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37942-2024</t>
        </is>
      </c>
      <c r="B16287" s="1" t="n">
        <v>45544</v>
      </c>
      <c r="C16287" s="1" t="n">
        <v>45810</v>
      </c>
      <c r="D16287" t="inlineStr">
        <is>
          <t>VÄRMLANDS LÄN</t>
        </is>
      </c>
      <c r="E16287" t="inlineStr">
        <is>
          <t>ARVIKA</t>
        </is>
      </c>
      <c r="G16287" t="n">
        <v>1.5</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37982-2024</t>
        </is>
      </c>
      <c r="B16288" s="1" t="n">
        <v>45544</v>
      </c>
      <c r="C16288" s="1" t="n">
        <v>45810</v>
      </c>
      <c r="D16288" t="inlineStr">
        <is>
          <t>VÄRMLANDS LÄN</t>
        </is>
      </c>
      <c r="E16288" t="inlineStr">
        <is>
          <t>KARLSTAD</t>
        </is>
      </c>
      <c r="G16288" t="n">
        <v>6.3</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38062-2024</t>
        </is>
      </c>
      <c r="B16289" s="1" t="n">
        <v>45544</v>
      </c>
      <c r="C16289" s="1" t="n">
        <v>45810</v>
      </c>
      <c r="D16289" t="inlineStr">
        <is>
          <t>VÄRMLANDS LÄN</t>
        </is>
      </c>
      <c r="E16289" t="inlineStr">
        <is>
          <t>TORSBY</t>
        </is>
      </c>
      <c r="F16289" t="inlineStr">
        <is>
          <t>Bergvik skog väst AB</t>
        </is>
      </c>
      <c r="G16289" t="n">
        <v>7.9</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38066-2024</t>
        </is>
      </c>
      <c r="B16290" s="1" t="n">
        <v>45544</v>
      </c>
      <c r="C16290" s="1" t="n">
        <v>45810</v>
      </c>
      <c r="D16290" t="inlineStr">
        <is>
          <t>VÄRMLANDS LÄN</t>
        </is>
      </c>
      <c r="E16290" t="inlineStr">
        <is>
          <t>ÅRJÄNG</t>
        </is>
      </c>
      <c r="G16290" t="n">
        <v>3</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38076-2024</t>
        </is>
      </c>
      <c r="B16291" s="1" t="n">
        <v>45544</v>
      </c>
      <c r="C16291" s="1" t="n">
        <v>45810</v>
      </c>
      <c r="D16291" t="inlineStr">
        <is>
          <t>VÄRMLANDS LÄN</t>
        </is>
      </c>
      <c r="E16291" t="inlineStr">
        <is>
          <t>TORSBY</t>
        </is>
      </c>
      <c r="G16291" t="n">
        <v>6.3</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38057-2024</t>
        </is>
      </c>
      <c r="B16292" s="1" t="n">
        <v>45544</v>
      </c>
      <c r="C16292" s="1" t="n">
        <v>45810</v>
      </c>
      <c r="D16292" t="inlineStr">
        <is>
          <t>VÄRMLANDS LÄN</t>
        </is>
      </c>
      <c r="E16292" t="inlineStr">
        <is>
          <t>ÅRJÄNG</t>
        </is>
      </c>
      <c r="G16292" t="n">
        <v>1</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38065-2024</t>
        </is>
      </c>
      <c r="B16293" s="1" t="n">
        <v>45544</v>
      </c>
      <c r="C16293" s="1" t="n">
        <v>45810</v>
      </c>
      <c r="D16293" t="inlineStr">
        <is>
          <t>VÄRMLANDS LÄN</t>
        </is>
      </c>
      <c r="E16293" t="inlineStr">
        <is>
          <t>ÅRJÄNG</t>
        </is>
      </c>
      <c r="G16293" t="n">
        <v>1.4</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38100-2024</t>
        </is>
      </c>
      <c r="B16294" s="1" t="n">
        <v>45545</v>
      </c>
      <c r="C16294" s="1" t="n">
        <v>45810</v>
      </c>
      <c r="D16294" t="inlineStr">
        <is>
          <t>VÄRMLANDS LÄN</t>
        </is>
      </c>
      <c r="E16294" t="inlineStr">
        <is>
          <t>TORSBY</t>
        </is>
      </c>
      <c r="G16294" t="n">
        <v>0.9</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38133-2024</t>
        </is>
      </c>
      <c r="B16295" s="1" t="n">
        <v>45545</v>
      </c>
      <c r="C16295" s="1" t="n">
        <v>45810</v>
      </c>
      <c r="D16295" t="inlineStr">
        <is>
          <t>VÄRMLANDS LÄN</t>
        </is>
      </c>
      <c r="E16295" t="inlineStr">
        <is>
          <t>SÄFFLE</t>
        </is>
      </c>
      <c r="G16295" t="n">
        <v>4.7</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38147-2024</t>
        </is>
      </c>
      <c r="B16296" s="1" t="n">
        <v>45545</v>
      </c>
      <c r="C16296" s="1" t="n">
        <v>45810</v>
      </c>
      <c r="D16296" t="inlineStr">
        <is>
          <t>VÄRMLANDS LÄN</t>
        </is>
      </c>
      <c r="E16296" t="inlineStr">
        <is>
          <t>STORFORS</t>
        </is>
      </c>
      <c r="G16296" t="n">
        <v>2.5</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38171-2024</t>
        </is>
      </c>
      <c r="B16297" s="1" t="n">
        <v>45545</v>
      </c>
      <c r="C16297" s="1" t="n">
        <v>45810</v>
      </c>
      <c r="D16297" t="inlineStr">
        <is>
          <t>VÄRMLANDS LÄN</t>
        </is>
      </c>
      <c r="E16297" t="inlineStr">
        <is>
          <t>MUNKFORS</t>
        </is>
      </c>
      <c r="F16297" t="inlineStr">
        <is>
          <t>Kyrkan</t>
        </is>
      </c>
      <c r="G16297" t="n">
        <v>9.5</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38215-2024</t>
        </is>
      </c>
      <c r="B16298" s="1" t="n">
        <v>45545</v>
      </c>
      <c r="C16298" s="1" t="n">
        <v>45810</v>
      </c>
      <c r="D16298" t="inlineStr">
        <is>
          <t>VÄRMLANDS LÄN</t>
        </is>
      </c>
      <c r="E16298" t="inlineStr">
        <is>
          <t>KARLSTAD</t>
        </is>
      </c>
      <c r="G16298" t="n">
        <v>1.1</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38239-2024</t>
        </is>
      </c>
      <c r="B16299" s="1" t="n">
        <v>45545</v>
      </c>
      <c r="C16299" s="1" t="n">
        <v>45810</v>
      </c>
      <c r="D16299" t="inlineStr">
        <is>
          <t>VÄRMLANDS LÄN</t>
        </is>
      </c>
      <c r="E16299" t="inlineStr">
        <is>
          <t>HAGFORS</t>
        </is>
      </c>
      <c r="F16299" t="inlineStr">
        <is>
          <t>Bergvik skog väst AB</t>
        </is>
      </c>
      <c r="G16299" t="n">
        <v>5.1</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38085-2024</t>
        </is>
      </c>
      <c r="B16300" s="1" t="n">
        <v>45545</v>
      </c>
      <c r="C16300" s="1" t="n">
        <v>45810</v>
      </c>
      <c r="D16300" t="inlineStr">
        <is>
          <t>VÄRMLANDS LÄN</t>
        </is>
      </c>
      <c r="E16300" t="inlineStr">
        <is>
          <t>TORSBY</t>
        </is>
      </c>
      <c r="F16300" t="inlineStr">
        <is>
          <t>Bergvik skog väst AB</t>
        </is>
      </c>
      <c r="G16300" t="n">
        <v>27.8</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38140-2024</t>
        </is>
      </c>
      <c r="B16301" s="1" t="n">
        <v>45545</v>
      </c>
      <c r="C16301" s="1" t="n">
        <v>45810</v>
      </c>
      <c r="D16301" t="inlineStr">
        <is>
          <t>VÄRMLANDS LÄN</t>
        </is>
      </c>
      <c r="E16301" t="inlineStr">
        <is>
          <t>FILIPSTAD</t>
        </is>
      </c>
      <c r="F16301" t="inlineStr">
        <is>
          <t>Bergvik skog väst AB</t>
        </is>
      </c>
      <c r="G16301" t="n">
        <v>1.4</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38148-2024</t>
        </is>
      </c>
      <c r="B16302" s="1" t="n">
        <v>45545</v>
      </c>
      <c r="C16302" s="1" t="n">
        <v>45810</v>
      </c>
      <c r="D16302" t="inlineStr">
        <is>
          <t>VÄRMLANDS LÄN</t>
        </is>
      </c>
      <c r="E16302" t="inlineStr">
        <is>
          <t>TORSBY</t>
        </is>
      </c>
      <c r="G16302" t="n">
        <v>1.7</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38176-2024</t>
        </is>
      </c>
      <c r="B16303" s="1" t="n">
        <v>45545</v>
      </c>
      <c r="C16303" s="1" t="n">
        <v>45810</v>
      </c>
      <c r="D16303" t="inlineStr">
        <is>
          <t>VÄRMLANDS LÄN</t>
        </is>
      </c>
      <c r="E16303" t="inlineStr">
        <is>
          <t>STORFORS</t>
        </is>
      </c>
      <c r="G16303" t="n">
        <v>1.5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38184-2024</t>
        </is>
      </c>
      <c r="B16304" s="1" t="n">
        <v>45545</v>
      </c>
      <c r="C16304" s="1" t="n">
        <v>45810</v>
      </c>
      <c r="D16304" t="inlineStr">
        <is>
          <t>VÄRMLANDS LÄN</t>
        </is>
      </c>
      <c r="E16304" t="inlineStr">
        <is>
          <t>TORSBY</t>
        </is>
      </c>
      <c r="G16304" t="n">
        <v>2.4</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38206-2024</t>
        </is>
      </c>
      <c r="B16305" s="1" t="n">
        <v>45545</v>
      </c>
      <c r="C16305" s="1" t="n">
        <v>45810</v>
      </c>
      <c r="D16305" t="inlineStr">
        <is>
          <t>VÄRMLANDS LÄN</t>
        </is>
      </c>
      <c r="E16305" t="inlineStr">
        <is>
          <t>TORSBY</t>
        </is>
      </c>
      <c r="G16305" t="n">
        <v>10</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38210-2024</t>
        </is>
      </c>
      <c r="B16306" s="1" t="n">
        <v>45545</v>
      </c>
      <c r="C16306" s="1" t="n">
        <v>45810</v>
      </c>
      <c r="D16306" t="inlineStr">
        <is>
          <t>VÄRMLANDS LÄN</t>
        </is>
      </c>
      <c r="E16306" t="inlineStr">
        <is>
          <t>HAGFORS</t>
        </is>
      </c>
      <c r="F16306" t="inlineStr">
        <is>
          <t>Bergvik skog väst AB</t>
        </is>
      </c>
      <c r="G16306" t="n">
        <v>3.7</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38226-2024</t>
        </is>
      </c>
      <c r="B16307" s="1" t="n">
        <v>45545</v>
      </c>
      <c r="C16307" s="1" t="n">
        <v>45810</v>
      </c>
      <c r="D16307" t="inlineStr">
        <is>
          <t>VÄRMLANDS LÄN</t>
        </is>
      </c>
      <c r="E16307" t="inlineStr">
        <is>
          <t>MUNKFORS</t>
        </is>
      </c>
      <c r="F16307" t="inlineStr">
        <is>
          <t>Kyrkan</t>
        </is>
      </c>
      <c r="G16307" t="n">
        <v>7.6</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38267-2024</t>
        </is>
      </c>
      <c r="B16308" s="1" t="n">
        <v>45545</v>
      </c>
      <c r="C16308" s="1" t="n">
        <v>45810</v>
      </c>
      <c r="D16308" t="inlineStr">
        <is>
          <t>VÄRMLANDS LÄN</t>
        </is>
      </c>
      <c r="E16308" t="inlineStr">
        <is>
          <t>HAGFORS</t>
        </is>
      </c>
      <c r="F16308" t="inlineStr">
        <is>
          <t>Bergvik skog väst AB</t>
        </is>
      </c>
      <c r="G16308" t="n">
        <v>4.3</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38378-2024</t>
        </is>
      </c>
      <c r="B16309" s="1" t="n">
        <v>45545</v>
      </c>
      <c r="C16309" s="1" t="n">
        <v>45810</v>
      </c>
      <c r="D16309" t="inlineStr">
        <is>
          <t>VÄRMLANDS LÄN</t>
        </is>
      </c>
      <c r="E16309" t="inlineStr">
        <is>
          <t>SUNNE</t>
        </is>
      </c>
      <c r="G16309" t="n">
        <v>4.1</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38337-2024</t>
        </is>
      </c>
      <c r="B16310" s="1" t="n">
        <v>45545</v>
      </c>
      <c r="C16310" s="1" t="n">
        <v>45810</v>
      </c>
      <c r="D16310" t="inlineStr">
        <is>
          <t>VÄRMLANDS LÄN</t>
        </is>
      </c>
      <c r="E16310" t="inlineStr">
        <is>
          <t>GRUMS</t>
        </is>
      </c>
      <c r="G16310" t="n">
        <v>2</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38353-2024</t>
        </is>
      </c>
      <c r="B16311" s="1" t="n">
        <v>45545</v>
      </c>
      <c r="C16311" s="1" t="n">
        <v>45810</v>
      </c>
      <c r="D16311" t="inlineStr">
        <is>
          <t>VÄRMLANDS LÄN</t>
        </is>
      </c>
      <c r="E16311" t="inlineStr">
        <is>
          <t>TORSBY</t>
        </is>
      </c>
      <c r="G16311" t="n">
        <v>20.8</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38377-2024</t>
        </is>
      </c>
      <c r="B16312" s="1" t="n">
        <v>45545</v>
      </c>
      <c r="C16312" s="1" t="n">
        <v>45810</v>
      </c>
      <c r="D16312" t="inlineStr">
        <is>
          <t>VÄRMLANDS LÄN</t>
        </is>
      </c>
      <c r="E16312" t="inlineStr">
        <is>
          <t>SUNNE</t>
        </is>
      </c>
      <c r="G16312" t="n">
        <v>4.1</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38236-2024</t>
        </is>
      </c>
      <c r="B16313" s="1" t="n">
        <v>45545</v>
      </c>
      <c r="C16313" s="1" t="n">
        <v>45810</v>
      </c>
      <c r="D16313" t="inlineStr">
        <is>
          <t>VÄRMLANDS LÄN</t>
        </is>
      </c>
      <c r="E16313" t="inlineStr">
        <is>
          <t>HAGFORS</t>
        </is>
      </c>
      <c r="F16313" t="inlineStr">
        <is>
          <t>Bergvik skog väst AB</t>
        </is>
      </c>
      <c r="G16313" t="n">
        <v>0.8</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38452-2024</t>
        </is>
      </c>
      <c r="B16314" s="1" t="n">
        <v>45546</v>
      </c>
      <c r="C16314" s="1" t="n">
        <v>45810</v>
      </c>
      <c r="D16314" t="inlineStr">
        <is>
          <t>VÄRMLANDS LÄN</t>
        </is>
      </c>
      <c r="E16314" t="inlineStr">
        <is>
          <t>ARVIKA</t>
        </is>
      </c>
      <c r="G16314" t="n">
        <v>4.6</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38484-2024</t>
        </is>
      </c>
      <c r="B16315" s="1" t="n">
        <v>45546</v>
      </c>
      <c r="C16315" s="1" t="n">
        <v>45810</v>
      </c>
      <c r="D16315" t="inlineStr">
        <is>
          <t>VÄRMLANDS LÄN</t>
        </is>
      </c>
      <c r="E16315" t="inlineStr">
        <is>
          <t>ARVIKA</t>
        </is>
      </c>
      <c r="G16315" t="n">
        <v>10</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38518-2024</t>
        </is>
      </c>
      <c r="B16316" s="1" t="n">
        <v>45546</v>
      </c>
      <c r="C16316" s="1" t="n">
        <v>45810</v>
      </c>
      <c r="D16316" t="inlineStr">
        <is>
          <t>VÄRMLANDS LÄN</t>
        </is>
      </c>
      <c r="E16316" t="inlineStr">
        <is>
          <t>GRUMS</t>
        </is>
      </c>
      <c r="G16316" t="n">
        <v>0.7</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38526-2024</t>
        </is>
      </c>
      <c r="B16317" s="1" t="n">
        <v>45546</v>
      </c>
      <c r="C16317" s="1" t="n">
        <v>45810</v>
      </c>
      <c r="D16317" t="inlineStr">
        <is>
          <t>VÄRMLANDS LÄN</t>
        </is>
      </c>
      <c r="E16317" t="inlineStr">
        <is>
          <t>KIL</t>
        </is>
      </c>
      <c r="G16317" t="n">
        <v>1.1</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38530-2024</t>
        </is>
      </c>
      <c r="B16318" s="1" t="n">
        <v>45546</v>
      </c>
      <c r="C16318" s="1" t="n">
        <v>45810</v>
      </c>
      <c r="D16318" t="inlineStr">
        <is>
          <t>VÄRMLANDS LÄN</t>
        </is>
      </c>
      <c r="E16318" t="inlineStr">
        <is>
          <t>KIL</t>
        </is>
      </c>
      <c r="G16318" t="n">
        <v>3.7</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38538-2024</t>
        </is>
      </c>
      <c r="B16319" s="1" t="n">
        <v>45546</v>
      </c>
      <c r="C16319" s="1" t="n">
        <v>45810</v>
      </c>
      <c r="D16319" t="inlineStr">
        <is>
          <t>VÄRMLANDS LÄN</t>
        </is>
      </c>
      <c r="E16319" t="inlineStr">
        <is>
          <t>ÅRJÄNG</t>
        </is>
      </c>
      <c r="F16319" t="inlineStr">
        <is>
          <t>Bergvik skog väst AB</t>
        </is>
      </c>
      <c r="G16319" t="n">
        <v>1.1</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38542-2024</t>
        </is>
      </c>
      <c r="B16320" s="1" t="n">
        <v>45546</v>
      </c>
      <c r="C16320" s="1" t="n">
        <v>45810</v>
      </c>
      <c r="D16320" t="inlineStr">
        <is>
          <t>VÄRMLANDS LÄN</t>
        </is>
      </c>
      <c r="E16320" t="inlineStr">
        <is>
          <t>HAGFORS</t>
        </is>
      </c>
      <c r="F16320" t="inlineStr">
        <is>
          <t>Bergvik skog väst AB</t>
        </is>
      </c>
      <c r="G16320" t="n">
        <v>7</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38582-2024</t>
        </is>
      </c>
      <c r="B16321" s="1" t="n">
        <v>45546</v>
      </c>
      <c r="C16321" s="1" t="n">
        <v>45810</v>
      </c>
      <c r="D16321" t="inlineStr">
        <is>
          <t>VÄRMLANDS LÄN</t>
        </is>
      </c>
      <c r="E16321" t="inlineStr">
        <is>
          <t>GRUMS</t>
        </is>
      </c>
      <c r="F16321" t="inlineStr">
        <is>
          <t>Bergvik skog väst AB</t>
        </is>
      </c>
      <c r="G16321" t="n">
        <v>5.7</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38395-2024</t>
        </is>
      </c>
      <c r="B16322" s="1" t="n">
        <v>45546</v>
      </c>
      <c r="C16322" s="1" t="n">
        <v>45810</v>
      </c>
      <c r="D16322" t="inlineStr">
        <is>
          <t>VÄRMLANDS LÄN</t>
        </is>
      </c>
      <c r="E16322" t="inlineStr">
        <is>
          <t>ARVIKA</t>
        </is>
      </c>
      <c r="G16322" t="n">
        <v>1.5</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38474-2024</t>
        </is>
      </c>
      <c r="B16323" s="1" t="n">
        <v>45546</v>
      </c>
      <c r="C16323" s="1" t="n">
        <v>45810</v>
      </c>
      <c r="D16323" t="inlineStr">
        <is>
          <t>VÄRMLANDS LÄN</t>
        </is>
      </c>
      <c r="E16323" t="inlineStr">
        <is>
          <t>HAGFORS</t>
        </is>
      </c>
      <c r="G16323" t="n">
        <v>1.5</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38482-2024</t>
        </is>
      </c>
      <c r="B16324" s="1" t="n">
        <v>45546</v>
      </c>
      <c r="C16324" s="1" t="n">
        <v>45810</v>
      </c>
      <c r="D16324" t="inlineStr">
        <is>
          <t>VÄRMLANDS LÄN</t>
        </is>
      </c>
      <c r="E16324" t="inlineStr">
        <is>
          <t>ÅRJÄNG</t>
        </is>
      </c>
      <c r="G16324" t="n">
        <v>2.8</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38425-2024</t>
        </is>
      </c>
      <c r="B16325" s="1" t="n">
        <v>45546</v>
      </c>
      <c r="C16325" s="1" t="n">
        <v>45810</v>
      </c>
      <c r="D16325" t="inlineStr">
        <is>
          <t>VÄRMLANDS LÄN</t>
        </is>
      </c>
      <c r="E16325" t="inlineStr">
        <is>
          <t>ÅRJÄNG</t>
        </is>
      </c>
      <c r="F16325" t="inlineStr">
        <is>
          <t>Bergvik skog väst AB</t>
        </is>
      </c>
      <c r="G16325" t="n">
        <v>3.5</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38433-2024</t>
        </is>
      </c>
      <c r="B16326" s="1" t="n">
        <v>45546</v>
      </c>
      <c r="C16326" s="1" t="n">
        <v>45810</v>
      </c>
      <c r="D16326" t="inlineStr">
        <is>
          <t>VÄRMLANDS LÄN</t>
        </is>
      </c>
      <c r="E16326" t="inlineStr">
        <is>
          <t>ÅRJÄNG</t>
        </is>
      </c>
      <c r="G16326" t="n">
        <v>0.3</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38465-2024</t>
        </is>
      </c>
      <c r="B16327" s="1" t="n">
        <v>45546</v>
      </c>
      <c r="C16327" s="1" t="n">
        <v>45810</v>
      </c>
      <c r="D16327" t="inlineStr">
        <is>
          <t>VÄRMLANDS LÄN</t>
        </is>
      </c>
      <c r="E16327" t="inlineStr">
        <is>
          <t>ÅRJÄNG</t>
        </is>
      </c>
      <c r="F16327" t="inlineStr">
        <is>
          <t>Bergvik skog väst AB</t>
        </is>
      </c>
      <c r="G16327" t="n">
        <v>1.9</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38469-2024</t>
        </is>
      </c>
      <c r="B16328" s="1" t="n">
        <v>45546</v>
      </c>
      <c r="C16328" s="1" t="n">
        <v>45810</v>
      </c>
      <c r="D16328" t="inlineStr">
        <is>
          <t>VÄRMLANDS LÄN</t>
        </is>
      </c>
      <c r="E16328" t="inlineStr">
        <is>
          <t>KARLSTAD</t>
        </is>
      </c>
      <c r="G16328" t="n">
        <v>9</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38489-2024</t>
        </is>
      </c>
      <c r="B16329" s="1" t="n">
        <v>45546</v>
      </c>
      <c r="C16329" s="1" t="n">
        <v>45810</v>
      </c>
      <c r="D16329" t="inlineStr">
        <is>
          <t>VÄRMLANDS LÄN</t>
        </is>
      </c>
      <c r="E16329" t="inlineStr">
        <is>
          <t>ÅRJÄNG</t>
        </is>
      </c>
      <c r="G16329" t="n">
        <v>2.1</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38497-2024</t>
        </is>
      </c>
      <c r="B16330" s="1" t="n">
        <v>45546</v>
      </c>
      <c r="C16330" s="1" t="n">
        <v>45810</v>
      </c>
      <c r="D16330" t="inlineStr">
        <is>
          <t>VÄRMLANDS LÄN</t>
        </is>
      </c>
      <c r="E16330" t="inlineStr">
        <is>
          <t>TORSBY</t>
        </is>
      </c>
      <c r="G16330" t="n">
        <v>1.5</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38511-2024</t>
        </is>
      </c>
      <c r="B16331" s="1" t="n">
        <v>45546</v>
      </c>
      <c r="C16331" s="1" t="n">
        <v>45810</v>
      </c>
      <c r="D16331" t="inlineStr">
        <is>
          <t>VÄRMLANDS LÄN</t>
        </is>
      </c>
      <c r="E16331" t="inlineStr">
        <is>
          <t>SÄFFLE</t>
        </is>
      </c>
      <c r="G16331" t="n">
        <v>3.4</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38516-2024</t>
        </is>
      </c>
      <c r="B16332" s="1" t="n">
        <v>45546</v>
      </c>
      <c r="C16332" s="1" t="n">
        <v>45810</v>
      </c>
      <c r="D16332" t="inlineStr">
        <is>
          <t>VÄRMLANDS LÄN</t>
        </is>
      </c>
      <c r="E16332" t="inlineStr">
        <is>
          <t>GRUMS</t>
        </is>
      </c>
      <c r="G16332" t="n">
        <v>2.8</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38536-2024</t>
        </is>
      </c>
      <c r="B16333" s="1" t="n">
        <v>45546</v>
      </c>
      <c r="C16333" s="1" t="n">
        <v>45810</v>
      </c>
      <c r="D16333" t="inlineStr">
        <is>
          <t>VÄRMLANDS LÄN</t>
        </is>
      </c>
      <c r="E16333" t="inlineStr">
        <is>
          <t>ÅRJÄNG</t>
        </is>
      </c>
      <c r="F16333" t="inlineStr">
        <is>
          <t>Bergvik skog väst AB</t>
        </is>
      </c>
      <c r="G16333" t="n">
        <v>0.4</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38495-2024</t>
        </is>
      </c>
      <c r="B16334" s="1" t="n">
        <v>45546</v>
      </c>
      <c r="C16334" s="1" t="n">
        <v>45810</v>
      </c>
      <c r="D16334" t="inlineStr">
        <is>
          <t>VÄRMLANDS LÄN</t>
        </is>
      </c>
      <c r="E16334" t="inlineStr">
        <is>
          <t>KARLSTAD</t>
        </is>
      </c>
      <c r="G16334" t="n">
        <v>1.9</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38500-2024</t>
        </is>
      </c>
      <c r="B16335" s="1" t="n">
        <v>45546</v>
      </c>
      <c r="C16335" s="1" t="n">
        <v>45810</v>
      </c>
      <c r="D16335" t="inlineStr">
        <is>
          <t>VÄRMLANDS LÄN</t>
        </is>
      </c>
      <c r="E16335" t="inlineStr">
        <is>
          <t>HAGFORS</t>
        </is>
      </c>
      <c r="F16335" t="inlineStr">
        <is>
          <t>Bergvik skog väst AB</t>
        </is>
      </c>
      <c r="G16335" t="n">
        <v>9.1</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38505-2024</t>
        </is>
      </c>
      <c r="B16336" s="1" t="n">
        <v>45546</v>
      </c>
      <c r="C16336" s="1" t="n">
        <v>45810</v>
      </c>
      <c r="D16336" t="inlineStr">
        <is>
          <t>VÄRMLANDS LÄN</t>
        </is>
      </c>
      <c r="E16336" t="inlineStr">
        <is>
          <t>EDA</t>
        </is>
      </c>
      <c r="G16336" t="n">
        <v>0</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38517-2024</t>
        </is>
      </c>
      <c r="B16337" s="1" t="n">
        <v>45546</v>
      </c>
      <c r="C16337" s="1" t="n">
        <v>45810</v>
      </c>
      <c r="D16337" t="inlineStr">
        <is>
          <t>VÄRMLANDS LÄN</t>
        </is>
      </c>
      <c r="E16337" t="inlineStr">
        <is>
          <t>GRUMS</t>
        </is>
      </c>
      <c r="G16337" t="n">
        <v>1.3</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38529-2024</t>
        </is>
      </c>
      <c r="B16338" s="1" t="n">
        <v>45546</v>
      </c>
      <c r="C16338" s="1" t="n">
        <v>45810</v>
      </c>
      <c r="D16338" t="inlineStr">
        <is>
          <t>VÄRMLANDS LÄN</t>
        </is>
      </c>
      <c r="E16338" t="inlineStr">
        <is>
          <t>KIL</t>
        </is>
      </c>
      <c r="G16338" t="n">
        <v>1.7</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38533-2024</t>
        </is>
      </c>
      <c r="B16339" s="1" t="n">
        <v>45546</v>
      </c>
      <c r="C16339" s="1" t="n">
        <v>45810</v>
      </c>
      <c r="D16339" t="inlineStr">
        <is>
          <t>VÄRMLANDS LÄN</t>
        </is>
      </c>
      <c r="E16339" t="inlineStr">
        <is>
          <t>ÅRJÄNG</t>
        </is>
      </c>
      <c r="F16339" t="inlineStr">
        <is>
          <t>Bergvik skog väst AB</t>
        </is>
      </c>
      <c r="G16339" t="n">
        <v>0.9</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38537-2024</t>
        </is>
      </c>
      <c r="B16340" s="1" t="n">
        <v>45546</v>
      </c>
      <c r="C16340" s="1" t="n">
        <v>45810</v>
      </c>
      <c r="D16340" t="inlineStr">
        <is>
          <t>VÄRMLANDS LÄN</t>
        </is>
      </c>
      <c r="E16340" t="inlineStr">
        <is>
          <t>ÅRJÄNG</t>
        </is>
      </c>
      <c r="F16340" t="inlineStr">
        <is>
          <t>Bergvik skog väst AB</t>
        </is>
      </c>
      <c r="G16340" t="n">
        <v>0.8</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38561-2024</t>
        </is>
      </c>
      <c r="B16341" s="1" t="n">
        <v>45546</v>
      </c>
      <c r="C16341" s="1" t="n">
        <v>45810</v>
      </c>
      <c r="D16341" t="inlineStr">
        <is>
          <t>VÄRMLANDS LÄN</t>
        </is>
      </c>
      <c r="E16341" t="inlineStr">
        <is>
          <t>KARLSTAD</t>
        </is>
      </c>
      <c r="G16341" t="n">
        <v>3.2</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38618-2024</t>
        </is>
      </c>
      <c r="B16342" s="1" t="n">
        <v>45546</v>
      </c>
      <c r="C16342" s="1" t="n">
        <v>45810</v>
      </c>
      <c r="D16342" t="inlineStr">
        <is>
          <t>VÄRMLANDS LÄN</t>
        </is>
      </c>
      <c r="E16342" t="inlineStr">
        <is>
          <t>TORSBY</t>
        </is>
      </c>
      <c r="G16342" t="n">
        <v>0.8</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38531-2024</t>
        </is>
      </c>
      <c r="B16343" s="1" t="n">
        <v>45546</v>
      </c>
      <c r="C16343" s="1" t="n">
        <v>45810</v>
      </c>
      <c r="D16343" t="inlineStr">
        <is>
          <t>VÄRMLANDS LÄN</t>
        </is>
      </c>
      <c r="E16343" t="inlineStr">
        <is>
          <t>KIL</t>
        </is>
      </c>
      <c r="G16343" t="n">
        <v>1.4</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38539-2024</t>
        </is>
      </c>
      <c r="B16344" s="1" t="n">
        <v>45546</v>
      </c>
      <c r="C16344" s="1" t="n">
        <v>45810</v>
      </c>
      <c r="D16344" t="inlineStr">
        <is>
          <t>VÄRMLANDS LÄN</t>
        </is>
      </c>
      <c r="E16344" t="inlineStr">
        <is>
          <t>KIL</t>
        </is>
      </c>
      <c r="G16344" t="n">
        <v>0.9</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38659-2024</t>
        </is>
      </c>
      <c r="B16345" s="1" t="n">
        <v>45546</v>
      </c>
      <c r="C16345" s="1" t="n">
        <v>45810</v>
      </c>
      <c r="D16345" t="inlineStr">
        <is>
          <t>VÄRMLANDS LÄN</t>
        </is>
      </c>
      <c r="E16345" t="inlineStr">
        <is>
          <t>SUNNE</t>
        </is>
      </c>
      <c r="G16345" t="n">
        <v>1.2</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38658-2024</t>
        </is>
      </c>
      <c r="B16346" s="1" t="n">
        <v>45547</v>
      </c>
      <c r="C16346" s="1" t="n">
        <v>45810</v>
      </c>
      <c r="D16346" t="inlineStr">
        <is>
          <t>VÄRMLANDS LÄN</t>
        </is>
      </c>
      <c r="E16346" t="inlineStr">
        <is>
          <t>SUNNE</t>
        </is>
      </c>
      <c r="G16346" t="n">
        <v>2.8</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38666-2024</t>
        </is>
      </c>
      <c r="B16347" s="1" t="n">
        <v>45547</v>
      </c>
      <c r="C16347" s="1" t="n">
        <v>45810</v>
      </c>
      <c r="D16347" t="inlineStr">
        <is>
          <t>VÄRMLANDS LÄN</t>
        </is>
      </c>
      <c r="E16347" t="inlineStr">
        <is>
          <t>ARVIKA</t>
        </is>
      </c>
      <c r="F16347" t="inlineStr">
        <is>
          <t>Kommuner</t>
        </is>
      </c>
      <c r="G16347" t="n">
        <v>1.3</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38738-2024</t>
        </is>
      </c>
      <c r="B16348" s="1" t="n">
        <v>45547</v>
      </c>
      <c r="C16348" s="1" t="n">
        <v>45810</v>
      </c>
      <c r="D16348" t="inlineStr">
        <is>
          <t>VÄRMLANDS LÄN</t>
        </is>
      </c>
      <c r="E16348" t="inlineStr">
        <is>
          <t>HAGFORS</t>
        </is>
      </c>
      <c r="F16348" t="inlineStr">
        <is>
          <t>Bergvik skog väst AB</t>
        </is>
      </c>
      <c r="G16348" t="n">
        <v>0.9</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38764-2024</t>
        </is>
      </c>
      <c r="B16349" s="1" t="n">
        <v>45547</v>
      </c>
      <c r="C16349" s="1" t="n">
        <v>45810</v>
      </c>
      <c r="D16349" t="inlineStr">
        <is>
          <t>VÄRMLANDS LÄN</t>
        </is>
      </c>
      <c r="E16349" t="inlineStr">
        <is>
          <t>SÄFFLE</t>
        </is>
      </c>
      <c r="G16349" t="n">
        <v>1.9</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38773-2024</t>
        </is>
      </c>
      <c r="B16350" s="1" t="n">
        <v>45547</v>
      </c>
      <c r="C16350" s="1" t="n">
        <v>45810</v>
      </c>
      <c r="D16350" t="inlineStr">
        <is>
          <t>VÄRMLANDS LÄN</t>
        </is>
      </c>
      <c r="E16350" t="inlineStr">
        <is>
          <t>ARVIKA</t>
        </is>
      </c>
      <c r="F16350" t="inlineStr">
        <is>
          <t>Bergvik skog väst AB</t>
        </is>
      </c>
      <c r="G16350" t="n">
        <v>28.7</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38776-2024</t>
        </is>
      </c>
      <c r="B16351" s="1" t="n">
        <v>45547</v>
      </c>
      <c r="C16351" s="1" t="n">
        <v>45810</v>
      </c>
      <c r="D16351" t="inlineStr">
        <is>
          <t>VÄRMLANDS LÄN</t>
        </is>
      </c>
      <c r="E16351" t="inlineStr">
        <is>
          <t>SUNNE</t>
        </is>
      </c>
      <c r="G16351" t="n">
        <v>1.7</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38754-2024</t>
        </is>
      </c>
      <c r="B16352" s="1" t="n">
        <v>45547</v>
      </c>
      <c r="C16352" s="1" t="n">
        <v>45810</v>
      </c>
      <c r="D16352" t="inlineStr">
        <is>
          <t>VÄRMLANDS LÄN</t>
        </is>
      </c>
      <c r="E16352" t="inlineStr">
        <is>
          <t>HAGFORS</t>
        </is>
      </c>
      <c r="F16352" t="inlineStr">
        <is>
          <t>Bergvik skog väst AB</t>
        </is>
      </c>
      <c r="G16352" t="n">
        <v>4</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38806-2024</t>
        </is>
      </c>
      <c r="B16353" s="1" t="n">
        <v>45547</v>
      </c>
      <c r="C16353" s="1" t="n">
        <v>45810</v>
      </c>
      <c r="D16353" t="inlineStr">
        <is>
          <t>VÄRMLANDS LÄN</t>
        </is>
      </c>
      <c r="E16353" t="inlineStr">
        <is>
          <t>HAGFORS</t>
        </is>
      </c>
      <c r="F16353" t="inlineStr">
        <is>
          <t>Bergvik skog väst AB</t>
        </is>
      </c>
      <c r="G16353" t="n">
        <v>11</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38711-2024</t>
        </is>
      </c>
      <c r="B16354" s="1" t="n">
        <v>45547</v>
      </c>
      <c r="C16354" s="1" t="n">
        <v>45810</v>
      </c>
      <c r="D16354" t="inlineStr">
        <is>
          <t>VÄRMLANDS LÄN</t>
        </is>
      </c>
      <c r="E16354" t="inlineStr">
        <is>
          <t>ARVIKA</t>
        </is>
      </c>
      <c r="F16354" t="inlineStr">
        <is>
          <t>Bergvik skog väst AB</t>
        </is>
      </c>
      <c r="G16354" t="n">
        <v>2.9</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38794-2024</t>
        </is>
      </c>
      <c r="B16355" s="1" t="n">
        <v>45547</v>
      </c>
      <c r="C16355" s="1" t="n">
        <v>45810</v>
      </c>
      <c r="D16355" t="inlineStr">
        <is>
          <t>VÄRMLANDS LÄN</t>
        </is>
      </c>
      <c r="E16355" t="inlineStr">
        <is>
          <t>EDA</t>
        </is>
      </c>
      <c r="G16355" t="n">
        <v>1.6</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38835-2024</t>
        </is>
      </c>
      <c r="B16356" s="1" t="n">
        <v>45547</v>
      </c>
      <c r="C16356" s="1" t="n">
        <v>45810</v>
      </c>
      <c r="D16356" t="inlineStr">
        <is>
          <t>VÄRMLANDS LÄN</t>
        </is>
      </c>
      <c r="E16356" t="inlineStr">
        <is>
          <t>KIL</t>
        </is>
      </c>
      <c r="G16356" t="n">
        <v>1.8</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38873-2024</t>
        </is>
      </c>
      <c r="B16357" s="1" t="n">
        <v>45547</v>
      </c>
      <c r="C16357" s="1" t="n">
        <v>45810</v>
      </c>
      <c r="D16357" t="inlineStr">
        <is>
          <t>VÄRMLANDS LÄN</t>
        </is>
      </c>
      <c r="E16357" t="inlineStr">
        <is>
          <t>SUNNE</t>
        </is>
      </c>
      <c r="G16357" t="n">
        <v>7.2</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38885-2024</t>
        </is>
      </c>
      <c r="B16358" s="1" t="n">
        <v>45547</v>
      </c>
      <c r="C16358" s="1" t="n">
        <v>45810</v>
      </c>
      <c r="D16358" t="inlineStr">
        <is>
          <t>VÄRMLANDS LÄN</t>
        </is>
      </c>
      <c r="E16358" t="inlineStr">
        <is>
          <t>EDA</t>
        </is>
      </c>
      <c r="G16358" t="n">
        <v>1.5</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38828-2024</t>
        </is>
      </c>
      <c r="B16359" s="1" t="n">
        <v>45547</v>
      </c>
      <c r="C16359" s="1" t="n">
        <v>45810</v>
      </c>
      <c r="D16359" t="inlineStr">
        <is>
          <t>VÄRMLANDS LÄN</t>
        </is>
      </c>
      <c r="E16359" t="inlineStr">
        <is>
          <t>FILIPSTAD</t>
        </is>
      </c>
      <c r="F16359" t="inlineStr">
        <is>
          <t>Bergvik skog väst AB</t>
        </is>
      </c>
      <c r="G16359" t="n">
        <v>21.9</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38866-2024</t>
        </is>
      </c>
      <c r="B16360" s="1" t="n">
        <v>45547</v>
      </c>
      <c r="C16360" s="1" t="n">
        <v>45810</v>
      </c>
      <c r="D16360" t="inlineStr">
        <is>
          <t>VÄRMLANDS LÄN</t>
        </is>
      </c>
      <c r="E16360" t="inlineStr">
        <is>
          <t>FILIPSTAD</t>
        </is>
      </c>
      <c r="F16360" t="inlineStr">
        <is>
          <t>Bergvik skog väst AB</t>
        </is>
      </c>
      <c r="G16360" t="n">
        <v>1.8</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38880-2024</t>
        </is>
      </c>
      <c r="B16361" s="1" t="n">
        <v>45547</v>
      </c>
      <c r="C16361" s="1" t="n">
        <v>45810</v>
      </c>
      <c r="D16361" t="inlineStr">
        <is>
          <t>VÄRMLANDS LÄN</t>
        </is>
      </c>
      <c r="E16361" t="inlineStr">
        <is>
          <t>SÄFFLE</t>
        </is>
      </c>
      <c r="G16361" t="n">
        <v>3.1</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38913-2024</t>
        </is>
      </c>
      <c r="B16362" s="1" t="n">
        <v>45547</v>
      </c>
      <c r="C16362" s="1" t="n">
        <v>45810</v>
      </c>
      <c r="D16362" t="inlineStr">
        <is>
          <t>VÄRMLANDS LÄN</t>
        </is>
      </c>
      <c r="E16362" t="inlineStr">
        <is>
          <t>SUNNE</t>
        </is>
      </c>
      <c r="G16362" t="n">
        <v>4.4</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38887-2024</t>
        </is>
      </c>
      <c r="B16363" s="1" t="n">
        <v>45547</v>
      </c>
      <c r="C16363" s="1" t="n">
        <v>45810</v>
      </c>
      <c r="D16363" t="inlineStr">
        <is>
          <t>VÄRMLANDS LÄN</t>
        </is>
      </c>
      <c r="E16363" t="inlineStr">
        <is>
          <t>HAGFORS</t>
        </is>
      </c>
      <c r="G16363" t="n">
        <v>1.3</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38911-2024</t>
        </is>
      </c>
      <c r="B16364" s="1" t="n">
        <v>45547</v>
      </c>
      <c r="C16364" s="1" t="n">
        <v>45810</v>
      </c>
      <c r="D16364" t="inlineStr">
        <is>
          <t>VÄRMLANDS LÄN</t>
        </is>
      </c>
      <c r="E16364" t="inlineStr">
        <is>
          <t>TORSBY</t>
        </is>
      </c>
      <c r="G16364" t="n">
        <v>1.5</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38931-2024</t>
        </is>
      </c>
      <c r="B16365" s="1" t="n">
        <v>45548</v>
      </c>
      <c r="C16365" s="1" t="n">
        <v>45810</v>
      </c>
      <c r="D16365" t="inlineStr">
        <is>
          <t>VÄRMLANDS LÄN</t>
        </is>
      </c>
      <c r="E16365" t="inlineStr">
        <is>
          <t>TORSBY</t>
        </is>
      </c>
      <c r="F16365" t="inlineStr">
        <is>
          <t>Bergvik skog väst AB</t>
        </is>
      </c>
      <c r="G16365" t="n">
        <v>10.8</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38953-2024</t>
        </is>
      </c>
      <c r="B16366" s="1" t="n">
        <v>45548</v>
      </c>
      <c r="C16366" s="1" t="n">
        <v>45810</v>
      </c>
      <c r="D16366" t="inlineStr">
        <is>
          <t>VÄRMLANDS LÄN</t>
        </is>
      </c>
      <c r="E16366" t="inlineStr">
        <is>
          <t>SUNNE</t>
        </is>
      </c>
      <c r="F16366" t="inlineStr">
        <is>
          <t>Bergvik skog väst AB</t>
        </is>
      </c>
      <c r="G16366" t="n">
        <v>0.5</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39023-2024</t>
        </is>
      </c>
      <c r="B16367" s="1" t="n">
        <v>45548</v>
      </c>
      <c r="C16367" s="1" t="n">
        <v>45810</v>
      </c>
      <c r="D16367" t="inlineStr">
        <is>
          <t>VÄRMLANDS LÄN</t>
        </is>
      </c>
      <c r="E16367" t="inlineStr">
        <is>
          <t>SUNNE</t>
        </is>
      </c>
      <c r="G16367" t="n">
        <v>1.8</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39027-2024</t>
        </is>
      </c>
      <c r="B16368" s="1" t="n">
        <v>45548</v>
      </c>
      <c r="C16368" s="1" t="n">
        <v>45810</v>
      </c>
      <c r="D16368" t="inlineStr">
        <is>
          <t>VÄRMLANDS LÄN</t>
        </is>
      </c>
      <c r="E16368" t="inlineStr">
        <is>
          <t>ÅRJÄNG</t>
        </is>
      </c>
      <c r="F16368" t="inlineStr">
        <is>
          <t>Kyrkan</t>
        </is>
      </c>
      <c r="G16368" t="n">
        <v>3.6</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39039-2024</t>
        </is>
      </c>
      <c r="B16369" s="1" t="n">
        <v>45548</v>
      </c>
      <c r="C16369" s="1" t="n">
        <v>45810</v>
      </c>
      <c r="D16369" t="inlineStr">
        <is>
          <t>VÄRMLANDS LÄN</t>
        </is>
      </c>
      <c r="E16369" t="inlineStr">
        <is>
          <t>KIL</t>
        </is>
      </c>
      <c r="F16369" t="inlineStr">
        <is>
          <t>Kyrkan</t>
        </is>
      </c>
      <c r="G16369" t="n">
        <v>2.8</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39055-2024</t>
        </is>
      </c>
      <c r="B16370" s="1" t="n">
        <v>45548</v>
      </c>
      <c r="C16370" s="1" t="n">
        <v>45810</v>
      </c>
      <c r="D16370" t="inlineStr">
        <is>
          <t>VÄRMLANDS LÄN</t>
        </is>
      </c>
      <c r="E16370" t="inlineStr">
        <is>
          <t>KIL</t>
        </is>
      </c>
      <c r="F16370" t="inlineStr">
        <is>
          <t>Kyrkan</t>
        </is>
      </c>
      <c r="G16370" t="n">
        <v>1.1</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39081-2024</t>
        </is>
      </c>
      <c r="B16371" s="1" t="n">
        <v>45548</v>
      </c>
      <c r="C16371" s="1" t="n">
        <v>45810</v>
      </c>
      <c r="D16371" t="inlineStr">
        <is>
          <t>VÄRMLANDS LÄN</t>
        </is>
      </c>
      <c r="E16371" t="inlineStr">
        <is>
          <t>SÄFFLE</t>
        </is>
      </c>
      <c r="G16371" t="n">
        <v>3.3</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39098-2024</t>
        </is>
      </c>
      <c r="B16372" s="1" t="n">
        <v>45548</v>
      </c>
      <c r="C16372" s="1" t="n">
        <v>45810</v>
      </c>
      <c r="D16372" t="inlineStr">
        <is>
          <t>VÄRMLANDS LÄN</t>
        </is>
      </c>
      <c r="E16372" t="inlineStr">
        <is>
          <t>SUNNE</t>
        </is>
      </c>
      <c r="G16372" t="n">
        <v>1.2</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39135-2024</t>
        </is>
      </c>
      <c r="B16373" s="1" t="n">
        <v>45548</v>
      </c>
      <c r="C16373" s="1" t="n">
        <v>45810</v>
      </c>
      <c r="D16373" t="inlineStr">
        <is>
          <t>VÄRMLANDS LÄN</t>
        </is>
      </c>
      <c r="E16373" t="inlineStr">
        <is>
          <t>SUNNE</t>
        </is>
      </c>
      <c r="G16373" t="n">
        <v>1.1</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39143-2024</t>
        </is>
      </c>
      <c r="B16374" s="1" t="n">
        <v>45548</v>
      </c>
      <c r="C16374" s="1" t="n">
        <v>45810</v>
      </c>
      <c r="D16374" t="inlineStr">
        <is>
          <t>VÄRMLANDS LÄN</t>
        </is>
      </c>
      <c r="E16374" t="inlineStr">
        <is>
          <t>SUNNE</t>
        </is>
      </c>
      <c r="F16374" t="inlineStr">
        <is>
          <t>Kommuner</t>
        </is>
      </c>
      <c r="G16374" t="n">
        <v>4.1</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39147-2024</t>
        </is>
      </c>
      <c r="B16375" s="1" t="n">
        <v>45548</v>
      </c>
      <c r="C16375" s="1" t="n">
        <v>45810</v>
      </c>
      <c r="D16375" t="inlineStr">
        <is>
          <t>VÄRMLANDS LÄN</t>
        </is>
      </c>
      <c r="E16375" t="inlineStr">
        <is>
          <t>SUNNE</t>
        </is>
      </c>
      <c r="G16375" t="n">
        <v>1.5</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39030-2024</t>
        </is>
      </c>
      <c r="B16376" s="1" t="n">
        <v>45548</v>
      </c>
      <c r="C16376" s="1" t="n">
        <v>45810</v>
      </c>
      <c r="D16376" t="inlineStr">
        <is>
          <t>VÄRMLANDS LÄN</t>
        </is>
      </c>
      <c r="E16376" t="inlineStr">
        <is>
          <t>SUNNE</t>
        </is>
      </c>
      <c r="G16376" t="n">
        <v>2</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39038-2024</t>
        </is>
      </c>
      <c r="B16377" s="1" t="n">
        <v>45548</v>
      </c>
      <c r="C16377" s="1" t="n">
        <v>45810</v>
      </c>
      <c r="D16377" t="inlineStr">
        <is>
          <t>VÄRMLANDS LÄN</t>
        </is>
      </c>
      <c r="E16377" t="inlineStr">
        <is>
          <t>KARLSTAD</t>
        </is>
      </c>
      <c r="G16377" t="n">
        <v>2.8</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39129-2024</t>
        </is>
      </c>
      <c r="B16378" s="1" t="n">
        <v>45548</v>
      </c>
      <c r="C16378" s="1" t="n">
        <v>45810</v>
      </c>
      <c r="D16378" t="inlineStr">
        <is>
          <t>VÄRMLANDS LÄN</t>
        </is>
      </c>
      <c r="E16378" t="inlineStr">
        <is>
          <t>ARVIKA</t>
        </is>
      </c>
      <c r="F16378" t="inlineStr">
        <is>
          <t>Bergvik skog väst AB</t>
        </is>
      </c>
      <c r="G16378" t="n">
        <v>5</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39154-2024</t>
        </is>
      </c>
      <c r="B16379" s="1" t="n">
        <v>45548</v>
      </c>
      <c r="C16379" s="1" t="n">
        <v>45810</v>
      </c>
      <c r="D16379" t="inlineStr">
        <is>
          <t>VÄRMLANDS LÄN</t>
        </is>
      </c>
      <c r="E16379" t="inlineStr">
        <is>
          <t>SUNNE</t>
        </is>
      </c>
      <c r="G16379" t="n">
        <v>1.3</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39158-2024</t>
        </is>
      </c>
      <c r="B16380" s="1" t="n">
        <v>45548</v>
      </c>
      <c r="C16380" s="1" t="n">
        <v>45810</v>
      </c>
      <c r="D16380" t="inlineStr">
        <is>
          <t>VÄRMLANDS LÄN</t>
        </is>
      </c>
      <c r="E16380" t="inlineStr">
        <is>
          <t>ARVIKA</t>
        </is>
      </c>
      <c r="F16380" t="inlineStr">
        <is>
          <t>Bergvik skog väst AB</t>
        </is>
      </c>
      <c r="G16380" t="n">
        <v>1.4</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39025-2024</t>
        </is>
      </c>
      <c r="B16381" s="1" t="n">
        <v>45548</v>
      </c>
      <c r="C16381" s="1" t="n">
        <v>45810</v>
      </c>
      <c r="D16381" t="inlineStr">
        <is>
          <t>VÄRMLANDS LÄN</t>
        </is>
      </c>
      <c r="E16381" t="inlineStr">
        <is>
          <t>ARVIKA</t>
        </is>
      </c>
      <c r="G16381" t="n">
        <v>2</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39075-2024</t>
        </is>
      </c>
      <c r="B16382" s="1" t="n">
        <v>45548</v>
      </c>
      <c r="C16382" s="1" t="n">
        <v>45810</v>
      </c>
      <c r="D16382" t="inlineStr">
        <is>
          <t>VÄRMLANDS LÄN</t>
        </is>
      </c>
      <c r="E16382" t="inlineStr">
        <is>
          <t>TORSBY</t>
        </is>
      </c>
      <c r="G16382" t="n">
        <v>5.8</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39120-2024</t>
        </is>
      </c>
      <c r="B16383" s="1" t="n">
        <v>45548</v>
      </c>
      <c r="C16383" s="1" t="n">
        <v>45810</v>
      </c>
      <c r="D16383" t="inlineStr">
        <is>
          <t>VÄRMLANDS LÄN</t>
        </is>
      </c>
      <c r="E16383" t="inlineStr">
        <is>
          <t>ARVIKA</t>
        </is>
      </c>
      <c r="F16383" t="inlineStr">
        <is>
          <t>Bergvik skog väst AB</t>
        </is>
      </c>
      <c r="G16383" t="n">
        <v>3</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39124-2024</t>
        </is>
      </c>
      <c r="B16384" s="1" t="n">
        <v>45548</v>
      </c>
      <c r="C16384" s="1" t="n">
        <v>45810</v>
      </c>
      <c r="D16384" t="inlineStr">
        <is>
          <t>VÄRMLANDS LÄN</t>
        </is>
      </c>
      <c r="E16384" t="inlineStr">
        <is>
          <t>ARVIKA</t>
        </is>
      </c>
      <c r="F16384" t="inlineStr">
        <is>
          <t>Bergvik skog väst AB</t>
        </is>
      </c>
      <c r="G16384" t="n">
        <v>3.9</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39149-2024</t>
        </is>
      </c>
      <c r="B16385" s="1" t="n">
        <v>45548</v>
      </c>
      <c r="C16385" s="1" t="n">
        <v>45810</v>
      </c>
      <c r="D16385" t="inlineStr">
        <is>
          <t>VÄRMLANDS LÄN</t>
        </is>
      </c>
      <c r="E16385" t="inlineStr">
        <is>
          <t>ARVIKA</t>
        </is>
      </c>
      <c r="F16385" t="inlineStr">
        <is>
          <t>Bergvik skog väst AB</t>
        </is>
      </c>
      <c r="G16385" t="n">
        <v>5.9</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39028-2024</t>
        </is>
      </c>
      <c r="B16386" s="1" t="n">
        <v>45548</v>
      </c>
      <c r="C16386" s="1" t="n">
        <v>45810</v>
      </c>
      <c r="D16386" t="inlineStr">
        <is>
          <t>VÄRMLANDS LÄN</t>
        </is>
      </c>
      <c r="E16386" t="inlineStr">
        <is>
          <t>SUNNE</t>
        </is>
      </c>
      <c r="G16386" t="n">
        <v>6.3</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39040-2024</t>
        </is>
      </c>
      <c r="B16387" s="1" t="n">
        <v>45548</v>
      </c>
      <c r="C16387" s="1" t="n">
        <v>45810</v>
      </c>
      <c r="D16387" t="inlineStr">
        <is>
          <t>VÄRMLANDS LÄN</t>
        </is>
      </c>
      <c r="E16387" t="inlineStr">
        <is>
          <t>SUNNE</t>
        </is>
      </c>
      <c r="G16387" t="n">
        <v>5.6</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39136-2024</t>
        </is>
      </c>
      <c r="B16388" s="1" t="n">
        <v>45548</v>
      </c>
      <c r="C16388" s="1" t="n">
        <v>45810</v>
      </c>
      <c r="D16388" t="inlineStr">
        <is>
          <t>VÄRMLANDS LÄN</t>
        </is>
      </c>
      <c r="E16388" t="inlineStr">
        <is>
          <t>ARVIKA</t>
        </is>
      </c>
      <c r="F16388" t="inlineStr">
        <is>
          <t>Bergvik skog väst AB</t>
        </is>
      </c>
      <c r="G16388" t="n">
        <v>3.4</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39148-2024</t>
        </is>
      </c>
      <c r="B16389" s="1" t="n">
        <v>45548</v>
      </c>
      <c r="C16389" s="1" t="n">
        <v>45810</v>
      </c>
      <c r="D16389" t="inlineStr">
        <is>
          <t>VÄRMLANDS LÄN</t>
        </is>
      </c>
      <c r="E16389" t="inlineStr">
        <is>
          <t>SÄFFLE</t>
        </is>
      </c>
      <c r="G16389" t="n">
        <v>2.2</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39161-2024</t>
        </is>
      </c>
      <c r="B16390" s="1" t="n">
        <v>45548</v>
      </c>
      <c r="C16390" s="1" t="n">
        <v>45810</v>
      </c>
      <c r="D16390" t="inlineStr">
        <is>
          <t>VÄRMLANDS LÄN</t>
        </is>
      </c>
      <c r="E16390" t="inlineStr">
        <is>
          <t>ARVIKA</t>
        </is>
      </c>
      <c r="G16390" t="n">
        <v>7</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39205-2024</t>
        </is>
      </c>
      <c r="B16391" s="1" t="n">
        <v>45548</v>
      </c>
      <c r="C16391" s="1" t="n">
        <v>45810</v>
      </c>
      <c r="D16391" t="inlineStr">
        <is>
          <t>VÄRMLANDS LÄN</t>
        </is>
      </c>
      <c r="E16391" t="inlineStr">
        <is>
          <t>ÅRJÄNG</t>
        </is>
      </c>
      <c r="F16391" t="inlineStr">
        <is>
          <t>Övriga Aktiebolag</t>
        </is>
      </c>
      <c r="G16391" t="n">
        <v>16.2</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39156-2024</t>
        </is>
      </c>
      <c r="B16392" s="1" t="n">
        <v>45548</v>
      </c>
      <c r="C16392" s="1" t="n">
        <v>45810</v>
      </c>
      <c r="D16392" t="inlineStr">
        <is>
          <t>VÄRMLANDS LÄN</t>
        </is>
      </c>
      <c r="E16392" t="inlineStr">
        <is>
          <t>ÅRJÄNG</t>
        </is>
      </c>
      <c r="G16392" t="n">
        <v>0.8</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39160-2024</t>
        </is>
      </c>
      <c r="B16393" s="1" t="n">
        <v>45548</v>
      </c>
      <c r="C16393" s="1" t="n">
        <v>45810</v>
      </c>
      <c r="D16393" t="inlineStr">
        <is>
          <t>VÄRMLANDS LÄN</t>
        </is>
      </c>
      <c r="E16393" t="inlineStr">
        <is>
          <t>ARVIKA</t>
        </is>
      </c>
      <c r="F16393" t="inlineStr">
        <is>
          <t>Bergvik skog väst AB</t>
        </is>
      </c>
      <c r="G16393" t="n">
        <v>2.2</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39164-2024</t>
        </is>
      </c>
      <c r="B16394" s="1" t="n">
        <v>45548</v>
      </c>
      <c r="C16394" s="1" t="n">
        <v>45810</v>
      </c>
      <c r="D16394" t="inlineStr">
        <is>
          <t>VÄRMLANDS LÄN</t>
        </is>
      </c>
      <c r="E16394" t="inlineStr">
        <is>
          <t>SUNNE</t>
        </is>
      </c>
      <c r="G16394" t="n">
        <v>3.2</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39187-2024</t>
        </is>
      </c>
      <c r="B16395" s="1" t="n">
        <v>45548</v>
      </c>
      <c r="C16395" s="1" t="n">
        <v>45810</v>
      </c>
      <c r="D16395" t="inlineStr">
        <is>
          <t>VÄRMLANDS LÄN</t>
        </is>
      </c>
      <c r="E16395" t="inlineStr">
        <is>
          <t>ÅRJÄNG</t>
        </is>
      </c>
      <c r="G16395" t="n">
        <v>1.2</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39213-2024</t>
        </is>
      </c>
      <c r="B16396" s="1" t="n">
        <v>45549</v>
      </c>
      <c r="C16396" s="1" t="n">
        <v>45810</v>
      </c>
      <c r="D16396" t="inlineStr">
        <is>
          <t>VÄRMLANDS LÄN</t>
        </is>
      </c>
      <c r="E16396" t="inlineStr">
        <is>
          <t>EDA</t>
        </is>
      </c>
      <c r="G16396" t="n">
        <v>0.7</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39277-2024</t>
        </is>
      </c>
      <c r="B16397" s="1" t="n">
        <v>45551</v>
      </c>
      <c r="C16397" s="1" t="n">
        <v>45810</v>
      </c>
      <c r="D16397" t="inlineStr">
        <is>
          <t>VÄRMLANDS LÄN</t>
        </is>
      </c>
      <c r="E16397" t="inlineStr">
        <is>
          <t>TORSBY</t>
        </is>
      </c>
      <c r="F16397" t="inlineStr">
        <is>
          <t>Bergvik skog väst AB</t>
        </is>
      </c>
      <c r="G16397" t="n">
        <v>4</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39402-2024</t>
        </is>
      </c>
      <c r="B16398" s="1" t="n">
        <v>45551</v>
      </c>
      <c r="C16398" s="1" t="n">
        <v>45810</v>
      </c>
      <c r="D16398" t="inlineStr">
        <is>
          <t>VÄRMLANDS LÄN</t>
        </is>
      </c>
      <c r="E16398" t="inlineStr">
        <is>
          <t>FORSHAGA</t>
        </is>
      </c>
      <c r="G16398" t="n">
        <v>1.2</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39407-2024</t>
        </is>
      </c>
      <c r="B16399" s="1" t="n">
        <v>45551</v>
      </c>
      <c r="C16399" s="1" t="n">
        <v>45810</v>
      </c>
      <c r="D16399" t="inlineStr">
        <is>
          <t>VÄRMLANDS LÄN</t>
        </is>
      </c>
      <c r="E16399" t="inlineStr">
        <is>
          <t>FORSHAGA</t>
        </is>
      </c>
      <c r="G16399" t="n">
        <v>1.4</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39404-2024</t>
        </is>
      </c>
      <c r="B16400" s="1" t="n">
        <v>45551</v>
      </c>
      <c r="C16400" s="1" t="n">
        <v>45810</v>
      </c>
      <c r="D16400" t="inlineStr">
        <is>
          <t>VÄRMLANDS LÄN</t>
        </is>
      </c>
      <c r="E16400" t="inlineStr">
        <is>
          <t>FORSHAGA</t>
        </is>
      </c>
      <c r="G16400" t="n">
        <v>0.8</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39409-2024</t>
        </is>
      </c>
      <c r="B16401" s="1" t="n">
        <v>45551</v>
      </c>
      <c r="C16401" s="1" t="n">
        <v>45810</v>
      </c>
      <c r="D16401" t="inlineStr">
        <is>
          <t>VÄRMLANDS LÄN</t>
        </is>
      </c>
      <c r="E16401" t="inlineStr">
        <is>
          <t>GRUMS</t>
        </is>
      </c>
      <c r="G16401" t="n">
        <v>1.3</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39454-2024</t>
        </is>
      </c>
      <c r="B16402" s="1" t="n">
        <v>45551</v>
      </c>
      <c r="C16402" s="1" t="n">
        <v>45810</v>
      </c>
      <c r="D16402" t="inlineStr">
        <is>
          <t>VÄRMLANDS LÄN</t>
        </is>
      </c>
      <c r="E16402" t="inlineStr">
        <is>
          <t>SUNNE</t>
        </is>
      </c>
      <c r="G16402" t="n">
        <v>0.6</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39362-2024</t>
        </is>
      </c>
      <c r="B16403" s="1" t="n">
        <v>45551</v>
      </c>
      <c r="C16403" s="1" t="n">
        <v>45810</v>
      </c>
      <c r="D16403" t="inlineStr">
        <is>
          <t>VÄRMLANDS LÄN</t>
        </is>
      </c>
      <c r="E16403" t="inlineStr">
        <is>
          <t>HAGFORS</t>
        </is>
      </c>
      <c r="F16403" t="inlineStr">
        <is>
          <t>Bergvik skog väst AB</t>
        </is>
      </c>
      <c r="G16403" t="n">
        <v>5.7</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39378-2024</t>
        </is>
      </c>
      <c r="B16404" s="1" t="n">
        <v>45551</v>
      </c>
      <c r="C16404" s="1" t="n">
        <v>45810</v>
      </c>
      <c r="D16404" t="inlineStr">
        <is>
          <t>VÄRMLANDS LÄN</t>
        </is>
      </c>
      <c r="E16404" t="inlineStr">
        <is>
          <t>TORSBY</t>
        </is>
      </c>
      <c r="G16404" t="n">
        <v>4.7</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39383-2024</t>
        </is>
      </c>
      <c r="B16405" s="1" t="n">
        <v>45551</v>
      </c>
      <c r="C16405" s="1" t="n">
        <v>45810</v>
      </c>
      <c r="D16405" t="inlineStr">
        <is>
          <t>VÄRMLANDS LÄN</t>
        </is>
      </c>
      <c r="E16405" t="inlineStr">
        <is>
          <t>TORSBY</t>
        </is>
      </c>
      <c r="G16405" t="n">
        <v>3</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39451-2024</t>
        </is>
      </c>
      <c r="B16406" s="1" t="n">
        <v>45551</v>
      </c>
      <c r="C16406" s="1" t="n">
        <v>45810</v>
      </c>
      <c r="D16406" t="inlineStr">
        <is>
          <t>VÄRMLANDS LÄN</t>
        </is>
      </c>
      <c r="E16406" t="inlineStr">
        <is>
          <t>SUNNE</t>
        </is>
      </c>
      <c r="F16406" t="inlineStr">
        <is>
          <t>Bergvik skog väst AB</t>
        </is>
      </c>
      <c r="G16406" t="n">
        <v>3.1</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39502-2024</t>
        </is>
      </c>
      <c r="B16407" s="1" t="n">
        <v>45551</v>
      </c>
      <c r="C16407" s="1" t="n">
        <v>45810</v>
      </c>
      <c r="D16407" t="inlineStr">
        <is>
          <t>VÄRMLANDS LÄN</t>
        </is>
      </c>
      <c r="E16407" t="inlineStr">
        <is>
          <t>SUNNE</t>
        </is>
      </c>
      <c r="F16407" t="inlineStr">
        <is>
          <t>Kyrkan</t>
        </is>
      </c>
      <c r="G16407" t="n">
        <v>0.8</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39504-2024</t>
        </is>
      </c>
      <c r="B16408" s="1" t="n">
        <v>45551</v>
      </c>
      <c r="C16408" s="1" t="n">
        <v>45810</v>
      </c>
      <c r="D16408" t="inlineStr">
        <is>
          <t>VÄRMLANDS LÄN</t>
        </is>
      </c>
      <c r="E16408" t="inlineStr">
        <is>
          <t>KARLSTAD</t>
        </is>
      </c>
      <c r="G16408" t="n">
        <v>3</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39512-2024</t>
        </is>
      </c>
      <c r="B16409" s="1" t="n">
        <v>45551</v>
      </c>
      <c r="C16409" s="1" t="n">
        <v>45810</v>
      </c>
      <c r="D16409" t="inlineStr">
        <is>
          <t>VÄRMLANDS LÄN</t>
        </is>
      </c>
      <c r="E16409" t="inlineStr">
        <is>
          <t>ARVIKA</t>
        </is>
      </c>
      <c r="G16409" t="n">
        <v>2.2</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39525-2024</t>
        </is>
      </c>
      <c r="B16410" s="1" t="n">
        <v>45551</v>
      </c>
      <c r="C16410" s="1" t="n">
        <v>45810</v>
      </c>
      <c r="D16410" t="inlineStr">
        <is>
          <t>VÄRMLANDS LÄN</t>
        </is>
      </c>
      <c r="E16410" t="inlineStr">
        <is>
          <t>ÅRJÄNG</t>
        </is>
      </c>
      <c r="G16410" t="n">
        <v>3.2</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39587-2024</t>
        </is>
      </c>
      <c r="B16411" s="1" t="n">
        <v>45551</v>
      </c>
      <c r="C16411" s="1" t="n">
        <v>45810</v>
      </c>
      <c r="D16411" t="inlineStr">
        <is>
          <t>VÄRMLANDS LÄN</t>
        </is>
      </c>
      <c r="E16411" t="inlineStr">
        <is>
          <t>TORSBY</t>
        </is>
      </c>
      <c r="G16411" t="n">
        <v>0.9</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39569-2024</t>
        </is>
      </c>
      <c r="B16412" s="1" t="n">
        <v>45551</v>
      </c>
      <c r="C16412" s="1" t="n">
        <v>45810</v>
      </c>
      <c r="D16412" t="inlineStr">
        <is>
          <t>VÄRMLANDS LÄN</t>
        </is>
      </c>
      <c r="E16412" t="inlineStr">
        <is>
          <t>TORSBY</t>
        </is>
      </c>
      <c r="G16412" t="n">
        <v>3.5</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39538-2024</t>
        </is>
      </c>
      <c r="B16413" s="1" t="n">
        <v>45551</v>
      </c>
      <c r="C16413" s="1" t="n">
        <v>45810</v>
      </c>
      <c r="D16413" t="inlineStr">
        <is>
          <t>VÄRMLANDS LÄN</t>
        </is>
      </c>
      <c r="E16413" t="inlineStr">
        <is>
          <t>SUNNE</t>
        </is>
      </c>
      <c r="G16413" t="n">
        <v>0.8</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39555-2024</t>
        </is>
      </c>
      <c r="B16414" s="1" t="n">
        <v>45551</v>
      </c>
      <c r="C16414" s="1" t="n">
        <v>45810</v>
      </c>
      <c r="D16414" t="inlineStr">
        <is>
          <t>VÄRMLANDS LÄN</t>
        </is>
      </c>
      <c r="E16414" t="inlineStr">
        <is>
          <t>KARLSTAD</t>
        </is>
      </c>
      <c r="G16414" t="n">
        <v>1</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39567-2024</t>
        </is>
      </c>
      <c r="B16415" s="1" t="n">
        <v>45552</v>
      </c>
      <c r="C16415" s="1" t="n">
        <v>45810</v>
      </c>
      <c r="D16415" t="inlineStr">
        <is>
          <t>VÄRMLANDS LÄN</t>
        </is>
      </c>
      <c r="E16415" t="inlineStr">
        <is>
          <t>TORSBY</t>
        </is>
      </c>
      <c r="F16415" t="inlineStr">
        <is>
          <t>Bergvik skog väst AB</t>
        </is>
      </c>
      <c r="G16415" t="n">
        <v>5.1</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39561-2024</t>
        </is>
      </c>
      <c r="B16416" s="1" t="n">
        <v>45552</v>
      </c>
      <c r="C16416" s="1" t="n">
        <v>45810</v>
      </c>
      <c r="D16416" t="inlineStr">
        <is>
          <t>VÄRMLANDS LÄN</t>
        </is>
      </c>
      <c r="E16416" t="inlineStr">
        <is>
          <t>SUNNE</t>
        </is>
      </c>
      <c r="G16416" t="n">
        <v>5.5</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39583-2024</t>
        </is>
      </c>
      <c r="B16417" s="1" t="n">
        <v>45552</v>
      </c>
      <c r="C16417" s="1" t="n">
        <v>45810</v>
      </c>
      <c r="D16417" t="inlineStr">
        <is>
          <t>VÄRMLANDS LÄN</t>
        </is>
      </c>
      <c r="E16417" t="inlineStr">
        <is>
          <t>EDA</t>
        </is>
      </c>
      <c r="F16417" t="inlineStr">
        <is>
          <t>Kommuner</t>
        </is>
      </c>
      <c r="G16417" t="n">
        <v>2</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39617-2024</t>
        </is>
      </c>
      <c r="B16418" s="1" t="n">
        <v>45552</v>
      </c>
      <c r="C16418" s="1" t="n">
        <v>45810</v>
      </c>
      <c r="D16418" t="inlineStr">
        <is>
          <t>VÄRMLANDS LÄN</t>
        </is>
      </c>
      <c r="E16418" t="inlineStr">
        <is>
          <t>TORSBY</t>
        </is>
      </c>
      <c r="G16418" t="n">
        <v>5.5</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39709-2024</t>
        </is>
      </c>
      <c r="B16419" s="1" t="n">
        <v>45552</v>
      </c>
      <c r="C16419" s="1" t="n">
        <v>45810</v>
      </c>
      <c r="D16419" t="inlineStr">
        <is>
          <t>VÄRMLANDS LÄN</t>
        </is>
      </c>
      <c r="E16419" t="inlineStr">
        <is>
          <t>HAGFORS</t>
        </is>
      </c>
      <c r="G16419" t="n">
        <v>2.8</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39548-2024</t>
        </is>
      </c>
      <c r="B16420" s="1" t="n">
        <v>45552</v>
      </c>
      <c r="C16420" s="1" t="n">
        <v>45810</v>
      </c>
      <c r="D16420" t="inlineStr">
        <is>
          <t>VÄRMLANDS LÄN</t>
        </is>
      </c>
      <c r="E16420" t="inlineStr">
        <is>
          <t>EDA</t>
        </is>
      </c>
      <c r="G16420" t="n">
        <v>1.3</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39767-2024</t>
        </is>
      </c>
      <c r="B16421" s="1" t="n">
        <v>45552</v>
      </c>
      <c r="C16421" s="1" t="n">
        <v>45810</v>
      </c>
      <c r="D16421" t="inlineStr">
        <is>
          <t>VÄRMLANDS LÄN</t>
        </is>
      </c>
      <c r="E16421" t="inlineStr">
        <is>
          <t>TORSBY</t>
        </is>
      </c>
      <c r="G16421" t="n">
        <v>7</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39771-2024</t>
        </is>
      </c>
      <c r="B16422" s="1" t="n">
        <v>45552</v>
      </c>
      <c r="C16422" s="1" t="n">
        <v>45810</v>
      </c>
      <c r="D16422" t="inlineStr">
        <is>
          <t>VÄRMLANDS LÄN</t>
        </is>
      </c>
      <c r="E16422" t="inlineStr">
        <is>
          <t>TORSBY</t>
        </is>
      </c>
      <c r="G16422" t="n">
        <v>1.6</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39612-2024</t>
        </is>
      </c>
      <c r="B16423" s="1" t="n">
        <v>45552</v>
      </c>
      <c r="C16423" s="1" t="n">
        <v>45810</v>
      </c>
      <c r="D16423" t="inlineStr">
        <is>
          <t>VÄRMLANDS LÄN</t>
        </is>
      </c>
      <c r="E16423" t="inlineStr">
        <is>
          <t>HAGFORS</t>
        </is>
      </c>
      <c r="F16423" t="inlineStr">
        <is>
          <t>Bergvik skog väst AB</t>
        </is>
      </c>
      <c r="G16423" t="n">
        <v>6.9</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39628-2024</t>
        </is>
      </c>
      <c r="B16424" s="1" t="n">
        <v>45552</v>
      </c>
      <c r="C16424" s="1" t="n">
        <v>45810</v>
      </c>
      <c r="D16424" t="inlineStr">
        <is>
          <t>VÄRMLANDS LÄN</t>
        </is>
      </c>
      <c r="E16424" t="inlineStr">
        <is>
          <t>ARVIKA</t>
        </is>
      </c>
      <c r="G16424" t="n">
        <v>4.9</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39585-2024</t>
        </is>
      </c>
      <c r="B16425" s="1" t="n">
        <v>45552</v>
      </c>
      <c r="C16425" s="1" t="n">
        <v>45810</v>
      </c>
      <c r="D16425" t="inlineStr">
        <is>
          <t>VÄRMLANDS LÄN</t>
        </is>
      </c>
      <c r="E16425" t="inlineStr">
        <is>
          <t>FILIPSTAD</t>
        </is>
      </c>
      <c r="F16425" t="inlineStr">
        <is>
          <t>Bergvik skog väst AB</t>
        </is>
      </c>
      <c r="G16425" t="n">
        <v>5</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39746-2024</t>
        </is>
      </c>
      <c r="B16426" s="1" t="n">
        <v>45552</v>
      </c>
      <c r="C16426" s="1" t="n">
        <v>45810</v>
      </c>
      <c r="D16426" t="inlineStr">
        <is>
          <t>VÄRMLANDS LÄN</t>
        </is>
      </c>
      <c r="E16426" t="inlineStr">
        <is>
          <t>TORSBY</t>
        </is>
      </c>
      <c r="G16426" t="n">
        <v>1.5</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39770-2024</t>
        </is>
      </c>
      <c r="B16427" s="1" t="n">
        <v>45552</v>
      </c>
      <c r="C16427" s="1" t="n">
        <v>45810</v>
      </c>
      <c r="D16427" t="inlineStr">
        <is>
          <t>VÄRMLANDS LÄN</t>
        </is>
      </c>
      <c r="E16427" t="inlineStr">
        <is>
          <t>TORSBY</t>
        </is>
      </c>
      <c r="G16427" t="n">
        <v>1.5</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39768-2024</t>
        </is>
      </c>
      <c r="B16428" s="1" t="n">
        <v>45552</v>
      </c>
      <c r="C16428" s="1" t="n">
        <v>45810</v>
      </c>
      <c r="D16428" t="inlineStr">
        <is>
          <t>VÄRMLANDS LÄN</t>
        </is>
      </c>
      <c r="E16428" t="inlineStr">
        <is>
          <t>TORSBY</t>
        </is>
      </c>
      <c r="G16428" t="n">
        <v>3.1</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39772-2024</t>
        </is>
      </c>
      <c r="B16429" s="1" t="n">
        <v>45552</v>
      </c>
      <c r="C16429" s="1" t="n">
        <v>45810</v>
      </c>
      <c r="D16429" t="inlineStr">
        <is>
          <t>VÄRMLANDS LÄN</t>
        </is>
      </c>
      <c r="E16429" t="inlineStr">
        <is>
          <t>TORSBY</t>
        </is>
      </c>
      <c r="G16429" t="n">
        <v>2.7</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39769-2024</t>
        </is>
      </c>
      <c r="B16430" s="1" t="n">
        <v>45552</v>
      </c>
      <c r="C16430" s="1" t="n">
        <v>45810</v>
      </c>
      <c r="D16430" t="inlineStr">
        <is>
          <t>VÄRMLANDS LÄN</t>
        </is>
      </c>
      <c r="E16430" t="inlineStr">
        <is>
          <t>TORSBY</t>
        </is>
      </c>
      <c r="G16430" t="n">
        <v>1.3</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39778-2024</t>
        </is>
      </c>
      <c r="B16431" s="1" t="n">
        <v>45552</v>
      </c>
      <c r="C16431" s="1" t="n">
        <v>45810</v>
      </c>
      <c r="D16431" t="inlineStr">
        <is>
          <t>VÄRMLANDS LÄN</t>
        </is>
      </c>
      <c r="E16431" t="inlineStr">
        <is>
          <t>SUNNE</t>
        </is>
      </c>
      <c r="G16431" t="n">
        <v>1.7</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39823-2024</t>
        </is>
      </c>
      <c r="B16432" s="1" t="n">
        <v>45553</v>
      </c>
      <c r="C16432" s="1" t="n">
        <v>45810</v>
      </c>
      <c r="D16432" t="inlineStr">
        <is>
          <t>VÄRMLANDS LÄN</t>
        </is>
      </c>
      <c r="E16432" t="inlineStr">
        <is>
          <t>EDA</t>
        </is>
      </c>
      <c r="G16432" t="n">
        <v>1</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39795-2024</t>
        </is>
      </c>
      <c r="B16433" s="1" t="n">
        <v>45553</v>
      </c>
      <c r="C16433" s="1" t="n">
        <v>45810</v>
      </c>
      <c r="D16433" t="inlineStr">
        <is>
          <t>VÄRMLANDS LÄN</t>
        </is>
      </c>
      <c r="E16433" t="inlineStr">
        <is>
          <t>KARLSTAD</t>
        </is>
      </c>
      <c r="G16433" t="n">
        <v>1</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39953-2024</t>
        </is>
      </c>
      <c r="B16434" s="1" t="n">
        <v>45553</v>
      </c>
      <c r="C16434" s="1" t="n">
        <v>45810</v>
      </c>
      <c r="D16434" t="inlineStr">
        <is>
          <t>VÄRMLANDS LÄN</t>
        </is>
      </c>
      <c r="E16434" t="inlineStr">
        <is>
          <t>TORSBY</t>
        </is>
      </c>
      <c r="G16434" t="n">
        <v>1.6</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39886-2024</t>
        </is>
      </c>
      <c r="B16435" s="1" t="n">
        <v>45553</v>
      </c>
      <c r="C16435" s="1" t="n">
        <v>45810</v>
      </c>
      <c r="D16435" t="inlineStr">
        <is>
          <t>VÄRMLANDS LÄN</t>
        </is>
      </c>
      <c r="E16435" t="inlineStr">
        <is>
          <t>KARLSTAD</t>
        </is>
      </c>
      <c r="G16435" t="n">
        <v>2</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39905-2024</t>
        </is>
      </c>
      <c r="B16436" s="1" t="n">
        <v>45553</v>
      </c>
      <c r="C16436" s="1" t="n">
        <v>45810</v>
      </c>
      <c r="D16436" t="inlineStr">
        <is>
          <t>VÄRMLANDS LÄN</t>
        </is>
      </c>
      <c r="E16436" t="inlineStr">
        <is>
          <t>ÅRJÄNG</t>
        </is>
      </c>
      <c r="F16436" t="inlineStr">
        <is>
          <t>Bergvik skog väst AB</t>
        </is>
      </c>
      <c r="G16436" t="n">
        <v>0.9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39923-2024</t>
        </is>
      </c>
      <c r="B16437" s="1" t="n">
        <v>45553</v>
      </c>
      <c r="C16437" s="1" t="n">
        <v>45810</v>
      </c>
      <c r="D16437" t="inlineStr">
        <is>
          <t>VÄRMLANDS LÄN</t>
        </is>
      </c>
      <c r="E16437" t="inlineStr">
        <is>
          <t>ÅRJÄNG</t>
        </is>
      </c>
      <c r="F16437" t="inlineStr">
        <is>
          <t>Bergvik skog väst AB</t>
        </is>
      </c>
      <c r="G16437" t="n">
        <v>2.2</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39973-2024</t>
        </is>
      </c>
      <c r="B16438" s="1" t="n">
        <v>45553</v>
      </c>
      <c r="C16438" s="1" t="n">
        <v>45810</v>
      </c>
      <c r="D16438" t="inlineStr">
        <is>
          <t>VÄRMLANDS LÄN</t>
        </is>
      </c>
      <c r="E16438" t="inlineStr">
        <is>
          <t>ÅRJÄNG</t>
        </is>
      </c>
      <c r="F16438" t="inlineStr">
        <is>
          <t>Bergvik skog väst AB</t>
        </is>
      </c>
      <c r="G16438" t="n">
        <v>2.4</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39985-2024</t>
        </is>
      </c>
      <c r="B16439" s="1" t="n">
        <v>45553</v>
      </c>
      <c r="C16439" s="1" t="n">
        <v>45810</v>
      </c>
      <c r="D16439" t="inlineStr">
        <is>
          <t>VÄRMLANDS LÄN</t>
        </is>
      </c>
      <c r="E16439" t="inlineStr">
        <is>
          <t>TORSBY</t>
        </is>
      </c>
      <c r="G16439" t="n">
        <v>3</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39989-2024</t>
        </is>
      </c>
      <c r="B16440" s="1" t="n">
        <v>45553</v>
      </c>
      <c r="C16440" s="1" t="n">
        <v>45810</v>
      </c>
      <c r="D16440" t="inlineStr">
        <is>
          <t>VÄRMLANDS LÄN</t>
        </is>
      </c>
      <c r="E16440" t="inlineStr">
        <is>
          <t>ÅRJÄNG</t>
        </is>
      </c>
      <c r="G16440" t="n">
        <v>5</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39997-2024</t>
        </is>
      </c>
      <c r="B16441" s="1" t="n">
        <v>45553</v>
      </c>
      <c r="C16441" s="1" t="n">
        <v>45810</v>
      </c>
      <c r="D16441" t="inlineStr">
        <is>
          <t>VÄRMLANDS LÄN</t>
        </is>
      </c>
      <c r="E16441" t="inlineStr">
        <is>
          <t>KRISTINEHAMN</t>
        </is>
      </c>
      <c r="G16441" t="n">
        <v>2.5</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40018-2024</t>
        </is>
      </c>
      <c r="B16442" s="1" t="n">
        <v>45553</v>
      </c>
      <c r="C16442" s="1" t="n">
        <v>45810</v>
      </c>
      <c r="D16442" t="inlineStr">
        <is>
          <t>VÄRMLANDS LÄN</t>
        </is>
      </c>
      <c r="E16442" t="inlineStr">
        <is>
          <t>ARVIKA</t>
        </is>
      </c>
      <c r="G16442" t="n">
        <v>1.2</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39792-2024</t>
        </is>
      </c>
      <c r="B16443" s="1" t="n">
        <v>45553</v>
      </c>
      <c r="C16443" s="1" t="n">
        <v>45810</v>
      </c>
      <c r="D16443" t="inlineStr">
        <is>
          <t>VÄRMLANDS LÄN</t>
        </is>
      </c>
      <c r="E16443" t="inlineStr">
        <is>
          <t>KARLSTAD</t>
        </is>
      </c>
      <c r="G16443" t="n">
        <v>2.1</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39796-2024</t>
        </is>
      </c>
      <c r="B16444" s="1" t="n">
        <v>45553</v>
      </c>
      <c r="C16444" s="1" t="n">
        <v>45810</v>
      </c>
      <c r="D16444" t="inlineStr">
        <is>
          <t>VÄRMLANDS LÄN</t>
        </is>
      </c>
      <c r="E16444" t="inlineStr">
        <is>
          <t>KARLSTAD</t>
        </is>
      </c>
      <c r="G16444" t="n">
        <v>3</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39813-2024</t>
        </is>
      </c>
      <c r="B16445" s="1" t="n">
        <v>45553</v>
      </c>
      <c r="C16445" s="1" t="n">
        <v>45810</v>
      </c>
      <c r="D16445" t="inlineStr">
        <is>
          <t>VÄRMLANDS LÄN</t>
        </is>
      </c>
      <c r="E16445" t="inlineStr">
        <is>
          <t>ARVIKA</t>
        </is>
      </c>
      <c r="G16445" t="n">
        <v>10.5</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39859-2024</t>
        </is>
      </c>
      <c r="B16446" s="1" t="n">
        <v>45553</v>
      </c>
      <c r="C16446" s="1" t="n">
        <v>45810</v>
      </c>
      <c r="D16446" t="inlineStr">
        <is>
          <t>VÄRMLANDS LÄN</t>
        </is>
      </c>
      <c r="E16446" t="inlineStr">
        <is>
          <t>ARVIKA</t>
        </is>
      </c>
      <c r="G16446" t="n">
        <v>0.7</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39910-2024</t>
        </is>
      </c>
      <c r="B16447" s="1" t="n">
        <v>45553</v>
      </c>
      <c r="C16447" s="1" t="n">
        <v>45810</v>
      </c>
      <c r="D16447" t="inlineStr">
        <is>
          <t>VÄRMLANDS LÄN</t>
        </is>
      </c>
      <c r="E16447" t="inlineStr">
        <is>
          <t>ÅRJÄNG</t>
        </is>
      </c>
      <c r="G16447" t="n">
        <v>1.9</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40061-2024</t>
        </is>
      </c>
      <c r="B16448" s="1" t="n">
        <v>45554</v>
      </c>
      <c r="C16448" s="1" t="n">
        <v>45810</v>
      </c>
      <c r="D16448" t="inlineStr">
        <is>
          <t>VÄRMLANDS LÄN</t>
        </is>
      </c>
      <c r="E16448" t="inlineStr">
        <is>
          <t>SUNNE</t>
        </is>
      </c>
      <c r="G16448" t="n">
        <v>2.1</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40060-2024</t>
        </is>
      </c>
      <c r="B16449" s="1" t="n">
        <v>45553</v>
      </c>
      <c r="C16449" s="1" t="n">
        <v>45810</v>
      </c>
      <c r="D16449" t="inlineStr">
        <is>
          <t>VÄRMLANDS LÄN</t>
        </is>
      </c>
      <c r="E16449" t="inlineStr">
        <is>
          <t>SUNNE</t>
        </is>
      </c>
      <c r="G16449" t="n">
        <v>2</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40180-2024</t>
        </is>
      </c>
      <c r="B16450" s="1" t="n">
        <v>45554</v>
      </c>
      <c r="C16450" s="1" t="n">
        <v>45810</v>
      </c>
      <c r="D16450" t="inlineStr">
        <is>
          <t>VÄRMLANDS LÄN</t>
        </is>
      </c>
      <c r="E16450" t="inlineStr">
        <is>
          <t>TORSBY</t>
        </is>
      </c>
      <c r="F16450" t="inlineStr">
        <is>
          <t>Bergvik skog väst AB</t>
        </is>
      </c>
      <c r="G16450" t="n">
        <v>16</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40184-2024</t>
        </is>
      </c>
      <c r="B16451" s="1" t="n">
        <v>45554</v>
      </c>
      <c r="C16451" s="1" t="n">
        <v>45810</v>
      </c>
      <c r="D16451" t="inlineStr">
        <is>
          <t>VÄRMLANDS LÄN</t>
        </is>
      </c>
      <c r="E16451" t="inlineStr">
        <is>
          <t>EDA</t>
        </is>
      </c>
      <c r="G16451" t="n">
        <v>1.9</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40201-2024</t>
        </is>
      </c>
      <c r="B16452" s="1" t="n">
        <v>45554</v>
      </c>
      <c r="C16452" s="1" t="n">
        <v>45810</v>
      </c>
      <c r="D16452" t="inlineStr">
        <is>
          <t>VÄRMLANDS LÄN</t>
        </is>
      </c>
      <c r="E16452" t="inlineStr">
        <is>
          <t>SUNNE</t>
        </is>
      </c>
      <c r="F16452" t="inlineStr">
        <is>
          <t>Bergvik skog väst AB</t>
        </is>
      </c>
      <c r="G16452" t="n">
        <v>7.3</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40209-2024</t>
        </is>
      </c>
      <c r="B16453" s="1" t="n">
        <v>45554</v>
      </c>
      <c r="C16453" s="1" t="n">
        <v>45810</v>
      </c>
      <c r="D16453" t="inlineStr">
        <is>
          <t>VÄRMLANDS LÄN</t>
        </is>
      </c>
      <c r="E16453" t="inlineStr">
        <is>
          <t>HAGFORS</t>
        </is>
      </c>
      <c r="F16453" t="inlineStr">
        <is>
          <t>Bergvik skog väst AB</t>
        </is>
      </c>
      <c r="G16453" t="n">
        <v>16.9</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40138-2024</t>
        </is>
      </c>
      <c r="B16454" s="1" t="n">
        <v>45554</v>
      </c>
      <c r="C16454" s="1" t="n">
        <v>45810</v>
      </c>
      <c r="D16454" t="inlineStr">
        <is>
          <t>VÄRMLANDS LÄN</t>
        </is>
      </c>
      <c r="E16454" t="inlineStr">
        <is>
          <t>ÅRJÄNG</t>
        </is>
      </c>
      <c r="G16454" t="n">
        <v>0.8</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40162-2024</t>
        </is>
      </c>
      <c r="B16455" s="1" t="n">
        <v>45554</v>
      </c>
      <c r="C16455" s="1" t="n">
        <v>45810</v>
      </c>
      <c r="D16455" t="inlineStr">
        <is>
          <t>VÄRMLANDS LÄN</t>
        </is>
      </c>
      <c r="E16455" t="inlineStr">
        <is>
          <t>SUNNE</t>
        </is>
      </c>
      <c r="F16455" t="inlineStr">
        <is>
          <t>Bergvik skog väst AB</t>
        </is>
      </c>
      <c r="G16455" t="n">
        <v>10</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40323-2024</t>
        </is>
      </c>
      <c r="B16456" s="1" t="n">
        <v>45554</v>
      </c>
      <c r="C16456" s="1" t="n">
        <v>45810</v>
      </c>
      <c r="D16456" t="inlineStr">
        <is>
          <t>VÄRMLANDS LÄN</t>
        </is>
      </c>
      <c r="E16456" t="inlineStr">
        <is>
          <t>EDA</t>
        </is>
      </c>
      <c r="G16456" t="n">
        <v>2.6</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40227-2024</t>
        </is>
      </c>
      <c r="B16457" s="1" t="n">
        <v>45554</v>
      </c>
      <c r="C16457" s="1" t="n">
        <v>45810</v>
      </c>
      <c r="D16457" t="inlineStr">
        <is>
          <t>VÄRMLANDS LÄN</t>
        </is>
      </c>
      <c r="E16457" t="inlineStr">
        <is>
          <t>TORSBY</t>
        </is>
      </c>
      <c r="F16457" t="inlineStr">
        <is>
          <t>Bergvik skog väst AB</t>
        </is>
      </c>
      <c r="G16457" t="n">
        <v>4.8</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40081-2024</t>
        </is>
      </c>
      <c r="B16458" s="1" t="n">
        <v>45554</v>
      </c>
      <c r="C16458" s="1" t="n">
        <v>45810</v>
      </c>
      <c r="D16458" t="inlineStr">
        <is>
          <t>VÄRMLANDS LÄN</t>
        </is>
      </c>
      <c r="E16458" t="inlineStr">
        <is>
          <t>SUNNE</t>
        </is>
      </c>
      <c r="G16458" t="n">
        <v>2</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40157-2024</t>
        </is>
      </c>
      <c r="B16459" s="1" t="n">
        <v>45554</v>
      </c>
      <c r="C16459" s="1" t="n">
        <v>45810</v>
      </c>
      <c r="D16459" t="inlineStr">
        <is>
          <t>VÄRMLANDS LÄN</t>
        </is>
      </c>
      <c r="E16459" t="inlineStr">
        <is>
          <t>TORSBY</t>
        </is>
      </c>
      <c r="F16459" t="inlineStr">
        <is>
          <t>Bergvik skog väst AB</t>
        </is>
      </c>
      <c r="G16459" t="n">
        <v>1.4</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40194-2024</t>
        </is>
      </c>
      <c r="B16460" s="1" t="n">
        <v>45554</v>
      </c>
      <c r="C16460" s="1" t="n">
        <v>45810</v>
      </c>
      <c r="D16460" t="inlineStr">
        <is>
          <t>VÄRMLANDS LÄN</t>
        </is>
      </c>
      <c r="E16460" t="inlineStr">
        <is>
          <t>HAGFORS</t>
        </is>
      </c>
      <c r="F16460" t="inlineStr">
        <is>
          <t>Bergvik skog väst AB</t>
        </is>
      </c>
      <c r="G16460" t="n">
        <v>6.4</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40252-2024</t>
        </is>
      </c>
      <c r="B16461" s="1" t="n">
        <v>45554</v>
      </c>
      <c r="C16461" s="1" t="n">
        <v>45810</v>
      </c>
      <c r="D16461" t="inlineStr">
        <is>
          <t>VÄRMLANDS LÄN</t>
        </is>
      </c>
      <c r="E16461" t="inlineStr">
        <is>
          <t>ÅRJÄNG</t>
        </is>
      </c>
      <c r="G16461" t="n">
        <v>0.7</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40301-2024</t>
        </is>
      </c>
      <c r="B16462" s="1" t="n">
        <v>45554</v>
      </c>
      <c r="C16462" s="1" t="n">
        <v>45810</v>
      </c>
      <c r="D16462" t="inlineStr">
        <is>
          <t>VÄRMLANDS LÄN</t>
        </is>
      </c>
      <c r="E16462" t="inlineStr">
        <is>
          <t>TORSBY</t>
        </is>
      </c>
      <c r="G16462" t="n">
        <v>7.3</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40083-2024</t>
        </is>
      </c>
      <c r="B16463" s="1" t="n">
        <v>45554</v>
      </c>
      <c r="C16463" s="1" t="n">
        <v>45810</v>
      </c>
      <c r="D16463" t="inlineStr">
        <is>
          <t>VÄRMLANDS LÄN</t>
        </is>
      </c>
      <c r="E16463" t="inlineStr">
        <is>
          <t>SUNNE</t>
        </is>
      </c>
      <c r="G16463" t="n">
        <v>2.1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40087-2024</t>
        </is>
      </c>
      <c r="B16464" s="1" t="n">
        <v>45554</v>
      </c>
      <c r="C16464" s="1" t="n">
        <v>45810</v>
      </c>
      <c r="D16464" t="inlineStr">
        <is>
          <t>VÄRMLANDS LÄN</t>
        </is>
      </c>
      <c r="E16464" t="inlineStr">
        <is>
          <t>SUNNE</t>
        </is>
      </c>
      <c r="G16464" t="n">
        <v>4.7</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40147-2024</t>
        </is>
      </c>
      <c r="B16465" s="1" t="n">
        <v>45554</v>
      </c>
      <c r="C16465" s="1" t="n">
        <v>45810</v>
      </c>
      <c r="D16465" t="inlineStr">
        <is>
          <t>VÄRMLANDS LÄN</t>
        </is>
      </c>
      <c r="E16465" t="inlineStr">
        <is>
          <t>ARVIKA</t>
        </is>
      </c>
      <c r="G16465" t="n">
        <v>4.5</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40250-2024</t>
        </is>
      </c>
      <c r="B16466" s="1" t="n">
        <v>45554</v>
      </c>
      <c r="C16466" s="1" t="n">
        <v>45810</v>
      </c>
      <c r="D16466" t="inlineStr">
        <is>
          <t>VÄRMLANDS LÄN</t>
        </is>
      </c>
      <c r="E16466" t="inlineStr">
        <is>
          <t>ARVIKA</t>
        </is>
      </c>
      <c r="G16466" t="n">
        <v>2.4</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40360-2024</t>
        </is>
      </c>
      <c r="B16467" s="1" t="n">
        <v>45555</v>
      </c>
      <c r="C16467" s="1" t="n">
        <v>45810</v>
      </c>
      <c r="D16467" t="inlineStr">
        <is>
          <t>VÄRMLANDS LÄN</t>
        </is>
      </c>
      <c r="E16467" t="inlineStr">
        <is>
          <t>ÅRJÄNG</t>
        </is>
      </c>
      <c r="G16467" t="n">
        <v>1.7</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40330-2024</t>
        </is>
      </c>
      <c r="B16468" s="1" t="n">
        <v>45555</v>
      </c>
      <c r="C16468" s="1" t="n">
        <v>45810</v>
      </c>
      <c r="D16468" t="inlineStr">
        <is>
          <t>VÄRMLANDS LÄN</t>
        </is>
      </c>
      <c r="E16468" t="inlineStr">
        <is>
          <t>ÅRJÄNG</t>
        </is>
      </c>
      <c r="G16468" t="n">
        <v>1.2</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40334-2024</t>
        </is>
      </c>
      <c r="B16469" s="1" t="n">
        <v>45555</v>
      </c>
      <c r="C16469" s="1" t="n">
        <v>45810</v>
      </c>
      <c r="D16469" t="inlineStr">
        <is>
          <t>VÄRMLANDS LÄN</t>
        </is>
      </c>
      <c r="E16469" t="inlineStr">
        <is>
          <t>SUNNE</t>
        </is>
      </c>
      <c r="F16469" t="inlineStr">
        <is>
          <t>Bergvik skog väst AB</t>
        </is>
      </c>
      <c r="G16469" t="n">
        <v>1.5</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40346-2024</t>
        </is>
      </c>
      <c r="B16470" s="1" t="n">
        <v>45555</v>
      </c>
      <c r="C16470" s="1" t="n">
        <v>45810</v>
      </c>
      <c r="D16470" t="inlineStr">
        <is>
          <t>VÄRMLANDS LÄN</t>
        </is>
      </c>
      <c r="E16470" t="inlineStr">
        <is>
          <t>ÅRJÄNG</t>
        </is>
      </c>
      <c r="G16470" t="n">
        <v>2.5</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40367-2024</t>
        </is>
      </c>
      <c r="B16471" s="1" t="n">
        <v>45555</v>
      </c>
      <c r="C16471" s="1" t="n">
        <v>45810</v>
      </c>
      <c r="D16471" t="inlineStr">
        <is>
          <t>VÄRMLANDS LÄN</t>
        </is>
      </c>
      <c r="E16471" t="inlineStr">
        <is>
          <t>EDA</t>
        </is>
      </c>
      <c r="G16471" t="n">
        <v>0.6</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40333-2024</t>
        </is>
      </c>
      <c r="B16472" s="1" t="n">
        <v>45555</v>
      </c>
      <c r="C16472" s="1" t="n">
        <v>45810</v>
      </c>
      <c r="D16472" t="inlineStr">
        <is>
          <t>VÄRMLANDS LÄN</t>
        </is>
      </c>
      <c r="E16472" t="inlineStr">
        <is>
          <t>ÅRJÄNG</t>
        </is>
      </c>
      <c r="G16472" t="n">
        <v>1.6</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40349-2024</t>
        </is>
      </c>
      <c r="B16473" s="1" t="n">
        <v>45555</v>
      </c>
      <c r="C16473" s="1" t="n">
        <v>45810</v>
      </c>
      <c r="D16473" t="inlineStr">
        <is>
          <t>VÄRMLANDS LÄN</t>
        </is>
      </c>
      <c r="E16473" t="inlineStr">
        <is>
          <t>ÅRJÄNG</t>
        </is>
      </c>
      <c r="G16473" t="n">
        <v>0.6</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40441-2024</t>
        </is>
      </c>
      <c r="B16474" s="1" t="n">
        <v>45555</v>
      </c>
      <c r="C16474" s="1" t="n">
        <v>45810</v>
      </c>
      <c r="D16474" t="inlineStr">
        <is>
          <t>VÄRMLANDS LÄN</t>
        </is>
      </c>
      <c r="E16474" t="inlineStr">
        <is>
          <t>ARVIKA</t>
        </is>
      </c>
      <c r="G16474" t="n">
        <v>1.9</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40436-2024</t>
        </is>
      </c>
      <c r="B16475" s="1" t="n">
        <v>45555</v>
      </c>
      <c r="C16475" s="1" t="n">
        <v>45810</v>
      </c>
      <c r="D16475" t="inlineStr">
        <is>
          <t>VÄRMLANDS LÄN</t>
        </is>
      </c>
      <c r="E16475" t="inlineStr">
        <is>
          <t>ARVIKA</t>
        </is>
      </c>
      <c r="G16475" t="n">
        <v>0.6</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40457-2024</t>
        </is>
      </c>
      <c r="B16476" s="1" t="n">
        <v>45555</v>
      </c>
      <c r="C16476" s="1" t="n">
        <v>45810</v>
      </c>
      <c r="D16476" t="inlineStr">
        <is>
          <t>VÄRMLANDS LÄN</t>
        </is>
      </c>
      <c r="E16476" t="inlineStr">
        <is>
          <t>FILIPSTAD</t>
        </is>
      </c>
      <c r="F16476" t="inlineStr">
        <is>
          <t>Kyrkan</t>
        </is>
      </c>
      <c r="G16476" t="n">
        <v>9.199999999999999</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40509-2024</t>
        </is>
      </c>
      <c r="B16477" s="1" t="n">
        <v>45555</v>
      </c>
      <c r="C16477" s="1" t="n">
        <v>45810</v>
      </c>
      <c r="D16477" t="inlineStr">
        <is>
          <t>VÄRMLANDS LÄN</t>
        </is>
      </c>
      <c r="E16477" t="inlineStr">
        <is>
          <t>ARVIKA</t>
        </is>
      </c>
      <c r="F16477" t="inlineStr">
        <is>
          <t>Kommuner</t>
        </is>
      </c>
      <c r="G16477" t="n">
        <v>1.2</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40541-2024</t>
        </is>
      </c>
      <c r="B16478" s="1" t="n">
        <v>45555</v>
      </c>
      <c r="C16478" s="1" t="n">
        <v>45810</v>
      </c>
      <c r="D16478" t="inlineStr">
        <is>
          <t>VÄRMLANDS LÄN</t>
        </is>
      </c>
      <c r="E16478" t="inlineStr">
        <is>
          <t>TORSBY</t>
        </is>
      </c>
      <c r="F16478" t="inlineStr">
        <is>
          <t>Bergvik skog väst AB</t>
        </is>
      </c>
      <c r="G16478" t="n">
        <v>1.5</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40565-2024</t>
        </is>
      </c>
      <c r="B16479" s="1" t="n">
        <v>45555</v>
      </c>
      <c r="C16479" s="1" t="n">
        <v>45810</v>
      </c>
      <c r="D16479" t="inlineStr">
        <is>
          <t>VÄRMLANDS LÄN</t>
        </is>
      </c>
      <c r="E16479" t="inlineStr">
        <is>
          <t>TORSBY</t>
        </is>
      </c>
      <c r="F16479" t="inlineStr">
        <is>
          <t>Bergvik skog väst AB</t>
        </is>
      </c>
      <c r="G16479" t="n">
        <v>4.4</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40573-2024</t>
        </is>
      </c>
      <c r="B16480" s="1" t="n">
        <v>45555</v>
      </c>
      <c r="C16480" s="1" t="n">
        <v>45810</v>
      </c>
      <c r="D16480" t="inlineStr">
        <is>
          <t>VÄRMLANDS LÄN</t>
        </is>
      </c>
      <c r="E16480" t="inlineStr">
        <is>
          <t>TORSBY</t>
        </is>
      </c>
      <c r="F16480" t="inlineStr">
        <is>
          <t>Bergvik skog väst AB</t>
        </is>
      </c>
      <c r="G16480" t="n">
        <v>3</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40572-2024</t>
        </is>
      </c>
      <c r="B16481" s="1" t="n">
        <v>45555</v>
      </c>
      <c r="C16481" s="1" t="n">
        <v>45810</v>
      </c>
      <c r="D16481" t="inlineStr">
        <is>
          <t>VÄRMLANDS LÄN</t>
        </is>
      </c>
      <c r="E16481" t="inlineStr">
        <is>
          <t>ARVIKA</t>
        </is>
      </c>
      <c r="G16481" t="n">
        <v>2.4</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40422-2024</t>
        </is>
      </c>
      <c r="B16482" s="1" t="n">
        <v>45555</v>
      </c>
      <c r="C16482" s="1" t="n">
        <v>45810</v>
      </c>
      <c r="D16482" t="inlineStr">
        <is>
          <t>VÄRMLANDS LÄN</t>
        </is>
      </c>
      <c r="E16482" t="inlineStr">
        <is>
          <t>ARVIKA</t>
        </is>
      </c>
      <c r="G16482" t="n">
        <v>1.1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40446-2024</t>
        </is>
      </c>
      <c r="B16483" s="1" t="n">
        <v>45555</v>
      </c>
      <c r="C16483" s="1" t="n">
        <v>45810</v>
      </c>
      <c r="D16483" t="inlineStr">
        <is>
          <t>VÄRMLANDS LÄN</t>
        </is>
      </c>
      <c r="E16483" t="inlineStr">
        <is>
          <t>ARVIKA</t>
        </is>
      </c>
      <c r="G16483" t="n">
        <v>4</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40466-2024</t>
        </is>
      </c>
      <c r="B16484" s="1" t="n">
        <v>45555</v>
      </c>
      <c r="C16484" s="1" t="n">
        <v>45810</v>
      </c>
      <c r="D16484" t="inlineStr">
        <is>
          <t>VÄRMLANDS LÄN</t>
        </is>
      </c>
      <c r="E16484" t="inlineStr">
        <is>
          <t>SÄFFLE</t>
        </is>
      </c>
      <c r="G16484" t="n">
        <v>17.3</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40518-2024</t>
        </is>
      </c>
      <c r="B16485" s="1" t="n">
        <v>45555</v>
      </c>
      <c r="C16485" s="1" t="n">
        <v>45810</v>
      </c>
      <c r="D16485" t="inlineStr">
        <is>
          <t>VÄRMLANDS LÄN</t>
        </is>
      </c>
      <c r="E16485" t="inlineStr">
        <is>
          <t>SÄFFLE</t>
        </is>
      </c>
      <c r="G16485" t="n">
        <v>2.1</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40546-2024</t>
        </is>
      </c>
      <c r="B16486" s="1" t="n">
        <v>45555</v>
      </c>
      <c r="C16486" s="1" t="n">
        <v>45810</v>
      </c>
      <c r="D16486" t="inlineStr">
        <is>
          <t>VÄRMLANDS LÄN</t>
        </is>
      </c>
      <c r="E16486" t="inlineStr">
        <is>
          <t>TORSBY</t>
        </is>
      </c>
      <c r="F16486" t="inlineStr">
        <is>
          <t>Bergvik skog väst AB</t>
        </is>
      </c>
      <c r="G16486" t="n">
        <v>13.9</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40582-2024</t>
        </is>
      </c>
      <c r="B16487" s="1" t="n">
        <v>45555</v>
      </c>
      <c r="C16487" s="1" t="n">
        <v>45810</v>
      </c>
      <c r="D16487" t="inlineStr">
        <is>
          <t>VÄRMLANDS LÄN</t>
        </is>
      </c>
      <c r="E16487" t="inlineStr">
        <is>
          <t>ARVIKA</t>
        </is>
      </c>
      <c r="G16487" t="n">
        <v>2.5</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40583-2024</t>
        </is>
      </c>
      <c r="B16488" s="1" t="n">
        <v>45555</v>
      </c>
      <c r="C16488" s="1" t="n">
        <v>45810</v>
      </c>
      <c r="D16488" t="inlineStr">
        <is>
          <t>VÄRMLANDS LÄN</t>
        </is>
      </c>
      <c r="E16488" t="inlineStr">
        <is>
          <t>ARVIKA</t>
        </is>
      </c>
      <c r="G16488" t="n">
        <v>1.9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40644-2024</t>
        </is>
      </c>
      <c r="B16489" s="1" t="n">
        <v>45557</v>
      </c>
      <c r="C16489" s="1" t="n">
        <v>45810</v>
      </c>
      <c r="D16489" t="inlineStr">
        <is>
          <t>VÄRMLANDS LÄN</t>
        </is>
      </c>
      <c r="E16489" t="inlineStr">
        <is>
          <t>ÅRJÄNG</t>
        </is>
      </c>
      <c r="F16489" t="inlineStr">
        <is>
          <t>Övriga Aktiebolag</t>
        </is>
      </c>
      <c r="G16489" t="n">
        <v>4.7</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40628-2024</t>
        </is>
      </c>
      <c r="B16490" s="1" t="n">
        <v>45557</v>
      </c>
      <c r="C16490" s="1" t="n">
        <v>45810</v>
      </c>
      <c r="D16490" t="inlineStr">
        <is>
          <t>VÄRMLANDS LÄN</t>
        </is>
      </c>
      <c r="E16490" t="inlineStr">
        <is>
          <t>ÅRJÄNG</t>
        </is>
      </c>
      <c r="G16490" t="n">
        <v>3.3</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40759-2024</t>
        </is>
      </c>
      <c r="B16491" s="1" t="n">
        <v>45558</v>
      </c>
      <c r="C16491" s="1" t="n">
        <v>45810</v>
      </c>
      <c r="D16491" t="inlineStr">
        <is>
          <t>VÄRMLANDS LÄN</t>
        </is>
      </c>
      <c r="E16491" t="inlineStr">
        <is>
          <t>SÄFFLE</t>
        </is>
      </c>
      <c r="G16491" t="n">
        <v>0.6</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40685-2024</t>
        </is>
      </c>
      <c r="B16492" s="1" t="n">
        <v>45558</v>
      </c>
      <c r="C16492" s="1" t="n">
        <v>45810</v>
      </c>
      <c r="D16492" t="inlineStr">
        <is>
          <t>VÄRMLANDS LÄN</t>
        </is>
      </c>
      <c r="E16492" t="inlineStr">
        <is>
          <t>ÅRJÄNG</t>
        </is>
      </c>
      <c r="G16492" t="n">
        <v>0.9</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40754-2024</t>
        </is>
      </c>
      <c r="B16493" s="1" t="n">
        <v>45558</v>
      </c>
      <c r="C16493" s="1" t="n">
        <v>45810</v>
      </c>
      <c r="D16493" t="inlineStr">
        <is>
          <t>VÄRMLANDS LÄN</t>
        </is>
      </c>
      <c r="E16493" t="inlineStr">
        <is>
          <t>SÄFFLE</t>
        </is>
      </c>
      <c r="G16493" t="n">
        <v>1.8</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40767-2024</t>
        </is>
      </c>
      <c r="B16494" s="1" t="n">
        <v>45558</v>
      </c>
      <c r="C16494" s="1" t="n">
        <v>45810</v>
      </c>
      <c r="D16494" t="inlineStr">
        <is>
          <t>VÄRMLANDS LÄN</t>
        </is>
      </c>
      <c r="E16494" t="inlineStr">
        <is>
          <t>KRISTINEHAMN</t>
        </is>
      </c>
      <c r="F16494" t="inlineStr">
        <is>
          <t>Kommuner</t>
        </is>
      </c>
      <c r="G16494" t="n">
        <v>3</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40808-2024</t>
        </is>
      </c>
      <c r="B16495" s="1" t="n">
        <v>45558</v>
      </c>
      <c r="C16495" s="1" t="n">
        <v>45810</v>
      </c>
      <c r="D16495" t="inlineStr">
        <is>
          <t>VÄRMLANDS LÄN</t>
        </is>
      </c>
      <c r="E16495" t="inlineStr">
        <is>
          <t>EDA</t>
        </is>
      </c>
      <c r="G16495" t="n">
        <v>2.2</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40853-2024</t>
        </is>
      </c>
      <c r="B16496" s="1" t="n">
        <v>45558</v>
      </c>
      <c r="C16496" s="1" t="n">
        <v>45810</v>
      </c>
      <c r="D16496" t="inlineStr">
        <is>
          <t>VÄRMLANDS LÄN</t>
        </is>
      </c>
      <c r="E16496" t="inlineStr">
        <is>
          <t>KIL</t>
        </is>
      </c>
      <c r="G16496" t="n">
        <v>1.7</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40898-2024</t>
        </is>
      </c>
      <c r="B16497" s="1" t="n">
        <v>45558</v>
      </c>
      <c r="C16497" s="1" t="n">
        <v>45810</v>
      </c>
      <c r="D16497" t="inlineStr">
        <is>
          <t>VÄRMLANDS LÄN</t>
        </is>
      </c>
      <c r="E16497" t="inlineStr">
        <is>
          <t>FORSHAGA</t>
        </is>
      </c>
      <c r="G16497" t="n">
        <v>1.8</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40914-2024</t>
        </is>
      </c>
      <c r="B16498" s="1" t="n">
        <v>45558</v>
      </c>
      <c r="C16498" s="1" t="n">
        <v>45810</v>
      </c>
      <c r="D16498" t="inlineStr">
        <is>
          <t>VÄRMLANDS LÄN</t>
        </is>
      </c>
      <c r="E16498" t="inlineStr">
        <is>
          <t>TORSBY</t>
        </is>
      </c>
      <c r="G16498" t="n">
        <v>4</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40959-2024</t>
        </is>
      </c>
      <c r="B16499" s="1" t="n">
        <v>45558</v>
      </c>
      <c r="C16499" s="1" t="n">
        <v>45810</v>
      </c>
      <c r="D16499" t="inlineStr">
        <is>
          <t>VÄRMLANDS LÄN</t>
        </is>
      </c>
      <c r="E16499" t="inlineStr">
        <is>
          <t>HAGFORS</t>
        </is>
      </c>
      <c r="G16499" t="n">
        <v>0.9</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40807-2024</t>
        </is>
      </c>
      <c r="B16500" s="1" t="n">
        <v>45558</v>
      </c>
      <c r="C16500" s="1" t="n">
        <v>45810</v>
      </c>
      <c r="D16500" t="inlineStr">
        <is>
          <t>VÄRMLANDS LÄN</t>
        </is>
      </c>
      <c r="E16500" t="inlineStr">
        <is>
          <t>TORSBY</t>
        </is>
      </c>
      <c r="G16500" t="n">
        <v>2.1</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40888-2024</t>
        </is>
      </c>
      <c r="B16501" s="1" t="n">
        <v>45558</v>
      </c>
      <c r="C16501" s="1" t="n">
        <v>45810</v>
      </c>
      <c r="D16501" t="inlineStr">
        <is>
          <t>VÄRMLANDS LÄN</t>
        </is>
      </c>
      <c r="E16501" t="inlineStr">
        <is>
          <t>ARVIKA</t>
        </is>
      </c>
      <c r="G16501" t="n">
        <v>1</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40905-2024</t>
        </is>
      </c>
      <c r="B16502" s="1" t="n">
        <v>45558</v>
      </c>
      <c r="C16502" s="1" t="n">
        <v>45810</v>
      </c>
      <c r="D16502" t="inlineStr">
        <is>
          <t>VÄRMLANDS LÄN</t>
        </is>
      </c>
      <c r="E16502" t="inlineStr">
        <is>
          <t>ARVIKA</t>
        </is>
      </c>
      <c r="G16502" t="n">
        <v>4.5</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40992-2024</t>
        </is>
      </c>
      <c r="B16503" s="1" t="n">
        <v>45558</v>
      </c>
      <c r="C16503" s="1" t="n">
        <v>45810</v>
      </c>
      <c r="D16503" t="inlineStr">
        <is>
          <t>VÄRMLANDS LÄN</t>
        </is>
      </c>
      <c r="E16503" t="inlineStr">
        <is>
          <t>ARVIKA</t>
        </is>
      </c>
      <c r="G16503" t="n">
        <v>5.7</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40810-2024</t>
        </is>
      </c>
      <c r="B16504" s="1" t="n">
        <v>45558</v>
      </c>
      <c r="C16504" s="1" t="n">
        <v>45810</v>
      </c>
      <c r="D16504" t="inlineStr">
        <is>
          <t>VÄRMLANDS LÄN</t>
        </is>
      </c>
      <c r="E16504" t="inlineStr">
        <is>
          <t>TORSBY</t>
        </is>
      </c>
      <c r="G16504" t="n">
        <v>6.2</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40961-2024</t>
        </is>
      </c>
      <c r="B16505" s="1" t="n">
        <v>45558</v>
      </c>
      <c r="C16505" s="1" t="n">
        <v>45810</v>
      </c>
      <c r="D16505" t="inlineStr">
        <is>
          <t>VÄRMLANDS LÄN</t>
        </is>
      </c>
      <c r="E16505" t="inlineStr">
        <is>
          <t>SUNNE</t>
        </is>
      </c>
      <c r="G16505" t="n">
        <v>1</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40740-2024</t>
        </is>
      </c>
      <c r="B16506" s="1" t="n">
        <v>45558</v>
      </c>
      <c r="C16506" s="1" t="n">
        <v>45810</v>
      </c>
      <c r="D16506" t="inlineStr">
        <is>
          <t>VÄRMLANDS LÄN</t>
        </is>
      </c>
      <c r="E16506" t="inlineStr">
        <is>
          <t>SUNNE</t>
        </is>
      </c>
      <c r="G16506" t="n">
        <v>21.9</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40789-2024</t>
        </is>
      </c>
      <c r="B16507" s="1" t="n">
        <v>45558</v>
      </c>
      <c r="C16507" s="1" t="n">
        <v>45810</v>
      </c>
      <c r="D16507" t="inlineStr">
        <is>
          <t>VÄRMLANDS LÄN</t>
        </is>
      </c>
      <c r="E16507" t="inlineStr">
        <is>
          <t>HAGFORS</t>
        </is>
      </c>
      <c r="F16507" t="inlineStr">
        <is>
          <t>Bergvik skog väst AB</t>
        </is>
      </c>
      <c r="G16507" t="n">
        <v>3.7</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40826-2024</t>
        </is>
      </c>
      <c r="B16508" s="1" t="n">
        <v>45558</v>
      </c>
      <c r="C16508" s="1" t="n">
        <v>45810</v>
      </c>
      <c r="D16508" t="inlineStr">
        <is>
          <t>VÄRMLANDS LÄN</t>
        </is>
      </c>
      <c r="E16508" t="inlineStr">
        <is>
          <t>EDA</t>
        </is>
      </c>
      <c r="G16508" t="n">
        <v>1.3</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40874-2024</t>
        </is>
      </c>
      <c r="B16509" s="1" t="n">
        <v>45558</v>
      </c>
      <c r="C16509" s="1" t="n">
        <v>45810</v>
      </c>
      <c r="D16509" t="inlineStr">
        <is>
          <t>VÄRMLANDS LÄN</t>
        </is>
      </c>
      <c r="E16509" t="inlineStr">
        <is>
          <t>EDA</t>
        </is>
      </c>
      <c r="G16509" t="n">
        <v>1.1</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40955-2024</t>
        </is>
      </c>
      <c r="B16510" s="1" t="n">
        <v>45558</v>
      </c>
      <c r="C16510" s="1" t="n">
        <v>45810</v>
      </c>
      <c r="D16510" t="inlineStr">
        <is>
          <t>VÄRMLANDS LÄN</t>
        </is>
      </c>
      <c r="E16510" t="inlineStr">
        <is>
          <t>EDA</t>
        </is>
      </c>
      <c r="G16510" t="n">
        <v>1.2</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40981-2024</t>
        </is>
      </c>
      <c r="B16511" s="1" t="n">
        <v>45558</v>
      </c>
      <c r="C16511" s="1" t="n">
        <v>45810</v>
      </c>
      <c r="D16511" t="inlineStr">
        <is>
          <t>VÄRMLANDS LÄN</t>
        </is>
      </c>
      <c r="E16511" t="inlineStr">
        <is>
          <t>ARVIKA</t>
        </is>
      </c>
      <c r="G16511" t="n">
        <v>5.8</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40987-2024</t>
        </is>
      </c>
      <c r="B16512" s="1" t="n">
        <v>45558</v>
      </c>
      <c r="C16512" s="1" t="n">
        <v>45810</v>
      </c>
      <c r="D16512" t="inlineStr">
        <is>
          <t>VÄRMLANDS LÄN</t>
        </is>
      </c>
      <c r="E16512" t="inlineStr">
        <is>
          <t>TORSBY</t>
        </is>
      </c>
      <c r="G16512" t="n">
        <v>11.6</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40999-2024</t>
        </is>
      </c>
      <c r="B16513" s="1" t="n">
        <v>45558</v>
      </c>
      <c r="C16513" s="1" t="n">
        <v>45810</v>
      </c>
      <c r="D16513" t="inlineStr">
        <is>
          <t>VÄRMLANDS LÄN</t>
        </is>
      </c>
      <c r="E16513" t="inlineStr">
        <is>
          <t>ARVIKA</t>
        </is>
      </c>
      <c r="G16513" t="n">
        <v>3.2</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41031-2024</t>
        </is>
      </c>
      <c r="B16514" s="1" t="n">
        <v>45559</v>
      </c>
      <c r="C16514" s="1" t="n">
        <v>45810</v>
      </c>
      <c r="D16514" t="inlineStr">
        <is>
          <t>VÄRMLANDS LÄN</t>
        </is>
      </c>
      <c r="E16514" t="inlineStr">
        <is>
          <t>EDA</t>
        </is>
      </c>
      <c r="G16514" t="n">
        <v>1.4</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41036-2024</t>
        </is>
      </c>
      <c r="B16515" s="1" t="n">
        <v>45559</v>
      </c>
      <c r="C16515" s="1" t="n">
        <v>45810</v>
      </c>
      <c r="D16515" t="inlineStr">
        <is>
          <t>VÄRMLANDS LÄN</t>
        </is>
      </c>
      <c r="E16515" t="inlineStr">
        <is>
          <t>EDA</t>
        </is>
      </c>
      <c r="G16515" t="n">
        <v>0.8</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41092-2024</t>
        </is>
      </c>
      <c r="B16516" s="1" t="n">
        <v>45559</v>
      </c>
      <c r="C16516" s="1" t="n">
        <v>45810</v>
      </c>
      <c r="D16516" t="inlineStr">
        <is>
          <t>VÄRMLANDS LÄN</t>
        </is>
      </c>
      <c r="E16516" t="inlineStr">
        <is>
          <t>HAGFORS</t>
        </is>
      </c>
      <c r="G16516" t="n">
        <v>4.3</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41127-2024</t>
        </is>
      </c>
      <c r="B16517" s="1" t="n">
        <v>45559</v>
      </c>
      <c r="C16517" s="1" t="n">
        <v>45810</v>
      </c>
      <c r="D16517" t="inlineStr">
        <is>
          <t>VÄRMLANDS LÄN</t>
        </is>
      </c>
      <c r="E16517" t="inlineStr">
        <is>
          <t>ARVIKA</t>
        </is>
      </c>
      <c r="G16517" t="n">
        <v>0.8</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41161-2024</t>
        </is>
      </c>
      <c r="B16518" s="1" t="n">
        <v>45559</v>
      </c>
      <c r="C16518" s="1" t="n">
        <v>45810</v>
      </c>
      <c r="D16518" t="inlineStr">
        <is>
          <t>VÄRMLANDS LÄN</t>
        </is>
      </c>
      <c r="E16518" t="inlineStr">
        <is>
          <t>TORSBY</t>
        </is>
      </c>
      <c r="G16518" t="n">
        <v>0.9</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41162-2024</t>
        </is>
      </c>
      <c r="B16519" s="1" t="n">
        <v>45559</v>
      </c>
      <c r="C16519" s="1" t="n">
        <v>45810</v>
      </c>
      <c r="D16519" t="inlineStr">
        <is>
          <t>VÄRMLANDS LÄN</t>
        </is>
      </c>
      <c r="E16519" t="inlineStr">
        <is>
          <t>TORSBY</t>
        </is>
      </c>
      <c r="G16519" t="n">
        <v>8.5</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41175-2024</t>
        </is>
      </c>
      <c r="B16520" s="1" t="n">
        <v>45559</v>
      </c>
      <c r="C16520" s="1" t="n">
        <v>45810</v>
      </c>
      <c r="D16520" t="inlineStr">
        <is>
          <t>VÄRMLANDS LÄN</t>
        </is>
      </c>
      <c r="E16520" t="inlineStr">
        <is>
          <t>ARVIKA</t>
        </is>
      </c>
      <c r="G16520" t="n">
        <v>1.1</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41203-2024</t>
        </is>
      </c>
      <c r="B16521" s="1" t="n">
        <v>45559</v>
      </c>
      <c r="C16521" s="1" t="n">
        <v>45810</v>
      </c>
      <c r="D16521" t="inlineStr">
        <is>
          <t>VÄRMLANDS LÄN</t>
        </is>
      </c>
      <c r="E16521" t="inlineStr">
        <is>
          <t>ARVIKA</t>
        </is>
      </c>
      <c r="F16521" t="inlineStr">
        <is>
          <t>Kommuner</t>
        </is>
      </c>
      <c r="G16521" t="n">
        <v>1.8</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41235-2024</t>
        </is>
      </c>
      <c r="B16522" s="1" t="n">
        <v>45559</v>
      </c>
      <c r="C16522" s="1" t="n">
        <v>45810</v>
      </c>
      <c r="D16522" t="inlineStr">
        <is>
          <t>VÄRMLANDS LÄN</t>
        </is>
      </c>
      <c r="E16522" t="inlineStr">
        <is>
          <t>ARVIKA</t>
        </is>
      </c>
      <c r="G16522" t="n">
        <v>3.2</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41206-2024</t>
        </is>
      </c>
      <c r="B16523" s="1" t="n">
        <v>45559</v>
      </c>
      <c r="C16523" s="1" t="n">
        <v>45810</v>
      </c>
      <c r="D16523" t="inlineStr">
        <is>
          <t>VÄRMLANDS LÄN</t>
        </is>
      </c>
      <c r="E16523" t="inlineStr">
        <is>
          <t>ÅRJÄNG</t>
        </is>
      </c>
      <c r="G16523" t="n">
        <v>1.3</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41239-2024</t>
        </is>
      </c>
      <c r="B16524" s="1" t="n">
        <v>45559</v>
      </c>
      <c r="C16524" s="1" t="n">
        <v>45810</v>
      </c>
      <c r="D16524" t="inlineStr">
        <is>
          <t>VÄRMLANDS LÄN</t>
        </is>
      </c>
      <c r="E16524" t="inlineStr">
        <is>
          <t>ARVIKA</t>
        </is>
      </c>
      <c r="G16524" t="n">
        <v>0.7</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41336-2024</t>
        </is>
      </c>
      <c r="B16525" s="1" t="n">
        <v>45559</v>
      </c>
      <c r="C16525" s="1" t="n">
        <v>45810</v>
      </c>
      <c r="D16525" t="inlineStr">
        <is>
          <t>VÄRMLANDS LÄN</t>
        </is>
      </c>
      <c r="E16525" t="inlineStr">
        <is>
          <t>HAGFORS</t>
        </is>
      </c>
      <c r="G16525" t="n">
        <v>3.8</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41305-2024</t>
        </is>
      </c>
      <c r="B16526" s="1" t="n">
        <v>45559</v>
      </c>
      <c r="C16526" s="1" t="n">
        <v>45810</v>
      </c>
      <c r="D16526" t="inlineStr">
        <is>
          <t>VÄRMLANDS LÄN</t>
        </is>
      </c>
      <c r="E16526" t="inlineStr">
        <is>
          <t>EDA</t>
        </is>
      </c>
      <c r="G16526" t="n">
        <v>0.8</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41017-2024</t>
        </is>
      </c>
      <c r="B16527" s="1" t="n">
        <v>45559</v>
      </c>
      <c r="C16527" s="1" t="n">
        <v>45810</v>
      </c>
      <c r="D16527" t="inlineStr">
        <is>
          <t>VÄRMLANDS LÄN</t>
        </is>
      </c>
      <c r="E16527" t="inlineStr">
        <is>
          <t>SUNNE</t>
        </is>
      </c>
      <c r="G16527" t="n">
        <v>0.7</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41374-2024</t>
        </is>
      </c>
      <c r="B16528" s="1" t="n">
        <v>45559</v>
      </c>
      <c r="C16528" s="1" t="n">
        <v>45810</v>
      </c>
      <c r="D16528" t="inlineStr">
        <is>
          <t>VÄRMLANDS LÄN</t>
        </is>
      </c>
      <c r="E16528" t="inlineStr">
        <is>
          <t>ARVIKA</t>
        </is>
      </c>
      <c r="G16528" t="n">
        <v>1.4</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41368-2024</t>
        </is>
      </c>
      <c r="B16529" s="1" t="n">
        <v>45559</v>
      </c>
      <c r="C16529" s="1" t="n">
        <v>45810</v>
      </c>
      <c r="D16529" t="inlineStr">
        <is>
          <t>VÄRMLANDS LÄN</t>
        </is>
      </c>
      <c r="E16529" t="inlineStr">
        <is>
          <t>SÄFFLE</t>
        </is>
      </c>
      <c r="G16529" t="n">
        <v>0.8</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41376-2024</t>
        </is>
      </c>
      <c r="B16530" s="1" t="n">
        <v>45559</v>
      </c>
      <c r="C16530" s="1" t="n">
        <v>45810</v>
      </c>
      <c r="D16530" t="inlineStr">
        <is>
          <t>VÄRMLANDS LÄN</t>
        </is>
      </c>
      <c r="E16530" t="inlineStr">
        <is>
          <t>KARLSTAD</t>
        </is>
      </c>
      <c r="G16530" t="n">
        <v>1.4</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41069-2024</t>
        </is>
      </c>
      <c r="B16531" s="1" t="n">
        <v>45559</v>
      </c>
      <c r="C16531" s="1" t="n">
        <v>45810</v>
      </c>
      <c r="D16531" t="inlineStr">
        <is>
          <t>VÄRMLANDS LÄN</t>
        </is>
      </c>
      <c r="E16531" t="inlineStr">
        <is>
          <t>EDA</t>
        </is>
      </c>
      <c r="G16531" t="n">
        <v>1.8</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41085-2024</t>
        </is>
      </c>
      <c r="B16532" s="1" t="n">
        <v>45559</v>
      </c>
      <c r="C16532" s="1" t="n">
        <v>45810</v>
      </c>
      <c r="D16532" t="inlineStr">
        <is>
          <t>VÄRMLANDS LÄN</t>
        </is>
      </c>
      <c r="E16532" t="inlineStr">
        <is>
          <t>KRISTINEHAMN</t>
        </is>
      </c>
      <c r="G16532" t="n">
        <v>1.3</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41193-2024</t>
        </is>
      </c>
      <c r="B16533" s="1" t="n">
        <v>45559</v>
      </c>
      <c r="C16533" s="1" t="n">
        <v>45810</v>
      </c>
      <c r="D16533" t="inlineStr">
        <is>
          <t>VÄRMLANDS LÄN</t>
        </is>
      </c>
      <c r="E16533" t="inlineStr">
        <is>
          <t>ÅRJÄNG</t>
        </is>
      </c>
      <c r="G16533" t="n">
        <v>0.7</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41201-2024</t>
        </is>
      </c>
      <c r="B16534" s="1" t="n">
        <v>45559</v>
      </c>
      <c r="C16534" s="1" t="n">
        <v>45810</v>
      </c>
      <c r="D16534" t="inlineStr">
        <is>
          <t>VÄRMLANDS LÄN</t>
        </is>
      </c>
      <c r="E16534" t="inlineStr">
        <is>
          <t>ÅRJÄNG</t>
        </is>
      </c>
      <c r="G16534" t="n">
        <v>4.1</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41205-2024</t>
        </is>
      </c>
      <c r="B16535" s="1" t="n">
        <v>45559</v>
      </c>
      <c r="C16535" s="1" t="n">
        <v>45810</v>
      </c>
      <c r="D16535" t="inlineStr">
        <is>
          <t>VÄRMLANDS LÄN</t>
        </is>
      </c>
      <c r="E16535" t="inlineStr">
        <is>
          <t>ÅRJÄNG</t>
        </is>
      </c>
      <c r="G16535" t="n">
        <v>1</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41250-2024</t>
        </is>
      </c>
      <c r="B16536" s="1" t="n">
        <v>45559</v>
      </c>
      <c r="C16536" s="1" t="n">
        <v>45810</v>
      </c>
      <c r="D16536" t="inlineStr">
        <is>
          <t>VÄRMLANDS LÄN</t>
        </is>
      </c>
      <c r="E16536" t="inlineStr">
        <is>
          <t>ARVIKA</t>
        </is>
      </c>
      <c r="G16536" t="n">
        <v>1.3</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41322-2024</t>
        </is>
      </c>
      <c r="B16537" s="1" t="n">
        <v>45559</v>
      </c>
      <c r="C16537" s="1" t="n">
        <v>45810</v>
      </c>
      <c r="D16537" t="inlineStr">
        <is>
          <t>VÄRMLANDS LÄN</t>
        </is>
      </c>
      <c r="E16537" t="inlineStr">
        <is>
          <t>FILIPSTAD</t>
        </is>
      </c>
      <c r="F16537" t="inlineStr">
        <is>
          <t>Bergvik skog väst AB</t>
        </is>
      </c>
      <c r="G16537" t="n">
        <v>6</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41371-2024</t>
        </is>
      </c>
      <c r="B16538" s="1" t="n">
        <v>45559</v>
      </c>
      <c r="C16538" s="1" t="n">
        <v>45810</v>
      </c>
      <c r="D16538" t="inlineStr">
        <is>
          <t>VÄRMLANDS LÄN</t>
        </is>
      </c>
      <c r="E16538" t="inlineStr">
        <is>
          <t>ARVIKA</t>
        </is>
      </c>
      <c r="G16538" t="n">
        <v>3</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41548-2024</t>
        </is>
      </c>
      <c r="B16539" s="1" t="n">
        <v>45560</v>
      </c>
      <c r="C16539" s="1" t="n">
        <v>45810</v>
      </c>
      <c r="D16539" t="inlineStr">
        <is>
          <t>VÄRMLANDS LÄN</t>
        </is>
      </c>
      <c r="E16539" t="inlineStr">
        <is>
          <t>HAGFORS</t>
        </is>
      </c>
      <c r="F16539" t="inlineStr">
        <is>
          <t>Bergvik skog väst AB</t>
        </is>
      </c>
      <c r="G16539" t="n">
        <v>15</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41602-2024</t>
        </is>
      </c>
      <c r="B16540" s="1" t="n">
        <v>45560</v>
      </c>
      <c r="C16540" s="1" t="n">
        <v>45810</v>
      </c>
      <c r="D16540" t="inlineStr">
        <is>
          <t>VÄRMLANDS LÄN</t>
        </is>
      </c>
      <c r="E16540" t="inlineStr">
        <is>
          <t>FILIPSTAD</t>
        </is>
      </c>
      <c r="F16540" t="inlineStr">
        <is>
          <t>Bergvik skog väst AB</t>
        </is>
      </c>
      <c r="G16540" t="n">
        <v>7.2</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41514-2024</t>
        </is>
      </c>
      <c r="B16541" s="1" t="n">
        <v>45560</v>
      </c>
      <c r="C16541" s="1" t="n">
        <v>45810</v>
      </c>
      <c r="D16541" t="inlineStr">
        <is>
          <t>VÄRMLANDS LÄN</t>
        </is>
      </c>
      <c r="E16541" t="inlineStr">
        <is>
          <t>KARLSTAD</t>
        </is>
      </c>
      <c r="G16541" t="n">
        <v>1.3</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41518-2024</t>
        </is>
      </c>
      <c r="B16542" s="1" t="n">
        <v>45560</v>
      </c>
      <c r="C16542" s="1" t="n">
        <v>45810</v>
      </c>
      <c r="D16542" t="inlineStr">
        <is>
          <t>VÄRMLANDS LÄN</t>
        </is>
      </c>
      <c r="E16542" t="inlineStr">
        <is>
          <t>TORSBY</t>
        </is>
      </c>
      <c r="G16542" t="n">
        <v>1.1</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41654-2024</t>
        </is>
      </c>
      <c r="B16543" s="1" t="n">
        <v>45560</v>
      </c>
      <c r="C16543" s="1" t="n">
        <v>45810</v>
      </c>
      <c r="D16543" t="inlineStr">
        <is>
          <t>VÄRMLANDS LÄN</t>
        </is>
      </c>
      <c r="E16543" t="inlineStr">
        <is>
          <t>KARLSTAD</t>
        </is>
      </c>
      <c r="G16543" t="n">
        <v>2.4</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41671-2024</t>
        </is>
      </c>
      <c r="B16544" s="1" t="n">
        <v>45560</v>
      </c>
      <c r="C16544" s="1" t="n">
        <v>45810</v>
      </c>
      <c r="D16544" t="inlineStr">
        <is>
          <t>VÄRMLANDS LÄN</t>
        </is>
      </c>
      <c r="E16544" t="inlineStr">
        <is>
          <t>FILIPSTAD</t>
        </is>
      </c>
      <c r="F16544" t="inlineStr">
        <is>
          <t>Bergvik skog väst AB</t>
        </is>
      </c>
      <c r="G16544" t="n">
        <v>3.5</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41656-2024</t>
        </is>
      </c>
      <c r="B16545" s="1" t="n">
        <v>45560</v>
      </c>
      <c r="C16545" s="1" t="n">
        <v>45810</v>
      </c>
      <c r="D16545" t="inlineStr">
        <is>
          <t>VÄRMLANDS LÄN</t>
        </is>
      </c>
      <c r="E16545" t="inlineStr">
        <is>
          <t>STORFORS</t>
        </is>
      </c>
      <c r="F16545" t="inlineStr">
        <is>
          <t>Naturvårdsverket</t>
        </is>
      </c>
      <c r="G16545" t="n">
        <v>3.3</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41673-2024</t>
        </is>
      </c>
      <c r="B16546" s="1" t="n">
        <v>45560</v>
      </c>
      <c r="C16546" s="1" t="n">
        <v>45810</v>
      </c>
      <c r="D16546" t="inlineStr">
        <is>
          <t>VÄRMLANDS LÄN</t>
        </is>
      </c>
      <c r="E16546" t="inlineStr">
        <is>
          <t>FILIPSTAD</t>
        </is>
      </c>
      <c r="F16546" t="inlineStr">
        <is>
          <t>Bergvik skog väst AB</t>
        </is>
      </c>
      <c r="G16546" t="n">
        <v>1.5</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41504-2024</t>
        </is>
      </c>
      <c r="B16547" s="1" t="n">
        <v>45560</v>
      </c>
      <c r="C16547" s="1" t="n">
        <v>45810</v>
      </c>
      <c r="D16547" t="inlineStr">
        <is>
          <t>VÄRMLANDS LÄN</t>
        </is>
      </c>
      <c r="E16547" t="inlineStr">
        <is>
          <t>TORSBY</t>
        </is>
      </c>
      <c r="G16547" t="n">
        <v>4.7</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41529-2024</t>
        </is>
      </c>
      <c r="B16548" s="1" t="n">
        <v>45560</v>
      </c>
      <c r="C16548" s="1" t="n">
        <v>45810</v>
      </c>
      <c r="D16548" t="inlineStr">
        <is>
          <t>VÄRMLANDS LÄN</t>
        </is>
      </c>
      <c r="E16548" t="inlineStr">
        <is>
          <t>TORSBY</t>
        </is>
      </c>
      <c r="F16548" t="inlineStr">
        <is>
          <t>Bergvik skog väst AB</t>
        </is>
      </c>
      <c r="G16548" t="n">
        <v>4.8</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41541-2024</t>
        </is>
      </c>
      <c r="B16549" s="1" t="n">
        <v>45560</v>
      </c>
      <c r="C16549" s="1" t="n">
        <v>45810</v>
      </c>
      <c r="D16549" t="inlineStr">
        <is>
          <t>VÄRMLANDS LÄN</t>
        </is>
      </c>
      <c r="E16549" t="inlineStr">
        <is>
          <t>ARVIKA</t>
        </is>
      </c>
      <c r="F16549" t="inlineStr">
        <is>
          <t>Bergvik skog väst AB</t>
        </is>
      </c>
      <c r="G16549" t="n">
        <v>19.8</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41553-2024</t>
        </is>
      </c>
      <c r="B16550" s="1" t="n">
        <v>45560</v>
      </c>
      <c r="C16550" s="1" t="n">
        <v>45810</v>
      </c>
      <c r="D16550" t="inlineStr">
        <is>
          <t>VÄRMLANDS LÄN</t>
        </is>
      </c>
      <c r="E16550" t="inlineStr">
        <is>
          <t>ARVIKA</t>
        </is>
      </c>
      <c r="G16550" t="n">
        <v>9.9</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41501-2024</t>
        </is>
      </c>
      <c r="B16551" s="1" t="n">
        <v>45560</v>
      </c>
      <c r="C16551" s="1" t="n">
        <v>45810</v>
      </c>
      <c r="D16551" t="inlineStr">
        <is>
          <t>VÄRMLANDS LÄN</t>
        </is>
      </c>
      <c r="E16551" t="inlineStr">
        <is>
          <t>TORSBY</t>
        </is>
      </c>
      <c r="G16551" t="n">
        <v>7.5</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41493-2024</t>
        </is>
      </c>
      <c r="B16552" s="1" t="n">
        <v>45560</v>
      </c>
      <c r="C16552" s="1" t="n">
        <v>45810</v>
      </c>
      <c r="D16552" t="inlineStr">
        <is>
          <t>VÄRMLANDS LÄN</t>
        </is>
      </c>
      <c r="E16552" t="inlineStr">
        <is>
          <t>ARVIKA</t>
        </is>
      </c>
      <c r="F16552" t="inlineStr">
        <is>
          <t>Bergvik skog väst AB</t>
        </is>
      </c>
      <c r="G16552" t="n">
        <v>3.8</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41499-2024</t>
        </is>
      </c>
      <c r="B16553" s="1" t="n">
        <v>45560</v>
      </c>
      <c r="C16553" s="1" t="n">
        <v>45810</v>
      </c>
      <c r="D16553" t="inlineStr">
        <is>
          <t>VÄRMLANDS LÄN</t>
        </is>
      </c>
      <c r="E16553" t="inlineStr">
        <is>
          <t>STORFORS</t>
        </is>
      </c>
      <c r="F16553" t="inlineStr">
        <is>
          <t>Naturvårdsverket</t>
        </is>
      </c>
      <c r="G16553" t="n">
        <v>17.1</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41491-2024</t>
        </is>
      </c>
      <c r="B16554" s="1" t="n">
        <v>45560</v>
      </c>
      <c r="C16554" s="1" t="n">
        <v>45810</v>
      </c>
      <c r="D16554" t="inlineStr">
        <is>
          <t>VÄRMLANDS LÄN</t>
        </is>
      </c>
      <c r="E16554" t="inlineStr">
        <is>
          <t>KARLSTAD</t>
        </is>
      </c>
      <c r="G16554" t="n">
        <v>2.7</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41479-2024</t>
        </is>
      </c>
      <c r="B16555" s="1" t="n">
        <v>45560</v>
      </c>
      <c r="C16555" s="1" t="n">
        <v>45810</v>
      </c>
      <c r="D16555" t="inlineStr">
        <is>
          <t>VÄRMLANDS LÄN</t>
        </is>
      </c>
      <c r="E16555" t="inlineStr">
        <is>
          <t>STORFORS</t>
        </is>
      </c>
      <c r="F16555" t="inlineStr">
        <is>
          <t>Naturvårdsverket</t>
        </is>
      </c>
      <c r="G16555" t="n">
        <v>5.8</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41457-2024</t>
        </is>
      </c>
      <c r="B16556" s="1" t="n">
        <v>45560</v>
      </c>
      <c r="C16556" s="1" t="n">
        <v>45810</v>
      </c>
      <c r="D16556" t="inlineStr">
        <is>
          <t>VÄRMLANDS LÄN</t>
        </is>
      </c>
      <c r="E16556" t="inlineStr">
        <is>
          <t>KARLSTAD</t>
        </is>
      </c>
      <c r="G16556" t="n">
        <v>0.8</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41463-2024</t>
        </is>
      </c>
      <c r="B16557" s="1" t="n">
        <v>45560</v>
      </c>
      <c r="C16557" s="1" t="n">
        <v>45810</v>
      </c>
      <c r="D16557" t="inlineStr">
        <is>
          <t>VÄRMLANDS LÄN</t>
        </is>
      </c>
      <c r="E16557" t="inlineStr">
        <is>
          <t>STORFORS</t>
        </is>
      </c>
      <c r="F16557" t="inlineStr">
        <is>
          <t>Naturvårdsverket</t>
        </is>
      </c>
      <c r="G16557" t="n">
        <v>11.3</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41405-2024</t>
        </is>
      </c>
      <c r="B16558" s="1" t="n">
        <v>45560</v>
      </c>
      <c r="C16558" s="1" t="n">
        <v>45810</v>
      </c>
      <c r="D16558" t="inlineStr">
        <is>
          <t>VÄRMLANDS LÄN</t>
        </is>
      </c>
      <c r="E16558" t="inlineStr">
        <is>
          <t>HAGFORS</t>
        </is>
      </c>
      <c r="G16558" t="n">
        <v>1.2</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41621-2024</t>
        </is>
      </c>
      <c r="B16559" s="1" t="n">
        <v>45560</v>
      </c>
      <c r="C16559" s="1" t="n">
        <v>45810</v>
      </c>
      <c r="D16559" t="inlineStr">
        <is>
          <t>VÄRMLANDS LÄN</t>
        </is>
      </c>
      <c r="E16559" t="inlineStr">
        <is>
          <t>FILIPSTAD</t>
        </is>
      </c>
      <c r="F16559" t="inlineStr">
        <is>
          <t>Bergvik skog väst AB</t>
        </is>
      </c>
      <c r="G16559" t="n">
        <v>0.5</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41629-2024</t>
        </is>
      </c>
      <c r="B16560" s="1" t="n">
        <v>45560</v>
      </c>
      <c r="C16560" s="1" t="n">
        <v>45810</v>
      </c>
      <c r="D16560" t="inlineStr">
        <is>
          <t>VÄRMLANDS LÄN</t>
        </is>
      </c>
      <c r="E16560" t="inlineStr">
        <is>
          <t>HAGFORS</t>
        </is>
      </c>
      <c r="F16560" t="inlineStr">
        <is>
          <t>Bergvik skog väst AB</t>
        </is>
      </c>
      <c r="G16560" t="n">
        <v>5.4</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41720-2024</t>
        </is>
      </c>
      <c r="B16561" s="1" t="n">
        <v>45560</v>
      </c>
      <c r="C16561" s="1" t="n">
        <v>45810</v>
      </c>
      <c r="D16561" t="inlineStr">
        <is>
          <t>VÄRMLANDS LÄN</t>
        </is>
      </c>
      <c r="E16561" t="inlineStr">
        <is>
          <t>TORSBY</t>
        </is>
      </c>
      <c r="F16561" t="inlineStr">
        <is>
          <t>Bergvik skog väst AB</t>
        </is>
      </c>
      <c r="G16561" t="n">
        <v>13.2</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41407-2024</t>
        </is>
      </c>
      <c r="B16562" s="1" t="n">
        <v>45560</v>
      </c>
      <c r="C16562" s="1" t="n">
        <v>45810</v>
      </c>
      <c r="D16562" t="inlineStr">
        <is>
          <t>VÄRMLANDS LÄN</t>
        </is>
      </c>
      <c r="E16562" t="inlineStr">
        <is>
          <t>SUNNE</t>
        </is>
      </c>
      <c r="G16562" t="n">
        <v>0.6</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41721-2024</t>
        </is>
      </c>
      <c r="B16563" s="1" t="n">
        <v>45560</v>
      </c>
      <c r="C16563" s="1" t="n">
        <v>45810</v>
      </c>
      <c r="D16563" t="inlineStr">
        <is>
          <t>VÄRMLANDS LÄN</t>
        </is>
      </c>
      <c r="E16563" t="inlineStr">
        <is>
          <t>HAGFORS</t>
        </is>
      </c>
      <c r="F16563" t="inlineStr">
        <is>
          <t>Bergvik skog väst AB</t>
        </is>
      </c>
      <c r="G16563" t="n">
        <v>9.300000000000001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41534-2024</t>
        </is>
      </c>
      <c r="B16564" s="1" t="n">
        <v>45560</v>
      </c>
      <c r="C16564" s="1" t="n">
        <v>45810</v>
      </c>
      <c r="D16564" t="inlineStr">
        <is>
          <t>VÄRMLANDS LÄN</t>
        </is>
      </c>
      <c r="E16564" t="inlineStr">
        <is>
          <t>TORSBY</t>
        </is>
      </c>
      <c r="G16564" t="n">
        <v>17.3</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41631-2024</t>
        </is>
      </c>
      <c r="B16565" s="1" t="n">
        <v>45560</v>
      </c>
      <c r="C16565" s="1" t="n">
        <v>45810</v>
      </c>
      <c r="D16565" t="inlineStr">
        <is>
          <t>VÄRMLANDS LÄN</t>
        </is>
      </c>
      <c r="E16565" t="inlineStr">
        <is>
          <t>TORSBY</t>
        </is>
      </c>
      <c r="F16565" t="inlineStr">
        <is>
          <t>Bergvik skog väst AB</t>
        </is>
      </c>
      <c r="G16565" t="n">
        <v>16.3</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41502-2024</t>
        </is>
      </c>
      <c r="B16566" s="1" t="n">
        <v>45560</v>
      </c>
      <c r="C16566" s="1" t="n">
        <v>45810</v>
      </c>
      <c r="D16566" t="inlineStr">
        <is>
          <t>VÄRMLANDS LÄN</t>
        </is>
      </c>
      <c r="E16566" t="inlineStr">
        <is>
          <t>HAGFORS</t>
        </is>
      </c>
      <c r="F16566" t="inlineStr">
        <is>
          <t>Bergvik skog väst AB</t>
        </is>
      </c>
      <c r="G16566" t="n">
        <v>4</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41639-2024</t>
        </is>
      </c>
      <c r="B16567" s="1" t="n">
        <v>45560</v>
      </c>
      <c r="C16567" s="1" t="n">
        <v>45810</v>
      </c>
      <c r="D16567" t="inlineStr">
        <is>
          <t>VÄRMLANDS LÄN</t>
        </is>
      </c>
      <c r="E16567" t="inlineStr">
        <is>
          <t>ARVIKA</t>
        </is>
      </c>
      <c r="G16567" t="n">
        <v>13.9</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41676-2024</t>
        </is>
      </c>
      <c r="B16568" s="1" t="n">
        <v>45560</v>
      </c>
      <c r="C16568" s="1" t="n">
        <v>45810</v>
      </c>
      <c r="D16568" t="inlineStr">
        <is>
          <t>VÄRMLANDS LÄN</t>
        </is>
      </c>
      <c r="E16568" t="inlineStr">
        <is>
          <t>FILIPSTAD</t>
        </is>
      </c>
      <c r="F16568" t="inlineStr">
        <is>
          <t>Bergvik skog väst AB</t>
        </is>
      </c>
      <c r="G16568" t="n">
        <v>3.1</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41745-2024</t>
        </is>
      </c>
      <c r="B16569" s="1" t="n">
        <v>45561</v>
      </c>
      <c r="C16569" s="1" t="n">
        <v>45810</v>
      </c>
      <c r="D16569" t="inlineStr">
        <is>
          <t>VÄRMLANDS LÄN</t>
        </is>
      </c>
      <c r="E16569" t="inlineStr">
        <is>
          <t>TORSBY</t>
        </is>
      </c>
      <c r="F16569" t="inlineStr">
        <is>
          <t>Bergvik skog väst AB</t>
        </is>
      </c>
      <c r="G16569" t="n">
        <v>7.2</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41743-2024</t>
        </is>
      </c>
      <c r="B16570" s="1" t="n">
        <v>45561</v>
      </c>
      <c r="C16570" s="1" t="n">
        <v>45810</v>
      </c>
      <c r="D16570" t="inlineStr">
        <is>
          <t>VÄRMLANDS LÄN</t>
        </is>
      </c>
      <c r="E16570" t="inlineStr">
        <is>
          <t>TORSBY</t>
        </is>
      </c>
      <c r="F16570" t="inlineStr">
        <is>
          <t>Bergvik skog väst AB</t>
        </is>
      </c>
      <c r="G16570" t="n">
        <v>5.4</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41969-2024</t>
        </is>
      </c>
      <c r="B16571" s="1" t="n">
        <v>45561</v>
      </c>
      <c r="C16571" s="1" t="n">
        <v>45810</v>
      </c>
      <c r="D16571" t="inlineStr">
        <is>
          <t>VÄRMLANDS LÄN</t>
        </is>
      </c>
      <c r="E16571" t="inlineStr">
        <is>
          <t>ARVIKA</t>
        </is>
      </c>
      <c r="G16571" t="n">
        <v>9.800000000000001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42045-2024</t>
        </is>
      </c>
      <c r="B16572" s="1" t="n">
        <v>45561</v>
      </c>
      <c r="C16572" s="1" t="n">
        <v>45810</v>
      </c>
      <c r="D16572" t="inlineStr">
        <is>
          <t>VÄRMLANDS LÄN</t>
        </is>
      </c>
      <c r="E16572" t="inlineStr">
        <is>
          <t>ÅRJÄNG</t>
        </is>
      </c>
      <c r="G16572" t="n">
        <v>1.9</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42050-2024</t>
        </is>
      </c>
      <c r="B16573" s="1" t="n">
        <v>45561</v>
      </c>
      <c r="C16573" s="1" t="n">
        <v>45810</v>
      </c>
      <c r="D16573" t="inlineStr">
        <is>
          <t>VÄRMLANDS LÄN</t>
        </is>
      </c>
      <c r="E16573" t="inlineStr">
        <is>
          <t>ARVIKA</t>
        </is>
      </c>
      <c r="G16573" t="n">
        <v>0.8</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42051-2024</t>
        </is>
      </c>
      <c r="B16574" s="1" t="n">
        <v>45561</v>
      </c>
      <c r="C16574" s="1" t="n">
        <v>45810</v>
      </c>
      <c r="D16574" t="inlineStr">
        <is>
          <t>VÄRMLANDS LÄN</t>
        </is>
      </c>
      <c r="E16574" t="inlineStr">
        <is>
          <t>ARVIKA</t>
        </is>
      </c>
      <c r="G16574" t="n">
        <v>1.9</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41878-2024</t>
        </is>
      </c>
      <c r="B16575" s="1" t="n">
        <v>45561</v>
      </c>
      <c r="C16575" s="1" t="n">
        <v>45810</v>
      </c>
      <c r="D16575" t="inlineStr">
        <is>
          <t>VÄRMLANDS LÄN</t>
        </is>
      </c>
      <c r="E16575" t="inlineStr">
        <is>
          <t>GRUMS</t>
        </is>
      </c>
      <c r="F16575" t="inlineStr">
        <is>
          <t>Bergvik skog väst AB</t>
        </is>
      </c>
      <c r="G16575" t="n">
        <v>15.9</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41936-2024</t>
        </is>
      </c>
      <c r="B16576" s="1" t="n">
        <v>45561</v>
      </c>
      <c r="C16576" s="1" t="n">
        <v>45810</v>
      </c>
      <c r="D16576" t="inlineStr">
        <is>
          <t>VÄRMLANDS LÄN</t>
        </is>
      </c>
      <c r="E16576" t="inlineStr">
        <is>
          <t>TORSBY</t>
        </is>
      </c>
      <c r="G16576" t="n">
        <v>9.9</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42048-2024</t>
        </is>
      </c>
      <c r="B16577" s="1" t="n">
        <v>45561</v>
      </c>
      <c r="C16577" s="1" t="n">
        <v>45810</v>
      </c>
      <c r="D16577" t="inlineStr">
        <is>
          <t>VÄRMLANDS LÄN</t>
        </is>
      </c>
      <c r="E16577" t="inlineStr">
        <is>
          <t>ARVIKA</t>
        </is>
      </c>
      <c r="G16577" t="n">
        <v>1.8</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42116-2024</t>
        </is>
      </c>
      <c r="B16578" s="1" t="n">
        <v>45562</v>
      </c>
      <c r="C16578" s="1" t="n">
        <v>45810</v>
      </c>
      <c r="D16578" t="inlineStr">
        <is>
          <t>VÄRMLANDS LÄN</t>
        </is>
      </c>
      <c r="E16578" t="inlineStr">
        <is>
          <t>KIL</t>
        </is>
      </c>
      <c r="G16578" t="n">
        <v>10</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42169-2024</t>
        </is>
      </c>
      <c r="B16579" s="1" t="n">
        <v>45562</v>
      </c>
      <c r="C16579" s="1" t="n">
        <v>45810</v>
      </c>
      <c r="D16579" t="inlineStr">
        <is>
          <t>VÄRMLANDS LÄN</t>
        </is>
      </c>
      <c r="E16579" t="inlineStr">
        <is>
          <t>HAGFORS</t>
        </is>
      </c>
      <c r="F16579" t="inlineStr">
        <is>
          <t>Bergvik skog väst AB</t>
        </is>
      </c>
      <c r="G16579" t="n">
        <v>0.9</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42173-2024</t>
        </is>
      </c>
      <c r="B16580" s="1" t="n">
        <v>45562</v>
      </c>
      <c r="C16580" s="1" t="n">
        <v>45810</v>
      </c>
      <c r="D16580" t="inlineStr">
        <is>
          <t>VÄRMLANDS LÄN</t>
        </is>
      </c>
      <c r="E16580" t="inlineStr">
        <is>
          <t>HAGFORS</t>
        </is>
      </c>
      <c r="F16580" t="inlineStr">
        <is>
          <t>Bergvik skog väst AB</t>
        </is>
      </c>
      <c r="G16580" t="n">
        <v>0.9</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42177-2024</t>
        </is>
      </c>
      <c r="B16581" s="1" t="n">
        <v>45562</v>
      </c>
      <c r="C16581" s="1" t="n">
        <v>45810</v>
      </c>
      <c r="D16581" t="inlineStr">
        <is>
          <t>VÄRMLANDS LÄN</t>
        </is>
      </c>
      <c r="E16581" t="inlineStr">
        <is>
          <t>FILIPSTAD</t>
        </is>
      </c>
      <c r="G16581" t="n">
        <v>2.1</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42229-2024</t>
        </is>
      </c>
      <c r="B16582" s="1" t="n">
        <v>45562</v>
      </c>
      <c r="C16582" s="1" t="n">
        <v>45810</v>
      </c>
      <c r="D16582" t="inlineStr">
        <is>
          <t>VÄRMLANDS LÄN</t>
        </is>
      </c>
      <c r="E16582" t="inlineStr">
        <is>
          <t>ÅRJÄNG</t>
        </is>
      </c>
      <c r="G16582" t="n">
        <v>6.3</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42233-2024</t>
        </is>
      </c>
      <c r="B16583" s="1" t="n">
        <v>45562</v>
      </c>
      <c r="C16583" s="1" t="n">
        <v>45810</v>
      </c>
      <c r="D16583" t="inlineStr">
        <is>
          <t>VÄRMLANDS LÄN</t>
        </is>
      </c>
      <c r="E16583" t="inlineStr">
        <is>
          <t>ÅRJÄNG</t>
        </is>
      </c>
      <c r="G16583" t="n">
        <v>9.800000000000001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42241-2024</t>
        </is>
      </c>
      <c r="B16584" s="1" t="n">
        <v>45562</v>
      </c>
      <c r="C16584" s="1" t="n">
        <v>45810</v>
      </c>
      <c r="D16584" t="inlineStr">
        <is>
          <t>VÄRMLANDS LÄN</t>
        </is>
      </c>
      <c r="E16584" t="inlineStr">
        <is>
          <t>ÅRJÄNG</t>
        </is>
      </c>
      <c r="G16584" t="n">
        <v>4</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42269-2024</t>
        </is>
      </c>
      <c r="B16585" s="1" t="n">
        <v>45562</v>
      </c>
      <c r="C16585" s="1" t="n">
        <v>45810</v>
      </c>
      <c r="D16585" t="inlineStr">
        <is>
          <t>VÄRMLANDS LÄN</t>
        </is>
      </c>
      <c r="E16585" t="inlineStr">
        <is>
          <t>HAGFORS</t>
        </is>
      </c>
      <c r="F16585" t="inlineStr">
        <is>
          <t>Bergvik skog väst AB</t>
        </is>
      </c>
      <c r="G16585" t="n">
        <v>4.6</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42121-2024</t>
        </is>
      </c>
      <c r="B16586" s="1" t="n">
        <v>45562</v>
      </c>
      <c r="C16586" s="1" t="n">
        <v>45810</v>
      </c>
      <c r="D16586" t="inlineStr">
        <is>
          <t>VÄRMLANDS LÄN</t>
        </is>
      </c>
      <c r="E16586" t="inlineStr">
        <is>
          <t>HAGFORS</t>
        </is>
      </c>
      <c r="F16586" t="inlineStr">
        <is>
          <t>Bergvik skog väst AB</t>
        </is>
      </c>
      <c r="G16586" t="n">
        <v>2.2</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42283-2024</t>
        </is>
      </c>
      <c r="B16587" s="1" t="n">
        <v>45562</v>
      </c>
      <c r="C16587" s="1" t="n">
        <v>45810</v>
      </c>
      <c r="D16587" t="inlineStr">
        <is>
          <t>VÄRMLANDS LÄN</t>
        </is>
      </c>
      <c r="E16587" t="inlineStr">
        <is>
          <t>TORSBY</t>
        </is>
      </c>
      <c r="F16587" t="inlineStr">
        <is>
          <t>Bergvik skog väst AB</t>
        </is>
      </c>
      <c r="G16587" t="n">
        <v>10.7</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42141-2024</t>
        </is>
      </c>
      <c r="B16588" s="1" t="n">
        <v>45562</v>
      </c>
      <c r="C16588" s="1" t="n">
        <v>45810</v>
      </c>
      <c r="D16588" t="inlineStr">
        <is>
          <t>VÄRMLANDS LÄN</t>
        </is>
      </c>
      <c r="E16588" t="inlineStr">
        <is>
          <t>ÅRJÄNG</t>
        </is>
      </c>
      <c r="G16588" t="n">
        <v>2.5</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42149-2024</t>
        </is>
      </c>
      <c r="B16589" s="1" t="n">
        <v>45562</v>
      </c>
      <c r="C16589" s="1" t="n">
        <v>45810</v>
      </c>
      <c r="D16589" t="inlineStr">
        <is>
          <t>VÄRMLANDS LÄN</t>
        </is>
      </c>
      <c r="E16589" t="inlineStr">
        <is>
          <t>ÅRJÄNG</t>
        </is>
      </c>
      <c r="G16589" t="n">
        <v>1.9</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42157-2024</t>
        </is>
      </c>
      <c r="B16590" s="1" t="n">
        <v>45562</v>
      </c>
      <c r="C16590" s="1" t="n">
        <v>45810</v>
      </c>
      <c r="D16590" t="inlineStr">
        <is>
          <t>VÄRMLANDS LÄN</t>
        </is>
      </c>
      <c r="E16590" t="inlineStr">
        <is>
          <t>KIL</t>
        </is>
      </c>
      <c r="G16590" t="n">
        <v>1.8</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42300-2024</t>
        </is>
      </c>
      <c r="B16591" s="1" t="n">
        <v>45562</v>
      </c>
      <c r="C16591" s="1" t="n">
        <v>45810</v>
      </c>
      <c r="D16591" t="inlineStr">
        <is>
          <t>VÄRMLANDS LÄN</t>
        </is>
      </c>
      <c r="E16591" t="inlineStr">
        <is>
          <t>SUNNE</t>
        </is>
      </c>
      <c r="F16591" t="inlineStr">
        <is>
          <t>Bergvik skog väst AB</t>
        </is>
      </c>
      <c r="G16591" t="n">
        <v>4.9</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42170-2024</t>
        </is>
      </c>
      <c r="B16592" s="1" t="n">
        <v>45562</v>
      </c>
      <c r="C16592" s="1" t="n">
        <v>45810</v>
      </c>
      <c r="D16592" t="inlineStr">
        <is>
          <t>VÄRMLANDS LÄN</t>
        </is>
      </c>
      <c r="E16592" t="inlineStr">
        <is>
          <t>HAGFORS</t>
        </is>
      </c>
      <c r="F16592" t="inlineStr">
        <is>
          <t>Bergvik skog väst AB</t>
        </is>
      </c>
      <c r="G16592" t="n">
        <v>0.9</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42178-2024</t>
        </is>
      </c>
      <c r="B16593" s="1" t="n">
        <v>45562</v>
      </c>
      <c r="C16593" s="1" t="n">
        <v>45810</v>
      </c>
      <c r="D16593" t="inlineStr">
        <is>
          <t>VÄRMLANDS LÄN</t>
        </is>
      </c>
      <c r="E16593" t="inlineStr">
        <is>
          <t>HAGFORS</t>
        </is>
      </c>
      <c r="F16593" t="inlineStr">
        <is>
          <t>Bergvik skog väst AB</t>
        </is>
      </c>
      <c r="G16593" t="n">
        <v>0.9</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42183-2024</t>
        </is>
      </c>
      <c r="B16594" s="1" t="n">
        <v>45562</v>
      </c>
      <c r="C16594" s="1" t="n">
        <v>45810</v>
      </c>
      <c r="D16594" t="inlineStr">
        <is>
          <t>VÄRMLANDS LÄN</t>
        </is>
      </c>
      <c r="E16594" t="inlineStr">
        <is>
          <t>FILIPSTAD</t>
        </is>
      </c>
      <c r="G16594" t="n">
        <v>3.1</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42222-2024</t>
        </is>
      </c>
      <c r="B16595" s="1" t="n">
        <v>45562</v>
      </c>
      <c r="C16595" s="1" t="n">
        <v>45810</v>
      </c>
      <c r="D16595" t="inlineStr">
        <is>
          <t>VÄRMLANDS LÄN</t>
        </is>
      </c>
      <c r="E16595" t="inlineStr">
        <is>
          <t>ÅRJÄNG</t>
        </is>
      </c>
      <c r="G16595" t="n">
        <v>0.8</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42226-2024</t>
        </is>
      </c>
      <c r="B16596" s="1" t="n">
        <v>45562</v>
      </c>
      <c r="C16596" s="1" t="n">
        <v>45810</v>
      </c>
      <c r="D16596" t="inlineStr">
        <is>
          <t>VÄRMLANDS LÄN</t>
        </is>
      </c>
      <c r="E16596" t="inlineStr">
        <is>
          <t>ÅRJÄNG</t>
        </is>
      </c>
      <c r="G16596" t="n">
        <v>1.1</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42230-2024</t>
        </is>
      </c>
      <c r="B16597" s="1" t="n">
        <v>45562</v>
      </c>
      <c r="C16597" s="1" t="n">
        <v>45810</v>
      </c>
      <c r="D16597" t="inlineStr">
        <is>
          <t>VÄRMLANDS LÄN</t>
        </is>
      </c>
      <c r="E16597" t="inlineStr">
        <is>
          <t>ÅRJÄNG</t>
        </is>
      </c>
      <c r="G16597" t="n">
        <v>8.6</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42250-2024</t>
        </is>
      </c>
      <c r="B16598" s="1" t="n">
        <v>45562</v>
      </c>
      <c r="C16598" s="1" t="n">
        <v>45810</v>
      </c>
      <c r="D16598" t="inlineStr">
        <is>
          <t>VÄRMLANDS LÄN</t>
        </is>
      </c>
      <c r="E16598" t="inlineStr">
        <is>
          <t>TORSBY</t>
        </is>
      </c>
      <c r="F16598" t="inlineStr">
        <is>
          <t>Bergvik skog väst AB</t>
        </is>
      </c>
      <c r="G16598" t="n">
        <v>6.2</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42280-2024</t>
        </is>
      </c>
      <c r="B16599" s="1" t="n">
        <v>45562</v>
      </c>
      <c r="C16599" s="1" t="n">
        <v>45810</v>
      </c>
      <c r="D16599" t="inlineStr">
        <is>
          <t>VÄRMLANDS LÄN</t>
        </is>
      </c>
      <c r="E16599" t="inlineStr">
        <is>
          <t>FILIPSTAD</t>
        </is>
      </c>
      <c r="F16599" t="inlineStr">
        <is>
          <t>Bergvik skog väst AB</t>
        </is>
      </c>
      <c r="G16599" t="n">
        <v>3.4</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42150-2024</t>
        </is>
      </c>
      <c r="B16600" s="1" t="n">
        <v>45562</v>
      </c>
      <c r="C16600" s="1" t="n">
        <v>45810</v>
      </c>
      <c r="D16600" t="inlineStr">
        <is>
          <t>VÄRMLANDS LÄN</t>
        </is>
      </c>
      <c r="E16600" t="inlineStr">
        <is>
          <t>HAGFORS</t>
        </is>
      </c>
      <c r="F16600" t="inlineStr">
        <is>
          <t>Bergvik skog väst AB</t>
        </is>
      </c>
      <c r="G16600" t="n">
        <v>2.2</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42163-2024</t>
        </is>
      </c>
      <c r="B16601" s="1" t="n">
        <v>45562</v>
      </c>
      <c r="C16601" s="1" t="n">
        <v>45810</v>
      </c>
      <c r="D16601" t="inlineStr">
        <is>
          <t>VÄRMLANDS LÄN</t>
        </is>
      </c>
      <c r="E16601" t="inlineStr">
        <is>
          <t>HAGFORS</t>
        </is>
      </c>
      <c r="F16601" t="inlineStr">
        <is>
          <t>Bergvik skog väst AB</t>
        </is>
      </c>
      <c r="G16601" t="n">
        <v>4.8</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42171-2024</t>
        </is>
      </c>
      <c r="B16602" s="1" t="n">
        <v>45562</v>
      </c>
      <c r="C16602" s="1" t="n">
        <v>45810</v>
      </c>
      <c r="D16602" t="inlineStr">
        <is>
          <t>VÄRMLANDS LÄN</t>
        </is>
      </c>
      <c r="E16602" t="inlineStr">
        <is>
          <t>HAGFORS</t>
        </is>
      </c>
      <c r="F16602" t="inlineStr">
        <is>
          <t>Bergvik skog väst AB</t>
        </is>
      </c>
      <c r="G16602" t="n">
        <v>0.9</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42175-2024</t>
        </is>
      </c>
      <c r="B16603" s="1" t="n">
        <v>45562</v>
      </c>
      <c r="C16603" s="1" t="n">
        <v>45810</v>
      </c>
      <c r="D16603" t="inlineStr">
        <is>
          <t>VÄRMLANDS LÄN</t>
        </is>
      </c>
      <c r="E16603" t="inlineStr">
        <is>
          <t>HAGFORS</t>
        </is>
      </c>
      <c r="F16603" t="inlineStr">
        <is>
          <t>Bergvik skog väst AB</t>
        </is>
      </c>
      <c r="G16603" t="n">
        <v>0.9</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42179-2024</t>
        </is>
      </c>
      <c r="B16604" s="1" t="n">
        <v>45562</v>
      </c>
      <c r="C16604" s="1" t="n">
        <v>45810</v>
      </c>
      <c r="D16604" t="inlineStr">
        <is>
          <t>VÄRMLANDS LÄN</t>
        </is>
      </c>
      <c r="E16604" t="inlineStr">
        <is>
          <t>FILIPSTAD</t>
        </is>
      </c>
      <c r="G16604" t="n">
        <v>3.3</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42219-2024</t>
        </is>
      </c>
      <c r="B16605" s="1" t="n">
        <v>45562</v>
      </c>
      <c r="C16605" s="1" t="n">
        <v>45810</v>
      </c>
      <c r="D16605" t="inlineStr">
        <is>
          <t>VÄRMLANDS LÄN</t>
        </is>
      </c>
      <c r="E16605" t="inlineStr">
        <is>
          <t>HAGFORS</t>
        </is>
      </c>
      <c r="F16605" t="inlineStr">
        <is>
          <t>Bergvik skog väst AB</t>
        </is>
      </c>
      <c r="G16605" t="n">
        <v>2.1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42227-2024</t>
        </is>
      </c>
      <c r="B16606" s="1" t="n">
        <v>45562</v>
      </c>
      <c r="C16606" s="1" t="n">
        <v>45810</v>
      </c>
      <c r="D16606" t="inlineStr">
        <is>
          <t>VÄRMLANDS LÄN</t>
        </is>
      </c>
      <c r="E16606" t="inlineStr">
        <is>
          <t>ARVIKA</t>
        </is>
      </c>
      <c r="F16606" t="inlineStr">
        <is>
          <t>Bergvik skog väst AB</t>
        </is>
      </c>
      <c r="G16606" t="n">
        <v>20.5</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42235-2024</t>
        </is>
      </c>
      <c r="B16607" s="1" t="n">
        <v>45562</v>
      </c>
      <c r="C16607" s="1" t="n">
        <v>45810</v>
      </c>
      <c r="D16607" t="inlineStr">
        <is>
          <t>VÄRMLANDS LÄN</t>
        </is>
      </c>
      <c r="E16607" t="inlineStr">
        <is>
          <t>HAGFORS</t>
        </is>
      </c>
      <c r="G16607" t="n">
        <v>2.5</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42243-2024</t>
        </is>
      </c>
      <c r="B16608" s="1" t="n">
        <v>45562</v>
      </c>
      <c r="C16608" s="1" t="n">
        <v>45810</v>
      </c>
      <c r="D16608" t="inlineStr">
        <is>
          <t>VÄRMLANDS LÄN</t>
        </is>
      </c>
      <c r="E16608" t="inlineStr">
        <is>
          <t>HAGFORS</t>
        </is>
      </c>
      <c r="G16608" t="n">
        <v>3.1</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42329-2024</t>
        </is>
      </c>
      <c r="B16609" s="1" t="n">
        <v>45562</v>
      </c>
      <c r="C16609" s="1" t="n">
        <v>45810</v>
      </c>
      <c r="D16609" t="inlineStr">
        <is>
          <t>VÄRMLANDS LÄN</t>
        </is>
      </c>
      <c r="E16609" t="inlineStr">
        <is>
          <t>ARVIKA</t>
        </is>
      </c>
      <c r="G16609" t="n">
        <v>1.1</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42131-2024</t>
        </is>
      </c>
      <c r="B16610" s="1" t="n">
        <v>45562</v>
      </c>
      <c r="C16610" s="1" t="n">
        <v>45810</v>
      </c>
      <c r="D16610" t="inlineStr">
        <is>
          <t>VÄRMLANDS LÄN</t>
        </is>
      </c>
      <c r="E16610" t="inlineStr">
        <is>
          <t>KIL</t>
        </is>
      </c>
      <c r="G16610" t="n">
        <v>7</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42168-2024</t>
        </is>
      </c>
      <c r="B16611" s="1" t="n">
        <v>45562</v>
      </c>
      <c r="C16611" s="1" t="n">
        <v>45810</v>
      </c>
      <c r="D16611" t="inlineStr">
        <is>
          <t>VÄRMLANDS LÄN</t>
        </is>
      </c>
      <c r="E16611" t="inlineStr">
        <is>
          <t>HAGFORS</t>
        </is>
      </c>
      <c r="F16611" t="inlineStr">
        <is>
          <t>Bergvik skog väst AB</t>
        </is>
      </c>
      <c r="G16611" t="n">
        <v>0.9</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42172-2024</t>
        </is>
      </c>
      <c r="B16612" s="1" t="n">
        <v>45562</v>
      </c>
      <c r="C16612" s="1" t="n">
        <v>45810</v>
      </c>
      <c r="D16612" t="inlineStr">
        <is>
          <t>VÄRMLANDS LÄN</t>
        </is>
      </c>
      <c r="E16612" t="inlineStr">
        <is>
          <t>HAGFORS</t>
        </is>
      </c>
      <c r="F16612" t="inlineStr">
        <is>
          <t>Bergvik skog väst AB</t>
        </is>
      </c>
      <c r="G16612" t="n">
        <v>0.9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42176-2024</t>
        </is>
      </c>
      <c r="B16613" s="1" t="n">
        <v>45562</v>
      </c>
      <c r="C16613" s="1" t="n">
        <v>45810</v>
      </c>
      <c r="D16613" t="inlineStr">
        <is>
          <t>VÄRMLANDS LÄN</t>
        </is>
      </c>
      <c r="E16613" t="inlineStr">
        <is>
          <t>TORSBY</t>
        </is>
      </c>
      <c r="F16613" t="inlineStr">
        <is>
          <t>Kommuner</t>
        </is>
      </c>
      <c r="G16613" t="n">
        <v>5.4</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42180-2024</t>
        </is>
      </c>
      <c r="B16614" s="1" t="n">
        <v>45562</v>
      </c>
      <c r="C16614" s="1" t="n">
        <v>45810</v>
      </c>
      <c r="D16614" t="inlineStr">
        <is>
          <t>VÄRMLANDS LÄN</t>
        </is>
      </c>
      <c r="E16614" t="inlineStr">
        <is>
          <t>HAGFORS</t>
        </is>
      </c>
      <c r="F16614" t="inlineStr">
        <is>
          <t>Bergvik skog väst AB</t>
        </is>
      </c>
      <c r="G16614" t="n">
        <v>4.6</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42236-2024</t>
        </is>
      </c>
      <c r="B16615" s="1" t="n">
        <v>45562</v>
      </c>
      <c r="C16615" s="1" t="n">
        <v>45810</v>
      </c>
      <c r="D16615" t="inlineStr">
        <is>
          <t>VÄRMLANDS LÄN</t>
        </is>
      </c>
      <c r="E16615" t="inlineStr">
        <is>
          <t>ÅRJÄNG</t>
        </is>
      </c>
      <c r="G16615" t="n">
        <v>3</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42345-2024</t>
        </is>
      </c>
      <c r="B16616" s="1" t="n">
        <v>45562</v>
      </c>
      <c r="C16616" s="1" t="n">
        <v>45810</v>
      </c>
      <c r="D16616" t="inlineStr">
        <is>
          <t>VÄRMLANDS LÄN</t>
        </is>
      </c>
      <c r="E16616" t="inlineStr">
        <is>
          <t>EDA</t>
        </is>
      </c>
      <c r="G16616" t="n">
        <v>2.3</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42336-2024</t>
        </is>
      </c>
      <c r="B16617" s="1" t="n">
        <v>45562</v>
      </c>
      <c r="C16617" s="1" t="n">
        <v>45810</v>
      </c>
      <c r="D16617" t="inlineStr">
        <is>
          <t>VÄRMLANDS LÄN</t>
        </is>
      </c>
      <c r="E16617" t="inlineStr">
        <is>
          <t>ARVIKA</t>
        </is>
      </c>
      <c r="G16617" t="n">
        <v>11.1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42377-2024</t>
        </is>
      </c>
      <c r="B16618" s="1" t="n">
        <v>45564</v>
      </c>
      <c r="C16618" s="1" t="n">
        <v>45810</v>
      </c>
      <c r="D16618" t="inlineStr">
        <is>
          <t>VÄRMLANDS LÄN</t>
        </is>
      </c>
      <c r="E16618" t="inlineStr">
        <is>
          <t>SÄFFLE</t>
        </is>
      </c>
      <c r="G16618" t="n">
        <v>1.2</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42405-2024</t>
        </is>
      </c>
      <c r="B16619" s="1" t="n">
        <v>45565</v>
      </c>
      <c r="C16619" s="1" t="n">
        <v>45810</v>
      </c>
      <c r="D16619" t="inlineStr">
        <is>
          <t>VÄRMLANDS LÄN</t>
        </is>
      </c>
      <c r="E16619" t="inlineStr">
        <is>
          <t>TORSBY</t>
        </is>
      </c>
      <c r="F16619" t="inlineStr">
        <is>
          <t>Bergvik skog väst AB</t>
        </is>
      </c>
      <c r="G16619" t="n">
        <v>10</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42414-2024</t>
        </is>
      </c>
      <c r="B16620" s="1" t="n">
        <v>45565</v>
      </c>
      <c r="C16620" s="1" t="n">
        <v>45810</v>
      </c>
      <c r="D16620" t="inlineStr">
        <is>
          <t>VÄRMLANDS LÄN</t>
        </is>
      </c>
      <c r="E16620" t="inlineStr">
        <is>
          <t>TORSBY</t>
        </is>
      </c>
      <c r="F16620" t="inlineStr">
        <is>
          <t>Bergvik skog väst AB</t>
        </is>
      </c>
      <c r="G16620" t="n">
        <v>0.7</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42545-2024</t>
        </is>
      </c>
      <c r="B16621" s="1" t="n">
        <v>45565</v>
      </c>
      <c r="C16621" s="1" t="n">
        <v>45810</v>
      </c>
      <c r="D16621" t="inlineStr">
        <is>
          <t>VÄRMLANDS LÄN</t>
        </is>
      </c>
      <c r="E16621" t="inlineStr">
        <is>
          <t>ÅRJÄNG</t>
        </is>
      </c>
      <c r="G16621" t="n">
        <v>1.9</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42424-2024</t>
        </is>
      </c>
      <c r="B16622" s="1" t="n">
        <v>45565</v>
      </c>
      <c r="C16622" s="1" t="n">
        <v>45810</v>
      </c>
      <c r="D16622" t="inlineStr">
        <is>
          <t>VÄRMLANDS LÄN</t>
        </is>
      </c>
      <c r="E16622" t="inlineStr">
        <is>
          <t>TORSBY</t>
        </is>
      </c>
      <c r="F16622" t="inlineStr">
        <is>
          <t>Bergvik skog väst AB</t>
        </is>
      </c>
      <c r="G16622" t="n">
        <v>3.7</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42428-2024</t>
        </is>
      </c>
      <c r="B16623" s="1" t="n">
        <v>45565</v>
      </c>
      <c r="C16623" s="1" t="n">
        <v>45810</v>
      </c>
      <c r="D16623" t="inlineStr">
        <is>
          <t>VÄRMLANDS LÄN</t>
        </is>
      </c>
      <c r="E16623" t="inlineStr">
        <is>
          <t>TORSBY</t>
        </is>
      </c>
      <c r="F16623" t="inlineStr">
        <is>
          <t>Bergvik skog väst AB</t>
        </is>
      </c>
      <c r="G16623" t="n">
        <v>20.7</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42801-2024</t>
        </is>
      </c>
      <c r="B16624" s="1" t="n">
        <v>45565</v>
      </c>
      <c r="C16624" s="1" t="n">
        <v>45810</v>
      </c>
      <c r="D16624" t="inlineStr">
        <is>
          <t>VÄRMLANDS LÄN</t>
        </is>
      </c>
      <c r="E16624" t="inlineStr">
        <is>
          <t>HAGFORS</t>
        </is>
      </c>
      <c r="G16624" t="n">
        <v>1.3</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42457-2024</t>
        </is>
      </c>
      <c r="B16625" s="1" t="n">
        <v>45565</v>
      </c>
      <c r="C16625" s="1" t="n">
        <v>45810</v>
      </c>
      <c r="D16625" t="inlineStr">
        <is>
          <t>VÄRMLANDS LÄN</t>
        </is>
      </c>
      <c r="E16625" t="inlineStr">
        <is>
          <t>TORSBY</t>
        </is>
      </c>
      <c r="G16625" t="n">
        <v>5.2</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42465-2024</t>
        </is>
      </c>
      <c r="B16626" s="1" t="n">
        <v>45565</v>
      </c>
      <c r="C16626" s="1" t="n">
        <v>45810</v>
      </c>
      <c r="D16626" t="inlineStr">
        <is>
          <t>VÄRMLANDS LÄN</t>
        </is>
      </c>
      <c r="E16626" t="inlineStr">
        <is>
          <t>KARLSTAD</t>
        </is>
      </c>
      <c r="G16626" t="n">
        <v>0.7</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42469-2024</t>
        </is>
      </c>
      <c r="B16627" s="1" t="n">
        <v>45565</v>
      </c>
      <c r="C16627" s="1" t="n">
        <v>45810</v>
      </c>
      <c r="D16627" t="inlineStr">
        <is>
          <t>VÄRMLANDS LÄN</t>
        </is>
      </c>
      <c r="E16627" t="inlineStr">
        <is>
          <t>HAGFORS</t>
        </is>
      </c>
      <c r="G16627" t="n">
        <v>3.8</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42555-2024</t>
        </is>
      </c>
      <c r="B16628" s="1" t="n">
        <v>45565</v>
      </c>
      <c r="C16628" s="1" t="n">
        <v>45810</v>
      </c>
      <c r="D16628" t="inlineStr">
        <is>
          <t>VÄRMLANDS LÄN</t>
        </is>
      </c>
      <c r="E16628" t="inlineStr">
        <is>
          <t>SUNNE</t>
        </is>
      </c>
      <c r="G16628" t="n">
        <v>1</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42511-2024</t>
        </is>
      </c>
      <c r="B16629" s="1" t="n">
        <v>45565</v>
      </c>
      <c r="C16629" s="1" t="n">
        <v>45810</v>
      </c>
      <c r="D16629" t="inlineStr">
        <is>
          <t>VÄRMLANDS LÄN</t>
        </is>
      </c>
      <c r="E16629" t="inlineStr">
        <is>
          <t>FORSHAGA</t>
        </is>
      </c>
      <c r="F16629" t="inlineStr">
        <is>
          <t>Bergvik skog väst AB</t>
        </is>
      </c>
      <c r="G16629" t="n">
        <v>4.3</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42606-2024</t>
        </is>
      </c>
      <c r="B16630" s="1" t="n">
        <v>45565</v>
      </c>
      <c r="C16630" s="1" t="n">
        <v>45810</v>
      </c>
      <c r="D16630" t="inlineStr">
        <is>
          <t>VÄRMLANDS LÄN</t>
        </is>
      </c>
      <c r="E16630" t="inlineStr">
        <is>
          <t>ÅRJÄNG</t>
        </is>
      </c>
      <c r="G16630" t="n">
        <v>0.9</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42585-2024</t>
        </is>
      </c>
      <c r="B16631" s="1" t="n">
        <v>45565</v>
      </c>
      <c r="C16631" s="1" t="n">
        <v>45810</v>
      </c>
      <c r="D16631" t="inlineStr">
        <is>
          <t>VÄRMLANDS LÄN</t>
        </is>
      </c>
      <c r="E16631" t="inlineStr">
        <is>
          <t>ARVIKA</t>
        </is>
      </c>
      <c r="F16631" t="inlineStr">
        <is>
          <t>Bergvik skog väst AB</t>
        </is>
      </c>
      <c r="G16631" t="n">
        <v>2.6</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42630-2024</t>
        </is>
      </c>
      <c r="B16632" s="1" t="n">
        <v>45565</v>
      </c>
      <c r="C16632" s="1" t="n">
        <v>45810</v>
      </c>
      <c r="D16632" t="inlineStr">
        <is>
          <t>VÄRMLANDS LÄN</t>
        </is>
      </c>
      <c r="E16632" t="inlineStr">
        <is>
          <t>SÄFFLE</t>
        </is>
      </c>
      <c r="G16632" t="n">
        <v>0.8</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42471-2024</t>
        </is>
      </c>
      <c r="B16633" s="1" t="n">
        <v>45565</v>
      </c>
      <c r="C16633" s="1" t="n">
        <v>45810</v>
      </c>
      <c r="D16633" t="inlineStr">
        <is>
          <t>VÄRMLANDS LÄN</t>
        </is>
      </c>
      <c r="E16633" t="inlineStr">
        <is>
          <t>ÅRJÄNG</t>
        </is>
      </c>
      <c r="G16633" t="n">
        <v>1.6</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42455-2024</t>
        </is>
      </c>
      <c r="B16634" s="1" t="n">
        <v>45565</v>
      </c>
      <c r="C16634" s="1" t="n">
        <v>45810</v>
      </c>
      <c r="D16634" t="inlineStr">
        <is>
          <t>VÄRMLANDS LÄN</t>
        </is>
      </c>
      <c r="E16634" t="inlineStr">
        <is>
          <t>ÅRJÄNG</t>
        </is>
      </c>
      <c r="G16634" t="n">
        <v>0.7</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42531-2024</t>
        </is>
      </c>
      <c r="B16635" s="1" t="n">
        <v>45565</v>
      </c>
      <c r="C16635" s="1" t="n">
        <v>45810</v>
      </c>
      <c r="D16635" t="inlineStr">
        <is>
          <t>VÄRMLANDS LÄN</t>
        </is>
      </c>
      <c r="E16635" t="inlineStr">
        <is>
          <t>ÅRJÄNG</t>
        </is>
      </c>
      <c r="G16635" t="n">
        <v>1.2</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42879-2024</t>
        </is>
      </c>
      <c r="B16636" s="1" t="n">
        <v>45566</v>
      </c>
      <c r="C16636" s="1" t="n">
        <v>45810</v>
      </c>
      <c r="D16636" t="inlineStr">
        <is>
          <t>VÄRMLANDS LÄN</t>
        </is>
      </c>
      <c r="E16636" t="inlineStr">
        <is>
          <t>FILIPSTAD</t>
        </is>
      </c>
      <c r="G16636" t="n">
        <v>2.4</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42809-2024</t>
        </is>
      </c>
      <c r="B16637" s="1" t="n">
        <v>45566</v>
      </c>
      <c r="C16637" s="1" t="n">
        <v>45810</v>
      </c>
      <c r="D16637" t="inlineStr">
        <is>
          <t>VÄRMLANDS LÄN</t>
        </is>
      </c>
      <c r="E16637" t="inlineStr">
        <is>
          <t>FORSHAGA</t>
        </is>
      </c>
      <c r="F16637" t="inlineStr">
        <is>
          <t>Bergvik skog väst AB</t>
        </is>
      </c>
      <c r="G16637" t="n">
        <v>3.9</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42792-2024</t>
        </is>
      </c>
      <c r="B16638" s="1" t="n">
        <v>45566</v>
      </c>
      <c r="C16638" s="1" t="n">
        <v>45810</v>
      </c>
      <c r="D16638" t="inlineStr">
        <is>
          <t>VÄRMLANDS LÄN</t>
        </is>
      </c>
      <c r="E16638" t="inlineStr">
        <is>
          <t>SUNNE</t>
        </is>
      </c>
      <c r="G16638" t="n">
        <v>2.8</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42834-2024</t>
        </is>
      </c>
      <c r="B16639" s="1" t="n">
        <v>45566</v>
      </c>
      <c r="C16639" s="1" t="n">
        <v>45810</v>
      </c>
      <c r="D16639" t="inlineStr">
        <is>
          <t>VÄRMLANDS LÄN</t>
        </is>
      </c>
      <c r="E16639" t="inlineStr">
        <is>
          <t>TORSBY</t>
        </is>
      </c>
      <c r="G16639" t="n">
        <v>5.8</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42828-2024</t>
        </is>
      </c>
      <c r="B16640" s="1" t="n">
        <v>45566</v>
      </c>
      <c r="C16640" s="1" t="n">
        <v>45810</v>
      </c>
      <c r="D16640" t="inlineStr">
        <is>
          <t>VÄRMLANDS LÄN</t>
        </is>
      </c>
      <c r="E16640" t="inlineStr">
        <is>
          <t>SUNNE</t>
        </is>
      </c>
      <c r="F16640" t="inlineStr">
        <is>
          <t>Bergvik skog väst AB</t>
        </is>
      </c>
      <c r="G16640" t="n">
        <v>0.7</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42667-2024</t>
        </is>
      </c>
      <c r="B16641" s="1" t="n">
        <v>45566</v>
      </c>
      <c r="C16641" s="1" t="n">
        <v>45810</v>
      </c>
      <c r="D16641" t="inlineStr">
        <is>
          <t>VÄRMLANDS LÄN</t>
        </is>
      </c>
      <c r="E16641" t="inlineStr">
        <is>
          <t>KIL</t>
        </is>
      </c>
      <c r="G16641" t="n">
        <v>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42783-2024</t>
        </is>
      </c>
      <c r="B16642" s="1" t="n">
        <v>45566</v>
      </c>
      <c r="C16642" s="1" t="n">
        <v>45810</v>
      </c>
      <c r="D16642" t="inlineStr">
        <is>
          <t>VÄRMLANDS LÄN</t>
        </is>
      </c>
      <c r="E16642" t="inlineStr">
        <is>
          <t>ÅRJÄNG</t>
        </is>
      </c>
      <c r="G16642" t="n">
        <v>2.1</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42662-2024</t>
        </is>
      </c>
      <c r="B16643" s="1" t="n">
        <v>45566</v>
      </c>
      <c r="C16643" s="1" t="n">
        <v>45810</v>
      </c>
      <c r="D16643" t="inlineStr">
        <is>
          <t>VÄRMLANDS LÄN</t>
        </is>
      </c>
      <c r="E16643" t="inlineStr">
        <is>
          <t>TORSBY</t>
        </is>
      </c>
      <c r="F16643" t="inlineStr">
        <is>
          <t>Bergvik skog väst AB</t>
        </is>
      </c>
      <c r="G16643" t="n">
        <v>7.9</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43203-2024</t>
        </is>
      </c>
      <c r="B16644" s="1" t="n">
        <v>45567</v>
      </c>
      <c r="C16644" s="1" t="n">
        <v>45810</v>
      </c>
      <c r="D16644" t="inlineStr">
        <is>
          <t>VÄRMLANDS LÄN</t>
        </is>
      </c>
      <c r="E16644" t="inlineStr">
        <is>
          <t>EDA</t>
        </is>
      </c>
      <c r="G16644" t="n">
        <v>1.1</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43163-2024</t>
        </is>
      </c>
      <c r="B16645" s="1" t="n">
        <v>45567</v>
      </c>
      <c r="C16645" s="1" t="n">
        <v>45810</v>
      </c>
      <c r="D16645" t="inlineStr">
        <is>
          <t>VÄRMLANDS LÄN</t>
        </is>
      </c>
      <c r="E16645" t="inlineStr">
        <is>
          <t>FORSHAGA</t>
        </is>
      </c>
      <c r="F16645" t="inlineStr">
        <is>
          <t>Bergvik skog väst AB</t>
        </is>
      </c>
      <c r="G16645" t="n">
        <v>9.4</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43107-2024</t>
        </is>
      </c>
      <c r="B16646" s="1" t="n">
        <v>45567</v>
      </c>
      <c r="C16646" s="1" t="n">
        <v>45810</v>
      </c>
      <c r="D16646" t="inlineStr">
        <is>
          <t>VÄRMLANDS LÄN</t>
        </is>
      </c>
      <c r="E16646" t="inlineStr">
        <is>
          <t>ÅRJÄNG</t>
        </is>
      </c>
      <c r="G16646" t="n">
        <v>16.2</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43099-2024</t>
        </is>
      </c>
      <c r="B16647" s="1" t="n">
        <v>45567</v>
      </c>
      <c r="C16647" s="1" t="n">
        <v>45810</v>
      </c>
      <c r="D16647" t="inlineStr">
        <is>
          <t>VÄRMLANDS LÄN</t>
        </is>
      </c>
      <c r="E16647" t="inlineStr">
        <is>
          <t>SÄFFLE</t>
        </is>
      </c>
      <c r="G16647" t="n">
        <v>0.8</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43223-2024</t>
        </is>
      </c>
      <c r="B16648" s="1" t="n">
        <v>45567</v>
      </c>
      <c r="C16648" s="1" t="n">
        <v>45810</v>
      </c>
      <c r="D16648" t="inlineStr">
        <is>
          <t>VÄRMLANDS LÄN</t>
        </is>
      </c>
      <c r="E16648" t="inlineStr">
        <is>
          <t>HAGFORS</t>
        </is>
      </c>
      <c r="G16648" t="n">
        <v>1</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43045-2024</t>
        </is>
      </c>
      <c r="B16649" s="1" t="n">
        <v>45567</v>
      </c>
      <c r="C16649" s="1" t="n">
        <v>45810</v>
      </c>
      <c r="D16649" t="inlineStr">
        <is>
          <t>VÄRMLANDS LÄN</t>
        </is>
      </c>
      <c r="E16649" t="inlineStr">
        <is>
          <t>FILIPSTAD</t>
        </is>
      </c>
      <c r="F16649" t="inlineStr">
        <is>
          <t>Kyrkan</t>
        </is>
      </c>
      <c r="G16649" t="n">
        <v>2.5</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43037-2024</t>
        </is>
      </c>
      <c r="B16650" s="1" t="n">
        <v>45567</v>
      </c>
      <c r="C16650" s="1" t="n">
        <v>45810</v>
      </c>
      <c r="D16650" t="inlineStr">
        <is>
          <t>VÄRMLANDS LÄN</t>
        </is>
      </c>
      <c r="E16650" t="inlineStr">
        <is>
          <t>TORSBY</t>
        </is>
      </c>
      <c r="F16650" t="inlineStr">
        <is>
          <t>Bergvik skog väst AB</t>
        </is>
      </c>
      <c r="G16650" t="n">
        <v>0.5</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42945-2024</t>
        </is>
      </c>
      <c r="B16651" s="1" t="n">
        <v>45567</v>
      </c>
      <c r="C16651" s="1" t="n">
        <v>45810</v>
      </c>
      <c r="D16651" t="inlineStr">
        <is>
          <t>VÄRMLANDS LÄN</t>
        </is>
      </c>
      <c r="E16651" t="inlineStr">
        <is>
          <t>TORSBY</t>
        </is>
      </c>
      <c r="F16651" t="inlineStr">
        <is>
          <t>Bergvik skog väst AB</t>
        </is>
      </c>
      <c r="G16651" t="n">
        <v>8.300000000000001</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42929-2024</t>
        </is>
      </c>
      <c r="B16652" s="1" t="n">
        <v>45567</v>
      </c>
      <c r="C16652" s="1" t="n">
        <v>45810</v>
      </c>
      <c r="D16652" t="inlineStr">
        <is>
          <t>VÄRMLANDS LÄN</t>
        </is>
      </c>
      <c r="E16652" t="inlineStr">
        <is>
          <t>KARLSTAD</t>
        </is>
      </c>
      <c r="G16652" t="n">
        <v>2</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43157-2024</t>
        </is>
      </c>
      <c r="B16653" s="1" t="n">
        <v>45567</v>
      </c>
      <c r="C16653" s="1" t="n">
        <v>45810</v>
      </c>
      <c r="D16653" t="inlineStr">
        <is>
          <t>VÄRMLANDS LÄN</t>
        </is>
      </c>
      <c r="E16653" t="inlineStr">
        <is>
          <t>SUNNE</t>
        </is>
      </c>
      <c r="G16653" t="n">
        <v>1.2</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43153-2024</t>
        </is>
      </c>
      <c r="B16654" s="1" t="n">
        <v>45567</v>
      </c>
      <c r="C16654" s="1" t="n">
        <v>45810</v>
      </c>
      <c r="D16654" t="inlineStr">
        <is>
          <t>VÄRMLANDS LÄN</t>
        </is>
      </c>
      <c r="E16654" t="inlineStr">
        <is>
          <t>SUNNE</t>
        </is>
      </c>
      <c r="F16654" t="inlineStr">
        <is>
          <t>Bergvik skog väst AB</t>
        </is>
      </c>
      <c r="G16654" t="n">
        <v>0.6</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43149-2024</t>
        </is>
      </c>
      <c r="B16655" s="1" t="n">
        <v>45567</v>
      </c>
      <c r="C16655" s="1" t="n">
        <v>45810</v>
      </c>
      <c r="D16655" t="inlineStr">
        <is>
          <t>VÄRMLANDS LÄN</t>
        </is>
      </c>
      <c r="E16655" t="inlineStr">
        <is>
          <t>SUNNE</t>
        </is>
      </c>
      <c r="G16655" t="n">
        <v>1.9</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43137-2024</t>
        </is>
      </c>
      <c r="B16656" s="1" t="n">
        <v>45567</v>
      </c>
      <c r="C16656" s="1" t="n">
        <v>45810</v>
      </c>
      <c r="D16656" t="inlineStr">
        <is>
          <t>VÄRMLANDS LÄN</t>
        </is>
      </c>
      <c r="E16656" t="inlineStr">
        <is>
          <t>TORSBY</t>
        </is>
      </c>
      <c r="G16656" t="n">
        <v>1.6</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43065-2024</t>
        </is>
      </c>
      <c r="B16657" s="1" t="n">
        <v>45567</v>
      </c>
      <c r="C16657" s="1" t="n">
        <v>45810</v>
      </c>
      <c r="D16657" t="inlineStr">
        <is>
          <t>VÄRMLANDS LÄN</t>
        </is>
      </c>
      <c r="E16657" t="inlineStr">
        <is>
          <t>KIL</t>
        </is>
      </c>
      <c r="G16657" t="n">
        <v>0.6</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43060-2024</t>
        </is>
      </c>
      <c r="B16658" s="1" t="n">
        <v>45567</v>
      </c>
      <c r="C16658" s="1" t="n">
        <v>45810</v>
      </c>
      <c r="D16658" t="inlineStr">
        <is>
          <t>VÄRMLANDS LÄN</t>
        </is>
      </c>
      <c r="E16658" t="inlineStr">
        <is>
          <t>KIL</t>
        </is>
      </c>
      <c r="G16658" t="n">
        <v>3.6</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43044-2024</t>
        </is>
      </c>
      <c r="B16659" s="1" t="n">
        <v>45567</v>
      </c>
      <c r="C16659" s="1" t="n">
        <v>45810</v>
      </c>
      <c r="D16659" t="inlineStr">
        <is>
          <t>VÄRMLANDS LÄN</t>
        </is>
      </c>
      <c r="E16659" t="inlineStr">
        <is>
          <t>TORSBY</t>
        </is>
      </c>
      <c r="F16659" t="inlineStr">
        <is>
          <t>Bergvik skog väst AB</t>
        </is>
      </c>
      <c r="G16659" t="n">
        <v>42.7</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42935-2024</t>
        </is>
      </c>
      <c r="B16660" s="1" t="n">
        <v>45567</v>
      </c>
      <c r="C16660" s="1" t="n">
        <v>45810</v>
      </c>
      <c r="D16660" t="inlineStr">
        <is>
          <t>VÄRMLANDS LÄN</t>
        </is>
      </c>
      <c r="E16660" t="inlineStr">
        <is>
          <t>EDA</t>
        </is>
      </c>
      <c r="G16660" t="n">
        <v>2.1</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43200-2024</t>
        </is>
      </c>
      <c r="B16661" s="1" t="n">
        <v>45567</v>
      </c>
      <c r="C16661" s="1" t="n">
        <v>45810</v>
      </c>
      <c r="D16661" t="inlineStr">
        <is>
          <t>VÄRMLANDS LÄN</t>
        </is>
      </c>
      <c r="E16661" t="inlineStr">
        <is>
          <t>EDA</t>
        </is>
      </c>
      <c r="G16661" t="n">
        <v>2.3</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43164-2024</t>
        </is>
      </c>
      <c r="B16662" s="1" t="n">
        <v>45567</v>
      </c>
      <c r="C16662" s="1" t="n">
        <v>45810</v>
      </c>
      <c r="D16662" t="inlineStr">
        <is>
          <t>VÄRMLANDS LÄN</t>
        </is>
      </c>
      <c r="E16662" t="inlineStr">
        <is>
          <t>TORSBY</t>
        </is>
      </c>
      <c r="G16662" t="n">
        <v>3.6</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43144-2024</t>
        </is>
      </c>
      <c r="B16663" s="1" t="n">
        <v>45567</v>
      </c>
      <c r="C16663" s="1" t="n">
        <v>45810</v>
      </c>
      <c r="D16663" t="inlineStr">
        <is>
          <t>VÄRMLANDS LÄN</t>
        </is>
      </c>
      <c r="E16663" t="inlineStr">
        <is>
          <t>TORSBY</t>
        </is>
      </c>
      <c r="G16663" t="n">
        <v>2.3</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43059-2024</t>
        </is>
      </c>
      <c r="B16664" s="1" t="n">
        <v>45567</v>
      </c>
      <c r="C16664" s="1" t="n">
        <v>45810</v>
      </c>
      <c r="D16664" t="inlineStr">
        <is>
          <t>VÄRMLANDS LÄN</t>
        </is>
      </c>
      <c r="E16664" t="inlineStr">
        <is>
          <t>FILIPSTAD</t>
        </is>
      </c>
      <c r="F16664" t="inlineStr">
        <is>
          <t>Kyrkan</t>
        </is>
      </c>
      <c r="G16664" t="n">
        <v>4.7</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42986-2024</t>
        </is>
      </c>
      <c r="B16665" s="1" t="n">
        <v>45567</v>
      </c>
      <c r="C16665" s="1" t="n">
        <v>45810</v>
      </c>
      <c r="D16665" t="inlineStr">
        <is>
          <t>VÄRMLANDS LÄN</t>
        </is>
      </c>
      <c r="E16665" t="inlineStr">
        <is>
          <t>ARVIKA</t>
        </is>
      </c>
      <c r="G16665" t="n">
        <v>2.1</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43483-2024</t>
        </is>
      </c>
      <c r="B16666" s="1" t="n">
        <v>45568</v>
      </c>
      <c r="C16666" s="1" t="n">
        <v>45810</v>
      </c>
      <c r="D16666" t="inlineStr">
        <is>
          <t>VÄRMLANDS LÄN</t>
        </is>
      </c>
      <c r="E16666" t="inlineStr">
        <is>
          <t>SUNNE</t>
        </is>
      </c>
      <c r="G16666" t="n">
        <v>1</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43420-2024</t>
        </is>
      </c>
      <c r="B16667" s="1" t="n">
        <v>45568</v>
      </c>
      <c r="C16667" s="1" t="n">
        <v>45810</v>
      </c>
      <c r="D16667" t="inlineStr">
        <is>
          <t>VÄRMLANDS LÄN</t>
        </is>
      </c>
      <c r="E16667" t="inlineStr">
        <is>
          <t>TORSBY</t>
        </is>
      </c>
      <c r="G16667" t="n">
        <v>3.1</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43409-2024</t>
        </is>
      </c>
      <c r="B16668" s="1" t="n">
        <v>45568</v>
      </c>
      <c r="C16668" s="1" t="n">
        <v>45810</v>
      </c>
      <c r="D16668" t="inlineStr">
        <is>
          <t>VÄRMLANDS LÄN</t>
        </is>
      </c>
      <c r="E16668" t="inlineStr">
        <is>
          <t>TORSBY</t>
        </is>
      </c>
      <c r="G16668" t="n">
        <v>6.7</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43295-2024</t>
        </is>
      </c>
      <c r="B16669" s="1" t="n">
        <v>45568</v>
      </c>
      <c r="C16669" s="1" t="n">
        <v>45810</v>
      </c>
      <c r="D16669" t="inlineStr">
        <is>
          <t>VÄRMLANDS LÄN</t>
        </is>
      </c>
      <c r="E16669" t="inlineStr">
        <is>
          <t>TORSBY</t>
        </is>
      </c>
      <c r="G16669" t="n">
        <v>0.8</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43285-2024</t>
        </is>
      </c>
      <c r="B16670" s="1" t="n">
        <v>45568</v>
      </c>
      <c r="C16670" s="1" t="n">
        <v>45810</v>
      </c>
      <c r="D16670" t="inlineStr">
        <is>
          <t>VÄRMLANDS LÄN</t>
        </is>
      </c>
      <c r="E16670" t="inlineStr">
        <is>
          <t>KIL</t>
        </is>
      </c>
      <c r="G16670" t="n">
        <v>1</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43376-2024</t>
        </is>
      </c>
      <c r="B16671" s="1" t="n">
        <v>45568</v>
      </c>
      <c r="C16671" s="1" t="n">
        <v>45810</v>
      </c>
      <c r="D16671" t="inlineStr">
        <is>
          <t>VÄRMLANDS LÄN</t>
        </is>
      </c>
      <c r="E16671" t="inlineStr">
        <is>
          <t>KARLSTAD</t>
        </is>
      </c>
      <c r="G16671" t="n">
        <v>0.8</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43269-2024</t>
        </is>
      </c>
      <c r="B16672" s="1" t="n">
        <v>45568</v>
      </c>
      <c r="C16672" s="1" t="n">
        <v>45810</v>
      </c>
      <c r="D16672" t="inlineStr">
        <is>
          <t>VÄRMLANDS LÄN</t>
        </is>
      </c>
      <c r="E16672" t="inlineStr">
        <is>
          <t>FILIPSTAD</t>
        </is>
      </c>
      <c r="G16672" t="n">
        <v>3</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43319-2024</t>
        </is>
      </c>
      <c r="B16673" s="1" t="n">
        <v>45568</v>
      </c>
      <c r="C16673" s="1" t="n">
        <v>45810</v>
      </c>
      <c r="D16673" t="inlineStr">
        <is>
          <t>VÄRMLANDS LÄN</t>
        </is>
      </c>
      <c r="E16673" t="inlineStr">
        <is>
          <t>ÅRJÄNG</t>
        </is>
      </c>
      <c r="G16673" t="n">
        <v>1</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43387-2024</t>
        </is>
      </c>
      <c r="B16674" s="1" t="n">
        <v>45568</v>
      </c>
      <c r="C16674" s="1" t="n">
        <v>45810</v>
      </c>
      <c r="D16674" t="inlineStr">
        <is>
          <t>VÄRMLANDS LÄN</t>
        </is>
      </c>
      <c r="E16674" t="inlineStr">
        <is>
          <t>FORSHAGA</t>
        </is>
      </c>
      <c r="G16674" t="n">
        <v>0.7</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43336-2024</t>
        </is>
      </c>
      <c r="B16675" s="1" t="n">
        <v>45568</v>
      </c>
      <c r="C16675" s="1" t="n">
        <v>45810</v>
      </c>
      <c r="D16675" t="inlineStr">
        <is>
          <t>VÄRMLANDS LÄN</t>
        </is>
      </c>
      <c r="E16675" t="inlineStr">
        <is>
          <t>TORSBY</t>
        </is>
      </c>
      <c r="F16675" t="inlineStr">
        <is>
          <t>Bergvik skog väst AB</t>
        </is>
      </c>
      <c r="G16675" t="n">
        <v>6.7</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43301-2024</t>
        </is>
      </c>
      <c r="B16676" s="1" t="n">
        <v>45568</v>
      </c>
      <c r="C16676" s="1" t="n">
        <v>45810</v>
      </c>
      <c r="D16676" t="inlineStr">
        <is>
          <t>VÄRMLANDS LÄN</t>
        </is>
      </c>
      <c r="E16676" t="inlineStr">
        <is>
          <t>TORSBY</t>
        </is>
      </c>
      <c r="G16676" t="n">
        <v>2</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43290-2024</t>
        </is>
      </c>
      <c r="B16677" s="1" t="n">
        <v>45568</v>
      </c>
      <c r="C16677" s="1" t="n">
        <v>45810</v>
      </c>
      <c r="D16677" t="inlineStr">
        <is>
          <t>VÄRMLANDS LÄN</t>
        </is>
      </c>
      <c r="E16677" t="inlineStr">
        <is>
          <t>ÅRJÄNG</t>
        </is>
      </c>
      <c r="G16677" t="n">
        <v>3.4</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43270-2024</t>
        </is>
      </c>
      <c r="B16678" s="1" t="n">
        <v>45568</v>
      </c>
      <c r="C16678" s="1" t="n">
        <v>45810</v>
      </c>
      <c r="D16678" t="inlineStr">
        <is>
          <t>VÄRMLANDS LÄN</t>
        </is>
      </c>
      <c r="E16678" t="inlineStr">
        <is>
          <t>FILIPSTAD</t>
        </is>
      </c>
      <c r="G16678" t="n">
        <v>2.4</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43284-2024</t>
        </is>
      </c>
      <c r="B16679" s="1" t="n">
        <v>45568</v>
      </c>
      <c r="C16679" s="1" t="n">
        <v>45810</v>
      </c>
      <c r="D16679" t="inlineStr">
        <is>
          <t>VÄRMLANDS LÄN</t>
        </is>
      </c>
      <c r="E16679" t="inlineStr">
        <is>
          <t>ÅRJÄNG</t>
        </is>
      </c>
      <c r="G16679" t="n">
        <v>2</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43264-2024</t>
        </is>
      </c>
      <c r="B16680" s="1" t="n">
        <v>45568</v>
      </c>
      <c r="C16680" s="1" t="n">
        <v>45810</v>
      </c>
      <c r="D16680" t="inlineStr">
        <is>
          <t>VÄRMLANDS LÄN</t>
        </is>
      </c>
      <c r="E16680" t="inlineStr">
        <is>
          <t>FILIPSTAD</t>
        </is>
      </c>
      <c r="G16680" t="n">
        <v>2.4</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43256-2024</t>
        </is>
      </c>
      <c r="B16681" s="1" t="n">
        <v>45568</v>
      </c>
      <c r="C16681" s="1" t="n">
        <v>45810</v>
      </c>
      <c r="D16681" t="inlineStr">
        <is>
          <t>VÄRMLANDS LÄN</t>
        </is>
      </c>
      <c r="E16681" t="inlineStr">
        <is>
          <t>TORSBY</t>
        </is>
      </c>
      <c r="G16681" t="n">
        <v>1.6</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43636-2024</t>
        </is>
      </c>
      <c r="B16682" s="1" t="n">
        <v>45569</v>
      </c>
      <c r="C16682" s="1" t="n">
        <v>45810</v>
      </c>
      <c r="D16682" t="inlineStr">
        <is>
          <t>VÄRMLANDS LÄN</t>
        </is>
      </c>
      <c r="E16682" t="inlineStr">
        <is>
          <t>FILIPSTAD</t>
        </is>
      </c>
      <c r="F16682" t="inlineStr">
        <is>
          <t>Bergvik skog väst AB</t>
        </is>
      </c>
      <c r="G16682" t="n">
        <v>1.5</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43650-2024</t>
        </is>
      </c>
      <c r="B16683" s="1" t="n">
        <v>45569</v>
      </c>
      <c r="C16683" s="1" t="n">
        <v>45810</v>
      </c>
      <c r="D16683" t="inlineStr">
        <is>
          <t>VÄRMLANDS LÄN</t>
        </is>
      </c>
      <c r="E16683" t="inlineStr">
        <is>
          <t>ÅRJÄNG</t>
        </is>
      </c>
      <c r="G16683" t="n">
        <v>1.4</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43654-2024</t>
        </is>
      </c>
      <c r="B16684" s="1" t="n">
        <v>45569</v>
      </c>
      <c r="C16684" s="1" t="n">
        <v>45810</v>
      </c>
      <c r="D16684" t="inlineStr">
        <is>
          <t>VÄRMLANDS LÄN</t>
        </is>
      </c>
      <c r="E16684" t="inlineStr">
        <is>
          <t>KRISTINEHAMN</t>
        </is>
      </c>
      <c r="G16684" t="n">
        <v>2.1</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43659-2024</t>
        </is>
      </c>
      <c r="B16685" s="1" t="n">
        <v>45569</v>
      </c>
      <c r="C16685" s="1" t="n">
        <v>45810</v>
      </c>
      <c r="D16685" t="inlineStr">
        <is>
          <t>VÄRMLANDS LÄN</t>
        </is>
      </c>
      <c r="E16685" t="inlineStr">
        <is>
          <t>ÅRJÄNG</t>
        </is>
      </c>
      <c r="G16685" t="n">
        <v>6</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43538-2024</t>
        </is>
      </c>
      <c r="B16686" s="1" t="n">
        <v>45569</v>
      </c>
      <c r="C16686" s="1" t="n">
        <v>45810</v>
      </c>
      <c r="D16686" t="inlineStr">
        <is>
          <t>VÄRMLANDS LÄN</t>
        </is>
      </c>
      <c r="E16686" t="inlineStr">
        <is>
          <t>TORSBY</t>
        </is>
      </c>
      <c r="F16686" t="inlineStr">
        <is>
          <t>Bergvik skog väst AB</t>
        </is>
      </c>
      <c r="G16686" t="n">
        <v>14.4</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43595-2024</t>
        </is>
      </c>
      <c r="B16687" s="1" t="n">
        <v>45569</v>
      </c>
      <c r="C16687" s="1" t="n">
        <v>45810</v>
      </c>
      <c r="D16687" t="inlineStr">
        <is>
          <t>VÄRMLANDS LÄN</t>
        </is>
      </c>
      <c r="E16687" t="inlineStr">
        <is>
          <t>HAGFORS</t>
        </is>
      </c>
      <c r="F16687" t="inlineStr">
        <is>
          <t>Bergvik skog väst AB</t>
        </is>
      </c>
      <c r="G16687" t="n">
        <v>2.7</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43633-2024</t>
        </is>
      </c>
      <c r="B16688" s="1" t="n">
        <v>45569</v>
      </c>
      <c r="C16688" s="1" t="n">
        <v>45810</v>
      </c>
      <c r="D16688" t="inlineStr">
        <is>
          <t>VÄRMLANDS LÄN</t>
        </is>
      </c>
      <c r="E16688" t="inlineStr">
        <is>
          <t>FILIPSTAD</t>
        </is>
      </c>
      <c r="F16688" t="inlineStr">
        <is>
          <t>Bergvik skog väst AB</t>
        </is>
      </c>
      <c r="G16688" t="n">
        <v>5</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43692-2024</t>
        </is>
      </c>
      <c r="B16689" s="1" t="n">
        <v>45569</v>
      </c>
      <c r="C16689" s="1" t="n">
        <v>45810</v>
      </c>
      <c r="D16689" t="inlineStr">
        <is>
          <t>VÄRMLANDS LÄN</t>
        </is>
      </c>
      <c r="E16689" t="inlineStr">
        <is>
          <t>STORFORS</t>
        </is>
      </c>
      <c r="F16689" t="inlineStr">
        <is>
          <t>Bergvik skog väst AB</t>
        </is>
      </c>
      <c r="G16689" t="n">
        <v>8.4</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43766-2024</t>
        </is>
      </c>
      <c r="B16690" s="1" t="n">
        <v>45569</v>
      </c>
      <c r="C16690" s="1" t="n">
        <v>45810</v>
      </c>
      <c r="D16690" t="inlineStr">
        <is>
          <t>VÄRMLANDS LÄN</t>
        </is>
      </c>
      <c r="E16690" t="inlineStr">
        <is>
          <t>SÄFFLE</t>
        </is>
      </c>
      <c r="G16690" t="n">
        <v>0.7</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43718-2024</t>
        </is>
      </c>
      <c r="B16691" s="1" t="n">
        <v>45569</v>
      </c>
      <c r="C16691" s="1" t="n">
        <v>45810</v>
      </c>
      <c r="D16691" t="inlineStr">
        <is>
          <t>VÄRMLANDS LÄN</t>
        </is>
      </c>
      <c r="E16691" t="inlineStr">
        <is>
          <t>TORSBY</t>
        </is>
      </c>
      <c r="G16691" t="n">
        <v>8</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43587-2024</t>
        </is>
      </c>
      <c r="B16692" s="1" t="n">
        <v>45569</v>
      </c>
      <c r="C16692" s="1" t="n">
        <v>45810</v>
      </c>
      <c r="D16692" t="inlineStr">
        <is>
          <t>VÄRMLANDS LÄN</t>
        </is>
      </c>
      <c r="E16692" t="inlineStr">
        <is>
          <t>ARVIKA</t>
        </is>
      </c>
      <c r="F16692" t="inlineStr">
        <is>
          <t>Bergvik skog väst AB</t>
        </is>
      </c>
      <c r="G16692" t="n">
        <v>0.8</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43558-2024</t>
        </is>
      </c>
      <c r="B16693" s="1" t="n">
        <v>45569</v>
      </c>
      <c r="C16693" s="1" t="n">
        <v>45810</v>
      </c>
      <c r="D16693" t="inlineStr">
        <is>
          <t>VÄRMLANDS LÄN</t>
        </is>
      </c>
      <c r="E16693" t="inlineStr">
        <is>
          <t>HAGFORS</t>
        </is>
      </c>
      <c r="F16693" t="inlineStr">
        <is>
          <t>Bergvik skog väst AB</t>
        </is>
      </c>
      <c r="G16693" t="n">
        <v>3.9</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43543-2024</t>
        </is>
      </c>
      <c r="B16694" s="1" t="n">
        <v>45569</v>
      </c>
      <c r="C16694" s="1" t="n">
        <v>45810</v>
      </c>
      <c r="D16694" t="inlineStr">
        <is>
          <t>VÄRMLANDS LÄN</t>
        </is>
      </c>
      <c r="E16694" t="inlineStr">
        <is>
          <t>HAGFORS</t>
        </is>
      </c>
      <c r="F16694" t="inlineStr">
        <is>
          <t>Bergvik skog väst AB</t>
        </is>
      </c>
      <c r="G16694" t="n">
        <v>3.8</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43531-2024</t>
        </is>
      </c>
      <c r="B16695" s="1" t="n">
        <v>45569</v>
      </c>
      <c r="C16695" s="1" t="n">
        <v>45810</v>
      </c>
      <c r="D16695" t="inlineStr">
        <is>
          <t>VÄRMLANDS LÄN</t>
        </is>
      </c>
      <c r="E16695" t="inlineStr">
        <is>
          <t>ARVIKA</t>
        </is>
      </c>
      <c r="G16695" t="n">
        <v>4.8</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43517-2024</t>
        </is>
      </c>
      <c r="B16696" s="1" t="n">
        <v>45569</v>
      </c>
      <c r="C16696" s="1" t="n">
        <v>45810</v>
      </c>
      <c r="D16696" t="inlineStr">
        <is>
          <t>VÄRMLANDS LÄN</t>
        </is>
      </c>
      <c r="E16696" t="inlineStr">
        <is>
          <t>ÅRJÄNG</t>
        </is>
      </c>
      <c r="G16696" t="n">
        <v>5.9</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43765-2024</t>
        </is>
      </c>
      <c r="B16697" s="1" t="n">
        <v>45569</v>
      </c>
      <c r="C16697" s="1" t="n">
        <v>45810</v>
      </c>
      <c r="D16697" t="inlineStr">
        <is>
          <t>VÄRMLANDS LÄN</t>
        </is>
      </c>
      <c r="E16697" t="inlineStr">
        <is>
          <t>SÄFFLE</t>
        </is>
      </c>
      <c r="G16697" t="n">
        <v>2.5</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43632-2024</t>
        </is>
      </c>
      <c r="B16698" s="1" t="n">
        <v>45569</v>
      </c>
      <c r="C16698" s="1" t="n">
        <v>45810</v>
      </c>
      <c r="D16698" t="inlineStr">
        <is>
          <t>VÄRMLANDS LÄN</t>
        </is>
      </c>
      <c r="E16698" t="inlineStr">
        <is>
          <t>FILIPSTAD</t>
        </is>
      </c>
      <c r="F16698" t="inlineStr">
        <is>
          <t>Bergvik skog väst AB</t>
        </is>
      </c>
      <c r="G16698" t="n">
        <v>23.3</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43545-2024</t>
        </is>
      </c>
      <c r="B16699" s="1" t="n">
        <v>45569</v>
      </c>
      <c r="C16699" s="1" t="n">
        <v>45810</v>
      </c>
      <c r="D16699" t="inlineStr">
        <is>
          <t>VÄRMLANDS LÄN</t>
        </is>
      </c>
      <c r="E16699" t="inlineStr">
        <is>
          <t>TORSBY</t>
        </is>
      </c>
      <c r="F16699" t="inlineStr">
        <is>
          <t>Bergvik skog väst AB</t>
        </is>
      </c>
      <c r="G16699" t="n">
        <v>5.5</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43739-2024</t>
        </is>
      </c>
      <c r="B16700" s="1" t="n">
        <v>45569</v>
      </c>
      <c r="C16700" s="1" t="n">
        <v>45810</v>
      </c>
      <c r="D16700" t="inlineStr">
        <is>
          <t>VÄRMLANDS LÄN</t>
        </is>
      </c>
      <c r="E16700" t="inlineStr">
        <is>
          <t>TORSBY</t>
        </is>
      </c>
      <c r="G16700" t="n">
        <v>4.7</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43955-2024</t>
        </is>
      </c>
      <c r="B16701" s="1" t="n">
        <v>45571</v>
      </c>
      <c r="C16701" s="1" t="n">
        <v>45810</v>
      </c>
      <c r="D16701" t="inlineStr">
        <is>
          <t>VÄRMLANDS LÄN</t>
        </is>
      </c>
      <c r="E16701" t="inlineStr">
        <is>
          <t>KIL</t>
        </is>
      </c>
      <c r="G16701" t="n">
        <v>4.4</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43952-2024</t>
        </is>
      </c>
      <c r="B16702" s="1" t="n">
        <v>45571</v>
      </c>
      <c r="C16702" s="1" t="n">
        <v>45810</v>
      </c>
      <c r="D16702" t="inlineStr">
        <is>
          <t>VÄRMLANDS LÄN</t>
        </is>
      </c>
      <c r="E16702" t="inlineStr">
        <is>
          <t>KIL</t>
        </is>
      </c>
      <c r="G16702" t="n">
        <v>0.6</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43794-2024</t>
        </is>
      </c>
      <c r="B16703" s="1" t="n">
        <v>45571</v>
      </c>
      <c r="C16703" s="1" t="n">
        <v>45810</v>
      </c>
      <c r="D16703" t="inlineStr">
        <is>
          <t>VÄRMLANDS LÄN</t>
        </is>
      </c>
      <c r="E16703" t="inlineStr">
        <is>
          <t>ÅRJÄNG</t>
        </is>
      </c>
      <c r="G16703" t="n">
        <v>0.6</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43859-2024</t>
        </is>
      </c>
      <c r="B16704" s="1" t="n">
        <v>45572</v>
      </c>
      <c r="C16704" s="1" t="n">
        <v>45810</v>
      </c>
      <c r="D16704" t="inlineStr">
        <is>
          <t>VÄRMLANDS LÄN</t>
        </is>
      </c>
      <c r="E16704" t="inlineStr">
        <is>
          <t>SUNNE</t>
        </is>
      </c>
      <c r="G16704" t="n">
        <v>1</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43864-2024</t>
        </is>
      </c>
      <c r="B16705" s="1" t="n">
        <v>45572</v>
      </c>
      <c r="C16705" s="1" t="n">
        <v>45810</v>
      </c>
      <c r="D16705" t="inlineStr">
        <is>
          <t>VÄRMLANDS LÄN</t>
        </is>
      </c>
      <c r="E16705" t="inlineStr">
        <is>
          <t>TORSBY</t>
        </is>
      </c>
      <c r="F16705" t="inlineStr">
        <is>
          <t>Kommuner</t>
        </is>
      </c>
      <c r="G16705" t="n">
        <v>3.2</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43894-2024</t>
        </is>
      </c>
      <c r="B16706" s="1" t="n">
        <v>45572</v>
      </c>
      <c r="C16706" s="1" t="n">
        <v>45810</v>
      </c>
      <c r="D16706" t="inlineStr">
        <is>
          <t>VÄRMLANDS LÄN</t>
        </is>
      </c>
      <c r="E16706" t="inlineStr">
        <is>
          <t>SÄFFLE</t>
        </is>
      </c>
      <c r="G16706" t="n">
        <v>2.5</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43995-2024</t>
        </is>
      </c>
      <c r="B16707" s="1" t="n">
        <v>45572</v>
      </c>
      <c r="C16707" s="1" t="n">
        <v>45810</v>
      </c>
      <c r="D16707" t="inlineStr">
        <is>
          <t>VÄRMLANDS LÄN</t>
        </is>
      </c>
      <c r="E16707" t="inlineStr">
        <is>
          <t>SÄFFLE</t>
        </is>
      </c>
      <c r="G16707" t="n">
        <v>1.9</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44068-2024</t>
        </is>
      </c>
      <c r="B16708" s="1" t="n">
        <v>45572</v>
      </c>
      <c r="C16708" s="1" t="n">
        <v>45810</v>
      </c>
      <c r="D16708" t="inlineStr">
        <is>
          <t>VÄRMLANDS LÄN</t>
        </is>
      </c>
      <c r="E16708" t="inlineStr">
        <is>
          <t>SÄFFLE</t>
        </is>
      </c>
      <c r="G16708" t="n">
        <v>1</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44085-2024</t>
        </is>
      </c>
      <c r="B16709" s="1" t="n">
        <v>45572</v>
      </c>
      <c r="C16709" s="1" t="n">
        <v>45810</v>
      </c>
      <c r="D16709" t="inlineStr">
        <is>
          <t>VÄRMLANDS LÄN</t>
        </is>
      </c>
      <c r="E16709" t="inlineStr">
        <is>
          <t>KARLSTAD</t>
        </is>
      </c>
      <c r="G16709" t="n">
        <v>1.6</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44097-2024</t>
        </is>
      </c>
      <c r="B16710" s="1" t="n">
        <v>45572</v>
      </c>
      <c r="C16710" s="1" t="n">
        <v>45810</v>
      </c>
      <c r="D16710" t="inlineStr">
        <is>
          <t>VÄRMLANDS LÄN</t>
        </is>
      </c>
      <c r="E16710" t="inlineStr">
        <is>
          <t>KARLSTAD</t>
        </is>
      </c>
      <c r="G16710" t="n">
        <v>1.1</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44101-2024</t>
        </is>
      </c>
      <c r="B16711" s="1" t="n">
        <v>45572</v>
      </c>
      <c r="C16711" s="1" t="n">
        <v>45810</v>
      </c>
      <c r="D16711" t="inlineStr">
        <is>
          <t>VÄRMLANDS LÄN</t>
        </is>
      </c>
      <c r="E16711" t="inlineStr">
        <is>
          <t>KARLSTAD</t>
        </is>
      </c>
      <c r="G16711" t="n">
        <v>0.7</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43865-2024</t>
        </is>
      </c>
      <c r="B16712" s="1" t="n">
        <v>45572</v>
      </c>
      <c r="C16712" s="1" t="n">
        <v>45810</v>
      </c>
      <c r="D16712" t="inlineStr">
        <is>
          <t>VÄRMLANDS LÄN</t>
        </is>
      </c>
      <c r="E16712" t="inlineStr">
        <is>
          <t>SUNNE</t>
        </is>
      </c>
      <c r="F16712" t="inlineStr">
        <is>
          <t>Bergvik skog väst AB</t>
        </is>
      </c>
      <c r="G16712" t="n">
        <v>1.5</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43881-2024</t>
        </is>
      </c>
      <c r="B16713" s="1" t="n">
        <v>45572</v>
      </c>
      <c r="C16713" s="1" t="n">
        <v>45810</v>
      </c>
      <c r="D16713" t="inlineStr">
        <is>
          <t>VÄRMLANDS LÄN</t>
        </is>
      </c>
      <c r="E16713" t="inlineStr">
        <is>
          <t>EDA</t>
        </is>
      </c>
      <c r="G16713" t="n">
        <v>1.2</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43988-2024</t>
        </is>
      </c>
      <c r="B16714" s="1" t="n">
        <v>45572</v>
      </c>
      <c r="C16714" s="1" t="n">
        <v>45810</v>
      </c>
      <c r="D16714" t="inlineStr">
        <is>
          <t>VÄRMLANDS LÄN</t>
        </is>
      </c>
      <c r="E16714" t="inlineStr">
        <is>
          <t>TORSBY</t>
        </is>
      </c>
      <c r="G16714" t="n">
        <v>0.6</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43992-2024</t>
        </is>
      </c>
      <c r="B16715" s="1" t="n">
        <v>45572</v>
      </c>
      <c r="C16715" s="1" t="n">
        <v>45810</v>
      </c>
      <c r="D16715" t="inlineStr">
        <is>
          <t>VÄRMLANDS LÄN</t>
        </is>
      </c>
      <c r="E16715" t="inlineStr">
        <is>
          <t>FILIPSTAD</t>
        </is>
      </c>
      <c r="F16715" t="inlineStr">
        <is>
          <t>Bergvik skog väst AB</t>
        </is>
      </c>
      <c r="G16715" t="n">
        <v>12.1</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44036-2024</t>
        </is>
      </c>
      <c r="B16716" s="1" t="n">
        <v>45572</v>
      </c>
      <c r="C16716" s="1" t="n">
        <v>45810</v>
      </c>
      <c r="D16716" t="inlineStr">
        <is>
          <t>VÄRMLANDS LÄN</t>
        </is>
      </c>
      <c r="E16716" t="inlineStr">
        <is>
          <t>FILIPSTAD</t>
        </is>
      </c>
      <c r="F16716" t="inlineStr">
        <is>
          <t>Bergvik skog väst AB</t>
        </is>
      </c>
      <c r="G16716" t="n">
        <v>5.5</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43985-2024</t>
        </is>
      </c>
      <c r="B16717" s="1" t="n">
        <v>45572</v>
      </c>
      <c r="C16717" s="1" t="n">
        <v>45810</v>
      </c>
      <c r="D16717" t="inlineStr">
        <is>
          <t>VÄRMLANDS LÄN</t>
        </is>
      </c>
      <c r="E16717" t="inlineStr">
        <is>
          <t>SÄFFLE</t>
        </is>
      </c>
      <c r="G16717" t="n">
        <v>29</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44103-2024</t>
        </is>
      </c>
      <c r="B16718" s="1" t="n">
        <v>45572</v>
      </c>
      <c r="C16718" s="1" t="n">
        <v>45810</v>
      </c>
      <c r="D16718" t="inlineStr">
        <is>
          <t>VÄRMLANDS LÄN</t>
        </is>
      </c>
      <c r="E16718" t="inlineStr">
        <is>
          <t>KRISTINEHAMN</t>
        </is>
      </c>
      <c r="G16718" t="n">
        <v>3.5</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44099-2024</t>
        </is>
      </c>
      <c r="B16719" s="1" t="n">
        <v>45572</v>
      </c>
      <c r="C16719" s="1" t="n">
        <v>45810</v>
      </c>
      <c r="D16719" t="inlineStr">
        <is>
          <t>VÄRMLANDS LÄN</t>
        </is>
      </c>
      <c r="E16719" t="inlineStr">
        <is>
          <t>KARLSTAD</t>
        </is>
      </c>
      <c r="G16719" t="n">
        <v>0.7</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43968-2024</t>
        </is>
      </c>
      <c r="B16720" s="1" t="n">
        <v>45572</v>
      </c>
      <c r="C16720" s="1" t="n">
        <v>45810</v>
      </c>
      <c r="D16720" t="inlineStr">
        <is>
          <t>VÄRMLANDS LÄN</t>
        </is>
      </c>
      <c r="E16720" t="inlineStr">
        <is>
          <t>ARVIKA</t>
        </is>
      </c>
      <c r="G16720" t="n">
        <v>1.5</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43882-2024</t>
        </is>
      </c>
      <c r="B16721" s="1" t="n">
        <v>45572</v>
      </c>
      <c r="C16721" s="1" t="n">
        <v>45810</v>
      </c>
      <c r="D16721" t="inlineStr">
        <is>
          <t>VÄRMLANDS LÄN</t>
        </is>
      </c>
      <c r="E16721" t="inlineStr">
        <is>
          <t>ARVIKA</t>
        </is>
      </c>
      <c r="G16721" t="n">
        <v>7.4</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43866-2024</t>
        </is>
      </c>
      <c r="B16722" s="1" t="n">
        <v>45572</v>
      </c>
      <c r="C16722" s="1" t="n">
        <v>45810</v>
      </c>
      <c r="D16722" t="inlineStr">
        <is>
          <t>VÄRMLANDS LÄN</t>
        </is>
      </c>
      <c r="E16722" t="inlineStr">
        <is>
          <t>EDA</t>
        </is>
      </c>
      <c r="G16722" t="n">
        <v>1.1</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44081-2024</t>
        </is>
      </c>
      <c r="B16723" s="1" t="n">
        <v>45572</v>
      </c>
      <c r="C16723" s="1" t="n">
        <v>45810</v>
      </c>
      <c r="D16723" t="inlineStr">
        <is>
          <t>VÄRMLANDS LÄN</t>
        </is>
      </c>
      <c r="E16723" t="inlineStr">
        <is>
          <t>TORSBY</t>
        </is>
      </c>
      <c r="F16723" t="inlineStr">
        <is>
          <t>Bergvik skog väst AB</t>
        </is>
      </c>
      <c r="G16723" t="n">
        <v>3.4</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44086-2024</t>
        </is>
      </c>
      <c r="B16724" s="1" t="n">
        <v>45572</v>
      </c>
      <c r="C16724" s="1" t="n">
        <v>45810</v>
      </c>
      <c r="D16724" t="inlineStr">
        <is>
          <t>VÄRMLANDS LÄN</t>
        </is>
      </c>
      <c r="E16724" t="inlineStr">
        <is>
          <t>SUNNE</t>
        </is>
      </c>
      <c r="G16724" t="n">
        <v>0.7</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44094-2024</t>
        </is>
      </c>
      <c r="B16725" s="1" t="n">
        <v>45572</v>
      </c>
      <c r="C16725" s="1" t="n">
        <v>45810</v>
      </c>
      <c r="D16725" t="inlineStr">
        <is>
          <t>VÄRMLANDS LÄN</t>
        </is>
      </c>
      <c r="E16725" t="inlineStr">
        <is>
          <t>KARLSTAD</t>
        </is>
      </c>
      <c r="G16725" t="n">
        <v>1.6</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44164-2024</t>
        </is>
      </c>
      <c r="B16726" s="1" t="n">
        <v>45572</v>
      </c>
      <c r="C16726" s="1" t="n">
        <v>45810</v>
      </c>
      <c r="D16726" t="inlineStr">
        <is>
          <t>VÄRMLANDS LÄN</t>
        </is>
      </c>
      <c r="E16726" t="inlineStr">
        <is>
          <t>ARVIKA</t>
        </is>
      </c>
      <c r="G16726" t="n">
        <v>1.5</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43893-2024</t>
        </is>
      </c>
      <c r="B16727" s="1" t="n">
        <v>45572</v>
      </c>
      <c r="C16727" s="1" t="n">
        <v>45810</v>
      </c>
      <c r="D16727" t="inlineStr">
        <is>
          <t>VÄRMLANDS LÄN</t>
        </is>
      </c>
      <c r="E16727" t="inlineStr">
        <is>
          <t>SÄFFLE</t>
        </is>
      </c>
      <c r="G16727" t="n">
        <v>1.8</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43935-2024</t>
        </is>
      </c>
      <c r="B16728" s="1" t="n">
        <v>45572</v>
      </c>
      <c r="C16728" s="1" t="n">
        <v>45810</v>
      </c>
      <c r="D16728" t="inlineStr">
        <is>
          <t>VÄRMLANDS LÄN</t>
        </is>
      </c>
      <c r="E16728" t="inlineStr">
        <is>
          <t>ARVIKA</t>
        </is>
      </c>
      <c r="G16728" t="n">
        <v>5.3</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43961-2024</t>
        </is>
      </c>
      <c r="B16729" s="1" t="n">
        <v>45572</v>
      </c>
      <c r="C16729" s="1" t="n">
        <v>45810</v>
      </c>
      <c r="D16729" t="inlineStr">
        <is>
          <t>VÄRMLANDS LÄN</t>
        </is>
      </c>
      <c r="E16729" t="inlineStr">
        <is>
          <t>ARVIKA</t>
        </is>
      </c>
      <c r="G16729" t="n">
        <v>1.5</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43978-2024</t>
        </is>
      </c>
      <c r="B16730" s="1" t="n">
        <v>45572</v>
      </c>
      <c r="C16730" s="1" t="n">
        <v>45810</v>
      </c>
      <c r="D16730" t="inlineStr">
        <is>
          <t>VÄRMLANDS LÄN</t>
        </is>
      </c>
      <c r="E16730" t="inlineStr">
        <is>
          <t>ARVIKA</t>
        </is>
      </c>
      <c r="G16730" t="n">
        <v>2.2</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43998-2024</t>
        </is>
      </c>
      <c r="B16731" s="1" t="n">
        <v>45572</v>
      </c>
      <c r="C16731" s="1" t="n">
        <v>45810</v>
      </c>
      <c r="D16731" t="inlineStr">
        <is>
          <t>VÄRMLANDS LÄN</t>
        </is>
      </c>
      <c r="E16731" t="inlineStr">
        <is>
          <t>HAGFORS</t>
        </is>
      </c>
      <c r="G16731" t="n">
        <v>0.9</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44059-2024</t>
        </is>
      </c>
      <c r="B16732" s="1" t="n">
        <v>45572</v>
      </c>
      <c r="C16732" s="1" t="n">
        <v>45810</v>
      </c>
      <c r="D16732" t="inlineStr">
        <is>
          <t>VÄRMLANDS LÄN</t>
        </is>
      </c>
      <c r="E16732" t="inlineStr">
        <is>
          <t>TORSBY</t>
        </is>
      </c>
      <c r="F16732" t="inlineStr">
        <is>
          <t>Bergvik skog väst AB</t>
        </is>
      </c>
      <c r="G16732" t="n">
        <v>4.3</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44096-2024</t>
        </is>
      </c>
      <c r="B16733" s="1" t="n">
        <v>45572</v>
      </c>
      <c r="C16733" s="1" t="n">
        <v>45810</v>
      </c>
      <c r="D16733" t="inlineStr">
        <is>
          <t>VÄRMLANDS LÄN</t>
        </is>
      </c>
      <c r="E16733" t="inlineStr">
        <is>
          <t>SUNNE</t>
        </is>
      </c>
      <c r="G16733" t="n">
        <v>0.6</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44140-2024</t>
        </is>
      </c>
      <c r="B16734" s="1" t="n">
        <v>45572</v>
      </c>
      <c r="C16734" s="1" t="n">
        <v>45810</v>
      </c>
      <c r="D16734" t="inlineStr">
        <is>
          <t>VÄRMLANDS LÄN</t>
        </is>
      </c>
      <c r="E16734" t="inlineStr">
        <is>
          <t>ÅRJÄNG</t>
        </is>
      </c>
      <c r="G16734" t="n">
        <v>0.7</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44170-2024</t>
        </is>
      </c>
      <c r="B16735" s="1" t="n">
        <v>45572</v>
      </c>
      <c r="C16735" s="1" t="n">
        <v>45810</v>
      </c>
      <c r="D16735" t="inlineStr">
        <is>
          <t>VÄRMLANDS LÄN</t>
        </is>
      </c>
      <c r="E16735" t="inlineStr">
        <is>
          <t>SUNNE</t>
        </is>
      </c>
      <c r="G16735" t="n">
        <v>0.7</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44182-2024</t>
        </is>
      </c>
      <c r="B16736" s="1" t="n">
        <v>45572</v>
      </c>
      <c r="C16736" s="1" t="n">
        <v>45810</v>
      </c>
      <c r="D16736" t="inlineStr">
        <is>
          <t>VÄRMLANDS LÄN</t>
        </is>
      </c>
      <c r="E16736" t="inlineStr">
        <is>
          <t>HAGFORS</t>
        </is>
      </c>
      <c r="G16736" t="n">
        <v>1</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44408-2024</t>
        </is>
      </c>
      <c r="B16737" s="1" t="n">
        <v>45573</v>
      </c>
      <c r="C16737" s="1" t="n">
        <v>45810</v>
      </c>
      <c r="D16737" t="inlineStr">
        <is>
          <t>VÄRMLANDS LÄN</t>
        </is>
      </c>
      <c r="E16737" t="inlineStr">
        <is>
          <t>SUNNE</t>
        </is>
      </c>
      <c r="G16737" t="n">
        <v>3.1</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44346-2024</t>
        </is>
      </c>
      <c r="B16738" s="1" t="n">
        <v>45573</v>
      </c>
      <c r="C16738" s="1" t="n">
        <v>45810</v>
      </c>
      <c r="D16738" t="inlineStr">
        <is>
          <t>VÄRMLANDS LÄN</t>
        </is>
      </c>
      <c r="E16738" t="inlineStr">
        <is>
          <t>SÄFFLE</t>
        </is>
      </c>
      <c r="G16738" t="n">
        <v>2.1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44362-2024</t>
        </is>
      </c>
      <c r="B16739" s="1" t="n">
        <v>45573</v>
      </c>
      <c r="C16739" s="1" t="n">
        <v>45810</v>
      </c>
      <c r="D16739" t="inlineStr">
        <is>
          <t>VÄRMLANDS LÄN</t>
        </is>
      </c>
      <c r="E16739" t="inlineStr">
        <is>
          <t>ARVIKA</t>
        </is>
      </c>
      <c r="G16739" t="n">
        <v>3.3</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44349-2024</t>
        </is>
      </c>
      <c r="B16740" s="1" t="n">
        <v>45573</v>
      </c>
      <c r="C16740" s="1" t="n">
        <v>45810</v>
      </c>
      <c r="D16740" t="inlineStr">
        <is>
          <t>VÄRMLANDS LÄN</t>
        </is>
      </c>
      <c r="E16740" t="inlineStr">
        <is>
          <t>TORSBY</t>
        </is>
      </c>
      <c r="G16740" t="n">
        <v>8.4</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44312-2024</t>
        </is>
      </c>
      <c r="B16741" s="1" t="n">
        <v>45573</v>
      </c>
      <c r="C16741" s="1" t="n">
        <v>45810</v>
      </c>
      <c r="D16741" t="inlineStr">
        <is>
          <t>VÄRMLANDS LÄN</t>
        </is>
      </c>
      <c r="E16741" t="inlineStr">
        <is>
          <t>SUNNE</t>
        </is>
      </c>
      <c r="G16741" t="n">
        <v>2.8</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44364-2024</t>
        </is>
      </c>
      <c r="B16742" s="1" t="n">
        <v>45573</v>
      </c>
      <c r="C16742" s="1" t="n">
        <v>45810</v>
      </c>
      <c r="D16742" t="inlineStr">
        <is>
          <t>VÄRMLANDS LÄN</t>
        </is>
      </c>
      <c r="E16742" t="inlineStr">
        <is>
          <t>ARVIKA</t>
        </is>
      </c>
      <c r="G16742" t="n">
        <v>1.6</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44360-2024</t>
        </is>
      </c>
      <c r="B16743" s="1" t="n">
        <v>45573</v>
      </c>
      <c r="C16743" s="1" t="n">
        <v>45810</v>
      </c>
      <c r="D16743" t="inlineStr">
        <is>
          <t>VÄRMLANDS LÄN</t>
        </is>
      </c>
      <c r="E16743" t="inlineStr">
        <is>
          <t>ARVIKA</t>
        </is>
      </c>
      <c r="G16743" t="n">
        <v>1.1</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44352-2024</t>
        </is>
      </c>
      <c r="B16744" s="1" t="n">
        <v>45573</v>
      </c>
      <c r="C16744" s="1" t="n">
        <v>45810</v>
      </c>
      <c r="D16744" t="inlineStr">
        <is>
          <t>VÄRMLANDS LÄN</t>
        </is>
      </c>
      <c r="E16744" t="inlineStr">
        <is>
          <t>TORSBY</t>
        </is>
      </c>
      <c r="G16744" t="n">
        <v>0.8</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44276-2024</t>
        </is>
      </c>
      <c r="B16745" s="1" t="n">
        <v>45573</v>
      </c>
      <c r="C16745" s="1" t="n">
        <v>45810</v>
      </c>
      <c r="D16745" t="inlineStr">
        <is>
          <t>VÄRMLANDS LÄN</t>
        </is>
      </c>
      <c r="E16745" t="inlineStr">
        <is>
          <t>TORSBY</t>
        </is>
      </c>
      <c r="G16745" t="n">
        <v>8.800000000000001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44241-2024</t>
        </is>
      </c>
      <c r="B16746" s="1" t="n">
        <v>45573</v>
      </c>
      <c r="C16746" s="1" t="n">
        <v>45810</v>
      </c>
      <c r="D16746" t="inlineStr">
        <is>
          <t>VÄRMLANDS LÄN</t>
        </is>
      </c>
      <c r="E16746" t="inlineStr">
        <is>
          <t>TORSBY</t>
        </is>
      </c>
      <c r="G16746" t="n">
        <v>1.9</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44303-2024</t>
        </is>
      </c>
      <c r="B16747" s="1" t="n">
        <v>45573</v>
      </c>
      <c r="C16747" s="1" t="n">
        <v>45810</v>
      </c>
      <c r="D16747" t="inlineStr">
        <is>
          <t>VÄRMLANDS LÄN</t>
        </is>
      </c>
      <c r="E16747" t="inlineStr">
        <is>
          <t>TORSBY</t>
        </is>
      </c>
      <c r="F16747" t="inlineStr">
        <is>
          <t>Bergvik skog väst AB</t>
        </is>
      </c>
      <c r="G16747" t="n">
        <v>5.4</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44304-2024</t>
        </is>
      </c>
      <c r="B16748" s="1" t="n">
        <v>45573</v>
      </c>
      <c r="C16748" s="1" t="n">
        <v>45810</v>
      </c>
      <c r="D16748" t="inlineStr">
        <is>
          <t>VÄRMLANDS LÄN</t>
        </is>
      </c>
      <c r="E16748" t="inlineStr">
        <is>
          <t>SÄFFLE</t>
        </is>
      </c>
      <c r="G16748" t="n">
        <v>2.6</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44424-2024</t>
        </is>
      </c>
      <c r="B16749" s="1" t="n">
        <v>45573</v>
      </c>
      <c r="C16749" s="1" t="n">
        <v>45810</v>
      </c>
      <c r="D16749" t="inlineStr">
        <is>
          <t>VÄRMLANDS LÄN</t>
        </is>
      </c>
      <c r="E16749" t="inlineStr">
        <is>
          <t>TORSBY</t>
        </is>
      </c>
      <c r="G16749" t="n">
        <v>8.5</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44325-2024</t>
        </is>
      </c>
      <c r="B16750" s="1" t="n">
        <v>45573</v>
      </c>
      <c r="C16750" s="1" t="n">
        <v>45810</v>
      </c>
      <c r="D16750" t="inlineStr">
        <is>
          <t>VÄRMLANDS LÄN</t>
        </is>
      </c>
      <c r="E16750" t="inlineStr">
        <is>
          <t>TORSBY</t>
        </is>
      </c>
      <c r="G16750" t="n">
        <v>1.2</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44422-2024</t>
        </is>
      </c>
      <c r="B16751" s="1" t="n">
        <v>45573</v>
      </c>
      <c r="C16751" s="1" t="n">
        <v>45810</v>
      </c>
      <c r="D16751" t="inlineStr">
        <is>
          <t>VÄRMLANDS LÄN</t>
        </is>
      </c>
      <c r="E16751" t="inlineStr">
        <is>
          <t>TORSBY</t>
        </is>
      </c>
      <c r="G16751" t="n">
        <v>14.1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44423-2024</t>
        </is>
      </c>
      <c r="B16752" s="1" t="n">
        <v>45573</v>
      </c>
      <c r="C16752" s="1" t="n">
        <v>45810</v>
      </c>
      <c r="D16752" t="inlineStr">
        <is>
          <t>VÄRMLANDS LÄN</t>
        </is>
      </c>
      <c r="E16752" t="inlineStr">
        <is>
          <t>TORSBY</t>
        </is>
      </c>
      <c r="G16752" t="n">
        <v>34.1</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44383-2024</t>
        </is>
      </c>
      <c r="B16753" s="1" t="n">
        <v>45573</v>
      </c>
      <c r="C16753" s="1" t="n">
        <v>45810</v>
      </c>
      <c r="D16753" t="inlineStr">
        <is>
          <t>VÄRMLANDS LÄN</t>
        </is>
      </c>
      <c r="E16753" t="inlineStr">
        <is>
          <t>SUNNE</t>
        </is>
      </c>
      <c r="G16753" t="n">
        <v>5.4</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44335-2024</t>
        </is>
      </c>
      <c r="B16754" s="1" t="n">
        <v>45573</v>
      </c>
      <c r="C16754" s="1" t="n">
        <v>45810</v>
      </c>
      <c r="D16754" t="inlineStr">
        <is>
          <t>VÄRMLANDS LÄN</t>
        </is>
      </c>
      <c r="E16754" t="inlineStr">
        <is>
          <t>EDA</t>
        </is>
      </c>
      <c r="G16754" t="n">
        <v>1.9</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44278-2024</t>
        </is>
      </c>
      <c r="B16755" s="1" t="n">
        <v>45573</v>
      </c>
      <c r="C16755" s="1" t="n">
        <v>45810</v>
      </c>
      <c r="D16755" t="inlineStr">
        <is>
          <t>VÄRMLANDS LÄN</t>
        </is>
      </c>
      <c r="E16755" t="inlineStr">
        <is>
          <t>TORSBY</t>
        </is>
      </c>
      <c r="F16755" t="inlineStr">
        <is>
          <t>Bergvik skog väst AB</t>
        </is>
      </c>
      <c r="G16755" t="n">
        <v>3.9</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44212-2024</t>
        </is>
      </c>
      <c r="B16756" s="1" t="n">
        <v>45573</v>
      </c>
      <c r="C16756" s="1" t="n">
        <v>45810</v>
      </c>
      <c r="D16756" t="inlineStr">
        <is>
          <t>VÄRMLANDS LÄN</t>
        </is>
      </c>
      <c r="E16756" t="inlineStr">
        <is>
          <t>ÅRJÄNG</t>
        </is>
      </c>
      <c r="G16756" t="n">
        <v>1.1</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44204-2024</t>
        </is>
      </c>
      <c r="B16757" s="1" t="n">
        <v>45573</v>
      </c>
      <c r="C16757" s="1" t="n">
        <v>45810</v>
      </c>
      <c r="D16757" t="inlineStr">
        <is>
          <t>VÄRMLANDS LÄN</t>
        </is>
      </c>
      <c r="E16757" t="inlineStr">
        <is>
          <t>TORSBY</t>
        </is>
      </c>
      <c r="G16757" t="n">
        <v>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44338-2024</t>
        </is>
      </c>
      <c r="B16758" s="1" t="n">
        <v>45573</v>
      </c>
      <c r="C16758" s="1" t="n">
        <v>45810</v>
      </c>
      <c r="D16758" t="inlineStr">
        <is>
          <t>VÄRMLANDS LÄN</t>
        </is>
      </c>
      <c r="E16758" t="inlineStr">
        <is>
          <t>TORSBY</t>
        </is>
      </c>
      <c r="G16758" t="n">
        <v>3.1</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44342-2024</t>
        </is>
      </c>
      <c r="B16759" s="1" t="n">
        <v>45573</v>
      </c>
      <c r="C16759" s="1" t="n">
        <v>45810</v>
      </c>
      <c r="D16759" t="inlineStr">
        <is>
          <t>VÄRMLANDS LÄN</t>
        </is>
      </c>
      <c r="E16759" t="inlineStr">
        <is>
          <t>TORSBY</t>
        </is>
      </c>
      <c r="G16759" t="n">
        <v>0.9</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44435-2024</t>
        </is>
      </c>
      <c r="B16760" s="1" t="n">
        <v>45574</v>
      </c>
      <c r="C16760" s="1" t="n">
        <v>45810</v>
      </c>
      <c r="D16760" t="inlineStr">
        <is>
          <t>VÄRMLANDS LÄN</t>
        </is>
      </c>
      <c r="E16760" t="inlineStr">
        <is>
          <t>ARVIKA</t>
        </is>
      </c>
      <c r="F16760" t="inlineStr">
        <is>
          <t>Bergvik skog väst AB</t>
        </is>
      </c>
      <c r="G16760" t="n">
        <v>4.2</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44448-2024</t>
        </is>
      </c>
      <c r="B16761" s="1" t="n">
        <v>45574</v>
      </c>
      <c r="C16761" s="1" t="n">
        <v>45810</v>
      </c>
      <c r="D16761" t="inlineStr">
        <is>
          <t>VÄRMLANDS LÄN</t>
        </is>
      </c>
      <c r="E16761" t="inlineStr">
        <is>
          <t>TORSBY</t>
        </is>
      </c>
      <c r="G16761" t="n">
        <v>8.9</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44652-2024</t>
        </is>
      </c>
      <c r="B16762" s="1" t="n">
        <v>45574</v>
      </c>
      <c r="C16762" s="1" t="n">
        <v>45810</v>
      </c>
      <c r="D16762" t="inlineStr">
        <is>
          <t>VÄRMLANDS LÄN</t>
        </is>
      </c>
      <c r="E16762" t="inlineStr">
        <is>
          <t>KIL</t>
        </is>
      </c>
      <c r="G16762" t="n">
        <v>7.8</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44660-2024</t>
        </is>
      </c>
      <c r="B16763" s="1" t="n">
        <v>45574</v>
      </c>
      <c r="C16763" s="1" t="n">
        <v>45810</v>
      </c>
      <c r="D16763" t="inlineStr">
        <is>
          <t>VÄRMLANDS LÄN</t>
        </is>
      </c>
      <c r="E16763" t="inlineStr">
        <is>
          <t>KIL</t>
        </is>
      </c>
      <c r="G16763" t="n">
        <v>3.5</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44668-2024</t>
        </is>
      </c>
      <c r="B16764" s="1" t="n">
        <v>45574</v>
      </c>
      <c r="C16764" s="1" t="n">
        <v>45810</v>
      </c>
      <c r="D16764" t="inlineStr">
        <is>
          <t>VÄRMLANDS LÄN</t>
        </is>
      </c>
      <c r="E16764" t="inlineStr">
        <is>
          <t>FILIPSTAD</t>
        </is>
      </c>
      <c r="F16764" t="inlineStr">
        <is>
          <t>Bergvik skog väst AB</t>
        </is>
      </c>
      <c r="G16764" t="n">
        <v>1.7</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44680-2024</t>
        </is>
      </c>
      <c r="B16765" s="1" t="n">
        <v>45574</v>
      </c>
      <c r="C16765" s="1" t="n">
        <v>45810</v>
      </c>
      <c r="D16765" t="inlineStr">
        <is>
          <t>VÄRMLANDS LÄN</t>
        </is>
      </c>
      <c r="E16765" t="inlineStr">
        <is>
          <t>FILIPSTAD</t>
        </is>
      </c>
      <c r="F16765" t="inlineStr">
        <is>
          <t>Bergvik skog väst AB</t>
        </is>
      </c>
      <c r="G16765" t="n">
        <v>5.8</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44697-2024</t>
        </is>
      </c>
      <c r="B16766" s="1" t="n">
        <v>45574</v>
      </c>
      <c r="C16766" s="1" t="n">
        <v>45810</v>
      </c>
      <c r="D16766" t="inlineStr">
        <is>
          <t>VÄRMLANDS LÄN</t>
        </is>
      </c>
      <c r="E16766" t="inlineStr">
        <is>
          <t>TORSBY</t>
        </is>
      </c>
      <c r="G16766" t="n">
        <v>6.7</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44725-2024</t>
        </is>
      </c>
      <c r="B16767" s="1" t="n">
        <v>45574</v>
      </c>
      <c r="C16767" s="1" t="n">
        <v>45810</v>
      </c>
      <c r="D16767" t="inlineStr">
        <is>
          <t>VÄRMLANDS LÄN</t>
        </is>
      </c>
      <c r="E16767" t="inlineStr">
        <is>
          <t>FILIPSTAD</t>
        </is>
      </c>
      <c r="F16767" t="inlineStr">
        <is>
          <t>Bergvik skog väst AB</t>
        </is>
      </c>
      <c r="G16767" t="n">
        <v>3</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44657-2024</t>
        </is>
      </c>
      <c r="B16768" s="1" t="n">
        <v>45574</v>
      </c>
      <c r="C16768" s="1" t="n">
        <v>45810</v>
      </c>
      <c r="D16768" t="inlineStr">
        <is>
          <t>VÄRMLANDS LÄN</t>
        </is>
      </c>
      <c r="E16768" t="inlineStr">
        <is>
          <t>KIL</t>
        </is>
      </c>
      <c r="G16768" t="n">
        <v>1.8</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44673-2024</t>
        </is>
      </c>
      <c r="B16769" s="1" t="n">
        <v>45574</v>
      </c>
      <c r="C16769" s="1" t="n">
        <v>45810</v>
      </c>
      <c r="D16769" t="inlineStr">
        <is>
          <t>VÄRMLANDS LÄN</t>
        </is>
      </c>
      <c r="E16769" t="inlineStr">
        <is>
          <t>KIL</t>
        </is>
      </c>
      <c r="G16769" t="n">
        <v>1.8</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44677-2024</t>
        </is>
      </c>
      <c r="B16770" s="1" t="n">
        <v>45574</v>
      </c>
      <c r="C16770" s="1" t="n">
        <v>45810</v>
      </c>
      <c r="D16770" t="inlineStr">
        <is>
          <t>VÄRMLANDS LÄN</t>
        </is>
      </c>
      <c r="E16770" t="inlineStr">
        <is>
          <t>KIL</t>
        </is>
      </c>
      <c r="G16770" t="n">
        <v>3.4</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44433-2024</t>
        </is>
      </c>
      <c r="B16771" s="1" t="n">
        <v>45574</v>
      </c>
      <c r="C16771" s="1" t="n">
        <v>45810</v>
      </c>
      <c r="D16771" t="inlineStr">
        <is>
          <t>VÄRMLANDS LÄN</t>
        </is>
      </c>
      <c r="E16771" t="inlineStr">
        <is>
          <t>ARVIKA</t>
        </is>
      </c>
      <c r="F16771" t="inlineStr">
        <is>
          <t>Bergvik skog väst AB</t>
        </is>
      </c>
      <c r="G16771" t="n">
        <v>1.9</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44685-2024</t>
        </is>
      </c>
      <c r="B16772" s="1" t="n">
        <v>45574</v>
      </c>
      <c r="C16772" s="1" t="n">
        <v>45810</v>
      </c>
      <c r="D16772" t="inlineStr">
        <is>
          <t>VÄRMLANDS LÄN</t>
        </is>
      </c>
      <c r="E16772" t="inlineStr">
        <is>
          <t>TORSBY</t>
        </is>
      </c>
      <c r="G16772" t="n">
        <v>1.7</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44690-2024</t>
        </is>
      </c>
      <c r="B16773" s="1" t="n">
        <v>45574</v>
      </c>
      <c r="C16773" s="1" t="n">
        <v>45810</v>
      </c>
      <c r="D16773" t="inlineStr">
        <is>
          <t>VÄRMLANDS LÄN</t>
        </is>
      </c>
      <c r="E16773" t="inlineStr">
        <is>
          <t>TORSBY</t>
        </is>
      </c>
      <c r="G16773" t="n">
        <v>2.9</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44702-2024</t>
        </is>
      </c>
      <c r="B16774" s="1" t="n">
        <v>45574</v>
      </c>
      <c r="C16774" s="1" t="n">
        <v>45810</v>
      </c>
      <c r="D16774" t="inlineStr">
        <is>
          <t>VÄRMLANDS LÄN</t>
        </is>
      </c>
      <c r="E16774" t="inlineStr">
        <is>
          <t>TORSBY</t>
        </is>
      </c>
      <c r="F16774" t="inlineStr">
        <is>
          <t>Bergvik skog väst AB</t>
        </is>
      </c>
      <c r="G16774" t="n">
        <v>3.7</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44763-2024</t>
        </is>
      </c>
      <c r="B16775" s="1" t="n">
        <v>45574</v>
      </c>
      <c r="C16775" s="1" t="n">
        <v>45810</v>
      </c>
      <c r="D16775" t="inlineStr">
        <is>
          <t>VÄRMLANDS LÄN</t>
        </is>
      </c>
      <c r="E16775" t="inlineStr">
        <is>
          <t>ARVIKA</t>
        </is>
      </c>
      <c r="G16775" t="n">
        <v>2</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44548-2024</t>
        </is>
      </c>
      <c r="B16776" s="1" t="n">
        <v>45574</v>
      </c>
      <c r="C16776" s="1" t="n">
        <v>45810</v>
      </c>
      <c r="D16776" t="inlineStr">
        <is>
          <t>VÄRMLANDS LÄN</t>
        </is>
      </c>
      <c r="E16776" t="inlineStr">
        <is>
          <t>SUNNE</t>
        </is>
      </c>
      <c r="G16776" t="n">
        <v>5</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44770-2024</t>
        </is>
      </c>
      <c r="B16777" s="1" t="n">
        <v>45574</v>
      </c>
      <c r="C16777" s="1" t="n">
        <v>45810</v>
      </c>
      <c r="D16777" t="inlineStr">
        <is>
          <t>VÄRMLANDS LÄN</t>
        </is>
      </c>
      <c r="E16777" t="inlineStr">
        <is>
          <t>TORSBY</t>
        </is>
      </c>
      <c r="G16777" t="n">
        <v>1.9</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44786-2024</t>
        </is>
      </c>
      <c r="B16778" s="1" t="n">
        <v>45574</v>
      </c>
      <c r="C16778" s="1" t="n">
        <v>45810</v>
      </c>
      <c r="D16778" t="inlineStr">
        <is>
          <t>VÄRMLANDS LÄN</t>
        </is>
      </c>
      <c r="E16778" t="inlineStr">
        <is>
          <t>TORSBY</t>
        </is>
      </c>
      <c r="F16778" t="inlineStr">
        <is>
          <t>Bergvik skog väst AB</t>
        </is>
      </c>
      <c r="G16778" t="n">
        <v>21.9</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44815-2024</t>
        </is>
      </c>
      <c r="B16779" s="1" t="n">
        <v>45574</v>
      </c>
      <c r="C16779" s="1" t="n">
        <v>45810</v>
      </c>
      <c r="D16779" t="inlineStr">
        <is>
          <t>VÄRMLANDS LÄN</t>
        </is>
      </c>
      <c r="E16779" t="inlineStr">
        <is>
          <t>SUNNE</t>
        </is>
      </c>
      <c r="G16779" t="n">
        <v>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44646-2024</t>
        </is>
      </c>
      <c r="B16780" s="1" t="n">
        <v>45574</v>
      </c>
      <c r="C16780" s="1" t="n">
        <v>45810</v>
      </c>
      <c r="D16780" t="inlineStr">
        <is>
          <t>VÄRMLANDS LÄN</t>
        </is>
      </c>
      <c r="E16780" t="inlineStr">
        <is>
          <t>KIL</t>
        </is>
      </c>
      <c r="G16780" t="n">
        <v>1.3</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44659-2024</t>
        </is>
      </c>
      <c r="B16781" s="1" t="n">
        <v>45574</v>
      </c>
      <c r="C16781" s="1" t="n">
        <v>45810</v>
      </c>
      <c r="D16781" t="inlineStr">
        <is>
          <t>VÄRMLANDS LÄN</t>
        </is>
      </c>
      <c r="E16781" t="inlineStr">
        <is>
          <t>TORSBY</t>
        </is>
      </c>
      <c r="G16781" t="n">
        <v>13</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44683-2024</t>
        </is>
      </c>
      <c r="B16782" s="1" t="n">
        <v>45574</v>
      </c>
      <c r="C16782" s="1" t="n">
        <v>45810</v>
      </c>
      <c r="D16782" t="inlineStr">
        <is>
          <t>VÄRMLANDS LÄN</t>
        </is>
      </c>
      <c r="E16782" t="inlineStr">
        <is>
          <t>TORSBY</t>
        </is>
      </c>
      <c r="G16782" t="n">
        <v>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44449-2024</t>
        </is>
      </c>
      <c r="B16783" s="1" t="n">
        <v>45574</v>
      </c>
      <c r="C16783" s="1" t="n">
        <v>45810</v>
      </c>
      <c r="D16783" t="inlineStr">
        <is>
          <t>VÄRMLANDS LÄN</t>
        </is>
      </c>
      <c r="E16783" t="inlineStr">
        <is>
          <t>EDA</t>
        </is>
      </c>
      <c r="G16783" t="n">
        <v>3.1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44470-2024</t>
        </is>
      </c>
      <c r="B16784" s="1" t="n">
        <v>45574</v>
      </c>
      <c r="C16784" s="1" t="n">
        <v>45810</v>
      </c>
      <c r="D16784" t="inlineStr">
        <is>
          <t>VÄRMLANDS LÄN</t>
        </is>
      </c>
      <c r="E16784" t="inlineStr">
        <is>
          <t>TORSBY</t>
        </is>
      </c>
      <c r="G16784" t="n">
        <v>3</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44666-2024</t>
        </is>
      </c>
      <c r="B16785" s="1" t="n">
        <v>45574</v>
      </c>
      <c r="C16785" s="1" t="n">
        <v>45810</v>
      </c>
      <c r="D16785" t="inlineStr">
        <is>
          <t>VÄRMLANDS LÄN</t>
        </is>
      </c>
      <c r="E16785" t="inlineStr">
        <is>
          <t>KIL</t>
        </is>
      </c>
      <c r="G16785" t="n">
        <v>1.6</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44699-2024</t>
        </is>
      </c>
      <c r="B16786" s="1" t="n">
        <v>45574</v>
      </c>
      <c r="C16786" s="1" t="n">
        <v>45810</v>
      </c>
      <c r="D16786" t="inlineStr">
        <is>
          <t>VÄRMLANDS LÄN</t>
        </is>
      </c>
      <c r="E16786" t="inlineStr">
        <is>
          <t>FILIPSTAD</t>
        </is>
      </c>
      <c r="F16786" t="inlineStr">
        <is>
          <t>Bergvik skog väst AB</t>
        </is>
      </c>
      <c r="G16786" t="n">
        <v>15</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44764-2024</t>
        </is>
      </c>
      <c r="B16787" s="1" t="n">
        <v>45574</v>
      </c>
      <c r="C16787" s="1" t="n">
        <v>45810</v>
      </c>
      <c r="D16787" t="inlineStr">
        <is>
          <t>VÄRMLANDS LÄN</t>
        </is>
      </c>
      <c r="E16787" t="inlineStr">
        <is>
          <t>TORSBY</t>
        </is>
      </c>
      <c r="F16787" t="inlineStr">
        <is>
          <t>Bergvik skog väst AB</t>
        </is>
      </c>
      <c r="G16787" t="n">
        <v>4.5</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44838-2024</t>
        </is>
      </c>
      <c r="B16788" s="1" t="n">
        <v>45574</v>
      </c>
      <c r="C16788" s="1" t="n">
        <v>45810</v>
      </c>
      <c r="D16788" t="inlineStr">
        <is>
          <t>VÄRMLANDS LÄN</t>
        </is>
      </c>
      <c r="E16788" t="inlineStr">
        <is>
          <t>TORSBY</t>
        </is>
      </c>
      <c r="G16788" t="n">
        <v>0.6</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45116-2024</t>
        </is>
      </c>
      <c r="B16789" s="1" t="n">
        <v>45575</v>
      </c>
      <c r="C16789" s="1" t="n">
        <v>45810</v>
      </c>
      <c r="D16789" t="inlineStr">
        <is>
          <t>VÄRMLANDS LÄN</t>
        </is>
      </c>
      <c r="E16789" t="inlineStr">
        <is>
          <t>HAGFORS</t>
        </is>
      </c>
      <c r="F16789" t="inlineStr">
        <is>
          <t>Bergvik skog väst AB</t>
        </is>
      </c>
      <c r="G16789" t="n">
        <v>8.1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44975-2024</t>
        </is>
      </c>
      <c r="B16790" s="1" t="n">
        <v>45575</v>
      </c>
      <c r="C16790" s="1" t="n">
        <v>45810</v>
      </c>
      <c r="D16790" t="inlineStr">
        <is>
          <t>VÄRMLANDS LÄN</t>
        </is>
      </c>
      <c r="E16790" t="inlineStr">
        <is>
          <t>HAGFORS</t>
        </is>
      </c>
      <c r="F16790" t="inlineStr">
        <is>
          <t>Bergvik skog väst AB</t>
        </is>
      </c>
      <c r="G16790" t="n">
        <v>5.5</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45134-2024</t>
        </is>
      </c>
      <c r="B16791" s="1" t="n">
        <v>45575</v>
      </c>
      <c r="C16791" s="1" t="n">
        <v>45810</v>
      </c>
      <c r="D16791" t="inlineStr">
        <is>
          <t>VÄRMLANDS LÄN</t>
        </is>
      </c>
      <c r="E16791" t="inlineStr">
        <is>
          <t>TORSBY</t>
        </is>
      </c>
      <c r="F16791" t="inlineStr">
        <is>
          <t>Bergvik skog väst AB</t>
        </is>
      </c>
      <c r="G16791" t="n">
        <v>1.6</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45138-2024</t>
        </is>
      </c>
      <c r="B16792" s="1" t="n">
        <v>45575</v>
      </c>
      <c r="C16792" s="1" t="n">
        <v>45810</v>
      </c>
      <c r="D16792" t="inlineStr">
        <is>
          <t>VÄRMLANDS LÄN</t>
        </is>
      </c>
      <c r="E16792" t="inlineStr">
        <is>
          <t>SÄFFLE</t>
        </is>
      </c>
      <c r="G16792" t="n">
        <v>5.2</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45146-2024</t>
        </is>
      </c>
      <c r="B16793" s="1" t="n">
        <v>45575</v>
      </c>
      <c r="C16793" s="1" t="n">
        <v>45810</v>
      </c>
      <c r="D16793" t="inlineStr">
        <is>
          <t>VÄRMLANDS LÄN</t>
        </is>
      </c>
      <c r="E16793" t="inlineStr">
        <is>
          <t>ÅRJÄNG</t>
        </is>
      </c>
      <c r="F16793" t="inlineStr">
        <is>
          <t>Bergvik skog väst AB</t>
        </is>
      </c>
      <c r="G16793" t="n">
        <v>1.3</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45097-2024</t>
        </is>
      </c>
      <c r="B16794" s="1" t="n">
        <v>45575</v>
      </c>
      <c r="C16794" s="1" t="n">
        <v>45810</v>
      </c>
      <c r="D16794" t="inlineStr">
        <is>
          <t>VÄRMLANDS LÄN</t>
        </is>
      </c>
      <c r="E16794" t="inlineStr">
        <is>
          <t>SÄFFLE</t>
        </is>
      </c>
      <c r="G16794" t="n">
        <v>5.5</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45114-2024</t>
        </is>
      </c>
      <c r="B16795" s="1" t="n">
        <v>45575</v>
      </c>
      <c r="C16795" s="1" t="n">
        <v>45810</v>
      </c>
      <c r="D16795" t="inlineStr">
        <is>
          <t>VÄRMLANDS LÄN</t>
        </is>
      </c>
      <c r="E16795" t="inlineStr">
        <is>
          <t>TORSBY</t>
        </is>
      </c>
      <c r="F16795" t="inlineStr">
        <is>
          <t>Bergvik skog väst AB</t>
        </is>
      </c>
      <c r="G16795" t="n">
        <v>18</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44931-2024</t>
        </is>
      </c>
      <c r="B16796" s="1" t="n">
        <v>45575</v>
      </c>
      <c r="C16796" s="1" t="n">
        <v>45810</v>
      </c>
      <c r="D16796" t="inlineStr">
        <is>
          <t>VÄRMLANDS LÄN</t>
        </is>
      </c>
      <c r="E16796" t="inlineStr">
        <is>
          <t>STORFORS</t>
        </is>
      </c>
      <c r="F16796" t="inlineStr">
        <is>
          <t>Naturvårdsverket</t>
        </is>
      </c>
      <c r="G16796" t="n">
        <v>11.2</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45098-2024</t>
        </is>
      </c>
      <c r="B16797" s="1" t="n">
        <v>45575</v>
      </c>
      <c r="C16797" s="1" t="n">
        <v>45810</v>
      </c>
      <c r="D16797" t="inlineStr">
        <is>
          <t>VÄRMLANDS LÄN</t>
        </is>
      </c>
      <c r="E16797" t="inlineStr">
        <is>
          <t>FILIPSTAD</t>
        </is>
      </c>
      <c r="F16797" t="inlineStr">
        <is>
          <t>Bergvik skog väst AB</t>
        </is>
      </c>
      <c r="G16797" t="n">
        <v>2.5</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45124-2024</t>
        </is>
      </c>
      <c r="B16798" s="1" t="n">
        <v>45575</v>
      </c>
      <c r="C16798" s="1" t="n">
        <v>45810</v>
      </c>
      <c r="D16798" t="inlineStr">
        <is>
          <t>VÄRMLANDS LÄN</t>
        </is>
      </c>
      <c r="E16798" t="inlineStr">
        <is>
          <t>ÅRJÄNG</t>
        </is>
      </c>
      <c r="G16798" t="n">
        <v>2.8</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45129-2024</t>
        </is>
      </c>
      <c r="B16799" s="1" t="n">
        <v>45575</v>
      </c>
      <c r="C16799" s="1" t="n">
        <v>45810</v>
      </c>
      <c r="D16799" t="inlineStr">
        <is>
          <t>VÄRMLANDS LÄN</t>
        </is>
      </c>
      <c r="E16799" t="inlineStr">
        <is>
          <t>TORSBY</t>
        </is>
      </c>
      <c r="F16799" t="inlineStr">
        <is>
          <t>Bergvik skog väst AB</t>
        </is>
      </c>
      <c r="G16799" t="n">
        <v>1.3</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45132-2024</t>
        </is>
      </c>
      <c r="B16800" s="1" t="n">
        <v>45575</v>
      </c>
      <c r="C16800" s="1" t="n">
        <v>45810</v>
      </c>
      <c r="D16800" t="inlineStr">
        <is>
          <t>VÄRMLANDS LÄN</t>
        </is>
      </c>
      <c r="E16800" t="inlineStr">
        <is>
          <t>TORSBY</t>
        </is>
      </c>
      <c r="F16800" t="inlineStr">
        <is>
          <t>Bergvik skog väst AB</t>
        </is>
      </c>
      <c r="G16800" t="n">
        <v>2</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45136-2024</t>
        </is>
      </c>
      <c r="B16801" s="1" t="n">
        <v>45575</v>
      </c>
      <c r="C16801" s="1" t="n">
        <v>45810</v>
      </c>
      <c r="D16801" t="inlineStr">
        <is>
          <t>VÄRMLANDS LÄN</t>
        </is>
      </c>
      <c r="E16801" t="inlineStr">
        <is>
          <t>SÄFFLE</t>
        </is>
      </c>
      <c r="G16801" t="n">
        <v>3.2</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45150-2024</t>
        </is>
      </c>
      <c r="B16802" s="1" t="n">
        <v>45575</v>
      </c>
      <c r="C16802" s="1" t="n">
        <v>45810</v>
      </c>
      <c r="D16802" t="inlineStr">
        <is>
          <t>VÄRMLANDS LÄN</t>
        </is>
      </c>
      <c r="E16802" t="inlineStr">
        <is>
          <t>ÅRJÄNG</t>
        </is>
      </c>
      <c r="F16802" t="inlineStr">
        <is>
          <t>Bergvik skog väst AB</t>
        </is>
      </c>
      <c r="G16802" t="n">
        <v>3.6</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44915-2024</t>
        </is>
      </c>
      <c r="B16803" s="1" t="n">
        <v>45575</v>
      </c>
      <c r="C16803" s="1" t="n">
        <v>45810</v>
      </c>
      <c r="D16803" t="inlineStr">
        <is>
          <t>VÄRMLANDS LÄN</t>
        </is>
      </c>
      <c r="E16803" t="inlineStr">
        <is>
          <t>KRISTINEHAMN</t>
        </is>
      </c>
      <c r="G16803" t="n">
        <v>1.2</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45151-2024</t>
        </is>
      </c>
      <c r="B16804" s="1" t="n">
        <v>45575</v>
      </c>
      <c r="C16804" s="1" t="n">
        <v>45810</v>
      </c>
      <c r="D16804" t="inlineStr">
        <is>
          <t>VÄRMLANDS LÄN</t>
        </is>
      </c>
      <c r="E16804" t="inlineStr">
        <is>
          <t>ARVIKA</t>
        </is>
      </c>
      <c r="G16804" t="n">
        <v>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45126-2024</t>
        </is>
      </c>
      <c r="B16805" s="1" t="n">
        <v>45575</v>
      </c>
      <c r="C16805" s="1" t="n">
        <v>45810</v>
      </c>
      <c r="D16805" t="inlineStr">
        <is>
          <t>VÄRMLANDS LÄN</t>
        </is>
      </c>
      <c r="E16805" t="inlineStr">
        <is>
          <t>MUNKFORS</t>
        </is>
      </c>
      <c r="F16805" t="inlineStr">
        <is>
          <t>Bergvik skog väst AB</t>
        </is>
      </c>
      <c r="G16805" t="n">
        <v>1.7</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45026-2024</t>
        </is>
      </c>
      <c r="B16806" s="1" t="n">
        <v>45575</v>
      </c>
      <c r="C16806" s="1" t="n">
        <v>45810</v>
      </c>
      <c r="D16806" t="inlineStr">
        <is>
          <t>VÄRMLANDS LÄN</t>
        </is>
      </c>
      <c r="E16806" t="inlineStr">
        <is>
          <t>HAGFORS</t>
        </is>
      </c>
      <c r="F16806" t="inlineStr">
        <is>
          <t>Bergvik skog väst AB</t>
        </is>
      </c>
      <c r="G16806" t="n">
        <v>0.9</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45022-2024</t>
        </is>
      </c>
      <c r="B16807" s="1" t="n">
        <v>45575</v>
      </c>
      <c r="C16807" s="1" t="n">
        <v>45810</v>
      </c>
      <c r="D16807" t="inlineStr">
        <is>
          <t>VÄRMLANDS LÄN</t>
        </is>
      </c>
      <c r="E16807" t="inlineStr">
        <is>
          <t>TORSBY</t>
        </is>
      </c>
      <c r="F16807" t="inlineStr">
        <is>
          <t>Bergvik skog väst AB</t>
        </is>
      </c>
      <c r="G16807" t="n">
        <v>19.5</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45186-2024</t>
        </is>
      </c>
      <c r="B16808" s="1" t="n">
        <v>45575</v>
      </c>
      <c r="C16808" s="1" t="n">
        <v>45810</v>
      </c>
      <c r="D16808" t="inlineStr">
        <is>
          <t>VÄRMLANDS LÄN</t>
        </is>
      </c>
      <c r="E16808" t="inlineStr">
        <is>
          <t>SUNNE</t>
        </is>
      </c>
      <c r="G16808" t="n">
        <v>2.2</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45190-2024</t>
        </is>
      </c>
      <c r="B16809" s="1" t="n">
        <v>45575</v>
      </c>
      <c r="C16809" s="1" t="n">
        <v>45810</v>
      </c>
      <c r="D16809" t="inlineStr">
        <is>
          <t>VÄRMLANDS LÄN</t>
        </is>
      </c>
      <c r="E16809" t="inlineStr">
        <is>
          <t>SUNNE</t>
        </is>
      </c>
      <c r="G16809" t="n">
        <v>5.2</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45194-2024</t>
        </is>
      </c>
      <c r="B16810" s="1" t="n">
        <v>45575</v>
      </c>
      <c r="C16810" s="1" t="n">
        <v>45810</v>
      </c>
      <c r="D16810" t="inlineStr">
        <is>
          <t>VÄRMLANDS LÄN</t>
        </is>
      </c>
      <c r="E16810" t="inlineStr">
        <is>
          <t>ARVIKA</t>
        </is>
      </c>
      <c r="G16810" t="n">
        <v>1.3</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44989-2024</t>
        </is>
      </c>
      <c r="B16811" s="1" t="n">
        <v>45575</v>
      </c>
      <c r="C16811" s="1" t="n">
        <v>45810</v>
      </c>
      <c r="D16811" t="inlineStr">
        <is>
          <t>VÄRMLANDS LÄN</t>
        </is>
      </c>
      <c r="E16811" t="inlineStr">
        <is>
          <t>FILIPSTAD</t>
        </is>
      </c>
      <c r="F16811" t="inlineStr">
        <is>
          <t>Bergvik skog väst AB</t>
        </is>
      </c>
      <c r="G16811" t="n">
        <v>5</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44981-2024</t>
        </is>
      </c>
      <c r="B16812" s="1" t="n">
        <v>45575</v>
      </c>
      <c r="C16812" s="1" t="n">
        <v>45810</v>
      </c>
      <c r="D16812" t="inlineStr">
        <is>
          <t>VÄRMLANDS LÄN</t>
        </is>
      </c>
      <c r="E16812" t="inlineStr">
        <is>
          <t>SÄFFLE</t>
        </is>
      </c>
      <c r="G16812" t="n">
        <v>2.5</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45213-2024</t>
        </is>
      </c>
      <c r="B16813" s="1" t="n">
        <v>45575</v>
      </c>
      <c r="C16813" s="1" t="n">
        <v>45810</v>
      </c>
      <c r="D16813" t="inlineStr">
        <is>
          <t>VÄRMLANDS LÄN</t>
        </is>
      </c>
      <c r="E16813" t="inlineStr">
        <is>
          <t>ARVIKA</t>
        </is>
      </c>
      <c r="F16813" t="inlineStr">
        <is>
          <t>Bergvik skog väst AB</t>
        </is>
      </c>
      <c r="G16813" t="n">
        <v>4.7</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45227-2024</t>
        </is>
      </c>
      <c r="B16814" s="1" t="n">
        <v>45575</v>
      </c>
      <c r="C16814" s="1" t="n">
        <v>45810</v>
      </c>
      <c r="D16814" t="inlineStr">
        <is>
          <t>VÄRMLANDS LÄN</t>
        </is>
      </c>
      <c r="E16814" t="inlineStr">
        <is>
          <t>TORSBY</t>
        </is>
      </c>
      <c r="G16814" t="n">
        <v>12.9</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45231-2024</t>
        </is>
      </c>
      <c r="B16815" s="1" t="n">
        <v>45575</v>
      </c>
      <c r="C16815" s="1" t="n">
        <v>45810</v>
      </c>
      <c r="D16815" t="inlineStr">
        <is>
          <t>VÄRMLANDS LÄN</t>
        </is>
      </c>
      <c r="E16815" t="inlineStr">
        <is>
          <t>KARLSTAD</t>
        </is>
      </c>
      <c r="G16815" t="n">
        <v>2</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45009-2024</t>
        </is>
      </c>
      <c r="B16816" s="1" t="n">
        <v>45575</v>
      </c>
      <c r="C16816" s="1" t="n">
        <v>45810</v>
      </c>
      <c r="D16816" t="inlineStr">
        <is>
          <t>VÄRMLANDS LÄN</t>
        </is>
      </c>
      <c r="E16816" t="inlineStr">
        <is>
          <t>FILIPSTAD</t>
        </is>
      </c>
      <c r="F16816" t="inlineStr">
        <is>
          <t>Bergvik skog väst AB</t>
        </is>
      </c>
      <c r="G16816" t="n">
        <v>21.4</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44972-2024</t>
        </is>
      </c>
      <c r="B16817" s="1" t="n">
        <v>45575</v>
      </c>
      <c r="C16817" s="1" t="n">
        <v>45810</v>
      </c>
      <c r="D16817" t="inlineStr">
        <is>
          <t>VÄRMLANDS LÄN</t>
        </is>
      </c>
      <c r="E16817" t="inlineStr">
        <is>
          <t>STORFORS</t>
        </is>
      </c>
      <c r="F16817" t="inlineStr">
        <is>
          <t>Naturvårdsverket</t>
        </is>
      </c>
      <c r="G16817" t="n">
        <v>18</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44934-2024</t>
        </is>
      </c>
      <c r="B16818" s="1" t="n">
        <v>45575</v>
      </c>
      <c r="C16818" s="1" t="n">
        <v>45810</v>
      </c>
      <c r="D16818" t="inlineStr">
        <is>
          <t>VÄRMLANDS LÄN</t>
        </is>
      </c>
      <c r="E16818" t="inlineStr">
        <is>
          <t>ÅRJÄNG</t>
        </is>
      </c>
      <c r="F16818" t="inlineStr">
        <is>
          <t>Bergvik skog väst AB</t>
        </is>
      </c>
      <c r="G16818" t="n">
        <v>1.3</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44906-2024</t>
        </is>
      </c>
      <c r="B16819" s="1" t="n">
        <v>45575</v>
      </c>
      <c r="C16819" s="1" t="n">
        <v>45810</v>
      </c>
      <c r="D16819" t="inlineStr">
        <is>
          <t>VÄRMLANDS LÄN</t>
        </is>
      </c>
      <c r="E16819" t="inlineStr">
        <is>
          <t>HAGFORS</t>
        </is>
      </c>
      <c r="G16819" t="n">
        <v>1</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44895-2024</t>
        </is>
      </c>
      <c r="B16820" s="1" t="n">
        <v>45575</v>
      </c>
      <c r="C16820" s="1" t="n">
        <v>45810</v>
      </c>
      <c r="D16820" t="inlineStr">
        <is>
          <t>VÄRMLANDS LÄN</t>
        </is>
      </c>
      <c r="E16820" t="inlineStr">
        <is>
          <t>HAGFORS</t>
        </is>
      </c>
      <c r="G16820" t="n">
        <v>4</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45239-2024</t>
        </is>
      </c>
      <c r="B16821" s="1" t="n">
        <v>45575</v>
      </c>
      <c r="C16821" s="1" t="n">
        <v>45810</v>
      </c>
      <c r="D16821" t="inlineStr">
        <is>
          <t>VÄRMLANDS LÄN</t>
        </is>
      </c>
      <c r="E16821" t="inlineStr">
        <is>
          <t>SÄFFLE</t>
        </is>
      </c>
      <c r="G16821" t="n">
        <v>11.4</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45238-2024</t>
        </is>
      </c>
      <c r="B16822" s="1" t="n">
        <v>45575</v>
      </c>
      <c r="C16822" s="1" t="n">
        <v>45810</v>
      </c>
      <c r="D16822" t="inlineStr">
        <is>
          <t>VÄRMLANDS LÄN</t>
        </is>
      </c>
      <c r="E16822" t="inlineStr">
        <is>
          <t>HAGFORS</t>
        </is>
      </c>
      <c r="G16822" t="n">
        <v>0.5</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45081-2024</t>
        </is>
      </c>
      <c r="B16823" s="1" t="n">
        <v>45575</v>
      </c>
      <c r="C16823" s="1" t="n">
        <v>45810</v>
      </c>
      <c r="D16823" t="inlineStr">
        <is>
          <t>VÄRMLANDS LÄN</t>
        </is>
      </c>
      <c r="E16823" t="inlineStr">
        <is>
          <t>ARVIKA</t>
        </is>
      </c>
      <c r="F16823" t="inlineStr">
        <is>
          <t>Bergvik skog väst AB</t>
        </is>
      </c>
      <c r="G16823" t="n">
        <v>2</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44857-2024</t>
        </is>
      </c>
      <c r="B16824" s="1" t="n">
        <v>45575</v>
      </c>
      <c r="C16824" s="1" t="n">
        <v>45810</v>
      </c>
      <c r="D16824" t="inlineStr">
        <is>
          <t>VÄRMLANDS LÄN</t>
        </is>
      </c>
      <c r="E16824" t="inlineStr">
        <is>
          <t>KARLSTAD</t>
        </is>
      </c>
      <c r="G16824" t="n">
        <v>4.2</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45044-2024</t>
        </is>
      </c>
      <c r="B16825" s="1" t="n">
        <v>45575</v>
      </c>
      <c r="C16825" s="1" t="n">
        <v>45810</v>
      </c>
      <c r="D16825" t="inlineStr">
        <is>
          <t>VÄRMLANDS LÄN</t>
        </is>
      </c>
      <c r="E16825" t="inlineStr">
        <is>
          <t>HAGFORS</t>
        </is>
      </c>
      <c r="F16825" t="inlineStr">
        <is>
          <t>Bergvik skog väst AB</t>
        </is>
      </c>
      <c r="G16825" t="n">
        <v>8.6</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45012-2024</t>
        </is>
      </c>
      <c r="B16826" s="1" t="n">
        <v>45575</v>
      </c>
      <c r="C16826" s="1" t="n">
        <v>45810</v>
      </c>
      <c r="D16826" t="inlineStr">
        <is>
          <t>VÄRMLANDS LÄN</t>
        </is>
      </c>
      <c r="E16826" t="inlineStr">
        <is>
          <t>KRISTINEHAMN</t>
        </is>
      </c>
      <c r="G16826" t="n">
        <v>1.5</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44973-2024</t>
        </is>
      </c>
      <c r="B16827" s="1" t="n">
        <v>45575</v>
      </c>
      <c r="C16827" s="1" t="n">
        <v>45810</v>
      </c>
      <c r="D16827" t="inlineStr">
        <is>
          <t>VÄRMLANDS LÄN</t>
        </is>
      </c>
      <c r="E16827" t="inlineStr">
        <is>
          <t>SÄFFLE</t>
        </is>
      </c>
      <c r="F16827" t="inlineStr">
        <is>
          <t>Bergvik skog väst AB</t>
        </is>
      </c>
      <c r="G16827" t="n">
        <v>0.6</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44969-2024</t>
        </is>
      </c>
      <c r="B16828" s="1" t="n">
        <v>45575</v>
      </c>
      <c r="C16828" s="1" t="n">
        <v>45810</v>
      </c>
      <c r="D16828" t="inlineStr">
        <is>
          <t>VÄRMLANDS LÄN</t>
        </is>
      </c>
      <c r="E16828" t="inlineStr">
        <is>
          <t>SUNNE</t>
        </is>
      </c>
      <c r="G16828" t="n">
        <v>2.6</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44965-2024</t>
        </is>
      </c>
      <c r="B16829" s="1" t="n">
        <v>45575</v>
      </c>
      <c r="C16829" s="1" t="n">
        <v>45810</v>
      </c>
      <c r="D16829" t="inlineStr">
        <is>
          <t>VÄRMLANDS LÄN</t>
        </is>
      </c>
      <c r="E16829" t="inlineStr">
        <is>
          <t>TORSBY</t>
        </is>
      </c>
      <c r="F16829" t="inlineStr">
        <is>
          <t>Bergvik skog väst AB</t>
        </is>
      </c>
      <c r="G16829" t="n">
        <v>15.1</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44961-2024</t>
        </is>
      </c>
      <c r="B16830" s="1" t="n">
        <v>45575</v>
      </c>
      <c r="C16830" s="1" t="n">
        <v>45810</v>
      </c>
      <c r="D16830" t="inlineStr">
        <is>
          <t>VÄRMLANDS LÄN</t>
        </is>
      </c>
      <c r="E16830" t="inlineStr">
        <is>
          <t>SÄFFLE</t>
        </is>
      </c>
      <c r="G16830" t="n">
        <v>2.7</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45282-2024</t>
        </is>
      </c>
      <c r="B16831" s="1" t="n">
        <v>45576</v>
      </c>
      <c r="C16831" s="1" t="n">
        <v>45810</v>
      </c>
      <c r="D16831" t="inlineStr">
        <is>
          <t>VÄRMLANDS LÄN</t>
        </is>
      </c>
      <c r="E16831" t="inlineStr">
        <is>
          <t>FORSHAGA</t>
        </is>
      </c>
      <c r="F16831" t="inlineStr">
        <is>
          <t>Bergvik skog väst AB</t>
        </is>
      </c>
      <c r="G16831" t="n">
        <v>4.5</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45327-2024</t>
        </is>
      </c>
      <c r="B16832" s="1" t="n">
        <v>45576</v>
      </c>
      <c r="C16832" s="1" t="n">
        <v>45810</v>
      </c>
      <c r="D16832" t="inlineStr">
        <is>
          <t>VÄRMLANDS LÄN</t>
        </is>
      </c>
      <c r="E16832" t="inlineStr">
        <is>
          <t>ÅRJÄNG</t>
        </is>
      </c>
      <c r="G16832" t="n">
        <v>7.6</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45389-2024</t>
        </is>
      </c>
      <c r="B16833" s="1" t="n">
        <v>45576</v>
      </c>
      <c r="C16833" s="1" t="n">
        <v>45810</v>
      </c>
      <c r="D16833" t="inlineStr">
        <is>
          <t>VÄRMLANDS LÄN</t>
        </is>
      </c>
      <c r="E16833" t="inlineStr">
        <is>
          <t>TORSBY</t>
        </is>
      </c>
      <c r="G16833" t="n">
        <v>7.1</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45401-2024</t>
        </is>
      </c>
      <c r="B16834" s="1" t="n">
        <v>45576</v>
      </c>
      <c r="C16834" s="1" t="n">
        <v>45810</v>
      </c>
      <c r="D16834" t="inlineStr">
        <is>
          <t>VÄRMLANDS LÄN</t>
        </is>
      </c>
      <c r="E16834" t="inlineStr">
        <is>
          <t>EDA</t>
        </is>
      </c>
      <c r="G16834" t="n">
        <v>0.9</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45260-2024</t>
        </is>
      </c>
      <c r="B16835" s="1" t="n">
        <v>45576</v>
      </c>
      <c r="C16835" s="1" t="n">
        <v>45810</v>
      </c>
      <c r="D16835" t="inlineStr">
        <is>
          <t>VÄRMLANDS LÄN</t>
        </is>
      </c>
      <c r="E16835" t="inlineStr">
        <is>
          <t>STORFORS</t>
        </is>
      </c>
      <c r="F16835" t="inlineStr">
        <is>
          <t>Naturvårdsverket</t>
        </is>
      </c>
      <c r="G16835" t="n">
        <v>16.3</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45379-2024</t>
        </is>
      </c>
      <c r="B16836" s="1" t="n">
        <v>45576</v>
      </c>
      <c r="C16836" s="1" t="n">
        <v>45810</v>
      </c>
      <c r="D16836" t="inlineStr">
        <is>
          <t>VÄRMLANDS LÄN</t>
        </is>
      </c>
      <c r="E16836" t="inlineStr">
        <is>
          <t>FILIPSTAD</t>
        </is>
      </c>
      <c r="F16836" t="inlineStr">
        <is>
          <t>Bergvik skog väst AB</t>
        </is>
      </c>
      <c r="G16836" t="n">
        <v>9</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45420-2024</t>
        </is>
      </c>
      <c r="B16837" s="1" t="n">
        <v>45576</v>
      </c>
      <c r="C16837" s="1" t="n">
        <v>45810</v>
      </c>
      <c r="D16837" t="inlineStr">
        <is>
          <t>VÄRMLANDS LÄN</t>
        </is>
      </c>
      <c r="E16837" t="inlineStr">
        <is>
          <t>SÄFFLE</t>
        </is>
      </c>
      <c r="G16837" t="n">
        <v>7.2</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45440-2024</t>
        </is>
      </c>
      <c r="B16838" s="1" t="n">
        <v>45576</v>
      </c>
      <c r="C16838" s="1" t="n">
        <v>45810</v>
      </c>
      <c r="D16838" t="inlineStr">
        <is>
          <t>VÄRMLANDS LÄN</t>
        </is>
      </c>
      <c r="E16838" t="inlineStr">
        <is>
          <t>SÄFFLE</t>
        </is>
      </c>
      <c r="G16838" t="n">
        <v>3.7</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45448-2024</t>
        </is>
      </c>
      <c r="B16839" s="1" t="n">
        <v>45576</v>
      </c>
      <c r="C16839" s="1" t="n">
        <v>45810</v>
      </c>
      <c r="D16839" t="inlineStr">
        <is>
          <t>VÄRMLANDS LÄN</t>
        </is>
      </c>
      <c r="E16839" t="inlineStr">
        <is>
          <t>TORSBY</t>
        </is>
      </c>
      <c r="G16839" t="n">
        <v>2.7</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45385-2024</t>
        </is>
      </c>
      <c r="B16840" s="1" t="n">
        <v>45576</v>
      </c>
      <c r="C16840" s="1" t="n">
        <v>45810</v>
      </c>
      <c r="D16840" t="inlineStr">
        <is>
          <t>VÄRMLANDS LÄN</t>
        </is>
      </c>
      <c r="E16840" t="inlineStr">
        <is>
          <t>TORSBY</t>
        </is>
      </c>
      <c r="F16840" t="inlineStr">
        <is>
          <t>Bergvik skog väst AB</t>
        </is>
      </c>
      <c r="G16840" t="n">
        <v>4</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45365-2024</t>
        </is>
      </c>
      <c r="B16841" s="1" t="n">
        <v>45576</v>
      </c>
      <c r="C16841" s="1" t="n">
        <v>45810</v>
      </c>
      <c r="D16841" t="inlineStr">
        <is>
          <t>VÄRMLANDS LÄN</t>
        </is>
      </c>
      <c r="E16841" t="inlineStr">
        <is>
          <t>KARLSTAD</t>
        </is>
      </c>
      <c r="G16841" t="n">
        <v>9.800000000000001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45480-2024</t>
        </is>
      </c>
      <c r="B16842" s="1" t="n">
        <v>45576</v>
      </c>
      <c r="C16842" s="1" t="n">
        <v>45810</v>
      </c>
      <c r="D16842" t="inlineStr">
        <is>
          <t>VÄRMLANDS LÄN</t>
        </is>
      </c>
      <c r="E16842" t="inlineStr">
        <is>
          <t>SÄFFLE</t>
        </is>
      </c>
      <c r="G16842" t="n">
        <v>1.7</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45439-2024</t>
        </is>
      </c>
      <c r="B16843" s="1" t="n">
        <v>45576</v>
      </c>
      <c r="C16843" s="1" t="n">
        <v>45810</v>
      </c>
      <c r="D16843" t="inlineStr">
        <is>
          <t>VÄRMLANDS LÄN</t>
        </is>
      </c>
      <c r="E16843" t="inlineStr">
        <is>
          <t>SÄFFLE</t>
        </is>
      </c>
      <c r="G16843" t="n">
        <v>2.4</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45271-2024</t>
        </is>
      </c>
      <c r="B16844" s="1" t="n">
        <v>45576</v>
      </c>
      <c r="C16844" s="1" t="n">
        <v>45810</v>
      </c>
      <c r="D16844" t="inlineStr">
        <is>
          <t>VÄRMLANDS LÄN</t>
        </is>
      </c>
      <c r="E16844" t="inlineStr">
        <is>
          <t>STORFORS</t>
        </is>
      </c>
      <c r="F16844" t="inlineStr">
        <is>
          <t>Naturvårdsverket</t>
        </is>
      </c>
      <c r="G16844" t="n">
        <v>11</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45245-2024</t>
        </is>
      </c>
      <c r="B16845" s="1" t="n">
        <v>45576</v>
      </c>
      <c r="C16845" s="1" t="n">
        <v>45810</v>
      </c>
      <c r="D16845" t="inlineStr">
        <is>
          <t>VÄRMLANDS LÄN</t>
        </is>
      </c>
      <c r="E16845" t="inlineStr">
        <is>
          <t>ARVIKA</t>
        </is>
      </c>
      <c r="G16845" t="n">
        <v>2.9</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45490-2024</t>
        </is>
      </c>
      <c r="B16846" s="1" t="n">
        <v>45577</v>
      </c>
      <c r="C16846" s="1" t="n">
        <v>45810</v>
      </c>
      <c r="D16846" t="inlineStr">
        <is>
          <t>VÄRMLANDS LÄN</t>
        </is>
      </c>
      <c r="E16846" t="inlineStr">
        <is>
          <t>SUNNE</t>
        </is>
      </c>
      <c r="G16846" t="n">
        <v>7.1</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45511-2024</t>
        </is>
      </c>
      <c r="B16847" s="1" t="n">
        <v>45578</v>
      </c>
      <c r="C16847" s="1" t="n">
        <v>45810</v>
      </c>
      <c r="D16847" t="inlineStr">
        <is>
          <t>VÄRMLANDS LÄN</t>
        </is>
      </c>
      <c r="E16847" t="inlineStr">
        <is>
          <t>FILIPSTAD</t>
        </is>
      </c>
      <c r="G16847" t="n">
        <v>5.1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45519-2024</t>
        </is>
      </c>
      <c r="B16848" s="1" t="n">
        <v>45578</v>
      </c>
      <c r="C16848" s="1" t="n">
        <v>45810</v>
      </c>
      <c r="D16848" t="inlineStr">
        <is>
          <t>VÄRMLANDS LÄN</t>
        </is>
      </c>
      <c r="E16848" t="inlineStr">
        <is>
          <t>FILIPSTAD</t>
        </is>
      </c>
      <c r="F16848" t="inlineStr">
        <is>
          <t>Bergvik skog väst AB</t>
        </is>
      </c>
      <c r="G16848" t="n">
        <v>0.6</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45583-2024</t>
        </is>
      </c>
      <c r="B16849" s="1" t="n">
        <v>45578</v>
      </c>
      <c r="C16849" s="1" t="n">
        <v>45810</v>
      </c>
      <c r="D16849" t="inlineStr">
        <is>
          <t>VÄRMLANDS LÄN</t>
        </is>
      </c>
      <c r="E16849" t="inlineStr">
        <is>
          <t>ARVIKA</t>
        </is>
      </c>
      <c r="G16849" t="n">
        <v>5.4</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45510-2024</t>
        </is>
      </c>
      <c r="B16850" s="1" t="n">
        <v>45578</v>
      </c>
      <c r="C16850" s="1" t="n">
        <v>45810</v>
      </c>
      <c r="D16850" t="inlineStr">
        <is>
          <t>VÄRMLANDS LÄN</t>
        </is>
      </c>
      <c r="E16850" t="inlineStr">
        <is>
          <t>STORFORS</t>
        </is>
      </c>
      <c r="G16850" t="n">
        <v>7.3</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45518-2024</t>
        </is>
      </c>
      <c r="B16851" s="1" t="n">
        <v>45578</v>
      </c>
      <c r="C16851" s="1" t="n">
        <v>45810</v>
      </c>
      <c r="D16851" t="inlineStr">
        <is>
          <t>VÄRMLANDS LÄN</t>
        </is>
      </c>
      <c r="E16851" t="inlineStr">
        <is>
          <t>FILIPSTAD</t>
        </is>
      </c>
      <c r="G16851" t="n">
        <v>0.7</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45516-2024</t>
        </is>
      </c>
      <c r="B16852" s="1" t="n">
        <v>45578</v>
      </c>
      <c r="C16852" s="1" t="n">
        <v>45810</v>
      </c>
      <c r="D16852" t="inlineStr">
        <is>
          <t>VÄRMLANDS LÄN</t>
        </is>
      </c>
      <c r="E16852" t="inlineStr">
        <is>
          <t>FILIPSTAD</t>
        </is>
      </c>
      <c r="G16852" t="n">
        <v>27</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45520-2024</t>
        </is>
      </c>
      <c r="B16853" s="1" t="n">
        <v>45578</v>
      </c>
      <c r="C16853" s="1" t="n">
        <v>45810</v>
      </c>
      <c r="D16853" t="inlineStr">
        <is>
          <t>VÄRMLANDS LÄN</t>
        </is>
      </c>
      <c r="E16853" t="inlineStr">
        <is>
          <t>FILIPSTAD</t>
        </is>
      </c>
      <c r="G16853" t="n">
        <v>1.4</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45556-2024</t>
        </is>
      </c>
      <c r="B16854" s="1" t="n">
        <v>45579</v>
      </c>
      <c r="C16854" s="1" t="n">
        <v>45810</v>
      </c>
      <c r="D16854" t="inlineStr">
        <is>
          <t>VÄRMLANDS LÄN</t>
        </is>
      </c>
      <c r="E16854" t="inlineStr">
        <is>
          <t>EDA</t>
        </is>
      </c>
      <c r="G16854" t="n">
        <v>1.2</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45560-2024</t>
        </is>
      </c>
      <c r="B16855" s="1" t="n">
        <v>45579</v>
      </c>
      <c r="C16855" s="1" t="n">
        <v>45810</v>
      </c>
      <c r="D16855" t="inlineStr">
        <is>
          <t>VÄRMLANDS LÄN</t>
        </is>
      </c>
      <c r="E16855" t="inlineStr">
        <is>
          <t>EDA</t>
        </is>
      </c>
      <c r="G16855" t="n">
        <v>2.3</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45747-2024</t>
        </is>
      </c>
      <c r="B16856" s="1" t="n">
        <v>45579</v>
      </c>
      <c r="C16856" s="1" t="n">
        <v>45810</v>
      </c>
      <c r="D16856" t="inlineStr">
        <is>
          <t>VÄRMLANDS LÄN</t>
        </is>
      </c>
      <c r="E16856" t="inlineStr">
        <is>
          <t>EDA</t>
        </is>
      </c>
      <c r="G16856" t="n">
        <v>1.1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45752-2024</t>
        </is>
      </c>
      <c r="B16857" s="1" t="n">
        <v>45579</v>
      </c>
      <c r="C16857" s="1" t="n">
        <v>45810</v>
      </c>
      <c r="D16857" t="inlineStr">
        <is>
          <t>VÄRMLANDS LÄN</t>
        </is>
      </c>
      <c r="E16857" t="inlineStr">
        <is>
          <t>SUNNE</t>
        </is>
      </c>
      <c r="G16857" t="n">
        <v>2.6</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45756-2024</t>
        </is>
      </c>
      <c r="B16858" s="1" t="n">
        <v>45579</v>
      </c>
      <c r="C16858" s="1" t="n">
        <v>45810</v>
      </c>
      <c r="D16858" t="inlineStr">
        <is>
          <t>VÄRMLANDS LÄN</t>
        </is>
      </c>
      <c r="E16858" t="inlineStr">
        <is>
          <t>ARVIKA</t>
        </is>
      </c>
      <c r="G16858" t="n">
        <v>0.6</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45672-2024</t>
        </is>
      </c>
      <c r="B16859" s="1" t="n">
        <v>45579</v>
      </c>
      <c r="C16859" s="1" t="n">
        <v>45810</v>
      </c>
      <c r="D16859" t="inlineStr">
        <is>
          <t>VÄRMLANDS LÄN</t>
        </is>
      </c>
      <c r="E16859" t="inlineStr">
        <is>
          <t>KIL</t>
        </is>
      </c>
      <c r="G16859" t="n">
        <v>1.1</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45668-2024</t>
        </is>
      </c>
      <c r="B16860" s="1" t="n">
        <v>45579</v>
      </c>
      <c r="C16860" s="1" t="n">
        <v>45810</v>
      </c>
      <c r="D16860" t="inlineStr">
        <is>
          <t>VÄRMLANDS LÄN</t>
        </is>
      </c>
      <c r="E16860" t="inlineStr">
        <is>
          <t>EDA</t>
        </is>
      </c>
      <c r="G16860" t="n">
        <v>3.2</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45669-2024</t>
        </is>
      </c>
      <c r="B16861" s="1" t="n">
        <v>45579</v>
      </c>
      <c r="C16861" s="1" t="n">
        <v>45810</v>
      </c>
      <c r="D16861" t="inlineStr">
        <is>
          <t>VÄRMLANDS LÄN</t>
        </is>
      </c>
      <c r="E16861" t="inlineStr">
        <is>
          <t>TORSBY</t>
        </is>
      </c>
      <c r="G16861" t="n">
        <v>0.8</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45789-2024</t>
        </is>
      </c>
      <c r="B16862" s="1" t="n">
        <v>45579</v>
      </c>
      <c r="C16862" s="1" t="n">
        <v>45810</v>
      </c>
      <c r="D16862" t="inlineStr">
        <is>
          <t>VÄRMLANDS LÄN</t>
        </is>
      </c>
      <c r="E16862" t="inlineStr">
        <is>
          <t>ARVIKA</t>
        </is>
      </c>
      <c r="G16862" t="n">
        <v>0.9</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45695-2024</t>
        </is>
      </c>
      <c r="B16863" s="1" t="n">
        <v>45579</v>
      </c>
      <c r="C16863" s="1" t="n">
        <v>45810</v>
      </c>
      <c r="D16863" t="inlineStr">
        <is>
          <t>VÄRMLANDS LÄN</t>
        </is>
      </c>
      <c r="E16863" t="inlineStr">
        <is>
          <t>ARVIKA</t>
        </is>
      </c>
      <c r="G16863" t="n">
        <v>1.3</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45635-2024</t>
        </is>
      </c>
      <c r="B16864" s="1" t="n">
        <v>45579</v>
      </c>
      <c r="C16864" s="1" t="n">
        <v>45810</v>
      </c>
      <c r="D16864" t="inlineStr">
        <is>
          <t>VÄRMLANDS LÄN</t>
        </is>
      </c>
      <c r="E16864" t="inlineStr">
        <is>
          <t>ÅRJÄNG</t>
        </is>
      </c>
      <c r="G16864" t="n">
        <v>9.1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45670-2024</t>
        </is>
      </c>
      <c r="B16865" s="1" t="n">
        <v>45579</v>
      </c>
      <c r="C16865" s="1" t="n">
        <v>45810</v>
      </c>
      <c r="D16865" t="inlineStr">
        <is>
          <t>VÄRMLANDS LÄN</t>
        </is>
      </c>
      <c r="E16865" t="inlineStr">
        <is>
          <t>EDA</t>
        </is>
      </c>
      <c r="G16865" t="n">
        <v>3.8</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45650-2024</t>
        </is>
      </c>
      <c r="B16866" s="1" t="n">
        <v>45579</v>
      </c>
      <c r="C16866" s="1" t="n">
        <v>45810</v>
      </c>
      <c r="D16866" t="inlineStr">
        <is>
          <t>VÄRMLANDS LÄN</t>
        </is>
      </c>
      <c r="E16866" t="inlineStr">
        <is>
          <t>ARVIKA</t>
        </is>
      </c>
      <c r="G16866" t="n">
        <v>1</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45592-2024</t>
        </is>
      </c>
      <c r="B16867" s="1" t="n">
        <v>45579</v>
      </c>
      <c r="C16867" s="1" t="n">
        <v>45810</v>
      </c>
      <c r="D16867" t="inlineStr">
        <is>
          <t>VÄRMLANDS LÄN</t>
        </is>
      </c>
      <c r="E16867" t="inlineStr">
        <is>
          <t>FILIPSTAD</t>
        </is>
      </c>
      <c r="F16867" t="inlineStr">
        <is>
          <t>Kyrkan</t>
        </is>
      </c>
      <c r="G16867" t="n">
        <v>4.1</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45548-2024</t>
        </is>
      </c>
      <c r="B16868" s="1" t="n">
        <v>45579</v>
      </c>
      <c r="C16868" s="1" t="n">
        <v>45810</v>
      </c>
      <c r="D16868" t="inlineStr">
        <is>
          <t>VÄRMLANDS LÄN</t>
        </is>
      </c>
      <c r="E16868" t="inlineStr">
        <is>
          <t>TORSBY</t>
        </is>
      </c>
      <c r="G16868" t="n">
        <v>1.3</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45827-2024</t>
        </is>
      </c>
      <c r="B16869" s="1" t="n">
        <v>45579</v>
      </c>
      <c r="C16869" s="1" t="n">
        <v>45810</v>
      </c>
      <c r="D16869" t="inlineStr">
        <is>
          <t>VÄRMLANDS LÄN</t>
        </is>
      </c>
      <c r="E16869" t="inlineStr">
        <is>
          <t>ÅRJÄNG</t>
        </is>
      </c>
      <c r="G16869" t="n">
        <v>4.9</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45805-2024</t>
        </is>
      </c>
      <c r="B16870" s="1" t="n">
        <v>45579</v>
      </c>
      <c r="C16870" s="1" t="n">
        <v>45810</v>
      </c>
      <c r="D16870" t="inlineStr">
        <is>
          <t>VÄRMLANDS LÄN</t>
        </is>
      </c>
      <c r="E16870" t="inlineStr">
        <is>
          <t>ARVIKA</t>
        </is>
      </c>
      <c r="G16870" t="n">
        <v>0.9</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45542-2024</t>
        </is>
      </c>
      <c r="B16871" s="1" t="n">
        <v>45579</v>
      </c>
      <c r="C16871" s="1" t="n">
        <v>45810</v>
      </c>
      <c r="D16871" t="inlineStr">
        <is>
          <t>VÄRMLANDS LÄN</t>
        </is>
      </c>
      <c r="E16871" t="inlineStr">
        <is>
          <t>SUNNE</t>
        </is>
      </c>
      <c r="G16871" t="n">
        <v>1</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45820-2024</t>
        </is>
      </c>
      <c r="B16872" s="1" t="n">
        <v>45579</v>
      </c>
      <c r="C16872" s="1" t="n">
        <v>45810</v>
      </c>
      <c r="D16872" t="inlineStr">
        <is>
          <t>VÄRMLANDS LÄN</t>
        </is>
      </c>
      <c r="E16872" t="inlineStr">
        <is>
          <t>KRISTINEHAMN</t>
        </is>
      </c>
      <c r="G16872" t="n">
        <v>0.8</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45812-2024</t>
        </is>
      </c>
      <c r="B16873" s="1" t="n">
        <v>45579</v>
      </c>
      <c r="C16873" s="1" t="n">
        <v>45810</v>
      </c>
      <c r="D16873" t="inlineStr">
        <is>
          <t>VÄRMLANDS LÄN</t>
        </is>
      </c>
      <c r="E16873" t="inlineStr">
        <is>
          <t>TORSBY</t>
        </is>
      </c>
      <c r="G16873" t="n">
        <v>1</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45751-2024</t>
        </is>
      </c>
      <c r="B16874" s="1" t="n">
        <v>45579</v>
      </c>
      <c r="C16874" s="1" t="n">
        <v>45810</v>
      </c>
      <c r="D16874" t="inlineStr">
        <is>
          <t>VÄRMLANDS LÄN</t>
        </is>
      </c>
      <c r="E16874" t="inlineStr">
        <is>
          <t>ARVIKA</t>
        </is>
      </c>
      <c r="G16874" t="n">
        <v>3.8</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45726-2024</t>
        </is>
      </c>
      <c r="B16875" s="1" t="n">
        <v>45579</v>
      </c>
      <c r="C16875" s="1" t="n">
        <v>45810</v>
      </c>
      <c r="D16875" t="inlineStr">
        <is>
          <t>VÄRMLANDS LÄN</t>
        </is>
      </c>
      <c r="E16875" t="inlineStr">
        <is>
          <t>SUNNE</t>
        </is>
      </c>
      <c r="G16875" t="n">
        <v>4</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45769-2024</t>
        </is>
      </c>
      <c r="B16876" s="1" t="n">
        <v>45579</v>
      </c>
      <c r="C16876" s="1" t="n">
        <v>45810</v>
      </c>
      <c r="D16876" t="inlineStr">
        <is>
          <t>VÄRMLANDS LÄN</t>
        </is>
      </c>
      <c r="E16876" t="inlineStr">
        <is>
          <t>KARLSTAD</t>
        </is>
      </c>
      <c r="G16876" t="n">
        <v>1</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45651-2024</t>
        </is>
      </c>
      <c r="B16877" s="1" t="n">
        <v>45579</v>
      </c>
      <c r="C16877" s="1" t="n">
        <v>45810</v>
      </c>
      <c r="D16877" t="inlineStr">
        <is>
          <t>VÄRMLANDS LÄN</t>
        </is>
      </c>
      <c r="E16877" t="inlineStr">
        <is>
          <t>ÅRJÄNG</t>
        </is>
      </c>
      <c r="G16877" t="n">
        <v>1.1</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45849-2024</t>
        </is>
      </c>
      <c r="B16878" s="1" t="n">
        <v>45580</v>
      </c>
      <c r="C16878" s="1" t="n">
        <v>45810</v>
      </c>
      <c r="D16878" t="inlineStr">
        <is>
          <t>VÄRMLANDS LÄN</t>
        </is>
      </c>
      <c r="E16878" t="inlineStr">
        <is>
          <t>TORSBY</t>
        </is>
      </c>
      <c r="G16878" t="n">
        <v>2.5</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45891-2024</t>
        </is>
      </c>
      <c r="B16879" s="1" t="n">
        <v>45580</v>
      </c>
      <c r="C16879" s="1" t="n">
        <v>45810</v>
      </c>
      <c r="D16879" t="inlineStr">
        <is>
          <t>VÄRMLANDS LÄN</t>
        </is>
      </c>
      <c r="E16879" t="inlineStr">
        <is>
          <t>ARVIKA</t>
        </is>
      </c>
      <c r="G16879" t="n">
        <v>1.1</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45971-2024</t>
        </is>
      </c>
      <c r="B16880" s="1" t="n">
        <v>45580</v>
      </c>
      <c r="C16880" s="1" t="n">
        <v>45810</v>
      </c>
      <c r="D16880" t="inlineStr">
        <is>
          <t>VÄRMLANDS LÄN</t>
        </is>
      </c>
      <c r="E16880" t="inlineStr">
        <is>
          <t>ARVIKA</t>
        </is>
      </c>
      <c r="G16880" t="n">
        <v>4</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45992-2024</t>
        </is>
      </c>
      <c r="B16881" s="1" t="n">
        <v>45580</v>
      </c>
      <c r="C16881" s="1" t="n">
        <v>45810</v>
      </c>
      <c r="D16881" t="inlineStr">
        <is>
          <t>VÄRMLANDS LÄN</t>
        </is>
      </c>
      <c r="E16881" t="inlineStr">
        <is>
          <t>ARVIKA</t>
        </is>
      </c>
      <c r="G16881" t="n">
        <v>1.6</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45876-2024</t>
        </is>
      </c>
      <c r="B16882" s="1" t="n">
        <v>45580</v>
      </c>
      <c r="C16882" s="1" t="n">
        <v>45810</v>
      </c>
      <c r="D16882" t="inlineStr">
        <is>
          <t>VÄRMLANDS LÄN</t>
        </is>
      </c>
      <c r="E16882" t="inlineStr">
        <is>
          <t>ÅRJÄNG</t>
        </is>
      </c>
      <c r="G16882" t="n">
        <v>6.3</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45889-2024</t>
        </is>
      </c>
      <c r="B16883" s="1" t="n">
        <v>45580</v>
      </c>
      <c r="C16883" s="1" t="n">
        <v>45810</v>
      </c>
      <c r="D16883" t="inlineStr">
        <is>
          <t>VÄRMLANDS LÄN</t>
        </is>
      </c>
      <c r="E16883" t="inlineStr">
        <is>
          <t>ARVIKA</t>
        </is>
      </c>
      <c r="G16883" t="n">
        <v>2.1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45897-2024</t>
        </is>
      </c>
      <c r="B16884" s="1" t="n">
        <v>45580</v>
      </c>
      <c r="C16884" s="1" t="n">
        <v>45810</v>
      </c>
      <c r="D16884" t="inlineStr">
        <is>
          <t>VÄRMLANDS LÄN</t>
        </is>
      </c>
      <c r="E16884" t="inlineStr">
        <is>
          <t>ARVIKA</t>
        </is>
      </c>
      <c r="G16884" t="n">
        <v>3.5</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45929-2024</t>
        </is>
      </c>
      <c r="B16885" s="1" t="n">
        <v>45580</v>
      </c>
      <c r="C16885" s="1" t="n">
        <v>45810</v>
      </c>
      <c r="D16885" t="inlineStr">
        <is>
          <t>VÄRMLANDS LÄN</t>
        </is>
      </c>
      <c r="E16885" t="inlineStr">
        <is>
          <t>ÅRJÄNG</t>
        </is>
      </c>
      <c r="G16885" t="n">
        <v>2.2</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45985-2024</t>
        </is>
      </c>
      <c r="B16886" s="1" t="n">
        <v>45580</v>
      </c>
      <c r="C16886" s="1" t="n">
        <v>45810</v>
      </c>
      <c r="D16886" t="inlineStr">
        <is>
          <t>VÄRMLANDS LÄN</t>
        </is>
      </c>
      <c r="E16886" t="inlineStr">
        <is>
          <t>EDA</t>
        </is>
      </c>
      <c r="G16886" t="n">
        <v>6.2</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45892-2024</t>
        </is>
      </c>
      <c r="B16887" s="1" t="n">
        <v>45580</v>
      </c>
      <c r="C16887" s="1" t="n">
        <v>45810</v>
      </c>
      <c r="D16887" t="inlineStr">
        <is>
          <t>VÄRMLANDS LÄN</t>
        </is>
      </c>
      <c r="E16887" t="inlineStr">
        <is>
          <t>ARVIKA</t>
        </is>
      </c>
      <c r="G16887" t="n">
        <v>9.199999999999999</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45904-2024</t>
        </is>
      </c>
      <c r="B16888" s="1" t="n">
        <v>45580</v>
      </c>
      <c r="C16888" s="1" t="n">
        <v>45810</v>
      </c>
      <c r="D16888" t="inlineStr">
        <is>
          <t>VÄRMLANDS LÄN</t>
        </is>
      </c>
      <c r="E16888" t="inlineStr">
        <is>
          <t>STORFORS</t>
        </is>
      </c>
      <c r="G16888" t="n">
        <v>5.9</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45873-2024</t>
        </is>
      </c>
      <c r="B16889" s="1" t="n">
        <v>45580</v>
      </c>
      <c r="C16889" s="1" t="n">
        <v>45810</v>
      </c>
      <c r="D16889" t="inlineStr">
        <is>
          <t>VÄRMLANDS LÄN</t>
        </is>
      </c>
      <c r="E16889" t="inlineStr">
        <is>
          <t>EDA</t>
        </is>
      </c>
      <c r="G16889" t="n">
        <v>4.7</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45894-2024</t>
        </is>
      </c>
      <c r="B16890" s="1" t="n">
        <v>45580</v>
      </c>
      <c r="C16890" s="1" t="n">
        <v>45810</v>
      </c>
      <c r="D16890" t="inlineStr">
        <is>
          <t>VÄRMLANDS LÄN</t>
        </is>
      </c>
      <c r="E16890" t="inlineStr">
        <is>
          <t>ARVIKA</t>
        </is>
      </c>
      <c r="G16890" t="n">
        <v>1.3</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45962-2024</t>
        </is>
      </c>
      <c r="B16891" s="1" t="n">
        <v>45580</v>
      </c>
      <c r="C16891" s="1" t="n">
        <v>45810</v>
      </c>
      <c r="D16891" t="inlineStr">
        <is>
          <t>VÄRMLANDS LÄN</t>
        </is>
      </c>
      <c r="E16891" t="inlineStr">
        <is>
          <t>ARVIKA</t>
        </is>
      </c>
      <c r="G16891" t="n">
        <v>1.6</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46098-2024</t>
        </is>
      </c>
      <c r="B16892" s="1" t="n">
        <v>45581</v>
      </c>
      <c r="C16892" s="1" t="n">
        <v>45810</v>
      </c>
      <c r="D16892" t="inlineStr">
        <is>
          <t>VÄRMLANDS LÄN</t>
        </is>
      </c>
      <c r="E16892" t="inlineStr">
        <is>
          <t>KARLSTAD</t>
        </is>
      </c>
      <c r="F16892" t="inlineStr">
        <is>
          <t>Bergvik skog väst AB</t>
        </is>
      </c>
      <c r="G16892" t="n">
        <v>8.6</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46134-2024</t>
        </is>
      </c>
      <c r="B16893" s="1" t="n">
        <v>45581</v>
      </c>
      <c r="C16893" s="1" t="n">
        <v>45810</v>
      </c>
      <c r="D16893" t="inlineStr">
        <is>
          <t>VÄRMLANDS LÄN</t>
        </is>
      </c>
      <c r="E16893" t="inlineStr">
        <is>
          <t>KRISTINEHAMN</t>
        </is>
      </c>
      <c r="F16893" t="inlineStr">
        <is>
          <t>Sveaskog</t>
        </is>
      </c>
      <c r="G16893" t="n">
        <v>2.9</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46138-2024</t>
        </is>
      </c>
      <c r="B16894" s="1" t="n">
        <v>45581</v>
      </c>
      <c r="C16894" s="1" t="n">
        <v>45810</v>
      </c>
      <c r="D16894" t="inlineStr">
        <is>
          <t>VÄRMLANDS LÄN</t>
        </is>
      </c>
      <c r="E16894" t="inlineStr">
        <is>
          <t>KRISTINEHAMN</t>
        </is>
      </c>
      <c r="F16894" t="inlineStr">
        <is>
          <t>Sveaskog</t>
        </is>
      </c>
      <c r="G16894" t="n">
        <v>3.3</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46149-2024</t>
        </is>
      </c>
      <c r="B16895" s="1" t="n">
        <v>45581</v>
      </c>
      <c r="C16895" s="1" t="n">
        <v>45810</v>
      </c>
      <c r="D16895" t="inlineStr">
        <is>
          <t>VÄRMLANDS LÄN</t>
        </is>
      </c>
      <c r="E16895" t="inlineStr">
        <is>
          <t>ÅRJÄNG</t>
        </is>
      </c>
      <c r="G16895" t="n">
        <v>1</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46173-2024</t>
        </is>
      </c>
      <c r="B16896" s="1" t="n">
        <v>45581</v>
      </c>
      <c r="C16896" s="1" t="n">
        <v>45810</v>
      </c>
      <c r="D16896" t="inlineStr">
        <is>
          <t>VÄRMLANDS LÄN</t>
        </is>
      </c>
      <c r="E16896" t="inlineStr">
        <is>
          <t>KARLSTAD</t>
        </is>
      </c>
      <c r="F16896" t="inlineStr">
        <is>
          <t>Bergvik skog väst AB</t>
        </is>
      </c>
      <c r="G16896" t="n">
        <v>3.6</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46239-2024</t>
        </is>
      </c>
      <c r="B16897" s="1" t="n">
        <v>45581</v>
      </c>
      <c r="C16897" s="1" t="n">
        <v>45810</v>
      </c>
      <c r="D16897" t="inlineStr">
        <is>
          <t>VÄRMLANDS LÄN</t>
        </is>
      </c>
      <c r="E16897" t="inlineStr">
        <is>
          <t>TORSBY</t>
        </is>
      </c>
      <c r="G16897" t="n">
        <v>1.5</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46109-2024</t>
        </is>
      </c>
      <c r="B16898" s="1" t="n">
        <v>45581</v>
      </c>
      <c r="C16898" s="1" t="n">
        <v>45810</v>
      </c>
      <c r="D16898" t="inlineStr">
        <is>
          <t>VÄRMLANDS LÄN</t>
        </is>
      </c>
      <c r="E16898" t="inlineStr">
        <is>
          <t>KARLSTAD</t>
        </is>
      </c>
      <c r="G16898" t="n">
        <v>2.1</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46117-2024</t>
        </is>
      </c>
      <c r="B16899" s="1" t="n">
        <v>45581</v>
      </c>
      <c r="C16899" s="1" t="n">
        <v>45810</v>
      </c>
      <c r="D16899" t="inlineStr">
        <is>
          <t>VÄRMLANDS LÄN</t>
        </is>
      </c>
      <c r="E16899" t="inlineStr">
        <is>
          <t>HAGFORS</t>
        </is>
      </c>
      <c r="F16899" t="inlineStr">
        <is>
          <t>Bergvik skog väst AB</t>
        </is>
      </c>
      <c r="G16899" t="n">
        <v>4.7</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46133-2024</t>
        </is>
      </c>
      <c r="B16900" s="1" t="n">
        <v>45581</v>
      </c>
      <c r="C16900" s="1" t="n">
        <v>45810</v>
      </c>
      <c r="D16900" t="inlineStr">
        <is>
          <t>VÄRMLANDS LÄN</t>
        </is>
      </c>
      <c r="E16900" t="inlineStr">
        <is>
          <t>KRISTINEHAMN</t>
        </is>
      </c>
      <c r="F16900" t="inlineStr">
        <is>
          <t>Sveaskog</t>
        </is>
      </c>
      <c r="G16900" t="n">
        <v>3.5</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46137-2024</t>
        </is>
      </c>
      <c r="B16901" s="1" t="n">
        <v>45581</v>
      </c>
      <c r="C16901" s="1" t="n">
        <v>45810</v>
      </c>
      <c r="D16901" t="inlineStr">
        <is>
          <t>VÄRMLANDS LÄN</t>
        </is>
      </c>
      <c r="E16901" t="inlineStr">
        <is>
          <t>KRISTINEHAMN</t>
        </is>
      </c>
      <c r="F16901" t="inlineStr">
        <is>
          <t>Sveaskog</t>
        </is>
      </c>
      <c r="G16901" t="n">
        <v>0.9</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46152-2024</t>
        </is>
      </c>
      <c r="B16902" s="1" t="n">
        <v>45581</v>
      </c>
      <c r="C16902" s="1" t="n">
        <v>45810</v>
      </c>
      <c r="D16902" t="inlineStr">
        <is>
          <t>VÄRMLANDS LÄN</t>
        </is>
      </c>
      <c r="E16902" t="inlineStr">
        <is>
          <t>TORSBY</t>
        </is>
      </c>
      <c r="G16902" t="n">
        <v>2.5</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46176-2024</t>
        </is>
      </c>
      <c r="B16903" s="1" t="n">
        <v>45581</v>
      </c>
      <c r="C16903" s="1" t="n">
        <v>45810</v>
      </c>
      <c r="D16903" t="inlineStr">
        <is>
          <t>VÄRMLANDS LÄN</t>
        </is>
      </c>
      <c r="E16903" t="inlineStr">
        <is>
          <t>KARLSTAD</t>
        </is>
      </c>
      <c r="F16903" t="inlineStr">
        <is>
          <t>Bergvik skog väst AB</t>
        </is>
      </c>
      <c r="G16903" t="n">
        <v>2.7</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46196-2024</t>
        </is>
      </c>
      <c r="B16904" s="1" t="n">
        <v>45581</v>
      </c>
      <c r="C16904" s="1" t="n">
        <v>45810</v>
      </c>
      <c r="D16904" t="inlineStr">
        <is>
          <t>VÄRMLANDS LÄN</t>
        </is>
      </c>
      <c r="E16904" t="inlineStr">
        <is>
          <t>HAGFORS</t>
        </is>
      </c>
      <c r="F16904" t="inlineStr">
        <is>
          <t>Bergvik skog väst AB</t>
        </is>
      </c>
      <c r="G16904" t="n">
        <v>7</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46318-2024</t>
        </is>
      </c>
      <c r="B16905" s="1" t="n">
        <v>45581</v>
      </c>
      <c r="C16905" s="1" t="n">
        <v>45810</v>
      </c>
      <c r="D16905" t="inlineStr">
        <is>
          <t>VÄRMLANDS LÄN</t>
        </is>
      </c>
      <c r="E16905" t="inlineStr">
        <is>
          <t>ÅRJÄNG</t>
        </is>
      </c>
      <c r="G16905" t="n">
        <v>2.5</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46190-2024</t>
        </is>
      </c>
      <c r="B16906" s="1" t="n">
        <v>45581</v>
      </c>
      <c r="C16906" s="1" t="n">
        <v>45810</v>
      </c>
      <c r="D16906" t="inlineStr">
        <is>
          <t>VÄRMLANDS LÄN</t>
        </is>
      </c>
      <c r="E16906" t="inlineStr">
        <is>
          <t>HAGFORS</t>
        </is>
      </c>
      <c r="F16906" t="inlineStr">
        <is>
          <t>Bergvik skog väst AB</t>
        </is>
      </c>
      <c r="G16906" t="n">
        <v>4.8</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46174-2024</t>
        </is>
      </c>
      <c r="B16907" s="1" t="n">
        <v>45581</v>
      </c>
      <c r="C16907" s="1" t="n">
        <v>45810</v>
      </c>
      <c r="D16907" t="inlineStr">
        <is>
          <t>VÄRMLANDS LÄN</t>
        </is>
      </c>
      <c r="E16907" t="inlineStr">
        <is>
          <t>KARLSTAD</t>
        </is>
      </c>
      <c r="F16907" t="inlineStr">
        <is>
          <t>Bergvik skog väst AB</t>
        </is>
      </c>
      <c r="G16907" t="n">
        <v>5.5</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46175-2024</t>
        </is>
      </c>
      <c r="B16908" s="1" t="n">
        <v>45581</v>
      </c>
      <c r="C16908" s="1" t="n">
        <v>45810</v>
      </c>
      <c r="D16908" t="inlineStr">
        <is>
          <t>VÄRMLANDS LÄN</t>
        </is>
      </c>
      <c r="E16908" t="inlineStr">
        <is>
          <t>ÅRJÄNG</t>
        </is>
      </c>
      <c r="G16908" t="n">
        <v>2</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46166-2024</t>
        </is>
      </c>
      <c r="B16909" s="1" t="n">
        <v>45581</v>
      </c>
      <c r="C16909" s="1" t="n">
        <v>45810</v>
      </c>
      <c r="D16909" t="inlineStr">
        <is>
          <t>VÄRMLANDS LÄN</t>
        </is>
      </c>
      <c r="E16909" t="inlineStr">
        <is>
          <t>TORSBY</t>
        </is>
      </c>
      <c r="G16909" t="n">
        <v>9.5</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46139-2024</t>
        </is>
      </c>
      <c r="B16910" s="1" t="n">
        <v>45581</v>
      </c>
      <c r="C16910" s="1" t="n">
        <v>45810</v>
      </c>
      <c r="D16910" t="inlineStr">
        <is>
          <t>VÄRMLANDS LÄN</t>
        </is>
      </c>
      <c r="E16910" t="inlineStr">
        <is>
          <t>KRISTINEHAMN</t>
        </is>
      </c>
      <c r="F16910" t="inlineStr">
        <is>
          <t>Sveaskog</t>
        </is>
      </c>
      <c r="G16910" t="n">
        <v>2.8</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46319-2024</t>
        </is>
      </c>
      <c r="B16911" s="1" t="n">
        <v>45581</v>
      </c>
      <c r="C16911" s="1" t="n">
        <v>45810</v>
      </c>
      <c r="D16911" t="inlineStr">
        <is>
          <t>VÄRMLANDS LÄN</t>
        </is>
      </c>
      <c r="E16911" t="inlineStr">
        <is>
          <t>ÅRJÄNG</t>
        </is>
      </c>
      <c r="G16911" t="n">
        <v>5.5</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46315-2024</t>
        </is>
      </c>
      <c r="B16912" s="1" t="n">
        <v>45581</v>
      </c>
      <c r="C16912" s="1" t="n">
        <v>45810</v>
      </c>
      <c r="D16912" t="inlineStr">
        <is>
          <t>VÄRMLANDS LÄN</t>
        </is>
      </c>
      <c r="E16912" t="inlineStr">
        <is>
          <t>ÅRJÄNG</t>
        </is>
      </c>
      <c r="G16912" t="n">
        <v>2.1</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46241-2024</t>
        </is>
      </c>
      <c r="B16913" s="1" t="n">
        <v>45581</v>
      </c>
      <c r="C16913" s="1" t="n">
        <v>45810</v>
      </c>
      <c r="D16913" t="inlineStr">
        <is>
          <t>VÄRMLANDS LÄN</t>
        </is>
      </c>
      <c r="E16913" t="inlineStr">
        <is>
          <t>FILIPSTAD</t>
        </is>
      </c>
      <c r="F16913" t="inlineStr">
        <is>
          <t>Bergvik skog väst AB</t>
        </is>
      </c>
      <c r="G16913" t="n">
        <v>5.2</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46233-2024</t>
        </is>
      </c>
      <c r="B16914" s="1" t="n">
        <v>45581</v>
      </c>
      <c r="C16914" s="1" t="n">
        <v>45810</v>
      </c>
      <c r="D16914" t="inlineStr">
        <is>
          <t>VÄRMLANDS LÄN</t>
        </is>
      </c>
      <c r="E16914" t="inlineStr">
        <is>
          <t>ARVIKA</t>
        </is>
      </c>
      <c r="G16914" t="n">
        <v>0.9</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46177-2024</t>
        </is>
      </c>
      <c r="B16915" s="1" t="n">
        <v>45581</v>
      </c>
      <c r="C16915" s="1" t="n">
        <v>45810</v>
      </c>
      <c r="D16915" t="inlineStr">
        <is>
          <t>VÄRMLANDS LÄN</t>
        </is>
      </c>
      <c r="E16915" t="inlineStr">
        <is>
          <t>SÄFFLE</t>
        </is>
      </c>
      <c r="G16915" t="n">
        <v>4.9</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46317-2024</t>
        </is>
      </c>
      <c r="B16916" s="1" t="n">
        <v>45581</v>
      </c>
      <c r="C16916" s="1" t="n">
        <v>45810</v>
      </c>
      <c r="D16916" t="inlineStr">
        <is>
          <t>VÄRMLANDS LÄN</t>
        </is>
      </c>
      <c r="E16916" t="inlineStr">
        <is>
          <t>ÅRJÄNG</t>
        </is>
      </c>
      <c r="G16916" t="n">
        <v>3.5</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46492-2024</t>
        </is>
      </c>
      <c r="B16917" s="1" t="n">
        <v>45582</v>
      </c>
      <c r="C16917" s="1" t="n">
        <v>45810</v>
      </c>
      <c r="D16917" t="inlineStr">
        <is>
          <t>VÄRMLANDS LÄN</t>
        </is>
      </c>
      <c r="E16917" t="inlineStr">
        <is>
          <t>ARVIKA</t>
        </is>
      </c>
      <c r="F16917" t="inlineStr">
        <is>
          <t>Bergvik skog väst AB</t>
        </is>
      </c>
      <c r="G16917" t="n">
        <v>2.4</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46426-2024</t>
        </is>
      </c>
      <c r="B16918" s="1" t="n">
        <v>45582</v>
      </c>
      <c r="C16918" s="1" t="n">
        <v>45810</v>
      </c>
      <c r="D16918" t="inlineStr">
        <is>
          <t>VÄRMLANDS LÄN</t>
        </is>
      </c>
      <c r="E16918" t="inlineStr">
        <is>
          <t>HAGFORS</t>
        </is>
      </c>
      <c r="F16918" t="inlineStr">
        <is>
          <t>Bergvik skog väst AB</t>
        </is>
      </c>
      <c r="G16918" t="n">
        <v>15.8</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46526-2024</t>
        </is>
      </c>
      <c r="B16919" s="1" t="n">
        <v>45582</v>
      </c>
      <c r="C16919" s="1" t="n">
        <v>45810</v>
      </c>
      <c r="D16919" t="inlineStr">
        <is>
          <t>VÄRMLANDS LÄN</t>
        </is>
      </c>
      <c r="E16919" t="inlineStr">
        <is>
          <t>SÄFFLE</t>
        </is>
      </c>
      <c r="G16919" t="n">
        <v>1.1</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46405-2024</t>
        </is>
      </c>
      <c r="B16920" s="1" t="n">
        <v>45582</v>
      </c>
      <c r="C16920" s="1" t="n">
        <v>45810</v>
      </c>
      <c r="D16920" t="inlineStr">
        <is>
          <t>VÄRMLANDS LÄN</t>
        </is>
      </c>
      <c r="E16920" t="inlineStr">
        <is>
          <t>ARVIKA</t>
        </is>
      </c>
      <c r="F16920" t="inlineStr">
        <is>
          <t>Bergvik skog väst AB</t>
        </is>
      </c>
      <c r="G16920" t="n">
        <v>2.3</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46381-2024</t>
        </is>
      </c>
      <c r="B16921" s="1" t="n">
        <v>45582</v>
      </c>
      <c r="C16921" s="1" t="n">
        <v>45810</v>
      </c>
      <c r="D16921" t="inlineStr">
        <is>
          <t>VÄRMLANDS LÄN</t>
        </is>
      </c>
      <c r="E16921" t="inlineStr">
        <is>
          <t>SUNNE</t>
        </is>
      </c>
      <c r="F16921" t="inlineStr">
        <is>
          <t>Bergvik skog väst AB</t>
        </is>
      </c>
      <c r="G16921" t="n">
        <v>3.7</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46369-2024</t>
        </is>
      </c>
      <c r="B16922" s="1" t="n">
        <v>45582</v>
      </c>
      <c r="C16922" s="1" t="n">
        <v>45810</v>
      </c>
      <c r="D16922" t="inlineStr">
        <is>
          <t>VÄRMLANDS LÄN</t>
        </is>
      </c>
      <c r="E16922" t="inlineStr">
        <is>
          <t>ARVIKA</t>
        </is>
      </c>
      <c r="G16922" t="n">
        <v>0.8</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46416-2024</t>
        </is>
      </c>
      <c r="B16923" s="1" t="n">
        <v>45582</v>
      </c>
      <c r="C16923" s="1" t="n">
        <v>45810</v>
      </c>
      <c r="D16923" t="inlineStr">
        <is>
          <t>VÄRMLANDS LÄN</t>
        </is>
      </c>
      <c r="E16923" t="inlineStr">
        <is>
          <t>ARVIKA</t>
        </is>
      </c>
      <c r="F16923" t="inlineStr">
        <is>
          <t>Bergvik skog väst AB</t>
        </is>
      </c>
      <c r="G16923" t="n">
        <v>3.5</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46425-2024</t>
        </is>
      </c>
      <c r="B16924" s="1" t="n">
        <v>45582</v>
      </c>
      <c r="C16924" s="1" t="n">
        <v>45810</v>
      </c>
      <c r="D16924" t="inlineStr">
        <is>
          <t>VÄRMLANDS LÄN</t>
        </is>
      </c>
      <c r="E16924" t="inlineStr">
        <is>
          <t>HAGFORS</t>
        </is>
      </c>
      <c r="F16924" t="inlineStr">
        <is>
          <t>Bergvik skog väst AB</t>
        </is>
      </c>
      <c r="G16924" t="n">
        <v>15.8</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46471-2024</t>
        </is>
      </c>
      <c r="B16925" s="1" t="n">
        <v>45582</v>
      </c>
      <c r="C16925" s="1" t="n">
        <v>45810</v>
      </c>
      <c r="D16925" t="inlineStr">
        <is>
          <t>VÄRMLANDS LÄN</t>
        </is>
      </c>
      <c r="E16925" t="inlineStr">
        <is>
          <t>TORSBY</t>
        </is>
      </c>
      <c r="G16925" t="n">
        <v>2.1</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46479-2024</t>
        </is>
      </c>
      <c r="B16926" s="1" t="n">
        <v>45582</v>
      </c>
      <c r="C16926" s="1" t="n">
        <v>45810</v>
      </c>
      <c r="D16926" t="inlineStr">
        <is>
          <t>VÄRMLANDS LÄN</t>
        </is>
      </c>
      <c r="E16926" t="inlineStr">
        <is>
          <t>ARVIKA</t>
        </is>
      </c>
      <c r="G16926" t="n">
        <v>7.5</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46495-2024</t>
        </is>
      </c>
      <c r="B16927" s="1" t="n">
        <v>45582</v>
      </c>
      <c r="C16927" s="1" t="n">
        <v>45810</v>
      </c>
      <c r="D16927" t="inlineStr">
        <is>
          <t>VÄRMLANDS LÄN</t>
        </is>
      </c>
      <c r="E16927" t="inlineStr">
        <is>
          <t>KARLSTAD</t>
        </is>
      </c>
      <c r="G16927" t="n">
        <v>3.5</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46503-2024</t>
        </is>
      </c>
      <c r="B16928" s="1" t="n">
        <v>45582</v>
      </c>
      <c r="C16928" s="1" t="n">
        <v>45810</v>
      </c>
      <c r="D16928" t="inlineStr">
        <is>
          <t>VÄRMLANDS LÄN</t>
        </is>
      </c>
      <c r="E16928" t="inlineStr">
        <is>
          <t>TORSBY</t>
        </is>
      </c>
      <c r="G16928" t="n">
        <v>1</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46535-2024</t>
        </is>
      </c>
      <c r="B16929" s="1" t="n">
        <v>45582</v>
      </c>
      <c r="C16929" s="1" t="n">
        <v>45810</v>
      </c>
      <c r="D16929" t="inlineStr">
        <is>
          <t>VÄRMLANDS LÄN</t>
        </is>
      </c>
      <c r="E16929" t="inlineStr">
        <is>
          <t>EDA</t>
        </is>
      </c>
      <c r="G16929" t="n">
        <v>1</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46398-2024</t>
        </is>
      </c>
      <c r="B16930" s="1" t="n">
        <v>45582</v>
      </c>
      <c r="C16930" s="1" t="n">
        <v>45810</v>
      </c>
      <c r="D16930" t="inlineStr">
        <is>
          <t>VÄRMLANDS LÄN</t>
        </is>
      </c>
      <c r="E16930" t="inlineStr">
        <is>
          <t>ÅRJÄNG</t>
        </is>
      </c>
      <c r="G16930" t="n">
        <v>5.7</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46575-2024</t>
        </is>
      </c>
      <c r="B16931" s="1" t="n">
        <v>45582</v>
      </c>
      <c r="C16931" s="1" t="n">
        <v>45810</v>
      </c>
      <c r="D16931" t="inlineStr">
        <is>
          <t>VÄRMLANDS LÄN</t>
        </is>
      </c>
      <c r="E16931" t="inlineStr">
        <is>
          <t>SÄFFLE</t>
        </is>
      </c>
      <c r="G16931" t="n">
        <v>1.8</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46460-2024</t>
        </is>
      </c>
      <c r="B16932" s="1" t="n">
        <v>45582</v>
      </c>
      <c r="C16932" s="1" t="n">
        <v>45810</v>
      </c>
      <c r="D16932" t="inlineStr">
        <is>
          <t>VÄRMLANDS LÄN</t>
        </is>
      </c>
      <c r="E16932" t="inlineStr">
        <is>
          <t>ARVIKA</t>
        </is>
      </c>
      <c r="F16932" t="inlineStr">
        <is>
          <t>Bergvik skog väst AB</t>
        </is>
      </c>
      <c r="G16932" t="n">
        <v>2.3</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46456-2024</t>
        </is>
      </c>
      <c r="B16933" s="1" t="n">
        <v>45582</v>
      </c>
      <c r="C16933" s="1" t="n">
        <v>45810</v>
      </c>
      <c r="D16933" t="inlineStr">
        <is>
          <t>VÄRMLANDS LÄN</t>
        </is>
      </c>
      <c r="E16933" t="inlineStr">
        <is>
          <t>TORSBY</t>
        </is>
      </c>
      <c r="G16933" t="n">
        <v>2.3</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46343-2024</t>
        </is>
      </c>
      <c r="B16934" s="1" t="n">
        <v>45582</v>
      </c>
      <c r="C16934" s="1" t="n">
        <v>45810</v>
      </c>
      <c r="D16934" t="inlineStr">
        <is>
          <t>VÄRMLANDS LÄN</t>
        </is>
      </c>
      <c r="E16934" t="inlineStr">
        <is>
          <t>TORSBY</t>
        </is>
      </c>
      <c r="G16934" t="n">
        <v>1.7</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46335-2024</t>
        </is>
      </c>
      <c r="B16935" s="1" t="n">
        <v>45582</v>
      </c>
      <c r="C16935" s="1" t="n">
        <v>45810</v>
      </c>
      <c r="D16935" t="inlineStr">
        <is>
          <t>VÄRMLANDS LÄN</t>
        </is>
      </c>
      <c r="E16935" t="inlineStr">
        <is>
          <t>KARLSTAD</t>
        </is>
      </c>
      <c r="G16935" t="n">
        <v>1.9</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46445-2024</t>
        </is>
      </c>
      <c r="B16936" s="1" t="n">
        <v>45582</v>
      </c>
      <c r="C16936" s="1" t="n">
        <v>45810</v>
      </c>
      <c r="D16936" t="inlineStr">
        <is>
          <t>VÄRMLANDS LÄN</t>
        </is>
      </c>
      <c r="E16936" t="inlineStr">
        <is>
          <t>KIL</t>
        </is>
      </c>
      <c r="G16936" t="n">
        <v>0.6</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46473-2024</t>
        </is>
      </c>
      <c r="B16937" s="1" t="n">
        <v>45582</v>
      </c>
      <c r="C16937" s="1" t="n">
        <v>45810</v>
      </c>
      <c r="D16937" t="inlineStr">
        <is>
          <t>VÄRMLANDS LÄN</t>
        </is>
      </c>
      <c r="E16937" t="inlineStr">
        <is>
          <t>ÅRJÄNG</t>
        </is>
      </c>
      <c r="G16937" t="n">
        <v>4</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46336-2024</t>
        </is>
      </c>
      <c r="B16938" s="1" t="n">
        <v>45582</v>
      </c>
      <c r="C16938" s="1" t="n">
        <v>45810</v>
      </c>
      <c r="D16938" t="inlineStr">
        <is>
          <t>VÄRMLANDS LÄN</t>
        </is>
      </c>
      <c r="E16938" t="inlineStr">
        <is>
          <t>KARLSTAD</t>
        </is>
      </c>
      <c r="G16938" t="n">
        <v>0.7</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46609-2024</t>
        </is>
      </c>
      <c r="B16939" s="1" t="n">
        <v>45582</v>
      </c>
      <c r="C16939" s="1" t="n">
        <v>45810</v>
      </c>
      <c r="D16939" t="inlineStr">
        <is>
          <t>VÄRMLANDS LÄN</t>
        </is>
      </c>
      <c r="E16939" t="inlineStr">
        <is>
          <t>ÅRJÄNG</t>
        </is>
      </c>
      <c r="G16939" t="n">
        <v>2.4</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46792-2024</t>
        </is>
      </c>
      <c r="B16940" s="1" t="n">
        <v>45583</v>
      </c>
      <c r="C16940" s="1" t="n">
        <v>45810</v>
      </c>
      <c r="D16940" t="inlineStr">
        <is>
          <t>VÄRMLANDS LÄN</t>
        </is>
      </c>
      <c r="E16940" t="inlineStr">
        <is>
          <t>SUNNE</t>
        </is>
      </c>
      <c r="F16940" t="inlineStr">
        <is>
          <t>Kommuner</t>
        </is>
      </c>
      <c r="G16940" t="n">
        <v>0.8</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46680-2024</t>
        </is>
      </c>
      <c r="B16941" s="1" t="n">
        <v>45583</v>
      </c>
      <c r="C16941" s="1" t="n">
        <v>45810</v>
      </c>
      <c r="D16941" t="inlineStr">
        <is>
          <t>VÄRMLANDS LÄN</t>
        </is>
      </c>
      <c r="E16941" t="inlineStr">
        <is>
          <t>FILIPSTAD</t>
        </is>
      </c>
      <c r="F16941" t="inlineStr">
        <is>
          <t>Bergvik skog väst AB</t>
        </is>
      </c>
      <c r="G16941" t="n">
        <v>2.5</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46804-2024</t>
        </is>
      </c>
      <c r="B16942" s="1" t="n">
        <v>45583</v>
      </c>
      <c r="C16942" s="1" t="n">
        <v>45810</v>
      </c>
      <c r="D16942" t="inlineStr">
        <is>
          <t>VÄRMLANDS LÄN</t>
        </is>
      </c>
      <c r="E16942" t="inlineStr">
        <is>
          <t>SUNNE</t>
        </is>
      </c>
      <c r="F16942" t="inlineStr">
        <is>
          <t>Kommuner</t>
        </is>
      </c>
      <c r="G16942" t="n">
        <v>0.8</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46914-2024</t>
        </is>
      </c>
      <c r="B16943" s="1" t="n">
        <v>45583</v>
      </c>
      <c r="C16943" s="1" t="n">
        <v>45810</v>
      </c>
      <c r="D16943" t="inlineStr">
        <is>
          <t>VÄRMLANDS LÄN</t>
        </is>
      </c>
      <c r="E16943" t="inlineStr">
        <is>
          <t>TORSBY</t>
        </is>
      </c>
      <c r="G16943" t="n">
        <v>2.4</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46898-2024</t>
        </is>
      </c>
      <c r="B16944" s="1" t="n">
        <v>45583</v>
      </c>
      <c r="C16944" s="1" t="n">
        <v>45810</v>
      </c>
      <c r="D16944" t="inlineStr">
        <is>
          <t>VÄRMLANDS LÄN</t>
        </is>
      </c>
      <c r="E16944" t="inlineStr">
        <is>
          <t>KARLSTAD</t>
        </is>
      </c>
      <c r="F16944" t="inlineStr">
        <is>
          <t>Kommuner</t>
        </is>
      </c>
      <c r="G16944" t="n">
        <v>1.4</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46842-2024</t>
        </is>
      </c>
      <c r="B16945" s="1" t="n">
        <v>45583</v>
      </c>
      <c r="C16945" s="1" t="n">
        <v>45810</v>
      </c>
      <c r="D16945" t="inlineStr">
        <is>
          <t>VÄRMLANDS LÄN</t>
        </is>
      </c>
      <c r="E16945" t="inlineStr">
        <is>
          <t>ARVIKA</t>
        </is>
      </c>
      <c r="F16945" t="inlineStr">
        <is>
          <t>Bergvik skog väst AB</t>
        </is>
      </c>
      <c r="G16945" t="n">
        <v>5.5</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46703-2024</t>
        </is>
      </c>
      <c r="B16946" s="1" t="n">
        <v>45583</v>
      </c>
      <c r="C16946" s="1" t="n">
        <v>45810</v>
      </c>
      <c r="D16946" t="inlineStr">
        <is>
          <t>VÄRMLANDS LÄN</t>
        </is>
      </c>
      <c r="E16946" t="inlineStr">
        <is>
          <t>EDA</t>
        </is>
      </c>
      <c r="G16946" t="n">
        <v>3.9</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46715-2024</t>
        </is>
      </c>
      <c r="B16947" s="1" t="n">
        <v>45583</v>
      </c>
      <c r="C16947" s="1" t="n">
        <v>45810</v>
      </c>
      <c r="D16947" t="inlineStr">
        <is>
          <t>VÄRMLANDS LÄN</t>
        </is>
      </c>
      <c r="E16947" t="inlineStr">
        <is>
          <t>ARVIKA</t>
        </is>
      </c>
      <c r="F16947" t="inlineStr">
        <is>
          <t>Bergvik skog väst AB</t>
        </is>
      </c>
      <c r="G16947" t="n">
        <v>5.5</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46761-2024</t>
        </is>
      </c>
      <c r="B16948" s="1" t="n">
        <v>45583</v>
      </c>
      <c r="C16948" s="1" t="n">
        <v>45810</v>
      </c>
      <c r="D16948" t="inlineStr">
        <is>
          <t>VÄRMLANDS LÄN</t>
        </is>
      </c>
      <c r="E16948" t="inlineStr">
        <is>
          <t>EDA</t>
        </is>
      </c>
      <c r="G16948" t="n">
        <v>2.2</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46790-2024</t>
        </is>
      </c>
      <c r="B16949" s="1" t="n">
        <v>45583</v>
      </c>
      <c r="C16949" s="1" t="n">
        <v>45810</v>
      </c>
      <c r="D16949" t="inlineStr">
        <is>
          <t>VÄRMLANDS LÄN</t>
        </is>
      </c>
      <c r="E16949" t="inlineStr">
        <is>
          <t>SUNNE</t>
        </is>
      </c>
      <c r="F16949" t="inlineStr">
        <is>
          <t>Kommuner</t>
        </is>
      </c>
      <c r="G16949" t="n">
        <v>1</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46750-2024</t>
        </is>
      </c>
      <c r="B16950" s="1" t="n">
        <v>45583</v>
      </c>
      <c r="C16950" s="1" t="n">
        <v>45810</v>
      </c>
      <c r="D16950" t="inlineStr">
        <is>
          <t>VÄRMLANDS LÄN</t>
        </is>
      </c>
      <c r="E16950" t="inlineStr">
        <is>
          <t>ARVIKA</t>
        </is>
      </c>
      <c r="F16950" t="inlineStr">
        <is>
          <t>Bergvik skog väst AB</t>
        </is>
      </c>
      <c r="G16950" t="n">
        <v>4.9</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46681-2024</t>
        </is>
      </c>
      <c r="B16951" s="1" t="n">
        <v>45583</v>
      </c>
      <c r="C16951" s="1" t="n">
        <v>45810</v>
      </c>
      <c r="D16951" t="inlineStr">
        <is>
          <t>VÄRMLANDS LÄN</t>
        </is>
      </c>
      <c r="E16951" t="inlineStr">
        <is>
          <t>ARVIKA</t>
        </is>
      </c>
      <c r="G16951" t="n">
        <v>2.8</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46673-2024</t>
        </is>
      </c>
      <c r="B16952" s="1" t="n">
        <v>45583</v>
      </c>
      <c r="C16952" s="1" t="n">
        <v>45810</v>
      </c>
      <c r="D16952" t="inlineStr">
        <is>
          <t>VÄRMLANDS LÄN</t>
        </is>
      </c>
      <c r="E16952" t="inlineStr">
        <is>
          <t>ARVIKA</t>
        </is>
      </c>
      <c r="G16952" t="n">
        <v>1.8</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46829-2024</t>
        </is>
      </c>
      <c r="B16953" s="1" t="n">
        <v>45583</v>
      </c>
      <c r="C16953" s="1" t="n">
        <v>45810</v>
      </c>
      <c r="D16953" t="inlineStr">
        <is>
          <t>VÄRMLANDS LÄN</t>
        </is>
      </c>
      <c r="E16953" t="inlineStr">
        <is>
          <t>ÅRJÄNG</t>
        </is>
      </c>
      <c r="G16953" t="n">
        <v>1.4</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46698-2024</t>
        </is>
      </c>
      <c r="B16954" s="1" t="n">
        <v>45583</v>
      </c>
      <c r="C16954" s="1" t="n">
        <v>45810</v>
      </c>
      <c r="D16954" t="inlineStr">
        <is>
          <t>VÄRMLANDS LÄN</t>
        </is>
      </c>
      <c r="E16954" t="inlineStr">
        <is>
          <t>TORSBY</t>
        </is>
      </c>
      <c r="G16954" t="n">
        <v>0.8</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46855-2024</t>
        </is>
      </c>
      <c r="B16955" s="1" t="n">
        <v>45583</v>
      </c>
      <c r="C16955" s="1" t="n">
        <v>45810</v>
      </c>
      <c r="D16955" t="inlineStr">
        <is>
          <t>VÄRMLANDS LÄN</t>
        </is>
      </c>
      <c r="E16955" t="inlineStr">
        <is>
          <t>SUNNE</t>
        </is>
      </c>
      <c r="G16955" t="n">
        <v>5.8</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46859-2024</t>
        </is>
      </c>
      <c r="B16956" s="1" t="n">
        <v>45583</v>
      </c>
      <c r="C16956" s="1" t="n">
        <v>45810</v>
      </c>
      <c r="D16956" t="inlineStr">
        <is>
          <t>VÄRMLANDS LÄN</t>
        </is>
      </c>
      <c r="E16956" t="inlineStr">
        <is>
          <t>SÄFFLE</t>
        </is>
      </c>
      <c r="G16956" t="n">
        <v>8.300000000000001</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46909-2024</t>
        </is>
      </c>
      <c r="B16957" s="1" t="n">
        <v>45583</v>
      </c>
      <c r="C16957" s="1" t="n">
        <v>45810</v>
      </c>
      <c r="D16957" t="inlineStr">
        <is>
          <t>VÄRMLANDS LÄN</t>
        </is>
      </c>
      <c r="E16957" t="inlineStr">
        <is>
          <t>TORSBY</t>
        </is>
      </c>
      <c r="G16957" t="n">
        <v>1.7</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46917-2024</t>
        </is>
      </c>
      <c r="B16958" s="1" t="n">
        <v>45583</v>
      </c>
      <c r="C16958" s="1" t="n">
        <v>45810</v>
      </c>
      <c r="D16958" t="inlineStr">
        <is>
          <t>VÄRMLANDS LÄN</t>
        </is>
      </c>
      <c r="E16958" t="inlineStr">
        <is>
          <t>TORSBY</t>
        </is>
      </c>
      <c r="G16958" t="n">
        <v>1.3</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46876-2024</t>
        </is>
      </c>
      <c r="B16959" s="1" t="n">
        <v>45583</v>
      </c>
      <c r="C16959" s="1" t="n">
        <v>45810</v>
      </c>
      <c r="D16959" t="inlineStr">
        <is>
          <t>VÄRMLANDS LÄN</t>
        </is>
      </c>
      <c r="E16959" t="inlineStr">
        <is>
          <t>SUNNE</t>
        </is>
      </c>
      <c r="F16959" t="inlineStr">
        <is>
          <t>Kommuner</t>
        </is>
      </c>
      <c r="G16959" t="n">
        <v>1</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46880-2024</t>
        </is>
      </c>
      <c r="B16960" s="1" t="n">
        <v>45583</v>
      </c>
      <c r="C16960" s="1" t="n">
        <v>45810</v>
      </c>
      <c r="D16960" t="inlineStr">
        <is>
          <t>VÄRMLANDS LÄN</t>
        </is>
      </c>
      <c r="E16960" t="inlineStr">
        <is>
          <t>SUNNE</t>
        </is>
      </c>
      <c r="F16960" t="inlineStr">
        <is>
          <t>Kommuner</t>
        </is>
      </c>
      <c r="G16960" t="n">
        <v>4.1</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46912-2024</t>
        </is>
      </c>
      <c r="B16961" s="1" t="n">
        <v>45583</v>
      </c>
      <c r="C16961" s="1" t="n">
        <v>45810</v>
      </c>
      <c r="D16961" t="inlineStr">
        <is>
          <t>VÄRMLANDS LÄN</t>
        </is>
      </c>
      <c r="E16961" t="inlineStr">
        <is>
          <t>TORSBY</t>
        </is>
      </c>
      <c r="G16961" t="n">
        <v>1.4</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46662-2024</t>
        </is>
      </c>
      <c r="B16962" s="1" t="n">
        <v>45583</v>
      </c>
      <c r="C16962" s="1" t="n">
        <v>45810</v>
      </c>
      <c r="D16962" t="inlineStr">
        <is>
          <t>VÄRMLANDS LÄN</t>
        </is>
      </c>
      <c r="E16962" t="inlineStr">
        <is>
          <t>ARVIKA</t>
        </is>
      </c>
      <c r="G16962" t="n">
        <v>1.6</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46646-2024</t>
        </is>
      </c>
      <c r="B16963" s="1" t="n">
        <v>45583</v>
      </c>
      <c r="C16963" s="1" t="n">
        <v>45810</v>
      </c>
      <c r="D16963" t="inlineStr">
        <is>
          <t>VÄRMLANDS LÄN</t>
        </is>
      </c>
      <c r="E16963" t="inlineStr">
        <is>
          <t>EDA</t>
        </is>
      </c>
      <c r="G16963" t="n">
        <v>1.8</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46915-2024</t>
        </is>
      </c>
      <c r="B16964" s="1" t="n">
        <v>45583</v>
      </c>
      <c r="C16964" s="1" t="n">
        <v>45810</v>
      </c>
      <c r="D16964" t="inlineStr">
        <is>
          <t>VÄRMLANDS LÄN</t>
        </is>
      </c>
      <c r="E16964" t="inlineStr">
        <is>
          <t>TORSBY</t>
        </is>
      </c>
      <c r="G16964" t="n">
        <v>0.8</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46950-2024</t>
        </is>
      </c>
      <c r="B16965" s="1" t="n">
        <v>45585</v>
      </c>
      <c r="C16965" s="1" t="n">
        <v>45810</v>
      </c>
      <c r="D16965" t="inlineStr">
        <is>
          <t>VÄRMLANDS LÄN</t>
        </is>
      </c>
      <c r="E16965" t="inlineStr">
        <is>
          <t>SUNNE</t>
        </is>
      </c>
      <c r="G16965" t="n">
        <v>4.4</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47278-2024</t>
        </is>
      </c>
      <c r="B16966" s="1" t="n">
        <v>45586</v>
      </c>
      <c r="C16966" s="1" t="n">
        <v>45810</v>
      </c>
      <c r="D16966" t="inlineStr">
        <is>
          <t>VÄRMLANDS LÄN</t>
        </is>
      </c>
      <c r="E16966" t="inlineStr">
        <is>
          <t>SUNNE</t>
        </is>
      </c>
      <c r="G16966" t="n">
        <v>2</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46996-2024</t>
        </is>
      </c>
      <c r="B16967" s="1" t="n">
        <v>45586</v>
      </c>
      <c r="C16967" s="1" t="n">
        <v>45810</v>
      </c>
      <c r="D16967" t="inlineStr">
        <is>
          <t>VÄRMLANDS LÄN</t>
        </is>
      </c>
      <c r="E16967" t="inlineStr">
        <is>
          <t>FILIPSTAD</t>
        </is>
      </c>
      <c r="F16967" t="inlineStr">
        <is>
          <t>Bergvik skog väst AB</t>
        </is>
      </c>
      <c r="G16967" t="n">
        <v>1.5</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47000-2024</t>
        </is>
      </c>
      <c r="B16968" s="1" t="n">
        <v>45586</v>
      </c>
      <c r="C16968" s="1" t="n">
        <v>45810</v>
      </c>
      <c r="D16968" t="inlineStr">
        <is>
          <t>VÄRMLANDS LÄN</t>
        </is>
      </c>
      <c r="E16968" t="inlineStr">
        <is>
          <t>FILIPSTAD</t>
        </is>
      </c>
      <c r="F16968" t="inlineStr">
        <is>
          <t>Bergvik skog väst AB</t>
        </is>
      </c>
      <c r="G16968" t="n">
        <v>3.5</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47004-2024</t>
        </is>
      </c>
      <c r="B16969" s="1" t="n">
        <v>45586</v>
      </c>
      <c r="C16969" s="1" t="n">
        <v>45810</v>
      </c>
      <c r="D16969" t="inlineStr">
        <is>
          <t>VÄRMLANDS LÄN</t>
        </is>
      </c>
      <c r="E16969" t="inlineStr">
        <is>
          <t>FILIPSTAD</t>
        </is>
      </c>
      <c r="F16969" t="inlineStr">
        <is>
          <t>Bergvik skog väst AB</t>
        </is>
      </c>
      <c r="G16969" t="n">
        <v>5</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47082-2024</t>
        </is>
      </c>
      <c r="B16970" s="1" t="n">
        <v>45586</v>
      </c>
      <c r="C16970" s="1" t="n">
        <v>45810</v>
      </c>
      <c r="D16970" t="inlineStr">
        <is>
          <t>VÄRMLANDS LÄN</t>
        </is>
      </c>
      <c r="E16970" t="inlineStr">
        <is>
          <t>HAGFORS</t>
        </is>
      </c>
      <c r="G16970" t="n">
        <v>23.1</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47102-2024</t>
        </is>
      </c>
      <c r="B16971" s="1" t="n">
        <v>45586</v>
      </c>
      <c r="C16971" s="1" t="n">
        <v>45810</v>
      </c>
      <c r="D16971" t="inlineStr">
        <is>
          <t>VÄRMLANDS LÄN</t>
        </is>
      </c>
      <c r="E16971" t="inlineStr">
        <is>
          <t>HAGFORS</t>
        </is>
      </c>
      <c r="G16971" t="n">
        <v>4.3</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47193-2024</t>
        </is>
      </c>
      <c r="B16972" s="1" t="n">
        <v>45586</v>
      </c>
      <c r="C16972" s="1" t="n">
        <v>45810</v>
      </c>
      <c r="D16972" t="inlineStr">
        <is>
          <t>VÄRMLANDS LÄN</t>
        </is>
      </c>
      <c r="E16972" t="inlineStr">
        <is>
          <t>ARVIKA</t>
        </is>
      </c>
      <c r="F16972" t="inlineStr">
        <is>
          <t>Bergvik skog väst AB</t>
        </is>
      </c>
      <c r="G16972" t="n">
        <v>1.3</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47096-2024</t>
        </is>
      </c>
      <c r="B16973" s="1" t="n">
        <v>45586</v>
      </c>
      <c r="C16973" s="1" t="n">
        <v>45810</v>
      </c>
      <c r="D16973" t="inlineStr">
        <is>
          <t>VÄRMLANDS LÄN</t>
        </is>
      </c>
      <c r="E16973" t="inlineStr">
        <is>
          <t>ÅRJÄNG</t>
        </is>
      </c>
      <c r="G16973" t="n">
        <v>12.8</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47092-2024</t>
        </is>
      </c>
      <c r="B16974" s="1" t="n">
        <v>45586</v>
      </c>
      <c r="C16974" s="1" t="n">
        <v>45810</v>
      </c>
      <c r="D16974" t="inlineStr">
        <is>
          <t>VÄRMLANDS LÄN</t>
        </is>
      </c>
      <c r="E16974" t="inlineStr">
        <is>
          <t>SUNNE</t>
        </is>
      </c>
      <c r="F16974" t="inlineStr">
        <is>
          <t>Kommuner</t>
        </is>
      </c>
      <c r="G16974" t="n">
        <v>1.1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47277-2024</t>
        </is>
      </c>
      <c r="B16975" s="1" t="n">
        <v>45586</v>
      </c>
      <c r="C16975" s="1" t="n">
        <v>45810</v>
      </c>
      <c r="D16975" t="inlineStr">
        <is>
          <t>VÄRMLANDS LÄN</t>
        </is>
      </c>
      <c r="E16975" t="inlineStr">
        <is>
          <t>SUNNE</t>
        </is>
      </c>
      <c r="G16975" t="n">
        <v>2</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47273-2024</t>
        </is>
      </c>
      <c r="B16976" s="1" t="n">
        <v>45586</v>
      </c>
      <c r="C16976" s="1" t="n">
        <v>45810</v>
      </c>
      <c r="D16976" t="inlineStr">
        <is>
          <t>VÄRMLANDS LÄN</t>
        </is>
      </c>
      <c r="E16976" t="inlineStr">
        <is>
          <t>SUNNE</t>
        </is>
      </c>
      <c r="G16976" t="n">
        <v>0.5</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47261-2024</t>
        </is>
      </c>
      <c r="B16977" s="1" t="n">
        <v>45586</v>
      </c>
      <c r="C16977" s="1" t="n">
        <v>45810</v>
      </c>
      <c r="D16977" t="inlineStr">
        <is>
          <t>VÄRMLANDS LÄN</t>
        </is>
      </c>
      <c r="E16977" t="inlineStr">
        <is>
          <t>FILIPSTAD</t>
        </is>
      </c>
      <c r="F16977" t="inlineStr">
        <is>
          <t>Bergvik skog väst AB</t>
        </is>
      </c>
      <c r="G16977" t="n">
        <v>3.3</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47188-2024</t>
        </is>
      </c>
      <c r="B16978" s="1" t="n">
        <v>45586</v>
      </c>
      <c r="C16978" s="1" t="n">
        <v>45810</v>
      </c>
      <c r="D16978" t="inlineStr">
        <is>
          <t>VÄRMLANDS LÄN</t>
        </is>
      </c>
      <c r="E16978" t="inlineStr">
        <is>
          <t>ARVIKA</t>
        </is>
      </c>
      <c r="F16978" t="inlineStr">
        <is>
          <t>Bergvik skog väst AB</t>
        </is>
      </c>
      <c r="G16978" t="n">
        <v>3.9</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47180-2024</t>
        </is>
      </c>
      <c r="B16979" s="1" t="n">
        <v>45586</v>
      </c>
      <c r="C16979" s="1" t="n">
        <v>45810</v>
      </c>
      <c r="D16979" t="inlineStr">
        <is>
          <t>VÄRMLANDS LÄN</t>
        </is>
      </c>
      <c r="E16979" t="inlineStr">
        <is>
          <t>ARVIKA</t>
        </is>
      </c>
      <c r="F16979" t="inlineStr">
        <is>
          <t>Bergvik skog väst AB</t>
        </is>
      </c>
      <c r="G16979" t="n">
        <v>1.5</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47156-2024</t>
        </is>
      </c>
      <c r="B16980" s="1" t="n">
        <v>45586</v>
      </c>
      <c r="C16980" s="1" t="n">
        <v>45810</v>
      </c>
      <c r="D16980" t="inlineStr">
        <is>
          <t>VÄRMLANDS LÄN</t>
        </is>
      </c>
      <c r="E16980" t="inlineStr">
        <is>
          <t>HAGFORS</t>
        </is>
      </c>
      <c r="G16980" t="n">
        <v>2.9</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47107-2024</t>
        </is>
      </c>
      <c r="B16981" s="1" t="n">
        <v>45586</v>
      </c>
      <c r="C16981" s="1" t="n">
        <v>45810</v>
      </c>
      <c r="D16981" t="inlineStr">
        <is>
          <t>VÄRMLANDS LÄN</t>
        </is>
      </c>
      <c r="E16981" t="inlineStr">
        <is>
          <t>SUNNE</t>
        </is>
      </c>
      <c r="F16981" t="inlineStr">
        <is>
          <t>Kommuner</t>
        </is>
      </c>
      <c r="G16981" t="n">
        <v>1.4</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47005-2024</t>
        </is>
      </c>
      <c r="B16982" s="1" t="n">
        <v>45586</v>
      </c>
      <c r="C16982" s="1" t="n">
        <v>45810</v>
      </c>
      <c r="D16982" t="inlineStr">
        <is>
          <t>VÄRMLANDS LÄN</t>
        </is>
      </c>
      <c r="E16982" t="inlineStr">
        <is>
          <t>TORSBY</t>
        </is>
      </c>
      <c r="G16982" t="n">
        <v>2</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47001-2024</t>
        </is>
      </c>
      <c r="B16983" s="1" t="n">
        <v>45586</v>
      </c>
      <c r="C16983" s="1" t="n">
        <v>45810</v>
      </c>
      <c r="D16983" t="inlineStr">
        <is>
          <t>VÄRMLANDS LÄN</t>
        </is>
      </c>
      <c r="E16983" t="inlineStr">
        <is>
          <t>STORFORS</t>
        </is>
      </c>
      <c r="F16983" t="inlineStr">
        <is>
          <t>Naturvårdsverket</t>
        </is>
      </c>
      <c r="G16983" t="n">
        <v>17.1</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46997-2024</t>
        </is>
      </c>
      <c r="B16984" s="1" t="n">
        <v>45586</v>
      </c>
      <c r="C16984" s="1" t="n">
        <v>45810</v>
      </c>
      <c r="D16984" t="inlineStr">
        <is>
          <t>VÄRMLANDS LÄN</t>
        </is>
      </c>
      <c r="E16984" t="inlineStr">
        <is>
          <t>STORFORS</t>
        </is>
      </c>
      <c r="F16984" t="inlineStr">
        <is>
          <t>Naturvårdsverket</t>
        </is>
      </c>
      <c r="G16984" t="n">
        <v>5.8</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46999-2024</t>
        </is>
      </c>
      <c r="B16985" s="1" t="n">
        <v>45586</v>
      </c>
      <c r="C16985" s="1" t="n">
        <v>45810</v>
      </c>
      <c r="D16985" t="inlineStr">
        <is>
          <t>VÄRMLANDS LÄN</t>
        </is>
      </c>
      <c r="E16985" t="inlineStr">
        <is>
          <t>STORFORS</t>
        </is>
      </c>
      <c r="F16985" t="inlineStr">
        <is>
          <t>Naturvårdsverket</t>
        </is>
      </c>
      <c r="G16985" t="n">
        <v>11.3</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47003-2024</t>
        </is>
      </c>
      <c r="B16986" s="1" t="n">
        <v>45586</v>
      </c>
      <c r="C16986" s="1" t="n">
        <v>45810</v>
      </c>
      <c r="D16986" t="inlineStr">
        <is>
          <t>VÄRMLANDS LÄN</t>
        </is>
      </c>
      <c r="E16986" t="inlineStr">
        <is>
          <t>STORFORS</t>
        </is>
      </c>
      <c r="F16986" t="inlineStr">
        <is>
          <t>Naturvårdsverket</t>
        </is>
      </c>
      <c r="G16986" t="n">
        <v>3.3</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47021-2024</t>
        </is>
      </c>
      <c r="B16987" s="1" t="n">
        <v>45586</v>
      </c>
      <c r="C16987" s="1" t="n">
        <v>45810</v>
      </c>
      <c r="D16987" t="inlineStr">
        <is>
          <t>VÄRMLANDS LÄN</t>
        </is>
      </c>
      <c r="E16987" t="inlineStr">
        <is>
          <t>ARVIKA</t>
        </is>
      </c>
      <c r="F16987" t="inlineStr">
        <is>
          <t>Bergvik skog väst AB</t>
        </is>
      </c>
      <c r="G16987" t="n">
        <v>4.9</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47037-2024</t>
        </is>
      </c>
      <c r="B16988" s="1" t="n">
        <v>45586</v>
      </c>
      <c r="C16988" s="1" t="n">
        <v>45810</v>
      </c>
      <c r="D16988" t="inlineStr">
        <is>
          <t>VÄRMLANDS LÄN</t>
        </is>
      </c>
      <c r="E16988" t="inlineStr">
        <is>
          <t>SÄFFLE</t>
        </is>
      </c>
      <c r="G16988" t="n">
        <v>2.4</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47041-2024</t>
        </is>
      </c>
      <c r="B16989" s="1" t="n">
        <v>45586</v>
      </c>
      <c r="C16989" s="1" t="n">
        <v>45810</v>
      </c>
      <c r="D16989" t="inlineStr">
        <is>
          <t>VÄRMLANDS LÄN</t>
        </is>
      </c>
      <c r="E16989" t="inlineStr">
        <is>
          <t>ARVIKA</t>
        </is>
      </c>
      <c r="F16989" t="inlineStr">
        <is>
          <t>Bergvik skog väst AB</t>
        </is>
      </c>
      <c r="G16989" t="n">
        <v>0.5</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47065-2024</t>
        </is>
      </c>
      <c r="B16990" s="1" t="n">
        <v>45586</v>
      </c>
      <c r="C16990" s="1" t="n">
        <v>45810</v>
      </c>
      <c r="D16990" t="inlineStr">
        <is>
          <t>VÄRMLANDS LÄN</t>
        </is>
      </c>
      <c r="E16990" t="inlineStr">
        <is>
          <t>ÅRJÄNG</t>
        </is>
      </c>
      <c r="G16990" t="n">
        <v>0.9</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47046-2024</t>
        </is>
      </c>
      <c r="B16991" s="1" t="n">
        <v>45586</v>
      </c>
      <c r="C16991" s="1" t="n">
        <v>45810</v>
      </c>
      <c r="D16991" t="inlineStr">
        <is>
          <t>VÄRMLANDS LÄN</t>
        </is>
      </c>
      <c r="E16991" t="inlineStr">
        <is>
          <t>ARVIKA</t>
        </is>
      </c>
      <c r="F16991" t="inlineStr">
        <is>
          <t>Bergvik skog väst AB</t>
        </is>
      </c>
      <c r="G16991" t="n">
        <v>1</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47028-2024</t>
        </is>
      </c>
      <c r="B16992" s="1" t="n">
        <v>45586</v>
      </c>
      <c r="C16992" s="1" t="n">
        <v>45810</v>
      </c>
      <c r="D16992" t="inlineStr">
        <is>
          <t>VÄRMLANDS LÄN</t>
        </is>
      </c>
      <c r="E16992" t="inlineStr">
        <is>
          <t>ÅRJÄNG</t>
        </is>
      </c>
      <c r="G16992" t="n">
        <v>1.4</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47020-2024</t>
        </is>
      </c>
      <c r="B16993" s="1" t="n">
        <v>45586</v>
      </c>
      <c r="C16993" s="1" t="n">
        <v>45810</v>
      </c>
      <c r="D16993" t="inlineStr">
        <is>
          <t>VÄRMLANDS LÄN</t>
        </is>
      </c>
      <c r="E16993" t="inlineStr">
        <is>
          <t>ARVIKA</t>
        </is>
      </c>
      <c r="F16993" t="inlineStr">
        <is>
          <t>Bergvik skog väst AB</t>
        </is>
      </c>
      <c r="G16993" t="n">
        <v>4.2</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47006-2024</t>
        </is>
      </c>
      <c r="B16994" s="1" t="n">
        <v>45586</v>
      </c>
      <c r="C16994" s="1" t="n">
        <v>45810</v>
      </c>
      <c r="D16994" t="inlineStr">
        <is>
          <t>VÄRMLANDS LÄN</t>
        </is>
      </c>
      <c r="E16994" t="inlineStr">
        <is>
          <t>TORSBY</t>
        </is>
      </c>
      <c r="G16994" t="n">
        <v>0.7</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47002-2024</t>
        </is>
      </c>
      <c r="B16995" s="1" t="n">
        <v>45586</v>
      </c>
      <c r="C16995" s="1" t="n">
        <v>45810</v>
      </c>
      <c r="D16995" t="inlineStr">
        <is>
          <t>VÄRMLANDS LÄN</t>
        </is>
      </c>
      <c r="E16995" t="inlineStr">
        <is>
          <t>FILIPSTAD</t>
        </is>
      </c>
      <c r="F16995" t="inlineStr">
        <is>
          <t>Bergvik skog väst AB</t>
        </is>
      </c>
      <c r="G16995" t="n">
        <v>3.1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46998-2024</t>
        </is>
      </c>
      <c r="B16996" s="1" t="n">
        <v>45586</v>
      </c>
      <c r="C16996" s="1" t="n">
        <v>45810</v>
      </c>
      <c r="D16996" t="inlineStr">
        <is>
          <t>VÄRMLANDS LÄN</t>
        </is>
      </c>
      <c r="E16996" t="inlineStr">
        <is>
          <t>KIL</t>
        </is>
      </c>
      <c r="G16996" t="n">
        <v>0.7</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46957-2024</t>
        </is>
      </c>
      <c r="B16997" s="1" t="n">
        <v>45586</v>
      </c>
      <c r="C16997" s="1" t="n">
        <v>45810</v>
      </c>
      <c r="D16997" t="inlineStr">
        <is>
          <t>VÄRMLANDS LÄN</t>
        </is>
      </c>
      <c r="E16997" t="inlineStr">
        <is>
          <t>ÅRJÄNG</t>
        </is>
      </c>
      <c r="G16997" t="n">
        <v>3.1</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47227-2024</t>
        </is>
      </c>
      <c r="B16998" s="1" t="n">
        <v>45586</v>
      </c>
      <c r="C16998" s="1" t="n">
        <v>45810</v>
      </c>
      <c r="D16998" t="inlineStr">
        <is>
          <t>VÄRMLANDS LÄN</t>
        </is>
      </c>
      <c r="E16998" t="inlineStr">
        <is>
          <t>HAGFORS</t>
        </is>
      </c>
      <c r="F16998" t="inlineStr">
        <is>
          <t>Bergvik skog väst AB</t>
        </is>
      </c>
      <c r="G16998" t="n">
        <v>12.3</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47097-2024</t>
        </is>
      </c>
      <c r="B16999" s="1" t="n">
        <v>45586</v>
      </c>
      <c r="C16999" s="1" t="n">
        <v>45810</v>
      </c>
      <c r="D16999" t="inlineStr">
        <is>
          <t>VÄRMLANDS LÄN</t>
        </is>
      </c>
      <c r="E16999" t="inlineStr">
        <is>
          <t>SUNNE</t>
        </is>
      </c>
      <c r="F16999" t="inlineStr">
        <is>
          <t>Kommuner</t>
        </is>
      </c>
      <c r="G16999" t="n">
        <v>0.4</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47117-2024</t>
        </is>
      </c>
      <c r="B17000" s="1" t="n">
        <v>45586</v>
      </c>
      <c r="C17000" s="1" t="n">
        <v>45810</v>
      </c>
      <c r="D17000" t="inlineStr">
        <is>
          <t>VÄRMLANDS LÄN</t>
        </is>
      </c>
      <c r="E17000" t="inlineStr">
        <is>
          <t>SUNNE</t>
        </is>
      </c>
      <c r="F17000" t="inlineStr">
        <is>
          <t>Kommuner</t>
        </is>
      </c>
      <c r="G17000" t="n">
        <v>1.6</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47121-2024</t>
        </is>
      </c>
      <c r="B17001" s="1" t="n">
        <v>45586</v>
      </c>
      <c r="C17001" s="1" t="n">
        <v>45810</v>
      </c>
      <c r="D17001" t="inlineStr">
        <is>
          <t>VÄRMLANDS LÄN</t>
        </is>
      </c>
      <c r="E17001" t="inlineStr">
        <is>
          <t>ÅRJÄNG</t>
        </is>
      </c>
      <c r="G17001" t="n">
        <v>1.1</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47145-2024</t>
        </is>
      </c>
      <c r="B17002" s="1" t="n">
        <v>45586</v>
      </c>
      <c r="C17002" s="1" t="n">
        <v>45810</v>
      </c>
      <c r="D17002" t="inlineStr">
        <is>
          <t>VÄRMLANDS LÄN</t>
        </is>
      </c>
      <c r="E17002" t="inlineStr">
        <is>
          <t>EDA</t>
        </is>
      </c>
      <c r="G17002" t="n">
        <v>1.5</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47162-2024</t>
        </is>
      </c>
      <c r="B17003" s="1" t="n">
        <v>45586</v>
      </c>
      <c r="C17003" s="1" t="n">
        <v>45810</v>
      </c>
      <c r="D17003" t="inlineStr">
        <is>
          <t>VÄRMLANDS LÄN</t>
        </is>
      </c>
      <c r="E17003" t="inlineStr">
        <is>
          <t>SUNNE</t>
        </is>
      </c>
      <c r="F17003" t="inlineStr">
        <is>
          <t>Kommuner</t>
        </is>
      </c>
      <c r="G17003" t="n">
        <v>1.8</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47166-2024</t>
        </is>
      </c>
      <c r="B17004" s="1" t="n">
        <v>45586</v>
      </c>
      <c r="C17004" s="1" t="n">
        <v>45810</v>
      </c>
      <c r="D17004" t="inlineStr">
        <is>
          <t>VÄRMLANDS LÄN</t>
        </is>
      </c>
      <c r="E17004" t="inlineStr">
        <is>
          <t>SUNNE</t>
        </is>
      </c>
      <c r="F17004" t="inlineStr">
        <is>
          <t>Kommuner</t>
        </is>
      </c>
      <c r="G17004" t="n">
        <v>0.7</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47226-2024</t>
        </is>
      </c>
      <c r="B17005" s="1" t="n">
        <v>45586</v>
      </c>
      <c r="C17005" s="1" t="n">
        <v>45810</v>
      </c>
      <c r="D17005" t="inlineStr">
        <is>
          <t>VÄRMLANDS LÄN</t>
        </is>
      </c>
      <c r="E17005" t="inlineStr">
        <is>
          <t>HAGFORS</t>
        </is>
      </c>
      <c r="F17005" t="inlineStr">
        <is>
          <t>Bergvik skog väst AB</t>
        </is>
      </c>
      <c r="G17005" t="n">
        <v>12.3</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47263-2024</t>
        </is>
      </c>
      <c r="B17006" s="1" t="n">
        <v>45586</v>
      </c>
      <c r="C17006" s="1" t="n">
        <v>45810</v>
      </c>
      <c r="D17006" t="inlineStr">
        <is>
          <t>VÄRMLANDS LÄN</t>
        </is>
      </c>
      <c r="E17006" t="inlineStr">
        <is>
          <t>FILIPSTAD</t>
        </is>
      </c>
      <c r="F17006" t="inlineStr">
        <is>
          <t>Bergvik skog väst AB</t>
        </is>
      </c>
      <c r="G17006" t="n">
        <v>3.3</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47578-2024</t>
        </is>
      </c>
      <c r="B17007" s="1" t="n">
        <v>45587</v>
      </c>
      <c r="C17007" s="1" t="n">
        <v>45810</v>
      </c>
      <c r="D17007" t="inlineStr">
        <is>
          <t>VÄRMLANDS LÄN</t>
        </is>
      </c>
      <c r="E17007" t="inlineStr">
        <is>
          <t>ARVIKA</t>
        </is>
      </c>
      <c r="G17007" t="n">
        <v>0.7</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47553-2024</t>
        </is>
      </c>
      <c r="B17008" s="1" t="n">
        <v>45587</v>
      </c>
      <c r="C17008" s="1" t="n">
        <v>45810</v>
      </c>
      <c r="D17008" t="inlineStr">
        <is>
          <t>VÄRMLANDS LÄN</t>
        </is>
      </c>
      <c r="E17008" t="inlineStr">
        <is>
          <t>TORSBY</t>
        </is>
      </c>
      <c r="G17008" t="n">
        <v>1.2</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47540-2024</t>
        </is>
      </c>
      <c r="B17009" s="1" t="n">
        <v>45587</v>
      </c>
      <c r="C17009" s="1" t="n">
        <v>45810</v>
      </c>
      <c r="D17009" t="inlineStr">
        <is>
          <t>VÄRMLANDS LÄN</t>
        </is>
      </c>
      <c r="E17009" t="inlineStr">
        <is>
          <t>ARVIKA</t>
        </is>
      </c>
      <c r="F17009" t="inlineStr">
        <is>
          <t>Bergvik skog väst AB</t>
        </is>
      </c>
      <c r="G17009" t="n">
        <v>3.9</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47533-2024</t>
        </is>
      </c>
      <c r="B17010" s="1" t="n">
        <v>45587</v>
      </c>
      <c r="C17010" s="1" t="n">
        <v>45810</v>
      </c>
      <c r="D17010" t="inlineStr">
        <is>
          <t>VÄRMLANDS LÄN</t>
        </is>
      </c>
      <c r="E17010" t="inlineStr">
        <is>
          <t>ARVIKA</t>
        </is>
      </c>
      <c r="F17010" t="inlineStr">
        <is>
          <t>Bergvik skog väst AB</t>
        </is>
      </c>
      <c r="G17010" t="n">
        <v>0.5</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47498-2024</t>
        </is>
      </c>
      <c r="B17011" s="1" t="n">
        <v>45587</v>
      </c>
      <c r="C17011" s="1" t="n">
        <v>45810</v>
      </c>
      <c r="D17011" t="inlineStr">
        <is>
          <t>VÄRMLANDS LÄN</t>
        </is>
      </c>
      <c r="E17011" t="inlineStr">
        <is>
          <t>ARVIKA</t>
        </is>
      </c>
      <c r="G17011" t="n">
        <v>0.9</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47473-2024</t>
        </is>
      </c>
      <c r="B17012" s="1" t="n">
        <v>45587</v>
      </c>
      <c r="C17012" s="1" t="n">
        <v>45810</v>
      </c>
      <c r="D17012" t="inlineStr">
        <is>
          <t>VÄRMLANDS LÄN</t>
        </is>
      </c>
      <c r="E17012" t="inlineStr">
        <is>
          <t>ARVIKA</t>
        </is>
      </c>
      <c r="F17012" t="inlineStr">
        <is>
          <t>Bergvik skog väst AB</t>
        </is>
      </c>
      <c r="G17012" t="n">
        <v>3.7</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47465-2024</t>
        </is>
      </c>
      <c r="B17013" s="1" t="n">
        <v>45587</v>
      </c>
      <c r="C17013" s="1" t="n">
        <v>45810</v>
      </c>
      <c r="D17013" t="inlineStr">
        <is>
          <t>VÄRMLANDS LÄN</t>
        </is>
      </c>
      <c r="E17013" t="inlineStr">
        <is>
          <t>TORSBY</t>
        </is>
      </c>
      <c r="F17013" t="inlineStr">
        <is>
          <t>Övriga Aktiebolag</t>
        </is>
      </c>
      <c r="G17013" t="n">
        <v>4.6</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47461-2024</t>
        </is>
      </c>
      <c r="B17014" s="1" t="n">
        <v>45587</v>
      </c>
      <c r="C17014" s="1" t="n">
        <v>45810</v>
      </c>
      <c r="D17014" t="inlineStr">
        <is>
          <t>VÄRMLANDS LÄN</t>
        </is>
      </c>
      <c r="E17014" t="inlineStr">
        <is>
          <t>ARVIKA</t>
        </is>
      </c>
      <c r="G17014" t="n">
        <v>2.5</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47489-2024</t>
        </is>
      </c>
      <c r="B17015" s="1" t="n">
        <v>45587</v>
      </c>
      <c r="C17015" s="1" t="n">
        <v>45810</v>
      </c>
      <c r="D17015" t="inlineStr">
        <is>
          <t>VÄRMLANDS LÄN</t>
        </is>
      </c>
      <c r="E17015" t="inlineStr">
        <is>
          <t>ARVIKA</t>
        </is>
      </c>
      <c r="G17015" t="n">
        <v>3.8</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47442-2024</t>
        </is>
      </c>
      <c r="B17016" s="1" t="n">
        <v>45587</v>
      </c>
      <c r="C17016" s="1" t="n">
        <v>45810</v>
      </c>
      <c r="D17016" t="inlineStr">
        <is>
          <t>VÄRMLANDS LÄN</t>
        </is>
      </c>
      <c r="E17016" t="inlineStr">
        <is>
          <t>FILIPSTAD</t>
        </is>
      </c>
      <c r="F17016" t="inlineStr">
        <is>
          <t>Bergvik skog väst AB</t>
        </is>
      </c>
      <c r="G17016" t="n">
        <v>1.5</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47399-2024</t>
        </is>
      </c>
      <c r="B17017" s="1" t="n">
        <v>45587</v>
      </c>
      <c r="C17017" s="1" t="n">
        <v>45810</v>
      </c>
      <c r="D17017" t="inlineStr">
        <is>
          <t>VÄRMLANDS LÄN</t>
        </is>
      </c>
      <c r="E17017" t="inlineStr">
        <is>
          <t>ARVIKA</t>
        </is>
      </c>
      <c r="F17017" t="inlineStr">
        <is>
          <t>Bergvik skog väst AB</t>
        </is>
      </c>
      <c r="G17017" t="n">
        <v>1.3</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47316-2024</t>
        </is>
      </c>
      <c r="B17018" s="1" t="n">
        <v>45587</v>
      </c>
      <c r="C17018" s="1" t="n">
        <v>45810</v>
      </c>
      <c r="D17018" t="inlineStr">
        <is>
          <t>VÄRMLANDS LÄN</t>
        </is>
      </c>
      <c r="E17018" t="inlineStr">
        <is>
          <t>TORSBY</t>
        </is>
      </c>
      <c r="G17018" t="n">
        <v>1.8</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47365-2024</t>
        </is>
      </c>
      <c r="B17019" s="1" t="n">
        <v>45587</v>
      </c>
      <c r="C17019" s="1" t="n">
        <v>45810</v>
      </c>
      <c r="D17019" t="inlineStr">
        <is>
          <t>VÄRMLANDS LÄN</t>
        </is>
      </c>
      <c r="E17019" t="inlineStr">
        <is>
          <t>ÅRJÄNG</t>
        </is>
      </c>
      <c r="G17019" t="n">
        <v>1</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47476-2024</t>
        </is>
      </c>
      <c r="B17020" s="1" t="n">
        <v>45587</v>
      </c>
      <c r="C17020" s="1" t="n">
        <v>45810</v>
      </c>
      <c r="D17020" t="inlineStr">
        <is>
          <t>VÄRMLANDS LÄN</t>
        </is>
      </c>
      <c r="E17020" t="inlineStr">
        <is>
          <t>HAGFORS</t>
        </is>
      </c>
      <c r="G17020" t="n">
        <v>2.7</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47463-2024</t>
        </is>
      </c>
      <c r="B17021" s="1" t="n">
        <v>45587</v>
      </c>
      <c r="C17021" s="1" t="n">
        <v>45810</v>
      </c>
      <c r="D17021" t="inlineStr">
        <is>
          <t>VÄRMLANDS LÄN</t>
        </is>
      </c>
      <c r="E17021" t="inlineStr">
        <is>
          <t>HAGFORS</t>
        </is>
      </c>
      <c r="G17021" t="n">
        <v>8.699999999999999</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47443-2024</t>
        </is>
      </c>
      <c r="B17022" s="1" t="n">
        <v>45587</v>
      </c>
      <c r="C17022" s="1" t="n">
        <v>45810</v>
      </c>
      <c r="D17022" t="inlineStr">
        <is>
          <t>VÄRMLANDS LÄN</t>
        </is>
      </c>
      <c r="E17022" t="inlineStr">
        <is>
          <t>HAGFORS</t>
        </is>
      </c>
      <c r="G17022" t="n">
        <v>2.1</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47439-2024</t>
        </is>
      </c>
      <c r="B17023" s="1" t="n">
        <v>45587</v>
      </c>
      <c r="C17023" s="1" t="n">
        <v>45810</v>
      </c>
      <c r="D17023" t="inlineStr">
        <is>
          <t>VÄRMLANDS LÄN</t>
        </is>
      </c>
      <c r="E17023" t="inlineStr">
        <is>
          <t>FILIPSTAD</t>
        </is>
      </c>
      <c r="F17023" t="inlineStr">
        <is>
          <t>Bergvik skog väst AB</t>
        </is>
      </c>
      <c r="G17023" t="n">
        <v>23.3</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47435-2024</t>
        </is>
      </c>
      <c r="B17024" s="1" t="n">
        <v>45587</v>
      </c>
      <c r="C17024" s="1" t="n">
        <v>45810</v>
      </c>
      <c r="D17024" t="inlineStr">
        <is>
          <t>VÄRMLANDS LÄN</t>
        </is>
      </c>
      <c r="E17024" t="inlineStr">
        <is>
          <t>HAGFORS</t>
        </is>
      </c>
      <c r="F17024" t="inlineStr">
        <is>
          <t>Bergvik skog väst AB</t>
        </is>
      </c>
      <c r="G17024" t="n">
        <v>2.6</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47418-2024</t>
        </is>
      </c>
      <c r="B17025" s="1" t="n">
        <v>45587</v>
      </c>
      <c r="C17025" s="1" t="n">
        <v>45810</v>
      </c>
      <c r="D17025" t="inlineStr">
        <is>
          <t>VÄRMLANDS LÄN</t>
        </is>
      </c>
      <c r="E17025" t="inlineStr">
        <is>
          <t>HAGFORS</t>
        </is>
      </c>
      <c r="F17025" t="inlineStr">
        <is>
          <t>Bergvik skog väst AB</t>
        </is>
      </c>
      <c r="G17025" t="n">
        <v>4.4</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47409-2024</t>
        </is>
      </c>
      <c r="B17026" s="1" t="n">
        <v>45587</v>
      </c>
      <c r="C17026" s="1" t="n">
        <v>45810</v>
      </c>
      <c r="D17026" t="inlineStr">
        <is>
          <t>VÄRMLANDS LÄN</t>
        </is>
      </c>
      <c r="E17026" t="inlineStr">
        <is>
          <t>HAGFORS</t>
        </is>
      </c>
      <c r="G17026" t="n">
        <v>0.8</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47506-2024</t>
        </is>
      </c>
      <c r="B17027" s="1" t="n">
        <v>45587</v>
      </c>
      <c r="C17027" s="1" t="n">
        <v>45810</v>
      </c>
      <c r="D17027" t="inlineStr">
        <is>
          <t>VÄRMLANDS LÄN</t>
        </is>
      </c>
      <c r="E17027" t="inlineStr">
        <is>
          <t>HAGFORS</t>
        </is>
      </c>
      <c r="F17027" t="inlineStr">
        <is>
          <t>Bergvik skog väst AB</t>
        </is>
      </c>
      <c r="G17027" t="n">
        <v>5.2</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47510-2024</t>
        </is>
      </c>
      <c r="B17028" s="1" t="n">
        <v>45587</v>
      </c>
      <c r="C17028" s="1" t="n">
        <v>45810</v>
      </c>
      <c r="D17028" t="inlineStr">
        <is>
          <t>VÄRMLANDS LÄN</t>
        </is>
      </c>
      <c r="E17028" t="inlineStr">
        <is>
          <t>HAGFORS</t>
        </is>
      </c>
      <c r="G17028" t="n">
        <v>0.8</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47295-2024</t>
        </is>
      </c>
      <c r="B17029" s="1" t="n">
        <v>45587</v>
      </c>
      <c r="C17029" s="1" t="n">
        <v>45810</v>
      </c>
      <c r="D17029" t="inlineStr">
        <is>
          <t>VÄRMLANDS LÄN</t>
        </is>
      </c>
      <c r="E17029" t="inlineStr">
        <is>
          <t>EDA</t>
        </is>
      </c>
      <c r="G17029" t="n">
        <v>5.8</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47534-2024</t>
        </is>
      </c>
      <c r="B17030" s="1" t="n">
        <v>45587</v>
      </c>
      <c r="C17030" s="1" t="n">
        <v>45810</v>
      </c>
      <c r="D17030" t="inlineStr">
        <is>
          <t>VÄRMLANDS LÄN</t>
        </is>
      </c>
      <c r="E17030" t="inlineStr">
        <is>
          <t>ARVIKA</t>
        </is>
      </c>
      <c r="F17030" t="inlineStr">
        <is>
          <t>Bergvik skog väst AB</t>
        </is>
      </c>
      <c r="G17030" t="n">
        <v>0.5</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47538-2024</t>
        </is>
      </c>
      <c r="B17031" s="1" t="n">
        <v>45587</v>
      </c>
      <c r="C17031" s="1" t="n">
        <v>45810</v>
      </c>
      <c r="D17031" t="inlineStr">
        <is>
          <t>VÄRMLANDS LÄN</t>
        </is>
      </c>
      <c r="E17031" t="inlineStr">
        <is>
          <t>ARVIKA</t>
        </is>
      </c>
      <c r="F17031" t="inlineStr">
        <is>
          <t>Bergvik skog väst AB</t>
        </is>
      </c>
      <c r="G17031" t="n">
        <v>1.7</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47561-2024</t>
        </is>
      </c>
      <c r="B17032" s="1" t="n">
        <v>45587</v>
      </c>
      <c r="C17032" s="1" t="n">
        <v>45810</v>
      </c>
      <c r="D17032" t="inlineStr">
        <is>
          <t>VÄRMLANDS LÄN</t>
        </is>
      </c>
      <c r="E17032" t="inlineStr">
        <is>
          <t>ARVIKA</t>
        </is>
      </c>
      <c r="G17032" t="n">
        <v>2.2</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47452-2024</t>
        </is>
      </c>
      <c r="B17033" s="1" t="n">
        <v>45587</v>
      </c>
      <c r="C17033" s="1" t="n">
        <v>45810</v>
      </c>
      <c r="D17033" t="inlineStr">
        <is>
          <t>VÄRMLANDS LÄN</t>
        </is>
      </c>
      <c r="E17033" t="inlineStr">
        <is>
          <t>TORSBY</t>
        </is>
      </c>
      <c r="F17033" t="inlineStr">
        <is>
          <t>Övriga Aktiebolag</t>
        </is>
      </c>
      <c r="G17033" t="n">
        <v>1.4</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47436-2024</t>
        </is>
      </c>
      <c r="B17034" s="1" t="n">
        <v>45587</v>
      </c>
      <c r="C17034" s="1" t="n">
        <v>45810</v>
      </c>
      <c r="D17034" t="inlineStr">
        <is>
          <t>VÄRMLANDS LÄN</t>
        </is>
      </c>
      <c r="E17034" t="inlineStr">
        <is>
          <t>FILIPSTAD</t>
        </is>
      </c>
      <c r="F17034" t="inlineStr">
        <is>
          <t>Bergvik skog väst AB</t>
        </is>
      </c>
      <c r="G17034" t="n">
        <v>5</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47432-2024</t>
        </is>
      </c>
      <c r="B17035" s="1" t="n">
        <v>45587</v>
      </c>
      <c r="C17035" s="1" t="n">
        <v>45810</v>
      </c>
      <c r="D17035" t="inlineStr">
        <is>
          <t>VÄRMLANDS LÄN</t>
        </is>
      </c>
      <c r="E17035" t="inlineStr">
        <is>
          <t>ARVIKA</t>
        </is>
      </c>
      <c r="F17035" t="inlineStr">
        <is>
          <t>Bergvik skog väst AB</t>
        </is>
      </c>
      <c r="G17035" t="n">
        <v>1</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47425-2024</t>
        </is>
      </c>
      <c r="B17036" s="1" t="n">
        <v>45587</v>
      </c>
      <c r="C17036" s="1" t="n">
        <v>45810</v>
      </c>
      <c r="D17036" t="inlineStr">
        <is>
          <t>VÄRMLANDS LÄN</t>
        </is>
      </c>
      <c r="E17036" t="inlineStr">
        <is>
          <t>HAGFORS</t>
        </is>
      </c>
      <c r="G17036" t="n">
        <v>1.1</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47410-2024</t>
        </is>
      </c>
      <c r="B17037" s="1" t="n">
        <v>45587</v>
      </c>
      <c r="C17037" s="1" t="n">
        <v>45810</v>
      </c>
      <c r="D17037" t="inlineStr">
        <is>
          <t>VÄRMLANDS LÄN</t>
        </is>
      </c>
      <c r="E17037" t="inlineStr">
        <is>
          <t>HAGFORS</t>
        </is>
      </c>
      <c r="F17037" t="inlineStr">
        <is>
          <t>Bergvik skog väst AB</t>
        </is>
      </c>
      <c r="G17037" t="n">
        <v>4.4</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47625-2024</t>
        </is>
      </c>
      <c r="B17038" s="1" t="n">
        <v>45588</v>
      </c>
      <c r="C17038" s="1" t="n">
        <v>45810</v>
      </c>
      <c r="D17038" t="inlineStr">
        <is>
          <t>VÄRMLANDS LÄN</t>
        </is>
      </c>
      <c r="E17038" t="inlineStr">
        <is>
          <t>MUNKFORS</t>
        </is>
      </c>
      <c r="G17038" t="n">
        <v>1.8</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47728-2024</t>
        </is>
      </c>
      <c r="B17039" s="1" t="n">
        <v>45588</v>
      </c>
      <c r="C17039" s="1" t="n">
        <v>45810</v>
      </c>
      <c r="D17039" t="inlineStr">
        <is>
          <t>VÄRMLANDS LÄN</t>
        </is>
      </c>
      <c r="E17039" t="inlineStr">
        <is>
          <t>STORFORS</t>
        </is>
      </c>
      <c r="G17039" t="n">
        <v>3.1</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47732-2024</t>
        </is>
      </c>
      <c r="B17040" s="1" t="n">
        <v>45588</v>
      </c>
      <c r="C17040" s="1" t="n">
        <v>45810</v>
      </c>
      <c r="D17040" t="inlineStr">
        <is>
          <t>VÄRMLANDS LÄN</t>
        </is>
      </c>
      <c r="E17040" t="inlineStr">
        <is>
          <t>STORFORS</t>
        </is>
      </c>
      <c r="G17040" t="n">
        <v>3.3</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47736-2024</t>
        </is>
      </c>
      <c r="B17041" s="1" t="n">
        <v>45588</v>
      </c>
      <c r="C17041" s="1" t="n">
        <v>45810</v>
      </c>
      <c r="D17041" t="inlineStr">
        <is>
          <t>VÄRMLANDS LÄN</t>
        </is>
      </c>
      <c r="E17041" t="inlineStr">
        <is>
          <t>STORFORS</t>
        </is>
      </c>
      <c r="G17041" t="n">
        <v>7.1</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47672-2024</t>
        </is>
      </c>
      <c r="B17042" s="1" t="n">
        <v>45588</v>
      </c>
      <c r="C17042" s="1" t="n">
        <v>45810</v>
      </c>
      <c r="D17042" t="inlineStr">
        <is>
          <t>VÄRMLANDS LÄN</t>
        </is>
      </c>
      <c r="E17042" t="inlineStr">
        <is>
          <t>ARVIKA</t>
        </is>
      </c>
      <c r="G17042" t="n">
        <v>4.4</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47713-2024</t>
        </is>
      </c>
      <c r="B17043" s="1" t="n">
        <v>45588</v>
      </c>
      <c r="C17043" s="1" t="n">
        <v>45810</v>
      </c>
      <c r="D17043" t="inlineStr">
        <is>
          <t>VÄRMLANDS LÄN</t>
        </is>
      </c>
      <c r="E17043" t="inlineStr">
        <is>
          <t>STORFORS</t>
        </is>
      </c>
      <c r="G17043" t="n">
        <v>2.5</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47750-2024</t>
        </is>
      </c>
      <c r="B17044" s="1" t="n">
        <v>45588</v>
      </c>
      <c r="C17044" s="1" t="n">
        <v>45810</v>
      </c>
      <c r="D17044" t="inlineStr">
        <is>
          <t>VÄRMLANDS LÄN</t>
        </is>
      </c>
      <c r="E17044" t="inlineStr">
        <is>
          <t>EDA</t>
        </is>
      </c>
      <c r="G17044" t="n">
        <v>6.3</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47755-2024</t>
        </is>
      </c>
      <c r="B17045" s="1" t="n">
        <v>45588</v>
      </c>
      <c r="C17045" s="1" t="n">
        <v>45810</v>
      </c>
      <c r="D17045" t="inlineStr">
        <is>
          <t>VÄRMLANDS LÄN</t>
        </is>
      </c>
      <c r="E17045" t="inlineStr">
        <is>
          <t>TORSBY</t>
        </is>
      </c>
      <c r="F17045" t="inlineStr">
        <is>
          <t>Bergvik skog väst AB</t>
        </is>
      </c>
      <c r="G17045" t="n">
        <v>6.1</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47759-2024</t>
        </is>
      </c>
      <c r="B17046" s="1" t="n">
        <v>45588</v>
      </c>
      <c r="C17046" s="1" t="n">
        <v>45810</v>
      </c>
      <c r="D17046" t="inlineStr">
        <is>
          <t>VÄRMLANDS LÄN</t>
        </is>
      </c>
      <c r="E17046" t="inlineStr">
        <is>
          <t>EDA</t>
        </is>
      </c>
      <c r="G17046" t="n">
        <v>3.7</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47651-2024</t>
        </is>
      </c>
      <c r="B17047" s="1" t="n">
        <v>45588</v>
      </c>
      <c r="C17047" s="1" t="n">
        <v>45810</v>
      </c>
      <c r="D17047" t="inlineStr">
        <is>
          <t>VÄRMLANDS LÄN</t>
        </is>
      </c>
      <c r="E17047" t="inlineStr">
        <is>
          <t>TORSBY</t>
        </is>
      </c>
      <c r="G17047" t="n">
        <v>0.6</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47623-2024</t>
        </is>
      </c>
      <c r="B17048" s="1" t="n">
        <v>45588</v>
      </c>
      <c r="C17048" s="1" t="n">
        <v>45810</v>
      </c>
      <c r="D17048" t="inlineStr">
        <is>
          <t>VÄRMLANDS LÄN</t>
        </is>
      </c>
      <c r="E17048" t="inlineStr">
        <is>
          <t>ÅRJÄNG</t>
        </is>
      </c>
      <c r="F17048" t="inlineStr">
        <is>
          <t>Kommuner</t>
        </is>
      </c>
      <c r="G17048" t="n">
        <v>2.7</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47619-2024</t>
        </is>
      </c>
      <c r="B17049" s="1" t="n">
        <v>45588</v>
      </c>
      <c r="C17049" s="1" t="n">
        <v>45810</v>
      </c>
      <c r="D17049" t="inlineStr">
        <is>
          <t>VÄRMLANDS LÄN</t>
        </is>
      </c>
      <c r="E17049" t="inlineStr">
        <is>
          <t>TORSBY</t>
        </is>
      </c>
      <c r="G17049" t="n">
        <v>1.1</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47803-2024</t>
        </is>
      </c>
      <c r="B17050" s="1" t="n">
        <v>45588</v>
      </c>
      <c r="C17050" s="1" t="n">
        <v>45810</v>
      </c>
      <c r="D17050" t="inlineStr">
        <is>
          <t>VÄRMLANDS LÄN</t>
        </is>
      </c>
      <c r="E17050" t="inlineStr">
        <is>
          <t>EDA</t>
        </is>
      </c>
      <c r="G17050" t="n">
        <v>2.8</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47835-2024</t>
        </is>
      </c>
      <c r="B17051" s="1" t="n">
        <v>45588</v>
      </c>
      <c r="C17051" s="1" t="n">
        <v>45810</v>
      </c>
      <c r="D17051" t="inlineStr">
        <is>
          <t>VÄRMLANDS LÄN</t>
        </is>
      </c>
      <c r="E17051" t="inlineStr">
        <is>
          <t>TORSBY</t>
        </is>
      </c>
      <c r="F17051" t="inlineStr">
        <is>
          <t>Bergvik skog väst AB</t>
        </is>
      </c>
      <c r="G17051" t="n">
        <v>2.7</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47839-2024</t>
        </is>
      </c>
      <c r="B17052" s="1" t="n">
        <v>45588</v>
      </c>
      <c r="C17052" s="1" t="n">
        <v>45810</v>
      </c>
      <c r="D17052" t="inlineStr">
        <is>
          <t>VÄRMLANDS LÄN</t>
        </is>
      </c>
      <c r="E17052" t="inlineStr">
        <is>
          <t>TORSBY</t>
        </is>
      </c>
      <c r="F17052" t="inlineStr">
        <is>
          <t>Bergvik skog väst AB</t>
        </is>
      </c>
      <c r="G17052" t="n">
        <v>9.5</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47863-2024</t>
        </is>
      </c>
      <c r="B17053" s="1" t="n">
        <v>45588</v>
      </c>
      <c r="C17053" s="1" t="n">
        <v>45810</v>
      </c>
      <c r="D17053" t="inlineStr">
        <is>
          <t>VÄRMLANDS LÄN</t>
        </is>
      </c>
      <c r="E17053" t="inlineStr">
        <is>
          <t>TORSBY</t>
        </is>
      </c>
      <c r="G17053" t="n">
        <v>1.9</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47890-2024</t>
        </is>
      </c>
      <c r="B17054" s="1" t="n">
        <v>45588</v>
      </c>
      <c r="C17054" s="1" t="n">
        <v>45810</v>
      </c>
      <c r="D17054" t="inlineStr">
        <is>
          <t>VÄRMLANDS LÄN</t>
        </is>
      </c>
      <c r="E17054" t="inlineStr">
        <is>
          <t>FILIPSTAD</t>
        </is>
      </c>
      <c r="G17054" t="n">
        <v>0.9</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47828-2024</t>
        </is>
      </c>
      <c r="B17055" s="1" t="n">
        <v>45588</v>
      </c>
      <c r="C17055" s="1" t="n">
        <v>45810</v>
      </c>
      <c r="D17055" t="inlineStr">
        <is>
          <t>VÄRMLANDS LÄN</t>
        </is>
      </c>
      <c r="E17055" t="inlineStr">
        <is>
          <t>EDA</t>
        </is>
      </c>
      <c r="G17055" t="n">
        <v>1.7</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47694-2024</t>
        </is>
      </c>
      <c r="B17056" s="1" t="n">
        <v>45588</v>
      </c>
      <c r="C17056" s="1" t="n">
        <v>45810</v>
      </c>
      <c r="D17056" t="inlineStr">
        <is>
          <t>VÄRMLANDS LÄN</t>
        </is>
      </c>
      <c r="E17056" t="inlineStr">
        <is>
          <t>HAGFORS</t>
        </is>
      </c>
      <c r="G17056" t="n">
        <v>0.9</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48185-2024</t>
        </is>
      </c>
      <c r="B17057" s="1" t="n">
        <v>45589</v>
      </c>
      <c r="C17057" s="1" t="n">
        <v>45810</v>
      </c>
      <c r="D17057" t="inlineStr">
        <is>
          <t>VÄRMLANDS LÄN</t>
        </is>
      </c>
      <c r="E17057" t="inlineStr">
        <is>
          <t>TORSBY</t>
        </is>
      </c>
      <c r="G17057" t="n">
        <v>4.8</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48047-2024</t>
        </is>
      </c>
      <c r="B17058" s="1" t="n">
        <v>45589</v>
      </c>
      <c r="C17058" s="1" t="n">
        <v>45810</v>
      </c>
      <c r="D17058" t="inlineStr">
        <is>
          <t>VÄRMLANDS LÄN</t>
        </is>
      </c>
      <c r="E17058" t="inlineStr">
        <is>
          <t>ARVIKA</t>
        </is>
      </c>
      <c r="G17058" t="n">
        <v>1.4</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48067-2024</t>
        </is>
      </c>
      <c r="B17059" s="1" t="n">
        <v>45589</v>
      </c>
      <c r="C17059" s="1" t="n">
        <v>45810</v>
      </c>
      <c r="D17059" t="inlineStr">
        <is>
          <t>VÄRMLANDS LÄN</t>
        </is>
      </c>
      <c r="E17059" t="inlineStr">
        <is>
          <t>EDA</t>
        </is>
      </c>
      <c r="G17059" t="n">
        <v>0.6</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48068-2024</t>
        </is>
      </c>
      <c r="B17060" s="1" t="n">
        <v>45589</v>
      </c>
      <c r="C17060" s="1" t="n">
        <v>45810</v>
      </c>
      <c r="D17060" t="inlineStr">
        <is>
          <t>VÄRMLANDS LÄN</t>
        </is>
      </c>
      <c r="E17060" t="inlineStr">
        <is>
          <t>HAGFORS</t>
        </is>
      </c>
      <c r="F17060" t="inlineStr">
        <is>
          <t>Bergvik skog väst AB</t>
        </is>
      </c>
      <c r="G17060" t="n">
        <v>4.8</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48052-2024</t>
        </is>
      </c>
      <c r="B17061" s="1" t="n">
        <v>45589</v>
      </c>
      <c r="C17061" s="1" t="n">
        <v>45810</v>
      </c>
      <c r="D17061" t="inlineStr">
        <is>
          <t>VÄRMLANDS LÄN</t>
        </is>
      </c>
      <c r="E17061" t="inlineStr">
        <is>
          <t>ARVIKA</t>
        </is>
      </c>
      <c r="G17061" t="n">
        <v>5</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47945-2024</t>
        </is>
      </c>
      <c r="B17062" s="1" t="n">
        <v>45589</v>
      </c>
      <c r="C17062" s="1" t="n">
        <v>45810</v>
      </c>
      <c r="D17062" t="inlineStr">
        <is>
          <t>VÄRMLANDS LÄN</t>
        </is>
      </c>
      <c r="E17062" t="inlineStr">
        <is>
          <t>ARVIKA</t>
        </is>
      </c>
      <c r="G17062" t="n">
        <v>1.2</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47961-2024</t>
        </is>
      </c>
      <c r="B17063" s="1" t="n">
        <v>45589</v>
      </c>
      <c r="C17063" s="1" t="n">
        <v>45810</v>
      </c>
      <c r="D17063" t="inlineStr">
        <is>
          <t>VÄRMLANDS LÄN</t>
        </is>
      </c>
      <c r="E17063" t="inlineStr">
        <is>
          <t>HAGFORS</t>
        </is>
      </c>
      <c r="F17063" t="inlineStr">
        <is>
          <t>Bergvik skog väst AB</t>
        </is>
      </c>
      <c r="G17063" t="n">
        <v>18.9</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48024-2024</t>
        </is>
      </c>
      <c r="B17064" s="1" t="n">
        <v>45589</v>
      </c>
      <c r="C17064" s="1" t="n">
        <v>45810</v>
      </c>
      <c r="D17064" t="inlineStr">
        <is>
          <t>VÄRMLANDS LÄN</t>
        </is>
      </c>
      <c r="E17064" t="inlineStr">
        <is>
          <t>HAGFORS</t>
        </is>
      </c>
      <c r="F17064" t="inlineStr">
        <is>
          <t>Bergvik skog väst AB</t>
        </is>
      </c>
      <c r="G17064" t="n">
        <v>4.9</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47992-2024</t>
        </is>
      </c>
      <c r="B17065" s="1" t="n">
        <v>45589</v>
      </c>
      <c r="C17065" s="1" t="n">
        <v>45810</v>
      </c>
      <c r="D17065" t="inlineStr">
        <is>
          <t>VÄRMLANDS LÄN</t>
        </is>
      </c>
      <c r="E17065" t="inlineStr">
        <is>
          <t>SÄFFLE</t>
        </is>
      </c>
      <c r="G17065" t="n">
        <v>1.6</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48160-2024</t>
        </is>
      </c>
      <c r="B17066" s="1" t="n">
        <v>45589</v>
      </c>
      <c r="C17066" s="1" t="n">
        <v>45810</v>
      </c>
      <c r="D17066" t="inlineStr">
        <is>
          <t>VÄRMLANDS LÄN</t>
        </is>
      </c>
      <c r="E17066" t="inlineStr">
        <is>
          <t>TORSBY</t>
        </is>
      </c>
      <c r="G17066" t="n">
        <v>2.3</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48276-2024</t>
        </is>
      </c>
      <c r="B17067" s="1" t="n">
        <v>45590</v>
      </c>
      <c r="C17067" s="1" t="n">
        <v>45810</v>
      </c>
      <c r="D17067" t="inlineStr">
        <is>
          <t>VÄRMLANDS LÄN</t>
        </is>
      </c>
      <c r="E17067" t="inlineStr">
        <is>
          <t>HAGFORS</t>
        </is>
      </c>
      <c r="G17067" t="n">
        <v>1.1</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48404-2024</t>
        </is>
      </c>
      <c r="B17068" s="1" t="n">
        <v>45590</v>
      </c>
      <c r="C17068" s="1" t="n">
        <v>45810</v>
      </c>
      <c r="D17068" t="inlineStr">
        <is>
          <t>VÄRMLANDS LÄN</t>
        </is>
      </c>
      <c r="E17068" t="inlineStr">
        <is>
          <t>SUNNE</t>
        </is>
      </c>
      <c r="F17068" t="inlineStr">
        <is>
          <t>Bergvik skog väst AB</t>
        </is>
      </c>
      <c r="G17068" t="n">
        <v>2.6</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48408-2024</t>
        </is>
      </c>
      <c r="B17069" s="1" t="n">
        <v>45590</v>
      </c>
      <c r="C17069" s="1" t="n">
        <v>45810</v>
      </c>
      <c r="D17069" t="inlineStr">
        <is>
          <t>VÄRMLANDS LÄN</t>
        </is>
      </c>
      <c r="E17069" t="inlineStr">
        <is>
          <t>FILIPSTAD</t>
        </is>
      </c>
      <c r="F17069" t="inlineStr">
        <is>
          <t>Bergvik skog väst AB</t>
        </is>
      </c>
      <c r="G17069" t="n">
        <v>29.4</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48412-2024</t>
        </is>
      </c>
      <c r="B17070" s="1" t="n">
        <v>45590</v>
      </c>
      <c r="C17070" s="1" t="n">
        <v>45810</v>
      </c>
      <c r="D17070" t="inlineStr">
        <is>
          <t>VÄRMLANDS LÄN</t>
        </is>
      </c>
      <c r="E17070" t="inlineStr">
        <is>
          <t>SUNNE</t>
        </is>
      </c>
      <c r="F17070" t="inlineStr">
        <is>
          <t>Bergvik skog väst AB</t>
        </is>
      </c>
      <c r="G17070" t="n">
        <v>2.6</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48424-2024</t>
        </is>
      </c>
      <c r="B17071" s="1" t="n">
        <v>45590</v>
      </c>
      <c r="C17071" s="1" t="n">
        <v>45810</v>
      </c>
      <c r="D17071" t="inlineStr">
        <is>
          <t>VÄRMLANDS LÄN</t>
        </is>
      </c>
      <c r="E17071" t="inlineStr">
        <is>
          <t>SUNNE</t>
        </is>
      </c>
      <c r="F17071" t="inlineStr">
        <is>
          <t>Bergvik skog väst AB</t>
        </is>
      </c>
      <c r="G17071" t="n">
        <v>2.1</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48393-2024</t>
        </is>
      </c>
      <c r="B17072" s="1" t="n">
        <v>45590</v>
      </c>
      <c r="C17072" s="1" t="n">
        <v>45810</v>
      </c>
      <c r="D17072" t="inlineStr">
        <is>
          <t>VÄRMLANDS LÄN</t>
        </is>
      </c>
      <c r="E17072" t="inlineStr">
        <is>
          <t>EDA</t>
        </is>
      </c>
      <c r="G17072" t="n">
        <v>4</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48305-2024</t>
        </is>
      </c>
      <c r="B17073" s="1" t="n">
        <v>45590</v>
      </c>
      <c r="C17073" s="1" t="n">
        <v>45810</v>
      </c>
      <c r="D17073" t="inlineStr">
        <is>
          <t>VÄRMLANDS LÄN</t>
        </is>
      </c>
      <c r="E17073" t="inlineStr">
        <is>
          <t>TORSBY</t>
        </is>
      </c>
      <c r="F17073" t="inlineStr">
        <is>
          <t>Bergvik skog väst AB</t>
        </is>
      </c>
      <c r="G17073" t="n">
        <v>5.9</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48451-2024</t>
        </is>
      </c>
      <c r="B17074" s="1" t="n">
        <v>45590</v>
      </c>
      <c r="C17074" s="1" t="n">
        <v>45810</v>
      </c>
      <c r="D17074" t="inlineStr">
        <is>
          <t>VÄRMLANDS LÄN</t>
        </is>
      </c>
      <c r="E17074" t="inlineStr">
        <is>
          <t>ARVIKA</t>
        </is>
      </c>
      <c r="F17074" t="inlineStr">
        <is>
          <t>Bergvik skog väst AB</t>
        </is>
      </c>
      <c r="G17074" t="n">
        <v>1.8</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48437-2024</t>
        </is>
      </c>
      <c r="B17075" s="1" t="n">
        <v>45590</v>
      </c>
      <c r="C17075" s="1" t="n">
        <v>45810</v>
      </c>
      <c r="D17075" t="inlineStr">
        <is>
          <t>VÄRMLANDS LÄN</t>
        </is>
      </c>
      <c r="E17075" t="inlineStr">
        <is>
          <t>SUNNE</t>
        </is>
      </c>
      <c r="F17075" t="inlineStr">
        <is>
          <t>Bergvik skog väst AB</t>
        </is>
      </c>
      <c r="G17075" t="n">
        <v>2.6</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48449-2024</t>
        </is>
      </c>
      <c r="B17076" s="1" t="n">
        <v>45590</v>
      </c>
      <c r="C17076" s="1" t="n">
        <v>45810</v>
      </c>
      <c r="D17076" t="inlineStr">
        <is>
          <t>VÄRMLANDS LÄN</t>
        </is>
      </c>
      <c r="E17076" t="inlineStr">
        <is>
          <t>ARVIKA</t>
        </is>
      </c>
      <c r="F17076" t="inlineStr">
        <is>
          <t>Bergvik skog väst AB</t>
        </is>
      </c>
      <c r="G17076" t="n">
        <v>1</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48253-2024</t>
        </is>
      </c>
      <c r="B17077" s="1" t="n">
        <v>45590</v>
      </c>
      <c r="C17077" s="1" t="n">
        <v>45810</v>
      </c>
      <c r="D17077" t="inlineStr">
        <is>
          <t>VÄRMLANDS LÄN</t>
        </is>
      </c>
      <c r="E17077" t="inlineStr">
        <is>
          <t>TORSBY</t>
        </is>
      </c>
      <c r="F17077" t="inlineStr">
        <is>
          <t>Bergvik skog väst AB</t>
        </is>
      </c>
      <c r="G17077" t="n">
        <v>20.7</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48406-2024</t>
        </is>
      </c>
      <c r="B17078" s="1" t="n">
        <v>45590</v>
      </c>
      <c r="C17078" s="1" t="n">
        <v>45810</v>
      </c>
      <c r="D17078" t="inlineStr">
        <is>
          <t>VÄRMLANDS LÄN</t>
        </is>
      </c>
      <c r="E17078" t="inlineStr">
        <is>
          <t>EDA</t>
        </is>
      </c>
      <c r="G17078" t="n">
        <v>3.4</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48188-2024</t>
        </is>
      </c>
      <c r="B17079" s="1" t="n">
        <v>45590</v>
      </c>
      <c r="C17079" s="1" t="n">
        <v>45810</v>
      </c>
      <c r="D17079" t="inlineStr">
        <is>
          <t>VÄRMLANDS LÄN</t>
        </is>
      </c>
      <c r="E17079" t="inlineStr">
        <is>
          <t>ARVIKA</t>
        </is>
      </c>
      <c r="F17079" t="inlineStr">
        <is>
          <t>Kommuner</t>
        </is>
      </c>
      <c r="G17079" t="n">
        <v>5.3</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48327-2024</t>
        </is>
      </c>
      <c r="B17080" s="1" t="n">
        <v>45590</v>
      </c>
      <c r="C17080" s="1" t="n">
        <v>45810</v>
      </c>
      <c r="D17080" t="inlineStr">
        <is>
          <t>VÄRMLANDS LÄN</t>
        </is>
      </c>
      <c r="E17080" t="inlineStr">
        <is>
          <t>KARLSTAD</t>
        </is>
      </c>
      <c r="G17080" t="n">
        <v>0.8</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48436-2024</t>
        </is>
      </c>
      <c r="B17081" s="1" t="n">
        <v>45590</v>
      </c>
      <c r="C17081" s="1" t="n">
        <v>45810</v>
      </c>
      <c r="D17081" t="inlineStr">
        <is>
          <t>VÄRMLANDS LÄN</t>
        </is>
      </c>
      <c r="E17081" t="inlineStr">
        <is>
          <t>SUNNE</t>
        </is>
      </c>
      <c r="F17081" t="inlineStr">
        <is>
          <t>Bergvik skog väst AB</t>
        </is>
      </c>
      <c r="G17081" t="n">
        <v>2.6</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48259-2024</t>
        </is>
      </c>
      <c r="B17082" s="1" t="n">
        <v>45590</v>
      </c>
      <c r="C17082" s="1" t="n">
        <v>45810</v>
      </c>
      <c r="D17082" t="inlineStr">
        <is>
          <t>VÄRMLANDS LÄN</t>
        </is>
      </c>
      <c r="E17082" t="inlineStr">
        <is>
          <t>KRISTINEHAMN</t>
        </is>
      </c>
      <c r="G17082" t="n">
        <v>10.8</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48478-2024</t>
        </is>
      </c>
      <c r="B17083" s="1" t="n">
        <v>45591</v>
      </c>
      <c r="C17083" s="1" t="n">
        <v>45810</v>
      </c>
      <c r="D17083" t="inlineStr">
        <is>
          <t>VÄRMLANDS LÄN</t>
        </is>
      </c>
      <c r="E17083" t="inlineStr">
        <is>
          <t>SUNNE</t>
        </is>
      </c>
      <c r="G17083" t="n">
        <v>1.6</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48479-2024</t>
        </is>
      </c>
      <c r="B17084" s="1" t="n">
        <v>45591</v>
      </c>
      <c r="C17084" s="1" t="n">
        <v>45810</v>
      </c>
      <c r="D17084" t="inlineStr">
        <is>
          <t>VÄRMLANDS LÄN</t>
        </is>
      </c>
      <c r="E17084" t="inlineStr">
        <is>
          <t>SUNNE</t>
        </is>
      </c>
      <c r="G17084" t="n">
        <v>1.2</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48477-2024</t>
        </is>
      </c>
      <c r="B17085" s="1" t="n">
        <v>45591</v>
      </c>
      <c r="C17085" s="1" t="n">
        <v>45810</v>
      </c>
      <c r="D17085" t="inlineStr">
        <is>
          <t>VÄRMLANDS LÄN</t>
        </is>
      </c>
      <c r="E17085" t="inlineStr">
        <is>
          <t>KARLSTAD</t>
        </is>
      </c>
      <c r="G17085" t="n">
        <v>0.9</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48587-2024</t>
        </is>
      </c>
      <c r="B17086" s="1" t="n">
        <v>45593</v>
      </c>
      <c r="C17086" s="1" t="n">
        <v>45810</v>
      </c>
      <c r="D17086" t="inlineStr">
        <is>
          <t>VÄRMLANDS LÄN</t>
        </is>
      </c>
      <c r="E17086" t="inlineStr">
        <is>
          <t>SUNNE</t>
        </is>
      </c>
      <c r="G17086" t="n">
        <v>1.1</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48591-2024</t>
        </is>
      </c>
      <c r="B17087" s="1" t="n">
        <v>45593</v>
      </c>
      <c r="C17087" s="1" t="n">
        <v>45810</v>
      </c>
      <c r="D17087" t="inlineStr">
        <is>
          <t>VÄRMLANDS LÄN</t>
        </is>
      </c>
      <c r="E17087" t="inlineStr">
        <is>
          <t>STORFORS</t>
        </is>
      </c>
      <c r="G17087" t="n">
        <v>3.4</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48607-2024</t>
        </is>
      </c>
      <c r="B17088" s="1" t="n">
        <v>45593</v>
      </c>
      <c r="C17088" s="1" t="n">
        <v>45810</v>
      </c>
      <c r="D17088" t="inlineStr">
        <is>
          <t>VÄRMLANDS LÄN</t>
        </is>
      </c>
      <c r="E17088" t="inlineStr">
        <is>
          <t>ARVIKA</t>
        </is>
      </c>
      <c r="G17088" t="n">
        <v>2.6</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48615-2024</t>
        </is>
      </c>
      <c r="B17089" s="1" t="n">
        <v>45593</v>
      </c>
      <c r="C17089" s="1" t="n">
        <v>45810</v>
      </c>
      <c r="D17089" t="inlineStr">
        <is>
          <t>VÄRMLANDS LÄN</t>
        </is>
      </c>
      <c r="E17089" t="inlineStr">
        <is>
          <t>KRISTINEHAMN</t>
        </is>
      </c>
      <c r="G17089" t="n">
        <v>13.6</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48596-2024</t>
        </is>
      </c>
      <c r="B17090" s="1" t="n">
        <v>45593</v>
      </c>
      <c r="C17090" s="1" t="n">
        <v>45810</v>
      </c>
      <c r="D17090" t="inlineStr">
        <is>
          <t>VÄRMLANDS LÄN</t>
        </is>
      </c>
      <c r="E17090" t="inlineStr">
        <is>
          <t>ÅRJÄNG</t>
        </is>
      </c>
      <c r="G17090" t="n">
        <v>1.3</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48601-2024</t>
        </is>
      </c>
      <c r="B17091" s="1" t="n">
        <v>45593</v>
      </c>
      <c r="C17091" s="1" t="n">
        <v>45810</v>
      </c>
      <c r="D17091" t="inlineStr">
        <is>
          <t>VÄRMLANDS LÄN</t>
        </is>
      </c>
      <c r="E17091" t="inlineStr">
        <is>
          <t>ARVIKA</t>
        </is>
      </c>
      <c r="G17091" t="n">
        <v>0.7</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48621-2024</t>
        </is>
      </c>
      <c r="B17092" s="1" t="n">
        <v>45593</v>
      </c>
      <c r="C17092" s="1" t="n">
        <v>45810</v>
      </c>
      <c r="D17092" t="inlineStr">
        <is>
          <t>VÄRMLANDS LÄN</t>
        </is>
      </c>
      <c r="E17092" t="inlineStr">
        <is>
          <t>SUNNE</t>
        </is>
      </c>
      <c r="F17092" t="inlineStr">
        <is>
          <t>Bergvik skog väst AB</t>
        </is>
      </c>
      <c r="G17092" t="n">
        <v>6.1</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48629-2024</t>
        </is>
      </c>
      <c r="B17093" s="1" t="n">
        <v>45593</v>
      </c>
      <c r="C17093" s="1" t="n">
        <v>45810</v>
      </c>
      <c r="D17093" t="inlineStr">
        <is>
          <t>VÄRMLANDS LÄN</t>
        </is>
      </c>
      <c r="E17093" t="inlineStr">
        <is>
          <t>TORSBY</t>
        </is>
      </c>
      <c r="G17093" t="n">
        <v>2.6</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48637-2024</t>
        </is>
      </c>
      <c r="B17094" s="1" t="n">
        <v>45593</v>
      </c>
      <c r="C17094" s="1" t="n">
        <v>45810</v>
      </c>
      <c r="D17094" t="inlineStr">
        <is>
          <t>VÄRMLANDS LÄN</t>
        </is>
      </c>
      <c r="E17094" t="inlineStr">
        <is>
          <t>ARVIKA</t>
        </is>
      </c>
      <c r="G17094" t="n">
        <v>4.3</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48641-2024</t>
        </is>
      </c>
      <c r="B17095" s="1" t="n">
        <v>45593</v>
      </c>
      <c r="C17095" s="1" t="n">
        <v>45810</v>
      </c>
      <c r="D17095" t="inlineStr">
        <is>
          <t>VÄRMLANDS LÄN</t>
        </is>
      </c>
      <c r="E17095" t="inlineStr">
        <is>
          <t>FORSHAGA</t>
        </is>
      </c>
      <c r="G17095" t="n">
        <v>7</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48540-2024</t>
        </is>
      </c>
      <c r="B17096" s="1" t="n">
        <v>45593</v>
      </c>
      <c r="C17096" s="1" t="n">
        <v>45810</v>
      </c>
      <c r="D17096" t="inlineStr">
        <is>
          <t>VÄRMLANDS LÄN</t>
        </is>
      </c>
      <c r="E17096" t="inlineStr">
        <is>
          <t>TORSBY</t>
        </is>
      </c>
      <c r="G17096" t="n">
        <v>16.5</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48536-2024</t>
        </is>
      </c>
      <c r="B17097" s="1" t="n">
        <v>45593</v>
      </c>
      <c r="C17097" s="1" t="n">
        <v>45810</v>
      </c>
      <c r="D17097" t="inlineStr">
        <is>
          <t>VÄRMLANDS LÄN</t>
        </is>
      </c>
      <c r="E17097" t="inlineStr">
        <is>
          <t>FILIPSTAD</t>
        </is>
      </c>
      <c r="G17097" t="n">
        <v>1.3</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48721-2024</t>
        </is>
      </c>
      <c r="B17098" s="1" t="n">
        <v>45593</v>
      </c>
      <c r="C17098" s="1" t="n">
        <v>45810</v>
      </c>
      <c r="D17098" t="inlineStr">
        <is>
          <t>VÄRMLANDS LÄN</t>
        </is>
      </c>
      <c r="E17098" t="inlineStr">
        <is>
          <t>TORSBY</t>
        </is>
      </c>
      <c r="F17098" t="inlineStr">
        <is>
          <t>Bergvik skog väst AB</t>
        </is>
      </c>
      <c r="G17098" t="n">
        <v>4.6</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48729-2024</t>
        </is>
      </c>
      <c r="B17099" s="1" t="n">
        <v>45593</v>
      </c>
      <c r="C17099" s="1" t="n">
        <v>45810</v>
      </c>
      <c r="D17099" t="inlineStr">
        <is>
          <t>VÄRMLANDS LÄN</t>
        </is>
      </c>
      <c r="E17099" t="inlineStr">
        <is>
          <t>SUNNE</t>
        </is>
      </c>
      <c r="F17099" t="inlineStr">
        <is>
          <t>Kommuner</t>
        </is>
      </c>
      <c r="G17099" t="n">
        <v>4.5</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48821-2024</t>
        </is>
      </c>
      <c r="B17100" s="1" t="n">
        <v>45593</v>
      </c>
      <c r="C17100" s="1" t="n">
        <v>45810</v>
      </c>
      <c r="D17100" t="inlineStr">
        <is>
          <t>VÄRMLANDS LÄN</t>
        </is>
      </c>
      <c r="E17100" t="inlineStr">
        <is>
          <t>SÄFFLE</t>
        </is>
      </c>
      <c r="G17100" t="n">
        <v>0.9</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48541-2024</t>
        </is>
      </c>
      <c r="B17101" s="1" t="n">
        <v>45593</v>
      </c>
      <c r="C17101" s="1" t="n">
        <v>45810</v>
      </c>
      <c r="D17101" t="inlineStr">
        <is>
          <t>VÄRMLANDS LÄN</t>
        </is>
      </c>
      <c r="E17101" t="inlineStr">
        <is>
          <t>HAGFORS</t>
        </is>
      </c>
      <c r="F17101" t="inlineStr">
        <is>
          <t>Bergvik skog väst AB</t>
        </is>
      </c>
      <c r="G17101" t="n">
        <v>4.6</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48573-2024</t>
        </is>
      </c>
      <c r="B17102" s="1" t="n">
        <v>45593</v>
      </c>
      <c r="C17102" s="1" t="n">
        <v>45810</v>
      </c>
      <c r="D17102" t="inlineStr">
        <is>
          <t>VÄRMLANDS LÄN</t>
        </is>
      </c>
      <c r="E17102" t="inlineStr">
        <is>
          <t>KRISTINEHAMN</t>
        </is>
      </c>
      <c r="G17102" t="n">
        <v>1</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48590-2024</t>
        </is>
      </c>
      <c r="B17103" s="1" t="n">
        <v>45593</v>
      </c>
      <c r="C17103" s="1" t="n">
        <v>45810</v>
      </c>
      <c r="D17103" t="inlineStr">
        <is>
          <t>VÄRMLANDS LÄN</t>
        </is>
      </c>
      <c r="E17103" t="inlineStr">
        <is>
          <t>FORSHAGA</t>
        </is>
      </c>
      <c r="F17103" t="inlineStr">
        <is>
          <t>Bergvik skog väst AB</t>
        </is>
      </c>
      <c r="G17103" t="n">
        <v>7.9</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48630-2024</t>
        </is>
      </c>
      <c r="B17104" s="1" t="n">
        <v>45593</v>
      </c>
      <c r="C17104" s="1" t="n">
        <v>45810</v>
      </c>
      <c r="D17104" t="inlineStr">
        <is>
          <t>VÄRMLANDS LÄN</t>
        </is>
      </c>
      <c r="E17104" t="inlineStr">
        <is>
          <t>FORSHAGA</t>
        </is>
      </c>
      <c r="G17104" t="n">
        <v>7.5</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48702-2024</t>
        </is>
      </c>
      <c r="B17105" s="1" t="n">
        <v>45593</v>
      </c>
      <c r="C17105" s="1" t="n">
        <v>45810</v>
      </c>
      <c r="D17105" t="inlineStr">
        <is>
          <t>VÄRMLANDS LÄN</t>
        </is>
      </c>
      <c r="E17105" t="inlineStr">
        <is>
          <t>FILIPSTAD</t>
        </is>
      </c>
      <c r="F17105" t="inlineStr">
        <is>
          <t>Bergvik skog väst AB</t>
        </is>
      </c>
      <c r="G17105" t="n">
        <v>4</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48840-2024</t>
        </is>
      </c>
      <c r="B17106" s="1" t="n">
        <v>45593</v>
      </c>
      <c r="C17106" s="1" t="n">
        <v>45810</v>
      </c>
      <c r="D17106" t="inlineStr">
        <is>
          <t>VÄRMLANDS LÄN</t>
        </is>
      </c>
      <c r="E17106" t="inlineStr">
        <is>
          <t>TORSBY</t>
        </is>
      </c>
      <c r="G17106" t="n">
        <v>1.4</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48860-2024</t>
        </is>
      </c>
      <c r="B17107" s="1" t="n">
        <v>45593</v>
      </c>
      <c r="C17107" s="1" t="n">
        <v>45810</v>
      </c>
      <c r="D17107" t="inlineStr">
        <is>
          <t>VÄRMLANDS LÄN</t>
        </is>
      </c>
      <c r="E17107" t="inlineStr">
        <is>
          <t>SUNNE</t>
        </is>
      </c>
      <c r="F17107" t="inlineStr">
        <is>
          <t>Kyrkan</t>
        </is>
      </c>
      <c r="G17107" t="n">
        <v>9.300000000000001</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48858-2024</t>
        </is>
      </c>
      <c r="B17108" s="1" t="n">
        <v>45593</v>
      </c>
      <c r="C17108" s="1" t="n">
        <v>45810</v>
      </c>
      <c r="D17108" t="inlineStr">
        <is>
          <t>VÄRMLANDS LÄN</t>
        </is>
      </c>
      <c r="E17108" t="inlineStr">
        <is>
          <t>ARVIKA</t>
        </is>
      </c>
      <c r="F17108" t="inlineStr">
        <is>
          <t>Kommuner</t>
        </is>
      </c>
      <c r="G17108" t="n">
        <v>0.8</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48855-2024</t>
        </is>
      </c>
      <c r="B17109" s="1" t="n">
        <v>45593</v>
      </c>
      <c r="C17109" s="1" t="n">
        <v>45810</v>
      </c>
      <c r="D17109" t="inlineStr">
        <is>
          <t>VÄRMLANDS LÄN</t>
        </is>
      </c>
      <c r="E17109" t="inlineStr">
        <is>
          <t>ARVIKA</t>
        </is>
      </c>
      <c r="F17109" t="inlineStr">
        <is>
          <t>Kommuner</t>
        </is>
      </c>
      <c r="G17109" t="n">
        <v>12.9</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48781-2024</t>
        </is>
      </c>
      <c r="B17110" s="1" t="n">
        <v>45593</v>
      </c>
      <c r="C17110" s="1" t="n">
        <v>45810</v>
      </c>
      <c r="D17110" t="inlineStr">
        <is>
          <t>VÄRMLANDS LÄN</t>
        </is>
      </c>
      <c r="E17110" t="inlineStr">
        <is>
          <t>ÅRJÄNG</t>
        </is>
      </c>
      <c r="G17110" t="n">
        <v>8.800000000000001</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48861-2024</t>
        </is>
      </c>
      <c r="B17111" s="1" t="n">
        <v>45593</v>
      </c>
      <c r="C17111" s="1" t="n">
        <v>45810</v>
      </c>
      <c r="D17111" t="inlineStr">
        <is>
          <t>VÄRMLANDS LÄN</t>
        </is>
      </c>
      <c r="E17111" t="inlineStr">
        <is>
          <t>SUNNE</t>
        </is>
      </c>
      <c r="F17111" t="inlineStr">
        <is>
          <t>Kyrkan</t>
        </is>
      </c>
      <c r="G17111" t="n">
        <v>0.6</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48647-2024</t>
        </is>
      </c>
      <c r="B17112" s="1" t="n">
        <v>45593</v>
      </c>
      <c r="C17112" s="1" t="n">
        <v>45810</v>
      </c>
      <c r="D17112" t="inlineStr">
        <is>
          <t>VÄRMLANDS LÄN</t>
        </is>
      </c>
      <c r="E17112" t="inlineStr">
        <is>
          <t>FORSHAGA</t>
        </is>
      </c>
      <c r="G17112" t="n">
        <v>2.2</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48627-2024</t>
        </is>
      </c>
      <c r="B17113" s="1" t="n">
        <v>45593</v>
      </c>
      <c r="C17113" s="1" t="n">
        <v>45810</v>
      </c>
      <c r="D17113" t="inlineStr">
        <is>
          <t>VÄRMLANDS LÄN</t>
        </is>
      </c>
      <c r="E17113" t="inlineStr">
        <is>
          <t>TORSBY</t>
        </is>
      </c>
      <c r="F17113" t="inlineStr">
        <is>
          <t>Bergvik skog väst AB</t>
        </is>
      </c>
      <c r="G17113" t="n">
        <v>42.6</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48558-2024</t>
        </is>
      </c>
      <c r="B17114" s="1" t="n">
        <v>45593</v>
      </c>
      <c r="C17114" s="1" t="n">
        <v>45810</v>
      </c>
      <c r="D17114" t="inlineStr">
        <is>
          <t>VÄRMLANDS LÄN</t>
        </is>
      </c>
      <c r="E17114" t="inlineStr">
        <is>
          <t>TORSBY</t>
        </is>
      </c>
      <c r="F17114" t="inlineStr">
        <is>
          <t>Bergvik skog väst AB</t>
        </is>
      </c>
      <c r="G17114" t="n">
        <v>14.2</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48542-2024</t>
        </is>
      </c>
      <c r="B17115" s="1" t="n">
        <v>45593</v>
      </c>
      <c r="C17115" s="1" t="n">
        <v>45810</v>
      </c>
      <c r="D17115" t="inlineStr">
        <is>
          <t>VÄRMLANDS LÄN</t>
        </is>
      </c>
      <c r="E17115" t="inlineStr">
        <is>
          <t>FILIPSTAD</t>
        </is>
      </c>
      <c r="G17115" t="n">
        <v>1</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48538-2024</t>
        </is>
      </c>
      <c r="B17116" s="1" t="n">
        <v>45593</v>
      </c>
      <c r="C17116" s="1" t="n">
        <v>45810</v>
      </c>
      <c r="D17116" t="inlineStr">
        <is>
          <t>VÄRMLANDS LÄN</t>
        </is>
      </c>
      <c r="E17116" t="inlineStr">
        <is>
          <t>SUNNE</t>
        </is>
      </c>
      <c r="F17116" t="inlineStr">
        <is>
          <t>Bergvik skog väst AB</t>
        </is>
      </c>
      <c r="G17116" t="n">
        <v>7.3</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48535-2024</t>
        </is>
      </c>
      <c r="B17117" s="1" t="n">
        <v>45593</v>
      </c>
      <c r="C17117" s="1" t="n">
        <v>45810</v>
      </c>
      <c r="D17117" t="inlineStr">
        <is>
          <t>VÄRMLANDS LÄN</t>
        </is>
      </c>
      <c r="E17117" t="inlineStr">
        <is>
          <t>SUNNE</t>
        </is>
      </c>
      <c r="F17117" t="inlineStr">
        <is>
          <t>Bergvik skog väst AB</t>
        </is>
      </c>
      <c r="G17117" t="n">
        <v>10</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48527-2024</t>
        </is>
      </c>
      <c r="B17118" s="1" t="n">
        <v>45593</v>
      </c>
      <c r="C17118" s="1" t="n">
        <v>45810</v>
      </c>
      <c r="D17118" t="inlineStr">
        <is>
          <t>VÄRMLANDS LÄN</t>
        </is>
      </c>
      <c r="E17118" t="inlineStr">
        <is>
          <t>FILIPSTAD</t>
        </is>
      </c>
      <c r="G17118" t="n">
        <v>1.1</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48874-2024</t>
        </is>
      </c>
      <c r="B17119" s="1" t="n">
        <v>45594</v>
      </c>
      <c r="C17119" s="1" t="n">
        <v>45810</v>
      </c>
      <c r="D17119" t="inlineStr">
        <is>
          <t>VÄRMLANDS LÄN</t>
        </is>
      </c>
      <c r="E17119" t="inlineStr">
        <is>
          <t>TORSBY</t>
        </is>
      </c>
      <c r="F17119" t="inlineStr">
        <is>
          <t>Bergvik skog väst AB</t>
        </is>
      </c>
      <c r="G17119" t="n">
        <v>8.300000000000001</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48872-2024</t>
        </is>
      </c>
      <c r="B17120" s="1" t="n">
        <v>45594</v>
      </c>
      <c r="C17120" s="1" t="n">
        <v>45810</v>
      </c>
      <c r="D17120" t="inlineStr">
        <is>
          <t>VÄRMLANDS LÄN</t>
        </is>
      </c>
      <c r="E17120" t="inlineStr">
        <is>
          <t>HAGFORS</t>
        </is>
      </c>
      <c r="F17120" t="inlineStr">
        <is>
          <t>Kyrkan</t>
        </is>
      </c>
      <c r="G17120" t="n">
        <v>8.4</v>
      </c>
      <c r="H17120" t="n">
        <v>0</v>
      </c>
      <c r="I17120" t="n">
        <v>0</v>
      </c>
      <c r="J17120" t="n">
        <v>0</v>
      </c>
      <c r="K17120" t="n">
        <v>0</v>
      </c>
      <c r="L17120" t="n">
        <v>0</v>
      </c>
      <c r="M17120" t="n">
        <v>0</v>
      </c>
      <c r="N17120" t="n">
        <v>0</v>
      </c>
      <c r="O17120" t="n">
        <v>0</v>
      </c>
      <c r="P17120" t="n">
        <v>0</v>
      </c>
      <c r="Q17120" t="n">
        <v>0</v>
      </c>
      <c r="R17120" s="2" t="inlineStr"/>
      <c r="U17120">
        <f>HYPERLINK("https://klasma.github.io/Logging_1783/knärot/A 48872-2024 karta knärot.png", "A 48872-2024")</f>
        <v/>
      </c>
      <c r="V17120">
        <f>HYPERLINK("https://klasma.github.io/Logging_1783/klagomål/A 48872-2024 FSC-klagomål.docx", "A 48872-2024")</f>
        <v/>
      </c>
      <c r="W17120">
        <f>HYPERLINK("https://klasma.github.io/Logging_1783/klagomålsmail/A 48872-2024 FSC-klagomål mail.docx", "A 48872-2024")</f>
        <v/>
      </c>
      <c r="X17120">
        <f>HYPERLINK("https://klasma.github.io/Logging_1783/tillsyn/A 48872-2024 tillsynsbegäran.docx", "A 48872-2024")</f>
        <v/>
      </c>
      <c r="Y17120">
        <f>HYPERLINK("https://klasma.github.io/Logging_1783/tillsynsmail/A 48872-2024 tillsynsbegäran mail.docx", "A 48872-2024")</f>
        <v/>
      </c>
    </row>
    <row r="17121" ht="15" customHeight="1">
      <c r="A17121" t="inlineStr">
        <is>
          <t>A 48964-2024</t>
        </is>
      </c>
      <c r="B17121" s="1" t="n">
        <v>45594</v>
      </c>
      <c r="C17121" s="1" t="n">
        <v>45810</v>
      </c>
      <c r="D17121" t="inlineStr">
        <is>
          <t>VÄRMLANDS LÄN</t>
        </is>
      </c>
      <c r="E17121" t="inlineStr">
        <is>
          <t>ÅRJÄNG</t>
        </is>
      </c>
      <c r="G17121" t="n">
        <v>4.9</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49057-2024</t>
        </is>
      </c>
      <c r="B17122" s="1" t="n">
        <v>45594</v>
      </c>
      <c r="C17122" s="1" t="n">
        <v>45810</v>
      </c>
      <c r="D17122" t="inlineStr">
        <is>
          <t>VÄRMLANDS LÄN</t>
        </is>
      </c>
      <c r="E17122" t="inlineStr">
        <is>
          <t>ÅRJÄNG</t>
        </is>
      </c>
      <c r="G17122" t="n">
        <v>1</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49150-2024</t>
        </is>
      </c>
      <c r="B17123" s="1" t="n">
        <v>45594</v>
      </c>
      <c r="C17123" s="1" t="n">
        <v>45810</v>
      </c>
      <c r="D17123" t="inlineStr">
        <is>
          <t>VÄRMLANDS LÄN</t>
        </is>
      </c>
      <c r="E17123" t="inlineStr">
        <is>
          <t>SUNNE</t>
        </is>
      </c>
      <c r="G17123" t="n">
        <v>2.4</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48963-2024</t>
        </is>
      </c>
      <c r="B17124" s="1" t="n">
        <v>45594</v>
      </c>
      <c r="C17124" s="1" t="n">
        <v>45810</v>
      </c>
      <c r="D17124" t="inlineStr">
        <is>
          <t>VÄRMLANDS LÄN</t>
        </is>
      </c>
      <c r="E17124" t="inlineStr">
        <is>
          <t>TORSBY</t>
        </is>
      </c>
      <c r="G17124" t="n">
        <v>1</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48911-2024</t>
        </is>
      </c>
      <c r="B17125" s="1" t="n">
        <v>45594</v>
      </c>
      <c r="C17125" s="1" t="n">
        <v>45810</v>
      </c>
      <c r="D17125" t="inlineStr">
        <is>
          <t>VÄRMLANDS LÄN</t>
        </is>
      </c>
      <c r="E17125" t="inlineStr">
        <is>
          <t>ÅRJÄNG</t>
        </is>
      </c>
      <c r="G17125" t="n">
        <v>2.3</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48903-2024</t>
        </is>
      </c>
      <c r="B17126" s="1" t="n">
        <v>45594</v>
      </c>
      <c r="C17126" s="1" t="n">
        <v>45810</v>
      </c>
      <c r="D17126" t="inlineStr">
        <is>
          <t>VÄRMLANDS LÄN</t>
        </is>
      </c>
      <c r="E17126" t="inlineStr">
        <is>
          <t>TORSBY</t>
        </is>
      </c>
      <c r="G17126" t="n">
        <v>0.4</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49101-2024</t>
        </is>
      </c>
      <c r="B17127" s="1" t="n">
        <v>45594</v>
      </c>
      <c r="C17127" s="1" t="n">
        <v>45810</v>
      </c>
      <c r="D17127" t="inlineStr">
        <is>
          <t>VÄRMLANDS LÄN</t>
        </is>
      </c>
      <c r="E17127" t="inlineStr">
        <is>
          <t>STORFORS</t>
        </is>
      </c>
      <c r="F17127" t="inlineStr">
        <is>
          <t>Kyrkan</t>
        </is>
      </c>
      <c r="G17127" t="n">
        <v>14.1</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49133-2024</t>
        </is>
      </c>
      <c r="B17128" s="1" t="n">
        <v>45594</v>
      </c>
      <c r="C17128" s="1" t="n">
        <v>45810</v>
      </c>
      <c r="D17128" t="inlineStr">
        <is>
          <t>VÄRMLANDS LÄN</t>
        </is>
      </c>
      <c r="E17128" t="inlineStr">
        <is>
          <t>ÅRJÄNG</t>
        </is>
      </c>
      <c r="G17128" t="n">
        <v>7.5</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49149-2024</t>
        </is>
      </c>
      <c r="B17129" s="1" t="n">
        <v>45594</v>
      </c>
      <c r="C17129" s="1" t="n">
        <v>45810</v>
      </c>
      <c r="D17129" t="inlineStr">
        <is>
          <t>VÄRMLANDS LÄN</t>
        </is>
      </c>
      <c r="E17129" t="inlineStr">
        <is>
          <t>SUNNE</t>
        </is>
      </c>
      <c r="G17129" t="n">
        <v>3.8</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48957-2024</t>
        </is>
      </c>
      <c r="B17130" s="1" t="n">
        <v>45594</v>
      </c>
      <c r="C17130" s="1" t="n">
        <v>45810</v>
      </c>
      <c r="D17130" t="inlineStr">
        <is>
          <t>VÄRMLANDS LÄN</t>
        </is>
      </c>
      <c r="E17130" t="inlineStr">
        <is>
          <t>HAGFORS</t>
        </is>
      </c>
      <c r="F17130" t="inlineStr">
        <is>
          <t>Bergvik skog väst AB</t>
        </is>
      </c>
      <c r="G17130" t="n">
        <v>8.300000000000001</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49038-2024</t>
        </is>
      </c>
      <c r="B17131" s="1" t="n">
        <v>45594</v>
      </c>
      <c r="C17131" s="1" t="n">
        <v>45810</v>
      </c>
      <c r="D17131" t="inlineStr">
        <is>
          <t>VÄRMLANDS LÄN</t>
        </is>
      </c>
      <c r="E17131" t="inlineStr">
        <is>
          <t>FILIPSTAD</t>
        </is>
      </c>
      <c r="F17131" t="inlineStr">
        <is>
          <t>Bergvik skog väst AB</t>
        </is>
      </c>
      <c r="G17131" t="n">
        <v>3.3</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49147-2024</t>
        </is>
      </c>
      <c r="B17132" s="1" t="n">
        <v>45594</v>
      </c>
      <c r="C17132" s="1" t="n">
        <v>45810</v>
      </c>
      <c r="D17132" t="inlineStr">
        <is>
          <t>VÄRMLANDS LÄN</t>
        </is>
      </c>
      <c r="E17132" t="inlineStr">
        <is>
          <t>SUNNE</t>
        </is>
      </c>
      <c r="G17132" t="n">
        <v>1.1</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49163-2024</t>
        </is>
      </c>
      <c r="B17133" s="1" t="n">
        <v>45594</v>
      </c>
      <c r="C17133" s="1" t="n">
        <v>45810</v>
      </c>
      <c r="D17133" t="inlineStr">
        <is>
          <t>VÄRMLANDS LÄN</t>
        </is>
      </c>
      <c r="E17133" t="inlineStr">
        <is>
          <t>TORSBY</t>
        </is>
      </c>
      <c r="G17133" t="n">
        <v>1.4</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49266-2024</t>
        </is>
      </c>
      <c r="B17134" s="1" t="n">
        <v>45595</v>
      </c>
      <c r="C17134" s="1" t="n">
        <v>45810</v>
      </c>
      <c r="D17134" t="inlineStr">
        <is>
          <t>VÄRMLANDS LÄN</t>
        </is>
      </c>
      <c r="E17134" t="inlineStr">
        <is>
          <t>STORFORS</t>
        </is>
      </c>
      <c r="F17134" t="inlineStr">
        <is>
          <t>Bergvik skog väst AB</t>
        </is>
      </c>
      <c r="G17134" t="n">
        <v>9.9</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49195-2024</t>
        </is>
      </c>
      <c r="B17135" s="1" t="n">
        <v>45595</v>
      </c>
      <c r="C17135" s="1" t="n">
        <v>45810</v>
      </c>
      <c r="D17135" t="inlineStr">
        <is>
          <t>VÄRMLANDS LÄN</t>
        </is>
      </c>
      <c r="E17135" t="inlineStr">
        <is>
          <t>TORSBY</t>
        </is>
      </c>
      <c r="G17135" t="n">
        <v>1.2</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49182-2024</t>
        </is>
      </c>
      <c r="B17136" s="1" t="n">
        <v>45595</v>
      </c>
      <c r="C17136" s="1" t="n">
        <v>45810</v>
      </c>
      <c r="D17136" t="inlineStr">
        <is>
          <t>VÄRMLANDS LÄN</t>
        </is>
      </c>
      <c r="E17136" t="inlineStr">
        <is>
          <t>EDA</t>
        </is>
      </c>
      <c r="G17136" t="n">
        <v>1.8</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49255-2024</t>
        </is>
      </c>
      <c r="B17137" s="1" t="n">
        <v>45595</v>
      </c>
      <c r="C17137" s="1" t="n">
        <v>45810</v>
      </c>
      <c r="D17137" t="inlineStr">
        <is>
          <t>VÄRMLANDS LÄN</t>
        </is>
      </c>
      <c r="E17137" t="inlineStr">
        <is>
          <t>SÄFFLE</t>
        </is>
      </c>
      <c r="G17137" t="n">
        <v>1.4</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49259-2024</t>
        </is>
      </c>
      <c r="B17138" s="1" t="n">
        <v>45595</v>
      </c>
      <c r="C17138" s="1" t="n">
        <v>45810</v>
      </c>
      <c r="D17138" t="inlineStr">
        <is>
          <t>VÄRMLANDS LÄN</t>
        </is>
      </c>
      <c r="E17138" t="inlineStr">
        <is>
          <t>SUNNE</t>
        </is>
      </c>
      <c r="G17138" t="n">
        <v>4.3</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49437-2024</t>
        </is>
      </c>
      <c r="B17139" s="1" t="n">
        <v>45595</v>
      </c>
      <c r="C17139" s="1" t="n">
        <v>45810</v>
      </c>
      <c r="D17139" t="inlineStr">
        <is>
          <t>VÄRMLANDS LÄN</t>
        </is>
      </c>
      <c r="E17139" t="inlineStr">
        <is>
          <t>SUNNE</t>
        </is>
      </c>
      <c r="G17139" t="n">
        <v>3.2</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49334-2024</t>
        </is>
      </c>
      <c r="B17140" s="1" t="n">
        <v>45595</v>
      </c>
      <c r="C17140" s="1" t="n">
        <v>45810</v>
      </c>
      <c r="D17140" t="inlineStr">
        <is>
          <t>VÄRMLANDS LÄN</t>
        </is>
      </c>
      <c r="E17140" t="inlineStr">
        <is>
          <t>ARVIKA</t>
        </is>
      </c>
      <c r="F17140" t="inlineStr">
        <is>
          <t>Bergvik skog väst AB</t>
        </is>
      </c>
      <c r="G17140" t="n">
        <v>9.4</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49306-2024</t>
        </is>
      </c>
      <c r="B17141" s="1" t="n">
        <v>45595</v>
      </c>
      <c r="C17141" s="1" t="n">
        <v>45810</v>
      </c>
      <c r="D17141" t="inlineStr">
        <is>
          <t>VÄRMLANDS LÄN</t>
        </is>
      </c>
      <c r="E17141" t="inlineStr">
        <is>
          <t>STORFORS</t>
        </is>
      </c>
      <c r="F17141" t="inlineStr">
        <is>
          <t>Bergvik skog väst AB</t>
        </is>
      </c>
      <c r="G17141" t="n">
        <v>2.4</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49363-2024</t>
        </is>
      </c>
      <c r="B17142" s="1" t="n">
        <v>45595</v>
      </c>
      <c r="C17142" s="1" t="n">
        <v>45810</v>
      </c>
      <c r="D17142" t="inlineStr">
        <is>
          <t>VÄRMLANDS LÄN</t>
        </is>
      </c>
      <c r="E17142" t="inlineStr">
        <is>
          <t>FILIPSTAD</t>
        </is>
      </c>
      <c r="F17142" t="inlineStr">
        <is>
          <t>Bergvik skog väst AB</t>
        </is>
      </c>
      <c r="G17142" t="n">
        <v>8.300000000000001</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49379-2024</t>
        </is>
      </c>
      <c r="B17143" s="1" t="n">
        <v>45595</v>
      </c>
      <c r="C17143" s="1" t="n">
        <v>45810</v>
      </c>
      <c r="D17143" t="inlineStr">
        <is>
          <t>VÄRMLANDS LÄN</t>
        </is>
      </c>
      <c r="E17143" t="inlineStr">
        <is>
          <t>KRISTINEHAMN</t>
        </is>
      </c>
      <c r="F17143" t="inlineStr">
        <is>
          <t>Kommuner</t>
        </is>
      </c>
      <c r="G17143" t="n">
        <v>1.9</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49383-2024</t>
        </is>
      </c>
      <c r="B17144" s="1" t="n">
        <v>45595</v>
      </c>
      <c r="C17144" s="1" t="n">
        <v>45810</v>
      </c>
      <c r="D17144" t="inlineStr">
        <is>
          <t>VÄRMLANDS LÄN</t>
        </is>
      </c>
      <c r="E17144" t="inlineStr">
        <is>
          <t>TORSBY</t>
        </is>
      </c>
      <c r="G17144" t="n">
        <v>3.3</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49344-2024</t>
        </is>
      </c>
      <c r="B17145" s="1" t="n">
        <v>45595</v>
      </c>
      <c r="C17145" s="1" t="n">
        <v>45810</v>
      </c>
      <c r="D17145" t="inlineStr">
        <is>
          <t>VÄRMLANDS LÄN</t>
        </is>
      </c>
      <c r="E17145" t="inlineStr">
        <is>
          <t>STORFORS</t>
        </is>
      </c>
      <c r="F17145" t="inlineStr">
        <is>
          <t>Bergvik skog väst AB</t>
        </is>
      </c>
      <c r="G17145" t="n">
        <v>4.8</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49173-2024</t>
        </is>
      </c>
      <c r="B17146" s="1" t="n">
        <v>45595</v>
      </c>
      <c r="C17146" s="1" t="n">
        <v>45810</v>
      </c>
      <c r="D17146" t="inlineStr">
        <is>
          <t>VÄRMLANDS LÄN</t>
        </is>
      </c>
      <c r="E17146" t="inlineStr">
        <is>
          <t>KARLSTAD</t>
        </is>
      </c>
      <c r="G17146" t="n">
        <v>3</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49416-2024</t>
        </is>
      </c>
      <c r="B17147" s="1" t="n">
        <v>45595</v>
      </c>
      <c r="C17147" s="1" t="n">
        <v>45810</v>
      </c>
      <c r="D17147" t="inlineStr">
        <is>
          <t>VÄRMLANDS LÄN</t>
        </is>
      </c>
      <c r="E17147" t="inlineStr">
        <is>
          <t>FORSHAGA</t>
        </is>
      </c>
      <c r="G17147" t="n">
        <v>2.2</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49428-2024</t>
        </is>
      </c>
      <c r="B17148" s="1" t="n">
        <v>45595</v>
      </c>
      <c r="C17148" s="1" t="n">
        <v>45810</v>
      </c>
      <c r="D17148" t="inlineStr">
        <is>
          <t>VÄRMLANDS LÄN</t>
        </is>
      </c>
      <c r="E17148" t="inlineStr">
        <is>
          <t>SUNNE</t>
        </is>
      </c>
      <c r="G17148" t="n">
        <v>1.2</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49311-2024</t>
        </is>
      </c>
      <c r="B17149" s="1" t="n">
        <v>45595</v>
      </c>
      <c r="C17149" s="1" t="n">
        <v>45810</v>
      </c>
      <c r="D17149" t="inlineStr">
        <is>
          <t>VÄRMLANDS LÄN</t>
        </is>
      </c>
      <c r="E17149" t="inlineStr">
        <is>
          <t>STORFORS</t>
        </is>
      </c>
      <c r="F17149" t="inlineStr">
        <is>
          <t>Bergvik skog väst AB</t>
        </is>
      </c>
      <c r="G17149" t="n">
        <v>7.8</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49298-2024</t>
        </is>
      </c>
      <c r="B17150" s="1" t="n">
        <v>45595</v>
      </c>
      <c r="C17150" s="1" t="n">
        <v>45810</v>
      </c>
      <c r="D17150" t="inlineStr">
        <is>
          <t>VÄRMLANDS LÄN</t>
        </is>
      </c>
      <c r="E17150" t="inlineStr">
        <is>
          <t>TORSBY</t>
        </is>
      </c>
      <c r="G17150" t="n">
        <v>3.9</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49245-2024</t>
        </is>
      </c>
      <c r="B17151" s="1" t="n">
        <v>45595</v>
      </c>
      <c r="C17151" s="1" t="n">
        <v>45810</v>
      </c>
      <c r="D17151" t="inlineStr">
        <is>
          <t>VÄRMLANDS LÄN</t>
        </is>
      </c>
      <c r="E17151" t="inlineStr">
        <is>
          <t>KRISTINEHAMN</t>
        </is>
      </c>
      <c r="G17151" t="n">
        <v>2</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49717-2024</t>
        </is>
      </c>
      <c r="B17152" s="1" t="n">
        <v>45596</v>
      </c>
      <c r="C17152" s="1" t="n">
        <v>45810</v>
      </c>
      <c r="D17152" t="inlineStr">
        <is>
          <t>VÄRMLANDS LÄN</t>
        </is>
      </c>
      <c r="E17152" t="inlineStr">
        <is>
          <t>EDA</t>
        </is>
      </c>
      <c r="G17152" t="n">
        <v>4.1</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49644-2024</t>
        </is>
      </c>
      <c r="B17153" s="1" t="n">
        <v>45596</v>
      </c>
      <c r="C17153" s="1" t="n">
        <v>45810</v>
      </c>
      <c r="D17153" t="inlineStr">
        <is>
          <t>VÄRMLANDS LÄN</t>
        </is>
      </c>
      <c r="E17153" t="inlineStr">
        <is>
          <t>KARLSTAD</t>
        </is>
      </c>
      <c r="F17153" t="inlineStr">
        <is>
          <t>Bergvik skog väst AB</t>
        </is>
      </c>
      <c r="G17153" t="n">
        <v>1.7</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49545-2024</t>
        </is>
      </c>
      <c r="B17154" s="1" t="n">
        <v>45596</v>
      </c>
      <c r="C17154" s="1" t="n">
        <v>45810</v>
      </c>
      <c r="D17154" t="inlineStr">
        <is>
          <t>VÄRMLANDS LÄN</t>
        </is>
      </c>
      <c r="E17154" t="inlineStr">
        <is>
          <t>FILIPSTAD</t>
        </is>
      </c>
      <c r="F17154" t="inlineStr">
        <is>
          <t>Bergvik skog väst AB</t>
        </is>
      </c>
      <c r="G17154" t="n">
        <v>1.5</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49542-2024</t>
        </is>
      </c>
      <c r="B17155" s="1" t="n">
        <v>45596</v>
      </c>
      <c r="C17155" s="1" t="n">
        <v>45810</v>
      </c>
      <c r="D17155" t="inlineStr">
        <is>
          <t>VÄRMLANDS LÄN</t>
        </is>
      </c>
      <c r="E17155" t="inlineStr">
        <is>
          <t>FILIPSTAD</t>
        </is>
      </c>
      <c r="F17155" t="inlineStr">
        <is>
          <t>Bergvik skog väst AB</t>
        </is>
      </c>
      <c r="G17155" t="n">
        <v>5.6</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49483-2024</t>
        </is>
      </c>
      <c r="B17156" s="1" t="n">
        <v>45596</v>
      </c>
      <c r="C17156" s="1" t="n">
        <v>45810</v>
      </c>
      <c r="D17156" t="inlineStr">
        <is>
          <t>VÄRMLANDS LÄN</t>
        </is>
      </c>
      <c r="E17156" t="inlineStr">
        <is>
          <t>KIL</t>
        </is>
      </c>
      <c r="G17156" t="n">
        <v>0.9</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49624-2024</t>
        </is>
      </c>
      <c r="B17157" s="1" t="n">
        <v>45596</v>
      </c>
      <c r="C17157" s="1" t="n">
        <v>45810</v>
      </c>
      <c r="D17157" t="inlineStr">
        <is>
          <t>VÄRMLANDS LÄN</t>
        </is>
      </c>
      <c r="E17157" t="inlineStr">
        <is>
          <t>EDA</t>
        </is>
      </c>
      <c r="G17157" t="n">
        <v>3.1</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49507-2024</t>
        </is>
      </c>
      <c r="B17158" s="1" t="n">
        <v>45596</v>
      </c>
      <c r="C17158" s="1" t="n">
        <v>45810</v>
      </c>
      <c r="D17158" t="inlineStr">
        <is>
          <t>VÄRMLANDS LÄN</t>
        </is>
      </c>
      <c r="E17158" t="inlineStr">
        <is>
          <t>STORFORS</t>
        </is>
      </c>
      <c r="F17158" t="inlineStr">
        <is>
          <t>Naturvårdsverket</t>
        </is>
      </c>
      <c r="G17158" t="n">
        <v>1.8</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49524-2024</t>
        </is>
      </c>
      <c r="B17159" s="1" t="n">
        <v>45596</v>
      </c>
      <c r="C17159" s="1" t="n">
        <v>45810</v>
      </c>
      <c r="D17159" t="inlineStr">
        <is>
          <t>VÄRMLANDS LÄN</t>
        </is>
      </c>
      <c r="E17159" t="inlineStr">
        <is>
          <t>TORSBY</t>
        </is>
      </c>
      <c r="G17159" t="n">
        <v>4.1</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49540-2024</t>
        </is>
      </c>
      <c r="B17160" s="1" t="n">
        <v>45596</v>
      </c>
      <c r="C17160" s="1" t="n">
        <v>45810</v>
      </c>
      <c r="D17160" t="inlineStr">
        <is>
          <t>VÄRMLANDS LÄN</t>
        </is>
      </c>
      <c r="E17160" t="inlineStr">
        <is>
          <t>STORFORS</t>
        </is>
      </c>
      <c r="F17160" t="inlineStr">
        <is>
          <t>Naturvårdsverket</t>
        </is>
      </c>
      <c r="G17160" t="n">
        <v>5.2</v>
      </c>
      <c r="H17160" t="n">
        <v>0</v>
      </c>
      <c r="I17160" t="n">
        <v>0</v>
      </c>
      <c r="J17160" t="n">
        <v>0</v>
      </c>
      <c r="K17160" t="n">
        <v>0</v>
      </c>
      <c r="L17160" t="n">
        <v>0</v>
      </c>
      <c r="M17160" t="n">
        <v>0</v>
      </c>
      <c r="N17160" t="n">
        <v>0</v>
      </c>
      <c r="O17160" t="n">
        <v>0</v>
      </c>
      <c r="P17160" t="n">
        <v>0</v>
      </c>
      <c r="Q17160" t="n">
        <v>0</v>
      </c>
      <c r="R17160" s="2" t="inlineStr"/>
    </row>
    <row r="17161" ht="15" customHeight="1">
      <c r="A17161" t="inlineStr">
        <is>
          <t>A 49548-2024</t>
        </is>
      </c>
      <c r="B17161" s="1" t="n">
        <v>45596</v>
      </c>
      <c r="C17161" s="1" t="n">
        <v>45810</v>
      </c>
      <c r="D17161" t="inlineStr">
        <is>
          <t>VÄRMLANDS LÄN</t>
        </is>
      </c>
      <c r="E17161" t="inlineStr">
        <is>
          <t>STORFORS</t>
        </is>
      </c>
      <c r="F17161" t="inlineStr">
        <is>
          <t>Naturvårdsverket</t>
        </is>
      </c>
      <c r="G17161" t="n">
        <v>2</v>
      </c>
      <c r="H17161" t="n">
        <v>0</v>
      </c>
      <c r="I17161" t="n">
        <v>0</v>
      </c>
      <c r="J17161" t="n">
        <v>0</v>
      </c>
      <c r="K17161" t="n">
        <v>0</v>
      </c>
      <c r="L17161" t="n">
        <v>0</v>
      </c>
      <c r="M17161" t="n">
        <v>0</v>
      </c>
      <c r="N17161" t="n">
        <v>0</v>
      </c>
      <c r="O17161" t="n">
        <v>0</v>
      </c>
      <c r="P17161" t="n">
        <v>0</v>
      </c>
      <c r="Q17161" t="n">
        <v>0</v>
      </c>
      <c r="R17161" s="2" t="inlineStr"/>
    </row>
    <row r="17162" ht="15" customHeight="1">
      <c r="A17162" t="inlineStr">
        <is>
          <t>A 49301-2024</t>
        </is>
      </c>
      <c r="B17162" s="1" t="n">
        <v>45596</v>
      </c>
      <c r="C17162" s="1" t="n">
        <v>45810</v>
      </c>
      <c r="D17162" t="inlineStr">
        <is>
          <t>VÄRMLANDS LÄN</t>
        </is>
      </c>
      <c r="E17162" t="inlineStr">
        <is>
          <t>SÄFFLE</t>
        </is>
      </c>
      <c r="G17162" t="n">
        <v>3.9</v>
      </c>
      <c r="H17162" t="n">
        <v>0</v>
      </c>
      <c r="I17162" t="n">
        <v>0</v>
      </c>
      <c r="J17162" t="n">
        <v>0</v>
      </c>
      <c r="K17162" t="n">
        <v>0</v>
      </c>
      <c r="L17162" t="n">
        <v>0</v>
      </c>
      <c r="M17162" t="n">
        <v>0</v>
      </c>
      <c r="N17162" t="n">
        <v>0</v>
      </c>
      <c r="O17162" t="n">
        <v>0</v>
      </c>
      <c r="P17162" t="n">
        <v>0</v>
      </c>
      <c r="Q17162" t="n">
        <v>0</v>
      </c>
      <c r="R17162" s="2" t="inlineStr"/>
    </row>
    <row r="17163" ht="15" customHeight="1">
      <c r="A17163" t="inlineStr">
        <is>
          <t>A 49502-2024</t>
        </is>
      </c>
      <c r="B17163" s="1" t="n">
        <v>45596</v>
      </c>
      <c r="C17163" s="1" t="n">
        <v>45810</v>
      </c>
      <c r="D17163" t="inlineStr">
        <is>
          <t>VÄRMLANDS LÄN</t>
        </is>
      </c>
      <c r="E17163" t="inlineStr">
        <is>
          <t>FILIPSTAD</t>
        </is>
      </c>
      <c r="F17163" t="inlineStr">
        <is>
          <t>Bergvik skog väst AB</t>
        </is>
      </c>
      <c r="G17163" t="n">
        <v>2.4</v>
      </c>
      <c r="H17163" t="n">
        <v>0</v>
      </c>
      <c r="I17163" t="n">
        <v>0</v>
      </c>
      <c r="J17163" t="n">
        <v>0</v>
      </c>
      <c r="K17163" t="n">
        <v>0</v>
      </c>
      <c r="L17163" t="n">
        <v>0</v>
      </c>
      <c r="M17163" t="n">
        <v>0</v>
      </c>
      <c r="N17163" t="n">
        <v>0</v>
      </c>
      <c r="O17163" t="n">
        <v>0</v>
      </c>
      <c r="P17163" t="n">
        <v>0</v>
      </c>
      <c r="Q17163" t="n">
        <v>0</v>
      </c>
      <c r="R17163" s="2" t="inlineStr"/>
    </row>
    <row r="17164" ht="15" customHeight="1">
      <c r="A17164" t="inlineStr">
        <is>
          <t>A 49510-2024</t>
        </is>
      </c>
      <c r="B17164" s="1" t="n">
        <v>45596</v>
      </c>
      <c r="C17164" s="1" t="n">
        <v>45810</v>
      </c>
      <c r="D17164" t="inlineStr">
        <is>
          <t>VÄRMLANDS LÄN</t>
        </is>
      </c>
      <c r="E17164" t="inlineStr">
        <is>
          <t>ARVIKA</t>
        </is>
      </c>
      <c r="G17164" t="n">
        <v>0.7</v>
      </c>
      <c r="H17164" t="n">
        <v>0</v>
      </c>
      <c r="I17164" t="n">
        <v>0</v>
      </c>
      <c r="J17164" t="n">
        <v>0</v>
      </c>
      <c r="K17164" t="n">
        <v>0</v>
      </c>
      <c r="L17164" t="n">
        <v>0</v>
      </c>
      <c r="M17164" t="n">
        <v>0</v>
      </c>
      <c r="N17164" t="n">
        <v>0</v>
      </c>
      <c r="O17164" t="n">
        <v>0</v>
      </c>
      <c r="P17164" t="n">
        <v>0</v>
      </c>
      <c r="Q17164" t="n">
        <v>0</v>
      </c>
      <c r="R17164" s="2" t="inlineStr"/>
    </row>
    <row r="17165" ht="15" customHeight="1">
      <c r="A17165" t="inlineStr">
        <is>
          <t>A 49523-2024</t>
        </is>
      </c>
      <c r="B17165" s="1" t="n">
        <v>45596</v>
      </c>
      <c r="C17165" s="1" t="n">
        <v>45810</v>
      </c>
      <c r="D17165" t="inlineStr">
        <is>
          <t>VÄRMLANDS LÄN</t>
        </is>
      </c>
      <c r="E17165" t="inlineStr">
        <is>
          <t>EDA</t>
        </is>
      </c>
      <c r="G17165" t="n">
        <v>3.4</v>
      </c>
      <c r="H17165" t="n">
        <v>0</v>
      </c>
      <c r="I17165" t="n">
        <v>0</v>
      </c>
      <c r="J17165" t="n">
        <v>0</v>
      </c>
      <c r="K17165" t="n">
        <v>0</v>
      </c>
      <c r="L17165" t="n">
        <v>0</v>
      </c>
      <c r="M17165" t="n">
        <v>0</v>
      </c>
      <c r="N17165" t="n">
        <v>0</v>
      </c>
      <c r="O17165" t="n">
        <v>0</v>
      </c>
      <c r="P17165" t="n">
        <v>0</v>
      </c>
      <c r="Q17165" t="n">
        <v>0</v>
      </c>
      <c r="R17165" s="2" t="inlineStr"/>
    </row>
    <row r="17166" ht="15" customHeight="1">
      <c r="A17166" t="inlineStr">
        <is>
          <t>A 49543-2024</t>
        </is>
      </c>
      <c r="B17166" s="1" t="n">
        <v>45596</v>
      </c>
      <c r="C17166" s="1" t="n">
        <v>45810</v>
      </c>
      <c r="D17166" t="inlineStr">
        <is>
          <t>VÄRMLANDS LÄN</t>
        </is>
      </c>
      <c r="E17166" t="inlineStr">
        <is>
          <t>SUNNE</t>
        </is>
      </c>
      <c r="G17166" t="n">
        <v>0.9</v>
      </c>
      <c r="H17166" t="n">
        <v>0</v>
      </c>
      <c r="I17166" t="n">
        <v>0</v>
      </c>
      <c r="J17166" t="n">
        <v>0</v>
      </c>
      <c r="K17166" t="n">
        <v>0</v>
      </c>
      <c r="L17166" t="n">
        <v>0</v>
      </c>
      <c r="M17166" t="n">
        <v>0</v>
      </c>
      <c r="N17166" t="n">
        <v>0</v>
      </c>
      <c r="O17166" t="n">
        <v>0</v>
      </c>
      <c r="P17166" t="n">
        <v>0</v>
      </c>
      <c r="Q17166" t="n">
        <v>0</v>
      </c>
      <c r="R17166" s="2" t="inlineStr"/>
    </row>
    <row r="17167" ht="15" customHeight="1">
      <c r="A17167" t="inlineStr">
        <is>
          <t>A 49588-2024</t>
        </is>
      </c>
      <c r="B17167" s="1" t="n">
        <v>45596</v>
      </c>
      <c r="C17167" s="1" t="n">
        <v>45810</v>
      </c>
      <c r="D17167" t="inlineStr">
        <is>
          <t>VÄRMLANDS LÄN</t>
        </is>
      </c>
      <c r="E17167" t="inlineStr">
        <is>
          <t>ARVIKA</t>
        </is>
      </c>
      <c r="F17167" t="inlineStr">
        <is>
          <t>Bergvik skog väst AB</t>
        </is>
      </c>
      <c r="G17167" t="n">
        <v>16.8</v>
      </c>
      <c r="H17167" t="n">
        <v>0</v>
      </c>
      <c r="I17167" t="n">
        <v>0</v>
      </c>
      <c r="J17167" t="n">
        <v>0</v>
      </c>
      <c r="K17167" t="n">
        <v>0</v>
      </c>
      <c r="L17167" t="n">
        <v>0</v>
      </c>
      <c r="M17167" t="n">
        <v>0</v>
      </c>
      <c r="N17167" t="n">
        <v>0</v>
      </c>
      <c r="O17167" t="n">
        <v>0</v>
      </c>
      <c r="P17167" t="n">
        <v>0</v>
      </c>
      <c r="Q17167" t="n">
        <v>0</v>
      </c>
      <c r="R17167" s="2" t="inlineStr"/>
    </row>
    <row r="17168" ht="15" customHeight="1">
      <c r="A17168" t="inlineStr">
        <is>
          <t>A 49596-2024</t>
        </is>
      </c>
      <c r="B17168" s="1" t="n">
        <v>45596</v>
      </c>
      <c r="C17168" s="1" t="n">
        <v>45810</v>
      </c>
      <c r="D17168" t="inlineStr">
        <is>
          <t>VÄRMLANDS LÄN</t>
        </is>
      </c>
      <c r="E17168" t="inlineStr">
        <is>
          <t>STORFORS</t>
        </is>
      </c>
      <c r="F17168" t="inlineStr">
        <is>
          <t>Bergvik skog väst AB</t>
        </is>
      </c>
      <c r="G17168" t="n">
        <v>3</v>
      </c>
      <c r="H17168" t="n">
        <v>0</v>
      </c>
      <c r="I17168" t="n">
        <v>0</v>
      </c>
      <c r="J17168" t="n">
        <v>0</v>
      </c>
      <c r="K17168" t="n">
        <v>0</v>
      </c>
      <c r="L17168" t="n">
        <v>0</v>
      </c>
      <c r="M17168" t="n">
        <v>0</v>
      </c>
      <c r="N17168" t="n">
        <v>0</v>
      </c>
      <c r="O17168" t="n">
        <v>0</v>
      </c>
      <c r="P17168" t="n">
        <v>0</v>
      </c>
      <c r="Q17168" t="n">
        <v>0</v>
      </c>
      <c r="R17168" s="2" t="inlineStr"/>
    </row>
    <row r="17169" ht="15" customHeight="1">
      <c r="A17169" t="inlineStr">
        <is>
          <t>A 49912-2024</t>
        </is>
      </c>
      <c r="B17169" s="1" t="n">
        <v>45597</v>
      </c>
      <c r="C17169" s="1" t="n">
        <v>45810</v>
      </c>
      <c r="D17169" t="inlineStr">
        <is>
          <t>VÄRMLANDS LÄN</t>
        </is>
      </c>
      <c r="E17169" t="inlineStr">
        <is>
          <t>TORSBY</t>
        </is>
      </c>
      <c r="F17169" t="inlineStr">
        <is>
          <t>Bergvik skog väst AB</t>
        </is>
      </c>
      <c r="G17169" t="n">
        <v>5.3</v>
      </c>
      <c r="H17169" t="n">
        <v>0</v>
      </c>
      <c r="I17169" t="n">
        <v>0</v>
      </c>
      <c r="J17169" t="n">
        <v>0</v>
      </c>
      <c r="K17169" t="n">
        <v>0</v>
      </c>
      <c r="L17169" t="n">
        <v>0</v>
      </c>
      <c r="M17169" t="n">
        <v>0</v>
      </c>
      <c r="N17169" t="n">
        <v>0</v>
      </c>
      <c r="O17169" t="n">
        <v>0</v>
      </c>
      <c r="P17169" t="n">
        <v>0</v>
      </c>
      <c r="Q17169" t="n">
        <v>0</v>
      </c>
      <c r="R17169" s="2" t="inlineStr"/>
    </row>
    <row r="17170" ht="15" customHeight="1">
      <c r="A17170" t="inlineStr">
        <is>
          <t>A 49794-2024</t>
        </is>
      </c>
      <c r="B17170" s="1" t="n">
        <v>45597</v>
      </c>
      <c r="C17170" s="1" t="n">
        <v>45810</v>
      </c>
      <c r="D17170" t="inlineStr">
        <is>
          <t>VÄRMLANDS LÄN</t>
        </is>
      </c>
      <c r="E17170" t="inlineStr">
        <is>
          <t>FILIPSTAD</t>
        </is>
      </c>
      <c r="F17170" t="inlineStr">
        <is>
          <t>Bergvik skog väst AB</t>
        </is>
      </c>
      <c r="G17170" t="n">
        <v>1.3</v>
      </c>
      <c r="H17170" t="n">
        <v>0</v>
      </c>
      <c r="I17170" t="n">
        <v>0</v>
      </c>
      <c r="J17170" t="n">
        <v>0</v>
      </c>
      <c r="K17170" t="n">
        <v>0</v>
      </c>
      <c r="L17170" t="n">
        <v>0</v>
      </c>
      <c r="M17170" t="n">
        <v>0</v>
      </c>
      <c r="N17170" t="n">
        <v>0</v>
      </c>
      <c r="O17170" t="n">
        <v>0</v>
      </c>
      <c r="P17170" t="n">
        <v>0</v>
      </c>
      <c r="Q17170" t="n">
        <v>0</v>
      </c>
      <c r="R17170" s="2" t="inlineStr"/>
    </row>
    <row r="17171" ht="15" customHeight="1">
      <c r="A17171" t="inlineStr">
        <is>
          <t>A 49767-2024</t>
        </is>
      </c>
      <c r="B17171" s="1" t="n">
        <v>45597</v>
      </c>
      <c r="C17171" s="1" t="n">
        <v>45810</v>
      </c>
      <c r="D17171" t="inlineStr">
        <is>
          <t>VÄRMLANDS LÄN</t>
        </is>
      </c>
      <c r="E17171" t="inlineStr">
        <is>
          <t>HAGFORS</t>
        </is>
      </c>
      <c r="F17171" t="inlineStr">
        <is>
          <t>Bergvik skog väst AB</t>
        </is>
      </c>
      <c r="G17171" t="n">
        <v>6.4</v>
      </c>
      <c r="H17171" t="n">
        <v>0</v>
      </c>
      <c r="I17171" t="n">
        <v>0</v>
      </c>
      <c r="J17171" t="n">
        <v>0</v>
      </c>
      <c r="K17171" t="n">
        <v>0</v>
      </c>
      <c r="L17171" t="n">
        <v>0</v>
      </c>
      <c r="M17171" t="n">
        <v>0</v>
      </c>
      <c r="N17171" t="n">
        <v>0</v>
      </c>
      <c r="O17171" t="n">
        <v>0</v>
      </c>
      <c r="P17171" t="n">
        <v>0</v>
      </c>
      <c r="Q17171" t="n">
        <v>0</v>
      </c>
      <c r="R17171" s="2" t="inlineStr"/>
    </row>
    <row r="17172" ht="15" customHeight="1">
      <c r="A17172" t="inlineStr">
        <is>
          <t>A 49964-2024</t>
        </is>
      </c>
      <c r="B17172" s="1" t="n">
        <v>45597</v>
      </c>
      <c r="C17172" s="1" t="n">
        <v>45810</v>
      </c>
      <c r="D17172" t="inlineStr">
        <is>
          <t>VÄRMLANDS LÄN</t>
        </is>
      </c>
      <c r="E17172" t="inlineStr">
        <is>
          <t>FILIPSTAD</t>
        </is>
      </c>
      <c r="F17172" t="inlineStr">
        <is>
          <t>Bergvik skog väst AB</t>
        </is>
      </c>
      <c r="G17172" t="n">
        <v>2.5</v>
      </c>
      <c r="H17172" t="n">
        <v>0</v>
      </c>
      <c r="I17172" t="n">
        <v>0</v>
      </c>
      <c r="J17172" t="n">
        <v>0</v>
      </c>
      <c r="K17172" t="n">
        <v>0</v>
      </c>
      <c r="L17172" t="n">
        <v>0</v>
      </c>
      <c r="M17172" t="n">
        <v>0</v>
      </c>
      <c r="N17172" t="n">
        <v>0</v>
      </c>
      <c r="O17172" t="n">
        <v>0</v>
      </c>
      <c r="P17172" t="n">
        <v>0</v>
      </c>
      <c r="Q17172" t="n">
        <v>0</v>
      </c>
      <c r="R17172" s="2" t="inlineStr"/>
    </row>
    <row r="17173" ht="15" customHeight="1">
      <c r="A17173" t="inlineStr">
        <is>
          <t>A 49968-2024</t>
        </is>
      </c>
      <c r="B17173" s="1" t="n">
        <v>45597</v>
      </c>
      <c r="C17173" s="1" t="n">
        <v>45810</v>
      </c>
      <c r="D17173" t="inlineStr">
        <is>
          <t>VÄRMLANDS LÄN</t>
        </is>
      </c>
      <c r="E17173" t="inlineStr">
        <is>
          <t>FILIPSTAD</t>
        </is>
      </c>
      <c r="F17173" t="inlineStr">
        <is>
          <t>Bergvik skog väst AB</t>
        </is>
      </c>
      <c r="G17173" t="n">
        <v>7.3</v>
      </c>
      <c r="H17173" t="n">
        <v>0</v>
      </c>
      <c r="I17173" t="n">
        <v>0</v>
      </c>
      <c r="J17173" t="n">
        <v>0</v>
      </c>
      <c r="K17173" t="n">
        <v>0</v>
      </c>
      <c r="L17173" t="n">
        <v>0</v>
      </c>
      <c r="M17173" t="n">
        <v>0</v>
      </c>
      <c r="N17173" t="n">
        <v>0</v>
      </c>
      <c r="O17173" t="n">
        <v>0</v>
      </c>
      <c r="P17173" t="n">
        <v>0</v>
      </c>
      <c r="Q17173" t="n">
        <v>0</v>
      </c>
      <c r="R17173" s="2" t="inlineStr"/>
    </row>
    <row r="17174" ht="15" customHeight="1">
      <c r="A17174" t="inlineStr">
        <is>
          <t>A 49839-2024</t>
        </is>
      </c>
      <c r="B17174" s="1" t="n">
        <v>45597</v>
      </c>
      <c r="C17174" s="1" t="n">
        <v>45810</v>
      </c>
      <c r="D17174" t="inlineStr">
        <is>
          <t>VÄRMLANDS LÄN</t>
        </is>
      </c>
      <c r="E17174" t="inlineStr">
        <is>
          <t>HAGFORS</t>
        </is>
      </c>
      <c r="F17174" t="inlineStr">
        <is>
          <t>Bergvik skog väst AB</t>
        </is>
      </c>
      <c r="G17174" t="n">
        <v>12.2</v>
      </c>
      <c r="H17174" t="n">
        <v>0</v>
      </c>
      <c r="I17174" t="n">
        <v>0</v>
      </c>
      <c r="J17174" t="n">
        <v>0</v>
      </c>
      <c r="K17174" t="n">
        <v>0</v>
      </c>
      <c r="L17174" t="n">
        <v>0</v>
      </c>
      <c r="M17174" t="n">
        <v>0</v>
      </c>
      <c r="N17174" t="n">
        <v>0</v>
      </c>
      <c r="O17174" t="n">
        <v>0</v>
      </c>
      <c r="P17174" t="n">
        <v>0</v>
      </c>
      <c r="Q17174" t="n">
        <v>0</v>
      </c>
      <c r="R17174" s="2" t="inlineStr"/>
    </row>
    <row r="17175" ht="15" customHeight="1">
      <c r="A17175" t="inlineStr">
        <is>
          <t>A 49761-2024</t>
        </is>
      </c>
      <c r="B17175" s="1" t="n">
        <v>45597</v>
      </c>
      <c r="C17175" s="1" t="n">
        <v>45810</v>
      </c>
      <c r="D17175" t="inlineStr">
        <is>
          <t>VÄRMLANDS LÄN</t>
        </is>
      </c>
      <c r="E17175" t="inlineStr">
        <is>
          <t>FILIPSTAD</t>
        </is>
      </c>
      <c r="F17175" t="inlineStr">
        <is>
          <t>Bergvik skog väst AB</t>
        </is>
      </c>
      <c r="G17175" t="n">
        <v>1.6</v>
      </c>
      <c r="H17175" t="n">
        <v>0</v>
      </c>
      <c r="I17175" t="n">
        <v>0</v>
      </c>
      <c r="J17175" t="n">
        <v>0</v>
      </c>
      <c r="K17175" t="n">
        <v>0</v>
      </c>
      <c r="L17175" t="n">
        <v>0</v>
      </c>
      <c r="M17175" t="n">
        <v>0</v>
      </c>
      <c r="N17175" t="n">
        <v>0</v>
      </c>
      <c r="O17175" t="n">
        <v>0</v>
      </c>
      <c r="P17175" t="n">
        <v>0</v>
      </c>
      <c r="Q17175" t="n">
        <v>0</v>
      </c>
      <c r="R17175" s="2" t="inlineStr"/>
    </row>
    <row r="17176" ht="15" customHeight="1">
      <c r="A17176" t="inlineStr">
        <is>
          <t>A 49910-2024</t>
        </is>
      </c>
      <c r="B17176" s="1" t="n">
        <v>45597</v>
      </c>
      <c r="C17176" s="1" t="n">
        <v>45810</v>
      </c>
      <c r="D17176" t="inlineStr">
        <is>
          <t>VÄRMLANDS LÄN</t>
        </is>
      </c>
      <c r="E17176" t="inlineStr">
        <is>
          <t>FILIPSTAD</t>
        </is>
      </c>
      <c r="F17176" t="inlineStr">
        <is>
          <t>Bergvik skog väst AB</t>
        </is>
      </c>
      <c r="G17176" t="n">
        <v>11.8</v>
      </c>
      <c r="H17176" t="n">
        <v>0</v>
      </c>
      <c r="I17176" t="n">
        <v>0</v>
      </c>
      <c r="J17176" t="n">
        <v>0</v>
      </c>
      <c r="K17176" t="n">
        <v>0</v>
      </c>
      <c r="L17176" t="n">
        <v>0</v>
      </c>
      <c r="M17176" t="n">
        <v>0</v>
      </c>
      <c r="N17176" t="n">
        <v>0</v>
      </c>
      <c r="O17176" t="n">
        <v>0</v>
      </c>
      <c r="P17176" t="n">
        <v>0</v>
      </c>
      <c r="Q17176" t="n">
        <v>0</v>
      </c>
      <c r="R17176" s="2" t="inlineStr"/>
    </row>
    <row r="17177" ht="15" customHeight="1">
      <c r="A17177" t="inlineStr">
        <is>
          <t>A 49845-2024</t>
        </is>
      </c>
      <c r="B17177" s="1" t="n">
        <v>45597</v>
      </c>
      <c r="C17177" s="1" t="n">
        <v>45810</v>
      </c>
      <c r="D17177" t="inlineStr">
        <is>
          <t>VÄRMLANDS LÄN</t>
        </is>
      </c>
      <c r="E17177" t="inlineStr">
        <is>
          <t>TORSBY</t>
        </is>
      </c>
      <c r="G17177" t="n">
        <v>0.4</v>
      </c>
      <c r="H17177" t="n">
        <v>0</v>
      </c>
      <c r="I17177" t="n">
        <v>0</v>
      </c>
      <c r="J17177" t="n">
        <v>0</v>
      </c>
      <c r="K17177" t="n">
        <v>0</v>
      </c>
      <c r="L17177" t="n">
        <v>0</v>
      </c>
      <c r="M17177" t="n">
        <v>0</v>
      </c>
      <c r="N17177" t="n">
        <v>0</v>
      </c>
      <c r="O17177" t="n">
        <v>0</v>
      </c>
      <c r="P17177" t="n">
        <v>0</v>
      </c>
      <c r="Q17177" t="n">
        <v>0</v>
      </c>
      <c r="R17177" s="2" t="inlineStr"/>
    </row>
    <row r="17178" ht="15" customHeight="1">
      <c r="A17178" t="inlineStr">
        <is>
          <t>A 49873-2024</t>
        </is>
      </c>
      <c r="B17178" s="1" t="n">
        <v>45597</v>
      </c>
      <c r="C17178" s="1" t="n">
        <v>45810</v>
      </c>
      <c r="D17178" t="inlineStr">
        <is>
          <t>VÄRMLANDS LÄN</t>
        </is>
      </c>
      <c r="E17178" t="inlineStr">
        <is>
          <t>ARVIKA</t>
        </is>
      </c>
      <c r="F17178" t="inlineStr">
        <is>
          <t>Bergvik skog väst AB</t>
        </is>
      </c>
      <c r="G17178" t="n">
        <v>3.6</v>
      </c>
      <c r="H17178" t="n">
        <v>0</v>
      </c>
      <c r="I17178" t="n">
        <v>0</v>
      </c>
      <c r="J17178" t="n">
        <v>0</v>
      </c>
      <c r="K17178" t="n">
        <v>0</v>
      </c>
      <c r="L17178" t="n">
        <v>0</v>
      </c>
      <c r="M17178" t="n">
        <v>0</v>
      </c>
      <c r="N17178" t="n">
        <v>0</v>
      </c>
      <c r="O17178" t="n">
        <v>0</v>
      </c>
      <c r="P17178" t="n">
        <v>0</v>
      </c>
      <c r="Q17178" t="n">
        <v>0</v>
      </c>
      <c r="R17178" s="2" t="inlineStr"/>
    </row>
    <row r="17179" ht="15" customHeight="1">
      <c r="A17179" t="inlineStr">
        <is>
          <t>A 49901-2024</t>
        </is>
      </c>
      <c r="B17179" s="1" t="n">
        <v>45597</v>
      </c>
      <c r="C17179" s="1" t="n">
        <v>45810</v>
      </c>
      <c r="D17179" t="inlineStr">
        <is>
          <t>VÄRMLANDS LÄN</t>
        </is>
      </c>
      <c r="E17179" t="inlineStr">
        <is>
          <t>HAGFORS</t>
        </is>
      </c>
      <c r="F17179" t="inlineStr">
        <is>
          <t>Bergvik skog väst AB</t>
        </is>
      </c>
      <c r="G17179" t="n">
        <v>1</v>
      </c>
      <c r="H17179" t="n">
        <v>0</v>
      </c>
      <c r="I17179" t="n">
        <v>0</v>
      </c>
      <c r="J17179" t="n">
        <v>0</v>
      </c>
      <c r="K17179" t="n">
        <v>0</v>
      </c>
      <c r="L17179" t="n">
        <v>0</v>
      </c>
      <c r="M17179" t="n">
        <v>0</v>
      </c>
      <c r="N17179" t="n">
        <v>0</v>
      </c>
      <c r="O17179" t="n">
        <v>0</v>
      </c>
      <c r="P17179" t="n">
        <v>0</v>
      </c>
      <c r="Q17179" t="n">
        <v>0</v>
      </c>
      <c r="R17179" s="2" t="inlineStr"/>
    </row>
    <row r="17180" ht="15" customHeight="1">
      <c r="A17180" t="inlineStr">
        <is>
          <t>A 49913-2024</t>
        </is>
      </c>
      <c r="B17180" s="1" t="n">
        <v>45597</v>
      </c>
      <c r="C17180" s="1" t="n">
        <v>45810</v>
      </c>
      <c r="D17180" t="inlineStr">
        <is>
          <t>VÄRMLANDS LÄN</t>
        </is>
      </c>
      <c r="E17180" t="inlineStr">
        <is>
          <t>ARVIKA</t>
        </is>
      </c>
      <c r="G17180" t="n">
        <v>3.1</v>
      </c>
      <c r="H17180" t="n">
        <v>0</v>
      </c>
      <c r="I17180" t="n">
        <v>0</v>
      </c>
      <c r="J17180" t="n">
        <v>0</v>
      </c>
      <c r="K17180" t="n">
        <v>0</v>
      </c>
      <c r="L17180" t="n">
        <v>0</v>
      </c>
      <c r="M17180" t="n">
        <v>0</v>
      </c>
      <c r="N17180" t="n">
        <v>0</v>
      </c>
      <c r="O17180" t="n">
        <v>0</v>
      </c>
      <c r="P17180" t="n">
        <v>0</v>
      </c>
      <c r="Q17180" t="n">
        <v>0</v>
      </c>
      <c r="R17180" s="2" t="inlineStr"/>
    </row>
    <row r="17181" ht="15" customHeight="1">
      <c r="A17181" t="inlineStr">
        <is>
          <t>A 49925-2024</t>
        </is>
      </c>
      <c r="B17181" s="1" t="n">
        <v>45597</v>
      </c>
      <c r="C17181" s="1" t="n">
        <v>45810</v>
      </c>
      <c r="D17181" t="inlineStr">
        <is>
          <t>VÄRMLANDS LÄN</t>
        </is>
      </c>
      <c r="E17181" t="inlineStr">
        <is>
          <t>ARVIKA</t>
        </is>
      </c>
      <c r="G17181" t="n">
        <v>1.3</v>
      </c>
      <c r="H17181" t="n">
        <v>0</v>
      </c>
      <c r="I17181" t="n">
        <v>0</v>
      </c>
      <c r="J17181" t="n">
        <v>0</v>
      </c>
      <c r="K17181" t="n">
        <v>0</v>
      </c>
      <c r="L17181" t="n">
        <v>0</v>
      </c>
      <c r="M17181" t="n">
        <v>0</v>
      </c>
      <c r="N17181" t="n">
        <v>0</v>
      </c>
      <c r="O17181" t="n">
        <v>0</v>
      </c>
      <c r="P17181" t="n">
        <v>0</v>
      </c>
      <c r="Q17181" t="n">
        <v>0</v>
      </c>
      <c r="R17181" s="2" t="inlineStr"/>
    </row>
    <row r="17182" ht="15" customHeight="1">
      <c r="A17182" t="inlineStr">
        <is>
          <t>A 49883-2024</t>
        </is>
      </c>
      <c r="B17182" s="1" t="n">
        <v>45597</v>
      </c>
      <c r="C17182" s="1" t="n">
        <v>45810</v>
      </c>
      <c r="D17182" t="inlineStr">
        <is>
          <t>VÄRMLANDS LÄN</t>
        </is>
      </c>
      <c r="E17182" t="inlineStr">
        <is>
          <t>ARVIKA</t>
        </is>
      </c>
      <c r="F17182" t="inlineStr">
        <is>
          <t>Bergvik skog väst AB</t>
        </is>
      </c>
      <c r="G17182" t="n">
        <v>4.6</v>
      </c>
      <c r="H17182" t="n">
        <v>0</v>
      </c>
      <c r="I17182" t="n">
        <v>0</v>
      </c>
      <c r="J17182" t="n">
        <v>0</v>
      </c>
      <c r="K17182" t="n">
        <v>0</v>
      </c>
      <c r="L17182" t="n">
        <v>0</v>
      </c>
      <c r="M17182" t="n">
        <v>0</v>
      </c>
      <c r="N17182" t="n">
        <v>0</v>
      </c>
      <c r="O17182" t="n">
        <v>0</v>
      </c>
      <c r="P17182" t="n">
        <v>0</v>
      </c>
      <c r="Q17182" t="n">
        <v>0</v>
      </c>
      <c r="R17182" s="2" t="inlineStr"/>
    </row>
    <row r="17183" ht="15" customHeight="1">
      <c r="A17183" t="inlineStr">
        <is>
          <t>A 49827-2024</t>
        </is>
      </c>
      <c r="B17183" s="1" t="n">
        <v>45597</v>
      </c>
      <c r="C17183" s="1" t="n">
        <v>45810</v>
      </c>
      <c r="D17183" t="inlineStr">
        <is>
          <t>VÄRMLANDS LÄN</t>
        </is>
      </c>
      <c r="E17183" t="inlineStr">
        <is>
          <t>FILIPSTAD</t>
        </is>
      </c>
      <c r="F17183" t="inlineStr">
        <is>
          <t>Bergvik skog väst AB</t>
        </is>
      </c>
      <c r="G17183" t="n">
        <v>3.7</v>
      </c>
      <c r="H17183" t="n">
        <v>0</v>
      </c>
      <c r="I17183" t="n">
        <v>0</v>
      </c>
      <c r="J17183" t="n">
        <v>0</v>
      </c>
      <c r="K17183" t="n">
        <v>0</v>
      </c>
      <c r="L17183" t="n">
        <v>0</v>
      </c>
      <c r="M17183" t="n">
        <v>0</v>
      </c>
      <c r="N17183" t="n">
        <v>0</v>
      </c>
      <c r="O17183" t="n">
        <v>0</v>
      </c>
      <c r="P17183" t="n">
        <v>0</v>
      </c>
      <c r="Q17183" t="n">
        <v>0</v>
      </c>
      <c r="R17183" s="2" t="inlineStr"/>
    </row>
    <row r="17184" ht="15" customHeight="1">
      <c r="A17184" t="inlineStr">
        <is>
          <t>A 49785-2024</t>
        </is>
      </c>
      <c r="B17184" s="1" t="n">
        <v>45597</v>
      </c>
      <c r="C17184" s="1" t="n">
        <v>45810</v>
      </c>
      <c r="D17184" t="inlineStr">
        <is>
          <t>VÄRMLANDS LÄN</t>
        </is>
      </c>
      <c r="E17184" t="inlineStr">
        <is>
          <t>ÅRJÄNG</t>
        </is>
      </c>
      <c r="G17184" t="n">
        <v>0.6</v>
      </c>
      <c r="H17184" t="n">
        <v>0</v>
      </c>
      <c r="I17184" t="n">
        <v>0</v>
      </c>
      <c r="J17184" t="n">
        <v>0</v>
      </c>
      <c r="K17184" t="n">
        <v>0</v>
      </c>
      <c r="L17184" t="n">
        <v>0</v>
      </c>
      <c r="M17184" t="n">
        <v>0</v>
      </c>
      <c r="N17184" t="n">
        <v>0</v>
      </c>
      <c r="O17184" t="n">
        <v>0</v>
      </c>
      <c r="P17184" t="n">
        <v>0</v>
      </c>
      <c r="Q17184" t="n">
        <v>0</v>
      </c>
      <c r="R17184" s="2" t="inlineStr"/>
    </row>
    <row r="17185" ht="15" customHeight="1">
      <c r="A17185" t="inlineStr">
        <is>
          <t>A 49780-2024</t>
        </is>
      </c>
      <c r="B17185" s="1" t="n">
        <v>45597</v>
      </c>
      <c r="C17185" s="1" t="n">
        <v>45810</v>
      </c>
      <c r="D17185" t="inlineStr">
        <is>
          <t>VÄRMLANDS LÄN</t>
        </is>
      </c>
      <c r="E17185" t="inlineStr">
        <is>
          <t>ÅRJÄNG</t>
        </is>
      </c>
      <c r="G17185" t="n">
        <v>1.6</v>
      </c>
      <c r="H17185" t="n">
        <v>0</v>
      </c>
      <c r="I17185" t="n">
        <v>0</v>
      </c>
      <c r="J17185" t="n">
        <v>0</v>
      </c>
      <c r="K17185" t="n">
        <v>0</v>
      </c>
      <c r="L17185" t="n">
        <v>0</v>
      </c>
      <c r="M17185" t="n">
        <v>0</v>
      </c>
      <c r="N17185" t="n">
        <v>0</v>
      </c>
      <c r="O17185" t="n">
        <v>0</v>
      </c>
      <c r="P17185" t="n">
        <v>0</v>
      </c>
      <c r="Q17185" t="n">
        <v>0</v>
      </c>
      <c r="R17185" s="2" t="inlineStr"/>
    </row>
    <row r="17186" ht="15" customHeight="1">
      <c r="A17186" t="inlineStr">
        <is>
          <t>A 49795-2024</t>
        </is>
      </c>
      <c r="B17186" s="1" t="n">
        <v>45597</v>
      </c>
      <c r="C17186" s="1" t="n">
        <v>45810</v>
      </c>
      <c r="D17186" t="inlineStr">
        <is>
          <t>VÄRMLANDS LÄN</t>
        </is>
      </c>
      <c r="E17186" t="inlineStr">
        <is>
          <t>ÅRJÄNG</t>
        </is>
      </c>
      <c r="G17186" t="n">
        <v>2.6</v>
      </c>
      <c r="H17186" t="n">
        <v>0</v>
      </c>
      <c r="I17186" t="n">
        <v>0</v>
      </c>
      <c r="J17186" t="n">
        <v>0</v>
      </c>
      <c r="K17186" t="n">
        <v>0</v>
      </c>
      <c r="L17186" t="n">
        <v>0</v>
      </c>
      <c r="M17186" t="n">
        <v>0</v>
      </c>
      <c r="N17186" t="n">
        <v>0</v>
      </c>
      <c r="O17186" t="n">
        <v>0</v>
      </c>
      <c r="P17186" t="n">
        <v>0</v>
      </c>
      <c r="Q17186" t="n">
        <v>0</v>
      </c>
      <c r="R17186" s="2" t="inlineStr"/>
    </row>
    <row r="17187" ht="15" customHeight="1">
      <c r="A17187" t="inlineStr">
        <is>
          <t>A 49979-2024</t>
        </is>
      </c>
      <c r="B17187" s="1" t="n">
        <v>45597</v>
      </c>
      <c r="C17187" s="1" t="n">
        <v>45810</v>
      </c>
      <c r="D17187" t="inlineStr">
        <is>
          <t>VÄRMLANDS LÄN</t>
        </is>
      </c>
      <c r="E17187" t="inlineStr">
        <is>
          <t>SÄFFLE</t>
        </is>
      </c>
      <c r="G17187" t="n">
        <v>2.8</v>
      </c>
      <c r="H17187" t="n">
        <v>0</v>
      </c>
      <c r="I17187" t="n">
        <v>0</v>
      </c>
      <c r="J17187" t="n">
        <v>0</v>
      </c>
      <c r="K17187" t="n">
        <v>0</v>
      </c>
      <c r="L17187" t="n">
        <v>0</v>
      </c>
      <c r="M17187" t="n">
        <v>0</v>
      </c>
      <c r="N17187" t="n">
        <v>0</v>
      </c>
      <c r="O17187" t="n">
        <v>0</v>
      </c>
      <c r="P17187" t="n">
        <v>0</v>
      </c>
      <c r="Q17187" t="n">
        <v>0</v>
      </c>
      <c r="R17187" s="2" t="inlineStr"/>
    </row>
    <row r="17188" ht="15" customHeight="1">
      <c r="A17188" t="inlineStr">
        <is>
          <t>A 49952-2024</t>
        </is>
      </c>
      <c r="B17188" s="1" t="n">
        <v>45597</v>
      </c>
      <c r="C17188" s="1" t="n">
        <v>45810</v>
      </c>
      <c r="D17188" t="inlineStr">
        <is>
          <t>VÄRMLANDS LÄN</t>
        </is>
      </c>
      <c r="E17188" t="inlineStr">
        <is>
          <t>ARVIKA</t>
        </is>
      </c>
      <c r="G17188" t="n">
        <v>1.5</v>
      </c>
      <c r="H17188" t="n">
        <v>0</v>
      </c>
      <c r="I17188" t="n">
        <v>0</v>
      </c>
      <c r="J17188" t="n">
        <v>0</v>
      </c>
      <c r="K17188" t="n">
        <v>0</v>
      </c>
      <c r="L17188" t="n">
        <v>0</v>
      </c>
      <c r="M17188" t="n">
        <v>0</v>
      </c>
      <c r="N17188" t="n">
        <v>0</v>
      </c>
      <c r="O17188" t="n">
        <v>0</v>
      </c>
      <c r="P17188" t="n">
        <v>0</v>
      </c>
      <c r="Q17188" t="n">
        <v>0</v>
      </c>
      <c r="R17188" s="2" t="inlineStr"/>
    </row>
    <row r="17189" ht="15" customHeight="1">
      <c r="A17189" t="inlineStr">
        <is>
          <t>A 49936-2024</t>
        </is>
      </c>
      <c r="B17189" s="1" t="n">
        <v>45597</v>
      </c>
      <c r="C17189" s="1" t="n">
        <v>45810</v>
      </c>
      <c r="D17189" t="inlineStr">
        <is>
          <t>VÄRMLANDS LÄN</t>
        </is>
      </c>
      <c r="E17189" t="inlineStr">
        <is>
          <t>TORSBY</t>
        </is>
      </c>
      <c r="F17189" t="inlineStr">
        <is>
          <t>Bergvik skog väst AB</t>
        </is>
      </c>
      <c r="G17189" t="n">
        <v>2.1</v>
      </c>
      <c r="H17189" t="n">
        <v>0</v>
      </c>
      <c r="I17189" t="n">
        <v>0</v>
      </c>
      <c r="J17189" t="n">
        <v>0</v>
      </c>
      <c r="K17189" t="n">
        <v>0</v>
      </c>
      <c r="L17189" t="n">
        <v>0</v>
      </c>
      <c r="M17189" t="n">
        <v>0</v>
      </c>
      <c r="N17189" t="n">
        <v>0</v>
      </c>
      <c r="O17189" t="n">
        <v>0</v>
      </c>
      <c r="P17189" t="n">
        <v>0</v>
      </c>
      <c r="Q17189" t="n">
        <v>0</v>
      </c>
      <c r="R17189" s="2" t="inlineStr"/>
    </row>
    <row r="17190" ht="15" customHeight="1">
      <c r="A17190" t="inlineStr">
        <is>
          <t>A 49880-2024</t>
        </is>
      </c>
      <c r="B17190" s="1" t="n">
        <v>45597</v>
      </c>
      <c r="C17190" s="1" t="n">
        <v>45810</v>
      </c>
      <c r="D17190" t="inlineStr">
        <is>
          <t>VÄRMLANDS LÄN</t>
        </is>
      </c>
      <c r="E17190" t="inlineStr">
        <is>
          <t>ARVIKA</t>
        </is>
      </c>
      <c r="F17190" t="inlineStr">
        <is>
          <t>Bergvik skog väst AB</t>
        </is>
      </c>
      <c r="G17190" t="n">
        <v>1.3</v>
      </c>
      <c r="H17190" t="n">
        <v>0</v>
      </c>
      <c r="I17190" t="n">
        <v>0</v>
      </c>
      <c r="J17190" t="n">
        <v>0</v>
      </c>
      <c r="K17190" t="n">
        <v>0</v>
      </c>
      <c r="L17190" t="n">
        <v>0</v>
      </c>
      <c r="M17190" t="n">
        <v>0</v>
      </c>
      <c r="N17190" t="n">
        <v>0</v>
      </c>
      <c r="O17190" t="n">
        <v>0</v>
      </c>
      <c r="P17190" t="n">
        <v>0</v>
      </c>
      <c r="Q17190" t="n">
        <v>0</v>
      </c>
      <c r="R17190" s="2" t="inlineStr"/>
    </row>
    <row r="17191" ht="15" customHeight="1">
      <c r="A17191" t="inlineStr">
        <is>
          <t>A 49840-2024</t>
        </is>
      </c>
      <c r="B17191" s="1" t="n">
        <v>45597</v>
      </c>
      <c r="C17191" s="1" t="n">
        <v>45810</v>
      </c>
      <c r="D17191" t="inlineStr">
        <is>
          <t>VÄRMLANDS LÄN</t>
        </is>
      </c>
      <c r="E17191" t="inlineStr">
        <is>
          <t>TORSBY</t>
        </is>
      </c>
      <c r="G17191" t="n">
        <v>0.5</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50042-2024</t>
        </is>
      </c>
      <c r="B17192" s="1" t="n">
        <v>45597</v>
      </c>
      <c r="C17192" s="1" t="n">
        <v>45810</v>
      </c>
      <c r="D17192" t="inlineStr">
        <is>
          <t>VÄRMLANDS LÄN</t>
        </is>
      </c>
      <c r="E17192" t="inlineStr">
        <is>
          <t>SÄFFLE</t>
        </is>
      </c>
      <c r="G17192" t="n">
        <v>1.4</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50025-2024</t>
        </is>
      </c>
      <c r="B17193" s="1" t="n">
        <v>45599</v>
      </c>
      <c r="C17193" s="1" t="n">
        <v>45810</v>
      </c>
      <c r="D17193" t="inlineStr">
        <is>
          <t>VÄRMLANDS LÄN</t>
        </is>
      </c>
      <c r="E17193" t="inlineStr">
        <is>
          <t>EDA</t>
        </is>
      </c>
      <c r="G17193" t="n">
        <v>2</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50055-2024</t>
        </is>
      </c>
      <c r="B17194" s="1" t="n">
        <v>45600</v>
      </c>
      <c r="C17194" s="1" t="n">
        <v>45810</v>
      </c>
      <c r="D17194" t="inlineStr">
        <is>
          <t>VÄRMLANDS LÄN</t>
        </is>
      </c>
      <c r="E17194" t="inlineStr">
        <is>
          <t>FORSHAGA</t>
        </is>
      </c>
      <c r="G17194" t="n">
        <v>2.6</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50073-2024</t>
        </is>
      </c>
      <c r="B17195" s="1" t="n">
        <v>45600</v>
      </c>
      <c r="C17195" s="1" t="n">
        <v>45810</v>
      </c>
      <c r="D17195" t="inlineStr">
        <is>
          <t>VÄRMLANDS LÄN</t>
        </is>
      </c>
      <c r="E17195" t="inlineStr">
        <is>
          <t>GRUMS</t>
        </is>
      </c>
      <c r="G17195" t="n">
        <v>1.8</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50092-2024</t>
        </is>
      </c>
      <c r="B17196" s="1" t="n">
        <v>45600</v>
      </c>
      <c r="C17196" s="1" t="n">
        <v>45810</v>
      </c>
      <c r="D17196" t="inlineStr">
        <is>
          <t>VÄRMLANDS LÄN</t>
        </is>
      </c>
      <c r="E17196" t="inlineStr">
        <is>
          <t>FORSHAGA</t>
        </is>
      </c>
      <c r="F17196" t="inlineStr">
        <is>
          <t>Bergvik skog väst AB</t>
        </is>
      </c>
      <c r="G17196" t="n">
        <v>5.4</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50112-2024</t>
        </is>
      </c>
      <c r="B17197" s="1" t="n">
        <v>45600</v>
      </c>
      <c r="C17197" s="1" t="n">
        <v>45810</v>
      </c>
      <c r="D17197" t="inlineStr">
        <is>
          <t>VÄRMLANDS LÄN</t>
        </is>
      </c>
      <c r="E17197" t="inlineStr">
        <is>
          <t>ÅRJÄNG</t>
        </is>
      </c>
      <c r="G17197" t="n">
        <v>2.8</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50116-2024</t>
        </is>
      </c>
      <c r="B17198" s="1" t="n">
        <v>45600</v>
      </c>
      <c r="C17198" s="1" t="n">
        <v>45810</v>
      </c>
      <c r="D17198" t="inlineStr">
        <is>
          <t>VÄRMLANDS LÄN</t>
        </is>
      </c>
      <c r="E17198" t="inlineStr">
        <is>
          <t>ARVIKA</t>
        </is>
      </c>
      <c r="G17198" t="n">
        <v>5.7</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50120-2024</t>
        </is>
      </c>
      <c r="B17199" s="1" t="n">
        <v>45600</v>
      </c>
      <c r="C17199" s="1" t="n">
        <v>45810</v>
      </c>
      <c r="D17199" t="inlineStr">
        <is>
          <t>VÄRMLANDS LÄN</t>
        </is>
      </c>
      <c r="E17199" t="inlineStr">
        <is>
          <t>EDA</t>
        </is>
      </c>
      <c r="G17199" t="n">
        <v>3.2</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50124-2024</t>
        </is>
      </c>
      <c r="B17200" s="1" t="n">
        <v>45600</v>
      </c>
      <c r="C17200" s="1" t="n">
        <v>45810</v>
      </c>
      <c r="D17200" t="inlineStr">
        <is>
          <t>VÄRMLANDS LÄN</t>
        </is>
      </c>
      <c r="E17200" t="inlineStr">
        <is>
          <t>ÅRJÄNG</t>
        </is>
      </c>
      <c r="G17200" t="n">
        <v>3.6</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50137-2024</t>
        </is>
      </c>
      <c r="B17201" s="1" t="n">
        <v>45600</v>
      </c>
      <c r="C17201" s="1" t="n">
        <v>45810</v>
      </c>
      <c r="D17201" t="inlineStr">
        <is>
          <t>VÄRMLANDS LÄN</t>
        </is>
      </c>
      <c r="E17201" t="inlineStr">
        <is>
          <t>HAGFORS</t>
        </is>
      </c>
      <c r="F17201" t="inlineStr">
        <is>
          <t>Bergvik skog väst AB</t>
        </is>
      </c>
      <c r="G17201" t="n">
        <v>10.4</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50224-2024</t>
        </is>
      </c>
      <c r="B17202" s="1" t="n">
        <v>45600</v>
      </c>
      <c r="C17202" s="1" t="n">
        <v>45810</v>
      </c>
      <c r="D17202" t="inlineStr">
        <is>
          <t>VÄRMLANDS LÄN</t>
        </is>
      </c>
      <c r="E17202" t="inlineStr">
        <is>
          <t>KARLSTAD</t>
        </is>
      </c>
      <c r="G17202" t="n">
        <v>5.9</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50147-2024</t>
        </is>
      </c>
      <c r="B17203" s="1" t="n">
        <v>45600</v>
      </c>
      <c r="C17203" s="1" t="n">
        <v>45810</v>
      </c>
      <c r="D17203" t="inlineStr">
        <is>
          <t>VÄRMLANDS LÄN</t>
        </is>
      </c>
      <c r="E17203" t="inlineStr">
        <is>
          <t>TORSBY</t>
        </is>
      </c>
      <c r="G17203" t="n">
        <v>1.9</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50159-2024</t>
        </is>
      </c>
      <c r="B17204" s="1" t="n">
        <v>45600</v>
      </c>
      <c r="C17204" s="1" t="n">
        <v>45810</v>
      </c>
      <c r="D17204" t="inlineStr">
        <is>
          <t>VÄRMLANDS LÄN</t>
        </is>
      </c>
      <c r="E17204" t="inlineStr">
        <is>
          <t>KRISTINEHAMN</t>
        </is>
      </c>
      <c r="G17204" t="n">
        <v>0.5</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50174-2024</t>
        </is>
      </c>
      <c r="B17205" s="1" t="n">
        <v>45600</v>
      </c>
      <c r="C17205" s="1" t="n">
        <v>45810</v>
      </c>
      <c r="D17205" t="inlineStr">
        <is>
          <t>VÄRMLANDS LÄN</t>
        </is>
      </c>
      <c r="E17205" t="inlineStr">
        <is>
          <t>KRISTINEHAMN</t>
        </is>
      </c>
      <c r="G17205" t="n">
        <v>1.6</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50301-2024</t>
        </is>
      </c>
      <c r="B17206" s="1" t="n">
        <v>45600</v>
      </c>
      <c r="C17206" s="1" t="n">
        <v>45810</v>
      </c>
      <c r="D17206" t="inlineStr">
        <is>
          <t>VÄRMLANDS LÄN</t>
        </is>
      </c>
      <c r="E17206" t="inlineStr">
        <is>
          <t>ÅRJÄNG</t>
        </is>
      </c>
      <c r="G17206" t="n">
        <v>0.5</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50337-2024</t>
        </is>
      </c>
      <c r="B17207" s="1" t="n">
        <v>45600</v>
      </c>
      <c r="C17207" s="1" t="n">
        <v>45810</v>
      </c>
      <c r="D17207" t="inlineStr">
        <is>
          <t>VÄRMLANDS LÄN</t>
        </is>
      </c>
      <c r="E17207" t="inlineStr">
        <is>
          <t>ARVIKA</t>
        </is>
      </c>
      <c r="G17207" t="n">
        <v>1</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50291-2024</t>
        </is>
      </c>
      <c r="B17208" s="1" t="n">
        <v>45600</v>
      </c>
      <c r="C17208" s="1" t="n">
        <v>45810</v>
      </c>
      <c r="D17208" t="inlineStr">
        <is>
          <t>VÄRMLANDS LÄN</t>
        </is>
      </c>
      <c r="E17208" t="inlineStr">
        <is>
          <t>ARVIKA</t>
        </is>
      </c>
      <c r="G17208" t="n">
        <v>2</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50331-2024</t>
        </is>
      </c>
      <c r="B17209" s="1" t="n">
        <v>45600</v>
      </c>
      <c r="C17209" s="1" t="n">
        <v>45810</v>
      </c>
      <c r="D17209" t="inlineStr">
        <is>
          <t>VÄRMLANDS LÄN</t>
        </is>
      </c>
      <c r="E17209" t="inlineStr">
        <is>
          <t>HAGFORS</t>
        </is>
      </c>
      <c r="F17209" t="inlineStr">
        <is>
          <t>Bergvik skog väst AB</t>
        </is>
      </c>
      <c r="G17209" t="n">
        <v>7.2</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50339-2024</t>
        </is>
      </c>
      <c r="B17210" s="1" t="n">
        <v>45600</v>
      </c>
      <c r="C17210" s="1" t="n">
        <v>45810</v>
      </c>
      <c r="D17210" t="inlineStr">
        <is>
          <t>VÄRMLANDS LÄN</t>
        </is>
      </c>
      <c r="E17210" t="inlineStr">
        <is>
          <t>ÅRJÄNG</t>
        </is>
      </c>
      <c r="G17210" t="n">
        <v>1.7</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50347-2024</t>
        </is>
      </c>
      <c r="B17211" s="1" t="n">
        <v>45600</v>
      </c>
      <c r="C17211" s="1" t="n">
        <v>45810</v>
      </c>
      <c r="D17211" t="inlineStr">
        <is>
          <t>VÄRMLANDS LÄN</t>
        </is>
      </c>
      <c r="E17211" t="inlineStr">
        <is>
          <t>ÅRJÄNG</t>
        </is>
      </c>
      <c r="G17211" t="n">
        <v>3</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50128-2024</t>
        </is>
      </c>
      <c r="B17212" s="1" t="n">
        <v>45600</v>
      </c>
      <c r="C17212" s="1" t="n">
        <v>45810</v>
      </c>
      <c r="D17212" t="inlineStr">
        <is>
          <t>VÄRMLANDS LÄN</t>
        </is>
      </c>
      <c r="E17212" t="inlineStr">
        <is>
          <t>ÅRJÄNG</t>
        </is>
      </c>
      <c r="G17212" t="n">
        <v>1.2</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50252-2024</t>
        </is>
      </c>
      <c r="B17213" s="1" t="n">
        <v>45600</v>
      </c>
      <c r="C17213" s="1" t="n">
        <v>45810</v>
      </c>
      <c r="D17213" t="inlineStr">
        <is>
          <t>VÄRMLANDS LÄN</t>
        </is>
      </c>
      <c r="E17213" t="inlineStr">
        <is>
          <t>KIL</t>
        </is>
      </c>
      <c r="G17213" t="n">
        <v>4.5</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50236-2024</t>
        </is>
      </c>
      <c r="B17214" s="1" t="n">
        <v>45600</v>
      </c>
      <c r="C17214" s="1" t="n">
        <v>45810</v>
      </c>
      <c r="D17214" t="inlineStr">
        <is>
          <t>VÄRMLANDS LÄN</t>
        </is>
      </c>
      <c r="E17214" t="inlineStr">
        <is>
          <t>KARLSTAD</t>
        </is>
      </c>
      <c r="G17214" t="n">
        <v>5.3</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50367-2024</t>
        </is>
      </c>
      <c r="B17215" s="1" t="n">
        <v>45600</v>
      </c>
      <c r="C17215" s="1" t="n">
        <v>45810</v>
      </c>
      <c r="D17215" t="inlineStr">
        <is>
          <t>VÄRMLANDS LÄN</t>
        </is>
      </c>
      <c r="E17215" t="inlineStr">
        <is>
          <t>FORSHAGA</t>
        </is>
      </c>
      <c r="G17215" t="n">
        <v>2.5</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50388-2024</t>
        </is>
      </c>
      <c r="B17216" s="1" t="n">
        <v>45600</v>
      </c>
      <c r="C17216" s="1" t="n">
        <v>45810</v>
      </c>
      <c r="D17216" t="inlineStr">
        <is>
          <t>VÄRMLANDS LÄN</t>
        </is>
      </c>
      <c r="E17216" t="inlineStr">
        <is>
          <t>ÅRJÄNG</t>
        </is>
      </c>
      <c r="G17216" t="n">
        <v>1.3</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50235-2024</t>
        </is>
      </c>
      <c r="B17217" s="1" t="n">
        <v>45600</v>
      </c>
      <c r="C17217" s="1" t="n">
        <v>45810</v>
      </c>
      <c r="D17217" t="inlineStr">
        <is>
          <t>VÄRMLANDS LÄN</t>
        </is>
      </c>
      <c r="E17217" t="inlineStr">
        <is>
          <t>TORSBY</t>
        </is>
      </c>
      <c r="G17217" t="n">
        <v>0.6</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50332-2024</t>
        </is>
      </c>
      <c r="B17218" s="1" t="n">
        <v>45600</v>
      </c>
      <c r="C17218" s="1" t="n">
        <v>45810</v>
      </c>
      <c r="D17218" t="inlineStr">
        <is>
          <t>VÄRMLANDS LÄN</t>
        </is>
      </c>
      <c r="E17218" t="inlineStr">
        <is>
          <t>HAGFORS</t>
        </is>
      </c>
      <c r="F17218" t="inlineStr">
        <is>
          <t>Bergvik skog väst AB</t>
        </is>
      </c>
      <c r="G17218" t="n">
        <v>6.7</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50368-2024</t>
        </is>
      </c>
      <c r="B17219" s="1" t="n">
        <v>45600</v>
      </c>
      <c r="C17219" s="1" t="n">
        <v>45810</v>
      </c>
      <c r="D17219" t="inlineStr">
        <is>
          <t>VÄRMLANDS LÄN</t>
        </is>
      </c>
      <c r="E17219" t="inlineStr">
        <is>
          <t>FORSHAGA</t>
        </is>
      </c>
      <c r="G17219" t="n">
        <v>1.2</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50122-2024</t>
        </is>
      </c>
      <c r="B17220" s="1" t="n">
        <v>45600</v>
      </c>
      <c r="C17220" s="1" t="n">
        <v>45810</v>
      </c>
      <c r="D17220" t="inlineStr">
        <is>
          <t>VÄRMLANDS LÄN</t>
        </is>
      </c>
      <c r="E17220" t="inlineStr">
        <is>
          <t>ÅRJÄNG</t>
        </is>
      </c>
      <c r="G17220" t="n">
        <v>2</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50225-2024</t>
        </is>
      </c>
      <c r="B17221" s="1" t="n">
        <v>45600</v>
      </c>
      <c r="C17221" s="1" t="n">
        <v>45810</v>
      </c>
      <c r="D17221" t="inlineStr">
        <is>
          <t>VÄRMLANDS LÄN</t>
        </is>
      </c>
      <c r="E17221" t="inlineStr">
        <is>
          <t>EDA</t>
        </is>
      </c>
      <c r="G17221" t="n">
        <v>2</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50302-2024</t>
        </is>
      </c>
      <c r="B17222" s="1" t="n">
        <v>45600</v>
      </c>
      <c r="C17222" s="1" t="n">
        <v>45810</v>
      </c>
      <c r="D17222" t="inlineStr">
        <is>
          <t>VÄRMLANDS LÄN</t>
        </is>
      </c>
      <c r="E17222" t="inlineStr">
        <is>
          <t>ÅRJÄNG</t>
        </is>
      </c>
      <c r="G17222" t="n">
        <v>3.5</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50330-2024</t>
        </is>
      </c>
      <c r="B17223" s="1" t="n">
        <v>45600</v>
      </c>
      <c r="C17223" s="1" t="n">
        <v>45810</v>
      </c>
      <c r="D17223" t="inlineStr">
        <is>
          <t>VÄRMLANDS LÄN</t>
        </is>
      </c>
      <c r="E17223" t="inlineStr">
        <is>
          <t>HAGFORS</t>
        </is>
      </c>
      <c r="F17223" t="inlineStr">
        <is>
          <t>Bergvik skog väst AB</t>
        </is>
      </c>
      <c r="G17223" t="n">
        <v>1.7</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50399-2024</t>
        </is>
      </c>
      <c r="B17224" s="1" t="n">
        <v>45601</v>
      </c>
      <c r="C17224" s="1" t="n">
        <v>45810</v>
      </c>
      <c r="D17224" t="inlineStr">
        <is>
          <t>VÄRMLANDS LÄN</t>
        </is>
      </c>
      <c r="E17224" t="inlineStr">
        <is>
          <t>HAGFORS</t>
        </is>
      </c>
      <c r="G17224" t="n">
        <v>1.3</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50475-2024</t>
        </is>
      </c>
      <c r="B17225" s="1" t="n">
        <v>45601</v>
      </c>
      <c r="C17225" s="1" t="n">
        <v>45810</v>
      </c>
      <c r="D17225" t="inlineStr">
        <is>
          <t>VÄRMLANDS LÄN</t>
        </is>
      </c>
      <c r="E17225" t="inlineStr">
        <is>
          <t>KARLSTAD</t>
        </is>
      </c>
      <c r="G17225" t="n">
        <v>6.4</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50509-2024</t>
        </is>
      </c>
      <c r="B17226" s="1" t="n">
        <v>45601</v>
      </c>
      <c r="C17226" s="1" t="n">
        <v>45810</v>
      </c>
      <c r="D17226" t="inlineStr">
        <is>
          <t>VÄRMLANDS LÄN</t>
        </is>
      </c>
      <c r="E17226" t="inlineStr">
        <is>
          <t>ÅRJÄNG</t>
        </is>
      </c>
      <c r="G17226" t="n">
        <v>1.2</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50568-2024</t>
        </is>
      </c>
      <c r="B17227" s="1" t="n">
        <v>45601</v>
      </c>
      <c r="C17227" s="1" t="n">
        <v>45810</v>
      </c>
      <c r="D17227" t="inlineStr">
        <is>
          <t>VÄRMLANDS LÄN</t>
        </is>
      </c>
      <c r="E17227" t="inlineStr">
        <is>
          <t>TORSBY</t>
        </is>
      </c>
      <c r="G17227" t="n">
        <v>1.1</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50563-2024</t>
        </is>
      </c>
      <c r="B17228" s="1" t="n">
        <v>45601</v>
      </c>
      <c r="C17228" s="1" t="n">
        <v>45810</v>
      </c>
      <c r="D17228" t="inlineStr">
        <is>
          <t>VÄRMLANDS LÄN</t>
        </is>
      </c>
      <c r="E17228" t="inlineStr">
        <is>
          <t>EDA</t>
        </is>
      </c>
      <c r="G17228" t="n">
        <v>1.5</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50383-2024</t>
        </is>
      </c>
      <c r="B17229" s="1" t="n">
        <v>45601</v>
      </c>
      <c r="C17229" s="1" t="n">
        <v>45810</v>
      </c>
      <c r="D17229" t="inlineStr">
        <is>
          <t>VÄRMLANDS LÄN</t>
        </is>
      </c>
      <c r="E17229" t="inlineStr">
        <is>
          <t>ARVIKA</t>
        </is>
      </c>
      <c r="G17229" t="n">
        <v>1.5</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50619-2024</t>
        </is>
      </c>
      <c r="B17230" s="1" t="n">
        <v>45601</v>
      </c>
      <c r="C17230" s="1" t="n">
        <v>45810</v>
      </c>
      <c r="D17230" t="inlineStr">
        <is>
          <t>VÄRMLANDS LÄN</t>
        </is>
      </c>
      <c r="E17230" t="inlineStr">
        <is>
          <t>SUNNE</t>
        </is>
      </c>
      <c r="F17230" t="inlineStr">
        <is>
          <t>Bergvik skog väst AB</t>
        </is>
      </c>
      <c r="G17230" t="n">
        <v>2</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50478-2024</t>
        </is>
      </c>
      <c r="B17231" s="1" t="n">
        <v>45601</v>
      </c>
      <c r="C17231" s="1" t="n">
        <v>45810</v>
      </c>
      <c r="D17231" t="inlineStr">
        <is>
          <t>VÄRMLANDS LÄN</t>
        </is>
      </c>
      <c r="E17231" t="inlineStr">
        <is>
          <t>KARLSTAD</t>
        </is>
      </c>
      <c r="G17231" t="n">
        <v>1.9</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50462-2024</t>
        </is>
      </c>
      <c r="B17232" s="1" t="n">
        <v>45601</v>
      </c>
      <c r="C17232" s="1" t="n">
        <v>45810</v>
      </c>
      <c r="D17232" t="inlineStr">
        <is>
          <t>VÄRMLANDS LÄN</t>
        </is>
      </c>
      <c r="E17232" t="inlineStr">
        <is>
          <t>ARVIKA</t>
        </is>
      </c>
      <c r="F17232" t="inlineStr">
        <is>
          <t>Bergvik skog väst AB</t>
        </is>
      </c>
      <c r="G17232" t="n">
        <v>5.3</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50386-2024</t>
        </is>
      </c>
      <c r="B17233" s="1" t="n">
        <v>45601</v>
      </c>
      <c r="C17233" s="1" t="n">
        <v>45810</v>
      </c>
      <c r="D17233" t="inlineStr">
        <is>
          <t>VÄRMLANDS LÄN</t>
        </is>
      </c>
      <c r="E17233" t="inlineStr">
        <is>
          <t>TORSBY</t>
        </is>
      </c>
      <c r="F17233" t="inlineStr">
        <is>
          <t>Övriga Aktiebolag</t>
        </is>
      </c>
      <c r="G17233" t="n">
        <v>1.7</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50373-2024</t>
        </is>
      </c>
      <c r="B17234" s="1" t="n">
        <v>45601</v>
      </c>
      <c r="C17234" s="1" t="n">
        <v>45810</v>
      </c>
      <c r="D17234" t="inlineStr">
        <is>
          <t>VÄRMLANDS LÄN</t>
        </is>
      </c>
      <c r="E17234" t="inlineStr">
        <is>
          <t>TORSBY</t>
        </is>
      </c>
      <c r="F17234" t="inlineStr">
        <is>
          <t>Övriga Aktiebolag</t>
        </is>
      </c>
      <c r="G17234" t="n">
        <v>3.3</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50679-2024</t>
        </is>
      </c>
      <c r="B17235" s="1" t="n">
        <v>45601</v>
      </c>
      <c r="C17235" s="1" t="n">
        <v>45810</v>
      </c>
      <c r="D17235" t="inlineStr">
        <is>
          <t>VÄRMLANDS LÄN</t>
        </is>
      </c>
      <c r="E17235" t="inlineStr">
        <is>
          <t>ARVIKA</t>
        </is>
      </c>
      <c r="G17235" t="n">
        <v>2</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50678-2024</t>
        </is>
      </c>
      <c r="B17236" s="1" t="n">
        <v>45601</v>
      </c>
      <c r="C17236" s="1" t="n">
        <v>45810</v>
      </c>
      <c r="D17236" t="inlineStr">
        <is>
          <t>VÄRMLANDS LÄN</t>
        </is>
      </c>
      <c r="E17236" t="inlineStr">
        <is>
          <t>ARVIKA</t>
        </is>
      </c>
      <c r="G17236" t="n">
        <v>0.8</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50629-2024</t>
        </is>
      </c>
      <c r="B17237" s="1" t="n">
        <v>45601</v>
      </c>
      <c r="C17237" s="1" t="n">
        <v>45810</v>
      </c>
      <c r="D17237" t="inlineStr">
        <is>
          <t>VÄRMLANDS LÄN</t>
        </is>
      </c>
      <c r="E17237" t="inlineStr">
        <is>
          <t>ARVIKA</t>
        </is>
      </c>
      <c r="G17237" t="n">
        <v>3.1</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50372-2024</t>
        </is>
      </c>
      <c r="B17238" s="1" t="n">
        <v>45601</v>
      </c>
      <c r="C17238" s="1" t="n">
        <v>45810</v>
      </c>
      <c r="D17238" t="inlineStr">
        <is>
          <t>VÄRMLANDS LÄN</t>
        </is>
      </c>
      <c r="E17238" t="inlineStr">
        <is>
          <t>TORSBY</t>
        </is>
      </c>
      <c r="F17238" t="inlineStr">
        <is>
          <t>Övriga Aktiebolag</t>
        </is>
      </c>
      <c r="G17238" t="n">
        <v>1.9</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50376-2024</t>
        </is>
      </c>
      <c r="B17239" s="1" t="n">
        <v>45601</v>
      </c>
      <c r="C17239" s="1" t="n">
        <v>45810</v>
      </c>
      <c r="D17239" t="inlineStr">
        <is>
          <t>VÄRMLANDS LÄN</t>
        </is>
      </c>
      <c r="E17239" t="inlineStr">
        <is>
          <t>TORSBY</t>
        </is>
      </c>
      <c r="F17239" t="inlineStr">
        <is>
          <t>Övriga Aktiebolag</t>
        </is>
      </c>
      <c r="G17239" t="n">
        <v>1.5</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50380-2024</t>
        </is>
      </c>
      <c r="B17240" s="1" t="n">
        <v>45601</v>
      </c>
      <c r="C17240" s="1" t="n">
        <v>45810</v>
      </c>
      <c r="D17240" t="inlineStr">
        <is>
          <t>VÄRMLANDS LÄN</t>
        </is>
      </c>
      <c r="E17240" t="inlineStr">
        <is>
          <t>TORSBY</t>
        </is>
      </c>
      <c r="F17240" t="inlineStr">
        <is>
          <t>Bergvik skog väst AB</t>
        </is>
      </c>
      <c r="G17240" t="n">
        <v>7.9</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50415-2024</t>
        </is>
      </c>
      <c r="B17241" s="1" t="n">
        <v>45601</v>
      </c>
      <c r="C17241" s="1" t="n">
        <v>45810</v>
      </c>
      <c r="D17241" t="inlineStr">
        <is>
          <t>VÄRMLANDS LÄN</t>
        </is>
      </c>
      <c r="E17241" t="inlineStr">
        <is>
          <t>SÄFFLE</t>
        </is>
      </c>
      <c r="G17241" t="n">
        <v>2.5</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50494-2024</t>
        </is>
      </c>
      <c r="B17242" s="1" t="n">
        <v>45601</v>
      </c>
      <c r="C17242" s="1" t="n">
        <v>45810</v>
      </c>
      <c r="D17242" t="inlineStr">
        <is>
          <t>VÄRMLANDS LÄN</t>
        </is>
      </c>
      <c r="E17242" t="inlineStr">
        <is>
          <t>TORSBY</t>
        </is>
      </c>
      <c r="G17242" t="n">
        <v>5.4</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50461-2024</t>
        </is>
      </c>
      <c r="B17243" s="1" t="n">
        <v>45601</v>
      </c>
      <c r="C17243" s="1" t="n">
        <v>45810</v>
      </c>
      <c r="D17243" t="inlineStr">
        <is>
          <t>VÄRMLANDS LÄN</t>
        </is>
      </c>
      <c r="E17243" t="inlineStr">
        <is>
          <t>KIL</t>
        </is>
      </c>
      <c r="G17243" t="n">
        <v>1.6</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50683-2024</t>
        </is>
      </c>
      <c r="B17244" s="1" t="n">
        <v>45602</v>
      </c>
      <c r="C17244" s="1" t="n">
        <v>45810</v>
      </c>
      <c r="D17244" t="inlineStr">
        <is>
          <t>VÄRMLANDS LÄN</t>
        </is>
      </c>
      <c r="E17244" t="inlineStr">
        <is>
          <t>KARLSTAD</t>
        </is>
      </c>
      <c r="G17244" t="n">
        <v>2.3</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50695-2024</t>
        </is>
      </c>
      <c r="B17245" s="1" t="n">
        <v>45602</v>
      </c>
      <c r="C17245" s="1" t="n">
        <v>45810</v>
      </c>
      <c r="D17245" t="inlineStr">
        <is>
          <t>VÄRMLANDS LÄN</t>
        </is>
      </c>
      <c r="E17245" t="inlineStr">
        <is>
          <t>SUNNE</t>
        </is>
      </c>
      <c r="G17245" t="n">
        <v>1.5</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50740-2024</t>
        </is>
      </c>
      <c r="B17246" s="1" t="n">
        <v>45602</v>
      </c>
      <c r="C17246" s="1" t="n">
        <v>45810</v>
      </c>
      <c r="D17246" t="inlineStr">
        <is>
          <t>VÄRMLANDS LÄN</t>
        </is>
      </c>
      <c r="E17246" t="inlineStr">
        <is>
          <t>ÅRJÄNG</t>
        </is>
      </c>
      <c r="G17246" t="n">
        <v>1.3</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50748-2024</t>
        </is>
      </c>
      <c r="B17247" s="1" t="n">
        <v>45602</v>
      </c>
      <c r="C17247" s="1" t="n">
        <v>45810</v>
      </c>
      <c r="D17247" t="inlineStr">
        <is>
          <t>VÄRMLANDS LÄN</t>
        </is>
      </c>
      <c r="E17247" t="inlineStr">
        <is>
          <t>SUNNE</t>
        </is>
      </c>
      <c r="G17247" t="n">
        <v>3.1</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50768-2024</t>
        </is>
      </c>
      <c r="B17248" s="1" t="n">
        <v>45602</v>
      </c>
      <c r="C17248" s="1" t="n">
        <v>45810</v>
      </c>
      <c r="D17248" t="inlineStr">
        <is>
          <t>VÄRMLANDS LÄN</t>
        </is>
      </c>
      <c r="E17248" t="inlineStr">
        <is>
          <t>SUNNE</t>
        </is>
      </c>
      <c r="G17248" t="n">
        <v>1.3</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50776-2024</t>
        </is>
      </c>
      <c r="B17249" s="1" t="n">
        <v>45602</v>
      </c>
      <c r="C17249" s="1" t="n">
        <v>45810</v>
      </c>
      <c r="D17249" t="inlineStr">
        <is>
          <t>VÄRMLANDS LÄN</t>
        </is>
      </c>
      <c r="E17249" t="inlineStr">
        <is>
          <t>FILIPSTAD</t>
        </is>
      </c>
      <c r="F17249" t="inlineStr">
        <is>
          <t>Bergvik skog väst AB</t>
        </is>
      </c>
      <c r="G17249" t="n">
        <v>15.5</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50815-2024</t>
        </is>
      </c>
      <c r="B17250" s="1" t="n">
        <v>45602</v>
      </c>
      <c r="C17250" s="1" t="n">
        <v>45810</v>
      </c>
      <c r="D17250" t="inlineStr">
        <is>
          <t>VÄRMLANDS LÄN</t>
        </is>
      </c>
      <c r="E17250" t="inlineStr">
        <is>
          <t>SUNNE</t>
        </is>
      </c>
      <c r="G17250" t="n">
        <v>2.5</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50684-2024</t>
        </is>
      </c>
      <c r="B17251" s="1" t="n">
        <v>45602</v>
      </c>
      <c r="C17251" s="1" t="n">
        <v>45810</v>
      </c>
      <c r="D17251" t="inlineStr">
        <is>
          <t>VÄRMLANDS LÄN</t>
        </is>
      </c>
      <c r="E17251" t="inlineStr">
        <is>
          <t>SUNNE</t>
        </is>
      </c>
      <c r="G17251" t="n">
        <v>1.3</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50753-2024</t>
        </is>
      </c>
      <c r="B17252" s="1" t="n">
        <v>45602</v>
      </c>
      <c r="C17252" s="1" t="n">
        <v>45810</v>
      </c>
      <c r="D17252" t="inlineStr">
        <is>
          <t>VÄRMLANDS LÄN</t>
        </is>
      </c>
      <c r="E17252" t="inlineStr">
        <is>
          <t>SUNNE</t>
        </is>
      </c>
      <c r="G17252" t="n">
        <v>0.6</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50825-2024</t>
        </is>
      </c>
      <c r="B17253" s="1" t="n">
        <v>45602</v>
      </c>
      <c r="C17253" s="1" t="n">
        <v>45810</v>
      </c>
      <c r="D17253" t="inlineStr">
        <is>
          <t>VÄRMLANDS LÄN</t>
        </is>
      </c>
      <c r="E17253" t="inlineStr">
        <is>
          <t>SUNNE</t>
        </is>
      </c>
      <c r="G17253" t="n">
        <v>7.3</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50832-2024</t>
        </is>
      </c>
      <c r="B17254" s="1" t="n">
        <v>45602</v>
      </c>
      <c r="C17254" s="1" t="n">
        <v>45810</v>
      </c>
      <c r="D17254" t="inlineStr">
        <is>
          <t>VÄRMLANDS LÄN</t>
        </is>
      </c>
      <c r="E17254" t="inlineStr">
        <is>
          <t>TORSBY</t>
        </is>
      </c>
      <c r="F17254" t="inlineStr">
        <is>
          <t>Bergvik skog väst AB</t>
        </is>
      </c>
      <c r="G17254" t="n">
        <v>4.8</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50837-2024</t>
        </is>
      </c>
      <c r="B17255" s="1" t="n">
        <v>45602</v>
      </c>
      <c r="C17255" s="1" t="n">
        <v>45810</v>
      </c>
      <c r="D17255" t="inlineStr">
        <is>
          <t>VÄRMLANDS LÄN</t>
        </is>
      </c>
      <c r="E17255" t="inlineStr">
        <is>
          <t>SUNNE</t>
        </is>
      </c>
      <c r="G17255" t="n">
        <v>3.3</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50841-2024</t>
        </is>
      </c>
      <c r="B17256" s="1" t="n">
        <v>45602</v>
      </c>
      <c r="C17256" s="1" t="n">
        <v>45810</v>
      </c>
      <c r="D17256" t="inlineStr">
        <is>
          <t>VÄRMLANDS LÄN</t>
        </is>
      </c>
      <c r="E17256" t="inlineStr">
        <is>
          <t>SUNNE</t>
        </is>
      </c>
      <c r="G17256" t="n">
        <v>1</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50872-2024</t>
        </is>
      </c>
      <c r="B17257" s="1" t="n">
        <v>45602</v>
      </c>
      <c r="C17257" s="1" t="n">
        <v>45810</v>
      </c>
      <c r="D17257" t="inlineStr">
        <is>
          <t>VÄRMLANDS LÄN</t>
        </is>
      </c>
      <c r="E17257" t="inlineStr">
        <is>
          <t>SUNNE</t>
        </is>
      </c>
      <c r="G17257" t="n">
        <v>1.6</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50936-2024</t>
        </is>
      </c>
      <c r="B17258" s="1" t="n">
        <v>45602</v>
      </c>
      <c r="C17258" s="1" t="n">
        <v>45810</v>
      </c>
      <c r="D17258" t="inlineStr">
        <is>
          <t>VÄRMLANDS LÄN</t>
        </is>
      </c>
      <c r="E17258" t="inlineStr">
        <is>
          <t>ARVIKA</t>
        </is>
      </c>
      <c r="G17258" t="n">
        <v>1.8</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50948-2024</t>
        </is>
      </c>
      <c r="B17259" s="1" t="n">
        <v>45602</v>
      </c>
      <c r="C17259" s="1" t="n">
        <v>45810</v>
      </c>
      <c r="D17259" t="inlineStr">
        <is>
          <t>VÄRMLANDS LÄN</t>
        </is>
      </c>
      <c r="E17259" t="inlineStr">
        <is>
          <t>HAGFORS</t>
        </is>
      </c>
      <c r="G17259" t="n">
        <v>7.7</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51260-2024</t>
        </is>
      </c>
      <c r="B17260" s="1" t="n">
        <v>45602</v>
      </c>
      <c r="C17260" s="1" t="n">
        <v>45810</v>
      </c>
      <c r="D17260" t="inlineStr">
        <is>
          <t>VÄRMLANDS LÄN</t>
        </is>
      </c>
      <c r="E17260" t="inlineStr">
        <is>
          <t>ÅRJÄNG</t>
        </is>
      </c>
      <c r="G17260" t="n">
        <v>1.7</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50775-2024</t>
        </is>
      </c>
      <c r="B17261" s="1" t="n">
        <v>45602</v>
      </c>
      <c r="C17261" s="1" t="n">
        <v>45810</v>
      </c>
      <c r="D17261" t="inlineStr">
        <is>
          <t>VÄRMLANDS LÄN</t>
        </is>
      </c>
      <c r="E17261" t="inlineStr">
        <is>
          <t>SUNNE</t>
        </is>
      </c>
      <c r="G17261" t="n">
        <v>2.5</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50786-2024</t>
        </is>
      </c>
      <c r="B17262" s="1" t="n">
        <v>45602</v>
      </c>
      <c r="C17262" s="1" t="n">
        <v>45810</v>
      </c>
      <c r="D17262" t="inlineStr">
        <is>
          <t>VÄRMLANDS LÄN</t>
        </is>
      </c>
      <c r="E17262" t="inlineStr">
        <is>
          <t>FILIPSTAD</t>
        </is>
      </c>
      <c r="F17262" t="inlineStr">
        <is>
          <t>Bergvik skog väst AB</t>
        </is>
      </c>
      <c r="G17262" t="n">
        <v>3.9</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50819-2024</t>
        </is>
      </c>
      <c r="B17263" s="1" t="n">
        <v>45602</v>
      </c>
      <c r="C17263" s="1" t="n">
        <v>45810</v>
      </c>
      <c r="D17263" t="inlineStr">
        <is>
          <t>VÄRMLANDS LÄN</t>
        </is>
      </c>
      <c r="E17263" t="inlineStr">
        <is>
          <t>SUNNE</t>
        </is>
      </c>
      <c r="G17263" t="n">
        <v>1.8</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50890-2024</t>
        </is>
      </c>
      <c r="B17264" s="1" t="n">
        <v>45602</v>
      </c>
      <c r="C17264" s="1" t="n">
        <v>45810</v>
      </c>
      <c r="D17264" t="inlineStr">
        <is>
          <t>VÄRMLANDS LÄN</t>
        </is>
      </c>
      <c r="E17264" t="inlineStr">
        <is>
          <t>ARVIKA</t>
        </is>
      </c>
      <c r="G17264" t="n">
        <v>2.3</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50914-2024</t>
        </is>
      </c>
      <c r="B17265" s="1" t="n">
        <v>45602</v>
      </c>
      <c r="C17265" s="1" t="n">
        <v>45810</v>
      </c>
      <c r="D17265" t="inlineStr">
        <is>
          <t>VÄRMLANDS LÄN</t>
        </is>
      </c>
      <c r="E17265" t="inlineStr">
        <is>
          <t>ARVIKA</t>
        </is>
      </c>
      <c r="G17265" t="n">
        <v>1</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50950-2024</t>
        </is>
      </c>
      <c r="B17266" s="1" t="n">
        <v>45602</v>
      </c>
      <c r="C17266" s="1" t="n">
        <v>45810</v>
      </c>
      <c r="D17266" t="inlineStr">
        <is>
          <t>VÄRMLANDS LÄN</t>
        </is>
      </c>
      <c r="E17266" t="inlineStr">
        <is>
          <t>SUNNE</t>
        </is>
      </c>
      <c r="G17266" t="n">
        <v>3.7</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51268-2024</t>
        </is>
      </c>
      <c r="B17267" s="1" t="n">
        <v>45602</v>
      </c>
      <c r="C17267" s="1" t="n">
        <v>45810</v>
      </c>
      <c r="D17267" t="inlineStr">
        <is>
          <t>VÄRMLANDS LÄN</t>
        </is>
      </c>
      <c r="E17267" t="inlineStr">
        <is>
          <t>ÅRJÄNG</t>
        </is>
      </c>
      <c r="G17267" t="n">
        <v>2.8</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50789-2024</t>
        </is>
      </c>
      <c r="B17268" s="1" t="n">
        <v>45602</v>
      </c>
      <c r="C17268" s="1" t="n">
        <v>45810</v>
      </c>
      <c r="D17268" t="inlineStr">
        <is>
          <t>VÄRMLANDS LÄN</t>
        </is>
      </c>
      <c r="E17268" t="inlineStr">
        <is>
          <t>ARVIKA</t>
        </is>
      </c>
      <c r="F17268" t="inlineStr">
        <is>
          <t>Bergvik skog väst AB</t>
        </is>
      </c>
      <c r="G17268" t="n">
        <v>0.9</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50847-2024</t>
        </is>
      </c>
      <c r="B17269" s="1" t="n">
        <v>45602</v>
      </c>
      <c r="C17269" s="1" t="n">
        <v>45810</v>
      </c>
      <c r="D17269" t="inlineStr">
        <is>
          <t>VÄRMLANDS LÄN</t>
        </is>
      </c>
      <c r="E17269" t="inlineStr">
        <is>
          <t>ARVIKA</t>
        </is>
      </c>
      <c r="F17269" t="inlineStr">
        <is>
          <t>Bergvik skog väst AB</t>
        </is>
      </c>
      <c r="G17269" t="n">
        <v>1</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50937-2024</t>
        </is>
      </c>
      <c r="B17270" s="1" t="n">
        <v>45602</v>
      </c>
      <c r="C17270" s="1" t="n">
        <v>45810</v>
      </c>
      <c r="D17270" t="inlineStr">
        <is>
          <t>VÄRMLANDS LÄN</t>
        </is>
      </c>
      <c r="E17270" t="inlineStr">
        <is>
          <t>ARVIKA</t>
        </is>
      </c>
      <c r="G17270" t="n">
        <v>2.2</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51265-2024</t>
        </is>
      </c>
      <c r="B17271" s="1" t="n">
        <v>45602</v>
      </c>
      <c r="C17271" s="1" t="n">
        <v>45810</v>
      </c>
      <c r="D17271" t="inlineStr">
        <is>
          <t>VÄRMLANDS LÄN</t>
        </is>
      </c>
      <c r="E17271" t="inlineStr">
        <is>
          <t>ÅRJÄNG</t>
        </is>
      </c>
      <c r="G17271" t="n">
        <v>2.5</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51146-2024</t>
        </is>
      </c>
      <c r="B17272" s="1" t="n">
        <v>45603</v>
      </c>
      <c r="C17272" s="1" t="n">
        <v>45810</v>
      </c>
      <c r="D17272" t="inlineStr">
        <is>
          <t>VÄRMLANDS LÄN</t>
        </is>
      </c>
      <c r="E17272" t="inlineStr">
        <is>
          <t>EDA</t>
        </is>
      </c>
      <c r="G17272" t="n">
        <v>3.4</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51189-2024</t>
        </is>
      </c>
      <c r="B17273" s="1" t="n">
        <v>45603</v>
      </c>
      <c r="C17273" s="1" t="n">
        <v>45810</v>
      </c>
      <c r="D17273" t="inlineStr">
        <is>
          <t>VÄRMLANDS LÄN</t>
        </is>
      </c>
      <c r="E17273" t="inlineStr">
        <is>
          <t>SÄFFLE</t>
        </is>
      </c>
      <c r="G17273" t="n">
        <v>2.6</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51171-2024</t>
        </is>
      </c>
      <c r="B17274" s="1" t="n">
        <v>45603</v>
      </c>
      <c r="C17274" s="1" t="n">
        <v>45810</v>
      </c>
      <c r="D17274" t="inlineStr">
        <is>
          <t>VÄRMLANDS LÄN</t>
        </is>
      </c>
      <c r="E17274" t="inlineStr">
        <is>
          <t>HAGFORS</t>
        </is>
      </c>
      <c r="F17274" t="inlineStr">
        <is>
          <t>Bergvik skog väst AB</t>
        </is>
      </c>
      <c r="G17274" t="n">
        <v>4.4</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51014-2024</t>
        </is>
      </c>
      <c r="B17275" s="1" t="n">
        <v>45603</v>
      </c>
      <c r="C17275" s="1" t="n">
        <v>45810</v>
      </c>
      <c r="D17275" t="inlineStr">
        <is>
          <t>VÄRMLANDS LÄN</t>
        </is>
      </c>
      <c r="E17275" t="inlineStr">
        <is>
          <t>ARVIKA</t>
        </is>
      </c>
      <c r="G17275" t="n">
        <v>1.9</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51203-2024</t>
        </is>
      </c>
      <c r="B17276" s="1" t="n">
        <v>45603</v>
      </c>
      <c r="C17276" s="1" t="n">
        <v>45810</v>
      </c>
      <c r="D17276" t="inlineStr">
        <is>
          <t>VÄRMLANDS LÄN</t>
        </is>
      </c>
      <c r="E17276" t="inlineStr">
        <is>
          <t>SÄFFLE</t>
        </is>
      </c>
      <c r="G17276" t="n">
        <v>0.6</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51038-2024</t>
        </is>
      </c>
      <c r="B17277" s="1" t="n">
        <v>45603</v>
      </c>
      <c r="C17277" s="1" t="n">
        <v>45810</v>
      </c>
      <c r="D17277" t="inlineStr">
        <is>
          <t>VÄRMLANDS LÄN</t>
        </is>
      </c>
      <c r="E17277" t="inlineStr">
        <is>
          <t>SUNNE</t>
        </is>
      </c>
      <c r="F17277" t="inlineStr">
        <is>
          <t>Bergvik skog väst AB</t>
        </is>
      </c>
      <c r="G17277" t="n">
        <v>2</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51046-2024</t>
        </is>
      </c>
      <c r="B17278" s="1" t="n">
        <v>45603</v>
      </c>
      <c r="C17278" s="1" t="n">
        <v>45810</v>
      </c>
      <c r="D17278" t="inlineStr">
        <is>
          <t>VÄRMLANDS LÄN</t>
        </is>
      </c>
      <c r="E17278" t="inlineStr">
        <is>
          <t>SUNNE</t>
        </is>
      </c>
      <c r="F17278" t="inlineStr">
        <is>
          <t>Bergvik skog väst AB</t>
        </is>
      </c>
      <c r="G17278" t="n">
        <v>2.9</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51102-2024</t>
        </is>
      </c>
      <c r="B17279" s="1" t="n">
        <v>45603</v>
      </c>
      <c r="C17279" s="1" t="n">
        <v>45810</v>
      </c>
      <c r="D17279" t="inlineStr">
        <is>
          <t>VÄRMLANDS LÄN</t>
        </is>
      </c>
      <c r="E17279" t="inlineStr">
        <is>
          <t>HAGFORS</t>
        </is>
      </c>
      <c r="F17279" t="inlineStr">
        <is>
          <t>Bergvik skog väst AB</t>
        </is>
      </c>
      <c r="G17279" t="n">
        <v>2.4</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51139-2024</t>
        </is>
      </c>
      <c r="B17280" s="1" t="n">
        <v>45603</v>
      </c>
      <c r="C17280" s="1" t="n">
        <v>45810</v>
      </c>
      <c r="D17280" t="inlineStr">
        <is>
          <t>VÄRMLANDS LÄN</t>
        </is>
      </c>
      <c r="E17280" t="inlineStr">
        <is>
          <t>KRISTINEHAMN</t>
        </is>
      </c>
      <c r="G17280" t="n">
        <v>3.6</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51143-2024</t>
        </is>
      </c>
      <c r="B17281" s="1" t="n">
        <v>45603</v>
      </c>
      <c r="C17281" s="1" t="n">
        <v>45810</v>
      </c>
      <c r="D17281" t="inlineStr">
        <is>
          <t>VÄRMLANDS LÄN</t>
        </is>
      </c>
      <c r="E17281" t="inlineStr">
        <is>
          <t>EDA</t>
        </is>
      </c>
      <c r="G17281" t="n">
        <v>4.1</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50953-2024</t>
        </is>
      </c>
      <c r="B17282" s="1" t="n">
        <v>45603</v>
      </c>
      <c r="C17282" s="1" t="n">
        <v>45810</v>
      </c>
      <c r="D17282" t="inlineStr">
        <is>
          <t>VÄRMLANDS LÄN</t>
        </is>
      </c>
      <c r="E17282" t="inlineStr">
        <is>
          <t>ARVIKA</t>
        </is>
      </c>
      <c r="G17282" t="n">
        <v>2.6</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50974-2024</t>
        </is>
      </c>
      <c r="B17283" s="1" t="n">
        <v>45603</v>
      </c>
      <c r="C17283" s="1" t="n">
        <v>45810</v>
      </c>
      <c r="D17283" t="inlineStr">
        <is>
          <t>VÄRMLANDS LÄN</t>
        </is>
      </c>
      <c r="E17283" t="inlineStr">
        <is>
          <t>EDA</t>
        </is>
      </c>
      <c r="G17283" t="n">
        <v>0.8</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50990-2024</t>
        </is>
      </c>
      <c r="B17284" s="1" t="n">
        <v>45603</v>
      </c>
      <c r="C17284" s="1" t="n">
        <v>45810</v>
      </c>
      <c r="D17284" t="inlineStr">
        <is>
          <t>VÄRMLANDS LÄN</t>
        </is>
      </c>
      <c r="E17284" t="inlineStr">
        <is>
          <t>EDA</t>
        </is>
      </c>
      <c r="G17284" t="n">
        <v>2.2</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50994-2024</t>
        </is>
      </c>
      <c r="B17285" s="1" t="n">
        <v>45603</v>
      </c>
      <c r="C17285" s="1" t="n">
        <v>45810</v>
      </c>
      <c r="D17285" t="inlineStr">
        <is>
          <t>VÄRMLANDS LÄN</t>
        </is>
      </c>
      <c r="E17285" t="inlineStr">
        <is>
          <t>EDA</t>
        </is>
      </c>
      <c r="G17285" t="n">
        <v>10</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51031-2024</t>
        </is>
      </c>
      <c r="B17286" s="1" t="n">
        <v>45603</v>
      </c>
      <c r="C17286" s="1" t="n">
        <v>45810</v>
      </c>
      <c r="D17286" t="inlineStr">
        <is>
          <t>VÄRMLANDS LÄN</t>
        </is>
      </c>
      <c r="E17286" t="inlineStr">
        <is>
          <t>KARLSTAD</t>
        </is>
      </c>
      <c r="G17286" t="n">
        <v>1.9</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51235-2024</t>
        </is>
      </c>
      <c r="B17287" s="1" t="n">
        <v>45603</v>
      </c>
      <c r="C17287" s="1" t="n">
        <v>45810</v>
      </c>
      <c r="D17287" t="inlineStr">
        <is>
          <t>VÄRMLANDS LÄN</t>
        </is>
      </c>
      <c r="E17287" t="inlineStr">
        <is>
          <t>ARVIKA</t>
        </is>
      </c>
      <c r="G17287" t="n">
        <v>9.9</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51086-2024</t>
        </is>
      </c>
      <c r="B17288" s="1" t="n">
        <v>45603</v>
      </c>
      <c r="C17288" s="1" t="n">
        <v>45810</v>
      </c>
      <c r="D17288" t="inlineStr">
        <is>
          <t>VÄRMLANDS LÄN</t>
        </is>
      </c>
      <c r="E17288" t="inlineStr">
        <is>
          <t>SUNNE</t>
        </is>
      </c>
      <c r="F17288" t="inlineStr">
        <is>
          <t>Bergvik skog väst AB</t>
        </is>
      </c>
      <c r="G17288" t="n">
        <v>2.6</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51266-2024</t>
        </is>
      </c>
      <c r="B17289" s="1" t="n">
        <v>45603</v>
      </c>
      <c r="C17289" s="1" t="n">
        <v>45810</v>
      </c>
      <c r="D17289" t="inlineStr">
        <is>
          <t>VÄRMLANDS LÄN</t>
        </is>
      </c>
      <c r="E17289" t="inlineStr">
        <is>
          <t>SÄFFLE</t>
        </is>
      </c>
      <c r="G17289" t="n">
        <v>3.5</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51271-2024</t>
        </is>
      </c>
      <c r="B17290" s="1" t="n">
        <v>45603</v>
      </c>
      <c r="C17290" s="1" t="n">
        <v>45810</v>
      </c>
      <c r="D17290" t="inlineStr">
        <is>
          <t>VÄRMLANDS LÄN</t>
        </is>
      </c>
      <c r="E17290" t="inlineStr">
        <is>
          <t>TORSBY</t>
        </is>
      </c>
      <c r="F17290" t="inlineStr">
        <is>
          <t>Bergvik skog väst AB</t>
        </is>
      </c>
      <c r="G17290" t="n">
        <v>22.5</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51281-2024</t>
        </is>
      </c>
      <c r="B17291" s="1" t="n">
        <v>45603</v>
      </c>
      <c r="C17291" s="1" t="n">
        <v>45810</v>
      </c>
      <c r="D17291" t="inlineStr">
        <is>
          <t>VÄRMLANDS LÄN</t>
        </is>
      </c>
      <c r="E17291" t="inlineStr">
        <is>
          <t>SUNNE</t>
        </is>
      </c>
      <c r="G17291" t="n">
        <v>1</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51205-2024</t>
        </is>
      </c>
      <c r="B17292" s="1" t="n">
        <v>45603</v>
      </c>
      <c r="C17292" s="1" t="n">
        <v>45810</v>
      </c>
      <c r="D17292" t="inlineStr">
        <is>
          <t>VÄRMLANDS LÄN</t>
        </is>
      </c>
      <c r="E17292" t="inlineStr">
        <is>
          <t>FILIPSTAD</t>
        </is>
      </c>
      <c r="F17292" t="inlineStr">
        <is>
          <t>Bergvik skog väst AB</t>
        </is>
      </c>
      <c r="G17292" t="n">
        <v>8.4</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51157-2024</t>
        </is>
      </c>
      <c r="B17293" s="1" t="n">
        <v>45603</v>
      </c>
      <c r="C17293" s="1" t="n">
        <v>45810</v>
      </c>
      <c r="D17293" t="inlineStr">
        <is>
          <t>VÄRMLANDS LÄN</t>
        </is>
      </c>
      <c r="E17293" t="inlineStr">
        <is>
          <t>ÅRJÄNG</t>
        </is>
      </c>
      <c r="G17293" t="n">
        <v>6.3</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51144-2024</t>
        </is>
      </c>
      <c r="B17294" s="1" t="n">
        <v>45603</v>
      </c>
      <c r="C17294" s="1" t="n">
        <v>45810</v>
      </c>
      <c r="D17294" t="inlineStr">
        <is>
          <t>VÄRMLANDS LÄN</t>
        </is>
      </c>
      <c r="E17294" t="inlineStr">
        <is>
          <t>EDA</t>
        </is>
      </c>
      <c r="G17294" t="n">
        <v>2.5</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51089-2024</t>
        </is>
      </c>
      <c r="B17295" s="1" t="n">
        <v>45603</v>
      </c>
      <c r="C17295" s="1" t="n">
        <v>45810</v>
      </c>
      <c r="D17295" t="inlineStr">
        <is>
          <t>VÄRMLANDS LÄN</t>
        </is>
      </c>
      <c r="E17295" t="inlineStr">
        <is>
          <t>FILIPSTAD</t>
        </is>
      </c>
      <c r="F17295" t="inlineStr">
        <is>
          <t>Bergvik skog väst AB</t>
        </is>
      </c>
      <c r="G17295" t="n">
        <v>4</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51536-2024</t>
        </is>
      </c>
      <c r="B17296" s="1" t="n">
        <v>45603</v>
      </c>
      <c r="C17296" s="1" t="n">
        <v>45810</v>
      </c>
      <c r="D17296" t="inlineStr">
        <is>
          <t>VÄRMLANDS LÄN</t>
        </is>
      </c>
      <c r="E17296" t="inlineStr">
        <is>
          <t>SÄFFLE</t>
        </is>
      </c>
      <c r="G17296" t="n">
        <v>1.2</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51009-2024</t>
        </is>
      </c>
      <c r="B17297" s="1" t="n">
        <v>45603</v>
      </c>
      <c r="C17297" s="1" t="n">
        <v>45810</v>
      </c>
      <c r="D17297" t="inlineStr">
        <is>
          <t>VÄRMLANDS LÄN</t>
        </is>
      </c>
      <c r="E17297" t="inlineStr">
        <is>
          <t>SUNNE</t>
        </is>
      </c>
      <c r="G17297" t="n">
        <v>2.8</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51017-2024</t>
        </is>
      </c>
      <c r="B17298" s="1" t="n">
        <v>45603</v>
      </c>
      <c r="C17298" s="1" t="n">
        <v>45810</v>
      </c>
      <c r="D17298" t="inlineStr">
        <is>
          <t>VÄRMLANDS LÄN</t>
        </is>
      </c>
      <c r="E17298" t="inlineStr">
        <is>
          <t>ARVIKA</t>
        </is>
      </c>
      <c r="G17298" t="n">
        <v>6.1</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51033-2024</t>
        </is>
      </c>
      <c r="B17299" s="1" t="n">
        <v>45603</v>
      </c>
      <c r="C17299" s="1" t="n">
        <v>45810</v>
      </c>
      <c r="D17299" t="inlineStr">
        <is>
          <t>VÄRMLANDS LÄN</t>
        </is>
      </c>
      <c r="E17299" t="inlineStr">
        <is>
          <t>EDA</t>
        </is>
      </c>
      <c r="G17299" t="n">
        <v>1.2</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51162-2024</t>
        </is>
      </c>
      <c r="B17300" s="1" t="n">
        <v>45603</v>
      </c>
      <c r="C17300" s="1" t="n">
        <v>45810</v>
      </c>
      <c r="D17300" t="inlineStr">
        <is>
          <t>VÄRMLANDS LÄN</t>
        </is>
      </c>
      <c r="E17300" t="inlineStr">
        <is>
          <t>FILIPSTAD</t>
        </is>
      </c>
      <c r="F17300" t="inlineStr">
        <is>
          <t>Bergvik skog väst AB</t>
        </is>
      </c>
      <c r="G17300" t="n">
        <v>2.2</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51299-2024</t>
        </is>
      </c>
      <c r="B17301" s="1" t="n">
        <v>45604</v>
      </c>
      <c r="C17301" s="1" t="n">
        <v>45810</v>
      </c>
      <c r="D17301" t="inlineStr">
        <is>
          <t>VÄRMLANDS LÄN</t>
        </is>
      </c>
      <c r="E17301" t="inlineStr">
        <is>
          <t>ARVIKA</t>
        </is>
      </c>
      <c r="G17301" t="n">
        <v>0.8</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51369-2024</t>
        </is>
      </c>
      <c r="B17302" s="1" t="n">
        <v>45604</v>
      </c>
      <c r="C17302" s="1" t="n">
        <v>45810</v>
      </c>
      <c r="D17302" t="inlineStr">
        <is>
          <t>VÄRMLANDS LÄN</t>
        </is>
      </c>
      <c r="E17302" t="inlineStr">
        <is>
          <t>TORSBY</t>
        </is>
      </c>
      <c r="G17302" t="n">
        <v>1.9</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51308-2024</t>
        </is>
      </c>
      <c r="B17303" s="1" t="n">
        <v>45604</v>
      </c>
      <c r="C17303" s="1" t="n">
        <v>45810</v>
      </c>
      <c r="D17303" t="inlineStr">
        <is>
          <t>VÄRMLANDS LÄN</t>
        </is>
      </c>
      <c r="E17303" t="inlineStr">
        <is>
          <t>ARVIKA</t>
        </is>
      </c>
      <c r="G17303" t="n">
        <v>1.4</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51316-2024</t>
        </is>
      </c>
      <c r="B17304" s="1" t="n">
        <v>45604</v>
      </c>
      <c r="C17304" s="1" t="n">
        <v>45810</v>
      </c>
      <c r="D17304" t="inlineStr">
        <is>
          <t>VÄRMLANDS LÄN</t>
        </is>
      </c>
      <c r="E17304" t="inlineStr">
        <is>
          <t>ARVIKA</t>
        </is>
      </c>
      <c r="G17304" t="n">
        <v>0.7</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51331-2024</t>
        </is>
      </c>
      <c r="B17305" s="1" t="n">
        <v>45604</v>
      </c>
      <c r="C17305" s="1" t="n">
        <v>45810</v>
      </c>
      <c r="D17305" t="inlineStr">
        <is>
          <t>VÄRMLANDS LÄN</t>
        </is>
      </c>
      <c r="E17305" t="inlineStr">
        <is>
          <t>SUNNE</t>
        </is>
      </c>
      <c r="F17305" t="inlineStr">
        <is>
          <t>Bergvik skog väst AB</t>
        </is>
      </c>
      <c r="G17305" t="n">
        <v>1.8</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51349-2024</t>
        </is>
      </c>
      <c r="B17306" s="1" t="n">
        <v>45604</v>
      </c>
      <c r="C17306" s="1" t="n">
        <v>45810</v>
      </c>
      <c r="D17306" t="inlineStr">
        <is>
          <t>VÄRMLANDS LÄN</t>
        </is>
      </c>
      <c r="E17306" t="inlineStr">
        <is>
          <t>KIL</t>
        </is>
      </c>
      <c r="G17306" t="n">
        <v>0.7</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51454-2024</t>
        </is>
      </c>
      <c r="B17307" s="1" t="n">
        <v>45604</v>
      </c>
      <c r="C17307" s="1" t="n">
        <v>45810</v>
      </c>
      <c r="D17307" t="inlineStr">
        <is>
          <t>VÄRMLANDS LÄN</t>
        </is>
      </c>
      <c r="E17307" t="inlineStr">
        <is>
          <t>SUNNE</t>
        </is>
      </c>
      <c r="F17307" t="inlineStr">
        <is>
          <t>Bergvik skog väst AB</t>
        </is>
      </c>
      <c r="G17307" t="n">
        <v>8.4</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51462-2024</t>
        </is>
      </c>
      <c r="B17308" s="1" t="n">
        <v>45604</v>
      </c>
      <c r="C17308" s="1" t="n">
        <v>45810</v>
      </c>
      <c r="D17308" t="inlineStr">
        <is>
          <t>VÄRMLANDS LÄN</t>
        </is>
      </c>
      <c r="E17308" t="inlineStr">
        <is>
          <t>KRISTINEHAMN</t>
        </is>
      </c>
      <c r="G17308" t="n">
        <v>5.5</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51502-2024</t>
        </is>
      </c>
      <c r="B17309" s="1" t="n">
        <v>45604</v>
      </c>
      <c r="C17309" s="1" t="n">
        <v>45810</v>
      </c>
      <c r="D17309" t="inlineStr">
        <is>
          <t>VÄRMLANDS LÄN</t>
        </is>
      </c>
      <c r="E17309" t="inlineStr">
        <is>
          <t>FORSHAGA</t>
        </is>
      </c>
      <c r="G17309" t="n">
        <v>1.9</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51532-2024</t>
        </is>
      </c>
      <c r="B17310" s="1" t="n">
        <v>45604</v>
      </c>
      <c r="C17310" s="1" t="n">
        <v>45810</v>
      </c>
      <c r="D17310" t="inlineStr">
        <is>
          <t>VÄRMLANDS LÄN</t>
        </is>
      </c>
      <c r="E17310" t="inlineStr">
        <is>
          <t>FILIPSTAD</t>
        </is>
      </c>
      <c r="F17310" t="inlineStr">
        <is>
          <t>Bergvik skog väst AB</t>
        </is>
      </c>
      <c r="G17310" t="n">
        <v>1.7</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51534-2024</t>
        </is>
      </c>
      <c r="B17311" s="1" t="n">
        <v>45604</v>
      </c>
      <c r="C17311" s="1" t="n">
        <v>45810</v>
      </c>
      <c r="D17311" t="inlineStr">
        <is>
          <t>VÄRMLANDS LÄN</t>
        </is>
      </c>
      <c r="E17311" t="inlineStr">
        <is>
          <t>FILIPSTAD</t>
        </is>
      </c>
      <c r="F17311" t="inlineStr">
        <is>
          <t>Bergvik skog väst AB</t>
        </is>
      </c>
      <c r="G17311" t="n">
        <v>2.7</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51549-2024</t>
        </is>
      </c>
      <c r="B17312" s="1" t="n">
        <v>45604</v>
      </c>
      <c r="C17312" s="1" t="n">
        <v>45810</v>
      </c>
      <c r="D17312" t="inlineStr">
        <is>
          <t>VÄRMLANDS LÄN</t>
        </is>
      </c>
      <c r="E17312" t="inlineStr">
        <is>
          <t>ARVIKA</t>
        </is>
      </c>
      <c r="G17312" t="n">
        <v>1.2</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51596-2024</t>
        </is>
      </c>
      <c r="B17313" s="1" t="n">
        <v>45604</v>
      </c>
      <c r="C17313" s="1" t="n">
        <v>45810</v>
      </c>
      <c r="D17313" t="inlineStr">
        <is>
          <t>VÄRMLANDS LÄN</t>
        </is>
      </c>
      <c r="E17313" t="inlineStr">
        <is>
          <t>ARVIKA</t>
        </is>
      </c>
      <c r="G17313" t="n">
        <v>3.1</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51469-2024</t>
        </is>
      </c>
      <c r="B17314" s="1" t="n">
        <v>45604</v>
      </c>
      <c r="C17314" s="1" t="n">
        <v>45810</v>
      </c>
      <c r="D17314" t="inlineStr">
        <is>
          <t>VÄRMLANDS LÄN</t>
        </is>
      </c>
      <c r="E17314" t="inlineStr">
        <is>
          <t>TORSBY</t>
        </is>
      </c>
      <c r="G17314" t="n">
        <v>3.9</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51477-2024</t>
        </is>
      </c>
      <c r="B17315" s="1" t="n">
        <v>45604</v>
      </c>
      <c r="C17315" s="1" t="n">
        <v>45810</v>
      </c>
      <c r="D17315" t="inlineStr">
        <is>
          <t>VÄRMLANDS LÄN</t>
        </is>
      </c>
      <c r="E17315" t="inlineStr">
        <is>
          <t>MUNKFORS</t>
        </is>
      </c>
      <c r="F17315" t="inlineStr">
        <is>
          <t>Bergvik skog väst AB</t>
        </is>
      </c>
      <c r="G17315" t="n">
        <v>5.4</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51520-2024</t>
        </is>
      </c>
      <c r="B17316" s="1" t="n">
        <v>45604</v>
      </c>
      <c r="C17316" s="1" t="n">
        <v>45810</v>
      </c>
      <c r="D17316" t="inlineStr">
        <is>
          <t>VÄRMLANDS LÄN</t>
        </is>
      </c>
      <c r="E17316" t="inlineStr">
        <is>
          <t>EDA</t>
        </is>
      </c>
      <c r="G17316" t="n">
        <v>1.3</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51524-2024</t>
        </is>
      </c>
      <c r="B17317" s="1" t="n">
        <v>45604</v>
      </c>
      <c r="C17317" s="1" t="n">
        <v>45810</v>
      </c>
      <c r="D17317" t="inlineStr">
        <is>
          <t>VÄRMLANDS LÄN</t>
        </is>
      </c>
      <c r="E17317" t="inlineStr">
        <is>
          <t>FILIPSTAD</t>
        </is>
      </c>
      <c r="F17317" t="inlineStr">
        <is>
          <t>Bergvik skog väst AB</t>
        </is>
      </c>
      <c r="G17317" t="n">
        <v>10.1</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51533-2024</t>
        </is>
      </c>
      <c r="B17318" s="1" t="n">
        <v>45604</v>
      </c>
      <c r="C17318" s="1" t="n">
        <v>45810</v>
      </c>
      <c r="D17318" t="inlineStr">
        <is>
          <t>VÄRMLANDS LÄN</t>
        </is>
      </c>
      <c r="E17318" t="inlineStr">
        <is>
          <t>ARVIKA</t>
        </is>
      </c>
      <c r="G17318" t="n">
        <v>3</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51574-2024</t>
        </is>
      </c>
      <c r="B17319" s="1" t="n">
        <v>45604</v>
      </c>
      <c r="C17319" s="1" t="n">
        <v>45810</v>
      </c>
      <c r="D17319" t="inlineStr">
        <is>
          <t>VÄRMLANDS LÄN</t>
        </is>
      </c>
      <c r="E17319" t="inlineStr">
        <is>
          <t>FILIPSTAD</t>
        </is>
      </c>
      <c r="F17319" t="inlineStr">
        <is>
          <t>Bergvik skog väst AB</t>
        </is>
      </c>
      <c r="G17319" t="n">
        <v>17.8</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51300-2024</t>
        </is>
      </c>
      <c r="B17320" s="1" t="n">
        <v>45604</v>
      </c>
      <c r="C17320" s="1" t="n">
        <v>45810</v>
      </c>
      <c r="D17320" t="inlineStr">
        <is>
          <t>VÄRMLANDS LÄN</t>
        </is>
      </c>
      <c r="E17320" t="inlineStr">
        <is>
          <t>ARVIKA</t>
        </is>
      </c>
      <c r="G17320" t="n">
        <v>5.3</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51355-2024</t>
        </is>
      </c>
      <c r="B17321" s="1" t="n">
        <v>45604</v>
      </c>
      <c r="C17321" s="1" t="n">
        <v>45810</v>
      </c>
      <c r="D17321" t="inlineStr">
        <is>
          <t>VÄRMLANDS LÄN</t>
        </is>
      </c>
      <c r="E17321" t="inlineStr">
        <is>
          <t>SUNNE</t>
        </is>
      </c>
      <c r="F17321" t="inlineStr">
        <is>
          <t>Bergvik skog väst AB</t>
        </is>
      </c>
      <c r="G17321" t="n">
        <v>2.3</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51535-2024</t>
        </is>
      </c>
      <c r="B17322" s="1" t="n">
        <v>45604</v>
      </c>
      <c r="C17322" s="1" t="n">
        <v>45810</v>
      </c>
      <c r="D17322" t="inlineStr">
        <is>
          <t>VÄRMLANDS LÄN</t>
        </is>
      </c>
      <c r="E17322" t="inlineStr">
        <is>
          <t>ARVIKA</t>
        </is>
      </c>
      <c r="G17322" t="n">
        <v>0.9</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51853-2024</t>
        </is>
      </c>
      <c r="B17323" s="1" t="n">
        <v>45605</v>
      </c>
      <c r="C17323" s="1" t="n">
        <v>45810</v>
      </c>
      <c r="D17323" t="inlineStr">
        <is>
          <t>VÄRMLANDS LÄN</t>
        </is>
      </c>
      <c r="E17323" t="inlineStr">
        <is>
          <t>GRUMS</t>
        </is>
      </c>
      <c r="G17323" t="n">
        <v>2.3</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51634-2024</t>
        </is>
      </c>
      <c r="B17324" s="1" t="n">
        <v>45605</v>
      </c>
      <c r="C17324" s="1" t="n">
        <v>45810</v>
      </c>
      <c r="D17324" t="inlineStr">
        <is>
          <t>VÄRMLANDS LÄN</t>
        </is>
      </c>
      <c r="E17324" t="inlineStr">
        <is>
          <t>SUNNE</t>
        </is>
      </c>
      <c r="G17324" t="n">
        <v>0.6</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51661-2024</t>
        </is>
      </c>
      <c r="B17325" s="1" t="n">
        <v>45606</v>
      </c>
      <c r="C17325" s="1" t="n">
        <v>45810</v>
      </c>
      <c r="D17325" t="inlineStr">
        <is>
          <t>VÄRMLANDS LÄN</t>
        </is>
      </c>
      <c r="E17325" t="inlineStr">
        <is>
          <t>TORSBY</t>
        </is>
      </c>
      <c r="G17325" t="n">
        <v>6.9</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51662-2024</t>
        </is>
      </c>
      <c r="B17326" s="1" t="n">
        <v>45606</v>
      </c>
      <c r="C17326" s="1" t="n">
        <v>45810</v>
      </c>
      <c r="D17326" t="inlineStr">
        <is>
          <t>VÄRMLANDS LÄN</t>
        </is>
      </c>
      <c r="E17326" t="inlineStr">
        <is>
          <t>TORSBY</t>
        </is>
      </c>
      <c r="G17326" t="n">
        <v>1.3</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51663-2024</t>
        </is>
      </c>
      <c r="B17327" s="1" t="n">
        <v>45606</v>
      </c>
      <c r="C17327" s="1" t="n">
        <v>45810</v>
      </c>
      <c r="D17327" t="inlineStr">
        <is>
          <t>VÄRMLANDS LÄN</t>
        </is>
      </c>
      <c r="E17327" t="inlineStr">
        <is>
          <t>TORSBY</t>
        </is>
      </c>
      <c r="G17327" t="n">
        <v>1.8</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51992-2024</t>
        </is>
      </c>
      <c r="B17328" s="1" t="n">
        <v>45606</v>
      </c>
      <c r="C17328" s="1" t="n">
        <v>45810</v>
      </c>
      <c r="D17328" t="inlineStr">
        <is>
          <t>VÄRMLANDS LÄN</t>
        </is>
      </c>
      <c r="E17328" t="inlineStr">
        <is>
          <t>SUNNE</t>
        </is>
      </c>
      <c r="G17328" t="n">
        <v>1.3</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51660-2024</t>
        </is>
      </c>
      <c r="B17329" s="1" t="n">
        <v>45606</v>
      </c>
      <c r="C17329" s="1" t="n">
        <v>45810</v>
      </c>
      <c r="D17329" t="inlineStr">
        <is>
          <t>VÄRMLANDS LÄN</t>
        </is>
      </c>
      <c r="E17329" t="inlineStr">
        <is>
          <t>TORSBY</t>
        </is>
      </c>
      <c r="G17329" t="n">
        <v>1.4</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51968-2024</t>
        </is>
      </c>
      <c r="B17330" s="1" t="n">
        <v>45607</v>
      </c>
      <c r="C17330" s="1" t="n">
        <v>45810</v>
      </c>
      <c r="D17330" t="inlineStr">
        <is>
          <t>VÄRMLANDS LÄN</t>
        </is>
      </c>
      <c r="E17330" t="inlineStr">
        <is>
          <t>HAGFORS</t>
        </is>
      </c>
      <c r="F17330" t="inlineStr">
        <is>
          <t>Bergvik skog väst AB</t>
        </is>
      </c>
      <c r="G17330" t="n">
        <v>26.6</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51980-2024</t>
        </is>
      </c>
      <c r="B17331" s="1" t="n">
        <v>45607</v>
      </c>
      <c r="C17331" s="1" t="n">
        <v>45810</v>
      </c>
      <c r="D17331" t="inlineStr">
        <is>
          <t>VÄRMLANDS LÄN</t>
        </is>
      </c>
      <c r="E17331" t="inlineStr">
        <is>
          <t>FILIPSTAD</t>
        </is>
      </c>
      <c r="F17331" t="inlineStr">
        <is>
          <t>Bergvik skog väst AB</t>
        </is>
      </c>
      <c r="G17331" t="n">
        <v>4.7</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51987-2024</t>
        </is>
      </c>
      <c r="B17332" s="1" t="n">
        <v>45607</v>
      </c>
      <c r="C17332" s="1" t="n">
        <v>45810</v>
      </c>
      <c r="D17332" t="inlineStr">
        <is>
          <t>VÄRMLANDS LÄN</t>
        </is>
      </c>
      <c r="E17332" t="inlineStr">
        <is>
          <t>TORSBY</t>
        </is>
      </c>
      <c r="G17332" t="n">
        <v>17.7</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51698-2024</t>
        </is>
      </c>
      <c r="B17333" s="1" t="n">
        <v>45607</v>
      </c>
      <c r="C17333" s="1" t="n">
        <v>45810</v>
      </c>
      <c r="D17333" t="inlineStr">
        <is>
          <t>VÄRMLANDS LÄN</t>
        </is>
      </c>
      <c r="E17333" t="inlineStr">
        <is>
          <t>SUNNE</t>
        </is>
      </c>
      <c r="F17333" t="inlineStr">
        <is>
          <t>Bergvik skog väst AB</t>
        </is>
      </c>
      <c r="G17333" t="n">
        <v>2.4</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52025-2024</t>
        </is>
      </c>
      <c r="B17334" s="1" t="n">
        <v>45607</v>
      </c>
      <c r="C17334" s="1" t="n">
        <v>45810</v>
      </c>
      <c r="D17334" t="inlineStr">
        <is>
          <t>VÄRMLANDS LÄN</t>
        </is>
      </c>
      <c r="E17334" t="inlineStr">
        <is>
          <t>SÄFFLE</t>
        </is>
      </c>
      <c r="G17334" t="n">
        <v>1.8</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51922-2024</t>
        </is>
      </c>
      <c r="B17335" s="1" t="n">
        <v>45607</v>
      </c>
      <c r="C17335" s="1" t="n">
        <v>45810</v>
      </c>
      <c r="D17335" t="inlineStr">
        <is>
          <t>VÄRMLANDS LÄN</t>
        </is>
      </c>
      <c r="E17335" t="inlineStr">
        <is>
          <t>FILIPSTAD</t>
        </is>
      </c>
      <c r="F17335" t="inlineStr">
        <is>
          <t>Bergvik skog väst AB</t>
        </is>
      </c>
      <c r="G17335" t="n">
        <v>8</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51815-2024</t>
        </is>
      </c>
      <c r="B17336" s="1" t="n">
        <v>45607</v>
      </c>
      <c r="C17336" s="1" t="n">
        <v>45810</v>
      </c>
      <c r="D17336" t="inlineStr">
        <is>
          <t>VÄRMLANDS LÄN</t>
        </is>
      </c>
      <c r="E17336" t="inlineStr">
        <is>
          <t>ARVIKA</t>
        </is>
      </c>
      <c r="G17336" t="n">
        <v>1.3</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51836-2024</t>
        </is>
      </c>
      <c r="B17337" s="1" t="n">
        <v>45607</v>
      </c>
      <c r="C17337" s="1" t="n">
        <v>45810</v>
      </c>
      <c r="D17337" t="inlineStr">
        <is>
          <t>VÄRMLANDS LÄN</t>
        </is>
      </c>
      <c r="E17337" t="inlineStr">
        <is>
          <t>TORSBY</t>
        </is>
      </c>
      <c r="G17337" t="n">
        <v>2</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51863-2024</t>
        </is>
      </c>
      <c r="B17338" s="1" t="n">
        <v>45607</v>
      </c>
      <c r="C17338" s="1" t="n">
        <v>45810</v>
      </c>
      <c r="D17338" t="inlineStr">
        <is>
          <t>VÄRMLANDS LÄN</t>
        </is>
      </c>
      <c r="E17338" t="inlineStr">
        <is>
          <t>ARVIKA</t>
        </is>
      </c>
      <c r="F17338" t="inlineStr">
        <is>
          <t>Bergvik skog väst AB</t>
        </is>
      </c>
      <c r="G17338" t="n">
        <v>1.5</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51977-2024</t>
        </is>
      </c>
      <c r="B17339" s="1" t="n">
        <v>45607</v>
      </c>
      <c r="C17339" s="1" t="n">
        <v>45810</v>
      </c>
      <c r="D17339" t="inlineStr">
        <is>
          <t>VÄRMLANDS LÄN</t>
        </is>
      </c>
      <c r="E17339" t="inlineStr">
        <is>
          <t>ARVIKA</t>
        </is>
      </c>
      <c r="G17339" t="n">
        <v>3.8</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52024-2024</t>
        </is>
      </c>
      <c r="B17340" s="1" t="n">
        <v>45607</v>
      </c>
      <c r="C17340" s="1" t="n">
        <v>45810</v>
      </c>
      <c r="D17340" t="inlineStr">
        <is>
          <t>VÄRMLANDS LÄN</t>
        </is>
      </c>
      <c r="E17340" t="inlineStr">
        <is>
          <t>EDA</t>
        </is>
      </c>
      <c r="G17340" t="n">
        <v>3.5</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52226-2024</t>
        </is>
      </c>
      <c r="B17341" s="1" t="n">
        <v>45607</v>
      </c>
      <c r="C17341" s="1" t="n">
        <v>45810</v>
      </c>
      <c r="D17341" t="inlineStr">
        <is>
          <t>VÄRMLANDS LÄN</t>
        </is>
      </c>
      <c r="E17341" t="inlineStr">
        <is>
          <t>SUNNE</t>
        </is>
      </c>
      <c r="G17341" t="n">
        <v>1.8</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51908-2024</t>
        </is>
      </c>
      <c r="B17342" s="1" t="n">
        <v>45607</v>
      </c>
      <c r="C17342" s="1" t="n">
        <v>45810</v>
      </c>
      <c r="D17342" t="inlineStr">
        <is>
          <t>VÄRMLANDS LÄN</t>
        </is>
      </c>
      <c r="E17342" t="inlineStr">
        <is>
          <t>HAGFORS</t>
        </is>
      </c>
      <c r="F17342" t="inlineStr">
        <is>
          <t>Bergvik skog väst AB</t>
        </is>
      </c>
      <c r="G17342" t="n">
        <v>8.800000000000001</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51895-2024</t>
        </is>
      </c>
      <c r="B17343" s="1" t="n">
        <v>45607</v>
      </c>
      <c r="C17343" s="1" t="n">
        <v>45810</v>
      </c>
      <c r="D17343" t="inlineStr">
        <is>
          <t>VÄRMLANDS LÄN</t>
        </is>
      </c>
      <c r="E17343" t="inlineStr">
        <is>
          <t>KARLSTAD</t>
        </is>
      </c>
      <c r="G17343" t="n">
        <v>0.5</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51891-2024</t>
        </is>
      </c>
      <c r="B17344" s="1" t="n">
        <v>45607</v>
      </c>
      <c r="C17344" s="1" t="n">
        <v>45810</v>
      </c>
      <c r="D17344" t="inlineStr">
        <is>
          <t>VÄRMLANDS LÄN</t>
        </is>
      </c>
      <c r="E17344" t="inlineStr">
        <is>
          <t>ARVIKA</t>
        </is>
      </c>
      <c r="G17344" t="n">
        <v>5.7</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51878-2024</t>
        </is>
      </c>
      <c r="B17345" s="1" t="n">
        <v>45607</v>
      </c>
      <c r="C17345" s="1" t="n">
        <v>45810</v>
      </c>
      <c r="D17345" t="inlineStr">
        <is>
          <t>VÄRMLANDS LÄN</t>
        </is>
      </c>
      <c r="E17345" t="inlineStr">
        <is>
          <t>ARVIKA</t>
        </is>
      </c>
      <c r="F17345" t="inlineStr">
        <is>
          <t>Bergvik skog väst AB</t>
        </is>
      </c>
      <c r="G17345" t="n">
        <v>1.5</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51877-2024</t>
        </is>
      </c>
      <c r="B17346" s="1" t="n">
        <v>45607</v>
      </c>
      <c r="C17346" s="1" t="n">
        <v>45810</v>
      </c>
      <c r="D17346" t="inlineStr">
        <is>
          <t>VÄRMLANDS LÄN</t>
        </is>
      </c>
      <c r="E17346" t="inlineStr">
        <is>
          <t>KARLSTAD</t>
        </is>
      </c>
      <c r="G17346" t="n">
        <v>2.6</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51823-2024</t>
        </is>
      </c>
      <c r="B17347" s="1" t="n">
        <v>45607</v>
      </c>
      <c r="C17347" s="1" t="n">
        <v>45810</v>
      </c>
      <c r="D17347" t="inlineStr">
        <is>
          <t>VÄRMLANDS LÄN</t>
        </is>
      </c>
      <c r="E17347" t="inlineStr">
        <is>
          <t>TORSBY</t>
        </is>
      </c>
      <c r="G17347" t="n">
        <v>1</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51785-2024</t>
        </is>
      </c>
      <c r="B17348" s="1" t="n">
        <v>45607</v>
      </c>
      <c r="C17348" s="1" t="n">
        <v>45810</v>
      </c>
      <c r="D17348" t="inlineStr">
        <is>
          <t>VÄRMLANDS LÄN</t>
        </is>
      </c>
      <c r="E17348" t="inlineStr">
        <is>
          <t>TORSBY</t>
        </is>
      </c>
      <c r="G17348" t="n">
        <v>1.1</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51773-2024</t>
        </is>
      </c>
      <c r="B17349" s="1" t="n">
        <v>45607</v>
      </c>
      <c r="C17349" s="1" t="n">
        <v>45810</v>
      </c>
      <c r="D17349" t="inlineStr">
        <is>
          <t>VÄRMLANDS LÄN</t>
        </is>
      </c>
      <c r="E17349" t="inlineStr">
        <is>
          <t>SUNNE</t>
        </is>
      </c>
      <c r="F17349" t="inlineStr">
        <is>
          <t>Bergvik skog väst AB</t>
        </is>
      </c>
      <c r="G17349" t="n">
        <v>2.3</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51729-2024</t>
        </is>
      </c>
      <c r="B17350" s="1" t="n">
        <v>45607</v>
      </c>
      <c r="C17350" s="1" t="n">
        <v>45810</v>
      </c>
      <c r="D17350" t="inlineStr">
        <is>
          <t>VÄRMLANDS LÄN</t>
        </is>
      </c>
      <c r="E17350" t="inlineStr">
        <is>
          <t>ARVIKA</t>
        </is>
      </c>
      <c r="G17350" t="n">
        <v>1.4</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52026-2024</t>
        </is>
      </c>
      <c r="B17351" s="1" t="n">
        <v>45607</v>
      </c>
      <c r="C17351" s="1" t="n">
        <v>45810</v>
      </c>
      <c r="D17351" t="inlineStr">
        <is>
          <t>VÄRMLANDS LÄN</t>
        </is>
      </c>
      <c r="E17351" t="inlineStr">
        <is>
          <t>SÄFFLE</t>
        </is>
      </c>
      <c r="G17351" t="n">
        <v>1.5</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52204-2024</t>
        </is>
      </c>
      <c r="B17352" s="1" t="n">
        <v>45607</v>
      </c>
      <c r="C17352" s="1" t="n">
        <v>45810</v>
      </c>
      <c r="D17352" t="inlineStr">
        <is>
          <t>VÄRMLANDS LÄN</t>
        </is>
      </c>
      <c r="E17352" t="inlineStr">
        <is>
          <t>SÄFFLE</t>
        </is>
      </c>
      <c r="G17352" t="n">
        <v>2</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52174-2024</t>
        </is>
      </c>
      <c r="B17353" s="1" t="n">
        <v>45608</v>
      </c>
      <c r="C17353" s="1" t="n">
        <v>45810</v>
      </c>
      <c r="D17353" t="inlineStr">
        <is>
          <t>VÄRMLANDS LÄN</t>
        </is>
      </c>
      <c r="E17353" t="inlineStr">
        <is>
          <t>SÄFFLE</t>
        </is>
      </c>
      <c r="G17353" t="n">
        <v>1.3</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52223-2024</t>
        </is>
      </c>
      <c r="B17354" s="1" t="n">
        <v>45608</v>
      </c>
      <c r="C17354" s="1" t="n">
        <v>45810</v>
      </c>
      <c r="D17354" t="inlineStr">
        <is>
          <t>VÄRMLANDS LÄN</t>
        </is>
      </c>
      <c r="E17354" t="inlineStr">
        <is>
          <t>TORSBY</t>
        </is>
      </c>
      <c r="G17354" t="n">
        <v>3.8</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52239-2024</t>
        </is>
      </c>
      <c r="B17355" s="1" t="n">
        <v>45608</v>
      </c>
      <c r="C17355" s="1" t="n">
        <v>45810</v>
      </c>
      <c r="D17355" t="inlineStr">
        <is>
          <t>VÄRMLANDS LÄN</t>
        </is>
      </c>
      <c r="E17355" t="inlineStr">
        <is>
          <t>TORSBY</t>
        </is>
      </c>
      <c r="F17355" t="inlineStr">
        <is>
          <t>Bergvik skog väst AB</t>
        </is>
      </c>
      <c r="G17355" t="n">
        <v>3.4</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52257-2024</t>
        </is>
      </c>
      <c r="B17356" s="1" t="n">
        <v>45608</v>
      </c>
      <c r="C17356" s="1" t="n">
        <v>45810</v>
      </c>
      <c r="D17356" t="inlineStr">
        <is>
          <t>VÄRMLANDS LÄN</t>
        </is>
      </c>
      <c r="E17356" t="inlineStr">
        <is>
          <t>TORSBY</t>
        </is>
      </c>
      <c r="G17356" t="n">
        <v>1.9</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52291-2024</t>
        </is>
      </c>
      <c r="B17357" s="1" t="n">
        <v>45608</v>
      </c>
      <c r="C17357" s="1" t="n">
        <v>45810</v>
      </c>
      <c r="D17357" t="inlineStr">
        <is>
          <t>VÄRMLANDS LÄN</t>
        </is>
      </c>
      <c r="E17357" t="inlineStr">
        <is>
          <t>ÅRJÄNG</t>
        </is>
      </c>
      <c r="G17357" t="n">
        <v>0.9</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52309-2024</t>
        </is>
      </c>
      <c r="B17358" s="1" t="n">
        <v>45608</v>
      </c>
      <c r="C17358" s="1" t="n">
        <v>45810</v>
      </c>
      <c r="D17358" t="inlineStr">
        <is>
          <t>VÄRMLANDS LÄN</t>
        </is>
      </c>
      <c r="E17358" t="inlineStr">
        <is>
          <t>SUNNE</t>
        </is>
      </c>
      <c r="G17358" t="n">
        <v>0.7</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52383-2024</t>
        </is>
      </c>
      <c r="B17359" s="1" t="n">
        <v>45608</v>
      </c>
      <c r="C17359" s="1" t="n">
        <v>45810</v>
      </c>
      <c r="D17359" t="inlineStr">
        <is>
          <t>VÄRMLANDS LÄN</t>
        </is>
      </c>
      <c r="E17359" t="inlineStr">
        <is>
          <t>HAGFORS</t>
        </is>
      </c>
      <c r="G17359" t="n">
        <v>2.7</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52310-2024</t>
        </is>
      </c>
      <c r="B17360" s="1" t="n">
        <v>45608</v>
      </c>
      <c r="C17360" s="1" t="n">
        <v>45810</v>
      </c>
      <c r="D17360" t="inlineStr">
        <is>
          <t>VÄRMLANDS LÄN</t>
        </is>
      </c>
      <c r="E17360" t="inlineStr">
        <is>
          <t>SUNNE</t>
        </is>
      </c>
      <c r="G17360" t="n">
        <v>1.2</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52314-2024</t>
        </is>
      </c>
      <c r="B17361" s="1" t="n">
        <v>45608</v>
      </c>
      <c r="C17361" s="1" t="n">
        <v>45810</v>
      </c>
      <c r="D17361" t="inlineStr">
        <is>
          <t>VÄRMLANDS LÄN</t>
        </is>
      </c>
      <c r="E17361" t="inlineStr">
        <is>
          <t>TORSBY</t>
        </is>
      </c>
      <c r="G17361" t="n">
        <v>0.5</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52311-2024</t>
        </is>
      </c>
      <c r="B17362" s="1" t="n">
        <v>45608</v>
      </c>
      <c r="C17362" s="1" t="n">
        <v>45810</v>
      </c>
      <c r="D17362" t="inlineStr">
        <is>
          <t>VÄRMLANDS LÄN</t>
        </is>
      </c>
      <c r="E17362" t="inlineStr">
        <is>
          <t>SUNNE</t>
        </is>
      </c>
      <c r="G17362" t="n">
        <v>2.5</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52078-2024</t>
        </is>
      </c>
      <c r="B17363" s="1" t="n">
        <v>45608</v>
      </c>
      <c r="C17363" s="1" t="n">
        <v>45810</v>
      </c>
      <c r="D17363" t="inlineStr">
        <is>
          <t>VÄRMLANDS LÄN</t>
        </is>
      </c>
      <c r="E17363" t="inlineStr">
        <is>
          <t>HAGFORS</t>
        </is>
      </c>
      <c r="F17363" t="inlineStr">
        <is>
          <t>Bergvik skog väst AB</t>
        </is>
      </c>
      <c r="G17363" t="n">
        <v>2.7</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52062-2024</t>
        </is>
      </c>
      <c r="B17364" s="1" t="n">
        <v>45608</v>
      </c>
      <c r="C17364" s="1" t="n">
        <v>45810</v>
      </c>
      <c r="D17364" t="inlineStr">
        <is>
          <t>VÄRMLANDS LÄN</t>
        </is>
      </c>
      <c r="E17364" t="inlineStr">
        <is>
          <t>TORSBY</t>
        </is>
      </c>
      <c r="G17364" t="n">
        <v>2.1</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52054-2024</t>
        </is>
      </c>
      <c r="B17365" s="1" t="n">
        <v>45608</v>
      </c>
      <c r="C17365" s="1" t="n">
        <v>45810</v>
      </c>
      <c r="D17365" t="inlineStr">
        <is>
          <t>VÄRMLANDS LÄN</t>
        </is>
      </c>
      <c r="E17365" t="inlineStr">
        <is>
          <t>ARVIKA</t>
        </is>
      </c>
      <c r="G17365" t="n">
        <v>4.9</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52041-2024</t>
        </is>
      </c>
      <c r="B17366" s="1" t="n">
        <v>45608</v>
      </c>
      <c r="C17366" s="1" t="n">
        <v>45810</v>
      </c>
      <c r="D17366" t="inlineStr">
        <is>
          <t>VÄRMLANDS LÄN</t>
        </is>
      </c>
      <c r="E17366" t="inlineStr">
        <is>
          <t>EDA</t>
        </is>
      </c>
      <c r="G17366" t="n">
        <v>1.4</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52091-2024</t>
        </is>
      </c>
      <c r="B17367" s="1" t="n">
        <v>45608</v>
      </c>
      <c r="C17367" s="1" t="n">
        <v>45810</v>
      </c>
      <c r="D17367" t="inlineStr">
        <is>
          <t>VÄRMLANDS LÄN</t>
        </is>
      </c>
      <c r="E17367" t="inlineStr">
        <is>
          <t>FILIPSTAD</t>
        </is>
      </c>
      <c r="F17367" t="inlineStr">
        <is>
          <t>Bergvik skog väst AB</t>
        </is>
      </c>
      <c r="G17367" t="n">
        <v>2.6</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52083-2024</t>
        </is>
      </c>
      <c r="B17368" s="1" t="n">
        <v>45608</v>
      </c>
      <c r="C17368" s="1" t="n">
        <v>45810</v>
      </c>
      <c r="D17368" t="inlineStr">
        <is>
          <t>VÄRMLANDS LÄN</t>
        </is>
      </c>
      <c r="E17368" t="inlineStr">
        <is>
          <t>HAGFORS</t>
        </is>
      </c>
      <c r="F17368" t="inlineStr">
        <is>
          <t>Bergvik skog väst AB</t>
        </is>
      </c>
      <c r="G17368" t="n">
        <v>1.3</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52262-2024</t>
        </is>
      </c>
      <c r="B17369" s="1" t="n">
        <v>45608</v>
      </c>
      <c r="C17369" s="1" t="n">
        <v>45810</v>
      </c>
      <c r="D17369" t="inlineStr">
        <is>
          <t>VÄRMLANDS LÄN</t>
        </is>
      </c>
      <c r="E17369" t="inlineStr">
        <is>
          <t>TORSBY</t>
        </is>
      </c>
      <c r="G17369" t="n">
        <v>3.3</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52051-2024</t>
        </is>
      </c>
      <c r="B17370" s="1" t="n">
        <v>45608</v>
      </c>
      <c r="C17370" s="1" t="n">
        <v>45810</v>
      </c>
      <c r="D17370" t="inlineStr">
        <is>
          <t>VÄRMLANDS LÄN</t>
        </is>
      </c>
      <c r="E17370" t="inlineStr">
        <is>
          <t>TORSBY</t>
        </is>
      </c>
      <c r="G17370" t="n">
        <v>2.2</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52038-2024</t>
        </is>
      </c>
      <c r="B17371" s="1" t="n">
        <v>45608</v>
      </c>
      <c r="C17371" s="1" t="n">
        <v>45810</v>
      </c>
      <c r="D17371" t="inlineStr">
        <is>
          <t>VÄRMLANDS LÄN</t>
        </is>
      </c>
      <c r="E17371" t="inlineStr">
        <is>
          <t>EDA</t>
        </is>
      </c>
      <c r="G17371" t="n">
        <v>1</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52034-2024</t>
        </is>
      </c>
      <c r="B17372" s="1" t="n">
        <v>45608</v>
      </c>
      <c r="C17372" s="1" t="n">
        <v>45810</v>
      </c>
      <c r="D17372" t="inlineStr">
        <is>
          <t>VÄRMLANDS LÄN</t>
        </is>
      </c>
      <c r="E17372" t="inlineStr">
        <is>
          <t>EDA</t>
        </is>
      </c>
      <c r="G17372" t="n">
        <v>4.1</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52392-2024</t>
        </is>
      </c>
      <c r="B17373" s="1" t="n">
        <v>45608</v>
      </c>
      <c r="C17373" s="1" t="n">
        <v>45810</v>
      </c>
      <c r="D17373" t="inlineStr">
        <is>
          <t>VÄRMLANDS LÄN</t>
        </is>
      </c>
      <c r="E17373" t="inlineStr">
        <is>
          <t>HAGFORS</t>
        </is>
      </c>
      <c r="G17373" t="n">
        <v>0.9</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52109-2024</t>
        </is>
      </c>
      <c r="B17374" s="1" t="n">
        <v>45608</v>
      </c>
      <c r="C17374" s="1" t="n">
        <v>45810</v>
      </c>
      <c r="D17374" t="inlineStr">
        <is>
          <t>VÄRMLANDS LÄN</t>
        </is>
      </c>
      <c r="E17374" t="inlineStr">
        <is>
          <t>SÄFFLE</t>
        </is>
      </c>
      <c r="G17374" t="n">
        <v>6.8</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52185-2024</t>
        </is>
      </c>
      <c r="B17375" s="1" t="n">
        <v>45608</v>
      </c>
      <c r="C17375" s="1" t="n">
        <v>45810</v>
      </c>
      <c r="D17375" t="inlineStr">
        <is>
          <t>VÄRMLANDS LÄN</t>
        </is>
      </c>
      <c r="E17375" t="inlineStr">
        <is>
          <t>ARVIKA</t>
        </is>
      </c>
      <c r="F17375" t="inlineStr">
        <is>
          <t>Bergvik skog väst AB</t>
        </is>
      </c>
      <c r="G17375" t="n">
        <v>1.4</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52081-2024</t>
        </is>
      </c>
      <c r="B17376" s="1" t="n">
        <v>45608</v>
      </c>
      <c r="C17376" s="1" t="n">
        <v>45810</v>
      </c>
      <c r="D17376" t="inlineStr">
        <is>
          <t>VÄRMLANDS LÄN</t>
        </is>
      </c>
      <c r="E17376" t="inlineStr">
        <is>
          <t>EDA</t>
        </is>
      </c>
      <c r="G17376" t="n">
        <v>3.8</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52057-2024</t>
        </is>
      </c>
      <c r="B17377" s="1" t="n">
        <v>45608</v>
      </c>
      <c r="C17377" s="1" t="n">
        <v>45810</v>
      </c>
      <c r="D17377" t="inlineStr">
        <is>
          <t>VÄRMLANDS LÄN</t>
        </is>
      </c>
      <c r="E17377" t="inlineStr">
        <is>
          <t>TORSBY</t>
        </is>
      </c>
      <c r="G17377" t="n">
        <v>3.6</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52194-2024</t>
        </is>
      </c>
      <c r="B17378" s="1" t="n">
        <v>45608</v>
      </c>
      <c r="C17378" s="1" t="n">
        <v>45810</v>
      </c>
      <c r="D17378" t="inlineStr">
        <is>
          <t>VÄRMLANDS LÄN</t>
        </is>
      </c>
      <c r="E17378" t="inlineStr">
        <is>
          <t>SUNNE</t>
        </is>
      </c>
      <c r="G17378" t="n">
        <v>3.8</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52292-2024</t>
        </is>
      </c>
      <c r="B17379" s="1" t="n">
        <v>45608</v>
      </c>
      <c r="C17379" s="1" t="n">
        <v>45810</v>
      </c>
      <c r="D17379" t="inlineStr">
        <is>
          <t>VÄRMLANDS LÄN</t>
        </is>
      </c>
      <c r="E17379" t="inlineStr">
        <is>
          <t>ÅRJÄNG</t>
        </is>
      </c>
      <c r="G17379" t="n">
        <v>0.7</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52296-2024</t>
        </is>
      </c>
      <c r="B17380" s="1" t="n">
        <v>45608</v>
      </c>
      <c r="C17380" s="1" t="n">
        <v>45810</v>
      </c>
      <c r="D17380" t="inlineStr">
        <is>
          <t>VÄRMLANDS LÄN</t>
        </is>
      </c>
      <c r="E17380" t="inlineStr">
        <is>
          <t>EDA</t>
        </is>
      </c>
      <c r="G17380" t="n">
        <v>0.9</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52300-2024</t>
        </is>
      </c>
      <c r="B17381" s="1" t="n">
        <v>45608</v>
      </c>
      <c r="C17381" s="1" t="n">
        <v>45810</v>
      </c>
      <c r="D17381" t="inlineStr">
        <is>
          <t>VÄRMLANDS LÄN</t>
        </is>
      </c>
      <c r="E17381" t="inlineStr">
        <is>
          <t>EDA</t>
        </is>
      </c>
      <c r="G17381" t="n">
        <v>1</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52382-2024</t>
        </is>
      </c>
      <c r="B17382" s="1" t="n">
        <v>45608</v>
      </c>
      <c r="C17382" s="1" t="n">
        <v>45810</v>
      </c>
      <c r="D17382" t="inlineStr">
        <is>
          <t>VÄRMLANDS LÄN</t>
        </is>
      </c>
      <c r="E17382" t="inlineStr">
        <is>
          <t>ÅRJÄNG</t>
        </is>
      </c>
      <c r="G17382" t="n">
        <v>8.9</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52411-2024</t>
        </is>
      </c>
      <c r="B17383" s="1" t="n">
        <v>45608</v>
      </c>
      <c r="C17383" s="1" t="n">
        <v>45810</v>
      </c>
      <c r="D17383" t="inlineStr">
        <is>
          <t>VÄRMLANDS LÄN</t>
        </is>
      </c>
      <c r="E17383" t="inlineStr">
        <is>
          <t>SUNNE</t>
        </is>
      </c>
      <c r="G17383" t="n">
        <v>0.9</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52334-2024</t>
        </is>
      </c>
      <c r="B17384" s="1" t="n">
        <v>45609</v>
      </c>
      <c r="C17384" s="1" t="n">
        <v>45810</v>
      </c>
      <c r="D17384" t="inlineStr">
        <is>
          <t>VÄRMLANDS LÄN</t>
        </is>
      </c>
      <c r="E17384" t="inlineStr">
        <is>
          <t>TORSBY</t>
        </is>
      </c>
      <c r="F17384" t="inlineStr">
        <is>
          <t>Bergvik skog väst AB</t>
        </is>
      </c>
      <c r="G17384" t="n">
        <v>3.8</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52397-2024</t>
        </is>
      </c>
      <c r="B17385" s="1" t="n">
        <v>45609</v>
      </c>
      <c r="C17385" s="1" t="n">
        <v>45810</v>
      </c>
      <c r="D17385" t="inlineStr">
        <is>
          <t>VÄRMLANDS LÄN</t>
        </is>
      </c>
      <c r="E17385" t="inlineStr">
        <is>
          <t>KARLSTAD</t>
        </is>
      </c>
      <c r="G17385" t="n">
        <v>2.3</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52424-2024</t>
        </is>
      </c>
      <c r="B17386" s="1" t="n">
        <v>45609</v>
      </c>
      <c r="C17386" s="1" t="n">
        <v>45810</v>
      </c>
      <c r="D17386" t="inlineStr">
        <is>
          <t>VÄRMLANDS LÄN</t>
        </is>
      </c>
      <c r="E17386" t="inlineStr">
        <is>
          <t>SÄFFLE</t>
        </is>
      </c>
      <c r="G17386" t="n">
        <v>1.9</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52467-2024</t>
        </is>
      </c>
      <c r="B17387" s="1" t="n">
        <v>45609</v>
      </c>
      <c r="C17387" s="1" t="n">
        <v>45810</v>
      </c>
      <c r="D17387" t="inlineStr">
        <is>
          <t>VÄRMLANDS LÄN</t>
        </is>
      </c>
      <c r="E17387" t="inlineStr">
        <is>
          <t>SUNNE</t>
        </is>
      </c>
      <c r="G17387" t="n">
        <v>0.5</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52479-2024</t>
        </is>
      </c>
      <c r="B17388" s="1" t="n">
        <v>45609</v>
      </c>
      <c r="C17388" s="1" t="n">
        <v>45810</v>
      </c>
      <c r="D17388" t="inlineStr">
        <is>
          <t>VÄRMLANDS LÄN</t>
        </is>
      </c>
      <c r="E17388" t="inlineStr">
        <is>
          <t>STORFORS</t>
        </is>
      </c>
      <c r="G17388" t="n">
        <v>8</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52492-2024</t>
        </is>
      </c>
      <c r="B17389" s="1" t="n">
        <v>45609</v>
      </c>
      <c r="C17389" s="1" t="n">
        <v>45810</v>
      </c>
      <c r="D17389" t="inlineStr">
        <is>
          <t>VÄRMLANDS LÄN</t>
        </is>
      </c>
      <c r="E17389" t="inlineStr">
        <is>
          <t>HAGFORS</t>
        </is>
      </c>
      <c r="F17389" t="inlineStr">
        <is>
          <t>Bergvik skog väst AB</t>
        </is>
      </c>
      <c r="G17389" t="n">
        <v>3.5</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52496-2024</t>
        </is>
      </c>
      <c r="B17390" s="1" t="n">
        <v>45609</v>
      </c>
      <c r="C17390" s="1" t="n">
        <v>45810</v>
      </c>
      <c r="D17390" t="inlineStr">
        <is>
          <t>VÄRMLANDS LÄN</t>
        </is>
      </c>
      <c r="E17390" t="inlineStr">
        <is>
          <t>KIL</t>
        </is>
      </c>
      <c r="G17390" t="n">
        <v>3.1</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52491-2024</t>
        </is>
      </c>
      <c r="B17391" s="1" t="n">
        <v>45609</v>
      </c>
      <c r="C17391" s="1" t="n">
        <v>45810</v>
      </c>
      <c r="D17391" t="inlineStr">
        <is>
          <t>VÄRMLANDS LÄN</t>
        </is>
      </c>
      <c r="E17391" t="inlineStr">
        <is>
          <t>HAGFORS</t>
        </is>
      </c>
      <c r="F17391" t="inlineStr">
        <is>
          <t>Bergvik skog väst AB</t>
        </is>
      </c>
      <c r="G17391" t="n">
        <v>9.9</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52327-2024</t>
        </is>
      </c>
      <c r="B17392" s="1" t="n">
        <v>45609</v>
      </c>
      <c r="C17392" s="1" t="n">
        <v>45810</v>
      </c>
      <c r="D17392" t="inlineStr">
        <is>
          <t>VÄRMLANDS LÄN</t>
        </is>
      </c>
      <c r="E17392" t="inlineStr">
        <is>
          <t>EDA</t>
        </is>
      </c>
      <c r="G17392" t="n">
        <v>0.7</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52352-2024</t>
        </is>
      </c>
      <c r="B17393" s="1" t="n">
        <v>45609</v>
      </c>
      <c r="C17393" s="1" t="n">
        <v>45810</v>
      </c>
      <c r="D17393" t="inlineStr">
        <is>
          <t>VÄRMLANDS LÄN</t>
        </is>
      </c>
      <c r="E17393" t="inlineStr">
        <is>
          <t>SUNNE</t>
        </is>
      </c>
      <c r="G17393" t="n">
        <v>0.9</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52329-2024</t>
        </is>
      </c>
      <c r="B17394" s="1" t="n">
        <v>45609</v>
      </c>
      <c r="C17394" s="1" t="n">
        <v>45810</v>
      </c>
      <c r="D17394" t="inlineStr">
        <is>
          <t>VÄRMLANDS LÄN</t>
        </is>
      </c>
      <c r="E17394" t="inlineStr">
        <is>
          <t>EDA</t>
        </is>
      </c>
      <c r="G17394" t="n">
        <v>5.8</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52386-2024</t>
        </is>
      </c>
      <c r="B17395" s="1" t="n">
        <v>45609</v>
      </c>
      <c r="C17395" s="1" t="n">
        <v>45810</v>
      </c>
      <c r="D17395" t="inlineStr">
        <is>
          <t>VÄRMLANDS LÄN</t>
        </is>
      </c>
      <c r="E17395" t="inlineStr">
        <is>
          <t>TORSBY</t>
        </is>
      </c>
      <c r="G17395" t="n">
        <v>4.2</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52419-2024</t>
        </is>
      </c>
      <c r="B17396" s="1" t="n">
        <v>45609</v>
      </c>
      <c r="C17396" s="1" t="n">
        <v>45810</v>
      </c>
      <c r="D17396" t="inlineStr">
        <is>
          <t>VÄRMLANDS LÄN</t>
        </is>
      </c>
      <c r="E17396" t="inlineStr">
        <is>
          <t>SÄFFLE</t>
        </is>
      </c>
      <c r="G17396" t="n">
        <v>1.5</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52442-2024</t>
        </is>
      </c>
      <c r="B17397" s="1" t="n">
        <v>45609</v>
      </c>
      <c r="C17397" s="1" t="n">
        <v>45810</v>
      </c>
      <c r="D17397" t="inlineStr">
        <is>
          <t>VÄRMLANDS LÄN</t>
        </is>
      </c>
      <c r="E17397" t="inlineStr">
        <is>
          <t>SÄFFLE</t>
        </is>
      </c>
      <c r="G17397" t="n">
        <v>6.2</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52494-2024</t>
        </is>
      </c>
      <c r="B17398" s="1" t="n">
        <v>45609</v>
      </c>
      <c r="C17398" s="1" t="n">
        <v>45810</v>
      </c>
      <c r="D17398" t="inlineStr">
        <is>
          <t>VÄRMLANDS LÄN</t>
        </is>
      </c>
      <c r="E17398" t="inlineStr">
        <is>
          <t>HAGFORS</t>
        </is>
      </c>
      <c r="F17398" t="inlineStr">
        <is>
          <t>Bergvik skog väst AB</t>
        </is>
      </c>
      <c r="G17398" t="n">
        <v>0.2</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52505-2024</t>
        </is>
      </c>
      <c r="B17399" s="1" t="n">
        <v>45609</v>
      </c>
      <c r="C17399" s="1" t="n">
        <v>45810</v>
      </c>
      <c r="D17399" t="inlineStr">
        <is>
          <t>VÄRMLANDS LÄN</t>
        </is>
      </c>
      <c r="E17399" t="inlineStr">
        <is>
          <t>KARLSTAD</t>
        </is>
      </c>
      <c r="G17399" t="n">
        <v>5.5</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52579-2024</t>
        </is>
      </c>
      <c r="B17400" s="1" t="n">
        <v>45609</v>
      </c>
      <c r="C17400" s="1" t="n">
        <v>45810</v>
      </c>
      <c r="D17400" t="inlineStr">
        <is>
          <t>VÄRMLANDS LÄN</t>
        </is>
      </c>
      <c r="E17400" t="inlineStr">
        <is>
          <t>ÅRJÄNG</t>
        </is>
      </c>
      <c r="G17400" t="n">
        <v>1.8</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52595-2024</t>
        </is>
      </c>
      <c r="B17401" s="1" t="n">
        <v>45609</v>
      </c>
      <c r="C17401" s="1" t="n">
        <v>45810</v>
      </c>
      <c r="D17401" t="inlineStr">
        <is>
          <t>VÄRMLANDS LÄN</t>
        </is>
      </c>
      <c r="E17401" t="inlineStr">
        <is>
          <t>TORSBY</t>
        </is>
      </c>
      <c r="G17401" t="n">
        <v>0.7</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52580-2024</t>
        </is>
      </c>
      <c r="B17402" s="1" t="n">
        <v>45609</v>
      </c>
      <c r="C17402" s="1" t="n">
        <v>45810</v>
      </c>
      <c r="D17402" t="inlineStr">
        <is>
          <t>VÄRMLANDS LÄN</t>
        </is>
      </c>
      <c r="E17402" t="inlineStr">
        <is>
          <t>SUNNE</t>
        </is>
      </c>
      <c r="G17402" t="n">
        <v>0.9</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52592-2024</t>
        </is>
      </c>
      <c r="B17403" s="1" t="n">
        <v>45609</v>
      </c>
      <c r="C17403" s="1" t="n">
        <v>45810</v>
      </c>
      <c r="D17403" t="inlineStr">
        <is>
          <t>VÄRMLANDS LÄN</t>
        </is>
      </c>
      <c r="E17403" t="inlineStr">
        <is>
          <t>TORSBY</t>
        </is>
      </c>
      <c r="G17403" t="n">
        <v>1</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53378-2024</t>
        </is>
      </c>
      <c r="B17404" s="1" t="n">
        <v>45609</v>
      </c>
      <c r="C17404" s="1" t="n">
        <v>45810</v>
      </c>
      <c r="D17404" t="inlineStr">
        <is>
          <t>VÄRMLANDS LÄN</t>
        </is>
      </c>
      <c r="E17404" t="inlineStr">
        <is>
          <t>SÄFFLE</t>
        </is>
      </c>
      <c r="G17404" t="n">
        <v>2.2</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52581-2024</t>
        </is>
      </c>
      <c r="B17405" s="1" t="n">
        <v>45609</v>
      </c>
      <c r="C17405" s="1" t="n">
        <v>45810</v>
      </c>
      <c r="D17405" t="inlineStr">
        <is>
          <t>VÄRMLANDS LÄN</t>
        </is>
      </c>
      <c r="E17405" t="inlineStr">
        <is>
          <t>TORSBY</t>
        </is>
      </c>
      <c r="G17405" t="n">
        <v>1.2</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52621-2024</t>
        </is>
      </c>
      <c r="B17406" s="1" t="n">
        <v>45609</v>
      </c>
      <c r="C17406" s="1" t="n">
        <v>45810</v>
      </c>
      <c r="D17406" t="inlineStr">
        <is>
          <t>VÄRMLANDS LÄN</t>
        </is>
      </c>
      <c r="E17406" t="inlineStr">
        <is>
          <t>ARVIKA</t>
        </is>
      </c>
      <c r="G17406" t="n">
        <v>0.9</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52669-2024</t>
        </is>
      </c>
      <c r="B17407" s="1" t="n">
        <v>45610</v>
      </c>
      <c r="C17407" s="1" t="n">
        <v>45810</v>
      </c>
      <c r="D17407" t="inlineStr">
        <is>
          <t>VÄRMLANDS LÄN</t>
        </is>
      </c>
      <c r="E17407" t="inlineStr">
        <is>
          <t>TORSBY</t>
        </is>
      </c>
      <c r="F17407" t="inlineStr">
        <is>
          <t>Kyrkan</t>
        </is>
      </c>
      <c r="G17407" t="n">
        <v>0.8</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52673-2024</t>
        </is>
      </c>
      <c r="B17408" s="1" t="n">
        <v>45610</v>
      </c>
      <c r="C17408" s="1" t="n">
        <v>45810</v>
      </c>
      <c r="D17408" t="inlineStr">
        <is>
          <t>VÄRMLANDS LÄN</t>
        </is>
      </c>
      <c r="E17408" t="inlineStr">
        <is>
          <t>KIL</t>
        </is>
      </c>
      <c r="G17408" t="n">
        <v>1.3</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52652-2024</t>
        </is>
      </c>
      <c r="B17409" s="1" t="n">
        <v>45610</v>
      </c>
      <c r="C17409" s="1" t="n">
        <v>45810</v>
      </c>
      <c r="D17409" t="inlineStr">
        <is>
          <t>VÄRMLANDS LÄN</t>
        </is>
      </c>
      <c r="E17409" t="inlineStr">
        <is>
          <t>ÅRJÄNG</t>
        </is>
      </c>
      <c r="G17409" t="n">
        <v>2.4</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52676-2024</t>
        </is>
      </c>
      <c r="B17410" s="1" t="n">
        <v>45610</v>
      </c>
      <c r="C17410" s="1" t="n">
        <v>45810</v>
      </c>
      <c r="D17410" t="inlineStr">
        <is>
          <t>VÄRMLANDS LÄN</t>
        </is>
      </c>
      <c r="E17410" t="inlineStr">
        <is>
          <t>TORSBY</t>
        </is>
      </c>
      <c r="F17410" t="inlineStr">
        <is>
          <t>Kyrkan</t>
        </is>
      </c>
      <c r="G17410" t="n">
        <v>5.6</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52689-2024</t>
        </is>
      </c>
      <c r="B17411" s="1" t="n">
        <v>45610</v>
      </c>
      <c r="C17411" s="1" t="n">
        <v>45810</v>
      </c>
      <c r="D17411" t="inlineStr">
        <is>
          <t>VÄRMLANDS LÄN</t>
        </is>
      </c>
      <c r="E17411" t="inlineStr">
        <is>
          <t>TORSBY</t>
        </is>
      </c>
      <c r="G17411" t="n">
        <v>1.2</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52741-2024</t>
        </is>
      </c>
      <c r="B17412" s="1" t="n">
        <v>45610</v>
      </c>
      <c r="C17412" s="1" t="n">
        <v>45810</v>
      </c>
      <c r="D17412" t="inlineStr">
        <is>
          <t>VÄRMLANDS LÄN</t>
        </is>
      </c>
      <c r="E17412" t="inlineStr">
        <is>
          <t>ÅRJÄNG</t>
        </is>
      </c>
      <c r="G17412" t="n">
        <v>2.3</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52801-2024</t>
        </is>
      </c>
      <c r="B17413" s="1" t="n">
        <v>45610</v>
      </c>
      <c r="C17413" s="1" t="n">
        <v>45810</v>
      </c>
      <c r="D17413" t="inlineStr">
        <is>
          <t>VÄRMLANDS LÄN</t>
        </is>
      </c>
      <c r="E17413" t="inlineStr">
        <is>
          <t>TORSBY</t>
        </is>
      </c>
      <c r="G17413" t="n">
        <v>7.4</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52809-2024</t>
        </is>
      </c>
      <c r="B17414" s="1" t="n">
        <v>45610</v>
      </c>
      <c r="C17414" s="1" t="n">
        <v>45810</v>
      </c>
      <c r="D17414" t="inlineStr">
        <is>
          <t>VÄRMLANDS LÄN</t>
        </is>
      </c>
      <c r="E17414" t="inlineStr">
        <is>
          <t>TORSBY</t>
        </is>
      </c>
      <c r="G17414" t="n">
        <v>4.5</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52901-2024</t>
        </is>
      </c>
      <c r="B17415" s="1" t="n">
        <v>45610</v>
      </c>
      <c r="C17415" s="1" t="n">
        <v>45810</v>
      </c>
      <c r="D17415" t="inlineStr">
        <is>
          <t>VÄRMLANDS LÄN</t>
        </is>
      </c>
      <c r="E17415" t="inlineStr">
        <is>
          <t>MUNKFORS</t>
        </is>
      </c>
      <c r="G17415" t="n">
        <v>1.5</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52800-2024</t>
        </is>
      </c>
      <c r="B17416" s="1" t="n">
        <v>45610</v>
      </c>
      <c r="C17416" s="1" t="n">
        <v>45810</v>
      </c>
      <c r="D17416" t="inlineStr">
        <is>
          <t>VÄRMLANDS LÄN</t>
        </is>
      </c>
      <c r="E17416" t="inlineStr">
        <is>
          <t>SUNNE</t>
        </is>
      </c>
      <c r="G17416" t="n">
        <v>1.9</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52803-2024</t>
        </is>
      </c>
      <c r="B17417" s="1" t="n">
        <v>45610</v>
      </c>
      <c r="C17417" s="1" t="n">
        <v>45810</v>
      </c>
      <c r="D17417" t="inlineStr">
        <is>
          <t>VÄRMLANDS LÄN</t>
        </is>
      </c>
      <c r="E17417" t="inlineStr">
        <is>
          <t>ÅRJÄNG</t>
        </is>
      </c>
      <c r="G17417" t="n">
        <v>1.3</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52895-2024</t>
        </is>
      </c>
      <c r="B17418" s="1" t="n">
        <v>45610</v>
      </c>
      <c r="C17418" s="1" t="n">
        <v>45810</v>
      </c>
      <c r="D17418" t="inlineStr">
        <is>
          <t>VÄRMLANDS LÄN</t>
        </is>
      </c>
      <c r="E17418" t="inlineStr">
        <is>
          <t>FILIPSTAD</t>
        </is>
      </c>
      <c r="F17418" t="inlineStr">
        <is>
          <t>Bergvik skog väst AB</t>
        </is>
      </c>
      <c r="G17418" t="n">
        <v>10</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52940-2024</t>
        </is>
      </c>
      <c r="B17419" s="1" t="n">
        <v>45610</v>
      </c>
      <c r="C17419" s="1" t="n">
        <v>45810</v>
      </c>
      <c r="D17419" t="inlineStr">
        <is>
          <t>VÄRMLANDS LÄN</t>
        </is>
      </c>
      <c r="E17419" t="inlineStr">
        <is>
          <t>TORSBY</t>
        </is>
      </c>
      <c r="G17419" t="n">
        <v>3.7</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52956-2024</t>
        </is>
      </c>
      <c r="B17420" s="1" t="n">
        <v>45610</v>
      </c>
      <c r="C17420" s="1" t="n">
        <v>45810</v>
      </c>
      <c r="D17420" t="inlineStr">
        <is>
          <t>VÄRMLANDS LÄN</t>
        </is>
      </c>
      <c r="E17420" t="inlineStr">
        <is>
          <t>TORSBY</t>
        </is>
      </c>
      <c r="G17420" t="n">
        <v>1.2</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52949-2024</t>
        </is>
      </c>
      <c r="B17421" s="1" t="n">
        <v>45610</v>
      </c>
      <c r="C17421" s="1" t="n">
        <v>45810</v>
      </c>
      <c r="D17421" t="inlineStr">
        <is>
          <t>VÄRMLANDS LÄN</t>
        </is>
      </c>
      <c r="E17421" t="inlineStr">
        <is>
          <t>TORSBY</t>
        </is>
      </c>
      <c r="G17421" t="n">
        <v>1.7</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52957-2024</t>
        </is>
      </c>
      <c r="B17422" s="1" t="n">
        <v>45610</v>
      </c>
      <c r="C17422" s="1" t="n">
        <v>45810</v>
      </c>
      <c r="D17422" t="inlineStr">
        <is>
          <t>VÄRMLANDS LÄN</t>
        </is>
      </c>
      <c r="E17422" t="inlineStr">
        <is>
          <t>TORSBY</t>
        </is>
      </c>
      <c r="G17422" t="n">
        <v>2.6</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52935-2024</t>
        </is>
      </c>
      <c r="B17423" s="1" t="n">
        <v>45610</v>
      </c>
      <c r="C17423" s="1" t="n">
        <v>45810</v>
      </c>
      <c r="D17423" t="inlineStr">
        <is>
          <t>VÄRMLANDS LÄN</t>
        </is>
      </c>
      <c r="E17423" t="inlineStr">
        <is>
          <t>ÅRJÄNG</t>
        </is>
      </c>
      <c r="G17423" t="n">
        <v>2.1</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52943-2024</t>
        </is>
      </c>
      <c r="B17424" s="1" t="n">
        <v>45610</v>
      </c>
      <c r="C17424" s="1" t="n">
        <v>45810</v>
      </c>
      <c r="D17424" t="inlineStr">
        <is>
          <t>VÄRMLANDS LÄN</t>
        </is>
      </c>
      <c r="E17424" t="inlineStr">
        <is>
          <t>ARVIKA</t>
        </is>
      </c>
      <c r="G17424" t="n">
        <v>3.9</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52947-2024</t>
        </is>
      </c>
      <c r="B17425" s="1" t="n">
        <v>45610</v>
      </c>
      <c r="C17425" s="1" t="n">
        <v>45810</v>
      </c>
      <c r="D17425" t="inlineStr">
        <is>
          <t>VÄRMLANDS LÄN</t>
        </is>
      </c>
      <c r="E17425" t="inlineStr">
        <is>
          <t>TORSBY</t>
        </is>
      </c>
      <c r="G17425" t="n">
        <v>1.2</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52750-2024</t>
        </is>
      </c>
      <c r="B17426" s="1" t="n">
        <v>45610</v>
      </c>
      <c r="C17426" s="1" t="n">
        <v>45810</v>
      </c>
      <c r="D17426" t="inlineStr">
        <is>
          <t>VÄRMLANDS LÄN</t>
        </is>
      </c>
      <c r="E17426" t="inlineStr">
        <is>
          <t>TORSBY</t>
        </is>
      </c>
      <c r="F17426" t="inlineStr">
        <is>
          <t>Kyrkan</t>
        </is>
      </c>
      <c r="G17426" t="n">
        <v>7.7</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53023-2024</t>
        </is>
      </c>
      <c r="B17427" s="1" t="n">
        <v>45611</v>
      </c>
      <c r="C17427" s="1" t="n">
        <v>45810</v>
      </c>
      <c r="D17427" t="inlineStr">
        <is>
          <t>VÄRMLANDS LÄN</t>
        </is>
      </c>
      <c r="E17427" t="inlineStr">
        <is>
          <t>FILIPSTAD</t>
        </is>
      </c>
      <c r="F17427" t="inlineStr">
        <is>
          <t>Bergvik skog väst AB</t>
        </is>
      </c>
      <c r="G17427" t="n">
        <v>1.9</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53027-2024</t>
        </is>
      </c>
      <c r="B17428" s="1" t="n">
        <v>45611</v>
      </c>
      <c r="C17428" s="1" t="n">
        <v>45810</v>
      </c>
      <c r="D17428" t="inlineStr">
        <is>
          <t>VÄRMLANDS LÄN</t>
        </is>
      </c>
      <c r="E17428" t="inlineStr">
        <is>
          <t>ARVIKA</t>
        </is>
      </c>
      <c r="G17428" t="n">
        <v>1.3</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53035-2024</t>
        </is>
      </c>
      <c r="B17429" s="1" t="n">
        <v>45611</v>
      </c>
      <c r="C17429" s="1" t="n">
        <v>45810</v>
      </c>
      <c r="D17429" t="inlineStr">
        <is>
          <t>VÄRMLANDS LÄN</t>
        </is>
      </c>
      <c r="E17429" t="inlineStr">
        <is>
          <t>TORSBY</t>
        </is>
      </c>
      <c r="G17429" t="n">
        <v>1</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53039-2024</t>
        </is>
      </c>
      <c r="B17430" s="1" t="n">
        <v>45611</v>
      </c>
      <c r="C17430" s="1" t="n">
        <v>45810</v>
      </c>
      <c r="D17430" t="inlineStr">
        <is>
          <t>VÄRMLANDS LÄN</t>
        </is>
      </c>
      <c r="E17430" t="inlineStr">
        <is>
          <t>EDA</t>
        </is>
      </c>
      <c r="G17430" t="n">
        <v>1.7</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53525-2024</t>
        </is>
      </c>
      <c r="B17431" s="1" t="n">
        <v>45611</v>
      </c>
      <c r="C17431" s="1" t="n">
        <v>45810</v>
      </c>
      <c r="D17431" t="inlineStr">
        <is>
          <t>VÄRMLANDS LÄN</t>
        </is>
      </c>
      <c r="E17431" t="inlineStr">
        <is>
          <t>GRUMS</t>
        </is>
      </c>
      <c r="G17431" t="n">
        <v>1.4</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53123-2024</t>
        </is>
      </c>
      <c r="B17432" s="1" t="n">
        <v>45611</v>
      </c>
      <c r="C17432" s="1" t="n">
        <v>45810</v>
      </c>
      <c r="D17432" t="inlineStr">
        <is>
          <t>VÄRMLANDS LÄN</t>
        </is>
      </c>
      <c r="E17432" t="inlineStr">
        <is>
          <t>ÅRJÄNG</t>
        </is>
      </c>
      <c r="F17432" t="inlineStr">
        <is>
          <t>Bergvik skog väst AB</t>
        </is>
      </c>
      <c r="G17432" t="n">
        <v>2.6</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53146-2024</t>
        </is>
      </c>
      <c r="B17433" s="1" t="n">
        <v>45611</v>
      </c>
      <c r="C17433" s="1" t="n">
        <v>45810</v>
      </c>
      <c r="D17433" t="inlineStr">
        <is>
          <t>VÄRMLANDS LÄN</t>
        </is>
      </c>
      <c r="E17433" t="inlineStr">
        <is>
          <t>TORSBY</t>
        </is>
      </c>
      <c r="G17433" t="n">
        <v>4.7</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53140-2024</t>
        </is>
      </c>
      <c r="B17434" s="1" t="n">
        <v>45611</v>
      </c>
      <c r="C17434" s="1" t="n">
        <v>45810</v>
      </c>
      <c r="D17434" t="inlineStr">
        <is>
          <t>VÄRMLANDS LÄN</t>
        </is>
      </c>
      <c r="E17434" t="inlineStr">
        <is>
          <t>SÄFFLE</t>
        </is>
      </c>
      <c r="G17434" t="n">
        <v>1.3</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53111-2024</t>
        </is>
      </c>
      <c r="B17435" s="1" t="n">
        <v>45611</v>
      </c>
      <c r="C17435" s="1" t="n">
        <v>45810</v>
      </c>
      <c r="D17435" t="inlineStr">
        <is>
          <t>VÄRMLANDS LÄN</t>
        </is>
      </c>
      <c r="E17435" t="inlineStr">
        <is>
          <t>ÅRJÄNG</t>
        </is>
      </c>
      <c r="G17435" t="n">
        <v>1.4</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53531-2024</t>
        </is>
      </c>
      <c r="B17436" s="1" t="n">
        <v>45611</v>
      </c>
      <c r="C17436" s="1" t="n">
        <v>45810</v>
      </c>
      <c r="D17436" t="inlineStr">
        <is>
          <t>VÄRMLANDS LÄN</t>
        </is>
      </c>
      <c r="E17436" t="inlineStr">
        <is>
          <t>SÄFFLE</t>
        </is>
      </c>
      <c r="G17436" t="n">
        <v>2.3</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53460-2024</t>
        </is>
      </c>
      <c r="B17437" s="1" t="n">
        <v>45611</v>
      </c>
      <c r="C17437" s="1" t="n">
        <v>45810</v>
      </c>
      <c r="D17437" t="inlineStr">
        <is>
          <t>VÄRMLANDS LÄN</t>
        </is>
      </c>
      <c r="E17437" t="inlineStr">
        <is>
          <t>TORSBY</t>
        </is>
      </c>
      <c r="G17437" t="n">
        <v>12.7</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53533-2024</t>
        </is>
      </c>
      <c r="B17438" s="1" t="n">
        <v>45611</v>
      </c>
      <c r="C17438" s="1" t="n">
        <v>45810</v>
      </c>
      <c r="D17438" t="inlineStr">
        <is>
          <t>VÄRMLANDS LÄN</t>
        </is>
      </c>
      <c r="E17438" t="inlineStr">
        <is>
          <t>SÄFFLE</t>
        </is>
      </c>
      <c r="G17438" t="n">
        <v>1.3</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53044-2024</t>
        </is>
      </c>
      <c r="B17439" s="1" t="n">
        <v>45611</v>
      </c>
      <c r="C17439" s="1" t="n">
        <v>45810</v>
      </c>
      <c r="D17439" t="inlineStr">
        <is>
          <t>VÄRMLANDS LÄN</t>
        </is>
      </c>
      <c r="E17439" t="inlineStr">
        <is>
          <t>TORSBY</t>
        </is>
      </c>
      <c r="F17439" t="inlineStr">
        <is>
          <t>Kyrkan</t>
        </is>
      </c>
      <c r="G17439" t="n">
        <v>25.8</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53038-2024</t>
        </is>
      </c>
      <c r="B17440" s="1" t="n">
        <v>45611</v>
      </c>
      <c r="C17440" s="1" t="n">
        <v>45810</v>
      </c>
      <c r="D17440" t="inlineStr">
        <is>
          <t>VÄRMLANDS LÄN</t>
        </is>
      </c>
      <c r="E17440" t="inlineStr">
        <is>
          <t>TORSBY</t>
        </is>
      </c>
      <c r="G17440" t="n">
        <v>1.2</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53034-2024</t>
        </is>
      </c>
      <c r="B17441" s="1" t="n">
        <v>45611</v>
      </c>
      <c r="C17441" s="1" t="n">
        <v>45810</v>
      </c>
      <c r="D17441" t="inlineStr">
        <is>
          <t>VÄRMLANDS LÄN</t>
        </is>
      </c>
      <c r="E17441" t="inlineStr">
        <is>
          <t>EDA</t>
        </is>
      </c>
      <c r="G17441" t="n">
        <v>3.9</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53030-2024</t>
        </is>
      </c>
      <c r="B17442" s="1" t="n">
        <v>45611</v>
      </c>
      <c r="C17442" s="1" t="n">
        <v>45810</v>
      </c>
      <c r="D17442" t="inlineStr">
        <is>
          <t>VÄRMLANDS LÄN</t>
        </is>
      </c>
      <c r="E17442" t="inlineStr">
        <is>
          <t>EDA</t>
        </is>
      </c>
      <c r="G17442" t="n">
        <v>1.2</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53184-2024</t>
        </is>
      </c>
      <c r="B17443" s="1" t="n">
        <v>45611</v>
      </c>
      <c r="C17443" s="1" t="n">
        <v>45810</v>
      </c>
      <c r="D17443" t="inlineStr">
        <is>
          <t>VÄRMLANDS LÄN</t>
        </is>
      </c>
      <c r="E17443" t="inlineStr">
        <is>
          <t>ARVIKA</t>
        </is>
      </c>
      <c r="G17443" t="n">
        <v>1.2</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53084-2024</t>
        </is>
      </c>
      <c r="B17444" s="1" t="n">
        <v>45611</v>
      </c>
      <c r="C17444" s="1" t="n">
        <v>45810</v>
      </c>
      <c r="D17444" t="inlineStr">
        <is>
          <t>VÄRMLANDS LÄN</t>
        </is>
      </c>
      <c r="E17444" t="inlineStr">
        <is>
          <t>ARVIKA</t>
        </is>
      </c>
      <c r="F17444" t="inlineStr">
        <is>
          <t>Bergvik skog väst AB</t>
        </is>
      </c>
      <c r="G17444" t="n">
        <v>2.9</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53043-2024</t>
        </is>
      </c>
      <c r="B17445" s="1" t="n">
        <v>45611</v>
      </c>
      <c r="C17445" s="1" t="n">
        <v>45810</v>
      </c>
      <c r="D17445" t="inlineStr">
        <is>
          <t>VÄRMLANDS LÄN</t>
        </is>
      </c>
      <c r="E17445" t="inlineStr">
        <is>
          <t>SUNNE</t>
        </is>
      </c>
      <c r="G17445" t="n">
        <v>0.6</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53025-2024</t>
        </is>
      </c>
      <c r="B17446" s="1" t="n">
        <v>45611</v>
      </c>
      <c r="C17446" s="1" t="n">
        <v>45810</v>
      </c>
      <c r="D17446" t="inlineStr">
        <is>
          <t>VÄRMLANDS LÄN</t>
        </is>
      </c>
      <c r="E17446" t="inlineStr">
        <is>
          <t>TORSBY</t>
        </is>
      </c>
      <c r="G17446" t="n">
        <v>11</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53099-2024</t>
        </is>
      </c>
      <c r="B17447" s="1" t="n">
        <v>45611</v>
      </c>
      <c r="C17447" s="1" t="n">
        <v>45810</v>
      </c>
      <c r="D17447" t="inlineStr">
        <is>
          <t>VÄRMLANDS LÄN</t>
        </is>
      </c>
      <c r="E17447" t="inlineStr">
        <is>
          <t>TORSBY</t>
        </is>
      </c>
      <c r="G17447" t="n">
        <v>1.1</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53082-2024</t>
        </is>
      </c>
      <c r="B17448" s="1" t="n">
        <v>45611</v>
      </c>
      <c r="C17448" s="1" t="n">
        <v>45810</v>
      </c>
      <c r="D17448" t="inlineStr">
        <is>
          <t>VÄRMLANDS LÄN</t>
        </is>
      </c>
      <c r="E17448" t="inlineStr">
        <is>
          <t>ARVIKA</t>
        </is>
      </c>
      <c r="G17448" t="n">
        <v>1.5</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53078-2024</t>
        </is>
      </c>
      <c r="B17449" s="1" t="n">
        <v>45611</v>
      </c>
      <c r="C17449" s="1" t="n">
        <v>45810</v>
      </c>
      <c r="D17449" t="inlineStr">
        <is>
          <t>VÄRMLANDS LÄN</t>
        </is>
      </c>
      <c r="E17449" t="inlineStr">
        <is>
          <t>EDA</t>
        </is>
      </c>
      <c r="G17449" t="n">
        <v>0.6</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53028-2024</t>
        </is>
      </c>
      <c r="B17450" s="1" t="n">
        <v>45611</v>
      </c>
      <c r="C17450" s="1" t="n">
        <v>45810</v>
      </c>
      <c r="D17450" t="inlineStr">
        <is>
          <t>VÄRMLANDS LÄN</t>
        </is>
      </c>
      <c r="E17450" t="inlineStr">
        <is>
          <t>FILIPSTAD</t>
        </is>
      </c>
      <c r="F17450" t="inlineStr">
        <is>
          <t>Bergvik skog väst AB</t>
        </is>
      </c>
      <c r="G17450" t="n">
        <v>2.5</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53024-2024</t>
        </is>
      </c>
      <c r="B17451" s="1" t="n">
        <v>45611</v>
      </c>
      <c r="C17451" s="1" t="n">
        <v>45810</v>
      </c>
      <c r="D17451" t="inlineStr">
        <is>
          <t>VÄRMLANDS LÄN</t>
        </is>
      </c>
      <c r="E17451" t="inlineStr">
        <is>
          <t>ARVIKA</t>
        </is>
      </c>
      <c r="G17451" t="n">
        <v>2</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52969-2024</t>
        </is>
      </c>
      <c r="B17452" s="1" t="n">
        <v>45611</v>
      </c>
      <c r="C17452" s="1" t="n">
        <v>45810</v>
      </c>
      <c r="D17452" t="inlineStr">
        <is>
          <t>VÄRMLANDS LÄN</t>
        </is>
      </c>
      <c r="E17452" t="inlineStr">
        <is>
          <t>HAGFORS</t>
        </is>
      </c>
      <c r="F17452" t="inlineStr">
        <is>
          <t>Bergvik skog väst AB</t>
        </is>
      </c>
      <c r="G17452" t="n">
        <v>8.1</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53211-2024</t>
        </is>
      </c>
      <c r="B17453" s="1" t="n">
        <v>45612</v>
      </c>
      <c r="C17453" s="1" t="n">
        <v>45810</v>
      </c>
      <c r="D17453" t="inlineStr">
        <is>
          <t>VÄRMLANDS LÄN</t>
        </is>
      </c>
      <c r="E17453" t="inlineStr">
        <is>
          <t>TORSBY</t>
        </is>
      </c>
      <c r="G17453" t="n">
        <v>2.7</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53202-2024</t>
        </is>
      </c>
      <c r="B17454" s="1" t="n">
        <v>45612</v>
      </c>
      <c r="C17454" s="1" t="n">
        <v>45810</v>
      </c>
      <c r="D17454" t="inlineStr">
        <is>
          <t>VÄRMLANDS LÄN</t>
        </is>
      </c>
      <c r="E17454" t="inlineStr">
        <is>
          <t>KARLSTAD</t>
        </is>
      </c>
      <c r="G17454" t="n">
        <v>7.1</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53243-2024</t>
        </is>
      </c>
      <c r="B17455" s="1" t="n">
        <v>45613</v>
      </c>
      <c r="C17455" s="1" t="n">
        <v>45810</v>
      </c>
      <c r="D17455" t="inlineStr">
        <is>
          <t>VÄRMLANDS LÄN</t>
        </is>
      </c>
      <c r="E17455" t="inlineStr">
        <is>
          <t>ARVIKA</t>
        </is>
      </c>
      <c r="G17455" t="n">
        <v>3</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53395-2024</t>
        </is>
      </c>
      <c r="B17456" s="1" t="n">
        <v>45614</v>
      </c>
      <c r="C17456" s="1" t="n">
        <v>45810</v>
      </c>
      <c r="D17456" t="inlineStr">
        <is>
          <t>VÄRMLANDS LÄN</t>
        </is>
      </c>
      <c r="E17456" t="inlineStr">
        <is>
          <t>FILIPSTAD</t>
        </is>
      </c>
      <c r="G17456" t="n">
        <v>0.7</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53369-2024</t>
        </is>
      </c>
      <c r="B17457" s="1" t="n">
        <v>45614</v>
      </c>
      <c r="C17457" s="1" t="n">
        <v>45810</v>
      </c>
      <c r="D17457" t="inlineStr">
        <is>
          <t>VÄRMLANDS LÄN</t>
        </is>
      </c>
      <c r="E17457" t="inlineStr">
        <is>
          <t>HAMMARÖ</t>
        </is>
      </c>
      <c r="G17457" t="n">
        <v>3.4</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53331-2024</t>
        </is>
      </c>
      <c r="B17458" s="1" t="n">
        <v>45614</v>
      </c>
      <c r="C17458" s="1" t="n">
        <v>45810</v>
      </c>
      <c r="D17458" t="inlineStr">
        <is>
          <t>VÄRMLANDS LÄN</t>
        </is>
      </c>
      <c r="E17458" t="inlineStr">
        <is>
          <t>TORSBY</t>
        </is>
      </c>
      <c r="F17458" t="inlineStr">
        <is>
          <t>Bergvik skog väst AB</t>
        </is>
      </c>
      <c r="G17458" t="n">
        <v>9.300000000000001</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53535-2024</t>
        </is>
      </c>
      <c r="B17459" s="1" t="n">
        <v>45614</v>
      </c>
      <c r="C17459" s="1" t="n">
        <v>45810</v>
      </c>
      <c r="D17459" t="inlineStr">
        <is>
          <t>VÄRMLANDS LÄN</t>
        </is>
      </c>
      <c r="E17459" t="inlineStr">
        <is>
          <t>SUNNE</t>
        </is>
      </c>
      <c r="G17459" t="n">
        <v>3</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53456-2024</t>
        </is>
      </c>
      <c r="B17460" s="1" t="n">
        <v>45614</v>
      </c>
      <c r="C17460" s="1" t="n">
        <v>45810</v>
      </c>
      <c r="D17460" t="inlineStr">
        <is>
          <t>VÄRMLANDS LÄN</t>
        </is>
      </c>
      <c r="E17460" t="inlineStr">
        <is>
          <t>KARLSTAD</t>
        </is>
      </c>
      <c r="G17460" t="n">
        <v>3.1</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53443-2024</t>
        </is>
      </c>
      <c r="B17461" s="1" t="n">
        <v>45614</v>
      </c>
      <c r="C17461" s="1" t="n">
        <v>45810</v>
      </c>
      <c r="D17461" t="inlineStr">
        <is>
          <t>VÄRMLANDS LÄN</t>
        </is>
      </c>
      <c r="E17461" t="inlineStr">
        <is>
          <t>HAGFORS</t>
        </is>
      </c>
      <c r="G17461" t="n">
        <v>2.1</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53570-2024</t>
        </is>
      </c>
      <c r="B17462" s="1" t="n">
        <v>45614</v>
      </c>
      <c r="C17462" s="1" t="n">
        <v>45810</v>
      </c>
      <c r="D17462" t="inlineStr">
        <is>
          <t>VÄRMLANDS LÄN</t>
        </is>
      </c>
      <c r="E17462" t="inlineStr">
        <is>
          <t>TORSBY</t>
        </is>
      </c>
      <c r="G17462" t="n">
        <v>15.5</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53583-2024</t>
        </is>
      </c>
      <c r="B17463" s="1" t="n">
        <v>45614</v>
      </c>
      <c r="C17463" s="1" t="n">
        <v>45810</v>
      </c>
      <c r="D17463" t="inlineStr">
        <is>
          <t>VÄRMLANDS LÄN</t>
        </is>
      </c>
      <c r="E17463" t="inlineStr">
        <is>
          <t>TORSBY</t>
        </is>
      </c>
      <c r="G17463" t="n">
        <v>0.7</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53596-2024</t>
        </is>
      </c>
      <c r="B17464" s="1" t="n">
        <v>45614</v>
      </c>
      <c r="C17464" s="1" t="n">
        <v>45810</v>
      </c>
      <c r="D17464" t="inlineStr">
        <is>
          <t>VÄRMLANDS LÄN</t>
        </is>
      </c>
      <c r="E17464" t="inlineStr">
        <is>
          <t>FORSHAGA</t>
        </is>
      </c>
      <c r="G17464" t="n">
        <v>1.4</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53627-2024</t>
        </is>
      </c>
      <c r="B17465" s="1" t="n">
        <v>45614</v>
      </c>
      <c r="C17465" s="1" t="n">
        <v>45810</v>
      </c>
      <c r="D17465" t="inlineStr">
        <is>
          <t>VÄRMLANDS LÄN</t>
        </is>
      </c>
      <c r="E17465" t="inlineStr">
        <is>
          <t>TORSBY</t>
        </is>
      </c>
      <c r="G17465" t="n">
        <v>0.8</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53585-2024</t>
        </is>
      </c>
      <c r="B17466" s="1" t="n">
        <v>45614</v>
      </c>
      <c r="C17466" s="1" t="n">
        <v>45810</v>
      </c>
      <c r="D17466" t="inlineStr">
        <is>
          <t>VÄRMLANDS LÄN</t>
        </is>
      </c>
      <c r="E17466" t="inlineStr">
        <is>
          <t>FORSHAGA</t>
        </is>
      </c>
      <c r="G17466" t="n">
        <v>1.3</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53253-2024</t>
        </is>
      </c>
      <c r="B17467" s="1" t="n">
        <v>45614</v>
      </c>
      <c r="C17467" s="1" t="n">
        <v>45810</v>
      </c>
      <c r="D17467" t="inlineStr">
        <is>
          <t>VÄRMLANDS LÄN</t>
        </is>
      </c>
      <c r="E17467" t="inlineStr">
        <is>
          <t>TORSBY</t>
        </is>
      </c>
      <c r="F17467" t="inlineStr">
        <is>
          <t>Bergvik skog väst AB</t>
        </is>
      </c>
      <c r="G17467" t="n">
        <v>12.7</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53573-2024</t>
        </is>
      </c>
      <c r="B17468" s="1" t="n">
        <v>45614</v>
      </c>
      <c r="C17468" s="1" t="n">
        <v>45810</v>
      </c>
      <c r="D17468" t="inlineStr">
        <is>
          <t>VÄRMLANDS LÄN</t>
        </is>
      </c>
      <c r="E17468" t="inlineStr">
        <is>
          <t>FORSHAGA</t>
        </is>
      </c>
      <c r="G17468" t="n">
        <v>1.3</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53638-2024</t>
        </is>
      </c>
      <c r="B17469" s="1" t="n">
        <v>45614</v>
      </c>
      <c r="C17469" s="1" t="n">
        <v>45810</v>
      </c>
      <c r="D17469" t="inlineStr">
        <is>
          <t>VÄRMLANDS LÄN</t>
        </is>
      </c>
      <c r="E17469" t="inlineStr">
        <is>
          <t>SUNNE</t>
        </is>
      </c>
      <c r="G17469" t="n">
        <v>1.5</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53428-2024</t>
        </is>
      </c>
      <c r="B17470" s="1" t="n">
        <v>45614</v>
      </c>
      <c r="C17470" s="1" t="n">
        <v>45810</v>
      </c>
      <c r="D17470" t="inlineStr">
        <is>
          <t>VÄRMLANDS LÄN</t>
        </is>
      </c>
      <c r="E17470" t="inlineStr">
        <is>
          <t>SUNNE</t>
        </is>
      </c>
      <c r="G17470" t="n">
        <v>1.7</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53416-2024</t>
        </is>
      </c>
      <c r="B17471" s="1" t="n">
        <v>45614</v>
      </c>
      <c r="C17471" s="1" t="n">
        <v>45810</v>
      </c>
      <c r="D17471" t="inlineStr">
        <is>
          <t>VÄRMLANDS LÄN</t>
        </is>
      </c>
      <c r="E17471" t="inlineStr">
        <is>
          <t>EDA</t>
        </is>
      </c>
      <c r="G17471" t="n">
        <v>1.5</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53639-2024</t>
        </is>
      </c>
      <c r="B17472" s="1" t="n">
        <v>45614</v>
      </c>
      <c r="C17472" s="1" t="n">
        <v>45810</v>
      </c>
      <c r="D17472" t="inlineStr">
        <is>
          <t>VÄRMLANDS LÄN</t>
        </is>
      </c>
      <c r="E17472" t="inlineStr">
        <is>
          <t>EDA</t>
        </is>
      </c>
      <c r="G17472" t="n">
        <v>0.9</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53599-2024</t>
        </is>
      </c>
      <c r="B17473" s="1" t="n">
        <v>45614</v>
      </c>
      <c r="C17473" s="1" t="n">
        <v>45810</v>
      </c>
      <c r="D17473" t="inlineStr">
        <is>
          <t>VÄRMLANDS LÄN</t>
        </is>
      </c>
      <c r="E17473" t="inlineStr">
        <is>
          <t>TORSBY</t>
        </is>
      </c>
      <c r="F17473" t="inlineStr">
        <is>
          <t>Bergvik skog väst AB</t>
        </is>
      </c>
      <c r="G17473" t="n">
        <v>10.9</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53879-2024</t>
        </is>
      </c>
      <c r="B17474" s="1" t="n">
        <v>45614</v>
      </c>
      <c r="C17474" s="1" t="n">
        <v>45810</v>
      </c>
      <c r="D17474" t="inlineStr">
        <is>
          <t>VÄRMLANDS LÄN</t>
        </is>
      </c>
      <c r="E17474" t="inlineStr">
        <is>
          <t>KRISTINEHAMN</t>
        </is>
      </c>
      <c r="G17474" t="n">
        <v>1.5</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53396-2024</t>
        </is>
      </c>
      <c r="B17475" s="1" t="n">
        <v>45614</v>
      </c>
      <c r="C17475" s="1" t="n">
        <v>45810</v>
      </c>
      <c r="D17475" t="inlineStr">
        <is>
          <t>VÄRMLANDS LÄN</t>
        </is>
      </c>
      <c r="E17475" t="inlineStr">
        <is>
          <t>TORSBY</t>
        </is>
      </c>
      <c r="F17475" t="inlineStr">
        <is>
          <t>Bergvik skog väst AB</t>
        </is>
      </c>
      <c r="G17475" t="n">
        <v>10.1</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53388-2024</t>
        </is>
      </c>
      <c r="B17476" s="1" t="n">
        <v>45614</v>
      </c>
      <c r="C17476" s="1" t="n">
        <v>45810</v>
      </c>
      <c r="D17476" t="inlineStr">
        <is>
          <t>VÄRMLANDS LÄN</t>
        </is>
      </c>
      <c r="E17476" t="inlineStr">
        <is>
          <t>STORFORS</t>
        </is>
      </c>
      <c r="G17476" t="n">
        <v>1.3</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53593-2024</t>
        </is>
      </c>
      <c r="B17477" s="1" t="n">
        <v>45614</v>
      </c>
      <c r="C17477" s="1" t="n">
        <v>45810</v>
      </c>
      <c r="D17477" t="inlineStr">
        <is>
          <t>VÄRMLANDS LÄN</t>
        </is>
      </c>
      <c r="E17477" t="inlineStr">
        <is>
          <t>TORSBY</t>
        </is>
      </c>
      <c r="G17477" t="n">
        <v>1.1</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53499-2024</t>
        </is>
      </c>
      <c r="B17478" s="1" t="n">
        <v>45614</v>
      </c>
      <c r="C17478" s="1" t="n">
        <v>45810</v>
      </c>
      <c r="D17478" t="inlineStr">
        <is>
          <t>VÄRMLANDS LÄN</t>
        </is>
      </c>
      <c r="E17478" t="inlineStr">
        <is>
          <t>HAGFORS</t>
        </is>
      </c>
      <c r="G17478" t="n">
        <v>1.1</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53414-2024</t>
        </is>
      </c>
      <c r="B17479" s="1" t="n">
        <v>45614</v>
      </c>
      <c r="C17479" s="1" t="n">
        <v>45810</v>
      </c>
      <c r="D17479" t="inlineStr">
        <is>
          <t>VÄRMLANDS LÄN</t>
        </is>
      </c>
      <c r="E17479" t="inlineStr">
        <is>
          <t>EDA</t>
        </is>
      </c>
      <c r="G17479" t="n">
        <v>1.8</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53538-2024</t>
        </is>
      </c>
      <c r="B17480" s="1" t="n">
        <v>45614</v>
      </c>
      <c r="C17480" s="1" t="n">
        <v>45810</v>
      </c>
      <c r="D17480" t="inlineStr">
        <is>
          <t>VÄRMLANDS LÄN</t>
        </is>
      </c>
      <c r="E17480" t="inlineStr">
        <is>
          <t>FORSHAGA</t>
        </is>
      </c>
      <c r="G17480" t="n">
        <v>1.5</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53372-2024</t>
        </is>
      </c>
      <c r="B17481" s="1" t="n">
        <v>45614</v>
      </c>
      <c r="C17481" s="1" t="n">
        <v>45810</v>
      </c>
      <c r="D17481" t="inlineStr">
        <is>
          <t>VÄRMLANDS LÄN</t>
        </is>
      </c>
      <c r="E17481" t="inlineStr">
        <is>
          <t>STORFORS</t>
        </is>
      </c>
      <c r="G17481" t="n">
        <v>6.4</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53506-2024</t>
        </is>
      </c>
      <c r="B17482" s="1" t="n">
        <v>45614</v>
      </c>
      <c r="C17482" s="1" t="n">
        <v>45810</v>
      </c>
      <c r="D17482" t="inlineStr">
        <is>
          <t>VÄRMLANDS LÄN</t>
        </is>
      </c>
      <c r="E17482" t="inlineStr">
        <is>
          <t>TORSBY</t>
        </is>
      </c>
      <c r="F17482" t="inlineStr">
        <is>
          <t>Bergvik skog väst AB</t>
        </is>
      </c>
      <c r="G17482" t="n">
        <v>12.2</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53484-2024</t>
        </is>
      </c>
      <c r="B17483" s="1" t="n">
        <v>45614</v>
      </c>
      <c r="C17483" s="1" t="n">
        <v>45810</v>
      </c>
      <c r="D17483" t="inlineStr">
        <is>
          <t>VÄRMLANDS LÄN</t>
        </is>
      </c>
      <c r="E17483" t="inlineStr">
        <is>
          <t>MUNKFORS</t>
        </is>
      </c>
      <c r="G17483" t="n">
        <v>1.1</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53433-2024</t>
        </is>
      </c>
      <c r="B17484" s="1" t="n">
        <v>45614</v>
      </c>
      <c r="C17484" s="1" t="n">
        <v>45810</v>
      </c>
      <c r="D17484" t="inlineStr">
        <is>
          <t>VÄRMLANDS LÄN</t>
        </is>
      </c>
      <c r="E17484" t="inlineStr">
        <is>
          <t>SUNNE</t>
        </is>
      </c>
      <c r="G17484" t="n">
        <v>5.9</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53429-2024</t>
        </is>
      </c>
      <c r="B17485" s="1" t="n">
        <v>45614</v>
      </c>
      <c r="C17485" s="1" t="n">
        <v>45810</v>
      </c>
      <c r="D17485" t="inlineStr">
        <is>
          <t>VÄRMLANDS LÄN</t>
        </is>
      </c>
      <c r="E17485" t="inlineStr">
        <is>
          <t>SUNNE</t>
        </is>
      </c>
      <c r="G17485" t="n">
        <v>1.5</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53368-2024</t>
        </is>
      </c>
      <c r="B17486" s="1" t="n">
        <v>45614</v>
      </c>
      <c r="C17486" s="1" t="n">
        <v>45810</v>
      </c>
      <c r="D17486" t="inlineStr">
        <is>
          <t>VÄRMLANDS LÄN</t>
        </is>
      </c>
      <c r="E17486" t="inlineStr">
        <is>
          <t>TORSBY</t>
        </is>
      </c>
      <c r="G17486" t="n">
        <v>0.5</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53358-2024</t>
        </is>
      </c>
      <c r="B17487" s="1" t="n">
        <v>45614</v>
      </c>
      <c r="C17487" s="1" t="n">
        <v>45810</v>
      </c>
      <c r="D17487" t="inlineStr">
        <is>
          <t>VÄRMLANDS LÄN</t>
        </is>
      </c>
      <c r="E17487" t="inlineStr">
        <is>
          <t>TORSBY</t>
        </is>
      </c>
      <c r="G17487" t="n">
        <v>0.3</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53401-2024</t>
        </is>
      </c>
      <c r="B17488" s="1" t="n">
        <v>45614</v>
      </c>
      <c r="C17488" s="1" t="n">
        <v>45810</v>
      </c>
      <c r="D17488" t="inlineStr">
        <is>
          <t>VÄRMLANDS LÄN</t>
        </is>
      </c>
      <c r="E17488" t="inlineStr">
        <is>
          <t>EDA</t>
        </is>
      </c>
      <c r="G17488" t="n">
        <v>1.2</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53353-2024</t>
        </is>
      </c>
      <c r="B17489" s="1" t="n">
        <v>45614</v>
      </c>
      <c r="C17489" s="1" t="n">
        <v>45810</v>
      </c>
      <c r="D17489" t="inlineStr">
        <is>
          <t>VÄRMLANDS LÄN</t>
        </is>
      </c>
      <c r="E17489" t="inlineStr">
        <is>
          <t>STORFORS</t>
        </is>
      </c>
      <c r="G17489" t="n">
        <v>0.5</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53297-2024</t>
        </is>
      </c>
      <c r="B17490" s="1" t="n">
        <v>45614</v>
      </c>
      <c r="C17490" s="1" t="n">
        <v>45810</v>
      </c>
      <c r="D17490" t="inlineStr">
        <is>
          <t>VÄRMLANDS LÄN</t>
        </is>
      </c>
      <c r="E17490" t="inlineStr">
        <is>
          <t>TORSBY</t>
        </is>
      </c>
      <c r="F17490" t="inlineStr">
        <is>
          <t>Bergvik skog väst AB</t>
        </is>
      </c>
      <c r="G17490" t="n">
        <v>9.5</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53737-2024</t>
        </is>
      </c>
      <c r="B17491" s="1" t="n">
        <v>45615</v>
      </c>
      <c r="C17491" s="1" t="n">
        <v>45810</v>
      </c>
      <c r="D17491" t="inlineStr">
        <is>
          <t>VÄRMLANDS LÄN</t>
        </is>
      </c>
      <c r="E17491" t="inlineStr">
        <is>
          <t>ARVIKA</t>
        </is>
      </c>
      <c r="G17491" t="n">
        <v>1.6</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53741-2024</t>
        </is>
      </c>
      <c r="B17492" s="1" t="n">
        <v>45615</v>
      </c>
      <c r="C17492" s="1" t="n">
        <v>45810</v>
      </c>
      <c r="D17492" t="inlineStr">
        <is>
          <t>VÄRMLANDS LÄN</t>
        </is>
      </c>
      <c r="E17492" t="inlineStr">
        <is>
          <t>HAGFORS</t>
        </is>
      </c>
      <c r="G17492" t="n">
        <v>4</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53749-2024</t>
        </is>
      </c>
      <c r="B17493" s="1" t="n">
        <v>45615</v>
      </c>
      <c r="C17493" s="1" t="n">
        <v>45810</v>
      </c>
      <c r="D17493" t="inlineStr">
        <is>
          <t>VÄRMLANDS LÄN</t>
        </is>
      </c>
      <c r="E17493" t="inlineStr">
        <is>
          <t>ÅRJÄNG</t>
        </is>
      </c>
      <c r="G17493" t="n">
        <v>1</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53732-2024</t>
        </is>
      </c>
      <c r="B17494" s="1" t="n">
        <v>45615</v>
      </c>
      <c r="C17494" s="1" t="n">
        <v>45810</v>
      </c>
      <c r="D17494" t="inlineStr">
        <is>
          <t>VÄRMLANDS LÄN</t>
        </is>
      </c>
      <c r="E17494" t="inlineStr">
        <is>
          <t>KIL</t>
        </is>
      </c>
      <c r="G17494" t="n">
        <v>1.4</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53744-2024</t>
        </is>
      </c>
      <c r="B17495" s="1" t="n">
        <v>45615</v>
      </c>
      <c r="C17495" s="1" t="n">
        <v>45810</v>
      </c>
      <c r="D17495" t="inlineStr">
        <is>
          <t>VÄRMLANDS LÄN</t>
        </is>
      </c>
      <c r="E17495" t="inlineStr">
        <is>
          <t>TORSBY</t>
        </is>
      </c>
      <c r="G17495" t="n">
        <v>16.9</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53748-2024</t>
        </is>
      </c>
      <c r="B17496" s="1" t="n">
        <v>45615</v>
      </c>
      <c r="C17496" s="1" t="n">
        <v>45810</v>
      </c>
      <c r="D17496" t="inlineStr">
        <is>
          <t>VÄRMLANDS LÄN</t>
        </is>
      </c>
      <c r="E17496" t="inlineStr">
        <is>
          <t>TORSBY</t>
        </is>
      </c>
      <c r="G17496" t="n">
        <v>11.2</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53799-2024</t>
        </is>
      </c>
      <c r="B17497" s="1" t="n">
        <v>45615</v>
      </c>
      <c r="C17497" s="1" t="n">
        <v>45810</v>
      </c>
      <c r="D17497" t="inlineStr">
        <is>
          <t>VÄRMLANDS LÄN</t>
        </is>
      </c>
      <c r="E17497" t="inlineStr">
        <is>
          <t>EDA</t>
        </is>
      </c>
      <c r="G17497" t="n">
        <v>3.7</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53734-2024</t>
        </is>
      </c>
      <c r="B17498" s="1" t="n">
        <v>45615</v>
      </c>
      <c r="C17498" s="1" t="n">
        <v>45810</v>
      </c>
      <c r="D17498" t="inlineStr">
        <is>
          <t>VÄRMLANDS LÄN</t>
        </is>
      </c>
      <c r="E17498" t="inlineStr">
        <is>
          <t>KIL</t>
        </is>
      </c>
      <c r="G17498" t="n">
        <v>1.9</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53738-2024</t>
        </is>
      </c>
      <c r="B17499" s="1" t="n">
        <v>45615</v>
      </c>
      <c r="C17499" s="1" t="n">
        <v>45810</v>
      </c>
      <c r="D17499" t="inlineStr">
        <is>
          <t>VÄRMLANDS LÄN</t>
        </is>
      </c>
      <c r="E17499" t="inlineStr">
        <is>
          <t>ÅRJÄNG</t>
        </is>
      </c>
      <c r="G17499" t="n">
        <v>2</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53742-2024</t>
        </is>
      </c>
      <c r="B17500" s="1" t="n">
        <v>45615</v>
      </c>
      <c r="C17500" s="1" t="n">
        <v>45810</v>
      </c>
      <c r="D17500" t="inlineStr">
        <is>
          <t>VÄRMLANDS LÄN</t>
        </is>
      </c>
      <c r="E17500" t="inlineStr">
        <is>
          <t>ÅRJÄNG</t>
        </is>
      </c>
      <c r="G17500" t="n">
        <v>0.8</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53755-2024</t>
        </is>
      </c>
      <c r="B17501" s="1" t="n">
        <v>45615</v>
      </c>
      <c r="C17501" s="1" t="n">
        <v>45810</v>
      </c>
      <c r="D17501" t="inlineStr">
        <is>
          <t>VÄRMLANDS LÄN</t>
        </is>
      </c>
      <c r="E17501" t="inlineStr">
        <is>
          <t>GRUMS</t>
        </is>
      </c>
      <c r="G17501" t="n">
        <v>6.1</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53759-2024</t>
        </is>
      </c>
      <c r="B17502" s="1" t="n">
        <v>45615</v>
      </c>
      <c r="C17502" s="1" t="n">
        <v>45810</v>
      </c>
      <c r="D17502" t="inlineStr">
        <is>
          <t>VÄRMLANDS LÄN</t>
        </is>
      </c>
      <c r="E17502" t="inlineStr">
        <is>
          <t>SUNNE</t>
        </is>
      </c>
      <c r="G17502" t="n">
        <v>4.5</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53813-2024</t>
        </is>
      </c>
      <c r="B17503" s="1" t="n">
        <v>45615</v>
      </c>
      <c r="C17503" s="1" t="n">
        <v>45810</v>
      </c>
      <c r="D17503" t="inlineStr">
        <is>
          <t>VÄRMLANDS LÄN</t>
        </is>
      </c>
      <c r="E17503" t="inlineStr">
        <is>
          <t>HAGFORS</t>
        </is>
      </c>
      <c r="G17503" t="n">
        <v>2.9</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53723-2024</t>
        </is>
      </c>
      <c r="B17504" s="1" t="n">
        <v>45615</v>
      </c>
      <c r="C17504" s="1" t="n">
        <v>45810</v>
      </c>
      <c r="D17504" t="inlineStr">
        <is>
          <t>VÄRMLANDS LÄN</t>
        </is>
      </c>
      <c r="E17504" t="inlineStr">
        <is>
          <t>ARVIKA</t>
        </is>
      </c>
      <c r="G17504" t="n">
        <v>6.6</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53654-2024</t>
        </is>
      </c>
      <c r="B17505" s="1" t="n">
        <v>45615</v>
      </c>
      <c r="C17505" s="1" t="n">
        <v>45810</v>
      </c>
      <c r="D17505" t="inlineStr">
        <is>
          <t>VÄRMLANDS LÄN</t>
        </is>
      </c>
      <c r="E17505" t="inlineStr">
        <is>
          <t>KARLSTAD</t>
        </is>
      </c>
      <c r="G17505" t="n">
        <v>1.5</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53667-2024</t>
        </is>
      </c>
      <c r="B17506" s="1" t="n">
        <v>45615</v>
      </c>
      <c r="C17506" s="1" t="n">
        <v>45810</v>
      </c>
      <c r="D17506" t="inlineStr">
        <is>
          <t>VÄRMLANDS LÄN</t>
        </is>
      </c>
      <c r="E17506" t="inlineStr">
        <is>
          <t>TORSBY</t>
        </is>
      </c>
      <c r="F17506" t="inlineStr">
        <is>
          <t>Bergvik skog väst AB</t>
        </is>
      </c>
      <c r="G17506" t="n">
        <v>8.300000000000001</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53925-2024</t>
        </is>
      </c>
      <c r="B17507" s="1" t="n">
        <v>45615</v>
      </c>
      <c r="C17507" s="1" t="n">
        <v>45810</v>
      </c>
      <c r="D17507" t="inlineStr">
        <is>
          <t>VÄRMLANDS LÄN</t>
        </is>
      </c>
      <c r="E17507" t="inlineStr">
        <is>
          <t>SUNNE</t>
        </is>
      </c>
      <c r="G17507" t="n">
        <v>3.1</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53974-2024</t>
        </is>
      </c>
      <c r="B17508" s="1" t="n">
        <v>45615</v>
      </c>
      <c r="C17508" s="1" t="n">
        <v>45810</v>
      </c>
      <c r="D17508" t="inlineStr">
        <is>
          <t>VÄRMLANDS LÄN</t>
        </is>
      </c>
      <c r="E17508" t="inlineStr">
        <is>
          <t>SÄFFLE</t>
        </is>
      </c>
      <c r="G17508" t="n">
        <v>4.6</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53793-2024</t>
        </is>
      </c>
      <c r="B17509" s="1" t="n">
        <v>45615</v>
      </c>
      <c r="C17509" s="1" t="n">
        <v>45810</v>
      </c>
      <c r="D17509" t="inlineStr">
        <is>
          <t>VÄRMLANDS LÄN</t>
        </is>
      </c>
      <c r="E17509" t="inlineStr">
        <is>
          <t>ÅRJÄNG</t>
        </is>
      </c>
      <c r="G17509" t="n">
        <v>4.9</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53747-2024</t>
        </is>
      </c>
      <c r="B17510" s="1" t="n">
        <v>45615</v>
      </c>
      <c r="C17510" s="1" t="n">
        <v>45810</v>
      </c>
      <c r="D17510" t="inlineStr">
        <is>
          <t>VÄRMLANDS LÄN</t>
        </is>
      </c>
      <c r="E17510" t="inlineStr">
        <is>
          <t>EDA</t>
        </is>
      </c>
      <c r="G17510" t="n">
        <v>1.7</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53713-2024</t>
        </is>
      </c>
      <c r="B17511" s="1" t="n">
        <v>45615</v>
      </c>
      <c r="C17511" s="1" t="n">
        <v>45810</v>
      </c>
      <c r="D17511" t="inlineStr">
        <is>
          <t>VÄRMLANDS LÄN</t>
        </is>
      </c>
      <c r="E17511" t="inlineStr">
        <is>
          <t>ARVIKA</t>
        </is>
      </c>
      <c r="G17511" t="n">
        <v>0.9</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53697-2024</t>
        </is>
      </c>
      <c r="B17512" s="1" t="n">
        <v>45615</v>
      </c>
      <c r="C17512" s="1" t="n">
        <v>45810</v>
      </c>
      <c r="D17512" t="inlineStr">
        <is>
          <t>VÄRMLANDS LÄN</t>
        </is>
      </c>
      <c r="E17512" t="inlineStr">
        <is>
          <t>EDA</t>
        </is>
      </c>
      <c r="G17512" t="n">
        <v>2.2</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53907-2024</t>
        </is>
      </c>
      <c r="B17513" s="1" t="n">
        <v>45615</v>
      </c>
      <c r="C17513" s="1" t="n">
        <v>45810</v>
      </c>
      <c r="D17513" t="inlineStr">
        <is>
          <t>VÄRMLANDS LÄN</t>
        </is>
      </c>
      <c r="E17513" t="inlineStr">
        <is>
          <t>STORFORS</t>
        </is>
      </c>
      <c r="G17513" t="n">
        <v>1.2</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53911-2024</t>
        </is>
      </c>
      <c r="B17514" s="1" t="n">
        <v>45615</v>
      </c>
      <c r="C17514" s="1" t="n">
        <v>45810</v>
      </c>
      <c r="D17514" t="inlineStr">
        <is>
          <t>VÄRMLANDS LÄN</t>
        </is>
      </c>
      <c r="E17514" t="inlineStr">
        <is>
          <t>STORFORS</t>
        </is>
      </c>
      <c r="G17514" t="n">
        <v>1.4</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53912-2024</t>
        </is>
      </c>
      <c r="B17515" s="1" t="n">
        <v>45615</v>
      </c>
      <c r="C17515" s="1" t="n">
        <v>45810</v>
      </c>
      <c r="D17515" t="inlineStr">
        <is>
          <t>VÄRMLANDS LÄN</t>
        </is>
      </c>
      <c r="E17515" t="inlineStr">
        <is>
          <t>STORFORS</t>
        </is>
      </c>
      <c r="G17515" t="n">
        <v>1.3</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54008-2024</t>
        </is>
      </c>
      <c r="B17516" s="1" t="n">
        <v>45615</v>
      </c>
      <c r="C17516" s="1" t="n">
        <v>45810</v>
      </c>
      <c r="D17516" t="inlineStr">
        <is>
          <t>VÄRMLANDS LÄN</t>
        </is>
      </c>
      <c r="E17516" t="inlineStr">
        <is>
          <t>HAGFORS</t>
        </is>
      </c>
      <c r="G17516" t="n">
        <v>3.1</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53927-2024</t>
        </is>
      </c>
      <c r="B17517" s="1" t="n">
        <v>45615</v>
      </c>
      <c r="C17517" s="1" t="n">
        <v>45810</v>
      </c>
      <c r="D17517" t="inlineStr">
        <is>
          <t>VÄRMLANDS LÄN</t>
        </is>
      </c>
      <c r="E17517" t="inlineStr">
        <is>
          <t>SUNNE</t>
        </is>
      </c>
      <c r="G17517" t="n">
        <v>6</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54012-2024</t>
        </is>
      </c>
      <c r="B17518" s="1" t="n">
        <v>45615</v>
      </c>
      <c r="C17518" s="1" t="n">
        <v>45810</v>
      </c>
      <c r="D17518" t="inlineStr">
        <is>
          <t>VÄRMLANDS LÄN</t>
        </is>
      </c>
      <c r="E17518" t="inlineStr">
        <is>
          <t>HAGFORS</t>
        </is>
      </c>
      <c r="G17518" t="n">
        <v>0.7</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53656-2024</t>
        </is>
      </c>
      <c r="B17519" s="1" t="n">
        <v>45615</v>
      </c>
      <c r="C17519" s="1" t="n">
        <v>45810</v>
      </c>
      <c r="D17519" t="inlineStr">
        <is>
          <t>VÄRMLANDS LÄN</t>
        </is>
      </c>
      <c r="E17519" t="inlineStr">
        <is>
          <t>KARLSTAD</t>
        </is>
      </c>
      <c r="G17519" t="n">
        <v>1.5</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53926-2024</t>
        </is>
      </c>
      <c r="B17520" s="1" t="n">
        <v>45615</v>
      </c>
      <c r="C17520" s="1" t="n">
        <v>45810</v>
      </c>
      <c r="D17520" t="inlineStr">
        <is>
          <t>VÄRMLANDS LÄN</t>
        </is>
      </c>
      <c r="E17520" t="inlineStr">
        <is>
          <t>SUNNE</t>
        </is>
      </c>
      <c r="G17520" t="n">
        <v>0.7</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54005-2024</t>
        </is>
      </c>
      <c r="B17521" s="1" t="n">
        <v>45615</v>
      </c>
      <c r="C17521" s="1" t="n">
        <v>45810</v>
      </c>
      <c r="D17521" t="inlineStr">
        <is>
          <t>VÄRMLANDS LÄN</t>
        </is>
      </c>
      <c r="E17521" t="inlineStr">
        <is>
          <t>HAGFORS</t>
        </is>
      </c>
      <c r="G17521" t="n">
        <v>2.9</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54013-2024</t>
        </is>
      </c>
      <c r="B17522" s="1" t="n">
        <v>45615</v>
      </c>
      <c r="C17522" s="1" t="n">
        <v>45810</v>
      </c>
      <c r="D17522" t="inlineStr">
        <is>
          <t>VÄRMLANDS LÄN</t>
        </is>
      </c>
      <c r="E17522" t="inlineStr">
        <is>
          <t>HAGFORS</t>
        </is>
      </c>
      <c r="G17522" t="n">
        <v>0.8</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54141-2024</t>
        </is>
      </c>
      <c r="B17523" s="1" t="n">
        <v>45616</v>
      </c>
      <c r="C17523" s="1" t="n">
        <v>45810</v>
      </c>
      <c r="D17523" t="inlineStr">
        <is>
          <t>VÄRMLANDS LÄN</t>
        </is>
      </c>
      <c r="E17523" t="inlineStr">
        <is>
          <t>KARLSTAD</t>
        </is>
      </c>
      <c r="F17523" t="inlineStr">
        <is>
          <t>Bergvik skog väst AB</t>
        </is>
      </c>
      <c r="G17523" t="n">
        <v>2.1</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54145-2024</t>
        </is>
      </c>
      <c r="B17524" s="1" t="n">
        <v>45616</v>
      </c>
      <c r="C17524" s="1" t="n">
        <v>45810</v>
      </c>
      <c r="D17524" t="inlineStr">
        <is>
          <t>VÄRMLANDS LÄN</t>
        </is>
      </c>
      <c r="E17524" t="inlineStr">
        <is>
          <t>FILIPSTAD</t>
        </is>
      </c>
      <c r="F17524" t="inlineStr">
        <is>
          <t>Bergvik skog väst AB</t>
        </is>
      </c>
      <c r="G17524" t="n">
        <v>3.2</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54153-2024</t>
        </is>
      </c>
      <c r="B17525" s="1" t="n">
        <v>45616</v>
      </c>
      <c r="C17525" s="1" t="n">
        <v>45810</v>
      </c>
      <c r="D17525" t="inlineStr">
        <is>
          <t>VÄRMLANDS LÄN</t>
        </is>
      </c>
      <c r="E17525" t="inlineStr">
        <is>
          <t>FILIPSTAD</t>
        </is>
      </c>
      <c r="F17525" t="inlineStr">
        <is>
          <t>Bergvik skog väst AB</t>
        </is>
      </c>
      <c r="G17525" t="n">
        <v>2.9</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54155-2024</t>
        </is>
      </c>
      <c r="B17526" s="1" t="n">
        <v>45616</v>
      </c>
      <c r="C17526" s="1" t="n">
        <v>45810</v>
      </c>
      <c r="D17526" t="inlineStr">
        <is>
          <t>VÄRMLANDS LÄN</t>
        </is>
      </c>
      <c r="E17526" t="inlineStr">
        <is>
          <t>ARVIKA</t>
        </is>
      </c>
      <c r="F17526" t="inlineStr">
        <is>
          <t>Bergvik skog väst AB</t>
        </is>
      </c>
      <c r="G17526" t="n">
        <v>1</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54173-2024</t>
        </is>
      </c>
      <c r="B17527" s="1" t="n">
        <v>45616</v>
      </c>
      <c r="C17527" s="1" t="n">
        <v>45810</v>
      </c>
      <c r="D17527" t="inlineStr">
        <is>
          <t>VÄRMLANDS LÄN</t>
        </is>
      </c>
      <c r="E17527" t="inlineStr">
        <is>
          <t>EDA</t>
        </is>
      </c>
      <c r="G17527" t="n">
        <v>0.7</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53973-2024</t>
        </is>
      </c>
      <c r="B17528" s="1" t="n">
        <v>45616</v>
      </c>
      <c r="C17528" s="1" t="n">
        <v>45810</v>
      </c>
      <c r="D17528" t="inlineStr">
        <is>
          <t>VÄRMLANDS LÄN</t>
        </is>
      </c>
      <c r="E17528" t="inlineStr">
        <is>
          <t>KRISTINEHAMN</t>
        </is>
      </c>
      <c r="G17528" t="n">
        <v>8.300000000000001</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53984-2024</t>
        </is>
      </c>
      <c r="B17529" s="1" t="n">
        <v>45616</v>
      </c>
      <c r="C17529" s="1" t="n">
        <v>45810</v>
      </c>
      <c r="D17529" t="inlineStr">
        <is>
          <t>VÄRMLANDS LÄN</t>
        </is>
      </c>
      <c r="E17529" t="inlineStr">
        <is>
          <t>KRISTINEHAMN</t>
        </is>
      </c>
      <c r="G17529" t="n">
        <v>3.6</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54023-2024</t>
        </is>
      </c>
      <c r="B17530" s="1" t="n">
        <v>45616</v>
      </c>
      <c r="C17530" s="1" t="n">
        <v>45810</v>
      </c>
      <c r="D17530" t="inlineStr">
        <is>
          <t>VÄRMLANDS LÄN</t>
        </is>
      </c>
      <c r="E17530" t="inlineStr">
        <is>
          <t>TORSBY</t>
        </is>
      </c>
      <c r="F17530" t="inlineStr">
        <is>
          <t>Kommuner</t>
        </is>
      </c>
      <c r="G17530" t="n">
        <v>3</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54098-2024</t>
        </is>
      </c>
      <c r="B17531" s="1" t="n">
        <v>45616</v>
      </c>
      <c r="C17531" s="1" t="n">
        <v>45810</v>
      </c>
      <c r="D17531" t="inlineStr">
        <is>
          <t>VÄRMLANDS LÄN</t>
        </is>
      </c>
      <c r="E17531" t="inlineStr">
        <is>
          <t>ARVIKA</t>
        </is>
      </c>
      <c r="G17531" t="n">
        <v>4.2</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53964-2024</t>
        </is>
      </c>
      <c r="B17532" s="1" t="n">
        <v>45616</v>
      </c>
      <c r="C17532" s="1" t="n">
        <v>45810</v>
      </c>
      <c r="D17532" t="inlineStr">
        <is>
          <t>VÄRMLANDS LÄN</t>
        </is>
      </c>
      <c r="E17532" t="inlineStr">
        <is>
          <t>ARVIKA</t>
        </is>
      </c>
      <c r="G17532" t="n">
        <v>2.7</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53960-2024</t>
        </is>
      </c>
      <c r="B17533" s="1" t="n">
        <v>45616</v>
      </c>
      <c r="C17533" s="1" t="n">
        <v>45810</v>
      </c>
      <c r="D17533" t="inlineStr">
        <is>
          <t>VÄRMLANDS LÄN</t>
        </is>
      </c>
      <c r="E17533" t="inlineStr">
        <is>
          <t>ARVIKA</t>
        </is>
      </c>
      <c r="G17533" t="n">
        <v>1.6</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53956-2024</t>
        </is>
      </c>
      <c r="B17534" s="1" t="n">
        <v>45616</v>
      </c>
      <c r="C17534" s="1" t="n">
        <v>45810</v>
      </c>
      <c r="D17534" t="inlineStr">
        <is>
          <t>VÄRMLANDS LÄN</t>
        </is>
      </c>
      <c r="E17534" t="inlineStr">
        <is>
          <t>KIL</t>
        </is>
      </c>
      <c r="G17534" t="n">
        <v>4.7</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53951-2024</t>
        </is>
      </c>
      <c r="B17535" s="1" t="n">
        <v>45616</v>
      </c>
      <c r="C17535" s="1" t="n">
        <v>45810</v>
      </c>
      <c r="D17535" t="inlineStr">
        <is>
          <t>VÄRMLANDS LÄN</t>
        </is>
      </c>
      <c r="E17535" t="inlineStr">
        <is>
          <t>KIL</t>
        </is>
      </c>
      <c r="G17535" t="n">
        <v>6.2</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54158-2024</t>
        </is>
      </c>
      <c r="B17536" s="1" t="n">
        <v>45616</v>
      </c>
      <c r="C17536" s="1" t="n">
        <v>45810</v>
      </c>
      <c r="D17536" t="inlineStr">
        <is>
          <t>VÄRMLANDS LÄN</t>
        </is>
      </c>
      <c r="E17536" t="inlineStr">
        <is>
          <t>ARVIKA</t>
        </is>
      </c>
      <c r="F17536" t="inlineStr">
        <is>
          <t>Bergvik skog väst AB</t>
        </is>
      </c>
      <c r="G17536" t="n">
        <v>7.4</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54254-2024</t>
        </is>
      </c>
      <c r="B17537" s="1" t="n">
        <v>45616</v>
      </c>
      <c r="C17537" s="1" t="n">
        <v>45810</v>
      </c>
      <c r="D17537" t="inlineStr">
        <is>
          <t>VÄRMLANDS LÄN</t>
        </is>
      </c>
      <c r="E17537" t="inlineStr">
        <is>
          <t>KARLSTAD</t>
        </is>
      </c>
      <c r="G17537" t="n">
        <v>4.8</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54266-2024</t>
        </is>
      </c>
      <c r="B17538" s="1" t="n">
        <v>45616</v>
      </c>
      <c r="C17538" s="1" t="n">
        <v>45810</v>
      </c>
      <c r="D17538" t="inlineStr">
        <is>
          <t>VÄRMLANDS LÄN</t>
        </is>
      </c>
      <c r="E17538" t="inlineStr">
        <is>
          <t>TORSBY</t>
        </is>
      </c>
      <c r="F17538" t="inlineStr">
        <is>
          <t>Kommuner</t>
        </is>
      </c>
      <c r="G17538" t="n">
        <v>2.7</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53958-2024</t>
        </is>
      </c>
      <c r="B17539" s="1" t="n">
        <v>45616</v>
      </c>
      <c r="C17539" s="1" t="n">
        <v>45810</v>
      </c>
      <c r="D17539" t="inlineStr">
        <is>
          <t>VÄRMLANDS LÄN</t>
        </is>
      </c>
      <c r="E17539" t="inlineStr">
        <is>
          <t>KIL</t>
        </is>
      </c>
      <c r="G17539" t="n">
        <v>0.5</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54004-2024</t>
        </is>
      </c>
      <c r="B17540" s="1" t="n">
        <v>45616</v>
      </c>
      <c r="C17540" s="1" t="n">
        <v>45810</v>
      </c>
      <c r="D17540" t="inlineStr">
        <is>
          <t>VÄRMLANDS LÄN</t>
        </is>
      </c>
      <c r="E17540" t="inlineStr">
        <is>
          <t>TORSBY</t>
        </is>
      </c>
      <c r="F17540" t="inlineStr">
        <is>
          <t>Kommuner</t>
        </is>
      </c>
      <c r="G17540" t="n">
        <v>4</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54011-2024</t>
        </is>
      </c>
      <c r="B17541" s="1" t="n">
        <v>45616</v>
      </c>
      <c r="C17541" s="1" t="n">
        <v>45810</v>
      </c>
      <c r="D17541" t="inlineStr">
        <is>
          <t>VÄRMLANDS LÄN</t>
        </is>
      </c>
      <c r="E17541" t="inlineStr">
        <is>
          <t>TORSBY</t>
        </is>
      </c>
      <c r="F17541" t="inlineStr">
        <is>
          <t>Kommuner</t>
        </is>
      </c>
      <c r="G17541" t="n">
        <v>0.9</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54026-2024</t>
        </is>
      </c>
      <c r="B17542" s="1" t="n">
        <v>45616</v>
      </c>
      <c r="C17542" s="1" t="n">
        <v>45810</v>
      </c>
      <c r="D17542" t="inlineStr">
        <is>
          <t>VÄRMLANDS LÄN</t>
        </is>
      </c>
      <c r="E17542" t="inlineStr">
        <is>
          <t>TORSBY</t>
        </is>
      </c>
      <c r="G17542" t="n">
        <v>8.4</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54077-2024</t>
        </is>
      </c>
      <c r="B17543" s="1" t="n">
        <v>45616</v>
      </c>
      <c r="C17543" s="1" t="n">
        <v>45810</v>
      </c>
      <c r="D17543" t="inlineStr">
        <is>
          <t>VÄRMLANDS LÄN</t>
        </is>
      </c>
      <c r="E17543" t="inlineStr">
        <is>
          <t>SUNNE</t>
        </is>
      </c>
      <c r="G17543" t="n">
        <v>1.7</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54108-2024</t>
        </is>
      </c>
      <c r="B17544" s="1" t="n">
        <v>45616</v>
      </c>
      <c r="C17544" s="1" t="n">
        <v>45810</v>
      </c>
      <c r="D17544" t="inlineStr">
        <is>
          <t>VÄRMLANDS LÄN</t>
        </is>
      </c>
      <c r="E17544" t="inlineStr">
        <is>
          <t>ARVIKA</t>
        </is>
      </c>
      <c r="F17544" t="inlineStr">
        <is>
          <t>Bergvik skog väst AB</t>
        </is>
      </c>
      <c r="G17544" t="n">
        <v>6.2</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54136-2024</t>
        </is>
      </c>
      <c r="B17545" s="1" t="n">
        <v>45616</v>
      </c>
      <c r="C17545" s="1" t="n">
        <v>45810</v>
      </c>
      <c r="D17545" t="inlineStr">
        <is>
          <t>VÄRMLANDS LÄN</t>
        </is>
      </c>
      <c r="E17545" t="inlineStr">
        <is>
          <t>SÄFFLE</t>
        </is>
      </c>
      <c r="F17545" t="inlineStr">
        <is>
          <t>Bergvik skog väst AB</t>
        </is>
      </c>
      <c r="G17545" t="n">
        <v>17</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54278-2024</t>
        </is>
      </c>
      <c r="B17546" s="1" t="n">
        <v>45616</v>
      </c>
      <c r="C17546" s="1" t="n">
        <v>45810</v>
      </c>
      <c r="D17546" t="inlineStr">
        <is>
          <t>VÄRMLANDS LÄN</t>
        </is>
      </c>
      <c r="E17546" t="inlineStr">
        <is>
          <t>ÅRJÄNG</t>
        </is>
      </c>
      <c r="G17546" t="n">
        <v>1</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54282-2024</t>
        </is>
      </c>
      <c r="B17547" s="1" t="n">
        <v>45616</v>
      </c>
      <c r="C17547" s="1" t="n">
        <v>45810</v>
      </c>
      <c r="D17547" t="inlineStr">
        <is>
          <t>VÄRMLANDS LÄN</t>
        </is>
      </c>
      <c r="E17547" t="inlineStr">
        <is>
          <t>SUNNE</t>
        </is>
      </c>
      <c r="G17547" t="n">
        <v>1.7</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54286-2024</t>
        </is>
      </c>
      <c r="B17548" s="1" t="n">
        <v>45616</v>
      </c>
      <c r="C17548" s="1" t="n">
        <v>45810</v>
      </c>
      <c r="D17548" t="inlineStr">
        <is>
          <t>VÄRMLANDS LÄN</t>
        </is>
      </c>
      <c r="E17548" t="inlineStr">
        <is>
          <t>SUNNE</t>
        </is>
      </c>
      <c r="G17548" t="n">
        <v>2.4</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54265-2024</t>
        </is>
      </c>
      <c r="B17549" s="1" t="n">
        <v>45616</v>
      </c>
      <c r="C17549" s="1" t="n">
        <v>45810</v>
      </c>
      <c r="D17549" t="inlineStr">
        <is>
          <t>VÄRMLANDS LÄN</t>
        </is>
      </c>
      <c r="E17549" t="inlineStr">
        <is>
          <t>TORSBY</t>
        </is>
      </c>
      <c r="F17549" t="inlineStr">
        <is>
          <t>Kommuner</t>
        </is>
      </c>
      <c r="G17549" t="n">
        <v>0.4</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53954-2024</t>
        </is>
      </c>
      <c r="B17550" s="1" t="n">
        <v>45616</v>
      </c>
      <c r="C17550" s="1" t="n">
        <v>45810</v>
      </c>
      <c r="D17550" t="inlineStr">
        <is>
          <t>VÄRMLANDS LÄN</t>
        </is>
      </c>
      <c r="E17550" t="inlineStr">
        <is>
          <t>SUNNE</t>
        </is>
      </c>
      <c r="G17550" t="n">
        <v>1.9</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53959-2024</t>
        </is>
      </c>
      <c r="B17551" s="1" t="n">
        <v>45616</v>
      </c>
      <c r="C17551" s="1" t="n">
        <v>45810</v>
      </c>
      <c r="D17551" t="inlineStr">
        <is>
          <t>VÄRMLANDS LÄN</t>
        </is>
      </c>
      <c r="E17551" t="inlineStr">
        <is>
          <t>KIL</t>
        </is>
      </c>
      <c r="G17551" t="n">
        <v>2.4</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53977-2024</t>
        </is>
      </c>
      <c r="B17552" s="1" t="n">
        <v>45616</v>
      </c>
      <c r="C17552" s="1" t="n">
        <v>45810</v>
      </c>
      <c r="D17552" t="inlineStr">
        <is>
          <t>VÄRMLANDS LÄN</t>
        </is>
      </c>
      <c r="E17552" t="inlineStr">
        <is>
          <t>KRISTINEHAMN</t>
        </is>
      </c>
      <c r="G17552" t="n">
        <v>1.9</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53983-2024</t>
        </is>
      </c>
      <c r="B17553" s="1" t="n">
        <v>45616</v>
      </c>
      <c r="C17553" s="1" t="n">
        <v>45810</v>
      </c>
      <c r="D17553" t="inlineStr">
        <is>
          <t>VÄRMLANDS LÄN</t>
        </is>
      </c>
      <c r="E17553" t="inlineStr">
        <is>
          <t>KRISTINEHAMN</t>
        </is>
      </c>
      <c r="G17553" t="n">
        <v>0.9</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54006-2024</t>
        </is>
      </c>
      <c r="B17554" s="1" t="n">
        <v>45616</v>
      </c>
      <c r="C17554" s="1" t="n">
        <v>45810</v>
      </c>
      <c r="D17554" t="inlineStr">
        <is>
          <t>VÄRMLANDS LÄN</t>
        </is>
      </c>
      <c r="E17554" t="inlineStr">
        <is>
          <t>TORSBY</t>
        </is>
      </c>
      <c r="F17554" t="inlineStr">
        <is>
          <t>Kommuner</t>
        </is>
      </c>
      <c r="G17554" t="n">
        <v>1.9</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54014-2024</t>
        </is>
      </c>
      <c r="B17555" s="1" t="n">
        <v>45616</v>
      </c>
      <c r="C17555" s="1" t="n">
        <v>45810</v>
      </c>
      <c r="D17555" t="inlineStr">
        <is>
          <t>VÄRMLANDS LÄN</t>
        </is>
      </c>
      <c r="E17555" t="inlineStr">
        <is>
          <t>TORSBY</t>
        </is>
      </c>
      <c r="F17555" t="inlineStr">
        <is>
          <t>Kommuner</t>
        </is>
      </c>
      <c r="G17555" t="n">
        <v>2.3</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54027-2024</t>
        </is>
      </c>
      <c r="B17556" s="1" t="n">
        <v>45616</v>
      </c>
      <c r="C17556" s="1" t="n">
        <v>45810</v>
      </c>
      <c r="D17556" t="inlineStr">
        <is>
          <t>VÄRMLANDS LÄN</t>
        </is>
      </c>
      <c r="E17556" t="inlineStr">
        <is>
          <t>TORSBY</t>
        </is>
      </c>
      <c r="F17556" t="inlineStr">
        <is>
          <t>Bergvik skog väst AB</t>
        </is>
      </c>
      <c r="G17556" t="n">
        <v>2.1</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54225-2024</t>
        </is>
      </c>
      <c r="B17557" s="1" t="n">
        <v>45616</v>
      </c>
      <c r="C17557" s="1" t="n">
        <v>45810</v>
      </c>
      <c r="D17557" t="inlineStr">
        <is>
          <t>VÄRMLANDS LÄN</t>
        </is>
      </c>
      <c r="E17557" t="inlineStr">
        <is>
          <t>KARLSTAD</t>
        </is>
      </c>
      <c r="G17557" t="n">
        <v>1.8</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54221-2024</t>
        </is>
      </c>
      <c r="B17558" s="1" t="n">
        <v>45616</v>
      </c>
      <c r="C17558" s="1" t="n">
        <v>45810</v>
      </c>
      <c r="D17558" t="inlineStr">
        <is>
          <t>VÄRMLANDS LÄN</t>
        </is>
      </c>
      <c r="E17558" t="inlineStr">
        <is>
          <t>STORFORS</t>
        </is>
      </c>
      <c r="G17558" t="n">
        <v>2.8</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54276-2024</t>
        </is>
      </c>
      <c r="B17559" s="1" t="n">
        <v>45616</v>
      </c>
      <c r="C17559" s="1" t="n">
        <v>45810</v>
      </c>
      <c r="D17559" t="inlineStr">
        <is>
          <t>VÄRMLANDS LÄN</t>
        </is>
      </c>
      <c r="E17559" t="inlineStr">
        <is>
          <t>ÅRJÄNG</t>
        </is>
      </c>
      <c r="G17559" t="n">
        <v>1.2</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54283-2024</t>
        </is>
      </c>
      <c r="B17560" s="1" t="n">
        <v>45616</v>
      </c>
      <c r="C17560" s="1" t="n">
        <v>45810</v>
      </c>
      <c r="D17560" t="inlineStr">
        <is>
          <t>VÄRMLANDS LÄN</t>
        </is>
      </c>
      <c r="E17560" t="inlineStr">
        <is>
          <t>HAGFORS</t>
        </is>
      </c>
      <c r="G17560" t="n">
        <v>3.5</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53952-2024</t>
        </is>
      </c>
      <c r="B17561" s="1" t="n">
        <v>45616</v>
      </c>
      <c r="C17561" s="1" t="n">
        <v>45810</v>
      </c>
      <c r="D17561" t="inlineStr">
        <is>
          <t>VÄRMLANDS LÄN</t>
        </is>
      </c>
      <c r="E17561" t="inlineStr">
        <is>
          <t>KIL</t>
        </is>
      </c>
      <c r="G17561" t="n">
        <v>0.7</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53957-2024</t>
        </is>
      </c>
      <c r="B17562" s="1" t="n">
        <v>45616</v>
      </c>
      <c r="C17562" s="1" t="n">
        <v>45810</v>
      </c>
      <c r="D17562" t="inlineStr">
        <is>
          <t>VÄRMLANDS LÄN</t>
        </is>
      </c>
      <c r="E17562" t="inlineStr">
        <is>
          <t>KIL</t>
        </is>
      </c>
      <c r="G17562" t="n">
        <v>3.3</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53961-2024</t>
        </is>
      </c>
      <c r="B17563" s="1" t="n">
        <v>45616</v>
      </c>
      <c r="C17563" s="1" t="n">
        <v>45810</v>
      </c>
      <c r="D17563" t="inlineStr">
        <is>
          <t>VÄRMLANDS LÄN</t>
        </is>
      </c>
      <c r="E17563" t="inlineStr">
        <is>
          <t>EDA</t>
        </is>
      </c>
      <c r="G17563" t="n">
        <v>0.6</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53965-2024</t>
        </is>
      </c>
      <c r="B17564" s="1" t="n">
        <v>45616</v>
      </c>
      <c r="C17564" s="1" t="n">
        <v>45810</v>
      </c>
      <c r="D17564" t="inlineStr">
        <is>
          <t>VÄRMLANDS LÄN</t>
        </is>
      </c>
      <c r="E17564" t="inlineStr">
        <is>
          <t>EDA</t>
        </is>
      </c>
      <c r="G17564" t="n">
        <v>0.6</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53979-2024</t>
        </is>
      </c>
      <c r="B17565" s="1" t="n">
        <v>45616</v>
      </c>
      <c r="C17565" s="1" t="n">
        <v>45810</v>
      </c>
      <c r="D17565" t="inlineStr">
        <is>
          <t>VÄRMLANDS LÄN</t>
        </is>
      </c>
      <c r="E17565" t="inlineStr">
        <is>
          <t>KRISTINEHAMN</t>
        </is>
      </c>
      <c r="G17565" t="n">
        <v>0.8</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54219-2024</t>
        </is>
      </c>
      <c r="B17566" s="1" t="n">
        <v>45616</v>
      </c>
      <c r="C17566" s="1" t="n">
        <v>45810</v>
      </c>
      <c r="D17566" t="inlineStr">
        <is>
          <t>VÄRMLANDS LÄN</t>
        </is>
      </c>
      <c r="E17566" t="inlineStr">
        <is>
          <t>KARLSTAD</t>
        </is>
      </c>
      <c r="G17566" t="n">
        <v>1.4</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54328-2024</t>
        </is>
      </c>
      <c r="B17567" s="1" t="n">
        <v>45617</v>
      </c>
      <c r="C17567" s="1" t="n">
        <v>45810</v>
      </c>
      <c r="D17567" t="inlineStr">
        <is>
          <t>VÄRMLANDS LÄN</t>
        </is>
      </c>
      <c r="E17567" t="inlineStr">
        <is>
          <t>TORSBY</t>
        </is>
      </c>
      <c r="F17567" t="inlineStr">
        <is>
          <t>Bergvik skog väst AB</t>
        </is>
      </c>
      <c r="G17567" t="n">
        <v>4.9</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54292-2024</t>
        </is>
      </c>
      <c r="B17568" s="1" t="n">
        <v>45617</v>
      </c>
      <c r="C17568" s="1" t="n">
        <v>45810</v>
      </c>
      <c r="D17568" t="inlineStr">
        <is>
          <t>VÄRMLANDS LÄN</t>
        </is>
      </c>
      <c r="E17568" t="inlineStr">
        <is>
          <t>KARLSTAD</t>
        </is>
      </c>
      <c r="G17568" t="n">
        <v>0.7</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54306-2024</t>
        </is>
      </c>
      <c r="B17569" s="1" t="n">
        <v>45617</v>
      </c>
      <c r="C17569" s="1" t="n">
        <v>45810</v>
      </c>
      <c r="D17569" t="inlineStr">
        <is>
          <t>VÄRMLANDS LÄN</t>
        </is>
      </c>
      <c r="E17569" t="inlineStr">
        <is>
          <t>TORSBY</t>
        </is>
      </c>
      <c r="F17569" t="inlineStr">
        <is>
          <t>Bergvik skog väst AB</t>
        </is>
      </c>
      <c r="G17569" t="n">
        <v>5.7</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54305-2024</t>
        </is>
      </c>
      <c r="B17570" s="1" t="n">
        <v>45617</v>
      </c>
      <c r="C17570" s="1" t="n">
        <v>45810</v>
      </c>
      <c r="D17570" t="inlineStr">
        <is>
          <t>VÄRMLANDS LÄN</t>
        </is>
      </c>
      <c r="E17570" t="inlineStr">
        <is>
          <t>FORSHAGA</t>
        </is>
      </c>
      <c r="G17570" t="n">
        <v>3.4</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54304-2024</t>
        </is>
      </c>
      <c r="B17571" s="1" t="n">
        <v>45617</v>
      </c>
      <c r="C17571" s="1" t="n">
        <v>45810</v>
      </c>
      <c r="D17571" t="inlineStr">
        <is>
          <t>VÄRMLANDS LÄN</t>
        </is>
      </c>
      <c r="E17571" t="inlineStr">
        <is>
          <t>HAGFORS</t>
        </is>
      </c>
      <c r="G17571" t="n">
        <v>1.6</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54374-2024</t>
        </is>
      </c>
      <c r="B17572" s="1" t="n">
        <v>45617</v>
      </c>
      <c r="C17572" s="1" t="n">
        <v>45810</v>
      </c>
      <c r="D17572" t="inlineStr">
        <is>
          <t>VÄRMLANDS LÄN</t>
        </is>
      </c>
      <c r="E17572" t="inlineStr">
        <is>
          <t>TORSBY</t>
        </is>
      </c>
      <c r="F17572" t="inlineStr">
        <is>
          <t>Bergvik skog väst AB</t>
        </is>
      </c>
      <c r="G17572" t="n">
        <v>4.4</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54382-2024</t>
        </is>
      </c>
      <c r="B17573" s="1" t="n">
        <v>45617</v>
      </c>
      <c r="C17573" s="1" t="n">
        <v>45810</v>
      </c>
      <c r="D17573" t="inlineStr">
        <is>
          <t>VÄRMLANDS LÄN</t>
        </is>
      </c>
      <c r="E17573" t="inlineStr">
        <is>
          <t>ÅRJÄNG</t>
        </is>
      </c>
      <c r="G17573" t="n">
        <v>2.9</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54442-2024</t>
        </is>
      </c>
      <c r="B17574" s="1" t="n">
        <v>45617</v>
      </c>
      <c r="C17574" s="1" t="n">
        <v>45810</v>
      </c>
      <c r="D17574" t="inlineStr">
        <is>
          <t>VÄRMLANDS LÄN</t>
        </is>
      </c>
      <c r="E17574" t="inlineStr">
        <is>
          <t>STORFORS</t>
        </is>
      </c>
      <c r="G17574" t="n">
        <v>1.2</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54450-2024</t>
        </is>
      </c>
      <c r="B17575" s="1" t="n">
        <v>45617</v>
      </c>
      <c r="C17575" s="1" t="n">
        <v>45810</v>
      </c>
      <c r="D17575" t="inlineStr">
        <is>
          <t>VÄRMLANDS LÄN</t>
        </is>
      </c>
      <c r="E17575" t="inlineStr">
        <is>
          <t>SÄFFLE</t>
        </is>
      </c>
      <c r="G17575" t="n">
        <v>0.9</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54494-2024</t>
        </is>
      </c>
      <c r="B17576" s="1" t="n">
        <v>45617</v>
      </c>
      <c r="C17576" s="1" t="n">
        <v>45810</v>
      </c>
      <c r="D17576" t="inlineStr">
        <is>
          <t>VÄRMLANDS LÄN</t>
        </is>
      </c>
      <c r="E17576" t="inlineStr">
        <is>
          <t>SÄFFLE</t>
        </is>
      </c>
      <c r="G17576" t="n">
        <v>3.8</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54498-2024</t>
        </is>
      </c>
      <c r="B17577" s="1" t="n">
        <v>45617</v>
      </c>
      <c r="C17577" s="1" t="n">
        <v>45810</v>
      </c>
      <c r="D17577" t="inlineStr">
        <is>
          <t>VÄRMLANDS LÄN</t>
        </is>
      </c>
      <c r="E17577" t="inlineStr">
        <is>
          <t>SÄFFLE</t>
        </is>
      </c>
      <c r="G17577" t="n">
        <v>1.1</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54611-2024</t>
        </is>
      </c>
      <c r="B17578" s="1" t="n">
        <v>45617</v>
      </c>
      <c r="C17578" s="1" t="n">
        <v>45810</v>
      </c>
      <c r="D17578" t="inlineStr">
        <is>
          <t>VÄRMLANDS LÄN</t>
        </is>
      </c>
      <c r="E17578" t="inlineStr">
        <is>
          <t>KARLSTAD</t>
        </is>
      </c>
      <c r="G17578" t="n">
        <v>0.6</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54618-2024</t>
        </is>
      </c>
      <c r="B17579" s="1" t="n">
        <v>45617</v>
      </c>
      <c r="C17579" s="1" t="n">
        <v>45810</v>
      </c>
      <c r="D17579" t="inlineStr">
        <is>
          <t>VÄRMLANDS LÄN</t>
        </is>
      </c>
      <c r="E17579" t="inlineStr">
        <is>
          <t>TORSBY</t>
        </is>
      </c>
      <c r="F17579" t="inlineStr">
        <is>
          <t>Kommuner</t>
        </is>
      </c>
      <c r="G17579" t="n">
        <v>1.2</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54646-2024</t>
        </is>
      </c>
      <c r="B17580" s="1" t="n">
        <v>45617</v>
      </c>
      <c r="C17580" s="1" t="n">
        <v>45810</v>
      </c>
      <c r="D17580" t="inlineStr">
        <is>
          <t>VÄRMLANDS LÄN</t>
        </is>
      </c>
      <c r="E17580" t="inlineStr">
        <is>
          <t>TORSBY</t>
        </is>
      </c>
      <c r="G17580" t="n">
        <v>4.2</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54654-2024</t>
        </is>
      </c>
      <c r="B17581" s="1" t="n">
        <v>45617</v>
      </c>
      <c r="C17581" s="1" t="n">
        <v>45810</v>
      </c>
      <c r="D17581" t="inlineStr">
        <is>
          <t>VÄRMLANDS LÄN</t>
        </is>
      </c>
      <c r="E17581" t="inlineStr">
        <is>
          <t>SÄFFLE</t>
        </is>
      </c>
      <c r="G17581" t="n">
        <v>0.7</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54655-2024</t>
        </is>
      </c>
      <c r="B17582" s="1" t="n">
        <v>45617</v>
      </c>
      <c r="C17582" s="1" t="n">
        <v>45810</v>
      </c>
      <c r="D17582" t="inlineStr">
        <is>
          <t>VÄRMLANDS LÄN</t>
        </is>
      </c>
      <c r="E17582" t="inlineStr">
        <is>
          <t>SÄFFLE</t>
        </is>
      </c>
      <c r="G17582" t="n">
        <v>1.6</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54318-2024</t>
        </is>
      </c>
      <c r="B17583" s="1" t="n">
        <v>45617</v>
      </c>
      <c r="C17583" s="1" t="n">
        <v>45810</v>
      </c>
      <c r="D17583" t="inlineStr">
        <is>
          <t>VÄRMLANDS LÄN</t>
        </is>
      </c>
      <c r="E17583" t="inlineStr">
        <is>
          <t>HAGFORS</t>
        </is>
      </c>
      <c r="G17583" t="n">
        <v>3.4</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54648-2024</t>
        </is>
      </c>
      <c r="B17584" s="1" t="n">
        <v>45617</v>
      </c>
      <c r="C17584" s="1" t="n">
        <v>45810</v>
      </c>
      <c r="D17584" t="inlineStr">
        <is>
          <t>VÄRMLANDS LÄN</t>
        </is>
      </c>
      <c r="E17584" t="inlineStr">
        <is>
          <t>KARLSTAD</t>
        </is>
      </c>
      <c r="G17584" t="n">
        <v>2.9</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54481-2024</t>
        </is>
      </c>
      <c r="B17585" s="1" t="n">
        <v>45617</v>
      </c>
      <c r="C17585" s="1" t="n">
        <v>45810</v>
      </c>
      <c r="D17585" t="inlineStr">
        <is>
          <t>VÄRMLANDS LÄN</t>
        </is>
      </c>
      <c r="E17585" t="inlineStr">
        <is>
          <t>EDA</t>
        </is>
      </c>
      <c r="G17585" t="n">
        <v>0.9</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54489-2024</t>
        </is>
      </c>
      <c r="B17586" s="1" t="n">
        <v>45617</v>
      </c>
      <c r="C17586" s="1" t="n">
        <v>45810</v>
      </c>
      <c r="D17586" t="inlineStr">
        <is>
          <t>VÄRMLANDS LÄN</t>
        </is>
      </c>
      <c r="E17586" t="inlineStr">
        <is>
          <t>TORSBY</t>
        </is>
      </c>
      <c r="F17586" t="inlineStr">
        <is>
          <t>Bergvik skog väst AB</t>
        </is>
      </c>
      <c r="G17586" t="n">
        <v>6.7</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54497-2024</t>
        </is>
      </c>
      <c r="B17587" s="1" t="n">
        <v>45617</v>
      </c>
      <c r="C17587" s="1" t="n">
        <v>45810</v>
      </c>
      <c r="D17587" t="inlineStr">
        <is>
          <t>VÄRMLANDS LÄN</t>
        </is>
      </c>
      <c r="E17587" t="inlineStr">
        <is>
          <t>KIL</t>
        </is>
      </c>
      <c r="G17587" t="n">
        <v>1.7</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54609-2024</t>
        </is>
      </c>
      <c r="B17588" s="1" t="n">
        <v>45617</v>
      </c>
      <c r="C17588" s="1" t="n">
        <v>45810</v>
      </c>
      <c r="D17588" t="inlineStr">
        <is>
          <t>VÄRMLANDS LÄN</t>
        </is>
      </c>
      <c r="E17588" t="inlineStr">
        <is>
          <t>TORSBY</t>
        </is>
      </c>
      <c r="F17588" t="inlineStr">
        <is>
          <t>Kommuner</t>
        </is>
      </c>
      <c r="G17588" t="n">
        <v>1.1</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54681-2024</t>
        </is>
      </c>
      <c r="B17589" s="1" t="n">
        <v>45618</v>
      </c>
      <c r="C17589" s="1" t="n">
        <v>45810</v>
      </c>
      <c r="D17589" t="inlineStr">
        <is>
          <t>VÄRMLANDS LÄN</t>
        </is>
      </c>
      <c r="E17589" t="inlineStr">
        <is>
          <t>SUNNE</t>
        </is>
      </c>
      <c r="G17589" t="n">
        <v>1.4</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54669-2024</t>
        </is>
      </c>
      <c r="B17590" s="1" t="n">
        <v>45618</v>
      </c>
      <c r="C17590" s="1" t="n">
        <v>45810</v>
      </c>
      <c r="D17590" t="inlineStr">
        <is>
          <t>VÄRMLANDS LÄN</t>
        </is>
      </c>
      <c r="E17590" t="inlineStr">
        <is>
          <t>KARLSTAD</t>
        </is>
      </c>
      <c r="G17590" t="n">
        <v>3.2</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54929-2024</t>
        </is>
      </c>
      <c r="B17591" s="1" t="n">
        <v>45618</v>
      </c>
      <c r="C17591" s="1" t="n">
        <v>45810</v>
      </c>
      <c r="D17591" t="inlineStr">
        <is>
          <t>VÄRMLANDS LÄN</t>
        </is>
      </c>
      <c r="E17591" t="inlineStr">
        <is>
          <t>HAGFORS</t>
        </is>
      </c>
      <c r="F17591" t="inlineStr">
        <is>
          <t>Bergvik skog väst AB</t>
        </is>
      </c>
      <c r="G17591" t="n">
        <v>0.8</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54925-2024</t>
        </is>
      </c>
      <c r="B17592" s="1" t="n">
        <v>45618</v>
      </c>
      <c r="C17592" s="1" t="n">
        <v>45810</v>
      </c>
      <c r="D17592" t="inlineStr">
        <is>
          <t>VÄRMLANDS LÄN</t>
        </is>
      </c>
      <c r="E17592" t="inlineStr">
        <is>
          <t>ARVIKA</t>
        </is>
      </c>
      <c r="G17592" t="n">
        <v>4.8</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54787-2024</t>
        </is>
      </c>
      <c r="B17593" s="1" t="n">
        <v>45618</v>
      </c>
      <c r="C17593" s="1" t="n">
        <v>45810</v>
      </c>
      <c r="D17593" t="inlineStr">
        <is>
          <t>VÄRMLANDS LÄN</t>
        </is>
      </c>
      <c r="E17593" t="inlineStr">
        <is>
          <t>EDA</t>
        </is>
      </c>
      <c r="G17593" t="n">
        <v>2.7</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54928-2024</t>
        </is>
      </c>
      <c r="B17594" s="1" t="n">
        <v>45618</v>
      </c>
      <c r="C17594" s="1" t="n">
        <v>45810</v>
      </c>
      <c r="D17594" t="inlineStr">
        <is>
          <t>VÄRMLANDS LÄN</t>
        </is>
      </c>
      <c r="E17594" t="inlineStr">
        <is>
          <t>HAGFORS</t>
        </is>
      </c>
      <c r="F17594" t="inlineStr">
        <is>
          <t>Bergvik skog väst AB</t>
        </is>
      </c>
      <c r="G17594" t="n">
        <v>6.8</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54904-2024</t>
        </is>
      </c>
      <c r="B17595" s="1" t="n">
        <v>45618</v>
      </c>
      <c r="C17595" s="1" t="n">
        <v>45810</v>
      </c>
      <c r="D17595" t="inlineStr">
        <is>
          <t>VÄRMLANDS LÄN</t>
        </is>
      </c>
      <c r="E17595" t="inlineStr">
        <is>
          <t>HAGFORS</t>
        </is>
      </c>
      <c r="F17595" t="inlineStr">
        <is>
          <t>Bergvik skog väst AB</t>
        </is>
      </c>
      <c r="G17595" t="n">
        <v>4.6</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54891-2024</t>
        </is>
      </c>
      <c r="B17596" s="1" t="n">
        <v>45618</v>
      </c>
      <c r="C17596" s="1" t="n">
        <v>45810</v>
      </c>
      <c r="D17596" t="inlineStr">
        <is>
          <t>VÄRMLANDS LÄN</t>
        </is>
      </c>
      <c r="E17596" t="inlineStr">
        <is>
          <t>TORSBY</t>
        </is>
      </c>
      <c r="G17596" t="n">
        <v>1.4</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54907-2024</t>
        </is>
      </c>
      <c r="B17597" s="1" t="n">
        <v>45618</v>
      </c>
      <c r="C17597" s="1" t="n">
        <v>45810</v>
      </c>
      <c r="D17597" t="inlineStr">
        <is>
          <t>VÄRMLANDS LÄN</t>
        </is>
      </c>
      <c r="E17597" t="inlineStr">
        <is>
          <t>HAGFORS</t>
        </is>
      </c>
      <c r="F17597" t="inlineStr">
        <is>
          <t>Kyrkan</t>
        </is>
      </c>
      <c r="G17597" t="n">
        <v>1.7</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54900-2024</t>
        </is>
      </c>
      <c r="B17598" s="1" t="n">
        <v>45618</v>
      </c>
      <c r="C17598" s="1" t="n">
        <v>45810</v>
      </c>
      <c r="D17598" t="inlineStr">
        <is>
          <t>VÄRMLANDS LÄN</t>
        </is>
      </c>
      <c r="E17598" t="inlineStr">
        <is>
          <t>ÅRJÄNG</t>
        </is>
      </c>
      <c r="G17598" t="n">
        <v>1.4</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54888-2024</t>
        </is>
      </c>
      <c r="B17599" s="1" t="n">
        <v>45618</v>
      </c>
      <c r="C17599" s="1" t="n">
        <v>45810</v>
      </c>
      <c r="D17599" t="inlineStr">
        <is>
          <t>VÄRMLANDS LÄN</t>
        </is>
      </c>
      <c r="E17599" t="inlineStr">
        <is>
          <t>HAGFORS</t>
        </is>
      </c>
      <c r="F17599" t="inlineStr">
        <is>
          <t>Bergvik skog väst AB</t>
        </is>
      </c>
      <c r="G17599" t="n">
        <v>4.7</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54856-2024</t>
        </is>
      </c>
      <c r="B17600" s="1" t="n">
        <v>45618</v>
      </c>
      <c r="C17600" s="1" t="n">
        <v>45810</v>
      </c>
      <c r="D17600" t="inlineStr">
        <is>
          <t>VÄRMLANDS LÄN</t>
        </is>
      </c>
      <c r="E17600" t="inlineStr">
        <is>
          <t>HAGFORS</t>
        </is>
      </c>
      <c r="F17600" t="inlineStr">
        <is>
          <t>Bergvik skog väst AB</t>
        </is>
      </c>
      <c r="G17600" t="n">
        <v>8.800000000000001</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54852-2024</t>
        </is>
      </c>
      <c r="B17601" s="1" t="n">
        <v>45618</v>
      </c>
      <c r="C17601" s="1" t="n">
        <v>45810</v>
      </c>
      <c r="D17601" t="inlineStr">
        <is>
          <t>VÄRMLANDS LÄN</t>
        </is>
      </c>
      <c r="E17601" t="inlineStr">
        <is>
          <t>ARVIKA</t>
        </is>
      </c>
      <c r="G17601" t="n">
        <v>0.9</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54796-2024</t>
        </is>
      </c>
      <c r="B17602" s="1" t="n">
        <v>45618</v>
      </c>
      <c r="C17602" s="1" t="n">
        <v>45810</v>
      </c>
      <c r="D17602" t="inlineStr">
        <is>
          <t>VÄRMLANDS LÄN</t>
        </is>
      </c>
      <c r="E17602" t="inlineStr">
        <is>
          <t>TORSBY</t>
        </is>
      </c>
      <c r="G17602" t="n">
        <v>0.8</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54750-2024</t>
        </is>
      </c>
      <c r="B17603" s="1" t="n">
        <v>45618</v>
      </c>
      <c r="C17603" s="1" t="n">
        <v>45810</v>
      </c>
      <c r="D17603" t="inlineStr">
        <is>
          <t>VÄRMLANDS LÄN</t>
        </is>
      </c>
      <c r="E17603" t="inlineStr">
        <is>
          <t>SÄFFLE</t>
        </is>
      </c>
      <c r="G17603" t="n">
        <v>5.5</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54746-2024</t>
        </is>
      </c>
      <c r="B17604" s="1" t="n">
        <v>45618</v>
      </c>
      <c r="C17604" s="1" t="n">
        <v>45810</v>
      </c>
      <c r="D17604" t="inlineStr">
        <is>
          <t>VÄRMLANDS LÄN</t>
        </is>
      </c>
      <c r="E17604" t="inlineStr">
        <is>
          <t>HAGFORS</t>
        </is>
      </c>
      <c r="F17604" t="inlineStr">
        <is>
          <t>Bergvik skog väst AB</t>
        </is>
      </c>
      <c r="G17604" t="n">
        <v>3.5</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54813-2024</t>
        </is>
      </c>
      <c r="B17605" s="1" t="n">
        <v>45618</v>
      </c>
      <c r="C17605" s="1" t="n">
        <v>45810</v>
      </c>
      <c r="D17605" t="inlineStr">
        <is>
          <t>VÄRMLANDS LÄN</t>
        </is>
      </c>
      <c r="E17605" t="inlineStr">
        <is>
          <t>TORSBY</t>
        </is>
      </c>
      <c r="G17605" t="n">
        <v>6.6</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54797-2024</t>
        </is>
      </c>
      <c r="B17606" s="1" t="n">
        <v>45618</v>
      </c>
      <c r="C17606" s="1" t="n">
        <v>45810</v>
      </c>
      <c r="D17606" t="inlineStr">
        <is>
          <t>VÄRMLANDS LÄN</t>
        </is>
      </c>
      <c r="E17606" t="inlineStr">
        <is>
          <t>KARLSTAD</t>
        </is>
      </c>
      <c r="G17606" t="n">
        <v>2</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54735-2024</t>
        </is>
      </c>
      <c r="B17607" s="1" t="n">
        <v>45618</v>
      </c>
      <c r="C17607" s="1" t="n">
        <v>45810</v>
      </c>
      <c r="D17607" t="inlineStr">
        <is>
          <t>VÄRMLANDS LÄN</t>
        </is>
      </c>
      <c r="E17607" t="inlineStr">
        <is>
          <t>FILIPSTAD</t>
        </is>
      </c>
      <c r="F17607" t="inlineStr">
        <is>
          <t>Bergvik skog väst AB</t>
        </is>
      </c>
      <c r="G17607" t="n">
        <v>2.6</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54886-2024</t>
        </is>
      </c>
      <c r="B17608" s="1" t="n">
        <v>45618</v>
      </c>
      <c r="C17608" s="1" t="n">
        <v>45810</v>
      </c>
      <c r="D17608" t="inlineStr">
        <is>
          <t>VÄRMLANDS LÄN</t>
        </is>
      </c>
      <c r="E17608" t="inlineStr">
        <is>
          <t>HAGFORS</t>
        </is>
      </c>
      <c r="F17608" t="inlineStr">
        <is>
          <t>Kyrkan</t>
        </is>
      </c>
      <c r="G17608" t="n">
        <v>7.3</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54695-2024</t>
        </is>
      </c>
      <c r="B17609" s="1" t="n">
        <v>45618</v>
      </c>
      <c r="C17609" s="1" t="n">
        <v>45810</v>
      </c>
      <c r="D17609" t="inlineStr">
        <is>
          <t>VÄRMLANDS LÄN</t>
        </is>
      </c>
      <c r="E17609" t="inlineStr">
        <is>
          <t>ARVIKA</t>
        </is>
      </c>
      <c r="G17609" t="n">
        <v>0.9</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54850-2024</t>
        </is>
      </c>
      <c r="B17610" s="1" t="n">
        <v>45618</v>
      </c>
      <c r="C17610" s="1" t="n">
        <v>45810</v>
      </c>
      <c r="D17610" t="inlineStr">
        <is>
          <t>VÄRMLANDS LÄN</t>
        </is>
      </c>
      <c r="E17610" t="inlineStr">
        <is>
          <t>ARVIKA</t>
        </is>
      </c>
      <c r="G17610" t="n">
        <v>1.7</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54830-2024</t>
        </is>
      </c>
      <c r="B17611" s="1" t="n">
        <v>45618</v>
      </c>
      <c r="C17611" s="1" t="n">
        <v>45810</v>
      </c>
      <c r="D17611" t="inlineStr">
        <is>
          <t>VÄRMLANDS LÄN</t>
        </is>
      </c>
      <c r="E17611" t="inlineStr">
        <is>
          <t>HAGFORS</t>
        </is>
      </c>
      <c r="F17611" t="inlineStr">
        <is>
          <t>Kyrkan</t>
        </is>
      </c>
      <c r="G17611" t="n">
        <v>1.7</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54794-2024</t>
        </is>
      </c>
      <c r="B17612" s="1" t="n">
        <v>45618</v>
      </c>
      <c r="C17612" s="1" t="n">
        <v>45810</v>
      </c>
      <c r="D17612" t="inlineStr">
        <is>
          <t>VÄRMLANDS LÄN</t>
        </is>
      </c>
      <c r="E17612" t="inlineStr">
        <is>
          <t>HAGFORS</t>
        </is>
      </c>
      <c r="F17612" t="inlineStr">
        <is>
          <t>Kyrkan</t>
        </is>
      </c>
      <c r="G17612" t="n">
        <v>1.6</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54790-2024</t>
        </is>
      </c>
      <c r="B17613" s="1" t="n">
        <v>45618</v>
      </c>
      <c r="C17613" s="1" t="n">
        <v>45810</v>
      </c>
      <c r="D17613" t="inlineStr">
        <is>
          <t>VÄRMLANDS LÄN</t>
        </is>
      </c>
      <c r="E17613" t="inlineStr">
        <is>
          <t>TORSBY</t>
        </is>
      </c>
      <c r="G17613" t="n">
        <v>1.5</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54744-2024</t>
        </is>
      </c>
      <c r="B17614" s="1" t="n">
        <v>45618</v>
      </c>
      <c r="C17614" s="1" t="n">
        <v>45810</v>
      </c>
      <c r="D17614" t="inlineStr">
        <is>
          <t>VÄRMLANDS LÄN</t>
        </is>
      </c>
      <c r="E17614" t="inlineStr">
        <is>
          <t>HAGFORS</t>
        </is>
      </c>
      <c r="F17614" t="inlineStr">
        <is>
          <t>Kyrkan</t>
        </is>
      </c>
      <c r="G17614" t="n">
        <v>8.800000000000001</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54692-2024</t>
        </is>
      </c>
      <c r="B17615" s="1" t="n">
        <v>45618</v>
      </c>
      <c r="C17615" s="1" t="n">
        <v>45810</v>
      </c>
      <c r="D17615" t="inlineStr">
        <is>
          <t>VÄRMLANDS LÄN</t>
        </is>
      </c>
      <c r="E17615" t="inlineStr">
        <is>
          <t>FORSHAGA</t>
        </is>
      </c>
      <c r="G17615" t="n">
        <v>1.2</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54668-2024</t>
        </is>
      </c>
      <c r="B17616" s="1" t="n">
        <v>45618</v>
      </c>
      <c r="C17616" s="1" t="n">
        <v>45810</v>
      </c>
      <c r="D17616" t="inlineStr">
        <is>
          <t>VÄRMLANDS LÄN</t>
        </is>
      </c>
      <c r="E17616" t="inlineStr">
        <is>
          <t>KARLSTAD</t>
        </is>
      </c>
      <c r="G17616" t="n">
        <v>10.8</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54664-2024</t>
        </is>
      </c>
      <c r="B17617" s="1" t="n">
        <v>45618</v>
      </c>
      <c r="C17617" s="1" t="n">
        <v>45810</v>
      </c>
      <c r="D17617" t="inlineStr">
        <is>
          <t>VÄRMLANDS LÄN</t>
        </is>
      </c>
      <c r="E17617" t="inlineStr">
        <is>
          <t>TORSBY</t>
        </is>
      </c>
      <c r="F17617" t="inlineStr">
        <is>
          <t>Bergvik skog väst AB</t>
        </is>
      </c>
      <c r="G17617" t="n">
        <v>7.4</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54652-2024</t>
        </is>
      </c>
      <c r="B17618" s="1" t="n">
        <v>45618</v>
      </c>
      <c r="C17618" s="1" t="n">
        <v>45810</v>
      </c>
      <c r="D17618" t="inlineStr">
        <is>
          <t>VÄRMLANDS LÄN</t>
        </is>
      </c>
      <c r="E17618" t="inlineStr">
        <is>
          <t>ARVIKA</t>
        </is>
      </c>
      <c r="G17618" t="n">
        <v>1.2</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54961-2024</t>
        </is>
      </c>
      <c r="B17619" s="1" t="n">
        <v>45620</v>
      </c>
      <c r="C17619" s="1" t="n">
        <v>45810</v>
      </c>
      <c r="D17619" t="inlineStr">
        <is>
          <t>VÄRMLANDS LÄN</t>
        </is>
      </c>
      <c r="E17619" t="inlineStr">
        <is>
          <t>ÅRJÄNG</t>
        </is>
      </c>
      <c r="G17619" t="n">
        <v>0.9</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54947-2024</t>
        </is>
      </c>
      <c r="B17620" s="1" t="n">
        <v>45619</v>
      </c>
      <c r="C17620" s="1" t="n">
        <v>45810</v>
      </c>
      <c r="D17620" t="inlineStr">
        <is>
          <t>VÄRMLANDS LÄN</t>
        </is>
      </c>
      <c r="E17620" t="inlineStr">
        <is>
          <t>ÅRJÄNG</t>
        </is>
      </c>
      <c r="G17620" t="n">
        <v>2.9</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54946-2024</t>
        </is>
      </c>
      <c r="B17621" s="1" t="n">
        <v>45619</v>
      </c>
      <c r="C17621" s="1" t="n">
        <v>45810</v>
      </c>
      <c r="D17621" t="inlineStr">
        <is>
          <t>VÄRMLANDS LÄN</t>
        </is>
      </c>
      <c r="E17621" t="inlineStr">
        <is>
          <t>ÅRJÄNG</t>
        </is>
      </c>
      <c r="G17621" t="n">
        <v>1.3</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54962-2024</t>
        </is>
      </c>
      <c r="B17622" s="1" t="n">
        <v>45620</v>
      </c>
      <c r="C17622" s="1" t="n">
        <v>45810</v>
      </c>
      <c r="D17622" t="inlineStr">
        <is>
          <t>VÄRMLANDS LÄN</t>
        </is>
      </c>
      <c r="E17622" t="inlineStr">
        <is>
          <t>ÅRJÄNG</t>
        </is>
      </c>
      <c r="G17622" t="n">
        <v>2.4</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54980-2024</t>
        </is>
      </c>
      <c r="B17623" s="1" t="n">
        <v>45620</v>
      </c>
      <c r="C17623" s="1" t="n">
        <v>45810</v>
      </c>
      <c r="D17623" t="inlineStr">
        <is>
          <t>VÄRMLANDS LÄN</t>
        </is>
      </c>
      <c r="E17623" t="inlineStr">
        <is>
          <t>HAGFORS</t>
        </is>
      </c>
      <c r="G17623" t="n">
        <v>3</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55153-2024</t>
        </is>
      </c>
      <c r="B17624" s="1" t="n">
        <v>45621</v>
      </c>
      <c r="C17624" s="1" t="n">
        <v>45810</v>
      </c>
      <c r="D17624" t="inlineStr">
        <is>
          <t>VÄRMLANDS LÄN</t>
        </is>
      </c>
      <c r="E17624" t="inlineStr">
        <is>
          <t>SUNNE</t>
        </is>
      </c>
      <c r="G17624" t="n">
        <v>0.6</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55232-2024</t>
        </is>
      </c>
      <c r="B17625" s="1" t="n">
        <v>45621</v>
      </c>
      <c r="C17625" s="1" t="n">
        <v>45810</v>
      </c>
      <c r="D17625" t="inlineStr">
        <is>
          <t>VÄRMLANDS LÄN</t>
        </is>
      </c>
      <c r="E17625" t="inlineStr">
        <is>
          <t>ARVIKA</t>
        </is>
      </c>
      <c r="F17625" t="inlineStr">
        <is>
          <t>Bergvik skog väst AB</t>
        </is>
      </c>
      <c r="G17625" t="n">
        <v>3.3</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55238-2024</t>
        </is>
      </c>
      <c r="B17626" s="1" t="n">
        <v>45621</v>
      </c>
      <c r="C17626" s="1" t="n">
        <v>45810</v>
      </c>
      <c r="D17626" t="inlineStr">
        <is>
          <t>VÄRMLANDS LÄN</t>
        </is>
      </c>
      <c r="E17626" t="inlineStr">
        <is>
          <t>SUNNE</t>
        </is>
      </c>
      <c r="G17626" t="n">
        <v>1</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55081-2024</t>
        </is>
      </c>
      <c r="B17627" s="1" t="n">
        <v>45621</v>
      </c>
      <c r="C17627" s="1" t="n">
        <v>45810</v>
      </c>
      <c r="D17627" t="inlineStr">
        <is>
          <t>VÄRMLANDS LÄN</t>
        </is>
      </c>
      <c r="E17627" t="inlineStr">
        <is>
          <t>KARLSTAD</t>
        </is>
      </c>
      <c r="G17627" t="n">
        <v>3.3</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55125-2024</t>
        </is>
      </c>
      <c r="B17628" s="1" t="n">
        <v>45621</v>
      </c>
      <c r="C17628" s="1" t="n">
        <v>45810</v>
      </c>
      <c r="D17628" t="inlineStr">
        <is>
          <t>VÄRMLANDS LÄN</t>
        </is>
      </c>
      <c r="E17628" t="inlineStr">
        <is>
          <t>GRUMS</t>
        </is>
      </c>
      <c r="G17628" t="n">
        <v>1.7</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55163-2024</t>
        </is>
      </c>
      <c r="B17629" s="1" t="n">
        <v>45621</v>
      </c>
      <c r="C17629" s="1" t="n">
        <v>45810</v>
      </c>
      <c r="D17629" t="inlineStr">
        <is>
          <t>VÄRMLANDS LÄN</t>
        </is>
      </c>
      <c r="E17629" t="inlineStr">
        <is>
          <t>SUNNE</t>
        </is>
      </c>
      <c r="G17629" t="n">
        <v>0.9</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55167-2024</t>
        </is>
      </c>
      <c r="B17630" s="1" t="n">
        <v>45621</v>
      </c>
      <c r="C17630" s="1" t="n">
        <v>45810</v>
      </c>
      <c r="D17630" t="inlineStr">
        <is>
          <t>VÄRMLANDS LÄN</t>
        </is>
      </c>
      <c r="E17630" t="inlineStr">
        <is>
          <t>ÅRJÄNG</t>
        </is>
      </c>
      <c r="F17630" t="inlineStr">
        <is>
          <t>Bergvik skog väst AB</t>
        </is>
      </c>
      <c r="G17630" t="n">
        <v>7.9</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55048-2024</t>
        </is>
      </c>
      <c r="B17631" s="1" t="n">
        <v>45621</v>
      </c>
      <c r="C17631" s="1" t="n">
        <v>45810</v>
      </c>
      <c r="D17631" t="inlineStr">
        <is>
          <t>VÄRMLANDS LÄN</t>
        </is>
      </c>
      <c r="E17631" t="inlineStr">
        <is>
          <t>ÅRJÄNG</t>
        </is>
      </c>
      <c r="G17631" t="n">
        <v>2.9</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55096-2024</t>
        </is>
      </c>
      <c r="B17632" s="1" t="n">
        <v>45621</v>
      </c>
      <c r="C17632" s="1" t="n">
        <v>45810</v>
      </c>
      <c r="D17632" t="inlineStr">
        <is>
          <t>VÄRMLANDS LÄN</t>
        </is>
      </c>
      <c r="E17632" t="inlineStr">
        <is>
          <t>EDA</t>
        </is>
      </c>
      <c r="G17632" t="n">
        <v>2.4</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55072-2024</t>
        </is>
      </c>
      <c r="B17633" s="1" t="n">
        <v>45621</v>
      </c>
      <c r="C17633" s="1" t="n">
        <v>45810</v>
      </c>
      <c r="D17633" t="inlineStr">
        <is>
          <t>VÄRMLANDS LÄN</t>
        </is>
      </c>
      <c r="E17633" t="inlineStr">
        <is>
          <t>TORSBY</t>
        </is>
      </c>
      <c r="G17633" t="n">
        <v>2</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55051-2024</t>
        </is>
      </c>
      <c r="B17634" s="1" t="n">
        <v>45621</v>
      </c>
      <c r="C17634" s="1" t="n">
        <v>45810</v>
      </c>
      <c r="D17634" t="inlineStr">
        <is>
          <t>VÄRMLANDS LÄN</t>
        </is>
      </c>
      <c r="E17634" t="inlineStr">
        <is>
          <t>KRISTINEHAMN</t>
        </is>
      </c>
      <c r="G17634" t="n">
        <v>4.9</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55006-2024</t>
        </is>
      </c>
      <c r="B17635" s="1" t="n">
        <v>45621</v>
      </c>
      <c r="C17635" s="1" t="n">
        <v>45810</v>
      </c>
      <c r="D17635" t="inlineStr">
        <is>
          <t>VÄRMLANDS LÄN</t>
        </is>
      </c>
      <c r="E17635" t="inlineStr">
        <is>
          <t>ÅRJÄNG</t>
        </is>
      </c>
      <c r="G17635" t="n">
        <v>9.5</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55244-2024</t>
        </is>
      </c>
      <c r="B17636" s="1" t="n">
        <v>45621</v>
      </c>
      <c r="C17636" s="1" t="n">
        <v>45810</v>
      </c>
      <c r="D17636" t="inlineStr">
        <is>
          <t>VÄRMLANDS LÄN</t>
        </is>
      </c>
      <c r="E17636" t="inlineStr">
        <is>
          <t>HAGFORS</t>
        </is>
      </c>
      <c r="F17636" t="inlineStr">
        <is>
          <t>Bergvik skog väst AB</t>
        </is>
      </c>
      <c r="G17636" t="n">
        <v>7.3</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55262-2024</t>
        </is>
      </c>
      <c r="B17637" s="1" t="n">
        <v>45621</v>
      </c>
      <c r="C17637" s="1" t="n">
        <v>45810</v>
      </c>
      <c r="D17637" t="inlineStr">
        <is>
          <t>VÄRMLANDS LÄN</t>
        </is>
      </c>
      <c r="E17637" t="inlineStr">
        <is>
          <t>HAGFORS</t>
        </is>
      </c>
      <c r="F17637" t="inlineStr">
        <is>
          <t>Bergvik skog väst AB</t>
        </is>
      </c>
      <c r="G17637" t="n">
        <v>1.5</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55306-2024</t>
        </is>
      </c>
      <c r="B17638" s="1" t="n">
        <v>45621</v>
      </c>
      <c r="C17638" s="1" t="n">
        <v>45810</v>
      </c>
      <c r="D17638" t="inlineStr">
        <is>
          <t>VÄRMLANDS LÄN</t>
        </is>
      </c>
      <c r="E17638" t="inlineStr">
        <is>
          <t>KIL</t>
        </is>
      </c>
      <c r="G17638" t="n">
        <v>0.8</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55346-2024</t>
        </is>
      </c>
      <c r="B17639" s="1" t="n">
        <v>45621</v>
      </c>
      <c r="C17639" s="1" t="n">
        <v>45810</v>
      </c>
      <c r="D17639" t="inlineStr">
        <is>
          <t>VÄRMLANDS LÄN</t>
        </is>
      </c>
      <c r="E17639" t="inlineStr">
        <is>
          <t>HAGFORS</t>
        </is>
      </c>
      <c r="F17639" t="inlineStr">
        <is>
          <t>Bergvik skog väst AB</t>
        </is>
      </c>
      <c r="G17639" t="n">
        <v>4.4</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55504-2024</t>
        </is>
      </c>
      <c r="B17640" s="1" t="n">
        <v>45621</v>
      </c>
      <c r="C17640" s="1" t="n">
        <v>45810</v>
      </c>
      <c r="D17640" t="inlineStr">
        <is>
          <t>VÄRMLANDS LÄN</t>
        </is>
      </c>
      <c r="E17640" t="inlineStr">
        <is>
          <t>SUNNE</t>
        </is>
      </c>
      <c r="G17640" t="n">
        <v>3.6</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55036-2024</t>
        </is>
      </c>
      <c r="B17641" s="1" t="n">
        <v>45621</v>
      </c>
      <c r="C17641" s="1" t="n">
        <v>45810</v>
      </c>
      <c r="D17641" t="inlineStr">
        <is>
          <t>VÄRMLANDS LÄN</t>
        </is>
      </c>
      <c r="E17641" t="inlineStr">
        <is>
          <t>TORSBY</t>
        </is>
      </c>
      <c r="G17641" t="n">
        <v>5.5</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55049-2024</t>
        </is>
      </c>
      <c r="B17642" s="1" t="n">
        <v>45621</v>
      </c>
      <c r="C17642" s="1" t="n">
        <v>45810</v>
      </c>
      <c r="D17642" t="inlineStr">
        <is>
          <t>VÄRMLANDS LÄN</t>
        </is>
      </c>
      <c r="E17642" t="inlineStr">
        <is>
          <t>HAGFORS</t>
        </is>
      </c>
      <c r="F17642" t="inlineStr">
        <is>
          <t>Bergvik skog väst AB</t>
        </is>
      </c>
      <c r="G17642" t="n">
        <v>2.2</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55137-2024</t>
        </is>
      </c>
      <c r="B17643" s="1" t="n">
        <v>45621</v>
      </c>
      <c r="C17643" s="1" t="n">
        <v>45810</v>
      </c>
      <c r="D17643" t="inlineStr">
        <is>
          <t>VÄRMLANDS LÄN</t>
        </is>
      </c>
      <c r="E17643" t="inlineStr">
        <is>
          <t>HAGFORS</t>
        </is>
      </c>
      <c r="G17643" t="n">
        <v>0.5</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55223-2024</t>
        </is>
      </c>
      <c r="B17644" s="1" t="n">
        <v>45621</v>
      </c>
      <c r="C17644" s="1" t="n">
        <v>45810</v>
      </c>
      <c r="D17644" t="inlineStr">
        <is>
          <t>VÄRMLANDS LÄN</t>
        </is>
      </c>
      <c r="E17644" t="inlineStr">
        <is>
          <t>HAGFORS</t>
        </is>
      </c>
      <c r="F17644" t="inlineStr">
        <is>
          <t>Bergvik skog väst AB</t>
        </is>
      </c>
      <c r="G17644" t="n">
        <v>2.5</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55156-2024</t>
        </is>
      </c>
      <c r="B17645" s="1" t="n">
        <v>45621</v>
      </c>
      <c r="C17645" s="1" t="n">
        <v>45810</v>
      </c>
      <c r="D17645" t="inlineStr">
        <is>
          <t>VÄRMLANDS LÄN</t>
        </is>
      </c>
      <c r="E17645" t="inlineStr">
        <is>
          <t>KIL</t>
        </is>
      </c>
      <c r="G17645" t="n">
        <v>1.2</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55121-2024</t>
        </is>
      </c>
      <c r="B17646" s="1" t="n">
        <v>45621</v>
      </c>
      <c r="C17646" s="1" t="n">
        <v>45810</v>
      </c>
      <c r="D17646" t="inlineStr">
        <is>
          <t>VÄRMLANDS LÄN</t>
        </is>
      </c>
      <c r="E17646" t="inlineStr">
        <is>
          <t>SUNNE</t>
        </is>
      </c>
      <c r="G17646" t="n">
        <v>0.7</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55095-2024</t>
        </is>
      </c>
      <c r="B17647" s="1" t="n">
        <v>45621</v>
      </c>
      <c r="C17647" s="1" t="n">
        <v>45810</v>
      </c>
      <c r="D17647" t="inlineStr">
        <is>
          <t>VÄRMLANDS LÄN</t>
        </is>
      </c>
      <c r="E17647" t="inlineStr">
        <is>
          <t>EDA</t>
        </is>
      </c>
      <c r="G17647" t="n">
        <v>1.9</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55071-2024</t>
        </is>
      </c>
      <c r="B17648" s="1" t="n">
        <v>45621</v>
      </c>
      <c r="C17648" s="1" t="n">
        <v>45810</v>
      </c>
      <c r="D17648" t="inlineStr">
        <is>
          <t>VÄRMLANDS LÄN</t>
        </is>
      </c>
      <c r="E17648" t="inlineStr">
        <is>
          <t>ÅRJÄNG</t>
        </is>
      </c>
      <c r="G17648" t="n">
        <v>0.7</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55054-2024</t>
        </is>
      </c>
      <c r="B17649" s="1" t="n">
        <v>45621</v>
      </c>
      <c r="C17649" s="1" t="n">
        <v>45810</v>
      </c>
      <c r="D17649" t="inlineStr">
        <is>
          <t>VÄRMLANDS LÄN</t>
        </is>
      </c>
      <c r="E17649" t="inlineStr">
        <is>
          <t>SÄFFLE</t>
        </is>
      </c>
      <c r="G17649" t="n">
        <v>8.800000000000001</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55045-2024</t>
        </is>
      </c>
      <c r="B17650" s="1" t="n">
        <v>45621</v>
      </c>
      <c r="C17650" s="1" t="n">
        <v>45810</v>
      </c>
      <c r="D17650" t="inlineStr">
        <is>
          <t>VÄRMLANDS LÄN</t>
        </is>
      </c>
      <c r="E17650" t="inlineStr">
        <is>
          <t>SÄFFLE</t>
        </is>
      </c>
      <c r="G17650" t="n">
        <v>3.5</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54996-2024</t>
        </is>
      </c>
      <c r="B17651" s="1" t="n">
        <v>45621</v>
      </c>
      <c r="C17651" s="1" t="n">
        <v>45810</v>
      </c>
      <c r="D17651" t="inlineStr">
        <is>
          <t>VÄRMLANDS LÄN</t>
        </is>
      </c>
      <c r="E17651" t="inlineStr">
        <is>
          <t>ARVIKA</t>
        </is>
      </c>
      <c r="G17651" t="n">
        <v>1.5</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55263-2024</t>
        </is>
      </c>
      <c r="B17652" s="1" t="n">
        <v>45621</v>
      </c>
      <c r="C17652" s="1" t="n">
        <v>45810</v>
      </c>
      <c r="D17652" t="inlineStr">
        <is>
          <t>VÄRMLANDS LÄN</t>
        </is>
      </c>
      <c r="E17652" t="inlineStr">
        <is>
          <t>ÅRJÄNG</t>
        </is>
      </c>
      <c r="G17652" t="n">
        <v>0.9</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55288-2024</t>
        </is>
      </c>
      <c r="B17653" s="1" t="n">
        <v>45621</v>
      </c>
      <c r="C17653" s="1" t="n">
        <v>45810</v>
      </c>
      <c r="D17653" t="inlineStr">
        <is>
          <t>VÄRMLANDS LÄN</t>
        </is>
      </c>
      <c r="E17653" t="inlineStr">
        <is>
          <t>EDA</t>
        </is>
      </c>
      <c r="F17653" t="inlineStr">
        <is>
          <t>Bergvik skog väst AB</t>
        </is>
      </c>
      <c r="G17653" t="n">
        <v>2.9</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55377-2024</t>
        </is>
      </c>
      <c r="B17654" s="1" t="n">
        <v>45622</v>
      </c>
      <c r="C17654" s="1" t="n">
        <v>45810</v>
      </c>
      <c r="D17654" t="inlineStr">
        <is>
          <t>VÄRMLANDS LÄN</t>
        </is>
      </c>
      <c r="E17654" t="inlineStr">
        <is>
          <t>ÅRJÄNG</t>
        </is>
      </c>
      <c r="G17654" t="n">
        <v>2.5</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55487-2024</t>
        </is>
      </c>
      <c r="B17655" s="1" t="n">
        <v>45622</v>
      </c>
      <c r="C17655" s="1" t="n">
        <v>45810</v>
      </c>
      <c r="D17655" t="inlineStr">
        <is>
          <t>VÄRMLANDS LÄN</t>
        </is>
      </c>
      <c r="E17655" t="inlineStr">
        <is>
          <t>SUNNE</t>
        </is>
      </c>
      <c r="G17655" t="n">
        <v>5.1</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55495-2024</t>
        </is>
      </c>
      <c r="B17656" s="1" t="n">
        <v>45622</v>
      </c>
      <c r="C17656" s="1" t="n">
        <v>45810</v>
      </c>
      <c r="D17656" t="inlineStr">
        <is>
          <t>VÄRMLANDS LÄN</t>
        </is>
      </c>
      <c r="E17656" t="inlineStr">
        <is>
          <t>SUNNE</t>
        </is>
      </c>
      <c r="G17656" t="n">
        <v>3</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55386-2024</t>
        </is>
      </c>
      <c r="B17657" s="1" t="n">
        <v>45622</v>
      </c>
      <c r="C17657" s="1" t="n">
        <v>45810</v>
      </c>
      <c r="D17657" t="inlineStr">
        <is>
          <t>VÄRMLANDS LÄN</t>
        </is>
      </c>
      <c r="E17657" t="inlineStr">
        <is>
          <t>TORSBY</t>
        </is>
      </c>
      <c r="F17657" t="inlineStr">
        <is>
          <t>Bergvik skog väst AB</t>
        </is>
      </c>
      <c r="G17657" t="n">
        <v>20.1</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55390-2024</t>
        </is>
      </c>
      <c r="B17658" s="1" t="n">
        <v>45622</v>
      </c>
      <c r="C17658" s="1" t="n">
        <v>45810</v>
      </c>
      <c r="D17658" t="inlineStr">
        <is>
          <t>VÄRMLANDS LÄN</t>
        </is>
      </c>
      <c r="E17658" t="inlineStr">
        <is>
          <t>SUNNE</t>
        </is>
      </c>
      <c r="G17658" t="n">
        <v>0.7</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55493-2024</t>
        </is>
      </c>
      <c r="B17659" s="1" t="n">
        <v>45622</v>
      </c>
      <c r="C17659" s="1" t="n">
        <v>45810</v>
      </c>
      <c r="D17659" t="inlineStr">
        <is>
          <t>VÄRMLANDS LÄN</t>
        </is>
      </c>
      <c r="E17659" t="inlineStr">
        <is>
          <t>KRISTINEHAMN</t>
        </is>
      </c>
      <c r="G17659" t="n">
        <v>3.5</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55501-2024</t>
        </is>
      </c>
      <c r="B17660" s="1" t="n">
        <v>45622</v>
      </c>
      <c r="C17660" s="1" t="n">
        <v>45810</v>
      </c>
      <c r="D17660" t="inlineStr">
        <is>
          <t>VÄRMLANDS LÄN</t>
        </is>
      </c>
      <c r="E17660" t="inlineStr">
        <is>
          <t>SUNNE</t>
        </is>
      </c>
      <c r="G17660" t="n">
        <v>2.8</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55546-2024</t>
        </is>
      </c>
      <c r="B17661" s="1" t="n">
        <v>45622</v>
      </c>
      <c r="C17661" s="1" t="n">
        <v>45810</v>
      </c>
      <c r="D17661" t="inlineStr">
        <is>
          <t>VÄRMLANDS LÄN</t>
        </is>
      </c>
      <c r="E17661" t="inlineStr">
        <is>
          <t>TORSBY</t>
        </is>
      </c>
      <c r="G17661" t="n">
        <v>1</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55585-2024</t>
        </is>
      </c>
      <c r="B17662" s="1" t="n">
        <v>45622</v>
      </c>
      <c r="C17662" s="1" t="n">
        <v>45810</v>
      </c>
      <c r="D17662" t="inlineStr">
        <is>
          <t>VÄRMLANDS LÄN</t>
        </is>
      </c>
      <c r="E17662" t="inlineStr">
        <is>
          <t>SUNNE</t>
        </is>
      </c>
      <c r="F17662" t="inlineStr">
        <is>
          <t>Bergvik skog väst AB</t>
        </is>
      </c>
      <c r="G17662" t="n">
        <v>12.8</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55598-2024</t>
        </is>
      </c>
      <c r="B17663" s="1" t="n">
        <v>45622</v>
      </c>
      <c r="C17663" s="1" t="n">
        <v>45810</v>
      </c>
      <c r="D17663" t="inlineStr">
        <is>
          <t>VÄRMLANDS LÄN</t>
        </is>
      </c>
      <c r="E17663" t="inlineStr">
        <is>
          <t>FILIPSTAD</t>
        </is>
      </c>
      <c r="F17663" t="inlineStr">
        <is>
          <t>Bergvik skog väst AB</t>
        </is>
      </c>
      <c r="G17663" t="n">
        <v>7</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55399-2024</t>
        </is>
      </c>
      <c r="B17664" s="1" t="n">
        <v>45622</v>
      </c>
      <c r="C17664" s="1" t="n">
        <v>45810</v>
      </c>
      <c r="D17664" t="inlineStr">
        <is>
          <t>VÄRMLANDS LÄN</t>
        </is>
      </c>
      <c r="E17664" t="inlineStr">
        <is>
          <t>SUNNE</t>
        </is>
      </c>
      <c r="G17664" t="n">
        <v>0.5</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55403-2024</t>
        </is>
      </c>
      <c r="B17665" s="1" t="n">
        <v>45622</v>
      </c>
      <c r="C17665" s="1" t="n">
        <v>45810</v>
      </c>
      <c r="D17665" t="inlineStr">
        <is>
          <t>VÄRMLANDS LÄN</t>
        </is>
      </c>
      <c r="E17665" t="inlineStr">
        <is>
          <t>KARLSTAD</t>
        </is>
      </c>
      <c r="G17665" t="n">
        <v>3.7</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55430-2024</t>
        </is>
      </c>
      <c r="B17666" s="1" t="n">
        <v>45622</v>
      </c>
      <c r="C17666" s="1" t="n">
        <v>45810</v>
      </c>
      <c r="D17666" t="inlineStr">
        <is>
          <t>VÄRMLANDS LÄN</t>
        </is>
      </c>
      <c r="E17666" t="inlineStr">
        <is>
          <t>TORSBY</t>
        </is>
      </c>
      <c r="G17666" t="n">
        <v>1.5</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55543-2024</t>
        </is>
      </c>
      <c r="B17667" s="1" t="n">
        <v>45622</v>
      </c>
      <c r="C17667" s="1" t="n">
        <v>45810</v>
      </c>
      <c r="D17667" t="inlineStr">
        <is>
          <t>VÄRMLANDS LÄN</t>
        </is>
      </c>
      <c r="E17667" t="inlineStr">
        <is>
          <t>TORSBY</t>
        </is>
      </c>
      <c r="G17667" t="n">
        <v>1</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55401-2024</t>
        </is>
      </c>
      <c r="B17668" s="1" t="n">
        <v>45622</v>
      </c>
      <c r="C17668" s="1" t="n">
        <v>45810</v>
      </c>
      <c r="D17668" t="inlineStr">
        <is>
          <t>VÄRMLANDS LÄN</t>
        </is>
      </c>
      <c r="E17668" t="inlineStr">
        <is>
          <t>SUNNE</t>
        </is>
      </c>
      <c r="G17668" t="n">
        <v>1.5</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55666-2024</t>
        </is>
      </c>
      <c r="B17669" s="1" t="n">
        <v>45622</v>
      </c>
      <c r="C17669" s="1" t="n">
        <v>45810</v>
      </c>
      <c r="D17669" t="inlineStr">
        <is>
          <t>VÄRMLANDS LÄN</t>
        </is>
      </c>
      <c r="E17669" t="inlineStr">
        <is>
          <t>KARLSTAD</t>
        </is>
      </c>
      <c r="G17669" t="n">
        <v>1.1</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55423-2024</t>
        </is>
      </c>
      <c r="B17670" s="1" t="n">
        <v>45622</v>
      </c>
      <c r="C17670" s="1" t="n">
        <v>45810</v>
      </c>
      <c r="D17670" t="inlineStr">
        <is>
          <t>VÄRMLANDS LÄN</t>
        </is>
      </c>
      <c r="E17670" t="inlineStr">
        <is>
          <t>ÅRJÄNG</t>
        </is>
      </c>
      <c r="G17670" t="n">
        <v>3.3</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55432-2024</t>
        </is>
      </c>
      <c r="B17671" s="1" t="n">
        <v>45622</v>
      </c>
      <c r="C17671" s="1" t="n">
        <v>45810</v>
      </c>
      <c r="D17671" t="inlineStr">
        <is>
          <t>VÄRMLANDS LÄN</t>
        </is>
      </c>
      <c r="E17671" t="inlineStr">
        <is>
          <t>ÅRJÄNG</t>
        </is>
      </c>
      <c r="G17671" t="n">
        <v>6.9</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55628-2024</t>
        </is>
      </c>
      <c r="B17672" s="1" t="n">
        <v>45622</v>
      </c>
      <c r="C17672" s="1" t="n">
        <v>45810</v>
      </c>
      <c r="D17672" t="inlineStr">
        <is>
          <t>VÄRMLANDS LÄN</t>
        </is>
      </c>
      <c r="E17672" t="inlineStr">
        <is>
          <t>SUNNE</t>
        </is>
      </c>
      <c r="G17672" t="n">
        <v>1.4</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55686-2024</t>
        </is>
      </c>
      <c r="B17673" s="1" t="n">
        <v>45622</v>
      </c>
      <c r="C17673" s="1" t="n">
        <v>45810</v>
      </c>
      <c r="D17673" t="inlineStr">
        <is>
          <t>VÄRMLANDS LÄN</t>
        </is>
      </c>
      <c r="E17673" t="inlineStr">
        <is>
          <t>ÅRJÄNG</t>
        </is>
      </c>
      <c r="G17673" t="n">
        <v>1.9</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55728-2024</t>
        </is>
      </c>
      <c r="B17674" s="1" t="n">
        <v>45622</v>
      </c>
      <c r="C17674" s="1" t="n">
        <v>45810</v>
      </c>
      <c r="D17674" t="inlineStr">
        <is>
          <t>VÄRMLANDS LÄN</t>
        </is>
      </c>
      <c r="E17674" t="inlineStr">
        <is>
          <t>KARLSTAD</t>
        </is>
      </c>
      <c r="G17674" t="n">
        <v>1.4</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55732-2024</t>
        </is>
      </c>
      <c r="B17675" s="1" t="n">
        <v>45622</v>
      </c>
      <c r="C17675" s="1" t="n">
        <v>45810</v>
      </c>
      <c r="D17675" t="inlineStr">
        <is>
          <t>VÄRMLANDS LÄN</t>
        </is>
      </c>
      <c r="E17675" t="inlineStr">
        <is>
          <t>ARVIKA</t>
        </is>
      </c>
      <c r="G17675" t="n">
        <v>9.699999999999999</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55869-2024</t>
        </is>
      </c>
      <c r="B17676" s="1" t="n">
        <v>45622</v>
      </c>
      <c r="C17676" s="1" t="n">
        <v>45810</v>
      </c>
      <c r="D17676" t="inlineStr">
        <is>
          <t>VÄRMLANDS LÄN</t>
        </is>
      </c>
      <c r="E17676" t="inlineStr">
        <is>
          <t>SÄFFLE</t>
        </is>
      </c>
      <c r="G17676" t="n">
        <v>2.6</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55891-2024</t>
        </is>
      </c>
      <c r="B17677" s="1" t="n">
        <v>45622</v>
      </c>
      <c r="C17677" s="1" t="n">
        <v>45810</v>
      </c>
      <c r="D17677" t="inlineStr">
        <is>
          <t>VÄRMLANDS LÄN</t>
        </is>
      </c>
      <c r="E17677" t="inlineStr">
        <is>
          <t>KARLSTAD</t>
        </is>
      </c>
      <c r="G17677" t="n">
        <v>3.3</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55730-2024</t>
        </is>
      </c>
      <c r="B17678" s="1" t="n">
        <v>45622</v>
      </c>
      <c r="C17678" s="1" t="n">
        <v>45810</v>
      </c>
      <c r="D17678" t="inlineStr">
        <is>
          <t>VÄRMLANDS LÄN</t>
        </is>
      </c>
      <c r="E17678" t="inlineStr">
        <is>
          <t>ARVIKA</t>
        </is>
      </c>
      <c r="G17678" t="n">
        <v>3</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55734-2024</t>
        </is>
      </c>
      <c r="B17679" s="1" t="n">
        <v>45622</v>
      </c>
      <c r="C17679" s="1" t="n">
        <v>45810</v>
      </c>
      <c r="D17679" t="inlineStr">
        <is>
          <t>VÄRMLANDS LÄN</t>
        </is>
      </c>
      <c r="E17679" t="inlineStr">
        <is>
          <t>ARVIKA</t>
        </is>
      </c>
      <c r="G17679" t="n">
        <v>1.2</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55828-2024</t>
        </is>
      </c>
      <c r="B17680" s="1" t="n">
        <v>45622</v>
      </c>
      <c r="C17680" s="1" t="n">
        <v>45810</v>
      </c>
      <c r="D17680" t="inlineStr">
        <is>
          <t>VÄRMLANDS LÄN</t>
        </is>
      </c>
      <c r="E17680" t="inlineStr">
        <is>
          <t>SUNNE</t>
        </is>
      </c>
      <c r="G17680" t="n">
        <v>1.5</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55719-2024</t>
        </is>
      </c>
      <c r="B17681" s="1" t="n">
        <v>45622</v>
      </c>
      <c r="C17681" s="1" t="n">
        <v>45810</v>
      </c>
      <c r="D17681" t="inlineStr">
        <is>
          <t>VÄRMLANDS LÄN</t>
        </is>
      </c>
      <c r="E17681" t="inlineStr">
        <is>
          <t>KRISTINEHAMN</t>
        </is>
      </c>
      <c r="G17681" t="n">
        <v>1.2</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55735-2024</t>
        </is>
      </c>
      <c r="B17682" s="1" t="n">
        <v>45622</v>
      </c>
      <c r="C17682" s="1" t="n">
        <v>45810</v>
      </c>
      <c r="D17682" t="inlineStr">
        <is>
          <t>VÄRMLANDS LÄN</t>
        </is>
      </c>
      <c r="E17682" t="inlineStr">
        <is>
          <t>EDA</t>
        </is>
      </c>
      <c r="G17682" t="n">
        <v>2.5</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55888-2024</t>
        </is>
      </c>
      <c r="B17683" s="1" t="n">
        <v>45622</v>
      </c>
      <c r="C17683" s="1" t="n">
        <v>45810</v>
      </c>
      <c r="D17683" t="inlineStr">
        <is>
          <t>VÄRMLANDS LÄN</t>
        </is>
      </c>
      <c r="E17683" t="inlineStr">
        <is>
          <t>SÄFFLE</t>
        </is>
      </c>
      <c r="G17683" t="n">
        <v>1.7</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55610-2024</t>
        </is>
      </c>
      <c r="B17684" s="1" t="n">
        <v>45622</v>
      </c>
      <c r="C17684" s="1" t="n">
        <v>45810</v>
      </c>
      <c r="D17684" t="inlineStr">
        <is>
          <t>VÄRMLANDS LÄN</t>
        </is>
      </c>
      <c r="E17684" t="inlineStr">
        <is>
          <t>SUNNE</t>
        </is>
      </c>
      <c r="G17684" t="n">
        <v>0.6</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55631-2024</t>
        </is>
      </c>
      <c r="B17685" s="1" t="n">
        <v>45622</v>
      </c>
      <c r="C17685" s="1" t="n">
        <v>45810</v>
      </c>
      <c r="D17685" t="inlineStr">
        <is>
          <t>VÄRMLANDS LÄN</t>
        </is>
      </c>
      <c r="E17685" t="inlineStr">
        <is>
          <t>SUNNE</t>
        </is>
      </c>
      <c r="F17685" t="inlineStr">
        <is>
          <t>Bergvik skog väst AB</t>
        </is>
      </c>
      <c r="G17685" t="n">
        <v>5.9</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55646-2024</t>
        </is>
      </c>
      <c r="B17686" s="1" t="n">
        <v>45622</v>
      </c>
      <c r="C17686" s="1" t="n">
        <v>45810</v>
      </c>
      <c r="D17686" t="inlineStr">
        <is>
          <t>VÄRMLANDS LÄN</t>
        </is>
      </c>
      <c r="E17686" t="inlineStr">
        <is>
          <t>KARLSTAD</t>
        </is>
      </c>
      <c r="G17686" t="n">
        <v>1.6</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55660-2024</t>
        </is>
      </c>
      <c r="B17687" s="1" t="n">
        <v>45622</v>
      </c>
      <c r="C17687" s="1" t="n">
        <v>45810</v>
      </c>
      <c r="D17687" t="inlineStr">
        <is>
          <t>VÄRMLANDS LÄN</t>
        </is>
      </c>
      <c r="E17687" t="inlineStr">
        <is>
          <t>FILIPSTAD</t>
        </is>
      </c>
      <c r="F17687" t="inlineStr">
        <is>
          <t>Bergvik skog väst AB</t>
        </is>
      </c>
      <c r="G17687" t="n">
        <v>10.6</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55685-2024</t>
        </is>
      </c>
      <c r="B17688" s="1" t="n">
        <v>45622</v>
      </c>
      <c r="C17688" s="1" t="n">
        <v>45810</v>
      </c>
      <c r="D17688" t="inlineStr">
        <is>
          <t>VÄRMLANDS LÄN</t>
        </is>
      </c>
      <c r="E17688" t="inlineStr">
        <is>
          <t>HAGFORS</t>
        </is>
      </c>
      <c r="F17688" t="inlineStr">
        <is>
          <t>Kyrkan</t>
        </is>
      </c>
      <c r="G17688" t="n">
        <v>1.6</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55733-2024</t>
        </is>
      </c>
      <c r="B17689" s="1" t="n">
        <v>45622</v>
      </c>
      <c r="C17689" s="1" t="n">
        <v>45810</v>
      </c>
      <c r="D17689" t="inlineStr">
        <is>
          <t>VÄRMLANDS LÄN</t>
        </is>
      </c>
      <c r="E17689" t="inlineStr">
        <is>
          <t>ARVIKA</t>
        </is>
      </c>
      <c r="G17689" t="n">
        <v>1.3</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55808-2024</t>
        </is>
      </c>
      <c r="B17690" s="1" t="n">
        <v>45622</v>
      </c>
      <c r="C17690" s="1" t="n">
        <v>45810</v>
      </c>
      <c r="D17690" t="inlineStr">
        <is>
          <t>VÄRMLANDS LÄN</t>
        </is>
      </c>
      <c r="E17690" t="inlineStr">
        <is>
          <t>TORSBY</t>
        </is>
      </c>
      <c r="G17690" t="n">
        <v>0.4</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55765-2024</t>
        </is>
      </c>
      <c r="B17691" s="1" t="n">
        <v>45623</v>
      </c>
      <c r="C17691" s="1" t="n">
        <v>45810</v>
      </c>
      <c r="D17691" t="inlineStr">
        <is>
          <t>VÄRMLANDS LÄN</t>
        </is>
      </c>
      <c r="E17691" t="inlineStr">
        <is>
          <t>KARLSTAD</t>
        </is>
      </c>
      <c r="G17691" t="n">
        <v>8.699999999999999</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55795-2024</t>
        </is>
      </c>
      <c r="B17692" s="1" t="n">
        <v>45623</v>
      </c>
      <c r="C17692" s="1" t="n">
        <v>45810</v>
      </c>
      <c r="D17692" t="inlineStr">
        <is>
          <t>VÄRMLANDS LÄN</t>
        </is>
      </c>
      <c r="E17692" t="inlineStr">
        <is>
          <t>SÄFFLE</t>
        </is>
      </c>
      <c r="G17692" t="n">
        <v>0.8</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55746-2024</t>
        </is>
      </c>
      <c r="B17693" s="1" t="n">
        <v>45623</v>
      </c>
      <c r="C17693" s="1" t="n">
        <v>45810</v>
      </c>
      <c r="D17693" t="inlineStr">
        <is>
          <t>VÄRMLANDS LÄN</t>
        </is>
      </c>
      <c r="E17693" t="inlineStr">
        <is>
          <t>KARLSTAD</t>
        </is>
      </c>
      <c r="G17693" t="n">
        <v>3.3</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55750-2024</t>
        </is>
      </c>
      <c r="B17694" s="1" t="n">
        <v>45623</v>
      </c>
      <c r="C17694" s="1" t="n">
        <v>45810</v>
      </c>
      <c r="D17694" t="inlineStr">
        <is>
          <t>VÄRMLANDS LÄN</t>
        </is>
      </c>
      <c r="E17694" t="inlineStr">
        <is>
          <t>TORSBY</t>
        </is>
      </c>
      <c r="G17694" t="n">
        <v>0.8</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55758-2024</t>
        </is>
      </c>
      <c r="B17695" s="1" t="n">
        <v>45623</v>
      </c>
      <c r="C17695" s="1" t="n">
        <v>45810</v>
      </c>
      <c r="D17695" t="inlineStr">
        <is>
          <t>VÄRMLANDS LÄN</t>
        </is>
      </c>
      <c r="E17695" t="inlineStr">
        <is>
          <t>HAGFORS</t>
        </is>
      </c>
      <c r="G17695" t="n">
        <v>3.9</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55763-2024</t>
        </is>
      </c>
      <c r="B17696" s="1" t="n">
        <v>45623</v>
      </c>
      <c r="C17696" s="1" t="n">
        <v>45810</v>
      </c>
      <c r="D17696" t="inlineStr">
        <is>
          <t>VÄRMLANDS LÄN</t>
        </is>
      </c>
      <c r="E17696" t="inlineStr">
        <is>
          <t>KARLSTAD</t>
        </is>
      </c>
      <c r="G17696" t="n">
        <v>2</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55810-2024</t>
        </is>
      </c>
      <c r="B17697" s="1" t="n">
        <v>45623</v>
      </c>
      <c r="C17697" s="1" t="n">
        <v>45810</v>
      </c>
      <c r="D17697" t="inlineStr">
        <is>
          <t>VÄRMLANDS LÄN</t>
        </is>
      </c>
      <c r="E17697" t="inlineStr">
        <is>
          <t>EDA</t>
        </is>
      </c>
      <c r="G17697" t="n">
        <v>3.1</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55814-2024</t>
        </is>
      </c>
      <c r="B17698" s="1" t="n">
        <v>45623</v>
      </c>
      <c r="C17698" s="1" t="n">
        <v>45810</v>
      </c>
      <c r="D17698" t="inlineStr">
        <is>
          <t>VÄRMLANDS LÄN</t>
        </is>
      </c>
      <c r="E17698" t="inlineStr">
        <is>
          <t>TORSBY</t>
        </is>
      </c>
      <c r="G17698" t="n">
        <v>3.1</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55835-2024</t>
        </is>
      </c>
      <c r="B17699" s="1" t="n">
        <v>45623</v>
      </c>
      <c r="C17699" s="1" t="n">
        <v>45810</v>
      </c>
      <c r="D17699" t="inlineStr">
        <is>
          <t>VÄRMLANDS LÄN</t>
        </is>
      </c>
      <c r="E17699" t="inlineStr">
        <is>
          <t>FORSHAGA</t>
        </is>
      </c>
      <c r="G17699" t="n">
        <v>0.9</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55811-2024</t>
        </is>
      </c>
      <c r="B17700" s="1" t="n">
        <v>45623</v>
      </c>
      <c r="C17700" s="1" t="n">
        <v>45810</v>
      </c>
      <c r="D17700" t="inlineStr">
        <is>
          <t>VÄRMLANDS LÄN</t>
        </is>
      </c>
      <c r="E17700" t="inlineStr">
        <is>
          <t>STORFORS</t>
        </is>
      </c>
      <c r="F17700" t="inlineStr">
        <is>
          <t>Bergvik skog väst AB</t>
        </is>
      </c>
      <c r="G17700" t="n">
        <v>1.9</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55836-2024</t>
        </is>
      </c>
      <c r="B17701" s="1" t="n">
        <v>45623</v>
      </c>
      <c r="C17701" s="1" t="n">
        <v>45810</v>
      </c>
      <c r="D17701" t="inlineStr">
        <is>
          <t>VÄRMLANDS LÄN</t>
        </is>
      </c>
      <c r="E17701" t="inlineStr">
        <is>
          <t>TORSBY</t>
        </is>
      </c>
      <c r="F17701" t="inlineStr">
        <is>
          <t>Kommuner</t>
        </is>
      </c>
      <c r="G17701" t="n">
        <v>0.8</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55845-2024</t>
        </is>
      </c>
      <c r="B17702" s="1" t="n">
        <v>45623</v>
      </c>
      <c r="C17702" s="1" t="n">
        <v>45810</v>
      </c>
      <c r="D17702" t="inlineStr">
        <is>
          <t>VÄRMLANDS LÄN</t>
        </is>
      </c>
      <c r="E17702" t="inlineStr">
        <is>
          <t>TORSBY</t>
        </is>
      </c>
      <c r="F17702" t="inlineStr">
        <is>
          <t>Kommuner</t>
        </is>
      </c>
      <c r="G17702" t="n">
        <v>3</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55837-2024</t>
        </is>
      </c>
      <c r="B17703" s="1" t="n">
        <v>45623</v>
      </c>
      <c r="C17703" s="1" t="n">
        <v>45810</v>
      </c>
      <c r="D17703" t="inlineStr">
        <is>
          <t>VÄRMLANDS LÄN</t>
        </is>
      </c>
      <c r="E17703" t="inlineStr">
        <is>
          <t>TORSBY</t>
        </is>
      </c>
      <c r="F17703" t="inlineStr">
        <is>
          <t>Kommuner</t>
        </is>
      </c>
      <c r="G17703" t="n">
        <v>0.6</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55842-2024</t>
        </is>
      </c>
      <c r="B17704" s="1" t="n">
        <v>45623</v>
      </c>
      <c r="C17704" s="1" t="n">
        <v>45810</v>
      </c>
      <c r="D17704" t="inlineStr">
        <is>
          <t>VÄRMLANDS LÄN</t>
        </is>
      </c>
      <c r="E17704" t="inlineStr">
        <is>
          <t>TORSBY</t>
        </is>
      </c>
      <c r="F17704" t="inlineStr">
        <is>
          <t>Kommuner</t>
        </is>
      </c>
      <c r="G17704" t="n">
        <v>0.8</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55834-2024</t>
        </is>
      </c>
      <c r="B17705" s="1" t="n">
        <v>45623</v>
      </c>
      <c r="C17705" s="1" t="n">
        <v>45810</v>
      </c>
      <c r="D17705" t="inlineStr">
        <is>
          <t>VÄRMLANDS LÄN</t>
        </is>
      </c>
      <c r="E17705" t="inlineStr">
        <is>
          <t>TORSBY</t>
        </is>
      </c>
      <c r="F17705" t="inlineStr">
        <is>
          <t>Kommuner</t>
        </is>
      </c>
      <c r="G17705" t="n">
        <v>2.8</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55839-2024</t>
        </is>
      </c>
      <c r="B17706" s="1" t="n">
        <v>45623</v>
      </c>
      <c r="C17706" s="1" t="n">
        <v>45810</v>
      </c>
      <c r="D17706" t="inlineStr">
        <is>
          <t>VÄRMLANDS LÄN</t>
        </is>
      </c>
      <c r="E17706" t="inlineStr">
        <is>
          <t>TORSBY</t>
        </is>
      </c>
      <c r="F17706" t="inlineStr">
        <is>
          <t>Kommuner</t>
        </is>
      </c>
      <c r="G17706" t="n">
        <v>0.5</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55899-2024</t>
        </is>
      </c>
      <c r="B17707" s="1" t="n">
        <v>45623</v>
      </c>
      <c r="C17707" s="1" t="n">
        <v>45810</v>
      </c>
      <c r="D17707" t="inlineStr">
        <is>
          <t>VÄRMLANDS LÄN</t>
        </is>
      </c>
      <c r="E17707" t="inlineStr">
        <is>
          <t>EDA</t>
        </is>
      </c>
      <c r="G17707" t="n">
        <v>1.3</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55885-2024</t>
        </is>
      </c>
      <c r="B17708" s="1" t="n">
        <v>45623</v>
      </c>
      <c r="C17708" s="1" t="n">
        <v>45810</v>
      </c>
      <c r="D17708" t="inlineStr">
        <is>
          <t>VÄRMLANDS LÄN</t>
        </is>
      </c>
      <c r="E17708" t="inlineStr">
        <is>
          <t>KARLSTAD</t>
        </is>
      </c>
      <c r="G17708" t="n">
        <v>0.5</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55913-2024</t>
        </is>
      </c>
      <c r="B17709" s="1" t="n">
        <v>45623</v>
      </c>
      <c r="C17709" s="1" t="n">
        <v>45810</v>
      </c>
      <c r="D17709" t="inlineStr">
        <is>
          <t>VÄRMLANDS LÄN</t>
        </is>
      </c>
      <c r="E17709" t="inlineStr">
        <is>
          <t>EDA</t>
        </is>
      </c>
      <c r="G17709" t="n">
        <v>1.2</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55900-2024</t>
        </is>
      </c>
      <c r="B17710" s="1" t="n">
        <v>45623</v>
      </c>
      <c r="C17710" s="1" t="n">
        <v>45810</v>
      </c>
      <c r="D17710" t="inlineStr">
        <is>
          <t>VÄRMLANDS LÄN</t>
        </is>
      </c>
      <c r="E17710" t="inlineStr">
        <is>
          <t>SUNNE</t>
        </is>
      </c>
      <c r="F17710" t="inlineStr">
        <is>
          <t>Övriga Aktiebolag</t>
        </is>
      </c>
      <c r="G17710" t="n">
        <v>0.8</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55953-2024</t>
        </is>
      </c>
      <c r="B17711" s="1" t="n">
        <v>45623</v>
      </c>
      <c r="C17711" s="1" t="n">
        <v>45810</v>
      </c>
      <c r="D17711" t="inlineStr">
        <is>
          <t>VÄRMLANDS LÄN</t>
        </is>
      </c>
      <c r="E17711" t="inlineStr">
        <is>
          <t>KARLSTAD</t>
        </is>
      </c>
      <c r="G17711" t="n">
        <v>3.9</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55894-2024</t>
        </is>
      </c>
      <c r="B17712" s="1" t="n">
        <v>45623</v>
      </c>
      <c r="C17712" s="1" t="n">
        <v>45810</v>
      </c>
      <c r="D17712" t="inlineStr">
        <is>
          <t>VÄRMLANDS LÄN</t>
        </is>
      </c>
      <c r="E17712" t="inlineStr">
        <is>
          <t>SUNNE</t>
        </is>
      </c>
      <c r="F17712" t="inlineStr">
        <is>
          <t>Övriga Aktiebolag</t>
        </is>
      </c>
      <c r="G17712" t="n">
        <v>5.9</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55903-2024</t>
        </is>
      </c>
      <c r="B17713" s="1" t="n">
        <v>45623</v>
      </c>
      <c r="C17713" s="1" t="n">
        <v>45810</v>
      </c>
      <c r="D17713" t="inlineStr">
        <is>
          <t>VÄRMLANDS LÄN</t>
        </is>
      </c>
      <c r="E17713" t="inlineStr">
        <is>
          <t>EDA</t>
        </is>
      </c>
      <c r="G17713" t="n">
        <v>1</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55921-2024</t>
        </is>
      </c>
      <c r="B17714" s="1" t="n">
        <v>45623</v>
      </c>
      <c r="C17714" s="1" t="n">
        <v>45810</v>
      </c>
      <c r="D17714" t="inlineStr">
        <is>
          <t>VÄRMLANDS LÄN</t>
        </is>
      </c>
      <c r="E17714" t="inlineStr">
        <is>
          <t>EDA</t>
        </is>
      </c>
      <c r="G17714" t="n">
        <v>1.1</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55950-2024</t>
        </is>
      </c>
      <c r="B17715" s="1" t="n">
        <v>45623</v>
      </c>
      <c r="C17715" s="1" t="n">
        <v>45810</v>
      </c>
      <c r="D17715" t="inlineStr">
        <is>
          <t>VÄRMLANDS LÄN</t>
        </is>
      </c>
      <c r="E17715" t="inlineStr">
        <is>
          <t>HAGFORS</t>
        </is>
      </c>
      <c r="F17715" t="inlineStr">
        <is>
          <t>Bergvik skog väst AB</t>
        </is>
      </c>
      <c r="G17715" t="n">
        <v>2.9</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56010-2024</t>
        </is>
      </c>
      <c r="B17716" s="1" t="n">
        <v>45623</v>
      </c>
      <c r="C17716" s="1" t="n">
        <v>45810</v>
      </c>
      <c r="D17716" t="inlineStr">
        <is>
          <t>VÄRMLANDS LÄN</t>
        </is>
      </c>
      <c r="E17716" t="inlineStr">
        <is>
          <t>SUNNE</t>
        </is>
      </c>
      <c r="G17716" t="n">
        <v>2.7</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55987-2024</t>
        </is>
      </c>
      <c r="B17717" s="1" t="n">
        <v>45623</v>
      </c>
      <c r="C17717" s="1" t="n">
        <v>45810</v>
      </c>
      <c r="D17717" t="inlineStr">
        <is>
          <t>VÄRMLANDS LÄN</t>
        </is>
      </c>
      <c r="E17717" t="inlineStr">
        <is>
          <t>TORSBY</t>
        </is>
      </c>
      <c r="G17717" t="n">
        <v>2.4</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56005-2024</t>
        </is>
      </c>
      <c r="B17718" s="1" t="n">
        <v>45623</v>
      </c>
      <c r="C17718" s="1" t="n">
        <v>45810</v>
      </c>
      <c r="D17718" t="inlineStr">
        <is>
          <t>VÄRMLANDS LÄN</t>
        </is>
      </c>
      <c r="E17718" t="inlineStr">
        <is>
          <t>FORSHAGA</t>
        </is>
      </c>
      <c r="G17718" t="n">
        <v>1.3</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56187-2024</t>
        </is>
      </c>
      <c r="B17719" s="1" t="n">
        <v>45623</v>
      </c>
      <c r="C17719" s="1" t="n">
        <v>45810</v>
      </c>
      <c r="D17719" t="inlineStr">
        <is>
          <t>VÄRMLANDS LÄN</t>
        </is>
      </c>
      <c r="E17719" t="inlineStr">
        <is>
          <t>ARVIKA</t>
        </is>
      </c>
      <c r="G17719" t="n">
        <v>1.2</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56030-2024</t>
        </is>
      </c>
      <c r="B17720" s="1" t="n">
        <v>45624</v>
      </c>
      <c r="C17720" s="1" t="n">
        <v>45810</v>
      </c>
      <c r="D17720" t="inlineStr">
        <is>
          <t>VÄRMLANDS LÄN</t>
        </is>
      </c>
      <c r="E17720" t="inlineStr">
        <is>
          <t>ÅRJÄNG</t>
        </is>
      </c>
      <c r="G17720" t="n">
        <v>2</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56096-2024</t>
        </is>
      </c>
      <c r="B17721" s="1" t="n">
        <v>45624</v>
      </c>
      <c r="C17721" s="1" t="n">
        <v>45810</v>
      </c>
      <c r="D17721" t="inlineStr">
        <is>
          <t>VÄRMLANDS LÄN</t>
        </is>
      </c>
      <c r="E17721" t="inlineStr">
        <is>
          <t>ÅRJÄNG</t>
        </is>
      </c>
      <c r="G17721" t="n">
        <v>1.6</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56079-2024</t>
        </is>
      </c>
      <c r="B17722" s="1" t="n">
        <v>45624</v>
      </c>
      <c r="C17722" s="1" t="n">
        <v>45810</v>
      </c>
      <c r="D17722" t="inlineStr">
        <is>
          <t>VÄRMLANDS LÄN</t>
        </is>
      </c>
      <c r="E17722" t="inlineStr">
        <is>
          <t>GRUMS</t>
        </is>
      </c>
      <c r="G17722" t="n">
        <v>1.3</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56093-2024</t>
        </is>
      </c>
      <c r="B17723" s="1" t="n">
        <v>45624</v>
      </c>
      <c r="C17723" s="1" t="n">
        <v>45810</v>
      </c>
      <c r="D17723" t="inlineStr">
        <is>
          <t>VÄRMLANDS LÄN</t>
        </is>
      </c>
      <c r="E17723" t="inlineStr">
        <is>
          <t>GRUMS</t>
        </is>
      </c>
      <c r="G17723" t="n">
        <v>8.9</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56101-2024</t>
        </is>
      </c>
      <c r="B17724" s="1" t="n">
        <v>45624</v>
      </c>
      <c r="C17724" s="1" t="n">
        <v>45810</v>
      </c>
      <c r="D17724" t="inlineStr">
        <is>
          <t>VÄRMLANDS LÄN</t>
        </is>
      </c>
      <c r="E17724" t="inlineStr">
        <is>
          <t>TORSBY</t>
        </is>
      </c>
      <c r="G17724" t="n">
        <v>3.2</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56118-2024</t>
        </is>
      </c>
      <c r="B17725" s="1" t="n">
        <v>45624</v>
      </c>
      <c r="C17725" s="1" t="n">
        <v>45810</v>
      </c>
      <c r="D17725" t="inlineStr">
        <is>
          <t>VÄRMLANDS LÄN</t>
        </is>
      </c>
      <c r="E17725" t="inlineStr">
        <is>
          <t>ÅRJÄNG</t>
        </is>
      </c>
      <c r="G17725" t="n">
        <v>1.2</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56137-2024</t>
        </is>
      </c>
      <c r="B17726" s="1" t="n">
        <v>45624</v>
      </c>
      <c r="C17726" s="1" t="n">
        <v>45810</v>
      </c>
      <c r="D17726" t="inlineStr">
        <is>
          <t>VÄRMLANDS LÄN</t>
        </is>
      </c>
      <c r="E17726" t="inlineStr">
        <is>
          <t>ARVIKA</t>
        </is>
      </c>
      <c r="F17726" t="inlineStr">
        <is>
          <t>Bergvik skog väst AB</t>
        </is>
      </c>
      <c r="G17726" t="n">
        <v>9.6</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56146-2024</t>
        </is>
      </c>
      <c r="B17727" s="1" t="n">
        <v>45624</v>
      </c>
      <c r="C17727" s="1" t="n">
        <v>45810</v>
      </c>
      <c r="D17727" t="inlineStr">
        <is>
          <t>VÄRMLANDS LÄN</t>
        </is>
      </c>
      <c r="E17727" t="inlineStr">
        <is>
          <t>EDA</t>
        </is>
      </c>
      <c r="G17727" t="n">
        <v>1.4</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56240-2024</t>
        </is>
      </c>
      <c r="B17728" s="1" t="n">
        <v>45624</v>
      </c>
      <c r="C17728" s="1" t="n">
        <v>45810</v>
      </c>
      <c r="D17728" t="inlineStr">
        <is>
          <t>VÄRMLANDS LÄN</t>
        </is>
      </c>
      <c r="E17728" t="inlineStr">
        <is>
          <t>TORSBY</t>
        </is>
      </c>
      <c r="G17728" t="n">
        <v>1.5</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56309-2024</t>
        </is>
      </c>
      <c r="B17729" s="1" t="n">
        <v>45624</v>
      </c>
      <c r="C17729" s="1" t="n">
        <v>45810</v>
      </c>
      <c r="D17729" t="inlineStr">
        <is>
          <t>VÄRMLANDS LÄN</t>
        </is>
      </c>
      <c r="E17729" t="inlineStr">
        <is>
          <t>ARVIKA</t>
        </is>
      </c>
      <c r="G17729" t="n">
        <v>2.4</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56329-2024</t>
        </is>
      </c>
      <c r="B17730" s="1" t="n">
        <v>45624</v>
      </c>
      <c r="C17730" s="1" t="n">
        <v>45810</v>
      </c>
      <c r="D17730" t="inlineStr">
        <is>
          <t>VÄRMLANDS LÄN</t>
        </is>
      </c>
      <c r="E17730" t="inlineStr">
        <is>
          <t>ÅRJÄNG</t>
        </is>
      </c>
      <c r="G17730" t="n">
        <v>4.6</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56333-2024</t>
        </is>
      </c>
      <c r="B17731" s="1" t="n">
        <v>45624</v>
      </c>
      <c r="C17731" s="1" t="n">
        <v>45810</v>
      </c>
      <c r="D17731" t="inlineStr">
        <is>
          <t>VÄRMLANDS LÄN</t>
        </is>
      </c>
      <c r="E17731" t="inlineStr">
        <is>
          <t>ÅRJÄNG</t>
        </is>
      </c>
      <c r="G17731" t="n">
        <v>3.2</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56057-2024</t>
        </is>
      </c>
      <c r="B17732" s="1" t="n">
        <v>45624</v>
      </c>
      <c r="C17732" s="1" t="n">
        <v>45810</v>
      </c>
      <c r="D17732" t="inlineStr">
        <is>
          <t>VÄRMLANDS LÄN</t>
        </is>
      </c>
      <c r="E17732" t="inlineStr">
        <is>
          <t>ÅRJÄNG</t>
        </is>
      </c>
      <c r="G17732" t="n">
        <v>4.4</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56107-2024</t>
        </is>
      </c>
      <c r="B17733" s="1" t="n">
        <v>45624</v>
      </c>
      <c r="C17733" s="1" t="n">
        <v>45810</v>
      </c>
      <c r="D17733" t="inlineStr">
        <is>
          <t>VÄRMLANDS LÄN</t>
        </is>
      </c>
      <c r="E17733" t="inlineStr">
        <is>
          <t>TORSBY</t>
        </is>
      </c>
      <c r="G17733" t="n">
        <v>1.3</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56116-2024</t>
        </is>
      </c>
      <c r="B17734" s="1" t="n">
        <v>45624</v>
      </c>
      <c r="C17734" s="1" t="n">
        <v>45810</v>
      </c>
      <c r="D17734" t="inlineStr">
        <is>
          <t>VÄRMLANDS LÄN</t>
        </is>
      </c>
      <c r="E17734" t="inlineStr">
        <is>
          <t>ÅRJÄNG</t>
        </is>
      </c>
      <c r="G17734" t="n">
        <v>3.2</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56056-2024</t>
        </is>
      </c>
      <c r="B17735" s="1" t="n">
        <v>45624</v>
      </c>
      <c r="C17735" s="1" t="n">
        <v>45810</v>
      </c>
      <c r="D17735" t="inlineStr">
        <is>
          <t>VÄRMLANDS LÄN</t>
        </is>
      </c>
      <c r="E17735" t="inlineStr">
        <is>
          <t>TORSBY</t>
        </is>
      </c>
      <c r="G17735" t="n">
        <v>5.4</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56098-2024</t>
        </is>
      </c>
      <c r="B17736" s="1" t="n">
        <v>45624</v>
      </c>
      <c r="C17736" s="1" t="n">
        <v>45810</v>
      </c>
      <c r="D17736" t="inlineStr">
        <is>
          <t>VÄRMLANDS LÄN</t>
        </is>
      </c>
      <c r="E17736" t="inlineStr">
        <is>
          <t>TORSBY</t>
        </is>
      </c>
      <c r="G17736" t="n">
        <v>2.4</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56115-2024</t>
        </is>
      </c>
      <c r="B17737" s="1" t="n">
        <v>45624</v>
      </c>
      <c r="C17737" s="1" t="n">
        <v>45810</v>
      </c>
      <c r="D17737" t="inlineStr">
        <is>
          <t>VÄRMLANDS LÄN</t>
        </is>
      </c>
      <c r="E17737" t="inlineStr">
        <is>
          <t>ÅRJÄNG</t>
        </is>
      </c>
      <c r="G17737" t="n">
        <v>1</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56165-2024</t>
        </is>
      </c>
      <c r="B17738" s="1" t="n">
        <v>45624</v>
      </c>
      <c r="C17738" s="1" t="n">
        <v>45810</v>
      </c>
      <c r="D17738" t="inlineStr">
        <is>
          <t>VÄRMLANDS LÄN</t>
        </is>
      </c>
      <c r="E17738" t="inlineStr">
        <is>
          <t>HAGFORS</t>
        </is>
      </c>
      <c r="G17738" t="n">
        <v>0.5</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56174-2024</t>
        </is>
      </c>
      <c r="B17739" s="1" t="n">
        <v>45624</v>
      </c>
      <c r="C17739" s="1" t="n">
        <v>45810</v>
      </c>
      <c r="D17739" t="inlineStr">
        <is>
          <t>VÄRMLANDS LÄN</t>
        </is>
      </c>
      <c r="E17739" t="inlineStr">
        <is>
          <t>FILIPSTAD</t>
        </is>
      </c>
      <c r="F17739" t="inlineStr">
        <is>
          <t>Bergvik skog väst AB</t>
        </is>
      </c>
      <c r="G17739" t="n">
        <v>7.6</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56314-2024</t>
        </is>
      </c>
      <c r="B17740" s="1" t="n">
        <v>45624</v>
      </c>
      <c r="C17740" s="1" t="n">
        <v>45810</v>
      </c>
      <c r="D17740" t="inlineStr">
        <is>
          <t>VÄRMLANDS LÄN</t>
        </is>
      </c>
      <c r="E17740" t="inlineStr">
        <is>
          <t>ÅRJÄNG</t>
        </is>
      </c>
      <c r="G17740" t="n">
        <v>0.5</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56348-2024</t>
        </is>
      </c>
      <c r="B17741" s="1" t="n">
        <v>45624</v>
      </c>
      <c r="C17741" s="1" t="n">
        <v>45810</v>
      </c>
      <c r="D17741" t="inlineStr">
        <is>
          <t>VÄRMLANDS LÄN</t>
        </is>
      </c>
      <c r="E17741" t="inlineStr">
        <is>
          <t>ÅRJÄNG</t>
        </is>
      </c>
      <c r="G17741" t="n">
        <v>1.6</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56345-2024</t>
        </is>
      </c>
      <c r="B17742" s="1" t="n">
        <v>45624</v>
      </c>
      <c r="C17742" s="1" t="n">
        <v>45810</v>
      </c>
      <c r="D17742" t="inlineStr">
        <is>
          <t>VÄRMLANDS LÄN</t>
        </is>
      </c>
      <c r="E17742" t="inlineStr">
        <is>
          <t>ÅRJÄNG</t>
        </is>
      </c>
      <c r="G17742" t="n">
        <v>1.3</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56353-2024</t>
        </is>
      </c>
      <c r="B17743" s="1" t="n">
        <v>45624</v>
      </c>
      <c r="C17743" s="1" t="n">
        <v>45810</v>
      </c>
      <c r="D17743" t="inlineStr">
        <is>
          <t>VÄRMLANDS LÄN</t>
        </is>
      </c>
      <c r="E17743" t="inlineStr">
        <is>
          <t>ARVIKA</t>
        </is>
      </c>
      <c r="G17743" t="n">
        <v>4.2</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56343-2024</t>
        </is>
      </c>
      <c r="B17744" s="1" t="n">
        <v>45624</v>
      </c>
      <c r="C17744" s="1" t="n">
        <v>45810</v>
      </c>
      <c r="D17744" t="inlineStr">
        <is>
          <t>VÄRMLANDS LÄN</t>
        </is>
      </c>
      <c r="E17744" t="inlineStr">
        <is>
          <t>ÅRJÄNG</t>
        </is>
      </c>
      <c r="G17744" t="n">
        <v>2.2</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56347-2024</t>
        </is>
      </c>
      <c r="B17745" s="1" t="n">
        <v>45624</v>
      </c>
      <c r="C17745" s="1" t="n">
        <v>45810</v>
      </c>
      <c r="D17745" t="inlineStr">
        <is>
          <t>VÄRMLANDS LÄN</t>
        </is>
      </c>
      <c r="E17745" t="inlineStr">
        <is>
          <t>ÅRJÄNG</t>
        </is>
      </c>
      <c r="G17745" t="n">
        <v>4.7</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56342-2024</t>
        </is>
      </c>
      <c r="B17746" s="1" t="n">
        <v>45624</v>
      </c>
      <c r="C17746" s="1" t="n">
        <v>45810</v>
      </c>
      <c r="D17746" t="inlineStr">
        <is>
          <t>VÄRMLANDS LÄN</t>
        </is>
      </c>
      <c r="E17746" t="inlineStr">
        <is>
          <t>ÅRJÄNG</t>
        </is>
      </c>
      <c r="G17746" t="n">
        <v>1.4</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56346-2024</t>
        </is>
      </c>
      <c r="B17747" s="1" t="n">
        <v>45624</v>
      </c>
      <c r="C17747" s="1" t="n">
        <v>45810</v>
      </c>
      <c r="D17747" t="inlineStr">
        <is>
          <t>VÄRMLANDS LÄN</t>
        </is>
      </c>
      <c r="E17747" t="inlineStr">
        <is>
          <t>ÅRJÄNG</t>
        </is>
      </c>
      <c r="G17747" t="n">
        <v>1.2</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56430-2024</t>
        </is>
      </c>
      <c r="B17748" s="1" t="n">
        <v>45625</v>
      </c>
      <c r="C17748" s="1" t="n">
        <v>45810</v>
      </c>
      <c r="D17748" t="inlineStr">
        <is>
          <t>VÄRMLANDS LÄN</t>
        </is>
      </c>
      <c r="E17748" t="inlineStr">
        <is>
          <t>TORSBY</t>
        </is>
      </c>
      <c r="G17748" t="n">
        <v>1.4</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56489-2024</t>
        </is>
      </c>
      <c r="B17749" s="1" t="n">
        <v>45625</v>
      </c>
      <c r="C17749" s="1" t="n">
        <v>45810</v>
      </c>
      <c r="D17749" t="inlineStr">
        <is>
          <t>VÄRMLANDS LÄN</t>
        </is>
      </c>
      <c r="E17749" t="inlineStr">
        <is>
          <t>KARLSTAD</t>
        </is>
      </c>
      <c r="G17749" t="n">
        <v>4.8</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56509-2024</t>
        </is>
      </c>
      <c r="B17750" s="1" t="n">
        <v>45625</v>
      </c>
      <c r="C17750" s="1" t="n">
        <v>45810</v>
      </c>
      <c r="D17750" t="inlineStr">
        <is>
          <t>VÄRMLANDS LÄN</t>
        </is>
      </c>
      <c r="E17750" t="inlineStr">
        <is>
          <t>TORSBY</t>
        </is>
      </c>
      <c r="G17750" t="n">
        <v>2.6</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56534-2024</t>
        </is>
      </c>
      <c r="B17751" s="1" t="n">
        <v>45625</v>
      </c>
      <c r="C17751" s="1" t="n">
        <v>45810</v>
      </c>
      <c r="D17751" t="inlineStr">
        <is>
          <t>VÄRMLANDS LÄN</t>
        </is>
      </c>
      <c r="E17751" t="inlineStr">
        <is>
          <t>TORSBY</t>
        </is>
      </c>
      <c r="G17751" t="n">
        <v>3.5</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56546-2024</t>
        </is>
      </c>
      <c r="B17752" s="1" t="n">
        <v>45625</v>
      </c>
      <c r="C17752" s="1" t="n">
        <v>45810</v>
      </c>
      <c r="D17752" t="inlineStr">
        <is>
          <t>VÄRMLANDS LÄN</t>
        </is>
      </c>
      <c r="E17752" t="inlineStr">
        <is>
          <t>KARLSTAD</t>
        </is>
      </c>
      <c r="G17752" t="n">
        <v>4.1</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56578-2024</t>
        </is>
      </c>
      <c r="B17753" s="1" t="n">
        <v>45625</v>
      </c>
      <c r="C17753" s="1" t="n">
        <v>45810</v>
      </c>
      <c r="D17753" t="inlineStr">
        <is>
          <t>VÄRMLANDS LÄN</t>
        </is>
      </c>
      <c r="E17753" t="inlineStr">
        <is>
          <t>SUNNE</t>
        </is>
      </c>
      <c r="G17753" t="n">
        <v>1.1</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56644-2024</t>
        </is>
      </c>
      <c r="B17754" s="1" t="n">
        <v>45625</v>
      </c>
      <c r="C17754" s="1" t="n">
        <v>45810</v>
      </c>
      <c r="D17754" t="inlineStr">
        <is>
          <t>VÄRMLANDS LÄN</t>
        </is>
      </c>
      <c r="E17754" t="inlineStr">
        <is>
          <t>ÅRJÄNG</t>
        </is>
      </c>
      <c r="G17754" t="n">
        <v>12.6</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56410-2024</t>
        </is>
      </c>
      <c r="B17755" s="1" t="n">
        <v>45625</v>
      </c>
      <c r="C17755" s="1" t="n">
        <v>45810</v>
      </c>
      <c r="D17755" t="inlineStr">
        <is>
          <t>VÄRMLANDS LÄN</t>
        </is>
      </c>
      <c r="E17755" t="inlineStr">
        <is>
          <t>HAGFORS</t>
        </is>
      </c>
      <c r="F17755" t="inlineStr">
        <is>
          <t>Bergvik skog väst AB</t>
        </is>
      </c>
      <c r="G17755" t="n">
        <v>4.4</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56451-2024</t>
        </is>
      </c>
      <c r="B17756" s="1" t="n">
        <v>45625</v>
      </c>
      <c r="C17756" s="1" t="n">
        <v>45810</v>
      </c>
      <c r="D17756" t="inlineStr">
        <is>
          <t>VÄRMLANDS LÄN</t>
        </is>
      </c>
      <c r="E17756" t="inlineStr">
        <is>
          <t>FILIPSTAD</t>
        </is>
      </c>
      <c r="F17756" t="inlineStr">
        <is>
          <t>Bergvik skog väst AB</t>
        </is>
      </c>
      <c r="G17756" t="n">
        <v>6.3</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56461-2024</t>
        </is>
      </c>
      <c r="B17757" s="1" t="n">
        <v>45625</v>
      </c>
      <c r="C17757" s="1" t="n">
        <v>45810</v>
      </c>
      <c r="D17757" t="inlineStr">
        <is>
          <t>VÄRMLANDS LÄN</t>
        </is>
      </c>
      <c r="E17757" t="inlineStr">
        <is>
          <t>HAGFORS</t>
        </is>
      </c>
      <c r="F17757" t="inlineStr">
        <is>
          <t>Bergvik skog väst AB</t>
        </is>
      </c>
      <c r="G17757" t="n">
        <v>11.8</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56466-2024</t>
        </is>
      </c>
      <c r="B17758" s="1" t="n">
        <v>45625</v>
      </c>
      <c r="C17758" s="1" t="n">
        <v>45810</v>
      </c>
      <c r="D17758" t="inlineStr">
        <is>
          <t>VÄRMLANDS LÄN</t>
        </is>
      </c>
      <c r="E17758" t="inlineStr">
        <is>
          <t>HAGFORS</t>
        </is>
      </c>
      <c r="F17758" t="inlineStr">
        <is>
          <t>Bergvik skog väst AB</t>
        </is>
      </c>
      <c r="G17758" t="n">
        <v>5.1</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56541-2024</t>
        </is>
      </c>
      <c r="B17759" s="1" t="n">
        <v>45625</v>
      </c>
      <c r="C17759" s="1" t="n">
        <v>45810</v>
      </c>
      <c r="D17759" t="inlineStr">
        <is>
          <t>VÄRMLANDS LÄN</t>
        </is>
      </c>
      <c r="E17759" t="inlineStr">
        <is>
          <t>KARLSTAD</t>
        </is>
      </c>
      <c r="G17759" t="n">
        <v>0.9</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56549-2024</t>
        </is>
      </c>
      <c r="B17760" s="1" t="n">
        <v>45625</v>
      </c>
      <c r="C17760" s="1" t="n">
        <v>45810</v>
      </c>
      <c r="D17760" t="inlineStr">
        <is>
          <t>VÄRMLANDS LÄN</t>
        </is>
      </c>
      <c r="E17760" t="inlineStr">
        <is>
          <t>SUNNE</t>
        </is>
      </c>
      <c r="G17760" t="n">
        <v>2.4</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56565-2024</t>
        </is>
      </c>
      <c r="B17761" s="1" t="n">
        <v>45625</v>
      </c>
      <c r="C17761" s="1" t="n">
        <v>45810</v>
      </c>
      <c r="D17761" t="inlineStr">
        <is>
          <t>VÄRMLANDS LÄN</t>
        </is>
      </c>
      <c r="E17761" t="inlineStr">
        <is>
          <t>ARVIKA</t>
        </is>
      </c>
      <c r="G17761" t="n">
        <v>10</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56635-2024</t>
        </is>
      </c>
      <c r="B17762" s="1" t="n">
        <v>45625</v>
      </c>
      <c r="C17762" s="1" t="n">
        <v>45810</v>
      </c>
      <c r="D17762" t="inlineStr">
        <is>
          <t>VÄRMLANDS LÄN</t>
        </is>
      </c>
      <c r="E17762" t="inlineStr">
        <is>
          <t>TORSBY</t>
        </is>
      </c>
      <c r="G17762" t="n">
        <v>2.5</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56651-2024</t>
        </is>
      </c>
      <c r="B17763" s="1" t="n">
        <v>45625</v>
      </c>
      <c r="C17763" s="1" t="n">
        <v>45810</v>
      </c>
      <c r="D17763" t="inlineStr">
        <is>
          <t>VÄRMLANDS LÄN</t>
        </is>
      </c>
      <c r="E17763" t="inlineStr">
        <is>
          <t>FILIPSTAD</t>
        </is>
      </c>
      <c r="F17763" t="inlineStr">
        <is>
          <t>Bergvik skog väst AB</t>
        </is>
      </c>
      <c r="G17763" t="n">
        <v>0.5</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56655-2024</t>
        </is>
      </c>
      <c r="B17764" s="1" t="n">
        <v>45625</v>
      </c>
      <c r="C17764" s="1" t="n">
        <v>45810</v>
      </c>
      <c r="D17764" t="inlineStr">
        <is>
          <t>VÄRMLANDS LÄN</t>
        </is>
      </c>
      <c r="E17764" t="inlineStr">
        <is>
          <t>ÅRJÄNG</t>
        </is>
      </c>
      <c r="G17764" t="n">
        <v>1.1</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56652-2024</t>
        </is>
      </c>
      <c r="B17765" s="1" t="n">
        <v>45625</v>
      </c>
      <c r="C17765" s="1" t="n">
        <v>45810</v>
      </c>
      <c r="D17765" t="inlineStr">
        <is>
          <t>VÄRMLANDS LÄN</t>
        </is>
      </c>
      <c r="E17765" t="inlineStr">
        <is>
          <t>FILIPSTAD</t>
        </is>
      </c>
      <c r="F17765" t="inlineStr">
        <is>
          <t>Bergvik skog väst AB</t>
        </is>
      </c>
      <c r="G17765" t="n">
        <v>0.6</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56656-2024</t>
        </is>
      </c>
      <c r="B17766" s="1" t="n">
        <v>45625</v>
      </c>
      <c r="C17766" s="1" t="n">
        <v>45810</v>
      </c>
      <c r="D17766" t="inlineStr">
        <is>
          <t>VÄRMLANDS LÄN</t>
        </is>
      </c>
      <c r="E17766" t="inlineStr">
        <is>
          <t>KRISTINEHAMN</t>
        </is>
      </c>
      <c r="G17766" t="n">
        <v>8.800000000000001</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56469-2024</t>
        </is>
      </c>
      <c r="B17767" s="1" t="n">
        <v>45625</v>
      </c>
      <c r="C17767" s="1" t="n">
        <v>45810</v>
      </c>
      <c r="D17767" t="inlineStr">
        <is>
          <t>VÄRMLANDS LÄN</t>
        </is>
      </c>
      <c r="E17767" t="inlineStr">
        <is>
          <t>EDA</t>
        </is>
      </c>
      <c r="G17767" t="n">
        <v>2.9</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56552-2024</t>
        </is>
      </c>
      <c r="B17768" s="1" t="n">
        <v>45625</v>
      </c>
      <c r="C17768" s="1" t="n">
        <v>45810</v>
      </c>
      <c r="D17768" t="inlineStr">
        <is>
          <t>VÄRMLANDS LÄN</t>
        </is>
      </c>
      <c r="E17768" t="inlineStr">
        <is>
          <t>SÄFFLE</t>
        </is>
      </c>
      <c r="G17768" t="n">
        <v>2.5</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56572-2024</t>
        </is>
      </c>
      <c r="B17769" s="1" t="n">
        <v>45625</v>
      </c>
      <c r="C17769" s="1" t="n">
        <v>45810</v>
      </c>
      <c r="D17769" t="inlineStr">
        <is>
          <t>VÄRMLANDS LÄN</t>
        </is>
      </c>
      <c r="E17769" t="inlineStr">
        <is>
          <t>KRISTINEHAMN</t>
        </is>
      </c>
      <c r="G17769" t="n">
        <v>2.7</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56567-2024</t>
        </is>
      </c>
      <c r="B17770" s="1" t="n">
        <v>45625</v>
      </c>
      <c r="C17770" s="1" t="n">
        <v>45810</v>
      </c>
      <c r="D17770" t="inlineStr">
        <is>
          <t>VÄRMLANDS LÄN</t>
        </is>
      </c>
      <c r="E17770" t="inlineStr">
        <is>
          <t>HAGFORS</t>
        </is>
      </c>
      <c r="F17770" t="inlineStr">
        <is>
          <t>Bergvik skog väst AB</t>
        </is>
      </c>
      <c r="G17770" t="n">
        <v>7.5</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56571-2024</t>
        </is>
      </c>
      <c r="B17771" s="1" t="n">
        <v>45625</v>
      </c>
      <c r="C17771" s="1" t="n">
        <v>45810</v>
      </c>
      <c r="D17771" t="inlineStr">
        <is>
          <t>VÄRMLANDS LÄN</t>
        </is>
      </c>
      <c r="E17771" t="inlineStr">
        <is>
          <t>TORSBY</t>
        </is>
      </c>
      <c r="G17771" t="n">
        <v>0.8</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56611-2024</t>
        </is>
      </c>
      <c r="B17772" s="1" t="n">
        <v>45625</v>
      </c>
      <c r="C17772" s="1" t="n">
        <v>45810</v>
      </c>
      <c r="D17772" t="inlineStr">
        <is>
          <t>VÄRMLANDS LÄN</t>
        </is>
      </c>
      <c r="E17772" t="inlineStr">
        <is>
          <t>TORSBY</t>
        </is>
      </c>
      <c r="G17772" t="n">
        <v>6.8</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56653-2024</t>
        </is>
      </c>
      <c r="B17773" s="1" t="n">
        <v>45625</v>
      </c>
      <c r="C17773" s="1" t="n">
        <v>45810</v>
      </c>
      <c r="D17773" t="inlineStr">
        <is>
          <t>VÄRMLANDS LÄN</t>
        </is>
      </c>
      <c r="E17773" t="inlineStr">
        <is>
          <t>FILIPSTAD</t>
        </is>
      </c>
      <c r="F17773" t="inlineStr">
        <is>
          <t>Bergvik skog väst AB</t>
        </is>
      </c>
      <c r="G17773" t="n">
        <v>1.5</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56630-2024</t>
        </is>
      </c>
      <c r="B17774" s="1" t="n">
        <v>45625</v>
      </c>
      <c r="C17774" s="1" t="n">
        <v>45810</v>
      </c>
      <c r="D17774" t="inlineStr">
        <is>
          <t>VÄRMLANDS LÄN</t>
        </is>
      </c>
      <c r="E17774" t="inlineStr">
        <is>
          <t>TORSBY</t>
        </is>
      </c>
      <c r="G17774" t="n">
        <v>6.6</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56634-2024</t>
        </is>
      </c>
      <c r="B17775" s="1" t="n">
        <v>45625</v>
      </c>
      <c r="C17775" s="1" t="n">
        <v>45810</v>
      </c>
      <c r="D17775" t="inlineStr">
        <is>
          <t>VÄRMLANDS LÄN</t>
        </is>
      </c>
      <c r="E17775" t="inlineStr">
        <is>
          <t>TORSBY</t>
        </is>
      </c>
      <c r="G17775" t="n">
        <v>1</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56650-2024</t>
        </is>
      </c>
      <c r="B17776" s="1" t="n">
        <v>45625</v>
      </c>
      <c r="C17776" s="1" t="n">
        <v>45810</v>
      </c>
      <c r="D17776" t="inlineStr">
        <is>
          <t>VÄRMLANDS LÄN</t>
        </is>
      </c>
      <c r="E17776" t="inlineStr">
        <is>
          <t>FILIPSTAD</t>
        </is>
      </c>
      <c r="F17776" t="inlineStr">
        <is>
          <t>Bergvik skog väst AB</t>
        </is>
      </c>
      <c r="G17776" t="n">
        <v>6.8</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56654-2024</t>
        </is>
      </c>
      <c r="B17777" s="1" t="n">
        <v>45625</v>
      </c>
      <c r="C17777" s="1" t="n">
        <v>45810</v>
      </c>
      <c r="D17777" t="inlineStr">
        <is>
          <t>VÄRMLANDS LÄN</t>
        </is>
      </c>
      <c r="E17777" t="inlineStr">
        <is>
          <t>FILIPSTAD</t>
        </is>
      </c>
      <c r="F17777" t="inlineStr">
        <is>
          <t>Bergvik skog väst AB</t>
        </is>
      </c>
      <c r="G17777" t="n">
        <v>1.7</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56715-2024</t>
        </is>
      </c>
      <c r="B17778" s="1" t="n">
        <v>45628</v>
      </c>
      <c r="C17778" s="1" t="n">
        <v>45810</v>
      </c>
      <c r="D17778" t="inlineStr">
        <is>
          <t>VÄRMLANDS LÄN</t>
        </is>
      </c>
      <c r="E17778" t="inlineStr">
        <is>
          <t>EDA</t>
        </is>
      </c>
      <c r="G17778" t="n">
        <v>2.5</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56719-2024</t>
        </is>
      </c>
      <c r="B17779" s="1" t="n">
        <v>45628</v>
      </c>
      <c r="C17779" s="1" t="n">
        <v>45810</v>
      </c>
      <c r="D17779" t="inlineStr">
        <is>
          <t>VÄRMLANDS LÄN</t>
        </is>
      </c>
      <c r="E17779" t="inlineStr">
        <is>
          <t>EDA</t>
        </is>
      </c>
      <c r="G17779" t="n">
        <v>3.2</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56727-2024</t>
        </is>
      </c>
      <c r="B17780" s="1" t="n">
        <v>45628</v>
      </c>
      <c r="C17780" s="1" t="n">
        <v>45810</v>
      </c>
      <c r="D17780" t="inlineStr">
        <is>
          <t>VÄRMLANDS LÄN</t>
        </is>
      </c>
      <c r="E17780" t="inlineStr">
        <is>
          <t>SUNNE</t>
        </is>
      </c>
      <c r="G17780" t="n">
        <v>3.1</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56731-2024</t>
        </is>
      </c>
      <c r="B17781" s="1" t="n">
        <v>45628</v>
      </c>
      <c r="C17781" s="1" t="n">
        <v>45810</v>
      </c>
      <c r="D17781" t="inlineStr">
        <is>
          <t>VÄRMLANDS LÄN</t>
        </is>
      </c>
      <c r="E17781" t="inlineStr">
        <is>
          <t>SUNNE</t>
        </is>
      </c>
      <c r="G17781" t="n">
        <v>1.2</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56747-2024</t>
        </is>
      </c>
      <c r="B17782" s="1" t="n">
        <v>45628</v>
      </c>
      <c r="C17782" s="1" t="n">
        <v>45810</v>
      </c>
      <c r="D17782" t="inlineStr">
        <is>
          <t>VÄRMLANDS LÄN</t>
        </is>
      </c>
      <c r="E17782" t="inlineStr">
        <is>
          <t>HAGFORS</t>
        </is>
      </c>
      <c r="F17782" t="inlineStr">
        <is>
          <t>Bergvik skog väst AB</t>
        </is>
      </c>
      <c r="G17782" t="n">
        <v>2.6</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56773-2024</t>
        </is>
      </c>
      <c r="B17783" s="1" t="n">
        <v>45628</v>
      </c>
      <c r="C17783" s="1" t="n">
        <v>45810</v>
      </c>
      <c r="D17783" t="inlineStr">
        <is>
          <t>VÄRMLANDS LÄN</t>
        </is>
      </c>
      <c r="E17783" t="inlineStr">
        <is>
          <t>SUNNE</t>
        </is>
      </c>
      <c r="G17783" t="n">
        <v>1</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56736-2024</t>
        </is>
      </c>
      <c r="B17784" s="1" t="n">
        <v>45628</v>
      </c>
      <c r="C17784" s="1" t="n">
        <v>45810</v>
      </c>
      <c r="D17784" t="inlineStr">
        <is>
          <t>VÄRMLANDS LÄN</t>
        </is>
      </c>
      <c r="E17784" t="inlineStr">
        <is>
          <t>SUNNE</t>
        </is>
      </c>
      <c r="G17784" t="n">
        <v>1</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56740-2024</t>
        </is>
      </c>
      <c r="B17785" s="1" t="n">
        <v>45628</v>
      </c>
      <c r="C17785" s="1" t="n">
        <v>45810</v>
      </c>
      <c r="D17785" t="inlineStr">
        <is>
          <t>VÄRMLANDS LÄN</t>
        </is>
      </c>
      <c r="E17785" t="inlineStr">
        <is>
          <t>SUNNE</t>
        </is>
      </c>
      <c r="G17785" t="n">
        <v>5.8</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56718-2024</t>
        </is>
      </c>
      <c r="B17786" s="1" t="n">
        <v>45628</v>
      </c>
      <c r="C17786" s="1" t="n">
        <v>45810</v>
      </c>
      <c r="D17786" t="inlineStr">
        <is>
          <t>VÄRMLANDS LÄN</t>
        </is>
      </c>
      <c r="E17786" t="inlineStr">
        <is>
          <t>KARLSTAD</t>
        </is>
      </c>
      <c r="G17786" t="n">
        <v>1.9</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56738-2024</t>
        </is>
      </c>
      <c r="B17787" s="1" t="n">
        <v>45628</v>
      </c>
      <c r="C17787" s="1" t="n">
        <v>45810</v>
      </c>
      <c r="D17787" t="inlineStr">
        <is>
          <t>VÄRMLANDS LÄN</t>
        </is>
      </c>
      <c r="E17787" t="inlineStr">
        <is>
          <t>SUNNE</t>
        </is>
      </c>
      <c r="G17787" t="n">
        <v>2.3</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56776-2024</t>
        </is>
      </c>
      <c r="B17788" s="1" t="n">
        <v>45628</v>
      </c>
      <c r="C17788" s="1" t="n">
        <v>45810</v>
      </c>
      <c r="D17788" t="inlineStr">
        <is>
          <t>VÄRMLANDS LÄN</t>
        </is>
      </c>
      <c r="E17788" t="inlineStr">
        <is>
          <t>MUNKFORS</t>
        </is>
      </c>
      <c r="F17788" t="inlineStr">
        <is>
          <t>Bergvik skog väst AB</t>
        </is>
      </c>
      <c r="G17788" t="n">
        <v>1.5</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56808-2024</t>
        </is>
      </c>
      <c r="B17789" s="1" t="n">
        <v>45628</v>
      </c>
      <c r="C17789" s="1" t="n">
        <v>45810</v>
      </c>
      <c r="D17789" t="inlineStr">
        <is>
          <t>VÄRMLANDS LÄN</t>
        </is>
      </c>
      <c r="E17789" t="inlineStr">
        <is>
          <t>TORSBY</t>
        </is>
      </c>
      <c r="G17789" t="n">
        <v>5.9</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56817-2024</t>
        </is>
      </c>
      <c r="B17790" s="1" t="n">
        <v>45628</v>
      </c>
      <c r="C17790" s="1" t="n">
        <v>45810</v>
      </c>
      <c r="D17790" t="inlineStr">
        <is>
          <t>VÄRMLANDS LÄN</t>
        </is>
      </c>
      <c r="E17790" t="inlineStr">
        <is>
          <t>FILIPSTAD</t>
        </is>
      </c>
      <c r="F17790" t="inlineStr">
        <is>
          <t>Bergvik skog väst AB</t>
        </is>
      </c>
      <c r="G17790" t="n">
        <v>1.2</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56891-2024</t>
        </is>
      </c>
      <c r="B17791" s="1" t="n">
        <v>45628</v>
      </c>
      <c r="C17791" s="1" t="n">
        <v>45810</v>
      </c>
      <c r="D17791" t="inlineStr">
        <is>
          <t>VÄRMLANDS LÄN</t>
        </is>
      </c>
      <c r="E17791" t="inlineStr">
        <is>
          <t>FILIPSTAD</t>
        </is>
      </c>
      <c r="F17791" t="inlineStr">
        <is>
          <t>Bergvik skog väst AB</t>
        </is>
      </c>
      <c r="G17791" t="n">
        <v>3.4</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56920-2024</t>
        </is>
      </c>
      <c r="B17792" s="1" t="n">
        <v>45628</v>
      </c>
      <c r="C17792" s="1" t="n">
        <v>45810</v>
      </c>
      <c r="D17792" t="inlineStr">
        <is>
          <t>VÄRMLANDS LÄN</t>
        </is>
      </c>
      <c r="E17792" t="inlineStr">
        <is>
          <t>STORFORS</t>
        </is>
      </c>
      <c r="F17792" t="inlineStr">
        <is>
          <t>Bergvik skog väst AB</t>
        </is>
      </c>
      <c r="G17792" t="n">
        <v>5.6</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57002-2024</t>
        </is>
      </c>
      <c r="B17793" s="1" t="n">
        <v>45628</v>
      </c>
      <c r="C17793" s="1" t="n">
        <v>45810</v>
      </c>
      <c r="D17793" t="inlineStr">
        <is>
          <t>VÄRMLANDS LÄN</t>
        </is>
      </c>
      <c r="E17793" t="inlineStr">
        <is>
          <t>KRISTINEHAMN</t>
        </is>
      </c>
      <c r="G17793" t="n">
        <v>3.3</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57007-2024</t>
        </is>
      </c>
      <c r="B17794" s="1" t="n">
        <v>45628</v>
      </c>
      <c r="C17794" s="1" t="n">
        <v>45810</v>
      </c>
      <c r="D17794" t="inlineStr">
        <is>
          <t>VÄRMLANDS LÄN</t>
        </is>
      </c>
      <c r="E17794" t="inlineStr">
        <is>
          <t>SÄFFLE</t>
        </is>
      </c>
      <c r="G17794" t="n">
        <v>1</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57147-2024</t>
        </is>
      </c>
      <c r="B17795" s="1" t="n">
        <v>45628</v>
      </c>
      <c r="C17795" s="1" t="n">
        <v>45810</v>
      </c>
      <c r="D17795" t="inlineStr">
        <is>
          <t>VÄRMLANDS LÄN</t>
        </is>
      </c>
      <c r="E17795" t="inlineStr">
        <is>
          <t>ÅRJÄNG</t>
        </is>
      </c>
      <c r="G17795" t="n">
        <v>3.1</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56725-2024</t>
        </is>
      </c>
      <c r="B17796" s="1" t="n">
        <v>45628</v>
      </c>
      <c r="C17796" s="1" t="n">
        <v>45810</v>
      </c>
      <c r="D17796" t="inlineStr">
        <is>
          <t>VÄRMLANDS LÄN</t>
        </is>
      </c>
      <c r="E17796" t="inlineStr">
        <is>
          <t>HAGFORS</t>
        </is>
      </c>
      <c r="F17796" t="inlineStr">
        <is>
          <t>Bergvik skog väst AB</t>
        </is>
      </c>
      <c r="G17796" t="n">
        <v>2.4</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56729-2024</t>
        </is>
      </c>
      <c r="B17797" s="1" t="n">
        <v>45628</v>
      </c>
      <c r="C17797" s="1" t="n">
        <v>45810</v>
      </c>
      <c r="D17797" t="inlineStr">
        <is>
          <t>VÄRMLANDS LÄN</t>
        </is>
      </c>
      <c r="E17797" t="inlineStr">
        <is>
          <t>HAGFORS</t>
        </is>
      </c>
      <c r="G17797" t="n">
        <v>2</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56758-2024</t>
        </is>
      </c>
      <c r="B17798" s="1" t="n">
        <v>45628</v>
      </c>
      <c r="C17798" s="1" t="n">
        <v>45810</v>
      </c>
      <c r="D17798" t="inlineStr">
        <is>
          <t>VÄRMLANDS LÄN</t>
        </is>
      </c>
      <c r="E17798" t="inlineStr">
        <is>
          <t>HAGFORS</t>
        </is>
      </c>
      <c r="G17798" t="n">
        <v>3.8</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56840-2024</t>
        </is>
      </c>
      <c r="B17799" s="1" t="n">
        <v>45628</v>
      </c>
      <c r="C17799" s="1" t="n">
        <v>45810</v>
      </c>
      <c r="D17799" t="inlineStr">
        <is>
          <t>VÄRMLANDS LÄN</t>
        </is>
      </c>
      <c r="E17799" t="inlineStr">
        <is>
          <t>FILIPSTAD</t>
        </is>
      </c>
      <c r="F17799" t="inlineStr">
        <is>
          <t>Bergvik skog väst AB</t>
        </is>
      </c>
      <c r="G17799" t="n">
        <v>1.7</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56852-2024</t>
        </is>
      </c>
      <c r="B17800" s="1" t="n">
        <v>45628</v>
      </c>
      <c r="C17800" s="1" t="n">
        <v>45810</v>
      </c>
      <c r="D17800" t="inlineStr">
        <is>
          <t>VÄRMLANDS LÄN</t>
        </is>
      </c>
      <c r="E17800" t="inlineStr">
        <is>
          <t>FILIPSTAD</t>
        </is>
      </c>
      <c r="F17800" t="inlineStr">
        <is>
          <t>Bergvik skog väst AB</t>
        </is>
      </c>
      <c r="G17800" t="n">
        <v>1.1</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56744-2024</t>
        </is>
      </c>
      <c r="B17801" s="1" t="n">
        <v>45628</v>
      </c>
      <c r="C17801" s="1" t="n">
        <v>45810</v>
      </c>
      <c r="D17801" t="inlineStr">
        <is>
          <t>VÄRMLANDS LÄN</t>
        </is>
      </c>
      <c r="E17801" t="inlineStr">
        <is>
          <t>SUNNE</t>
        </is>
      </c>
      <c r="G17801" t="n">
        <v>6.9</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56748-2024</t>
        </is>
      </c>
      <c r="B17802" s="1" t="n">
        <v>45628</v>
      </c>
      <c r="C17802" s="1" t="n">
        <v>45810</v>
      </c>
      <c r="D17802" t="inlineStr">
        <is>
          <t>VÄRMLANDS LÄN</t>
        </is>
      </c>
      <c r="E17802" t="inlineStr">
        <is>
          <t>SUNNE</t>
        </is>
      </c>
      <c r="G17802" t="n">
        <v>2.2</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56752-2024</t>
        </is>
      </c>
      <c r="B17803" s="1" t="n">
        <v>45628</v>
      </c>
      <c r="C17803" s="1" t="n">
        <v>45810</v>
      </c>
      <c r="D17803" t="inlineStr">
        <is>
          <t>VÄRMLANDS LÄN</t>
        </is>
      </c>
      <c r="E17803" t="inlineStr">
        <is>
          <t>SUNNE</t>
        </is>
      </c>
      <c r="G17803" t="n">
        <v>2.2</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56757-2024</t>
        </is>
      </c>
      <c r="B17804" s="1" t="n">
        <v>45628</v>
      </c>
      <c r="C17804" s="1" t="n">
        <v>45810</v>
      </c>
      <c r="D17804" t="inlineStr">
        <is>
          <t>VÄRMLANDS LÄN</t>
        </is>
      </c>
      <c r="E17804" t="inlineStr">
        <is>
          <t>HAGFORS</t>
        </is>
      </c>
      <c r="G17804" t="n">
        <v>2.9</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56769-2024</t>
        </is>
      </c>
      <c r="B17805" s="1" t="n">
        <v>45628</v>
      </c>
      <c r="C17805" s="1" t="n">
        <v>45810</v>
      </c>
      <c r="D17805" t="inlineStr">
        <is>
          <t>VÄRMLANDS LÄN</t>
        </is>
      </c>
      <c r="E17805" t="inlineStr">
        <is>
          <t>ÅRJÄNG</t>
        </is>
      </c>
      <c r="G17805" t="n">
        <v>1.5</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56778-2024</t>
        </is>
      </c>
      <c r="B17806" s="1" t="n">
        <v>45628</v>
      </c>
      <c r="C17806" s="1" t="n">
        <v>45810</v>
      </c>
      <c r="D17806" t="inlineStr">
        <is>
          <t>VÄRMLANDS LÄN</t>
        </is>
      </c>
      <c r="E17806" t="inlineStr">
        <is>
          <t>ÅRJÄNG</t>
        </is>
      </c>
      <c r="G17806" t="n">
        <v>1</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56802-2024</t>
        </is>
      </c>
      <c r="B17807" s="1" t="n">
        <v>45628</v>
      </c>
      <c r="C17807" s="1" t="n">
        <v>45810</v>
      </c>
      <c r="D17807" t="inlineStr">
        <is>
          <t>VÄRMLANDS LÄN</t>
        </is>
      </c>
      <c r="E17807" t="inlineStr">
        <is>
          <t>KRISTINEHAMN</t>
        </is>
      </c>
      <c r="F17807" t="inlineStr">
        <is>
          <t>Kommuner</t>
        </is>
      </c>
      <c r="G17807" t="n">
        <v>0.6</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56885-2024</t>
        </is>
      </c>
      <c r="B17808" s="1" t="n">
        <v>45628</v>
      </c>
      <c r="C17808" s="1" t="n">
        <v>45810</v>
      </c>
      <c r="D17808" t="inlineStr">
        <is>
          <t>VÄRMLANDS LÄN</t>
        </is>
      </c>
      <c r="E17808" t="inlineStr">
        <is>
          <t>ÅRJÄNG</t>
        </is>
      </c>
      <c r="G17808" t="n">
        <v>3</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56897-2024</t>
        </is>
      </c>
      <c r="B17809" s="1" t="n">
        <v>45628</v>
      </c>
      <c r="C17809" s="1" t="n">
        <v>45810</v>
      </c>
      <c r="D17809" t="inlineStr">
        <is>
          <t>VÄRMLANDS LÄN</t>
        </is>
      </c>
      <c r="E17809" t="inlineStr">
        <is>
          <t>ÅRJÄNG</t>
        </is>
      </c>
      <c r="G17809" t="n">
        <v>2.9</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56918-2024</t>
        </is>
      </c>
      <c r="B17810" s="1" t="n">
        <v>45628</v>
      </c>
      <c r="C17810" s="1" t="n">
        <v>45810</v>
      </c>
      <c r="D17810" t="inlineStr">
        <is>
          <t>VÄRMLANDS LÄN</t>
        </is>
      </c>
      <c r="E17810" t="inlineStr">
        <is>
          <t>FILIPSTAD</t>
        </is>
      </c>
      <c r="G17810" t="n">
        <v>1.2</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56971-2024</t>
        </is>
      </c>
      <c r="B17811" s="1" t="n">
        <v>45628</v>
      </c>
      <c r="C17811" s="1" t="n">
        <v>45810</v>
      </c>
      <c r="D17811" t="inlineStr">
        <is>
          <t>VÄRMLANDS LÄN</t>
        </is>
      </c>
      <c r="E17811" t="inlineStr">
        <is>
          <t>EDA</t>
        </is>
      </c>
      <c r="G17811" t="n">
        <v>0.6</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56976-2024</t>
        </is>
      </c>
      <c r="B17812" s="1" t="n">
        <v>45628</v>
      </c>
      <c r="C17812" s="1" t="n">
        <v>45810</v>
      </c>
      <c r="D17812" t="inlineStr">
        <is>
          <t>VÄRMLANDS LÄN</t>
        </is>
      </c>
      <c r="E17812" t="inlineStr">
        <is>
          <t>ARVIKA</t>
        </is>
      </c>
      <c r="G17812" t="n">
        <v>1.3</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56999-2024</t>
        </is>
      </c>
      <c r="B17813" s="1" t="n">
        <v>45628</v>
      </c>
      <c r="C17813" s="1" t="n">
        <v>45810</v>
      </c>
      <c r="D17813" t="inlineStr">
        <is>
          <t>VÄRMLANDS LÄN</t>
        </is>
      </c>
      <c r="E17813" t="inlineStr">
        <is>
          <t>SÄFFLE</t>
        </is>
      </c>
      <c r="G17813" t="n">
        <v>1.5</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57161-2024</t>
        </is>
      </c>
      <c r="B17814" s="1" t="n">
        <v>45628</v>
      </c>
      <c r="C17814" s="1" t="n">
        <v>45810</v>
      </c>
      <c r="D17814" t="inlineStr">
        <is>
          <t>VÄRMLANDS LÄN</t>
        </is>
      </c>
      <c r="E17814" t="inlineStr">
        <is>
          <t>ÅRJÄNG</t>
        </is>
      </c>
      <c r="G17814" t="n">
        <v>0.9</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56917-2024</t>
        </is>
      </c>
      <c r="B17815" s="1" t="n">
        <v>45628</v>
      </c>
      <c r="C17815" s="1" t="n">
        <v>45810</v>
      </c>
      <c r="D17815" t="inlineStr">
        <is>
          <t>VÄRMLANDS LÄN</t>
        </is>
      </c>
      <c r="E17815" t="inlineStr">
        <is>
          <t>ÅRJÄNG</t>
        </is>
      </c>
      <c r="G17815" t="n">
        <v>2.5</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56940-2024</t>
        </is>
      </c>
      <c r="B17816" s="1" t="n">
        <v>45628</v>
      </c>
      <c r="C17816" s="1" t="n">
        <v>45810</v>
      </c>
      <c r="D17816" t="inlineStr">
        <is>
          <t>VÄRMLANDS LÄN</t>
        </is>
      </c>
      <c r="E17816" t="inlineStr">
        <is>
          <t>ÅRJÄNG</t>
        </is>
      </c>
      <c r="G17816" t="n">
        <v>3.1</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56946-2024</t>
        </is>
      </c>
      <c r="B17817" s="1" t="n">
        <v>45628</v>
      </c>
      <c r="C17817" s="1" t="n">
        <v>45810</v>
      </c>
      <c r="D17817" t="inlineStr">
        <is>
          <t>VÄRMLANDS LÄN</t>
        </is>
      </c>
      <c r="E17817" t="inlineStr">
        <is>
          <t>HAGFORS</t>
        </is>
      </c>
      <c r="F17817" t="inlineStr">
        <is>
          <t>Bergvik skog väst AB</t>
        </is>
      </c>
      <c r="G17817" t="n">
        <v>2.1</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57152-2024</t>
        </is>
      </c>
      <c r="B17818" s="1" t="n">
        <v>45628</v>
      </c>
      <c r="C17818" s="1" t="n">
        <v>45810</v>
      </c>
      <c r="D17818" t="inlineStr">
        <is>
          <t>VÄRMLANDS LÄN</t>
        </is>
      </c>
      <c r="E17818" t="inlineStr">
        <is>
          <t>ÅRJÄNG</t>
        </is>
      </c>
      <c r="G17818" t="n">
        <v>1.4</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57142-2024</t>
        </is>
      </c>
      <c r="B17819" s="1" t="n">
        <v>45628</v>
      </c>
      <c r="C17819" s="1" t="n">
        <v>45810</v>
      </c>
      <c r="D17819" t="inlineStr">
        <is>
          <t>VÄRMLANDS LÄN</t>
        </is>
      </c>
      <c r="E17819" t="inlineStr">
        <is>
          <t>ÅRJÄNG</t>
        </is>
      </c>
      <c r="G17819" t="n">
        <v>5.4</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57040-2024</t>
        </is>
      </c>
      <c r="B17820" s="1" t="n">
        <v>45629</v>
      </c>
      <c r="C17820" s="1" t="n">
        <v>45810</v>
      </c>
      <c r="D17820" t="inlineStr">
        <is>
          <t>VÄRMLANDS LÄN</t>
        </is>
      </c>
      <c r="E17820" t="inlineStr">
        <is>
          <t>HAGFORS</t>
        </is>
      </c>
      <c r="G17820" t="n">
        <v>6.7</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57038-2024</t>
        </is>
      </c>
      <c r="B17821" s="1" t="n">
        <v>45629</v>
      </c>
      <c r="C17821" s="1" t="n">
        <v>45810</v>
      </c>
      <c r="D17821" t="inlineStr">
        <is>
          <t>VÄRMLANDS LÄN</t>
        </is>
      </c>
      <c r="E17821" t="inlineStr">
        <is>
          <t>HAGFORS</t>
        </is>
      </c>
      <c r="G17821" t="n">
        <v>1.2</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57126-2024</t>
        </is>
      </c>
      <c r="B17822" s="1" t="n">
        <v>45629</v>
      </c>
      <c r="C17822" s="1" t="n">
        <v>45810</v>
      </c>
      <c r="D17822" t="inlineStr">
        <is>
          <t>VÄRMLANDS LÄN</t>
        </is>
      </c>
      <c r="E17822" t="inlineStr">
        <is>
          <t>ÅRJÄNG</t>
        </is>
      </c>
      <c r="G17822" t="n">
        <v>1.4</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57148-2024</t>
        </is>
      </c>
      <c r="B17823" s="1" t="n">
        <v>45629</v>
      </c>
      <c r="C17823" s="1" t="n">
        <v>45810</v>
      </c>
      <c r="D17823" t="inlineStr">
        <is>
          <t>VÄRMLANDS LÄN</t>
        </is>
      </c>
      <c r="E17823" t="inlineStr">
        <is>
          <t>KARLSTAD</t>
        </is>
      </c>
      <c r="G17823" t="n">
        <v>7.6</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57153-2024</t>
        </is>
      </c>
      <c r="B17824" s="1" t="n">
        <v>45629</v>
      </c>
      <c r="C17824" s="1" t="n">
        <v>45810</v>
      </c>
      <c r="D17824" t="inlineStr">
        <is>
          <t>VÄRMLANDS LÄN</t>
        </is>
      </c>
      <c r="E17824" t="inlineStr">
        <is>
          <t>KARLSTAD</t>
        </is>
      </c>
      <c r="G17824" t="n">
        <v>8.6</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57201-2024</t>
        </is>
      </c>
      <c r="B17825" s="1" t="n">
        <v>45629</v>
      </c>
      <c r="C17825" s="1" t="n">
        <v>45810</v>
      </c>
      <c r="D17825" t="inlineStr">
        <is>
          <t>VÄRMLANDS LÄN</t>
        </is>
      </c>
      <c r="E17825" t="inlineStr">
        <is>
          <t>ARVIKA</t>
        </is>
      </c>
      <c r="G17825" t="n">
        <v>1.5</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57205-2024</t>
        </is>
      </c>
      <c r="B17826" s="1" t="n">
        <v>45629</v>
      </c>
      <c r="C17826" s="1" t="n">
        <v>45810</v>
      </c>
      <c r="D17826" t="inlineStr">
        <is>
          <t>VÄRMLANDS LÄN</t>
        </is>
      </c>
      <c r="E17826" t="inlineStr">
        <is>
          <t>ARVIKA</t>
        </is>
      </c>
      <c r="G17826" t="n">
        <v>0.5</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57213-2024</t>
        </is>
      </c>
      <c r="B17827" s="1" t="n">
        <v>45629</v>
      </c>
      <c r="C17827" s="1" t="n">
        <v>45810</v>
      </c>
      <c r="D17827" t="inlineStr">
        <is>
          <t>VÄRMLANDS LÄN</t>
        </is>
      </c>
      <c r="E17827" t="inlineStr">
        <is>
          <t>ARVIKA</t>
        </is>
      </c>
      <c r="G17827" t="n">
        <v>1.3</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57329-2024</t>
        </is>
      </c>
      <c r="B17828" s="1" t="n">
        <v>45629</v>
      </c>
      <c r="C17828" s="1" t="n">
        <v>45810</v>
      </c>
      <c r="D17828" t="inlineStr">
        <is>
          <t>VÄRMLANDS LÄN</t>
        </is>
      </c>
      <c r="E17828" t="inlineStr">
        <is>
          <t>TORSBY</t>
        </is>
      </c>
      <c r="F17828" t="inlineStr">
        <is>
          <t>Kyrkan</t>
        </is>
      </c>
      <c r="G17828" t="n">
        <v>5.9</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57129-2024</t>
        </is>
      </c>
      <c r="B17829" s="1" t="n">
        <v>45629</v>
      </c>
      <c r="C17829" s="1" t="n">
        <v>45810</v>
      </c>
      <c r="D17829" t="inlineStr">
        <is>
          <t>VÄRMLANDS LÄN</t>
        </is>
      </c>
      <c r="E17829" t="inlineStr">
        <is>
          <t>KARLSTAD</t>
        </is>
      </c>
      <c r="G17829" t="n">
        <v>8.199999999999999</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57146-2024</t>
        </is>
      </c>
      <c r="B17830" s="1" t="n">
        <v>45629</v>
      </c>
      <c r="C17830" s="1" t="n">
        <v>45810</v>
      </c>
      <c r="D17830" t="inlineStr">
        <is>
          <t>VÄRMLANDS LÄN</t>
        </is>
      </c>
      <c r="E17830" t="inlineStr">
        <is>
          <t>KARLSTAD</t>
        </is>
      </c>
      <c r="G17830" t="n">
        <v>9.300000000000001</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57162-2024</t>
        </is>
      </c>
      <c r="B17831" s="1" t="n">
        <v>45629</v>
      </c>
      <c r="C17831" s="1" t="n">
        <v>45810</v>
      </c>
      <c r="D17831" t="inlineStr">
        <is>
          <t>VÄRMLANDS LÄN</t>
        </is>
      </c>
      <c r="E17831" t="inlineStr">
        <is>
          <t>HAGFORS</t>
        </is>
      </c>
      <c r="G17831" t="n">
        <v>1.2</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57190-2024</t>
        </is>
      </c>
      <c r="B17832" s="1" t="n">
        <v>45629</v>
      </c>
      <c r="C17832" s="1" t="n">
        <v>45810</v>
      </c>
      <c r="D17832" t="inlineStr">
        <is>
          <t>VÄRMLANDS LÄN</t>
        </is>
      </c>
      <c r="E17832" t="inlineStr">
        <is>
          <t>TORSBY</t>
        </is>
      </c>
      <c r="G17832" t="n">
        <v>0.8</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57208-2024</t>
        </is>
      </c>
      <c r="B17833" s="1" t="n">
        <v>45629</v>
      </c>
      <c r="C17833" s="1" t="n">
        <v>45810</v>
      </c>
      <c r="D17833" t="inlineStr">
        <is>
          <t>VÄRMLANDS LÄN</t>
        </is>
      </c>
      <c r="E17833" t="inlineStr">
        <is>
          <t>ARVIKA</t>
        </is>
      </c>
      <c r="G17833" t="n">
        <v>1.2</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57220-2024</t>
        </is>
      </c>
      <c r="B17834" s="1" t="n">
        <v>45629</v>
      </c>
      <c r="C17834" s="1" t="n">
        <v>45810</v>
      </c>
      <c r="D17834" t="inlineStr">
        <is>
          <t>VÄRMLANDS LÄN</t>
        </is>
      </c>
      <c r="E17834" t="inlineStr">
        <is>
          <t>KIL</t>
        </is>
      </c>
      <c r="G17834" t="n">
        <v>5.5</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57198-2024</t>
        </is>
      </c>
      <c r="B17835" s="1" t="n">
        <v>45629</v>
      </c>
      <c r="C17835" s="1" t="n">
        <v>45810</v>
      </c>
      <c r="D17835" t="inlineStr">
        <is>
          <t>VÄRMLANDS LÄN</t>
        </is>
      </c>
      <c r="E17835" t="inlineStr">
        <is>
          <t>KIL</t>
        </is>
      </c>
      <c r="G17835" t="n">
        <v>3.3</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57203-2024</t>
        </is>
      </c>
      <c r="B17836" s="1" t="n">
        <v>45629</v>
      </c>
      <c r="C17836" s="1" t="n">
        <v>45810</v>
      </c>
      <c r="D17836" t="inlineStr">
        <is>
          <t>VÄRMLANDS LÄN</t>
        </is>
      </c>
      <c r="E17836" t="inlineStr">
        <is>
          <t>ARVIKA</t>
        </is>
      </c>
      <c r="G17836" t="n">
        <v>0.9</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57211-2024</t>
        </is>
      </c>
      <c r="B17837" s="1" t="n">
        <v>45629</v>
      </c>
      <c r="C17837" s="1" t="n">
        <v>45810</v>
      </c>
      <c r="D17837" t="inlineStr">
        <is>
          <t>VÄRMLANDS LÄN</t>
        </is>
      </c>
      <c r="E17837" t="inlineStr">
        <is>
          <t>KIL</t>
        </is>
      </c>
      <c r="G17837" t="n">
        <v>4.3</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57219-2024</t>
        </is>
      </c>
      <c r="B17838" s="1" t="n">
        <v>45629</v>
      </c>
      <c r="C17838" s="1" t="n">
        <v>45810</v>
      </c>
      <c r="D17838" t="inlineStr">
        <is>
          <t>VÄRMLANDS LÄN</t>
        </is>
      </c>
      <c r="E17838" t="inlineStr">
        <is>
          <t>HAGFORS</t>
        </is>
      </c>
      <c r="G17838" t="n">
        <v>13.5</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57223-2024</t>
        </is>
      </c>
      <c r="B17839" s="1" t="n">
        <v>45629</v>
      </c>
      <c r="C17839" s="1" t="n">
        <v>45810</v>
      </c>
      <c r="D17839" t="inlineStr">
        <is>
          <t>VÄRMLANDS LÄN</t>
        </is>
      </c>
      <c r="E17839" t="inlineStr">
        <is>
          <t>HAGFORS</t>
        </is>
      </c>
      <c r="F17839" t="inlineStr">
        <is>
          <t>Bergvik skog väst AB</t>
        </is>
      </c>
      <c r="G17839" t="n">
        <v>7.2</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57323-2024</t>
        </is>
      </c>
      <c r="B17840" s="1" t="n">
        <v>45629</v>
      </c>
      <c r="C17840" s="1" t="n">
        <v>45810</v>
      </c>
      <c r="D17840" t="inlineStr">
        <is>
          <t>VÄRMLANDS LÄN</t>
        </is>
      </c>
      <c r="E17840" t="inlineStr">
        <is>
          <t>EDA</t>
        </is>
      </c>
      <c r="G17840" t="n">
        <v>3.8</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57355-2024</t>
        </is>
      </c>
      <c r="B17841" s="1" t="n">
        <v>45629</v>
      </c>
      <c r="C17841" s="1" t="n">
        <v>45810</v>
      </c>
      <c r="D17841" t="inlineStr">
        <is>
          <t>VÄRMLANDS LÄN</t>
        </is>
      </c>
      <c r="E17841" t="inlineStr">
        <is>
          <t>ARVIKA</t>
        </is>
      </c>
      <c r="G17841" t="n">
        <v>7</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57149-2024</t>
        </is>
      </c>
      <c r="B17842" s="1" t="n">
        <v>45629</v>
      </c>
      <c r="C17842" s="1" t="n">
        <v>45810</v>
      </c>
      <c r="D17842" t="inlineStr">
        <is>
          <t>VÄRMLANDS LÄN</t>
        </is>
      </c>
      <c r="E17842" t="inlineStr">
        <is>
          <t>KARLSTAD</t>
        </is>
      </c>
      <c r="G17842" t="n">
        <v>7.8</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57159-2024</t>
        </is>
      </c>
      <c r="B17843" s="1" t="n">
        <v>45629</v>
      </c>
      <c r="C17843" s="1" t="n">
        <v>45810</v>
      </c>
      <c r="D17843" t="inlineStr">
        <is>
          <t>VÄRMLANDS LÄN</t>
        </is>
      </c>
      <c r="E17843" t="inlineStr">
        <is>
          <t>HAGFORS</t>
        </is>
      </c>
      <c r="G17843" t="n">
        <v>1.9</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57257-2024</t>
        </is>
      </c>
      <c r="B17844" s="1" t="n">
        <v>45629</v>
      </c>
      <c r="C17844" s="1" t="n">
        <v>45810</v>
      </c>
      <c r="D17844" t="inlineStr">
        <is>
          <t>VÄRMLANDS LÄN</t>
        </is>
      </c>
      <c r="E17844" t="inlineStr">
        <is>
          <t>EDA</t>
        </is>
      </c>
      <c r="G17844" t="n">
        <v>1.2</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57314-2024</t>
        </is>
      </c>
      <c r="B17845" s="1" t="n">
        <v>45629</v>
      </c>
      <c r="C17845" s="1" t="n">
        <v>45810</v>
      </c>
      <c r="D17845" t="inlineStr">
        <is>
          <t>VÄRMLANDS LÄN</t>
        </is>
      </c>
      <c r="E17845" t="inlineStr">
        <is>
          <t>EDA</t>
        </is>
      </c>
      <c r="G17845" t="n">
        <v>3</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57322-2024</t>
        </is>
      </c>
      <c r="B17846" s="1" t="n">
        <v>45629</v>
      </c>
      <c r="C17846" s="1" t="n">
        <v>45810</v>
      </c>
      <c r="D17846" t="inlineStr">
        <is>
          <t>VÄRMLANDS LÄN</t>
        </is>
      </c>
      <c r="E17846" t="inlineStr">
        <is>
          <t>KARLSTAD</t>
        </is>
      </c>
      <c r="G17846" t="n">
        <v>1.3</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57346-2024</t>
        </is>
      </c>
      <c r="B17847" s="1" t="n">
        <v>45629</v>
      </c>
      <c r="C17847" s="1" t="n">
        <v>45810</v>
      </c>
      <c r="D17847" t="inlineStr">
        <is>
          <t>VÄRMLANDS LÄN</t>
        </is>
      </c>
      <c r="E17847" t="inlineStr">
        <is>
          <t>ARVIKA</t>
        </is>
      </c>
      <c r="G17847" t="n">
        <v>1.7</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57354-2024</t>
        </is>
      </c>
      <c r="B17848" s="1" t="n">
        <v>45629</v>
      </c>
      <c r="C17848" s="1" t="n">
        <v>45810</v>
      </c>
      <c r="D17848" t="inlineStr">
        <is>
          <t>VÄRMLANDS LÄN</t>
        </is>
      </c>
      <c r="E17848" t="inlineStr">
        <is>
          <t>EDA</t>
        </is>
      </c>
      <c r="F17848" t="inlineStr">
        <is>
          <t>Bergvik skog väst AB</t>
        </is>
      </c>
      <c r="G17848" t="n">
        <v>12.7</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57386-2024</t>
        </is>
      </c>
      <c r="B17849" s="1" t="n">
        <v>45629</v>
      </c>
      <c r="C17849" s="1" t="n">
        <v>45810</v>
      </c>
      <c r="D17849" t="inlineStr">
        <is>
          <t>VÄRMLANDS LÄN</t>
        </is>
      </c>
      <c r="E17849" t="inlineStr">
        <is>
          <t>KIL</t>
        </is>
      </c>
      <c r="G17849" t="n">
        <v>7.4</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57293-2024</t>
        </is>
      </c>
      <c r="B17850" s="1" t="n">
        <v>45629</v>
      </c>
      <c r="C17850" s="1" t="n">
        <v>45810</v>
      </c>
      <c r="D17850" t="inlineStr">
        <is>
          <t>VÄRMLANDS LÄN</t>
        </is>
      </c>
      <c r="E17850" t="inlineStr">
        <is>
          <t>EDA</t>
        </is>
      </c>
      <c r="G17850" t="n">
        <v>0.9</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57320-2024</t>
        </is>
      </c>
      <c r="B17851" s="1" t="n">
        <v>45629</v>
      </c>
      <c r="C17851" s="1" t="n">
        <v>45810</v>
      </c>
      <c r="D17851" t="inlineStr">
        <is>
          <t>VÄRMLANDS LÄN</t>
        </is>
      </c>
      <c r="E17851" t="inlineStr">
        <is>
          <t>HAGFORS</t>
        </is>
      </c>
      <c r="F17851" t="inlineStr">
        <is>
          <t>Bergvik skog väst AB</t>
        </is>
      </c>
      <c r="G17851" t="n">
        <v>16.6</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57348-2024</t>
        </is>
      </c>
      <c r="B17852" s="1" t="n">
        <v>45629</v>
      </c>
      <c r="C17852" s="1" t="n">
        <v>45810</v>
      </c>
      <c r="D17852" t="inlineStr">
        <is>
          <t>VÄRMLANDS LÄN</t>
        </is>
      </c>
      <c r="E17852" t="inlineStr">
        <is>
          <t>ARVIKA</t>
        </is>
      </c>
      <c r="G17852" t="n">
        <v>1.8</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57546-2024</t>
        </is>
      </c>
      <c r="B17853" s="1" t="n">
        <v>45629</v>
      </c>
      <c r="C17853" s="1" t="n">
        <v>45810</v>
      </c>
      <c r="D17853" t="inlineStr">
        <is>
          <t>VÄRMLANDS LÄN</t>
        </is>
      </c>
      <c r="E17853" t="inlineStr">
        <is>
          <t>ÅRJÄNG</t>
        </is>
      </c>
      <c r="G17853" t="n">
        <v>0.8</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57446-2024</t>
        </is>
      </c>
      <c r="B17854" s="1" t="n">
        <v>45629</v>
      </c>
      <c r="C17854" s="1" t="n">
        <v>45810</v>
      </c>
      <c r="D17854" t="inlineStr">
        <is>
          <t>VÄRMLANDS LÄN</t>
        </is>
      </c>
      <c r="E17854" t="inlineStr">
        <is>
          <t>FILIPSTAD</t>
        </is>
      </c>
      <c r="G17854" t="n">
        <v>2.4</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57455-2024</t>
        </is>
      </c>
      <c r="B17855" s="1" t="n">
        <v>45630</v>
      </c>
      <c r="C17855" s="1" t="n">
        <v>45810</v>
      </c>
      <c r="D17855" t="inlineStr">
        <is>
          <t>VÄRMLANDS LÄN</t>
        </is>
      </c>
      <c r="E17855" t="inlineStr">
        <is>
          <t>ARVIKA</t>
        </is>
      </c>
      <c r="G17855" t="n">
        <v>2.8</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57457-2024</t>
        </is>
      </c>
      <c r="B17856" s="1" t="n">
        <v>45630</v>
      </c>
      <c r="C17856" s="1" t="n">
        <v>45810</v>
      </c>
      <c r="D17856" t="inlineStr">
        <is>
          <t>VÄRMLANDS LÄN</t>
        </is>
      </c>
      <c r="E17856" t="inlineStr">
        <is>
          <t>ARVIKA</t>
        </is>
      </c>
      <c r="G17856" t="n">
        <v>2.2</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57469-2024</t>
        </is>
      </c>
      <c r="B17857" s="1" t="n">
        <v>45630</v>
      </c>
      <c r="C17857" s="1" t="n">
        <v>45810</v>
      </c>
      <c r="D17857" t="inlineStr">
        <is>
          <t>VÄRMLANDS LÄN</t>
        </is>
      </c>
      <c r="E17857" t="inlineStr">
        <is>
          <t>TORSBY</t>
        </is>
      </c>
      <c r="F17857" t="inlineStr">
        <is>
          <t>Bergvik skog väst AB</t>
        </is>
      </c>
      <c r="G17857" t="n">
        <v>12.8</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57481-2024</t>
        </is>
      </c>
      <c r="B17858" s="1" t="n">
        <v>45630</v>
      </c>
      <c r="C17858" s="1" t="n">
        <v>45810</v>
      </c>
      <c r="D17858" t="inlineStr">
        <is>
          <t>VÄRMLANDS LÄN</t>
        </is>
      </c>
      <c r="E17858" t="inlineStr">
        <is>
          <t>TORSBY</t>
        </is>
      </c>
      <c r="G17858" t="n">
        <v>0.6</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57517-2024</t>
        </is>
      </c>
      <c r="B17859" s="1" t="n">
        <v>45630</v>
      </c>
      <c r="C17859" s="1" t="n">
        <v>45810</v>
      </c>
      <c r="D17859" t="inlineStr">
        <is>
          <t>VÄRMLANDS LÄN</t>
        </is>
      </c>
      <c r="E17859" t="inlineStr">
        <is>
          <t>SÄFFLE</t>
        </is>
      </c>
      <c r="G17859" t="n">
        <v>4.2</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57531-2024</t>
        </is>
      </c>
      <c r="B17860" s="1" t="n">
        <v>45630</v>
      </c>
      <c r="C17860" s="1" t="n">
        <v>45810</v>
      </c>
      <c r="D17860" t="inlineStr">
        <is>
          <t>VÄRMLANDS LÄN</t>
        </is>
      </c>
      <c r="E17860" t="inlineStr">
        <is>
          <t>FILIPSTAD</t>
        </is>
      </c>
      <c r="F17860" t="inlineStr">
        <is>
          <t>Bergvik skog väst AB</t>
        </is>
      </c>
      <c r="G17860" t="n">
        <v>0.9</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57548-2024</t>
        </is>
      </c>
      <c r="B17861" s="1" t="n">
        <v>45630</v>
      </c>
      <c r="C17861" s="1" t="n">
        <v>45810</v>
      </c>
      <c r="D17861" t="inlineStr">
        <is>
          <t>VÄRMLANDS LÄN</t>
        </is>
      </c>
      <c r="E17861" t="inlineStr">
        <is>
          <t>KARLSTAD</t>
        </is>
      </c>
      <c r="G17861" t="n">
        <v>3.6</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57503-2024</t>
        </is>
      </c>
      <c r="B17862" s="1" t="n">
        <v>45630</v>
      </c>
      <c r="C17862" s="1" t="n">
        <v>45810</v>
      </c>
      <c r="D17862" t="inlineStr">
        <is>
          <t>VÄRMLANDS LÄN</t>
        </is>
      </c>
      <c r="E17862" t="inlineStr">
        <is>
          <t>KARLSTAD</t>
        </is>
      </c>
      <c r="G17862" t="n">
        <v>2</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57460-2024</t>
        </is>
      </c>
      <c r="B17863" s="1" t="n">
        <v>45630</v>
      </c>
      <c r="C17863" s="1" t="n">
        <v>45810</v>
      </c>
      <c r="D17863" t="inlineStr">
        <is>
          <t>VÄRMLANDS LÄN</t>
        </is>
      </c>
      <c r="E17863" t="inlineStr">
        <is>
          <t>FILIPSTAD</t>
        </is>
      </c>
      <c r="F17863" t="inlineStr">
        <is>
          <t>Bergvik skog väst AB</t>
        </is>
      </c>
      <c r="G17863" t="n">
        <v>0.9</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57502-2024</t>
        </is>
      </c>
      <c r="B17864" s="1" t="n">
        <v>45630</v>
      </c>
      <c r="C17864" s="1" t="n">
        <v>45810</v>
      </c>
      <c r="D17864" t="inlineStr">
        <is>
          <t>VÄRMLANDS LÄN</t>
        </is>
      </c>
      <c r="E17864" t="inlineStr">
        <is>
          <t>TORSBY</t>
        </is>
      </c>
      <c r="G17864" t="n">
        <v>8.199999999999999</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57532-2024</t>
        </is>
      </c>
      <c r="B17865" s="1" t="n">
        <v>45630</v>
      </c>
      <c r="C17865" s="1" t="n">
        <v>45810</v>
      </c>
      <c r="D17865" t="inlineStr">
        <is>
          <t>VÄRMLANDS LÄN</t>
        </is>
      </c>
      <c r="E17865" t="inlineStr">
        <is>
          <t>TORSBY</t>
        </is>
      </c>
      <c r="G17865" t="n">
        <v>1</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57536-2024</t>
        </is>
      </c>
      <c r="B17866" s="1" t="n">
        <v>45630</v>
      </c>
      <c r="C17866" s="1" t="n">
        <v>45810</v>
      </c>
      <c r="D17866" t="inlineStr">
        <is>
          <t>VÄRMLANDS LÄN</t>
        </is>
      </c>
      <c r="E17866" t="inlineStr">
        <is>
          <t>TORSBY</t>
        </is>
      </c>
      <c r="G17866" t="n">
        <v>2.6</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57544-2024</t>
        </is>
      </c>
      <c r="B17867" s="1" t="n">
        <v>45630</v>
      </c>
      <c r="C17867" s="1" t="n">
        <v>45810</v>
      </c>
      <c r="D17867" t="inlineStr">
        <is>
          <t>VÄRMLANDS LÄN</t>
        </is>
      </c>
      <c r="E17867" t="inlineStr">
        <is>
          <t>FILIPSTAD</t>
        </is>
      </c>
      <c r="F17867" t="inlineStr">
        <is>
          <t>Bergvik skog väst AB</t>
        </is>
      </c>
      <c r="G17867" t="n">
        <v>3.5</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57593-2024</t>
        </is>
      </c>
      <c r="B17868" s="1" t="n">
        <v>45630</v>
      </c>
      <c r="C17868" s="1" t="n">
        <v>45810</v>
      </c>
      <c r="D17868" t="inlineStr">
        <is>
          <t>VÄRMLANDS LÄN</t>
        </is>
      </c>
      <c r="E17868" t="inlineStr">
        <is>
          <t>HAGFORS</t>
        </is>
      </c>
      <c r="F17868" t="inlineStr">
        <is>
          <t>Bergvik skog väst AB</t>
        </is>
      </c>
      <c r="G17868" t="n">
        <v>4.4</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57651-2024</t>
        </is>
      </c>
      <c r="B17869" s="1" t="n">
        <v>45630</v>
      </c>
      <c r="C17869" s="1" t="n">
        <v>45810</v>
      </c>
      <c r="D17869" t="inlineStr">
        <is>
          <t>VÄRMLANDS LÄN</t>
        </is>
      </c>
      <c r="E17869" t="inlineStr">
        <is>
          <t>ÅRJÄNG</t>
        </is>
      </c>
      <c r="G17869" t="n">
        <v>1.6</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57722-2024</t>
        </is>
      </c>
      <c r="B17870" s="1" t="n">
        <v>45630</v>
      </c>
      <c r="C17870" s="1" t="n">
        <v>45810</v>
      </c>
      <c r="D17870" t="inlineStr">
        <is>
          <t>VÄRMLANDS LÄN</t>
        </is>
      </c>
      <c r="E17870" t="inlineStr">
        <is>
          <t>TORSBY</t>
        </is>
      </c>
      <c r="G17870" t="n">
        <v>0.8</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57738-2024</t>
        </is>
      </c>
      <c r="B17871" s="1" t="n">
        <v>45630</v>
      </c>
      <c r="C17871" s="1" t="n">
        <v>45810</v>
      </c>
      <c r="D17871" t="inlineStr">
        <is>
          <t>VÄRMLANDS LÄN</t>
        </is>
      </c>
      <c r="E17871" t="inlineStr">
        <is>
          <t>SÄFFLE</t>
        </is>
      </c>
      <c r="F17871" t="inlineStr">
        <is>
          <t>Kyrkan</t>
        </is>
      </c>
      <c r="G17871" t="n">
        <v>2.7</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57564-2024</t>
        </is>
      </c>
      <c r="B17872" s="1" t="n">
        <v>45630</v>
      </c>
      <c r="C17872" s="1" t="n">
        <v>45810</v>
      </c>
      <c r="D17872" t="inlineStr">
        <is>
          <t>VÄRMLANDS LÄN</t>
        </is>
      </c>
      <c r="E17872" t="inlineStr">
        <is>
          <t>SÄFFLE</t>
        </is>
      </c>
      <c r="G17872" t="n">
        <v>9.6</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57620-2024</t>
        </is>
      </c>
      <c r="B17873" s="1" t="n">
        <v>45630</v>
      </c>
      <c r="C17873" s="1" t="n">
        <v>45810</v>
      </c>
      <c r="D17873" t="inlineStr">
        <is>
          <t>VÄRMLANDS LÄN</t>
        </is>
      </c>
      <c r="E17873" t="inlineStr">
        <is>
          <t>ARVIKA</t>
        </is>
      </c>
      <c r="F17873" t="inlineStr">
        <is>
          <t>Bergvik skog väst AB</t>
        </is>
      </c>
      <c r="G17873" t="n">
        <v>4.5</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57624-2024</t>
        </is>
      </c>
      <c r="B17874" s="1" t="n">
        <v>45630</v>
      </c>
      <c r="C17874" s="1" t="n">
        <v>45810</v>
      </c>
      <c r="D17874" t="inlineStr">
        <is>
          <t>VÄRMLANDS LÄN</t>
        </is>
      </c>
      <c r="E17874" t="inlineStr">
        <is>
          <t>EDA</t>
        </is>
      </c>
      <c r="G17874" t="n">
        <v>2</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57662-2024</t>
        </is>
      </c>
      <c r="B17875" s="1" t="n">
        <v>45630</v>
      </c>
      <c r="C17875" s="1" t="n">
        <v>45810</v>
      </c>
      <c r="D17875" t="inlineStr">
        <is>
          <t>VÄRMLANDS LÄN</t>
        </is>
      </c>
      <c r="E17875" t="inlineStr">
        <is>
          <t>TORSBY</t>
        </is>
      </c>
      <c r="G17875" t="n">
        <v>2.2</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57666-2024</t>
        </is>
      </c>
      <c r="B17876" s="1" t="n">
        <v>45630</v>
      </c>
      <c r="C17876" s="1" t="n">
        <v>45810</v>
      </c>
      <c r="D17876" t="inlineStr">
        <is>
          <t>VÄRMLANDS LÄN</t>
        </is>
      </c>
      <c r="E17876" t="inlineStr">
        <is>
          <t>SUNNE</t>
        </is>
      </c>
      <c r="F17876" t="inlineStr">
        <is>
          <t>Kyrkan</t>
        </is>
      </c>
      <c r="G17876" t="n">
        <v>7.5</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57678-2024</t>
        </is>
      </c>
      <c r="B17877" s="1" t="n">
        <v>45630</v>
      </c>
      <c r="C17877" s="1" t="n">
        <v>45810</v>
      </c>
      <c r="D17877" t="inlineStr">
        <is>
          <t>VÄRMLANDS LÄN</t>
        </is>
      </c>
      <c r="E17877" t="inlineStr">
        <is>
          <t>SUNNE</t>
        </is>
      </c>
      <c r="F17877" t="inlineStr">
        <is>
          <t>Kyrkan</t>
        </is>
      </c>
      <c r="G17877" t="n">
        <v>3.3</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57682-2024</t>
        </is>
      </c>
      <c r="B17878" s="1" t="n">
        <v>45630</v>
      </c>
      <c r="C17878" s="1" t="n">
        <v>45810</v>
      </c>
      <c r="D17878" t="inlineStr">
        <is>
          <t>VÄRMLANDS LÄN</t>
        </is>
      </c>
      <c r="E17878" t="inlineStr">
        <is>
          <t>EDA</t>
        </is>
      </c>
      <c r="G17878" t="n">
        <v>5.7</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57709-2024</t>
        </is>
      </c>
      <c r="B17879" s="1" t="n">
        <v>45630</v>
      </c>
      <c r="C17879" s="1" t="n">
        <v>45810</v>
      </c>
      <c r="D17879" t="inlineStr">
        <is>
          <t>VÄRMLANDS LÄN</t>
        </is>
      </c>
      <c r="E17879" t="inlineStr">
        <is>
          <t>TORSBY</t>
        </is>
      </c>
      <c r="G17879" t="n">
        <v>2.2</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57725-2024</t>
        </is>
      </c>
      <c r="B17880" s="1" t="n">
        <v>45630</v>
      </c>
      <c r="C17880" s="1" t="n">
        <v>45810</v>
      </c>
      <c r="D17880" t="inlineStr">
        <is>
          <t>VÄRMLANDS LÄN</t>
        </is>
      </c>
      <c r="E17880" t="inlineStr">
        <is>
          <t>TORSBY</t>
        </is>
      </c>
      <c r="G17880" t="n">
        <v>4.7</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57541-2024</t>
        </is>
      </c>
      <c r="B17881" s="1" t="n">
        <v>45630</v>
      </c>
      <c r="C17881" s="1" t="n">
        <v>45810</v>
      </c>
      <c r="D17881" t="inlineStr">
        <is>
          <t>VÄRMLANDS LÄN</t>
        </is>
      </c>
      <c r="E17881" t="inlineStr">
        <is>
          <t>KARLSTAD</t>
        </is>
      </c>
      <c r="G17881" t="n">
        <v>1.9</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57545-2024</t>
        </is>
      </c>
      <c r="B17882" s="1" t="n">
        <v>45630</v>
      </c>
      <c r="C17882" s="1" t="n">
        <v>45810</v>
      </c>
      <c r="D17882" t="inlineStr">
        <is>
          <t>VÄRMLANDS LÄN</t>
        </is>
      </c>
      <c r="E17882" t="inlineStr">
        <is>
          <t>TORSBY</t>
        </is>
      </c>
      <c r="G17882" t="n">
        <v>1.4</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57554-2024</t>
        </is>
      </c>
      <c r="B17883" s="1" t="n">
        <v>45630</v>
      </c>
      <c r="C17883" s="1" t="n">
        <v>45810</v>
      </c>
      <c r="D17883" t="inlineStr">
        <is>
          <t>VÄRMLANDS LÄN</t>
        </is>
      </c>
      <c r="E17883" t="inlineStr">
        <is>
          <t>ARVIKA</t>
        </is>
      </c>
      <c r="F17883" t="inlineStr">
        <is>
          <t>Bergvik skog väst AB</t>
        </is>
      </c>
      <c r="G17883" t="n">
        <v>5.3</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57482-2024</t>
        </is>
      </c>
      <c r="B17884" s="1" t="n">
        <v>45630</v>
      </c>
      <c r="C17884" s="1" t="n">
        <v>45810</v>
      </c>
      <c r="D17884" t="inlineStr">
        <is>
          <t>VÄRMLANDS LÄN</t>
        </is>
      </c>
      <c r="E17884" t="inlineStr">
        <is>
          <t>FILIPSTAD</t>
        </is>
      </c>
      <c r="F17884" t="inlineStr">
        <is>
          <t>Bergvik skog väst AB</t>
        </is>
      </c>
      <c r="G17884" t="n">
        <v>1.8</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57723-2024</t>
        </is>
      </c>
      <c r="B17885" s="1" t="n">
        <v>45630</v>
      </c>
      <c r="C17885" s="1" t="n">
        <v>45810</v>
      </c>
      <c r="D17885" t="inlineStr">
        <is>
          <t>VÄRMLANDS LÄN</t>
        </is>
      </c>
      <c r="E17885" t="inlineStr">
        <is>
          <t>TORSBY</t>
        </is>
      </c>
      <c r="G17885" t="n">
        <v>2.4</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57587-2024</t>
        </is>
      </c>
      <c r="B17886" s="1" t="n">
        <v>45630</v>
      </c>
      <c r="C17886" s="1" t="n">
        <v>45810</v>
      </c>
      <c r="D17886" t="inlineStr">
        <is>
          <t>VÄRMLANDS LÄN</t>
        </is>
      </c>
      <c r="E17886" t="inlineStr">
        <is>
          <t>KARLSTAD</t>
        </is>
      </c>
      <c r="G17886" t="n">
        <v>2.6</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57607-2024</t>
        </is>
      </c>
      <c r="B17887" s="1" t="n">
        <v>45630</v>
      </c>
      <c r="C17887" s="1" t="n">
        <v>45810</v>
      </c>
      <c r="D17887" t="inlineStr">
        <is>
          <t>VÄRMLANDS LÄN</t>
        </is>
      </c>
      <c r="E17887" t="inlineStr">
        <is>
          <t>KARLSTAD</t>
        </is>
      </c>
      <c r="G17887" t="n">
        <v>1.4</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57611-2024</t>
        </is>
      </c>
      <c r="B17888" s="1" t="n">
        <v>45630</v>
      </c>
      <c r="C17888" s="1" t="n">
        <v>45810</v>
      </c>
      <c r="D17888" t="inlineStr">
        <is>
          <t>VÄRMLANDS LÄN</t>
        </is>
      </c>
      <c r="E17888" t="inlineStr">
        <is>
          <t>KARLSTAD</t>
        </is>
      </c>
      <c r="G17888" t="n">
        <v>2.2</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57708-2024</t>
        </is>
      </c>
      <c r="B17889" s="1" t="n">
        <v>45630</v>
      </c>
      <c r="C17889" s="1" t="n">
        <v>45810</v>
      </c>
      <c r="D17889" t="inlineStr">
        <is>
          <t>VÄRMLANDS LÄN</t>
        </is>
      </c>
      <c r="E17889" t="inlineStr">
        <is>
          <t>ÅRJÄNG</t>
        </is>
      </c>
      <c r="G17889" t="n">
        <v>2</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57750-2024</t>
        </is>
      </c>
      <c r="B17890" s="1" t="n">
        <v>45630</v>
      </c>
      <c r="C17890" s="1" t="n">
        <v>45810</v>
      </c>
      <c r="D17890" t="inlineStr">
        <is>
          <t>VÄRMLANDS LÄN</t>
        </is>
      </c>
      <c r="E17890" t="inlineStr">
        <is>
          <t>ARVIKA</t>
        </is>
      </c>
      <c r="G17890" t="n">
        <v>1.3</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57774-2024</t>
        </is>
      </c>
      <c r="B17891" s="1" t="n">
        <v>45630</v>
      </c>
      <c r="C17891" s="1" t="n">
        <v>45810</v>
      </c>
      <c r="D17891" t="inlineStr">
        <is>
          <t>VÄRMLANDS LÄN</t>
        </is>
      </c>
      <c r="E17891" t="inlineStr">
        <is>
          <t>TORSBY</t>
        </is>
      </c>
      <c r="G17891" t="n">
        <v>3.2</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57785-2024</t>
        </is>
      </c>
      <c r="B17892" s="1" t="n">
        <v>45631</v>
      </c>
      <c r="C17892" s="1" t="n">
        <v>45810</v>
      </c>
      <c r="D17892" t="inlineStr">
        <is>
          <t>VÄRMLANDS LÄN</t>
        </is>
      </c>
      <c r="E17892" t="inlineStr">
        <is>
          <t>TORSBY</t>
        </is>
      </c>
      <c r="F17892" t="inlineStr">
        <is>
          <t>Bergvik skog väst AB</t>
        </is>
      </c>
      <c r="G17892" t="n">
        <v>10.9</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57809-2024</t>
        </is>
      </c>
      <c r="B17893" s="1" t="n">
        <v>45631</v>
      </c>
      <c r="C17893" s="1" t="n">
        <v>45810</v>
      </c>
      <c r="D17893" t="inlineStr">
        <is>
          <t>VÄRMLANDS LÄN</t>
        </is>
      </c>
      <c r="E17893" t="inlineStr">
        <is>
          <t>TORSBY</t>
        </is>
      </c>
      <c r="F17893" t="inlineStr">
        <is>
          <t>Bergvik skog väst AB</t>
        </is>
      </c>
      <c r="G17893" t="n">
        <v>10.9</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57788-2024</t>
        </is>
      </c>
      <c r="B17894" s="1" t="n">
        <v>45631</v>
      </c>
      <c r="C17894" s="1" t="n">
        <v>45810</v>
      </c>
      <c r="D17894" t="inlineStr">
        <is>
          <t>VÄRMLANDS LÄN</t>
        </is>
      </c>
      <c r="E17894" t="inlineStr">
        <is>
          <t>HAGFORS</t>
        </is>
      </c>
      <c r="G17894" t="n">
        <v>3.3</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57786-2024</t>
        </is>
      </c>
      <c r="B17895" s="1" t="n">
        <v>45631</v>
      </c>
      <c r="C17895" s="1" t="n">
        <v>45810</v>
      </c>
      <c r="D17895" t="inlineStr">
        <is>
          <t>VÄRMLANDS LÄN</t>
        </is>
      </c>
      <c r="E17895" t="inlineStr">
        <is>
          <t>KIL</t>
        </is>
      </c>
      <c r="G17895" t="n">
        <v>1.5</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57926-2024</t>
        </is>
      </c>
      <c r="B17896" s="1" t="n">
        <v>45631</v>
      </c>
      <c r="C17896" s="1" t="n">
        <v>45810</v>
      </c>
      <c r="D17896" t="inlineStr">
        <is>
          <t>VÄRMLANDS LÄN</t>
        </is>
      </c>
      <c r="E17896" t="inlineStr">
        <is>
          <t>STORFORS</t>
        </is>
      </c>
      <c r="F17896" t="inlineStr">
        <is>
          <t>Kyrkan</t>
        </is>
      </c>
      <c r="G17896" t="n">
        <v>3.1</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57997-2024</t>
        </is>
      </c>
      <c r="B17897" s="1" t="n">
        <v>45631</v>
      </c>
      <c r="C17897" s="1" t="n">
        <v>45810</v>
      </c>
      <c r="D17897" t="inlineStr">
        <is>
          <t>VÄRMLANDS LÄN</t>
        </is>
      </c>
      <c r="E17897" t="inlineStr">
        <is>
          <t>ÅRJÄNG</t>
        </is>
      </c>
      <c r="G17897" t="n">
        <v>3.3</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57873-2024</t>
        </is>
      </c>
      <c r="B17898" s="1" t="n">
        <v>45631</v>
      </c>
      <c r="C17898" s="1" t="n">
        <v>45810</v>
      </c>
      <c r="D17898" t="inlineStr">
        <is>
          <t>VÄRMLANDS LÄN</t>
        </is>
      </c>
      <c r="E17898" t="inlineStr">
        <is>
          <t>SÄFFLE</t>
        </is>
      </c>
      <c r="G17898" t="n">
        <v>0.5</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57912-2024</t>
        </is>
      </c>
      <c r="B17899" s="1" t="n">
        <v>45631</v>
      </c>
      <c r="C17899" s="1" t="n">
        <v>45810</v>
      </c>
      <c r="D17899" t="inlineStr">
        <is>
          <t>VÄRMLANDS LÄN</t>
        </is>
      </c>
      <c r="E17899" t="inlineStr">
        <is>
          <t>EDA</t>
        </is>
      </c>
      <c r="G17899" t="n">
        <v>1.2</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57885-2024</t>
        </is>
      </c>
      <c r="B17900" s="1" t="n">
        <v>45631</v>
      </c>
      <c r="C17900" s="1" t="n">
        <v>45810</v>
      </c>
      <c r="D17900" t="inlineStr">
        <is>
          <t>VÄRMLANDS LÄN</t>
        </is>
      </c>
      <c r="E17900" t="inlineStr">
        <is>
          <t>SÄFFLE</t>
        </is>
      </c>
      <c r="G17900" t="n">
        <v>0.8</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57902-2024</t>
        </is>
      </c>
      <c r="B17901" s="1" t="n">
        <v>45631</v>
      </c>
      <c r="C17901" s="1" t="n">
        <v>45810</v>
      </c>
      <c r="D17901" t="inlineStr">
        <is>
          <t>VÄRMLANDS LÄN</t>
        </is>
      </c>
      <c r="E17901" t="inlineStr">
        <is>
          <t>SÄFFLE</t>
        </is>
      </c>
      <c r="G17901" t="n">
        <v>1.6</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57966-2024</t>
        </is>
      </c>
      <c r="B17902" s="1" t="n">
        <v>45631</v>
      </c>
      <c r="C17902" s="1" t="n">
        <v>45810</v>
      </c>
      <c r="D17902" t="inlineStr">
        <is>
          <t>VÄRMLANDS LÄN</t>
        </is>
      </c>
      <c r="E17902" t="inlineStr">
        <is>
          <t>EDA</t>
        </is>
      </c>
      <c r="G17902" t="n">
        <v>3.6</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58020-2024</t>
        </is>
      </c>
      <c r="B17903" s="1" t="n">
        <v>45631</v>
      </c>
      <c r="C17903" s="1" t="n">
        <v>45810</v>
      </c>
      <c r="D17903" t="inlineStr">
        <is>
          <t>VÄRMLANDS LÄN</t>
        </is>
      </c>
      <c r="E17903" t="inlineStr">
        <is>
          <t>SÄFFLE</t>
        </is>
      </c>
      <c r="G17903" t="n">
        <v>0.6</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58024-2024</t>
        </is>
      </c>
      <c r="B17904" s="1" t="n">
        <v>45631</v>
      </c>
      <c r="C17904" s="1" t="n">
        <v>45810</v>
      </c>
      <c r="D17904" t="inlineStr">
        <is>
          <t>VÄRMLANDS LÄN</t>
        </is>
      </c>
      <c r="E17904" t="inlineStr">
        <is>
          <t>SÄFFLE</t>
        </is>
      </c>
      <c r="G17904" t="n">
        <v>1.3</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58002-2024</t>
        </is>
      </c>
      <c r="B17905" s="1" t="n">
        <v>45631</v>
      </c>
      <c r="C17905" s="1" t="n">
        <v>45810</v>
      </c>
      <c r="D17905" t="inlineStr">
        <is>
          <t>VÄRMLANDS LÄN</t>
        </is>
      </c>
      <c r="E17905" t="inlineStr">
        <is>
          <t>ARVIKA</t>
        </is>
      </c>
      <c r="G17905" t="n">
        <v>3.7</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58050-2024</t>
        </is>
      </c>
      <c r="B17906" s="1" t="n">
        <v>45631</v>
      </c>
      <c r="C17906" s="1" t="n">
        <v>45810</v>
      </c>
      <c r="D17906" t="inlineStr">
        <is>
          <t>VÄRMLANDS LÄN</t>
        </is>
      </c>
      <c r="E17906" t="inlineStr">
        <is>
          <t>MUNKFORS</t>
        </is>
      </c>
      <c r="G17906" t="n">
        <v>0.7</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58058-2024</t>
        </is>
      </c>
      <c r="B17907" s="1" t="n">
        <v>45631</v>
      </c>
      <c r="C17907" s="1" t="n">
        <v>45810</v>
      </c>
      <c r="D17907" t="inlineStr">
        <is>
          <t>VÄRMLANDS LÄN</t>
        </is>
      </c>
      <c r="E17907" t="inlineStr">
        <is>
          <t>ARVIKA</t>
        </is>
      </c>
      <c r="G17907" t="n">
        <v>2</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58033-2024</t>
        </is>
      </c>
      <c r="B17908" s="1" t="n">
        <v>45631</v>
      </c>
      <c r="C17908" s="1" t="n">
        <v>45810</v>
      </c>
      <c r="D17908" t="inlineStr">
        <is>
          <t>VÄRMLANDS LÄN</t>
        </is>
      </c>
      <c r="E17908" t="inlineStr">
        <is>
          <t>TORSBY</t>
        </is>
      </c>
      <c r="G17908" t="n">
        <v>3.7</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58049-2024</t>
        </is>
      </c>
      <c r="B17909" s="1" t="n">
        <v>45631</v>
      </c>
      <c r="C17909" s="1" t="n">
        <v>45810</v>
      </c>
      <c r="D17909" t="inlineStr">
        <is>
          <t>VÄRMLANDS LÄN</t>
        </is>
      </c>
      <c r="E17909" t="inlineStr">
        <is>
          <t>MUNKFORS</t>
        </is>
      </c>
      <c r="G17909" t="n">
        <v>3.2</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58057-2024</t>
        </is>
      </c>
      <c r="B17910" s="1" t="n">
        <v>45631</v>
      </c>
      <c r="C17910" s="1" t="n">
        <v>45810</v>
      </c>
      <c r="D17910" t="inlineStr">
        <is>
          <t>VÄRMLANDS LÄN</t>
        </is>
      </c>
      <c r="E17910" t="inlineStr">
        <is>
          <t>ÅRJÄNG</t>
        </is>
      </c>
      <c r="G17910" t="n">
        <v>1</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58023-2024</t>
        </is>
      </c>
      <c r="B17911" s="1" t="n">
        <v>45631</v>
      </c>
      <c r="C17911" s="1" t="n">
        <v>45810</v>
      </c>
      <c r="D17911" t="inlineStr">
        <is>
          <t>VÄRMLANDS LÄN</t>
        </is>
      </c>
      <c r="E17911" t="inlineStr">
        <is>
          <t>TORSBY</t>
        </is>
      </c>
      <c r="G17911" t="n">
        <v>17</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58051-2024</t>
        </is>
      </c>
      <c r="B17912" s="1" t="n">
        <v>45631</v>
      </c>
      <c r="C17912" s="1" t="n">
        <v>45810</v>
      </c>
      <c r="D17912" t="inlineStr">
        <is>
          <t>VÄRMLANDS LÄN</t>
        </is>
      </c>
      <c r="E17912" t="inlineStr">
        <is>
          <t>TORSBY</t>
        </is>
      </c>
      <c r="G17912" t="n">
        <v>0.9</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58059-2024</t>
        </is>
      </c>
      <c r="B17913" s="1" t="n">
        <v>45631</v>
      </c>
      <c r="C17913" s="1" t="n">
        <v>45810</v>
      </c>
      <c r="D17913" t="inlineStr">
        <is>
          <t>VÄRMLANDS LÄN</t>
        </is>
      </c>
      <c r="E17913" t="inlineStr">
        <is>
          <t>ARVIKA</t>
        </is>
      </c>
      <c r="G17913" t="n">
        <v>3.3</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58067-2024</t>
        </is>
      </c>
      <c r="B17914" s="1" t="n">
        <v>45631</v>
      </c>
      <c r="C17914" s="1" t="n">
        <v>45810</v>
      </c>
      <c r="D17914" t="inlineStr">
        <is>
          <t>VÄRMLANDS LÄN</t>
        </is>
      </c>
      <c r="E17914" t="inlineStr">
        <is>
          <t>SÄFFLE</t>
        </is>
      </c>
      <c r="G17914" t="n">
        <v>0.3</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58294-2024</t>
        </is>
      </c>
      <c r="B17915" s="1" t="n">
        <v>45631</v>
      </c>
      <c r="C17915" s="1" t="n">
        <v>45810</v>
      </c>
      <c r="D17915" t="inlineStr">
        <is>
          <t>VÄRMLANDS LÄN</t>
        </is>
      </c>
      <c r="E17915" t="inlineStr">
        <is>
          <t>KRISTINEHAMN</t>
        </is>
      </c>
      <c r="G17915" t="n">
        <v>1.3</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58062-2024</t>
        </is>
      </c>
      <c r="B17916" s="1" t="n">
        <v>45631</v>
      </c>
      <c r="C17916" s="1" t="n">
        <v>45810</v>
      </c>
      <c r="D17916" t="inlineStr">
        <is>
          <t>VÄRMLANDS LÄN</t>
        </is>
      </c>
      <c r="E17916" t="inlineStr">
        <is>
          <t>ARVIKA</t>
        </is>
      </c>
      <c r="G17916" t="n">
        <v>1.5</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58066-2024</t>
        </is>
      </c>
      <c r="B17917" s="1" t="n">
        <v>45631</v>
      </c>
      <c r="C17917" s="1" t="n">
        <v>45810</v>
      </c>
      <c r="D17917" t="inlineStr">
        <is>
          <t>VÄRMLANDS LÄN</t>
        </is>
      </c>
      <c r="E17917" t="inlineStr">
        <is>
          <t>ARVIKA</t>
        </is>
      </c>
      <c r="G17917" t="n">
        <v>3.3</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58284-2024</t>
        </is>
      </c>
      <c r="B17918" s="1" t="n">
        <v>45631</v>
      </c>
      <c r="C17918" s="1" t="n">
        <v>45810</v>
      </c>
      <c r="D17918" t="inlineStr">
        <is>
          <t>VÄRMLANDS LÄN</t>
        </is>
      </c>
      <c r="E17918" t="inlineStr">
        <is>
          <t>KRISTINEHAMN</t>
        </is>
      </c>
      <c r="G17918" t="n">
        <v>1.1</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58060-2024</t>
        </is>
      </c>
      <c r="B17919" s="1" t="n">
        <v>45631</v>
      </c>
      <c r="C17919" s="1" t="n">
        <v>45810</v>
      </c>
      <c r="D17919" t="inlineStr">
        <is>
          <t>VÄRMLANDS LÄN</t>
        </is>
      </c>
      <c r="E17919" t="inlineStr">
        <is>
          <t>ARVIKA</t>
        </is>
      </c>
      <c r="G17919" t="n">
        <v>1</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58064-2024</t>
        </is>
      </c>
      <c r="B17920" s="1" t="n">
        <v>45631</v>
      </c>
      <c r="C17920" s="1" t="n">
        <v>45810</v>
      </c>
      <c r="D17920" t="inlineStr">
        <is>
          <t>VÄRMLANDS LÄN</t>
        </is>
      </c>
      <c r="E17920" t="inlineStr">
        <is>
          <t>ARVIKA</t>
        </is>
      </c>
      <c r="G17920" t="n">
        <v>4</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58316-2024</t>
        </is>
      </c>
      <c r="B17921" s="1" t="n">
        <v>45631</v>
      </c>
      <c r="C17921" s="1" t="n">
        <v>45810</v>
      </c>
      <c r="D17921" t="inlineStr">
        <is>
          <t>VÄRMLANDS LÄN</t>
        </is>
      </c>
      <c r="E17921" t="inlineStr">
        <is>
          <t>KRISTINEHAMN</t>
        </is>
      </c>
      <c r="G17921" t="n">
        <v>1.5</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58061-2024</t>
        </is>
      </c>
      <c r="B17922" s="1" t="n">
        <v>45631</v>
      </c>
      <c r="C17922" s="1" t="n">
        <v>45810</v>
      </c>
      <c r="D17922" t="inlineStr">
        <is>
          <t>VÄRMLANDS LÄN</t>
        </is>
      </c>
      <c r="E17922" t="inlineStr">
        <is>
          <t>ARVIKA</t>
        </is>
      </c>
      <c r="G17922" t="n">
        <v>1.9</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58319-2024</t>
        </is>
      </c>
      <c r="B17923" s="1" t="n">
        <v>45631</v>
      </c>
      <c r="C17923" s="1" t="n">
        <v>45810</v>
      </c>
      <c r="D17923" t="inlineStr">
        <is>
          <t>VÄRMLANDS LÄN</t>
        </is>
      </c>
      <c r="E17923" t="inlineStr">
        <is>
          <t>KRISTINEHAMN</t>
        </is>
      </c>
      <c r="G17923" t="n">
        <v>0.5</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58084-2024</t>
        </is>
      </c>
      <c r="B17924" s="1" t="n">
        <v>45632</v>
      </c>
      <c r="C17924" s="1" t="n">
        <v>45810</v>
      </c>
      <c r="D17924" t="inlineStr">
        <is>
          <t>VÄRMLANDS LÄN</t>
        </is>
      </c>
      <c r="E17924" t="inlineStr">
        <is>
          <t>HAGFORS</t>
        </is>
      </c>
      <c r="G17924" t="n">
        <v>1.1</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58109-2024</t>
        </is>
      </c>
      <c r="B17925" s="1" t="n">
        <v>45632</v>
      </c>
      <c r="C17925" s="1" t="n">
        <v>45810</v>
      </c>
      <c r="D17925" t="inlineStr">
        <is>
          <t>VÄRMLANDS LÄN</t>
        </is>
      </c>
      <c r="E17925" t="inlineStr">
        <is>
          <t>KARLSTAD</t>
        </is>
      </c>
      <c r="G17925" t="n">
        <v>2.4</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58121-2024</t>
        </is>
      </c>
      <c r="B17926" s="1" t="n">
        <v>45632</v>
      </c>
      <c r="C17926" s="1" t="n">
        <v>45810</v>
      </c>
      <c r="D17926" t="inlineStr">
        <is>
          <t>VÄRMLANDS LÄN</t>
        </is>
      </c>
      <c r="E17926" t="inlineStr">
        <is>
          <t>FORSHAGA</t>
        </is>
      </c>
      <c r="G17926" t="n">
        <v>0.9</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58186-2024</t>
        </is>
      </c>
      <c r="B17927" s="1" t="n">
        <v>45632</v>
      </c>
      <c r="C17927" s="1" t="n">
        <v>45810</v>
      </c>
      <c r="D17927" t="inlineStr">
        <is>
          <t>VÄRMLANDS LÄN</t>
        </is>
      </c>
      <c r="E17927" t="inlineStr">
        <is>
          <t>EDA</t>
        </is>
      </c>
      <c r="G17927" t="n">
        <v>3.1</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58194-2024</t>
        </is>
      </c>
      <c r="B17928" s="1" t="n">
        <v>45632</v>
      </c>
      <c r="C17928" s="1" t="n">
        <v>45810</v>
      </c>
      <c r="D17928" t="inlineStr">
        <is>
          <t>VÄRMLANDS LÄN</t>
        </is>
      </c>
      <c r="E17928" t="inlineStr">
        <is>
          <t>EDA</t>
        </is>
      </c>
      <c r="G17928" t="n">
        <v>0.8</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58081-2024</t>
        </is>
      </c>
      <c r="B17929" s="1" t="n">
        <v>45632</v>
      </c>
      <c r="C17929" s="1" t="n">
        <v>45810</v>
      </c>
      <c r="D17929" t="inlineStr">
        <is>
          <t>VÄRMLANDS LÄN</t>
        </is>
      </c>
      <c r="E17929" t="inlineStr">
        <is>
          <t>HAGFORS</t>
        </is>
      </c>
      <c r="G17929" t="n">
        <v>1.3</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58285-2024</t>
        </is>
      </c>
      <c r="B17930" s="1" t="n">
        <v>45632</v>
      </c>
      <c r="C17930" s="1" t="n">
        <v>45810</v>
      </c>
      <c r="D17930" t="inlineStr">
        <is>
          <t>VÄRMLANDS LÄN</t>
        </is>
      </c>
      <c r="E17930" t="inlineStr">
        <is>
          <t>ÅRJÄNG</t>
        </is>
      </c>
      <c r="G17930" t="n">
        <v>2.9</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58348-2024</t>
        </is>
      </c>
      <c r="B17931" s="1" t="n">
        <v>45632</v>
      </c>
      <c r="C17931" s="1" t="n">
        <v>45810</v>
      </c>
      <c r="D17931" t="inlineStr">
        <is>
          <t>VÄRMLANDS LÄN</t>
        </is>
      </c>
      <c r="E17931" t="inlineStr">
        <is>
          <t>SUNNE</t>
        </is>
      </c>
      <c r="F17931" t="inlineStr">
        <is>
          <t>Bergvik skog väst AB</t>
        </is>
      </c>
      <c r="G17931" t="n">
        <v>6.3</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58367-2024</t>
        </is>
      </c>
      <c r="B17932" s="1" t="n">
        <v>45632</v>
      </c>
      <c r="C17932" s="1" t="n">
        <v>45810</v>
      </c>
      <c r="D17932" t="inlineStr">
        <is>
          <t>VÄRMLANDS LÄN</t>
        </is>
      </c>
      <c r="E17932" t="inlineStr">
        <is>
          <t>SUNNE</t>
        </is>
      </c>
      <c r="G17932" t="n">
        <v>3.5</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58383-2024</t>
        </is>
      </c>
      <c r="B17933" s="1" t="n">
        <v>45632</v>
      </c>
      <c r="C17933" s="1" t="n">
        <v>45810</v>
      </c>
      <c r="D17933" t="inlineStr">
        <is>
          <t>VÄRMLANDS LÄN</t>
        </is>
      </c>
      <c r="E17933" t="inlineStr">
        <is>
          <t>HAMMARÖ</t>
        </is>
      </c>
      <c r="G17933" t="n">
        <v>1.6</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58114-2024</t>
        </is>
      </c>
      <c r="B17934" s="1" t="n">
        <v>45632</v>
      </c>
      <c r="C17934" s="1" t="n">
        <v>45810</v>
      </c>
      <c r="D17934" t="inlineStr">
        <is>
          <t>VÄRMLANDS LÄN</t>
        </is>
      </c>
      <c r="E17934" t="inlineStr">
        <is>
          <t>FORSHAGA</t>
        </is>
      </c>
      <c r="G17934" t="n">
        <v>5.1</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58134-2024</t>
        </is>
      </c>
      <c r="B17935" s="1" t="n">
        <v>45632</v>
      </c>
      <c r="C17935" s="1" t="n">
        <v>45810</v>
      </c>
      <c r="D17935" t="inlineStr">
        <is>
          <t>VÄRMLANDS LÄN</t>
        </is>
      </c>
      <c r="E17935" t="inlineStr">
        <is>
          <t>TORSBY</t>
        </is>
      </c>
      <c r="G17935" t="n">
        <v>1.8</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58139-2024</t>
        </is>
      </c>
      <c r="B17936" s="1" t="n">
        <v>45632</v>
      </c>
      <c r="C17936" s="1" t="n">
        <v>45810</v>
      </c>
      <c r="D17936" t="inlineStr">
        <is>
          <t>VÄRMLANDS LÄN</t>
        </is>
      </c>
      <c r="E17936" t="inlineStr">
        <is>
          <t>HAGFORS</t>
        </is>
      </c>
      <c r="G17936" t="n">
        <v>3.3</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58151-2024</t>
        </is>
      </c>
      <c r="B17937" s="1" t="n">
        <v>45632</v>
      </c>
      <c r="C17937" s="1" t="n">
        <v>45810</v>
      </c>
      <c r="D17937" t="inlineStr">
        <is>
          <t>VÄRMLANDS LÄN</t>
        </is>
      </c>
      <c r="E17937" t="inlineStr">
        <is>
          <t>ARVIKA</t>
        </is>
      </c>
      <c r="F17937" t="inlineStr">
        <is>
          <t>Bergvik skog väst AB</t>
        </is>
      </c>
      <c r="G17937" t="n">
        <v>1.4</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58195-2024</t>
        </is>
      </c>
      <c r="B17938" s="1" t="n">
        <v>45632</v>
      </c>
      <c r="C17938" s="1" t="n">
        <v>45810</v>
      </c>
      <c r="D17938" t="inlineStr">
        <is>
          <t>VÄRMLANDS LÄN</t>
        </is>
      </c>
      <c r="E17938" t="inlineStr">
        <is>
          <t>EDA</t>
        </is>
      </c>
      <c r="G17938" t="n">
        <v>0.6</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58223-2024</t>
        </is>
      </c>
      <c r="B17939" s="1" t="n">
        <v>45632</v>
      </c>
      <c r="C17939" s="1" t="n">
        <v>45810</v>
      </c>
      <c r="D17939" t="inlineStr">
        <is>
          <t>VÄRMLANDS LÄN</t>
        </is>
      </c>
      <c r="E17939" t="inlineStr">
        <is>
          <t>STORFORS</t>
        </is>
      </c>
      <c r="F17939" t="inlineStr">
        <is>
          <t>Bergvik skog väst AB</t>
        </is>
      </c>
      <c r="G17939" t="n">
        <v>5.6</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58269-2024</t>
        </is>
      </c>
      <c r="B17940" s="1" t="n">
        <v>45632</v>
      </c>
      <c r="C17940" s="1" t="n">
        <v>45810</v>
      </c>
      <c r="D17940" t="inlineStr">
        <is>
          <t>VÄRMLANDS LÄN</t>
        </is>
      </c>
      <c r="E17940" t="inlineStr">
        <is>
          <t>FILIPSTAD</t>
        </is>
      </c>
      <c r="F17940" t="inlineStr">
        <is>
          <t>Bergvik skog väst AB</t>
        </is>
      </c>
      <c r="G17940" t="n">
        <v>14.9</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58273-2024</t>
        </is>
      </c>
      <c r="B17941" s="1" t="n">
        <v>45632</v>
      </c>
      <c r="C17941" s="1" t="n">
        <v>45810</v>
      </c>
      <c r="D17941" t="inlineStr">
        <is>
          <t>VÄRMLANDS LÄN</t>
        </is>
      </c>
      <c r="E17941" t="inlineStr">
        <is>
          <t>ARVIKA</t>
        </is>
      </c>
      <c r="G17941" t="n">
        <v>2.8</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58290-2024</t>
        </is>
      </c>
      <c r="B17942" s="1" t="n">
        <v>45632</v>
      </c>
      <c r="C17942" s="1" t="n">
        <v>45810</v>
      </c>
      <c r="D17942" t="inlineStr">
        <is>
          <t>VÄRMLANDS LÄN</t>
        </is>
      </c>
      <c r="E17942" t="inlineStr">
        <is>
          <t>ÅRJÄNG</t>
        </is>
      </c>
      <c r="G17942" t="n">
        <v>1.6</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58304-2024</t>
        </is>
      </c>
      <c r="B17943" s="1" t="n">
        <v>45632</v>
      </c>
      <c r="C17943" s="1" t="n">
        <v>45810</v>
      </c>
      <c r="D17943" t="inlineStr">
        <is>
          <t>VÄRMLANDS LÄN</t>
        </is>
      </c>
      <c r="E17943" t="inlineStr">
        <is>
          <t>TORSBY</t>
        </is>
      </c>
      <c r="F17943" t="inlineStr">
        <is>
          <t>Bergvik skog väst AB</t>
        </is>
      </c>
      <c r="G17943" t="n">
        <v>1.9</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58124-2024</t>
        </is>
      </c>
      <c r="B17944" s="1" t="n">
        <v>45632</v>
      </c>
      <c r="C17944" s="1" t="n">
        <v>45810</v>
      </c>
      <c r="D17944" t="inlineStr">
        <is>
          <t>VÄRMLANDS LÄN</t>
        </is>
      </c>
      <c r="E17944" t="inlineStr">
        <is>
          <t>HAGFORS</t>
        </is>
      </c>
      <c r="G17944" t="n">
        <v>1.8</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58132-2024</t>
        </is>
      </c>
      <c r="B17945" s="1" t="n">
        <v>45632</v>
      </c>
      <c r="C17945" s="1" t="n">
        <v>45810</v>
      </c>
      <c r="D17945" t="inlineStr">
        <is>
          <t>VÄRMLANDS LÄN</t>
        </is>
      </c>
      <c r="E17945" t="inlineStr">
        <is>
          <t>HAGFORS</t>
        </is>
      </c>
      <c r="G17945" t="n">
        <v>1.1</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58153-2024</t>
        </is>
      </c>
      <c r="B17946" s="1" t="n">
        <v>45632</v>
      </c>
      <c r="C17946" s="1" t="n">
        <v>45810</v>
      </c>
      <c r="D17946" t="inlineStr">
        <is>
          <t>VÄRMLANDS LÄN</t>
        </is>
      </c>
      <c r="E17946" t="inlineStr">
        <is>
          <t>ARVIKA</t>
        </is>
      </c>
      <c r="F17946" t="inlineStr">
        <is>
          <t>Bergvik skog väst AB</t>
        </is>
      </c>
      <c r="G17946" t="n">
        <v>1.9</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58181-2024</t>
        </is>
      </c>
      <c r="B17947" s="1" t="n">
        <v>45632</v>
      </c>
      <c r="C17947" s="1" t="n">
        <v>45810</v>
      </c>
      <c r="D17947" t="inlineStr">
        <is>
          <t>VÄRMLANDS LÄN</t>
        </is>
      </c>
      <c r="E17947" t="inlineStr">
        <is>
          <t>EDA</t>
        </is>
      </c>
      <c r="G17947" t="n">
        <v>1.6</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58209-2024</t>
        </is>
      </c>
      <c r="B17948" s="1" t="n">
        <v>45632</v>
      </c>
      <c r="C17948" s="1" t="n">
        <v>45810</v>
      </c>
      <c r="D17948" t="inlineStr">
        <is>
          <t>VÄRMLANDS LÄN</t>
        </is>
      </c>
      <c r="E17948" t="inlineStr">
        <is>
          <t>SUNNE</t>
        </is>
      </c>
      <c r="G17948" t="n">
        <v>3.5</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58246-2024</t>
        </is>
      </c>
      <c r="B17949" s="1" t="n">
        <v>45632</v>
      </c>
      <c r="C17949" s="1" t="n">
        <v>45810</v>
      </c>
      <c r="D17949" t="inlineStr">
        <is>
          <t>VÄRMLANDS LÄN</t>
        </is>
      </c>
      <c r="E17949" t="inlineStr">
        <is>
          <t>SUNNE</t>
        </is>
      </c>
      <c r="G17949" t="n">
        <v>3.8</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58255-2024</t>
        </is>
      </c>
      <c r="B17950" s="1" t="n">
        <v>45632</v>
      </c>
      <c r="C17950" s="1" t="n">
        <v>45810</v>
      </c>
      <c r="D17950" t="inlineStr">
        <is>
          <t>VÄRMLANDS LÄN</t>
        </is>
      </c>
      <c r="E17950" t="inlineStr">
        <is>
          <t>TORSBY</t>
        </is>
      </c>
      <c r="F17950" t="inlineStr">
        <is>
          <t>Bergvik skog väst AB</t>
        </is>
      </c>
      <c r="G17950" t="n">
        <v>2.4</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58259-2024</t>
        </is>
      </c>
      <c r="B17951" s="1" t="n">
        <v>45632</v>
      </c>
      <c r="C17951" s="1" t="n">
        <v>45810</v>
      </c>
      <c r="D17951" t="inlineStr">
        <is>
          <t>VÄRMLANDS LÄN</t>
        </is>
      </c>
      <c r="E17951" t="inlineStr">
        <is>
          <t>TORSBY</t>
        </is>
      </c>
      <c r="G17951" t="n">
        <v>2.2</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58288-2024</t>
        </is>
      </c>
      <c r="B17952" s="1" t="n">
        <v>45632</v>
      </c>
      <c r="C17952" s="1" t="n">
        <v>45810</v>
      </c>
      <c r="D17952" t="inlineStr">
        <is>
          <t>VÄRMLANDS LÄN</t>
        </is>
      </c>
      <c r="E17952" t="inlineStr">
        <is>
          <t>TORSBY</t>
        </is>
      </c>
      <c r="G17952" t="n">
        <v>9.1</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58152-2024</t>
        </is>
      </c>
      <c r="B17953" s="1" t="n">
        <v>45632</v>
      </c>
      <c r="C17953" s="1" t="n">
        <v>45810</v>
      </c>
      <c r="D17953" t="inlineStr">
        <is>
          <t>VÄRMLANDS LÄN</t>
        </is>
      </c>
      <c r="E17953" t="inlineStr">
        <is>
          <t>ÅRJÄNG</t>
        </is>
      </c>
      <c r="G17953" t="n">
        <v>2.3</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58224-2024</t>
        </is>
      </c>
      <c r="B17954" s="1" t="n">
        <v>45632</v>
      </c>
      <c r="C17954" s="1" t="n">
        <v>45810</v>
      </c>
      <c r="D17954" t="inlineStr">
        <is>
          <t>VÄRMLANDS LÄN</t>
        </is>
      </c>
      <c r="E17954" t="inlineStr">
        <is>
          <t>SUNNE</t>
        </is>
      </c>
      <c r="G17954" t="n">
        <v>2.4</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58240-2024</t>
        </is>
      </c>
      <c r="B17955" s="1" t="n">
        <v>45632</v>
      </c>
      <c r="C17955" s="1" t="n">
        <v>45810</v>
      </c>
      <c r="D17955" t="inlineStr">
        <is>
          <t>VÄRMLANDS LÄN</t>
        </is>
      </c>
      <c r="E17955" t="inlineStr">
        <is>
          <t>FILIPSTAD</t>
        </is>
      </c>
      <c r="F17955" t="inlineStr">
        <is>
          <t>Bergvik skog väst AB</t>
        </is>
      </c>
      <c r="G17955" t="n">
        <v>14.9</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58245-2024</t>
        </is>
      </c>
      <c r="B17956" s="1" t="n">
        <v>45632</v>
      </c>
      <c r="C17956" s="1" t="n">
        <v>45810</v>
      </c>
      <c r="D17956" t="inlineStr">
        <is>
          <t>VÄRMLANDS LÄN</t>
        </is>
      </c>
      <c r="E17956" t="inlineStr">
        <is>
          <t>FORSHAGA</t>
        </is>
      </c>
      <c r="G17956" t="n">
        <v>2.2</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58258-2024</t>
        </is>
      </c>
      <c r="B17957" s="1" t="n">
        <v>45632</v>
      </c>
      <c r="C17957" s="1" t="n">
        <v>45810</v>
      </c>
      <c r="D17957" t="inlineStr">
        <is>
          <t>VÄRMLANDS LÄN</t>
        </is>
      </c>
      <c r="E17957" t="inlineStr">
        <is>
          <t>ARVIKA</t>
        </is>
      </c>
      <c r="F17957" t="inlineStr">
        <is>
          <t>Bergvik skog väst AB</t>
        </is>
      </c>
      <c r="G17957" t="n">
        <v>14</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58270-2024</t>
        </is>
      </c>
      <c r="B17958" s="1" t="n">
        <v>45632</v>
      </c>
      <c r="C17958" s="1" t="n">
        <v>45810</v>
      </c>
      <c r="D17958" t="inlineStr">
        <is>
          <t>VÄRMLANDS LÄN</t>
        </is>
      </c>
      <c r="E17958" t="inlineStr">
        <is>
          <t>ÅRJÄNG</t>
        </is>
      </c>
      <c r="G17958" t="n">
        <v>2.4</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58382-2024</t>
        </is>
      </c>
      <c r="B17959" s="1" t="n">
        <v>45632</v>
      </c>
      <c r="C17959" s="1" t="n">
        <v>45810</v>
      </c>
      <c r="D17959" t="inlineStr">
        <is>
          <t>VÄRMLANDS LÄN</t>
        </is>
      </c>
      <c r="E17959" t="inlineStr">
        <is>
          <t>HAMMARÖ</t>
        </is>
      </c>
      <c r="G17959" t="n">
        <v>1.6</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58425-2024</t>
        </is>
      </c>
      <c r="B17960" s="1" t="n">
        <v>45634</v>
      </c>
      <c r="C17960" s="1" t="n">
        <v>45810</v>
      </c>
      <c r="D17960" t="inlineStr">
        <is>
          <t>VÄRMLANDS LÄN</t>
        </is>
      </c>
      <c r="E17960" t="inlineStr">
        <is>
          <t>SUNNE</t>
        </is>
      </c>
      <c r="G17960" t="n">
        <v>1.1</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58424-2024</t>
        </is>
      </c>
      <c r="B17961" s="1" t="n">
        <v>45634</v>
      </c>
      <c r="C17961" s="1" t="n">
        <v>45810</v>
      </c>
      <c r="D17961" t="inlineStr">
        <is>
          <t>VÄRMLANDS LÄN</t>
        </is>
      </c>
      <c r="E17961" t="inlineStr">
        <is>
          <t>SUNNE</t>
        </is>
      </c>
      <c r="G17961" t="n">
        <v>1.3</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58428-2024</t>
        </is>
      </c>
      <c r="B17962" s="1" t="n">
        <v>45634</v>
      </c>
      <c r="C17962" s="1" t="n">
        <v>45810</v>
      </c>
      <c r="D17962" t="inlineStr">
        <is>
          <t>VÄRMLANDS LÄN</t>
        </is>
      </c>
      <c r="E17962" t="inlineStr">
        <is>
          <t>ÅRJÄNG</t>
        </is>
      </c>
      <c r="G17962" t="n">
        <v>0.9</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58423-2024</t>
        </is>
      </c>
      <c r="B17963" s="1" t="n">
        <v>45634</v>
      </c>
      <c r="C17963" s="1" t="n">
        <v>45810</v>
      </c>
      <c r="D17963" t="inlineStr">
        <is>
          <t>VÄRMLANDS LÄN</t>
        </is>
      </c>
      <c r="E17963" t="inlineStr">
        <is>
          <t>SUNNE</t>
        </is>
      </c>
      <c r="G17963" t="n">
        <v>1.1</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58427-2024</t>
        </is>
      </c>
      <c r="B17964" s="1" t="n">
        <v>45634</v>
      </c>
      <c r="C17964" s="1" t="n">
        <v>45810</v>
      </c>
      <c r="D17964" t="inlineStr">
        <is>
          <t>VÄRMLANDS LÄN</t>
        </is>
      </c>
      <c r="E17964" t="inlineStr">
        <is>
          <t>ÅRJÄNG</t>
        </is>
      </c>
      <c r="G17964" t="n">
        <v>1.2</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58435-2024</t>
        </is>
      </c>
      <c r="B17965" s="1" t="n">
        <v>45634</v>
      </c>
      <c r="C17965" s="1" t="n">
        <v>45810</v>
      </c>
      <c r="D17965" t="inlineStr">
        <is>
          <t>VÄRMLANDS LÄN</t>
        </is>
      </c>
      <c r="E17965" t="inlineStr">
        <is>
          <t>ÅRJÄNG</t>
        </is>
      </c>
      <c r="G17965" t="n">
        <v>6.7</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58492-2024</t>
        </is>
      </c>
      <c r="B17966" s="1" t="n">
        <v>45635</v>
      </c>
      <c r="C17966" s="1" t="n">
        <v>45810</v>
      </c>
      <c r="D17966" t="inlineStr">
        <is>
          <t>VÄRMLANDS LÄN</t>
        </is>
      </c>
      <c r="E17966" t="inlineStr">
        <is>
          <t>FORSHAGA</t>
        </is>
      </c>
      <c r="G17966" t="n">
        <v>1</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58576-2024</t>
        </is>
      </c>
      <c r="B17967" s="1" t="n">
        <v>45635</v>
      </c>
      <c r="C17967" s="1" t="n">
        <v>45810</v>
      </c>
      <c r="D17967" t="inlineStr">
        <is>
          <t>VÄRMLANDS LÄN</t>
        </is>
      </c>
      <c r="E17967" t="inlineStr">
        <is>
          <t>EDA</t>
        </is>
      </c>
      <c r="G17967" t="n">
        <v>3.9</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58447-2024</t>
        </is>
      </c>
      <c r="B17968" s="1" t="n">
        <v>45635</v>
      </c>
      <c r="C17968" s="1" t="n">
        <v>45810</v>
      </c>
      <c r="D17968" t="inlineStr">
        <is>
          <t>VÄRMLANDS LÄN</t>
        </is>
      </c>
      <c r="E17968" t="inlineStr">
        <is>
          <t>FORSHAGA</t>
        </is>
      </c>
      <c r="G17968" t="n">
        <v>2.2</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58451-2024</t>
        </is>
      </c>
      <c r="B17969" s="1" t="n">
        <v>45635</v>
      </c>
      <c r="C17969" s="1" t="n">
        <v>45810</v>
      </c>
      <c r="D17969" t="inlineStr">
        <is>
          <t>VÄRMLANDS LÄN</t>
        </is>
      </c>
      <c r="E17969" t="inlineStr">
        <is>
          <t>FORSHAGA</t>
        </is>
      </c>
      <c r="G17969" t="n">
        <v>1.1</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58455-2024</t>
        </is>
      </c>
      <c r="B17970" s="1" t="n">
        <v>45635</v>
      </c>
      <c r="C17970" s="1" t="n">
        <v>45810</v>
      </c>
      <c r="D17970" t="inlineStr">
        <is>
          <t>VÄRMLANDS LÄN</t>
        </is>
      </c>
      <c r="E17970" t="inlineStr">
        <is>
          <t>SUNNE</t>
        </is>
      </c>
      <c r="F17970" t="inlineStr">
        <is>
          <t>Kyrkan</t>
        </is>
      </c>
      <c r="G17970" t="n">
        <v>4.1</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58656-2024</t>
        </is>
      </c>
      <c r="B17971" s="1" t="n">
        <v>45635</v>
      </c>
      <c r="C17971" s="1" t="n">
        <v>45810</v>
      </c>
      <c r="D17971" t="inlineStr">
        <is>
          <t>VÄRMLANDS LÄN</t>
        </is>
      </c>
      <c r="E17971" t="inlineStr">
        <is>
          <t>KARLSTAD</t>
        </is>
      </c>
      <c r="G17971" t="n">
        <v>0.6</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58705-2024</t>
        </is>
      </c>
      <c r="B17972" s="1" t="n">
        <v>45635</v>
      </c>
      <c r="C17972" s="1" t="n">
        <v>45810</v>
      </c>
      <c r="D17972" t="inlineStr">
        <is>
          <t>VÄRMLANDS LÄN</t>
        </is>
      </c>
      <c r="E17972" t="inlineStr">
        <is>
          <t>GRUMS</t>
        </is>
      </c>
      <c r="F17972" t="inlineStr">
        <is>
          <t>Bergvik skog väst AB</t>
        </is>
      </c>
      <c r="G17972" t="n">
        <v>4.3</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58540-2024</t>
        </is>
      </c>
      <c r="B17973" s="1" t="n">
        <v>45635</v>
      </c>
      <c r="C17973" s="1" t="n">
        <v>45810</v>
      </c>
      <c r="D17973" t="inlineStr">
        <is>
          <t>VÄRMLANDS LÄN</t>
        </is>
      </c>
      <c r="E17973" t="inlineStr">
        <is>
          <t>ÅRJÄNG</t>
        </is>
      </c>
      <c r="G17973" t="n">
        <v>1.4</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58696-2024</t>
        </is>
      </c>
      <c r="B17974" s="1" t="n">
        <v>45635</v>
      </c>
      <c r="C17974" s="1" t="n">
        <v>45810</v>
      </c>
      <c r="D17974" t="inlineStr">
        <is>
          <t>VÄRMLANDS LÄN</t>
        </is>
      </c>
      <c r="E17974" t="inlineStr">
        <is>
          <t>SUNNE</t>
        </is>
      </c>
      <c r="G17974" t="n">
        <v>4.1</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58586-2024</t>
        </is>
      </c>
      <c r="B17975" s="1" t="n">
        <v>45635</v>
      </c>
      <c r="C17975" s="1" t="n">
        <v>45810</v>
      </c>
      <c r="D17975" t="inlineStr">
        <is>
          <t>VÄRMLANDS LÄN</t>
        </is>
      </c>
      <c r="E17975" t="inlineStr">
        <is>
          <t>STORFORS</t>
        </is>
      </c>
      <c r="F17975" t="inlineStr">
        <is>
          <t>Bergvik skog väst AB</t>
        </is>
      </c>
      <c r="G17975" t="n">
        <v>2.1</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58653-2024</t>
        </is>
      </c>
      <c r="B17976" s="1" t="n">
        <v>45635</v>
      </c>
      <c r="C17976" s="1" t="n">
        <v>45810</v>
      </c>
      <c r="D17976" t="inlineStr">
        <is>
          <t>VÄRMLANDS LÄN</t>
        </is>
      </c>
      <c r="E17976" t="inlineStr">
        <is>
          <t>KARLSTAD</t>
        </is>
      </c>
      <c r="G17976" t="n">
        <v>18.5</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58767-2024</t>
        </is>
      </c>
      <c r="B17977" s="1" t="n">
        <v>45635</v>
      </c>
      <c r="C17977" s="1" t="n">
        <v>45810</v>
      </c>
      <c r="D17977" t="inlineStr">
        <is>
          <t>VÄRMLANDS LÄN</t>
        </is>
      </c>
      <c r="E17977" t="inlineStr">
        <is>
          <t>ÅRJÄNG</t>
        </is>
      </c>
      <c r="G17977" t="n">
        <v>1.4</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58682-2024</t>
        </is>
      </c>
      <c r="B17978" s="1" t="n">
        <v>45635</v>
      </c>
      <c r="C17978" s="1" t="n">
        <v>45810</v>
      </c>
      <c r="D17978" t="inlineStr">
        <is>
          <t>VÄRMLANDS LÄN</t>
        </is>
      </c>
      <c r="E17978" t="inlineStr">
        <is>
          <t>EDA</t>
        </is>
      </c>
      <c r="G17978" t="n">
        <v>2.7</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58788-2024</t>
        </is>
      </c>
      <c r="B17979" s="1" t="n">
        <v>45636</v>
      </c>
      <c r="C17979" s="1" t="n">
        <v>45810</v>
      </c>
      <c r="D17979" t="inlineStr">
        <is>
          <t>VÄRMLANDS LÄN</t>
        </is>
      </c>
      <c r="E17979" t="inlineStr">
        <is>
          <t>ÅRJÄNG</t>
        </is>
      </c>
      <c r="G17979" t="n">
        <v>12.4</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58639-2024</t>
        </is>
      </c>
      <c r="B17980" s="1" t="n">
        <v>45635</v>
      </c>
      <c r="C17980" s="1" t="n">
        <v>45810</v>
      </c>
      <c r="D17980" t="inlineStr">
        <is>
          <t>VÄRMLANDS LÄN</t>
        </is>
      </c>
      <c r="E17980" t="inlineStr">
        <is>
          <t>SÄFFLE</t>
        </is>
      </c>
      <c r="G17980" t="n">
        <v>1.8</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58664-2024</t>
        </is>
      </c>
      <c r="B17981" s="1" t="n">
        <v>45635</v>
      </c>
      <c r="C17981" s="1" t="n">
        <v>45810</v>
      </c>
      <c r="D17981" t="inlineStr">
        <is>
          <t>VÄRMLANDS LÄN</t>
        </is>
      </c>
      <c r="E17981" t="inlineStr">
        <is>
          <t>SUNNE</t>
        </is>
      </c>
      <c r="G17981" t="n">
        <v>2.2</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58707-2024</t>
        </is>
      </c>
      <c r="B17982" s="1" t="n">
        <v>45635</v>
      </c>
      <c r="C17982" s="1" t="n">
        <v>45810</v>
      </c>
      <c r="D17982" t="inlineStr">
        <is>
          <t>VÄRMLANDS LÄN</t>
        </is>
      </c>
      <c r="E17982" t="inlineStr">
        <is>
          <t>TORSBY</t>
        </is>
      </c>
      <c r="G17982" t="n">
        <v>0.9</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58769-2024</t>
        </is>
      </c>
      <c r="B17983" s="1" t="n">
        <v>45635</v>
      </c>
      <c r="C17983" s="1" t="n">
        <v>45810</v>
      </c>
      <c r="D17983" t="inlineStr">
        <is>
          <t>VÄRMLANDS LÄN</t>
        </is>
      </c>
      <c r="E17983" t="inlineStr">
        <is>
          <t>ÅRJÄNG</t>
        </is>
      </c>
      <c r="G17983" t="n">
        <v>1.3</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58789-2024</t>
        </is>
      </c>
      <c r="B17984" s="1" t="n">
        <v>45636</v>
      </c>
      <c r="C17984" s="1" t="n">
        <v>45810</v>
      </c>
      <c r="D17984" t="inlineStr">
        <is>
          <t>VÄRMLANDS LÄN</t>
        </is>
      </c>
      <c r="E17984" t="inlineStr">
        <is>
          <t>ÅRJÄNG</t>
        </is>
      </c>
      <c r="G17984" t="n">
        <v>7.8</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58786-2024</t>
        </is>
      </c>
      <c r="B17985" s="1" t="n">
        <v>45635</v>
      </c>
      <c r="C17985" s="1" t="n">
        <v>45810</v>
      </c>
      <c r="D17985" t="inlineStr">
        <is>
          <t>VÄRMLANDS LÄN</t>
        </is>
      </c>
      <c r="E17985" t="inlineStr">
        <is>
          <t>TORSBY</t>
        </is>
      </c>
      <c r="G17985" t="n">
        <v>2.6</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58822-2024</t>
        </is>
      </c>
      <c r="B17986" s="1" t="n">
        <v>45636</v>
      </c>
      <c r="C17986" s="1" t="n">
        <v>45810</v>
      </c>
      <c r="D17986" t="inlineStr">
        <is>
          <t>VÄRMLANDS LÄN</t>
        </is>
      </c>
      <c r="E17986" t="inlineStr">
        <is>
          <t>SUNNE</t>
        </is>
      </c>
      <c r="G17986" t="n">
        <v>6</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58976-2024</t>
        </is>
      </c>
      <c r="B17987" s="1" t="n">
        <v>45636</v>
      </c>
      <c r="C17987" s="1" t="n">
        <v>45810</v>
      </c>
      <c r="D17987" t="inlineStr">
        <is>
          <t>VÄRMLANDS LÄN</t>
        </is>
      </c>
      <c r="E17987" t="inlineStr">
        <is>
          <t>TORSBY</t>
        </is>
      </c>
      <c r="G17987" t="n">
        <v>0.6</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59012-2024</t>
        </is>
      </c>
      <c r="B17988" s="1" t="n">
        <v>45636</v>
      </c>
      <c r="C17988" s="1" t="n">
        <v>45810</v>
      </c>
      <c r="D17988" t="inlineStr">
        <is>
          <t>VÄRMLANDS LÄN</t>
        </is>
      </c>
      <c r="E17988" t="inlineStr">
        <is>
          <t>KIL</t>
        </is>
      </c>
      <c r="G17988" t="n">
        <v>1.6</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58964-2024</t>
        </is>
      </c>
      <c r="B17989" s="1" t="n">
        <v>45636</v>
      </c>
      <c r="C17989" s="1" t="n">
        <v>45810</v>
      </c>
      <c r="D17989" t="inlineStr">
        <is>
          <t>VÄRMLANDS LÄN</t>
        </is>
      </c>
      <c r="E17989" t="inlineStr">
        <is>
          <t>EDA</t>
        </is>
      </c>
      <c r="G17989" t="n">
        <v>1.6</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59047-2024</t>
        </is>
      </c>
      <c r="B17990" s="1" t="n">
        <v>45636</v>
      </c>
      <c r="C17990" s="1" t="n">
        <v>45810</v>
      </c>
      <c r="D17990" t="inlineStr">
        <is>
          <t>VÄRMLANDS LÄN</t>
        </is>
      </c>
      <c r="E17990" t="inlineStr">
        <is>
          <t>SUNNE</t>
        </is>
      </c>
      <c r="G17990" t="n">
        <v>1.2</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59071-2024</t>
        </is>
      </c>
      <c r="B17991" s="1" t="n">
        <v>45637</v>
      </c>
      <c r="C17991" s="1" t="n">
        <v>45810</v>
      </c>
      <c r="D17991" t="inlineStr">
        <is>
          <t>VÄRMLANDS LÄN</t>
        </is>
      </c>
      <c r="E17991" t="inlineStr">
        <is>
          <t>ÅRJÄNG</t>
        </is>
      </c>
      <c r="G17991" t="n">
        <v>4.2</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58935-2024</t>
        </is>
      </c>
      <c r="B17992" s="1" t="n">
        <v>45636</v>
      </c>
      <c r="C17992" s="1" t="n">
        <v>45810</v>
      </c>
      <c r="D17992" t="inlineStr">
        <is>
          <t>VÄRMLANDS LÄN</t>
        </is>
      </c>
      <c r="E17992" t="inlineStr">
        <is>
          <t>KIL</t>
        </is>
      </c>
      <c r="G17992" t="n">
        <v>4</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59044-2024</t>
        </is>
      </c>
      <c r="B17993" s="1" t="n">
        <v>45636</v>
      </c>
      <c r="C17993" s="1" t="n">
        <v>45810</v>
      </c>
      <c r="D17993" t="inlineStr">
        <is>
          <t>VÄRMLANDS LÄN</t>
        </is>
      </c>
      <c r="E17993" t="inlineStr">
        <is>
          <t>SUNNE</t>
        </is>
      </c>
      <c r="G17993" t="n">
        <v>4.8</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59068-2024</t>
        </is>
      </c>
      <c r="B17994" s="1" t="n">
        <v>45636</v>
      </c>
      <c r="C17994" s="1" t="n">
        <v>45810</v>
      </c>
      <c r="D17994" t="inlineStr">
        <is>
          <t>VÄRMLANDS LÄN</t>
        </is>
      </c>
      <c r="E17994" t="inlineStr">
        <is>
          <t>ÅRJÄNG</t>
        </is>
      </c>
      <c r="G17994" t="n">
        <v>3.2</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58948-2024</t>
        </is>
      </c>
      <c r="B17995" s="1" t="n">
        <v>45636</v>
      </c>
      <c r="C17995" s="1" t="n">
        <v>45810</v>
      </c>
      <c r="D17995" t="inlineStr">
        <is>
          <t>VÄRMLANDS LÄN</t>
        </is>
      </c>
      <c r="E17995" t="inlineStr">
        <is>
          <t>TORSBY</t>
        </is>
      </c>
      <c r="F17995" t="inlineStr">
        <is>
          <t>Bergvik skog väst AB</t>
        </is>
      </c>
      <c r="G17995" t="n">
        <v>6.6</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58868-2024</t>
        </is>
      </c>
      <c r="B17996" s="1" t="n">
        <v>45636</v>
      </c>
      <c r="C17996" s="1" t="n">
        <v>45810</v>
      </c>
      <c r="D17996" t="inlineStr">
        <is>
          <t>VÄRMLANDS LÄN</t>
        </is>
      </c>
      <c r="E17996" t="inlineStr">
        <is>
          <t>FORSHAGA</t>
        </is>
      </c>
      <c r="F17996" t="inlineStr">
        <is>
          <t>Bergvik skog väst AB</t>
        </is>
      </c>
      <c r="G17996" t="n">
        <v>1.5</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59055-2024</t>
        </is>
      </c>
      <c r="B17997" s="1" t="n">
        <v>45636</v>
      </c>
      <c r="C17997" s="1" t="n">
        <v>45810</v>
      </c>
      <c r="D17997" t="inlineStr">
        <is>
          <t>VÄRMLANDS LÄN</t>
        </is>
      </c>
      <c r="E17997" t="inlineStr">
        <is>
          <t>KARLSTAD</t>
        </is>
      </c>
      <c r="G17997" t="n">
        <v>7</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59035-2024</t>
        </is>
      </c>
      <c r="B17998" s="1" t="n">
        <v>45636</v>
      </c>
      <c r="C17998" s="1" t="n">
        <v>45810</v>
      </c>
      <c r="D17998" t="inlineStr">
        <is>
          <t>VÄRMLANDS LÄN</t>
        </is>
      </c>
      <c r="E17998" t="inlineStr">
        <is>
          <t>KIL</t>
        </is>
      </c>
      <c r="G17998" t="n">
        <v>5.3</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58860-2024</t>
        </is>
      </c>
      <c r="B17999" s="1" t="n">
        <v>45636</v>
      </c>
      <c r="C17999" s="1" t="n">
        <v>45810</v>
      </c>
      <c r="D17999" t="inlineStr">
        <is>
          <t>VÄRMLANDS LÄN</t>
        </is>
      </c>
      <c r="E17999" t="inlineStr">
        <is>
          <t>SUNNE</t>
        </is>
      </c>
      <c r="F17999" t="inlineStr">
        <is>
          <t>Kyrkan</t>
        </is>
      </c>
      <c r="G17999" t="n">
        <v>3.7</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58815-2024</t>
        </is>
      </c>
      <c r="B18000" s="1" t="n">
        <v>45636</v>
      </c>
      <c r="C18000" s="1" t="n">
        <v>45810</v>
      </c>
      <c r="D18000" t="inlineStr">
        <is>
          <t>VÄRMLANDS LÄN</t>
        </is>
      </c>
      <c r="E18000" t="inlineStr">
        <is>
          <t>EDA</t>
        </is>
      </c>
      <c r="F18000" t="inlineStr">
        <is>
          <t>Bergvik skog väst AB</t>
        </is>
      </c>
      <c r="G18000" t="n">
        <v>1.5</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59288-2024</t>
        </is>
      </c>
      <c r="B18001" s="1" t="n">
        <v>45636</v>
      </c>
      <c r="C18001" s="1" t="n">
        <v>45810</v>
      </c>
      <c r="D18001" t="inlineStr">
        <is>
          <t>VÄRMLANDS LÄN</t>
        </is>
      </c>
      <c r="E18001" t="inlineStr">
        <is>
          <t>SUNNE</t>
        </is>
      </c>
      <c r="G18001" t="n">
        <v>5.5</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59070-2024</t>
        </is>
      </c>
      <c r="B18002" s="1" t="n">
        <v>45636</v>
      </c>
      <c r="C18002" s="1" t="n">
        <v>45810</v>
      </c>
      <c r="D18002" t="inlineStr">
        <is>
          <t>VÄRMLANDS LÄN</t>
        </is>
      </c>
      <c r="E18002" t="inlineStr">
        <is>
          <t>ÅRJÄNG</t>
        </is>
      </c>
      <c r="G18002" t="n">
        <v>1.1</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59295-2024</t>
        </is>
      </c>
      <c r="B18003" s="1" t="n">
        <v>45636</v>
      </c>
      <c r="C18003" s="1" t="n">
        <v>45810</v>
      </c>
      <c r="D18003" t="inlineStr">
        <is>
          <t>VÄRMLANDS LÄN</t>
        </is>
      </c>
      <c r="E18003" t="inlineStr">
        <is>
          <t>SUNNE</t>
        </is>
      </c>
      <c r="G18003" t="n">
        <v>3.5</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59034-2024</t>
        </is>
      </c>
      <c r="B18004" s="1" t="n">
        <v>45636</v>
      </c>
      <c r="C18004" s="1" t="n">
        <v>45810</v>
      </c>
      <c r="D18004" t="inlineStr">
        <is>
          <t>VÄRMLANDS LÄN</t>
        </is>
      </c>
      <c r="E18004" t="inlineStr">
        <is>
          <t>SUNNE</t>
        </is>
      </c>
      <c r="G18004" t="n">
        <v>5.8</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59014-2024</t>
        </is>
      </c>
      <c r="B18005" s="1" t="n">
        <v>45636</v>
      </c>
      <c r="C18005" s="1" t="n">
        <v>45810</v>
      </c>
      <c r="D18005" t="inlineStr">
        <is>
          <t>VÄRMLANDS LÄN</t>
        </is>
      </c>
      <c r="E18005" t="inlineStr">
        <is>
          <t>ÅRJÄNG</t>
        </is>
      </c>
      <c r="G18005" t="n">
        <v>0.6</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59005-2024</t>
        </is>
      </c>
      <c r="B18006" s="1" t="n">
        <v>45636</v>
      </c>
      <c r="C18006" s="1" t="n">
        <v>45810</v>
      </c>
      <c r="D18006" t="inlineStr">
        <is>
          <t>VÄRMLANDS LÄN</t>
        </is>
      </c>
      <c r="E18006" t="inlineStr">
        <is>
          <t>TORSBY</t>
        </is>
      </c>
      <c r="G18006" t="n">
        <v>9.6</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58945-2024</t>
        </is>
      </c>
      <c r="B18007" s="1" t="n">
        <v>45636</v>
      </c>
      <c r="C18007" s="1" t="n">
        <v>45810</v>
      </c>
      <c r="D18007" t="inlineStr">
        <is>
          <t>VÄRMLANDS LÄN</t>
        </is>
      </c>
      <c r="E18007" t="inlineStr">
        <is>
          <t>TORSBY</t>
        </is>
      </c>
      <c r="F18007" t="inlineStr">
        <is>
          <t>Bergvik skog väst AB</t>
        </is>
      </c>
      <c r="G18007" t="n">
        <v>12</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59045-2024</t>
        </is>
      </c>
      <c r="B18008" s="1" t="n">
        <v>45636</v>
      </c>
      <c r="C18008" s="1" t="n">
        <v>45810</v>
      </c>
      <c r="D18008" t="inlineStr">
        <is>
          <t>VÄRMLANDS LÄN</t>
        </is>
      </c>
      <c r="E18008" t="inlineStr">
        <is>
          <t>ARVIKA</t>
        </is>
      </c>
      <c r="G18008" t="n">
        <v>2.2</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59073-2024</t>
        </is>
      </c>
      <c r="B18009" s="1" t="n">
        <v>45637</v>
      </c>
      <c r="C18009" s="1" t="n">
        <v>45810</v>
      </c>
      <c r="D18009" t="inlineStr">
        <is>
          <t>VÄRMLANDS LÄN</t>
        </is>
      </c>
      <c r="E18009" t="inlineStr">
        <is>
          <t>ÅRJÄNG</t>
        </is>
      </c>
      <c r="G18009" t="n">
        <v>3</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59190-2024</t>
        </is>
      </c>
      <c r="B18010" s="1" t="n">
        <v>45636</v>
      </c>
      <c r="C18010" s="1" t="n">
        <v>45810</v>
      </c>
      <c r="D18010" t="inlineStr">
        <is>
          <t>VÄRMLANDS LÄN</t>
        </is>
      </c>
      <c r="E18010" t="inlineStr">
        <is>
          <t>KRISTINEHAMN</t>
        </is>
      </c>
      <c r="G18010" t="n">
        <v>8.300000000000001</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59203-2024</t>
        </is>
      </c>
      <c r="B18011" s="1" t="n">
        <v>45636</v>
      </c>
      <c r="C18011" s="1" t="n">
        <v>45810</v>
      </c>
      <c r="D18011" t="inlineStr">
        <is>
          <t>VÄRMLANDS LÄN</t>
        </is>
      </c>
      <c r="E18011" t="inlineStr">
        <is>
          <t>KRISTINEHAMN</t>
        </is>
      </c>
      <c r="G18011" t="n">
        <v>2.2</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59261-2024</t>
        </is>
      </c>
      <c r="B18012" s="1" t="n">
        <v>45636</v>
      </c>
      <c r="C18012" s="1" t="n">
        <v>45810</v>
      </c>
      <c r="D18012" t="inlineStr">
        <is>
          <t>VÄRMLANDS LÄN</t>
        </is>
      </c>
      <c r="E18012" t="inlineStr">
        <is>
          <t>SUNNE</t>
        </is>
      </c>
      <c r="G18012" t="n">
        <v>6.6</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59291-2024</t>
        </is>
      </c>
      <c r="B18013" s="1" t="n">
        <v>45636</v>
      </c>
      <c r="C18013" s="1" t="n">
        <v>45810</v>
      </c>
      <c r="D18013" t="inlineStr">
        <is>
          <t>VÄRMLANDS LÄN</t>
        </is>
      </c>
      <c r="E18013" t="inlineStr">
        <is>
          <t>SUNNE</t>
        </is>
      </c>
      <c r="G18013" t="n">
        <v>1.7</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59120-2024</t>
        </is>
      </c>
      <c r="B18014" s="1" t="n">
        <v>45637</v>
      </c>
      <c r="C18014" s="1" t="n">
        <v>45810</v>
      </c>
      <c r="D18014" t="inlineStr">
        <is>
          <t>VÄRMLANDS LÄN</t>
        </is>
      </c>
      <c r="E18014" t="inlineStr">
        <is>
          <t>SUNNE</t>
        </is>
      </c>
      <c r="G18014" t="n">
        <v>1.2</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59096-2024</t>
        </is>
      </c>
      <c r="B18015" s="1" t="n">
        <v>45637</v>
      </c>
      <c r="C18015" s="1" t="n">
        <v>45810</v>
      </c>
      <c r="D18015" t="inlineStr">
        <is>
          <t>VÄRMLANDS LÄN</t>
        </is>
      </c>
      <c r="E18015" t="inlineStr">
        <is>
          <t>KRISTINEHAMN</t>
        </is>
      </c>
      <c r="G18015" t="n">
        <v>4.4</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59100-2024</t>
        </is>
      </c>
      <c r="B18016" s="1" t="n">
        <v>45637</v>
      </c>
      <c r="C18016" s="1" t="n">
        <v>45810</v>
      </c>
      <c r="D18016" t="inlineStr">
        <is>
          <t>VÄRMLANDS LÄN</t>
        </is>
      </c>
      <c r="E18016" t="inlineStr">
        <is>
          <t>ARVIKA</t>
        </is>
      </c>
      <c r="G18016" t="n">
        <v>1.2</v>
      </c>
      <c r="H18016" t="n">
        <v>0</v>
      </c>
      <c r="I18016" t="n">
        <v>0</v>
      </c>
      <c r="J18016" t="n">
        <v>0</v>
      </c>
      <c r="K18016" t="n">
        <v>0</v>
      </c>
      <c r="L18016" t="n">
        <v>0</v>
      </c>
      <c r="M18016" t="n">
        <v>0</v>
      </c>
      <c r="N18016" t="n">
        <v>0</v>
      </c>
      <c r="O18016" t="n">
        <v>0</v>
      </c>
      <c r="P18016" t="n">
        <v>0</v>
      </c>
      <c r="Q18016" t="n">
        <v>0</v>
      </c>
      <c r="R18016" s="2" t="inlineStr"/>
    </row>
    <row r="18017" ht="15" customHeight="1">
      <c r="A18017" t="inlineStr">
        <is>
          <t>A 59104-2024</t>
        </is>
      </c>
      <c r="B18017" s="1" t="n">
        <v>45637</v>
      </c>
      <c r="C18017" s="1" t="n">
        <v>45810</v>
      </c>
      <c r="D18017" t="inlineStr">
        <is>
          <t>VÄRMLANDS LÄN</t>
        </is>
      </c>
      <c r="E18017" t="inlineStr">
        <is>
          <t>ARVIKA</t>
        </is>
      </c>
      <c r="G18017" t="n">
        <v>0.3</v>
      </c>
      <c r="H18017" t="n">
        <v>0</v>
      </c>
      <c r="I18017" t="n">
        <v>0</v>
      </c>
      <c r="J18017" t="n">
        <v>0</v>
      </c>
      <c r="K18017" t="n">
        <v>0</v>
      </c>
      <c r="L18017" t="n">
        <v>0</v>
      </c>
      <c r="M18017" t="n">
        <v>0</v>
      </c>
      <c r="N18017" t="n">
        <v>0</v>
      </c>
      <c r="O18017" t="n">
        <v>0</v>
      </c>
      <c r="P18017" t="n">
        <v>0</v>
      </c>
      <c r="Q18017" t="n">
        <v>0</v>
      </c>
      <c r="R18017" s="2" t="inlineStr"/>
    </row>
    <row r="18018" ht="15" customHeight="1">
      <c r="A18018" t="inlineStr">
        <is>
          <t>A 59143-2024</t>
        </is>
      </c>
      <c r="B18018" s="1" t="n">
        <v>45637</v>
      </c>
      <c r="C18018" s="1" t="n">
        <v>45810</v>
      </c>
      <c r="D18018" t="inlineStr">
        <is>
          <t>VÄRMLANDS LÄN</t>
        </is>
      </c>
      <c r="E18018" t="inlineStr">
        <is>
          <t>SUNNE</t>
        </is>
      </c>
      <c r="G18018" t="n">
        <v>1.5</v>
      </c>
      <c r="H18018" t="n">
        <v>0</v>
      </c>
      <c r="I18018" t="n">
        <v>0</v>
      </c>
      <c r="J18018" t="n">
        <v>0</v>
      </c>
      <c r="K18018" t="n">
        <v>0</v>
      </c>
      <c r="L18018" t="n">
        <v>0</v>
      </c>
      <c r="M18018" t="n">
        <v>0</v>
      </c>
      <c r="N18018" t="n">
        <v>0</v>
      </c>
      <c r="O18018" t="n">
        <v>0</v>
      </c>
      <c r="P18018" t="n">
        <v>0</v>
      </c>
      <c r="Q18018" t="n">
        <v>0</v>
      </c>
      <c r="R18018" s="2" t="inlineStr"/>
    </row>
    <row r="18019" ht="15" customHeight="1">
      <c r="A18019" t="inlineStr">
        <is>
          <t>A 59172-2024</t>
        </is>
      </c>
      <c r="B18019" s="1" t="n">
        <v>45637</v>
      </c>
      <c r="C18019" s="1" t="n">
        <v>45810</v>
      </c>
      <c r="D18019" t="inlineStr">
        <is>
          <t>VÄRMLANDS LÄN</t>
        </is>
      </c>
      <c r="E18019" t="inlineStr">
        <is>
          <t>HAGFORS</t>
        </is>
      </c>
      <c r="F18019" t="inlineStr">
        <is>
          <t>Bergvik skog väst AB</t>
        </is>
      </c>
      <c r="G18019" t="n">
        <v>1.8</v>
      </c>
      <c r="H18019" t="n">
        <v>0</v>
      </c>
      <c r="I18019" t="n">
        <v>0</v>
      </c>
      <c r="J18019" t="n">
        <v>0</v>
      </c>
      <c r="K18019" t="n">
        <v>0</v>
      </c>
      <c r="L18019" t="n">
        <v>0</v>
      </c>
      <c r="M18019" t="n">
        <v>0</v>
      </c>
      <c r="N18019" t="n">
        <v>0</v>
      </c>
      <c r="O18019" t="n">
        <v>0</v>
      </c>
      <c r="P18019" t="n">
        <v>0</v>
      </c>
      <c r="Q18019" t="n">
        <v>0</v>
      </c>
      <c r="R18019" s="2" t="inlineStr"/>
    </row>
    <row r="18020" ht="15" customHeight="1">
      <c r="A18020" t="inlineStr">
        <is>
          <t>A 59223-2024</t>
        </is>
      </c>
      <c r="B18020" s="1" t="n">
        <v>45637</v>
      </c>
      <c r="C18020" s="1" t="n">
        <v>45810</v>
      </c>
      <c r="D18020" t="inlineStr">
        <is>
          <t>VÄRMLANDS LÄN</t>
        </is>
      </c>
      <c r="E18020" t="inlineStr">
        <is>
          <t>ÅRJÄNG</t>
        </is>
      </c>
      <c r="G18020" t="n">
        <v>3.2</v>
      </c>
      <c r="H18020" t="n">
        <v>0</v>
      </c>
      <c r="I18020" t="n">
        <v>0</v>
      </c>
      <c r="J18020" t="n">
        <v>0</v>
      </c>
      <c r="K18020" t="n">
        <v>0</v>
      </c>
      <c r="L18020" t="n">
        <v>0</v>
      </c>
      <c r="M18020" t="n">
        <v>0</v>
      </c>
      <c r="N18020" t="n">
        <v>0</v>
      </c>
      <c r="O18020" t="n">
        <v>0</v>
      </c>
      <c r="P18020" t="n">
        <v>0</v>
      </c>
      <c r="Q18020" t="n">
        <v>0</v>
      </c>
      <c r="R18020" s="2" t="inlineStr"/>
    </row>
    <row r="18021" ht="15" customHeight="1">
      <c r="A18021" t="inlineStr">
        <is>
          <t>A 59247-2024</t>
        </is>
      </c>
      <c r="B18021" s="1" t="n">
        <v>45637</v>
      </c>
      <c r="C18021" s="1" t="n">
        <v>45810</v>
      </c>
      <c r="D18021" t="inlineStr">
        <is>
          <t>VÄRMLANDS LÄN</t>
        </is>
      </c>
      <c r="E18021" t="inlineStr">
        <is>
          <t>HAGFORS</t>
        </is>
      </c>
      <c r="G18021" t="n">
        <v>0.6</v>
      </c>
      <c r="H18021" t="n">
        <v>0</v>
      </c>
      <c r="I18021" t="n">
        <v>0</v>
      </c>
      <c r="J18021" t="n">
        <v>0</v>
      </c>
      <c r="K18021" t="n">
        <v>0</v>
      </c>
      <c r="L18021" t="n">
        <v>0</v>
      </c>
      <c r="M18021" t="n">
        <v>0</v>
      </c>
      <c r="N18021" t="n">
        <v>0</v>
      </c>
      <c r="O18021" t="n">
        <v>0</v>
      </c>
      <c r="P18021" t="n">
        <v>0</v>
      </c>
      <c r="Q18021" t="n">
        <v>0</v>
      </c>
      <c r="R18021" s="2" t="inlineStr"/>
    </row>
    <row r="18022" ht="15" customHeight="1">
      <c r="A18022" t="inlineStr">
        <is>
          <t>A 59329-2024</t>
        </is>
      </c>
      <c r="B18022" s="1" t="n">
        <v>45637</v>
      </c>
      <c r="C18022" s="1" t="n">
        <v>45810</v>
      </c>
      <c r="D18022" t="inlineStr">
        <is>
          <t>VÄRMLANDS LÄN</t>
        </is>
      </c>
      <c r="E18022" t="inlineStr">
        <is>
          <t>HAGFORS</t>
        </is>
      </c>
      <c r="G18022" t="n">
        <v>3.8</v>
      </c>
      <c r="H18022" t="n">
        <v>0</v>
      </c>
      <c r="I18022" t="n">
        <v>0</v>
      </c>
      <c r="J18022" t="n">
        <v>0</v>
      </c>
      <c r="K18022" t="n">
        <v>0</v>
      </c>
      <c r="L18022" t="n">
        <v>0</v>
      </c>
      <c r="M18022" t="n">
        <v>0</v>
      </c>
      <c r="N18022" t="n">
        <v>0</v>
      </c>
      <c r="O18022" t="n">
        <v>0</v>
      </c>
      <c r="P18022" t="n">
        <v>0</v>
      </c>
      <c r="Q18022" t="n">
        <v>0</v>
      </c>
      <c r="R18022" s="2" t="inlineStr"/>
    </row>
    <row r="18023" ht="15" customHeight="1">
      <c r="A18023" t="inlineStr">
        <is>
          <t>A 59328-2024</t>
        </is>
      </c>
      <c r="B18023" s="1" t="n">
        <v>45637</v>
      </c>
      <c r="C18023" s="1" t="n">
        <v>45810</v>
      </c>
      <c r="D18023" t="inlineStr">
        <is>
          <t>VÄRMLANDS LÄN</t>
        </is>
      </c>
      <c r="E18023" t="inlineStr">
        <is>
          <t>HAGFORS</t>
        </is>
      </c>
      <c r="G18023" t="n">
        <v>4.4</v>
      </c>
      <c r="H18023" t="n">
        <v>0</v>
      </c>
      <c r="I18023" t="n">
        <v>0</v>
      </c>
      <c r="J18023" t="n">
        <v>0</v>
      </c>
      <c r="K18023" t="n">
        <v>0</v>
      </c>
      <c r="L18023" t="n">
        <v>0</v>
      </c>
      <c r="M18023" t="n">
        <v>0</v>
      </c>
      <c r="N18023" t="n">
        <v>0</v>
      </c>
      <c r="O18023" t="n">
        <v>0</v>
      </c>
      <c r="P18023" t="n">
        <v>0</v>
      </c>
      <c r="Q18023" t="n">
        <v>0</v>
      </c>
      <c r="R18023" s="2" t="inlineStr"/>
    </row>
    <row r="18024" ht="15" customHeight="1">
      <c r="A18024" t="inlineStr">
        <is>
          <t>A 59340-2024</t>
        </is>
      </c>
      <c r="B18024" s="1" t="n">
        <v>45637</v>
      </c>
      <c r="C18024" s="1" t="n">
        <v>45810</v>
      </c>
      <c r="D18024" t="inlineStr">
        <is>
          <t>VÄRMLANDS LÄN</t>
        </is>
      </c>
      <c r="E18024" t="inlineStr">
        <is>
          <t>MUNKFORS</t>
        </is>
      </c>
      <c r="G18024" t="n">
        <v>1.8</v>
      </c>
      <c r="H18024" t="n">
        <v>0</v>
      </c>
      <c r="I18024" t="n">
        <v>0</v>
      </c>
      <c r="J18024" t="n">
        <v>0</v>
      </c>
      <c r="K18024" t="n">
        <v>0</v>
      </c>
      <c r="L18024" t="n">
        <v>0</v>
      </c>
      <c r="M18024" t="n">
        <v>0</v>
      </c>
      <c r="N18024" t="n">
        <v>0</v>
      </c>
      <c r="O18024" t="n">
        <v>0</v>
      </c>
      <c r="P18024" t="n">
        <v>0</v>
      </c>
      <c r="Q18024" t="n">
        <v>0</v>
      </c>
      <c r="R18024" s="2" t="inlineStr"/>
    </row>
    <row r="18025" ht="15" customHeight="1">
      <c r="A18025" t="inlineStr">
        <is>
          <t>A 59080-2024</t>
        </is>
      </c>
      <c r="B18025" s="1" t="n">
        <v>45637</v>
      </c>
      <c r="C18025" s="1" t="n">
        <v>45810</v>
      </c>
      <c r="D18025" t="inlineStr">
        <is>
          <t>VÄRMLANDS LÄN</t>
        </is>
      </c>
      <c r="E18025" t="inlineStr">
        <is>
          <t>TORSBY</t>
        </is>
      </c>
      <c r="F18025" t="inlineStr">
        <is>
          <t>Bergvik skog väst AB</t>
        </is>
      </c>
      <c r="G18025" t="n">
        <v>1.8</v>
      </c>
      <c r="H18025" t="n">
        <v>0</v>
      </c>
      <c r="I18025" t="n">
        <v>0</v>
      </c>
      <c r="J18025" t="n">
        <v>0</v>
      </c>
      <c r="K18025" t="n">
        <v>0</v>
      </c>
      <c r="L18025" t="n">
        <v>0</v>
      </c>
      <c r="M18025" t="n">
        <v>0</v>
      </c>
      <c r="N18025" t="n">
        <v>0</v>
      </c>
      <c r="O18025" t="n">
        <v>0</v>
      </c>
      <c r="P18025" t="n">
        <v>0</v>
      </c>
      <c r="Q18025" t="n">
        <v>0</v>
      </c>
      <c r="R18025" s="2" t="inlineStr"/>
    </row>
    <row r="18026" ht="15" customHeight="1">
      <c r="A18026" t="inlineStr">
        <is>
          <t>A 59331-2024</t>
        </is>
      </c>
      <c r="B18026" s="1" t="n">
        <v>45637</v>
      </c>
      <c r="C18026" s="1" t="n">
        <v>45810</v>
      </c>
      <c r="D18026" t="inlineStr">
        <is>
          <t>VÄRMLANDS LÄN</t>
        </is>
      </c>
      <c r="E18026" t="inlineStr">
        <is>
          <t>HAGFORS</t>
        </is>
      </c>
      <c r="G18026" t="n">
        <v>1.7</v>
      </c>
      <c r="H18026" t="n">
        <v>0</v>
      </c>
      <c r="I18026" t="n">
        <v>0</v>
      </c>
      <c r="J18026" t="n">
        <v>0</v>
      </c>
      <c r="K18026" t="n">
        <v>0</v>
      </c>
      <c r="L18026" t="n">
        <v>0</v>
      </c>
      <c r="M18026" t="n">
        <v>0</v>
      </c>
      <c r="N18026" t="n">
        <v>0</v>
      </c>
      <c r="O18026" t="n">
        <v>0</v>
      </c>
      <c r="P18026" t="n">
        <v>0</v>
      </c>
      <c r="Q18026" t="n">
        <v>0</v>
      </c>
      <c r="R18026" s="2" t="inlineStr"/>
    </row>
    <row r="18027" ht="15" customHeight="1">
      <c r="A18027" t="inlineStr">
        <is>
          <t>A 59335-2024</t>
        </is>
      </c>
      <c r="B18027" s="1" t="n">
        <v>45637</v>
      </c>
      <c r="C18027" s="1" t="n">
        <v>45810</v>
      </c>
      <c r="D18027" t="inlineStr">
        <is>
          <t>VÄRMLANDS LÄN</t>
        </is>
      </c>
      <c r="E18027" t="inlineStr">
        <is>
          <t>SUNNE</t>
        </is>
      </c>
      <c r="G18027" t="n">
        <v>1</v>
      </c>
      <c r="H18027" t="n">
        <v>0</v>
      </c>
      <c r="I18027" t="n">
        <v>0</v>
      </c>
      <c r="J18027" t="n">
        <v>0</v>
      </c>
      <c r="K18027" t="n">
        <v>0</v>
      </c>
      <c r="L18027" t="n">
        <v>0</v>
      </c>
      <c r="M18027" t="n">
        <v>0</v>
      </c>
      <c r="N18027" t="n">
        <v>0</v>
      </c>
      <c r="O18027" t="n">
        <v>0</v>
      </c>
      <c r="P18027" t="n">
        <v>0</v>
      </c>
      <c r="Q18027" t="n">
        <v>0</v>
      </c>
      <c r="R18027" s="2" t="inlineStr"/>
    </row>
    <row r="18028" ht="15" customHeight="1">
      <c r="A18028" t="inlineStr">
        <is>
          <t>A 59423-2024</t>
        </is>
      </c>
      <c r="B18028" s="1" t="n">
        <v>45638</v>
      </c>
      <c r="C18028" s="1" t="n">
        <v>45810</v>
      </c>
      <c r="D18028" t="inlineStr">
        <is>
          <t>VÄRMLANDS LÄN</t>
        </is>
      </c>
      <c r="E18028" t="inlineStr">
        <is>
          <t>TORSBY</t>
        </is>
      </c>
      <c r="G18028" t="n">
        <v>23.7</v>
      </c>
      <c r="H18028" t="n">
        <v>0</v>
      </c>
      <c r="I18028" t="n">
        <v>0</v>
      </c>
      <c r="J18028" t="n">
        <v>0</v>
      </c>
      <c r="K18028" t="n">
        <v>0</v>
      </c>
      <c r="L18028" t="n">
        <v>0</v>
      </c>
      <c r="M18028" t="n">
        <v>0</v>
      </c>
      <c r="N18028" t="n">
        <v>0</v>
      </c>
      <c r="O18028" t="n">
        <v>0</v>
      </c>
      <c r="P18028" t="n">
        <v>0</v>
      </c>
      <c r="Q18028" t="n">
        <v>0</v>
      </c>
      <c r="R18028" s="2" t="inlineStr"/>
    </row>
    <row r="18029" ht="15" customHeight="1">
      <c r="A18029" t="inlineStr">
        <is>
          <t>A 59484-2024</t>
        </is>
      </c>
      <c r="B18029" s="1" t="n">
        <v>45638</v>
      </c>
      <c r="C18029" s="1" t="n">
        <v>45810</v>
      </c>
      <c r="D18029" t="inlineStr">
        <is>
          <t>VÄRMLANDS LÄN</t>
        </is>
      </c>
      <c r="E18029" t="inlineStr">
        <is>
          <t>ÅRJÄNG</t>
        </is>
      </c>
      <c r="G18029" t="n">
        <v>2.9</v>
      </c>
      <c r="H18029" t="n">
        <v>0</v>
      </c>
      <c r="I18029" t="n">
        <v>0</v>
      </c>
      <c r="J18029" t="n">
        <v>0</v>
      </c>
      <c r="K18029" t="n">
        <v>0</v>
      </c>
      <c r="L18029" t="n">
        <v>0</v>
      </c>
      <c r="M18029" t="n">
        <v>0</v>
      </c>
      <c r="N18029" t="n">
        <v>0</v>
      </c>
      <c r="O18029" t="n">
        <v>0</v>
      </c>
      <c r="P18029" t="n">
        <v>0</v>
      </c>
      <c r="Q18029" t="n">
        <v>0</v>
      </c>
      <c r="R18029" s="2" t="inlineStr"/>
    </row>
    <row r="18030" ht="15" customHeight="1">
      <c r="A18030" t="inlineStr">
        <is>
          <t>A 59552-2024</t>
        </is>
      </c>
      <c r="B18030" s="1" t="n">
        <v>45638</v>
      </c>
      <c r="C18030" s="1" t="n">
        <v>45810</v>
      </c>
      <c r="D18030" t="inlineStr">
        <is>
          <t>VÄRMLANDS LÄN</t>
        </is>
      </c>
      <c r="E18030" t="inlineStr">
        <is>
          <t>HAGFORS</t>
        </is>
      </c>
      <c r="G18030" t="n">
        <v>0.6</v>
      </c>
      <c r="H18030" t="n">
        <v>0</v>
      </c>
      <c r="I18030" t="n">
        <v>0</v>
      </c>
      <c r="J18030" t="n">
        <v>0</v>
      </c>
      <c r="K18030" t="n">
        <v>0</v>
      </c>
      <c r="L18030" t="n">
        <v>0</v>
      </c>
      <c r="M18030" t="n">
        <v>0</v>
      </c>
      <c r="N18030" t="n">
        <v>0</v>
      </c>
      <c r="O18030" t="n">
        <v>0</v>
      </c>
      <c r="P18030" t="n">
        <v>0</v>
      </c>
      <c r="Q18030" t="n">
        <v>0</v>
      </c>
      <c r="R18030" s="2" t="inlineStr"/>
    </row>
    <row r="18031" ht="15" customHeight="1">
      <c r="A18031" t="inlineStr">
        <is>
          <t>A 59515-2024</t>
        </is>
      </c>
      <c r="B18031" s="1" t="n">
        <v>45638</v>
      </c>
      <c r="C18031" s="1" t="n">
        <v>45810</v>
      </c>
      <c r="D18031" t="inlineStr">
        <is>
          <t>VÄRMLANDS LÄN</t>
        </is>
      </c>
      <c r="E18031" t="inlineStr">
        <is>
          <t>EDA</t>
        </is>
      </c>
      <c r="G18031" t="n">
        <v>5.5</v>
      </c>
      <c r="H18031" t="n">
        <v>0</v>
      </c>
      <c r="I18031" t="n">
        <v>0</v>
      </c>
      <c r="J18031" t="n">
        <v>0</v>
      </c>
      <c r="K18031" t="n">
        <v>0</v>
      </c>
      <c r="L18031" t="n">
        <v>0</v>
      </c>
      <c r="M18031" t="n">
        <v>0</v>
      </c>
      <c r="N18031" t="n">
        <v>0</v>
      </c>
      <c r="O18031" t="n">
        <v>0</v>
      </c>
      <c r="P18031" t="n">
        <v>0</v>
      </c>
      <c r="Q18031" t="n">
        <v>0</v>
      </c>
      <c r="R18031" s="2" t="inlineStr"/>
    </row>
    <row r="18032" ht="15" customHeight="1">
      <c r="A18032" t="inlineStr">
        <is>
          <t>A 59612-2024</t>
        </is>
      </c>
      <c r="B18032" s="1" t="n">
        <v>45638</v>
      </c>
      <c r="C18032" s="1" t="n">
        <v>45810</v>
      </c>
      <c r="D18032" t="inlineStr">
        <is>
          <t>VÄRMLANDS LÄN</t>
        </is>
      </c>
      <c r="E18032" t="inlineStr">
        <is>
          <t>KRISTINEHAMN</t>
        </is>
      </c>
      <c r="G18032" t="n">
        <v>1.2</v>
      </c>
      <c r="H18032" t="n">
        <v>0</v>
      </c>
      <c r="I18032" t="n">
        <v>0</v>
      </c>
      <c r="J18032" t="n">
        <v>0</v>
      </c>
      <c r="K18032" t="n">
        <v>0</v>
      </c>
      <c r="L18032" t="n">
        <v>0</v>
      </c>
      <c r="M18032" t="n">
        <v>0</v>
      </c>
      <c r="N18032" t="n">
        <v>0</v>
      </c>
      <c r="O18032" t="n">
        <v>0</v>
      </c>
      <c r="P18032" t="n">
        <v>0</v>
      </c>
      <c r="Q18032" t="n">
        <v>0</v>
      </c>
      <c r="R18032" s="2" t="inlineStr"/>
    </row>
    <row r="18033" ht="15" customHeight="1">
      <c r="A18033" t="inlineStr">
        <is>
          <t>A 59625-2024</t>
        </is>
      </c>
      <c r="B18033" s="1" t="n">
        <v>45638</v>
      </c>
      <c r="C18033" s="1" t="n">
        <v>45810</v>
      </c>
      <c r="D18033" t="inlineStr">
        <is>
          <t>VÄRMLANDS LÄN</t>
        </is>
      </c>
      <c r="E18033" t="inlineStr">
        <is>
          <t>ARVIKA</t>
        </is>
      </c>
      <c r="G18033" t="n">
        <v>1.8</v>
      </c>
      <c r="H18033" t="n">
        <v>0</v>
      </c>
      <c r="I18033" t="n">
        <v>0</v>
      </c>
      <c r="J18033" t="n">
        <v>0</v>
      </c>
      <c r="K18033" t="n">
        <v>0</v>
      </c>
      <c r="L18033" t="n">
        <v>0</v>
      </c>
      <c r="M18033" t="n">
        <v>0</v>
      </c>
      <c r="N18033" t="n">
        <v>0</v>
      </c>
      <c r="O18033" t="n">
        <v>0</v>
      </c>
      <c r="P18033" t="n">
        <v>0</v>
      </c>
      <c r="Q18033" t="n">
        <v>0</v>
      </c>
      <c r="R18033" s="2" t="inlineStr"/>
    </row>
    <row r="18034" ht="15" customHeight="1">
      <c r="A18034" t="inlineStr">
        <is>
          <t>A 59605-2024</t>
        </is>
      </c>
      <c r="B18034" s="1" t="n">
        <v>45638</v>
      </c>
      <c r="C18034" s="1" t="n">
        <v>45810</v>
      </c>
      <c r="D18034" t="inlineStr">
        <is>
          <t>VÄRMLANDS LÄN</t>
        </is>
      </c>
      <c r="E18034" t="inlineStr">
        <is>
          <t>ÅRJÄNG</t>
        </is>
      </c>
      <c r="G18034" t="n">
        <v>4.1</v>
      </c>
      <c r="H18034" t="n">
        <v>0</v>
      </c>
      <c r="I18034" t="n">
        <v>0</v>
      </c>
      <c r="J18034" t="n">
        <v>0</v>
      </c>
      <c r="K18034" t="n">
        <v>0</v>
      </c>
      <c r="L18034" t="n">
        <v>0</v>
      </c>
      <c r="M18034" t="n">
        <v>0</v>
      </c>
      <c r="N18034" t="n">
        <v>0</v>
      </c>
      <c r="O18034" t="n">
        <v>0</v>
      </c>
      <c r="P18034" t="n">
        <v>0</v>
      </c>
      <c r="Q18034" t="n">
        <v>0</v>
      </c>
      <c r="R18034" s="2" t="inlineStr"/>
    </row>
    <row r="18035" ht="15" customHeight="1">
      <c r="A18035" t="inlineStr">
        <is>
          <t>A 59613-2024</t>
        </is>
      </c>
      <c r="B18035" s="1" t="n">
        <v>45638</v>
      </c>
      <c r="C18035" s="1" t="n">
        <v>45810</v>
      </c>
      <c r="D18035" t="inlineStr">
        <is>
          <t>VÄRMLANDS LÄN</t>
        </is>
      </c>
      <c r="E18035" t="inlineStr">
        <is>
          <t>TORSBY</t>
        </is>
      </c>
      <c r="G18035" t="n">
        <v>4.6</v>
      </c>
      <c r="H18035" t="n">
        <v>0</v>
      </c>
      <c r="I18035" t="n">
        <v>0</v>
      </c>
      <c r="J18035" t="n">
        <v>0</v>
      </c>
      <c r="K18035" t="n">
        <v>0</v>
      </c>
      <c r="L18035" t="n">
        <v>0</v>
      </c>
      <c r="M18035" t="n">
        <v>0</v>
      </c>
      <c r="N18035" t="n">
        <v>0</v>
      </c>
      <c r="O18035" t="n">
        <v>0</v>
      </c>
      <c r="P18035" t="n">
        <v>0</v>
      </c>
      <c r="Q18035" t="n">
        <v>0</v>
      </c>
      <c r="R18035" s="2" t="inlineStr"/>
    </row>
    <row r="18036" ht="15" customHeight="1">
      <c r="A18036" t="inlineStr">
        <is>
          <t>A 59622-2024</t>
        </is>
      </c>
      <c r="B18036" s="1" t="n">
        <v>45638</v>
      </c>
      <c r="C18036" s="1" t="n">
        <v>45810</v>
      </c>
      <c r="D18036" t="inlineStr">
        <is>
          <t>VÄRMLANDS LÄN</t>
        </is>
      </c>
      <c r="E18036" t="inlineStr">
        <is>
          <t>FILIPSTAD</t>
        </is>
      </c>
      <c r="G18036" t="n">
        <v>2.6</v>
      </c>
      <c r="H18036" t="n">
        <v>0</v>
      </c>
      <c r="I18036" t="n">
        <v>0</v>
      </c>
      <c r="J18036" t="n">
        <v>0</v>
      </c>
      <c r="K18036" t="n">
        <v>0</v>
      </c>
      <c r="L18036" t="n">
        <v>0</v>
      </c>
      <c r="M18036" t="n">
        <v>0</v>
      </c>
      <c r="N18036" t="n">
        <v>0</v>
      </c>
      <c r="O18036" t="n">
        <v>0</v>
      </c>
      <c r="P18036" t="n">
        <v>0</v>
      </c>
      <c r="Q18036" t="n">
        <v>0</v>
      </c>
      <c r="R18036" s="2" t="inlineStr"/>
    </row>
    <row r="18037" ht="15" customHeight="1">
      <c r="A18037" t="inlineStr">
        <is>
          <t>A 59603-2024</t>
        </is>
      </c>
      <c r="B18037" s="1" t="n">
        <v>45638</v>
      </c>
      <c r="C18037" s="1" t="n">
        <v>45810</v>
      </c>
      <c r="D18037" t="inlineStr">
        <is>
          <t>VÄRMLANDS LÄN</t>
        </is>
      </c>
      <c r="E18037" t="inlineStr">
        <is>
          <t>TORSBY</t>
        </is>
      </c>
      <c r="G18037" t="n">
        <v>3.4</v>
      </c>
      <c r="H18037" t="n">
        <v>0</v>
      </c>
      <c r="I18037" t="n">
        <v>0</v>
      </c>
      <c r="J18037" t="n">
        <v>0</v>
      </c>
      <c r="K18037" t="n">
        <v>0</v>
      </c>
      <c r="L18037" t="n">
        <v>0</v>
      </c>
      <c r="M18037" t="n">
        <v>0</v>
      </c>
      <c r="N18037" t="n">
        <v>0</v>
      </c>
      <c r="O18037" t="n">
        <v>0</v>
      </c>
      <c r="P18037" t="n">
        <v>0</v>
      </c>
      <c r="Q18037" t="n">
        <v>0</v>
      </c>
      <c r="R18037" s="2" t="inlineStr"/>
    </row>
    <row r="18038" ht="15" customHeight="1">
      <c r="A18038" t="inlineStr">
        <is>
          <t>A 59624-2024</t>
        </is>
      </c>
      <c r="B18038" s="1" t="n">
        <v>45638</v>
      </c>
      <c r="C18038" s="1" t="n">
        <v>45810</v>
      </c>
      <c r="D18038" t="inlineStr">
        <is>
          <t>VÄRMLANDS LÄN</t>
        </is>
      </c>
      <c r="E18038" t="inlineStr">
        <is>
          <t>FORSHAGA</t>
        </is>
      </c>
      <c r="G18038" t="n">
        <v>2.7</v>
      </c>
      <c r="H18038" t="n">
        <v>0</v>
      </c>
      <c r="I18038" t="n">
        <v>0</v>
      </c>
      <c r="J18038" t="n">
        <v>0</v>
      </c>
      <c r="K18038" t="n">
        <v>0</v>
      </c>
      <c r="L18038" t="n">
        <v>0</v>
      </c>
      <c r="M18038" t="n">
        <v>0</v>
      </c>
      <c r="N18038" t="n">
        <v>0</v>
      </c>
      <c r="O18038" t="n">
        <v>0</v>
      </c>
      <c r="P18038" t="n">
        <v>0</v>
      </c>
      <c r="Q18038" t="n">
        <v>0</v>
      </c>
      <c r="R18038" s="2" t="inlineStr"/>
    </row>
    <row r="18039" ht="15" customHeight="1">
      <c r="A18039" t="inlineStr">
        <is>
          <t>A 59479-2024</t>
        </is>
      </c>
      <c r="B18039" s="1" t="n">
        <v>45638</v>
      </c>
      <c r="C18039" s="1" t="n">
        <v>45810</v>
      </c>
      <c r="D18039" t="inlineStr">
        <is>
          <t>VÄRMLANDS LÄN</t>
        </is>
      </c>
      <c r="E18039" t="inlineStr">
        <is>
          <t>ÅRJÄNG</t>
        </is>
      </c>
      <c r="G18039" t="n">
        <v>2.1</v>
      </c>
      <c r="H18039" t="n">
        <v>0</v>
      </c>
      <c r="I18039" t="n">
        <v>0</v>
      </c>
      <c r="J18039" t="n">
        <v>0</v>
      </c>
      <c r="K18039" t="n">
        <v>0</v>
      </c>
      <c r="L18039" t="n">
        <v>0</v>
      </c>
      <c r="M18039" t="n">
        <v>0</v>
      </c>
      <c r="N18039" t="n">
        <v>0</v>
      </c>
      <c r="O18039" t="n">
        <v>0</v>
      </c>
      <c r="P18039" t="n">
        <v>0</v>
      </c>
      <c r="Q18039" t="n">
        <v>0</v>
      </c>
      <c r="R18039" s="2" t="inlineStr"/>
    </row>
    <row r="18040" ht="15" customHeight="1">
      <c r="A18040" t="inlineStr">
        <is>
          <t>A 59438-2024</t>
        </is>
      </c>
      <c r="B18040" s="1" t="n">
        <v>45638</v>
      </c>
      <c r="C18040" s="1" t="n">
        <v>45810</v>
      </c>
      <c r="D18040" t="inlineStr">
        <is>
          <t>VÄRMLANDS LÄN</t>
        </is>
      </c>
      <c r="E18040" t="inlineStr">
        <is>
          <t>ÅRJÄNG</t>
        </is>
      </c>
      <c r="F18040" t="inlineStr">
        <is>
          <t>Bergvik skog väst AB</t>
        </is>
      </c>
      <c r="G18040" t="n">
        <v>2.8</v>
      </c>
      <c r="H18040" t="n">
        <v>0</v>
      </c>
      <c r="I18040" t="n">
        <v>0</v>
      </c>
      <c r="J18040" t="n">
        <v>0</v>
      </c>
      <c r="K18040" t="n">
        <v>0</v>
      </c>
      <c r="L18040" t="n">
        <v>0</v>
      </c>
      <c r="M18040" t="n">
        <v>0</v>
      </c>
      <c r="N18040" t="n">
        <v>0</v>
      </c>
      <c r="O18040" t="n">
        <v>0</v>
      </c>
      <c r="P18040" t="n">
        <v>0</v>
      </c>
      <c r="Q18040" t="n">
        <v>0</v>
      </c>
      <c r="R18040" s="2" t="inlineStr"/>
    </row>
    <row r="18041" ht="15" customHeight="1">
      <c r="A18041" t="inlineStr">
        <is>
          <t>A 59399-2024</t>
        </is>
      </c>
      <c r="B18041" s="1" t="n">
        <v>45638</v>
      </c>
      <c r="C18041" s="1" t="n">
        <v>45810</v>
      </c>
      <c r="D18041" t="inlineStr">
        <is>
          <t>VÄRMLANDS LÄN</t>
        </is>
      </c>
      <c r="E18041" t="inlineStr">
        <is>
          <t>ARVIKA</t>
        </is>
      </c>
      <c r="F18041" t="inlineStr">
        <is>
          <t>Bergvik skog väst AB</t>
        </is>
      </c>
      <c r="G18041" t="n">
        <v>4.8</v>
      </c>
      <c r="H18041" t="n">
        <v>0</v>
      </c>
      <c r="I18041" t="n">
        <v>0</v>
      </c>
      <c r="J18041" t="n">
        <v>0</v>
      </c>
      <c r="K18041" t="n">
        <v>0</v>
      </c>
      <c r="L18041" t="n">
        <v>0</v>
      </c>
      <c r="M18041" t="n">
        <v>0</v>
      </c>
      <c r="N18041" t="n">
        <v>0</v>
      </c>
      <c r="O18041" t="n">
        <v>0</v>
      </c>
      <c r="P18041" t="n">
        <v>0</v>
      </c>
      <c r="Q18041" t="n">
        <v>0</v>
      </c>
      <c r="R18041" s="2" t="inlineStr"/>
    </row>
    <row r="18042" ht="15" customHeight="1">
      <c r="A18042" t="inlineStr">
        <is>
          <t>A 59628-2024</t>
        </is>
      </c>
      <c r="B18042" s="1" t="n">
        <v>45638</v>
      </c>
      <c r="C18042" s="1" t="n">
        <v>45810</v>
      </c>
      <c r="D18042" t="inlineStr">
        <is>
          <t>VÄRMLANDS LÄN</t>
        </is>
      </c>
      <c r="E18042" t="inlineStr">
        <is>
          <t>ARVIKA</t>
        </is>
      </c>
      <c r="G18042" t="n">
        <v>2.2</v>
      </c>
      <c r="H18042" t="n">
        <v>0</v>
      </c>
      <c r="I18042" t="n">
        <v>0</v>
      </c>
      <c r="J18042" t="n">
        <v>0</v>
      </c>
      <c r="K18042" t="n">
        <v>0</v>
      </c>
      <c r="L18042" t="n">
        <v>0</v>
      </c>
      <c r="M18042" t="n">
        <v>0</v>
      </c>
      <c r="N18042" t="n">
        <v>0</v>
      </c>
      <c r="O18042" t="n">
        <v>0</v>
      </c>
      <c r="P18042" t="n">
        <v>0</v>
      </c>
      <c r="Q18042" t="n">
        <v>0</v>
      </c>
      <c r="R18042" s="2" t="inlineStr"/>
    </row>
    <row r="18043" ht="15" customHeight="1">
      <c r="A18043" t="inlineStr">
        <is>
          <t>A 59632-2024</t>
        </is>
      </c>
      <c r="B18043" s="1" t="n">
        <v>45638</v>
      </c>
      <c r="C18043" s="1" t="n">
        <v>45810</v>
      </c>
      <c r="D18043" t="inlineStr">
        <is>
          <t>VÄRMLANDS LÄN</t>
        </is>
      </c>
      <c r="E18043" t="inlineStr">
        <is>
          <t>SÄFFLE</t>
        </is>
      </c>
      <c r="G18043" t="n">
        <v>1.4</v>
      </c>
      <c r="H18043" t="n">
        <v>0</v>
      </c>
      <c r="I18043" t="n">
        <v>0</v>
      </c>
      <c r="J18043" t="n">
        <v>0</v>
      </c>
      <c r="K18043" t="n">
        <v>0</v>
      </c>
      <c r="L18043" t="n">
        <v>0</v>
      </c>
      <c r="M18043" t="n">
        <v>0</v>
      </c>
      <c r="N18043" t="n">
        <v>0</v>
      </c>
      <c r="O18043" t="n">
        <v>0</v>
      </c>
      <c r="P18043" t="n">
        <v>0</v>
      </c>
      <c r="Q18043" t="n">
        <v>0</v>
      </c>
      <c r="R18043" s="2" t="inlineStr"/>
    </row>
    <row r="18044" ht="15" customHeight="1">
      <c r="A18044" t="inlineStr">
        <is>
          <t>A 59610-2024</t>
        </is>
      </c>
      <c r="B18044" s="1" t="n">
        <v>45638</v>
      </c>
      <c r="C18044" s="1" t="n">
        <v>45810</v>
      </c>
      <c r="D18044" t="inlineStr">
        <is>
          <t>VÄRMLANDS LÄN</t>
        </is>
      </c>
      <c r="E18044" t="inlineStr">
        <is>
          <t>TORSBY</t>
        </is>
      </c>
      <c r="G18044" t="n">
        <v>4.5</v>
      </c>
      <c r="H18044" t="n">
        <v>0</v>
      </c>
      <c r="I18044" t="n">
        <v>0</v>
      </c>
      <c r="J18044" t="n">
        <v>0</v>
      </c>
      <c r="K18044" t="n">
        <v>0</v>
      </c>
      <c r="L18044" t="n">
        <v>0</v>
      </c>
      <c r="M18044" t="n">
        <v>0</v>
      </c>
      <c r="N18044" t="n">
        <v>0</v>
      </c>
      <c r="O18044" t="n">
        <v>0</v>
      </c>
      <c r="P18044" t="n">
        <v>0</v>
      </c>
      <c r="Q18044" t="n">
        <v>0</v>
      </c>
      <c r="R18044" s="2" t="inlineStr"/>
    </row>
    <row r="18045" ht="15" customHeight="1">
      <c r="A18045" t="inlineStr">
        <is>
          <t>A 59528-2024</t>
        </is>
      </c>
      <c r="B18045" s="1" t="n">
        <v>45638</v>
      </c>
      <c r="C18045" s="1" t="n">
        <v>45810</v>
      </c>
      <c r="D18045" t="inlineStr">
        <is>
          <t>VÄRMLANDS LÄN</t>
        </is>
      </c>
      <c r="E18045" t="inlineStr">
        <is>
          <t>KARLSTAD</t>
        </is>
      </c>
      <c r="G18045" t="n">
        <v>1.2</v>
      </c>
      <c r="H18045" t="n">
        <v>0</v>
      </c>
      <c r="I18045" t="n">
        <v>0</v>
      </c>
      <c r="J18045" t="n">
        <v>0</v>
      </c>
      <c r="K18045" t="n">
        <v>0</v>
      </c>
      <c r="L18045" t="n">
        <v>0</v>
      </c>
      <c r="M18045" t="n">
        <v>0</v>
      </c>
      <c r="N18045" t="n">
        <v>0</v>
      </c>
      <c r="O18045" t="n">
        <v>0</v>
      </c>
      <c r="P18045" t="n">
        <v>0</v>
      </c>
      <c r="Q18045" t="n">
        <v>0</v>
      </c>
      <c r="R18045" s="2" t="inlineStr"/>
    </row>
    <row r="18046" ht="15" customHeight="1">
      <c r="A18046" t="inlineStr">
        <is>
          <t>A 59481-2024</t>
        </is>
      </c>
      <c r="B18046" s="1" t="n">
        <v>45638</v>
      </c>
      <c r="C18046" s="1" t="n">
        <v>45810</v>
      </c>
      <c r="D18046" t="inlineStr">
        <is>
          <t>VÄRMLANDS LÄN</t>
        </is>
      </c>
      <c r="E18046" t="inlineStr">
        <is>
          <t>HAGFORS</t>
        </is>
      </c>
      <c r="F18046" t="inlineStr">
        <is>
          <t>Bergvik skog väst AB</t>
        </is>
      </c>
      <c r="G18046" t="n">
        <v>4.6</v>
      </c>
      <c r="H18046" t="n">
        <v>0</v>
      </c>
      <c r="I18046" t="n">
        <v>0</v>
      </c>
      <c r="J18046" t="n">
        <v>0</v>
      </c>
      <c r="K18046" t="n">
        <v>0</v>
      </c>
      <c r="L18046" t="n">
        <v>0</v>
      </c>
      <c r="M18046" t="n">
        <v>0</v>
      </c>
      <c r="N18046" t="n">
        <v>0</v>
      </c>
      <c r="O18046" t="n">
        <v>0</v>
      </c>
      <c r="P18046" t="n">
        <v>0</v>
      </c>
      <c r="Q18046" t="n">
        <v>0</v>
      </c>
      <c r="R18046" s="2" t="inlineStr"/>
    </row>
    <row r="18047" ht="15" customHeight="1">
      <c r="A18047" t="inlineStr">
        <is>
          <t>A 59436-2024</t>
        </is>
      </c>
      <c r="B18047" s="1" t="n">
        <v>45638</v>
      </c>
      <c r="C18047" s="1" t="n">
        <v>45810</v>
      </c>
      <c r="D18047" t="inlineStr">
        <is>
          <t>VÄRMLANDS LÄN</t>
        </is>
      </c>
      <c r="E18047" t="inlineStr">
        <is>
          <t>FILIPSTAD</t>
        </is>
      </c>
      <c r="F18047" t="inlineStr">
        <is>
          <t>Kyrkan</t>
        </is>
      </c>
      <c r="G18047" t="n">
        <v>3.7</v>
      </c>
      <c r="H18047" t="n">
        <v>0</v>
      </c>
      <c r="I18047" t="n">
        <v>0</v>
      </c>
      <c r="J18047" t="n">
        <v>0</v>
      </c>
      <c r="K18047" t="n">
        <v>0</v>
      </c>
      <c r="L18047" t="n">
        <v>0</v>
      </c>
      <c r="M18047" t="n">
        <v>0</v>
      </c>
      <c r="N18047" t="n">
        <v>0</v>
      </c>
      <c r="O18047" t="n">
        <v>0</v>
      </c>
      <c r="P18047" t="n">
        <v>0</v>
      </c>
      <c r="Q18047" t="n">
        <v>0</v>
      </c>
      <c r="R18047" s="2" t="inlineStr"/>
    </row>
    <row r="18048" ht="15" customHeight="1">
      <c r="A18048" t="inlineStr">
        <is>
          <t>A 59428-2024</t>
        </is>
      </c>
      <c r="B18048" s="1" t="n">
        <v>45638</v>
      </c>
      <c r="C18048" s="1" t="n">
        <v>45810</v>
      </c>
      <c r="D18048" t="inlineStr">
        <is>
          <t>VÄRMLANDS LÄN</t>
        </is>
      </c>
      <c r="E18048" t="inlineStr">
        <is>
          <t>TORSBY</t>
        </is>
      </c>
      <c r="G18048" t="n">
        <v>8.699999999999999</v>
      </c>
      <c r="H18048" t="n">
        <v>0</v>
      </c>
      <c r="I18048" t="n">
        <v>0</v>
      </c>
      <c r="J18048" t="n">
        <v>0</v>
      </c>
      <c r="K18048" t="n">
        <v>0</v>
      </c>
      <c r="L18048" t="n">
        <v>0</v>
      </c>
      <c r="M18048" t="n">
        <v>0</v>
      </c>
      <c r="N18048" t="n">
        <v>0</v>
      </c>
      <c r="O18048" t="n">
        <v>0</v>
      </c>
      <c r="P18048" t="n">
        <v>0</v>
      </c>
      <c r="Q18048" t="n">
        <v>0</v>
      </c>
      <c r="R18048" s="2" t="inlineStr"/>
    </row>
    <row r="18049" ht="15" customHeight="1">
      <c r="A18049" t="inlineStr">
        <is>
          <t>A 59371-2024</t>
        </is>
      </c>
      <c r="B18049" s="1" t="n">
        <v>45638</v>
      </c>
      <c r="C18049" s="1" t="n">
        <v>45810</v>
      </c>
      <c r="D18049" t="inlineStr">
        <is>
          <t>VÄRMLANDS LÄN</t>
        </is>
      </c>
      <c r="E18049" t="inlineStr">
        <is>
          <t>SUNNE</t>
        </is>
      </c>
      <c r="F18049" t="inlineStr">
        <is>
          <t>Bergvik skog väst AB</t>
        </is>
      </c>
      <c r="G18049" t="n">
        <v>3.9</v>
      </c>
      <c r="H18049" t="n">
        <v>0</v>
      </c>
      <c r="I18049" t="n">
        <v>0</v>
      </c>
      <c r="J18049" t="n">
        <v>0</v>
      </c>
      <c r="K18049" t="n">
        <v>0</v>
      </c>
      <c r="L18049" t="n">
        <v>0</v>
      </c>
      <c r="M18049" t="n">
        <v>0</v>
      </c>
      <c r="N18049" t="n">
        <v>0</v>
      </c>
      <c r="O18049" t="n">
        <v>0</v>
      </c>
      <c r="P18049" t="n">
        <v>0</v>
      </c>
      <c r="Q18049" t="n">
        <v>0</v>
      </c>
      <c r="R18049" s="2" t="inlineStr"/>
    </row>
    <row r="18050" ht="15" customHeight="1">
      <c r="A18050" t="inlineStr">
        <is>
          <t>A 59449-2024</t>
        </is>
      </c>
      <c r="B18050" s="1" t="n">
        <v>45638</v>
      </c>
      <c r="C18050" s="1" t="n">
        <v>45810</v>
      </c>
      <c r="D18050" t="inlineStr">
        <is>
          <t>VÄRMLANDS LÄN</t>
        </is>
      </c>
      <c r="E18050" t="inlineStr">
        <is>
          <t>HAGFORS</t>
        </is>
      </c>
      <c r="G18050" t="n">
        <v>3.7</v>
      </c>
      <c r="H18050" t="n">
        <v>0</v>
      </c>
      <c r="I18050" t="n">
        <v>0</v>
      </c>
      <c r="J18050" t="n">
        <v>0</v>
      </c>
      <c r="K18050" t="n">
        <v>0</v>
      </c>
      <c r="L18050" t="n">
        <v>0</v>
      </c>
      <c r="M18050" t="n">
        <v>0</v>
      </c>
      <c r="N18050" t="n">
        <v>0</v>
      </c>
      <c r="O18050" t="n">
        <v>0</v>
      </c>
      <c r="P18050" t="n">
        <v>0</v>
      </c>
      <c r="Q18050" t="n">
        <v>0</v>
      </c>
      <c r="R18050" s="2" t="inlineStr"/>
    </row>
    <row r="18051" ht="15" customHeight="1">
      <c r="A18051" t="inlineStr">
        <is>
          <t>A 59723-2024</t>
        </is>
      </c>
      <c r="B18051" s="1" t="n">
        <v>45639</v>
      </c>
      <c r="C18051" s="1" t="n">
        <v>45810</v>
      </c>
      <c r="D18051" t="inlineStr">
        <is>
          <t>VÄRMLANDS LÄN</t>
        </is>
      </c>
      <c r="E18051" t="inlineStr">
        <is>
          <t>SÄFFLE</t>
        </is>
      </c>
      <c r="G18051" t="n">
        <v>4.4</v>
      </c>
      <c r="H18051" t="n">
        <v>0</v>
      </c>
      <c r="I18051" t="n">
        <v>0</v>
      </c>
      <c r="J18051" t="n">
        <v>0</v>
      </c>
      <c r="K18051" t="n">
        <v>0</v>
      </c>
      <c r="L18051" t="n">
        <v>0</v>
      </c>
      <c r="M18051" t="n">
        <v>0</v>
      </c>
      <c r="N18051" t="n">
        <v>0</v>
      </c>
      <c r="O18051" t="n">
        <v>0</v>
      </c>
      <c r="P18051" t="n">
        <v>0</v>
      </c>
      <c r="Q18051" t="n">
        <v>0</v>
      </c>
      <c r="R18051" s="2" t="inlineStr"/>
    </row>
    <row r="18052" ht="15" customHeight="1">
      <c r="A18052" t="inlineStr">
        <is>
          <t>A 59731-2024</t>
        </is>
      </c>
      <c r="B18052" s="1" t="n">
        <v>45639</v>
      </c>
      <c r="C18052" s="1" t="n">
        <v>45810</v>
      </c>
      <c r="D18052" t="inlineStr">
        <is>
          <t>VÄRMLANDS LÄN</t>
        </is>
      </c>
      <c r="E18052" t="inlineStr">
        <is>
          <t>SÄFFLE</t>
        </is>
      </c>
      <c r="G18052" t="n">
        <v>1.1</v>
      </c>
      <c r="H18052" t="n">
        <v>0</v>
      </c>
      <c r="I18052" t="n">
        <v>0</v>
      </c>
      <c r="J18052" t="n">
        <v>0</v>
      </c>
      <c r="K18052" t="n">
        <v>0</v>
      </c>
      <c r="L18052" t="n">
        <v>0</v>
      </c>
      <c r="M18052" t="n">
        <v>0</v>
      </c>
      <c r="N18052" t="n">
        <v>0</v>
      </c>
      <c r="O18052" t="n">
        <v>0</v>
      </c>
      <c r="P18052" t="n">
        <v>0</v>
      </c>
      <c r="Q18052" t="n">
        <v>0</v>
      </c>
      <c r="R18052" s="2" t="inlineStr"/>
    </row>
    <row r="18053" ht="15" customHeight="1">
      <c r="A18053" t="inlineStr">
        <is>
          <t>A 59812-2024</t>
        </is>
      </c>
      <c r="B18053" s="1" t="n">
        <v>45639</v>
      </c>
      <c r="C18053" s="1" t="n">
        <v>45810</v>
      </c>
      <c r="D18053" t="inlineStr">
        <is>
          <t>VÄRMLANDS LÄN</t>
        </is>
      </c>
      <c r="E18053" t="inlineStr">
        <is>
          <t>SÄFFLE</t>
        </is>
      </c>
      <c r="G18053" t="n">
        <v>8.1</v>
      </c>
      <c r="H18053" t="n">
        <v>0</v>
      </c>
      <c r="I18053" t="n">
        <v>0</v>
      </c>
      <c r="J18053" t="n">
        <v>0</v>
      </c>
      <c r="K18053" t="n">
        <v>0</v>
      </c>
      <c r="L18053" t="n">
        <v>0</v>
      </c>
      <c r="M18053" t="n">
        <v>0</v>
      </c>
      <c r="N18053" t="n">
        <v>0</v>
      </c>
      <c r="O18053" t="n">
        <v>0</v>
      </c>
      <c r="P18053" t="n">
        <v>0</v>
      </c>
      <c r="Q18053" t="n">
        <v>0</v>
      </c>
      <c r="R18053" s="2" t="inlineStr"/>
    </row>
    <row r="18054" ht="15" customHeight="1">
      <c r="A18054" t="inlineStr">
        <is>
          <t>A 59734-2024</t>
        </is>
      </c>
      <c r="B18054" s="1" t="n">
        <v>45639</v>
      </c>
      <c r="C18054" s="1" t="n">
        <v>45810</v>
      </c>
      <c r="D18054" t="inlineStr">
        <is>
          <t>VÄRMLANDS LÄN</t>
        </is>
      </c>
      <c r="E18054" t="inlineStr">
        <is>
          <t>SÄFFLE</t>
        </is>
      </c>
      <c r="G18054" t="n">
        <v>2.8</v>
      </c>
      <c r="H18054" t="n">
        <v>0</v>
      </c>
      <c r="I18054" t="n">
        <v>0</v>
      </c>
      <c r="J18054" t="n">
        <v>0</v>
      </c>
      <c r="K18054" t="n">
        <v>0</v>
      </c>
      <c r="L18054" t="n">
        <v>0</v>
      </c>
      <c r="M18054" t="n">
        <v>0</v>
      </c>
      <c r="N18054" t="n">
        <v>0</v>
      </c>
      <c r="O18054" t="n">
        <v>0</v>
      </c>
      <c r="P18054" t="n">
        <v>0</v>
      </c>
      <c r="Q18054" t="n">
        <v>0</v>
      </c>
      <c r="R18054" s="2" t="inlineStr"/>
    </row>
    <row r="18055" ht="15" customHeight="1">
      <c r="A18055" t="inlineStr">
        <is>
          <t>A 59810-2024</t>
        </is>
      </c>
      <c r="B18055" s="1" t="n">
        <v>45639</v>
      </c>
      <c r="C18055" s="1" t="n">
        <v>45810</v>
      </c>
      <c r="D18055" t="inlineStr">
        <is>
          <t>VÄRMLANDS LÄN</t>
        </is>
      </c>
      <c r="E18055" t="inlineStr">
        <is>
          <t>ÅRJÄNG</t>
        </is>
      </c>
      <c r="G18055" t="n">
        <v>3.4</v>
      </c>
      <c r="H18055" t="n">
        <v>0</v>
      </c>
      <c r="I18055" t="n">
        <v>0</v>
      </c>
      <c r="J18055" t="n">
        <v>0</v>
      </c>
      <c r="K18055" t="n">
        <v>0</v>
      </c>
      <c r="L18055" t="n">
        <v>0</v>
      </c>
      <c r="M18055" t="n">
        <v>0</v>
      </c>
      <c r="N18055" t="n">
        <v>0</v>
      </c>
      <c r="O18055" t="n">
        <v>0</v>
      </c>
      <c r="P18055" t="n">
        <v>0</v>
      </c>
      <c r="Q18055" t="n">
        <v>0</v>
      </c>
      <c r="R18055" s="2" t="inlineStr"/>
    </row>
    <row r="18056" ht="15" customHeight="1">
      <c r="A18056" t="inlineStr">
        <is>
          <t>A 59814-2024</t>
        </is>
      </c>
      <c r="B18056" s="1" t="n">
        <v>45639</v>
      </c>
      <c r="C18056" s="1" t="n">
        <v>45810</v>
      </c>
      <c r="D18056" t="inlineStr">
        <is>
          <t>VÄRMLANDS LÄN</t>
        </is>
      </c>
      <c r="E18056" t="inlineStr">
        <is>
          <t>HAGFORS</t>
        </is>
      </c>
      <c r="F18056" t="inlineStr">
        <is>
          <t>Bergvik skog väst AB</t>
        </is>
      </c>
      <c r="G18056" t="n">
        <v>5.6</v>
      </c>
      <c r="H18056" t="n">
        <v>0</v>
      </c>
      <c r="I18056" t="n">
        <v>0</v>
      </c>
      <c r="J18056" t="n">
        <v>0</v>
      </c>
      <c r="K18056" t="n">
        <v>0</v>
      </c>
      <c r="L18056" t="n">
        <v>0</v>
      </c>
      <c r="M18056" t="n">
        <v>0</v>
      </c>
      <c r="N18056" t="n">
        <v>0</v>
      </c>
      <c r="O18056" t="n">
        <v>0</v>
      </c>
      <c r="P18056" t="n">
        <v>0</v>
      </c>
      <c r="Q18056" t="n">
        <v>0</v>
      </c>
      <c r="R18056" s="2" t="inlineStr"/>
    </row>
    <row r="18057" ht="15" customHeight="1">
      <c r="A18057" t="inlineStr">
        <is>
          <t>A 59791-2024</t>
        </is>
      </c>
      <c r="B18057" s="1" t="n">
        <v>45639</v>
      </c>
      <c r="C18057" s="1" t="n">
        <v>45810</v>
      </c>
      <c r="D18057" t="inlineStr">
        <is>
          <t>VÄRMLANDS LÄN</t>
        </is>
      </c>
      <c r="E18057" t="inlineStr">
        <is>
          <t>KRISTINEHAMN</t>
        </is>
      </c>
      <c r="G18057" t="n">
        <v>4.1</v>
      </c>
      <c r="H18057" t="n">
        <v>0</v>
      </c>
      <c r="I18057" t="n">
        <v>0</v>
      </c>
      <c r="J18057" t="n">
        <v>0</v>
      </c>
      <c r="K18057" t="n">
        <v>0</v>
      </c>
      <c r="L18057" t="n">
        <v>0</v>
      </c>
      <c r="M18057" t="n">
        <v>0</v>
      </c>
      <c r="N18057" t="n">
        <v>0</v>
      </c>
      <c r="O18057" t="n">
        <v>0</v>
      </c>
      <c r="P18057" t="n">
        <v>0</v>
      </c>
      <c r="Q18057" t="n">
        <v>0</v>
      </c>
      <c r="R18057" s="2" t="inlineStr"/>
    </row>
    <row r="18058" ht="15" customHeight="1">
      <c r="A18058" t="inlineStr">
        <is>
          <t>A 59807-2024</t>
        </is>
      </c>
      <c r="B18058" s="1" t="n">
        <v>45639</v>
      </c>
      <c r="C18058" s="1" t="n">
        <v>45810</v>
      </c>
      <c r="D18058" t="inlineStr">
        <is>
          <t>VÄRMLANDS LÄN</t>
        </is>
      </c>
      <c r="E18058" t="inlineStr">
        <is>
          <t>SÄFFLE</t>
        </is>
      </c>
      <c r="G18058" t="n">
        <v>1</v>
      </c>
      <c r="H18058" t="n">
        <v>0</v>
      </c>
      <c r="I18058" t="n">
        <v>0</v>
      </c>
      <c r="J18058" t="n">
        <v>0</v>
      </c>
      <c r="K18058" t="n">
        <v>0</v>
      </c>
      <c r="L18058" t="n">
        <v>0</v>
      </c>
      <c r="M18058" t="n">
        <v>0</v>
      </c>
      <c r="N18058" t="n">
        <v>0</v>
      </c>
      <c r="O18058" t="n">
        <v>0</v>
      </c>
      <c r="P18058" t="n">
        <v>0</v>
      </c>
      <c r="Q18058" t="n">
        <v>0</v>
      </c>
      <c r="R18058" s="2" t="inlineStr"/>
    </row>
    <row r="18059" ht="15" customHeight="1">
      <c r="A18059" t="inlineStr">
        <is>
          <t>A 59737-2024</t>
        </is>
      </c>
      <c r="B18059" s="1" t="n">
        <v>45639</v>
      </c>
      <c r="C18059" s="1" t="n">
        <v>45810</v>
      </c>
      <c r="D18059" t="inlineStr">
        <is>
          <t>VÄRMLANDS LÄN</t>
        </is>
      </c>
      <c r="E18059" t="inlineStr">
        <is>
          <t>SÄFFLE</t>
        </is>
      </c>
      <c r="G18059" t="n">
        <v>1.5</v>
      </c>
      <c r="H18059" t="n">
        <v>0</v>
      </c>
      <c r="I18059" t="n">
        <v>0</v>
      </c>
      <c r="J18059" t="n">
        <v>0</v>
      </c>
      <c r="K18059" t="n">
        <v>0</v>
      </c>
      <c r="L18059" t="n">
        <v>0</v>
      </c>
      <c r="M18059" t="n">
        <v>0</v>
      </c>
      <c r="N18059" t="n">
        <v>0</v>
      </c>
      <c r="O18059" t="n">
        <v>0</v>
      </c>
      <c r="P18059" t="n">
        <v>0</v>
      </c>
      <c r="Q18059" t="n">
        <v>0</v>
      </c>
      <c r="R18059" s="2" t="inlineStr"/>
    </row>
    <row r="18060" ht="15" customHeight="1">
      <c r="A18060" t="inlineStr">
        <is>
          <t>A 59729-2024</t>
        </is>
      </c>
      <c r="B18060" s="1" t="n">
        <v>45639</v>
      </c>
      <c r="C18060" s="1" t="n">
        <v>45810</v>
      </c>
      <c r="D18060" t="inlineStr">
        <is>
          <t>VÄRMLANDS LÄN</t>
        </is>
      </c>
      <c r="E18060" t="inlineStr">
        <is>
          <t>SÄFFLE</t>
        </is>
      </c>
      <c r="G18060" t="n">
        <v>4.6</v>
      </c>
      <c r="H18060" t="n">
        <v>0</v>
      </c>
      <c r="I18060" t="n">
        <v>0</v>
      </c>
      <c r="J18060" t="n">
        <v>0</v>
      </c>
      <c r="K18060" t="n">
        <v>0</v>
      </c>
      <c r="L18060" t="n">
        <v>0</v>
      </c>
      <c r="M18060" t="n">
        <v>0</v>
      </c>
      <c r="N18060" t="n">
        <v>0</v>
      </c>
      <c r="O18060" t="n">
        <v>0</v>
      </c>
      <c r="P18060" t="n">
        <v>0</v>
      </c>
      <c r="Q18060" t="n">
        <v>0</v>
      </c>
      <c r="R18060" s="2" t="inlineStr"/>
    </row>
    <row r="18061" ht="15" customHeight="1">
      <c r="A18061" t="inlineStr">
        <is>
          <t>A 59708-2024</t>
        </is>
      </c>
      <c r="B18061" s="1" t="n">
        <v>45639</v>
      </c>
      <c r="C18061" s="1" t="n">
        <v>45810</v>
      </c>
      <c r="D18061" t="inlineStr">
        <is>
          <t>VÄRMLANDS LÄN</t>
        </is>
      </c>
      <c r="E18061" t="inlineStr">
        <is>
          <t>ARVIKA</t>
        </is>
      </c>
      <c r="G18061" t="n">
        <v>1.9</v>
      </c>
      <c r="H18061" t="n">
        <v>0</v>
      </c>
      <c r="I18061" t="n">
        <v>0</v>
      </c>
      <c r="J18061" t="n">
        <v>0</v>
      </c>
      <c r="K18061" t="n">
        <v>0</v>
      </c>
      <c r="L18061" t="n">
        <v>0</v>
      </c>
      <c r="M18061" t="n">
        <v>0</v>
      </c>
      <c r="N18061" t="n">
        <v>0</v>
      </c>
      <c r="O18061" t="n">
        <v>0</v>
      </c>
      <c r="P18061" t="n">
        <v>0</v>
      </c>
      <c r="Q18061" t="n">
        <v>0</v>
      </c>
      <c r="R18061" s="2" t="inlineStr"/>
    </row>
    <row r="18062" ht="15" customHeight="1">
      <c r="A18062" t="inlineStr">
        <is>
          <t>A 59862-2024</t>
        </is>
      </c>
      <c r="B18062" s="1" t="n">
        <v>45639</v>
      </c>
      <c r="C18062" s="1" t="n">
        <v>45810</v>
      </c>
      <c r="D18062" t="inlineStr">
        <is>
          <t>VÄRMLANDS LÄN</t>
        </is>
      </c>
      <c r="E18062" t="inlineStr">
        <is>
          <t>KRISTINEHAMN</t>
        </is>
      </c>
      <c r="G18062" t="n">
        <v>1.6</v>
      </c>
      <c r="H18062" t="n">
        <v>0</v>
      </c>
      <c r="I18062" t="n">
        <v>0</v>
      </c>
      <c r="J18062" t="n">
        <v>0</v>
      </c>
      <c r="K18062" t="n">
        <v>0</v>
      </c>
      <c r="L18062" t="n">
        <v>0</v>
      </c>
      <c r="M18062" t="n">
        <v>0</v>
      </c>
      <c r="N18062" t="n">
        <v>0</v>
      </c>
      <c r="O18062" t="n">
        <v>0</v>
      </c>
      <c r="P18062" t="n">
        <v>0</v>
      </c>
      <c r="Q18062" t="n">
        <v>0</v>
      </c>
      <c r="R18062" s="2" t="inlineStr"/>
    </row>
    <row r="18063" ht="15" customHeight="1">
      <c r="A18063" t="inlineStr">
        <is>
          <t>A 60083-2024</t>
        </is>
      </c>
      <c r="B18063" s="1" t="n">
        <v>45639</v>
      </c>
      <c r="C18063" s="1" t="n">
        <v>45810</v>
      </c>
      <c r="D18063" t="inlineStr">
        <is>
          <t>VÄRMLANDS LÄN</t>
        </is>
      </c>
      <c r="E18063" t="inlineStr">
        <is>
          <t>HAGFORS</t>
        </is>
      </c>
      <c r="G18063" t="n">
        <v>1.6</v>
      </c>
      <c r="H18063" t="n">
        <v>0</v>
      </c>
      <c r="I18063" t="n">
        <v>0</v>
      </c>
      <c r="J18063" t="n">
        <v>0</v>
      </c>
      <c r="K18063" t="n">
        <v>0</v>
      </c>
      <c r="L18063" t="n">
        <v>0</v>
      </c>
      <c r="M18063" t="n">
        <v>0</v>
      </c>
      <c r="N18063" t="n">
        <v>0</v>
      </c>
      <c r="O18063" t="n">
        <v>0</v>
      </c>
      <c r="P18063" t="n">
        <v>0</v>
      </c>
      <c r="Q18063" t="n">
        <v>0</v>
      </c>
      <c r="R18063" s="2" t="inlineStr"/>
    </row>
    <row r="18064" ht="15" customHeight="1">
      <c r="A18064" t="inlineStr">
        <is>
          <t>A 60142-2024</t>
        </is>
      </c>
      <c r="B18064" s="1" t="n">
        <v>45639</v>
      </c>
      <c r="C18064" s="1" t="n">
        <v>45810</v>
      </c>
      <c r="D18064" t="inlineStr">
        <is>
          <t>VÄRMLANDS LÄN</t>
        </is>
      </c>
      <c r="E18064" t="inlineStr">
        <is>
          <t>HAGFORS</t>
        </is>
      </c>
      <c r="G18064" t="n">
        <v>1.3</v>
      </c>
      <c r="H18064" t="n">
        <v>0</v>
      </c>
      <c r="I18064" t="n">
        <v>0</v>
      </c>
      <c r="J18064" t="n">
        <v>0</v>
      </c>
      <c r="K18064" t="n">
        <v>0</v>
      </c>
      <c r="L18064" t="n">
        <v>0</v>
      </c>
      <c r="M18064" t="n">
        <v>0</v>
      </c>
      <c r="N18064" t="n">
        <v>0</v>
      </c>
      <c r="O18064" t="n">
        <v>0</v>
      </c>
      <c r="P18064" t="n">
        <v>0</v>
      </c>
      <c r="Q18064" t="n">
        <v>0</v>
      </c>
      <c r="R18064" s="2" t="inlineStr"/>
    </row>
    <row r="18065" ht="15" customHeight="1">
      <c r="A18065" t="inlineStr">
        <is>
          <t>A 59666-2024</t>
        </is>
      </c>
      <c r="B18065" s="1" t="n">
        <v>45639</v>
      </c>
      <c r="C18065" s="1" t="n">
        <v>45810</v>
      </c>
      <c r="D18065" t="inlineStr">
        <is>
          <t>VÄRMLANDS LÄN</t>
        </is>
      </c>
      <c r="E18065" t="inlineStr">
        <is>
          <t>HAGFORS</t>
        </is>
      </c>
      <c r="F18065" t="inlineStr">
        <is>
          <t>Bergvik skog väst AB</t>
        </is>
      </c>
      <c r="G18065" t="n">
        <v>3.6</v>
      </c>
      <c r="H18065" t="n">
        <v>0</v>
      </c>
      <c r="I18065" t="n">
        <v>0</v>
      </c>
      <c r="J18065" t="n">
        <v>0</v>
      </c>
      <c r="K18065" t="n">
        <v>0</v>
      </c>
      <c r="L18065" t="n">
        <v>0</v>
      </c>
      <c r="M18065" t="n">
        <v>0</v>
      </c>
      <c r="N18065" t="n">
        <v>0</v>
      </c>
      <c r="O18065" t="n">
        <v>0</v>
      </c>
      <c r="P18065" t="n">
        <v>0</v>
      </c>
      <c r="Q18065" t="n">
        <v>0</v>
      </c>
      <c r="R18065" s="2" t="inlineStr"/>
    </row>
    <row r="18066" ht="15" customHeight="1">
      <c r="A18066" t="inlineStr">
        <is>
          <t>A 59780-2024</t>
        </is>
      </c>
      <c r="B18066" s="1" t="n">
        <v>45639</v>
      </c>
      <c r="C18066" s="1" t="n">
        <v>45810</v>
      </c>
      <c r="D18066" t="inlineStr">
        <is>
          <t>VÄRMLANDS LÄN</t>
        </is>
      </c>
      <c r="E18066" t="inlineStr">
        <is>
          <t>TORSBY</t>
        </is>
      </c>
      <c r="G18066" t="n">
        <v>13.1</v>
      </c>
      <c r="H18066" t="n">
        <v>0</v>
      </c>
      <c r="I18066" t="n">
        <v>0</v>
      </c>
      <c r="J18066" t="n">
        <v>0</v>
      </c>
      <c r="K18066" t="n">
        <v>0</v>
      </c>
      <c r="L18066" t="n">
        <v>0</v>
      </c>
      <c r="M18066" t="n">
        <v>0</v>
      </c>
      <c r="N18066" t="n">
        <v>0</v>
      </c>
      <c r="O18066" t="n">
        <v>0</v>
      </c>
      <c r="P18066" t="n">
        <v>0</v>
      </c>
      <c r="Q18066" t="n">
        <v>0</v>
      </c>
      <c r="R18066" s="2" t="inlineStr"/>
    </row>
    <row r="18067" ht="15" customHeight="1">
      <c r="A18067" t="inlineStr">
        <is>
          <t>A 59732-2024</t>
        </is>
      </c>
      <c r="B18067" s="1" t="n">
        <v>45639</v>
      </c>
      <c r="C18067" s="1" t="n">
        <v>45810</v>
      </c>
      <c r="D18067" t="inlineStr">
        <is>
          <t>VÄRMLANDS LÄN</t>
        </is>
      </c>
      <c r="E18067" t="inlineStr">
        <is>
          <t>SÄFFLE</t>
        </is>
      </c>
      <c r="G18067" t="n">
        <v>4.6</v>
      </c>
      <c r="H18067" t="n">
        <v>0</v>
      </c>
      <c r="I18067" t="n">
        <v>0</v>
      </c>
      <c r="J18067" t="n">
        <v>0</v>
      </c>
      <c r="K18067" t="n">
        <v>0</v>
      </c>
      <c r="L18067" t="n">
        <v>0</v>
      </c>
      <c r="M18067" t="n">
        <v>0</v>
      </c>
      <c r="N18067" t="n">
        <v>0</v>
      </c>
      <c r="O18067" t="n">
        <v>0</v>
      </c>
      <c r="P18067" t="n">
        <v>0</v>
      </c>
      <c r="Q18067" t="n">
        <v>0</v>
      </c>
      <c r="R18067" s="2" t="inlineStr"/>
    </row>
    <row r="18068" ht="15" customHeight="1">
      <c r="A18068" t="inlineStr">
        <is>
          <t>A 59686-2024</t>
        </is>
      </c>
      <c r="B18068" s="1" t="n">
        <v>45639</v>
      </c>
      <c r="C18068" s="1" t="n">
        <v>45810</v>
      </c>
      <c r="D18068" t="inlineStr">
        <is>
          <t>VÄRMLANDS LÄN</t>
        </is>
      </c>
      <c r="E18068" t="inlineStr">
        <is>
          <t>KRISTINEHAMN</t>
        </is>
      </c>
      <c r="G18068" t="n">
        <v>3.1</v>
      </c>
      <c r="H18068" t="n">
        <v>0</v>
      </c>
      <c r="I18068" t="n">
        <v>0</v>
      </c>
      <c r="J18068" t="n">
        <v>0</v>
      </c>
      <c r="K18068" t="n">
        <v>0</v>
      </c>
      <c r="L18068" t="n">
        <v>0</v>
      </c>
      <c r="M18068" t="n">
        <v>0</v>
      </c>
      <c r="N18068" t="n">
        <v>0</v>
      </c>
      <c r="O18068" t="n">
        <v>0</v>
      </c>
      <c r="P18068" t="n">
        <v>0</v>
      </c>
      <c r="Q18068" t="n">
        <v>0</v>
      </c>
      <c r="R18068" s="2" t="inlineStr"/>
    </row>
    <row r="18069" ht="15" customHeight="1">
      <c r="A18069" t="inlineStr">
        <is>
          <t>A 59645-2024</t>
        </is>
      </c>
      <c r="B18069" s="1" t="n">
        <v>45639</v>
      </c>
      <c r="C18069" s="1" t="n">
        <v>45810</v>
      </c>
      <c r="D18069" t="inlineStr">
        <is>
          <t>VÄRMLANDS LÄN</t>
        </is>
      </c>
      <c r="E18069" t="inlineStr">
        <is>
          <t>EDA</t>
        </is>
      </c>
      <c r="G18069" t="n">
        <v>0.8</v>
      </c>
      <c r="H18069" t="n">
        <v>0</v>
      </c>
      <c r="I18069" t="n">
        <v>0</v>
      </c>
      <c r="J18069" t="n">
        <v>0</v>
      </c>
      <c r="K18069" t="n">
        <v>0</v>
      </c>
      <c r="L18069" t="n">
        <v>0</v>
      </c>
      <c r="M18069" t="n">
        <v>0</v>
      </c>
      <c r="N18069" t="n">
        <v>0</v>
      </c>
      <c r="O18069" t="n">
        <v>0</v>
      </c>
      <c r="P18069" t="n">
        <v>0</v>
      </c>
      <c r="Q18069" t="n">
        <v>0</v>
      </c>
      <c r="R18069" s="2" t="inlineStr"/>
    </row>
    <row r="18070" ht="15" customHeight="1">
      <c r="A18070" t="inlineStr">
        <is>
          <t>A 59871-2024</t>
        </is>
      </c>
      <c r="B18070" s="1" t="n">
        <v>45640</v>
      </c>
      <c r="C18070" s="1" t="n">
        <v>45810</v>
      </c>
      <c r="D18070" t="inlineStr">
        <is>
          <t>VÄRMLANDS LÄN</t>
        </is>
      </c>
      <c r="E18070" t="inlineStr">
        <is>
          <t>KIL</t>
        </is>
      </c>
      <c r="G18070" t="n">
        <v>2</v>
      </c>
      <c r="H18070" t="n">
        <v>0</v>
      </c>
      <c r="I18070" t="n">
        <v>0</v>
      </c>
      <c r="J18070" t="n">
        <v>0</v>
      </c>
      <c r="K18070" t="n">
        <v>0</v>
      </c>
      <c r="L18070" t="n">
        <v>0</v>
      </c>
      <c r="M18070" t="n">
        <v>0</v>
      </c>
      <c r="N18070" t="n">
        <v>0</v>
      </c>
      <c r="O18070" t="n">
        <v>0</v>
      </c>
      <c r="P18070" t="n">
        <v>0</v>
      </c>
      <c r="Q18070" t="n">
        <v>0</v>
      </c>
      <c r="R18070" s="2" t="inlineStr"/>
    </row>
    <row r="18071" ht="15" customHeight="1">
      <c r="A18071" t="inlineStr">
        <is>
          <t>A 59869-2024</t>
        </is>
      </c>
      <c r="B18071" s="1" t="n">
        <v>45640</v>
      </c>
      <c r="C18071" s="1" t="n">
        <v>45810</v>
      </c>
      <c r="D18071" t="inlineStr">
        <is>
          <t>VÄRMLANDS LÄN</t>
        </is>
      </c>
      <c r="E18071" t="inlineStr">
        <is>
          <t>FILIPSTAD</t>
        </is>
      </c>
      <c r="G18071" t="n">
        <v>2.2</v>
      </c>
      <c r="H18071" t="n">
        <v>0</v>
      </c>
      <c r="I18071" t="n">
        <v>0</v>
      </c>
      <c r="J18071" t="n">
        <v>0</v>
      </c>
      <c r="K18071" t="n">
        <v>0</v>
      </c>
      <c r="L18071" t="n">
        <v>0</v>
      </c>
      <c r="M18071" t="n">
        <v>0</v>
      </c>
      <c r="N18071" t="n">
        <v>0</v>
      </c>
      <c r="O18071" t="n">
        <v>0</v>
      </c>
      <c r="P18071" t="n">
        <v>0</v>
      </c>
      <c r="Q18071" t="n">
        <v>0</v>
      </c>
      <c r="R18071" s="2" t="inlineStr"/>
    </row>
    <row r="18072" ht="15" customHeight="1">
      <c r="A18072" t="inlineStr">
        <is>
          <t>A 59890-2024</t>
        </is>
      </c>
      <c r="B18072" s="1" t="n">
        <v>45641</v>
      </c>
      <c r="C18072" s="1" t="n">
        <v>45810</v>
      </c>
      <c r="D18072" t="inlineStr">
        <is>
          <t>VÄRMLANDS LÄN</t>
        </is>
      </c>
      <c r="E18072" t="inlineStr">
        <is>
          <t>KARLSTAD</t>
        </is>
      </c>
      <c r="G18072" t="n">
        <v>0.7</v>
      </c>
      <c r="H18072" t="n">
        <v>0</v>
      </c>
      <c r="I18072" t="n">
        <v>0</v>
      </c>
      <c r="J18072" t="n">
        <v>0</v>
      </c>
      <c r="K18072" t="n">
        <v>0</v>
      </c>
      <c r="L18072" t="n">
        <v>0</v>
      </c>
      <c r="M18072" t="n">
        <v>0</v>
      </c>
      <c r="N18072" t="n">
        <v>0</v>
      </c>
      <c r="O18072" t="n">
        <v>0</v>
      </c>
      <c r="P18072" t="n">
        <v>0</v>
      </c>
      <c r="Q18072" t="n">
        <v>0</v>
      </c>
      <c r="R18072" s="2" t="inlineStr"/>
    </row>
    <row r="18073" ht="15" customHeight="1">
      <c r="A18073" t="inlineStr">
        <is>
          <t>A 59889-2024</t>
        </is>
      </c>
      <c r="B18073" s="1" t="n">
        <v>45641</v>
      </c>
      <c r="C18073" s="1" t="n">
        <v>45810</v>
      </c>
      <c r="D18073" t="inlineStr">
        <is>
          <t>VÄRMLANDS LÄN</t>
        </is>
      </c>
      <c r="E18073" t="inlineStr">
        <is>
          <t>ÅRJÄNG</t>
        </is>
      </c>
      <c r="G18073" t="n">
        <v>2.5</v>
      </c>
      <c r="H18073" t="n">
        <v>0</v>
      </c>
      <c r="I18073" t="n">
        <v>0</v>
      </c>
      <c r="J18073" t="n">
        <v>0</v>
      </c>
      <c r="K18073" t="n">
        <v>0</v>
      </c>
      <c r="L18073" t="n">
        <v>0</v>
      </c>
      <c r="M18073" t="n">
        <v>0</v>
      </c>
      <c r="N18073" t="n">
        <v>0</v>
      </c>
      <c r="O18073" t="n">
        <v>0</v>
      </c>
      <c r="P18073" t="n">
        <v>0</v>
      </c>
      <c r="Q18073" t="n">
        <v>0</v>
      </c>
      <c r="R18073" s="2" t="inlineStr"/>
    </row>
    <row r="18074" ht="15" customHeight="1">
      <c r="A18074" t="inlineStr">
        <is>
          <t>A 59892-2024</t>
        </is>
      </c>
      <c r="B18074" s="1" t="n">
        <v>45641</v>
      </c>
      <c r="C18074" s="1" t="n">
        <v>45810</v>
      </c>
      <c r="D18074" t="inlineStr">
        <is>
          <t>VÄRMLANDS LÄN</t>
        </is>
      </c>
      <c r="E18074" t="inlineStr">
        <is>
          <t>KARLSTAD</t>
        </is>
      </c>
      <c r="G18074" t="n">
        <v>0.5</v>
      </c>
      <c r="H18074" t="n">
        <v>0</v>
      </c>
      <c r="I18074" t="n">
        <v>0</v>
      </c>
      <c r="J18074" t="n">
        <v>0</v>
      </c>
      <c r="K18074" t="n">
        <v>0</v>
      </c>
      <c r="L18074" t="n">
        <v>0</v>
      </c>
      <c r="M18074" t="n">
        <v>0</v>
      </c>
      <c r="N18074" t="n">
        <v>0</v>
      </c>
      <c r="O18074" t="n">
        <v>0</v>
      </c>
      <c r="P18074" t="n">
        <v>0</v>
      </c>
      <c r="Q18074" t="n">
        <v>0</v>
      </c>
      <c r="R18074" s="2" t="inlineStr"/>
    </row>
    <row r="18075" ht="15" customHeight="1">
      <c r="A18075" t="inlineStr">
        <is>
          <t>A 59888-2024</t>
        </is>
      </c>
      <c r="B18075" s="1" t="n">
        <v>45641</v>
      </c>
      <c r="C18075" s="1" t="n">
        <v>45810</v>
      </c>
      <c r="D18075" t="inlineStr">
        <is>
          <t>VÄRMLANDS LÄN</t>
        </is>
      </c>
      <c r="E18075" t="inlineStr">
        <is>
          <t>KARLSTAD</t>
        </is>
      </c>
      <c r="G18075" t="n">
        <v>0.6</v>
      </c>
      <c r="H18075" t="n">
        <v>0</v>
      </c>
      <c r="I18075" t="n">
        <v>0</v>
      </c>
      <c r="J18075" t="n">
        <v>0</v>
      </c>
      <c r="K18075" t="n">
        <v>0</v>
      </c>
      <c r="L18075" t="n">
        <v>0</v>
      </c>
      <c r="M18075" t="n">
        <v>0</v>
      </c>
      <c r="N18075" t="n">
        <v>0</v>
      </c>
      <c r="O18075" t="n">
        <v>0</v>
      </c>
      <c r="P18075" t="n">
        <v>0</v>
      </c>
      <c r="Q18075" t="n">
        <v>0</v>
      </c>
      <c r="R18075" s="2" t="inlineStr"/>
    </row>
    <row r="18076" ht="15" customHeight="1">
      <c r="A18076" t="inlineStr">
        <is>
          <t>A 60207-2024</t>
        </is>
      </c>
      <c r="B18076" s="1" t="n">
        <v>45642</v>
      </c>
      <c r="C18076" s="1" t="n">
        <v>45810</v>
      </c>
      <c r="D18076" t="inlineStr">
        <is>
          <t>VÄRMLANDS LÄN</t>
        </is>
      </c>
      <c r="E18076" t="inlineStr">
        <is>
          <t>TORSBY</t>
        </is>
      </c>
      <c r="G18076" t="n">
        <v>2.6</v>
      </c>
      <c r="H18076" t="n">
        <v>0</v>
      </c>
      <c r="I18076" t="n">
        <v>0</v>
      </c>
      <c r="J18076" t="n">
        <v>0</v>
      </c>
      <c r="K18076" t="n">
        <v>0</v>
      </c>
      <c r="L18076" t="n">
        <v>0</v>
      </c>
      <c r="M18076" t="n">
        <v>0</v>
      </c>
      <c r="N18076" t="n">
        <v>0</v>
      </c>
      <c r="O18076" t="n">
        <v>0</v>
      </c>
      <c r="P18076" t="n">
        <v>0</v>
      </c>
      <c r="Q18076" t="n">
        <v>0</v>
      </c>
      <c r="R18076" s="2" t="inlineStr"/>
    </row>
    <row r="18077" ht="15" customHeight="1">
      <c r="A18077" t="inlineStr">
        <is>
          <t>A 60651-2024</t>
        </is>
      </c>
      <c r="B18077" s="1" t="n">
        <v>45642</v>
      </c>
      <c r="C18077" s="1" t="n">
        <v>45810</v>
      </c>
      <c r="D18077" t="inlineStr">
        <is>
          <t>VÄRMLANDS LÄN</t>
        </is>
      </c>
      <c r="E18077" t="inlineStr">
        <is>
          <t>SÄFFLE</t>
        </is>
      </c>
      <c r="G18077" t="n">
        <v>1.9</v>
      </c>
      <c r="H18077" t="n">
        <v>0</v>
      </c>
      <c r="I18077" t="n">
        <v>0</v>
      </c>
      <c r="J18077" t="n">
        <v>0</v>
      </c>
      <c r="K18077" t="n">
        <v>0</v>
      </c>
      <c r="L18077" t="n">
        <v>0</v>
      </c>
      <c r="M18077" t="n">
        <v>0</v>
      </c>
      <c r="N18077" t="n">
        <v>0</v>
      </c>
      <c r="O18077" t="n">
        <v>0</v>
      </c>
      <c r="P18077" t="n">
        <v>0</v>
      </c>
      <c r="Q18077" t="n">
        <v>0</v>
      </c>
      <c r="R18077" s="2" t="inlineStr"/>
    </row>
    <row r="18078" ht="15" customHeight="1">
      <c r="A18078" t="inlineStr">
        <is>
          <t>A 60672-2024</t>
        </is>
      </c>
      <c r="B18078" s="1" t="n">
        <v>45642</v>
      </c>
      <c r="C18078" s="1" t="n">
        <v>45810</v>
      </c>
      <c r="D18078" t="inlineStr">
        <is>
          <t>VÄRMLANDS LÄN</t>
        </is>
      </c>
      <c r="E18078" t="inlineStr">
        <is>
          <t>KRISTINEHAMN</t>
        </is>
      </c>
      <c r="G18078" t="n">
        <v>1.1</v>
      </c>
      <c r="H18078" t="n">
        <v>0</v>
      </c>
      <c r="I18078" t="n">
        <v>0</v>
      </c>
      <c r="J18078" t="n">
        <v>0</v>
      </c>
      <c r="K18078" t="n">
        <v>0</v>
      </c>
      <c r="L18078" t="n">
        <v>0</v>
      </c>
      <c r="M18078" t="n">
        <v>0</v>
      </c>
      <c r="N18078" t="n">
        <v>0</v>
      </c>
      <c r="O18078" t="n">
        <v>0</v>
      </c>
      <c r="P18078" t="n">
        <v>0</v>
      </c>
      <c r="Q18078" t="n">
        <v>0</v>
      </c>
      <c r="R18078" s="2" t="inlineStr"/>
    </row>
    <row r="18079" ht="15" customHeight="1">
      <c r="A18079" t="inlineStr">
        <is>
          <t>A 60796-2024</t>
        </is>
      </c>
      <c r="B18079" s="1" t="n">
        <v>45642</v>
      </c>
      <c r="C18079" s="1" t="n">
        <v>45810</v>
      </c>
      <c r="D18079" t="inlineStr">
        <is>
          <t>VÄRMLANDS LÄN</t>
        </is>
      </c>
      <c r="E18079" t="inlineStr">
        <is>
          <t>TORSBY</t>
        </is>
      </c>
      <c r="G18079" t="n">
        <v>3.9</v>
      </c>
      <c r="H18079" t="n">
        <v>0</v>
      </c>
      <c r="I18079" t="n">
        <v>0</v>
      </c>
      <c r="J18079" t="n">
        <v>0</v>
      </c>
      <c r="K18079" t="n">
        <v>0</v>
      </c>
      <c r="L18079" t="n">
        <v>0</v>
      </c>
      <c r="M18079" t="n">
        <v>0</v>
      </c>
      <c r="N18079" t="n">
        <v>0</v>
      </c>
      <c r="O18079" t="n">
        <v>0</v>
      </c>
      <c r="P18079" t="n">
        <v>0</v>
      </c>
      <c r="Q18079" t="n">
        <v>0</v>
      </c>
      <c r="R18079" s="2" t="inlineStr"/>
    </row>
    <row r="18080" ht="15" customHeight="1">
      <c r="A18080" t="inlineStr">
        <is>
          <t>A 60183-2024</t>
        </is>
      </c>
      <c r="B18080" s="1" t="n">
        <v>45642</v>
      </c>
      <c r="C18080" s="1" t="n">
        <v>45810</v>
      </c>
      <c r="D18080" t="inlineStr">
        <is>
          <t>VÄRMLANDS LÄN</t>
        </is>
      </c>
      <c r="E18080" t="inlineStr">
        <is>
          <t>SUNNE</t>
        </is>
      </c>
      <c r="G18080" t="n">
        <v>9</v>
      </c>
      <c r="H18080" t="n">
        <v>0</v>
      </c>
      <c r="I18080" t="n">
        <v>0</v>
      </c>
      <c r="J18080" t="n">
        <v>0</v>
      </c>
      <c r="K18080" t="n">
        <v>0</v>
      </c>
      <c r="L18080" t="n">
        <v>0</v>
      </c>
      <c r="M18080" t="n">
        <v>0</v>
      </c>
      <c r="N18080" t="n">
        <v>0</v>
      </c>
      <c r="O18080" t="n">
        <v>0</v>
      </c>
      <c r="P18080" t="n">
        <v>0</v>
      </c>
      <c r="Q18080" t="n">
        <v>0</v>
      </c>
      <c r="R18080" s="2" t="inlineStr"/>
    </row>
    <row r="18081" ht="15" customHeight="1">
      <c r="A18081" t="inlineStr">
        <is>
          <t>A 60281-2024</t>
        </is>
      </c>
      <c r="B18081" s="1" t="n">
        <v>45642</v>
      </c>
      <c r="C18081" s="1" t="n">
        <v>45810</v>
      </c>
      <c r="D18081" t="inlineStr">
        <is>
          <t>VÄRMLANDS LÄN</t>
        </is>
      </c>
      <c r="E18081" t="inlineStr">
        <is>
          <t>KARLSTAD</t>
        </is>
      </c>
      <c r="G18081" t="n">
        <v>2.6</v>
      </c>
      <c r="H18081" t="n">
        <v>0</v>
      </c>
      <c r="I18081" t="n">
        <v>0</v>
      </c>
      <c r="J18081" t="n">
        <v>0</v>
      </c>
      <c r="K18081" t="n">
        <v>0</v>
      </c>
      <c r="L18081" t="n">
        <v>0</v>
      </c>
      <c r="M18081" t="n">
        <v>0</v>
      </c>
      <c r="N18081" t="n">
        <v>0</v>
      </c>
      <c r="O18081" t="n">
        <v>0</v>
      </c>
      <c r="P18081" t="n">
        <v>0</v>
      </c>
      <c r="Q18081" t="n">
        <v>0</v>
      </c>
      <c r="R18081" s="2" t="inlineStr"/>
    </row>
    <row r="18082" ht="15" customHeight="1">
      <c r="A18082" t="inlineStr">
        <is>
          <t>A 60278-2024</t>
        </is>
      </c>
      <c r="B18082" s="1" t="n">
        <v>45642</v>
      </c>
      <c r="C18082" s="1" t="n">
        <v>45810</v>
      </c>
      <c r="D18082" t="inlineStr">
        <is>
          <t>VÄRMLANDS LÄN</t>
        </is>
      </c>
      <c r="E18082" t="inlineStr">
        <is>
          <t>KARLSTAD</t>
        </is>
      </c>
      <c r="G18082" t="n">
        <v>1.2</v>
      </c>
      <c r="H18082" t="n">
        <v>0</v>
      </c>
      <c r="I18082" t="n">
        <v>0</v>
      </c>
      <c r="J18082" t="n">
        <v>0</v>
      </c>
      <c r="K18082" t="n">
        <v>0</v>
      </c>
      <c r="L18082" t="n">
        <v>0</v>
      </c>
      <c r="M18082" t="n">
        <v>0</v>
      </c>
      <c r="N18082" t="n">
        <v>0</v>
      </c>
      <c r="O18082" t="n">
        <v>0</v>
      </c>
      <c r="P18082" t="n">
        <v>0</v>
      </c>
      <c r="Q18082" t="n">
        <v>0</v>
      </c>
      <c r="R18082" s="2" t="inlineStr"/>
    </row>
    <row r="18083" ht="15" customHeight="1">
      <c r="A18083" t="inlineStr">
        <is>
          <t>A 60622-2024</t>
        </is>
      </c>
      <c r="B18083" s="1" t="n">
        <v>45642</v>
      </c>
      <c r="C18083" s="1" t="n">
        <v>45810</v>
      </c>
      <c r="D18083" t="inlineStr">
        <is>
          <t>VÄRMLANDS LÄN</t>
        </is>
      </c>
      <c r="E18083" t="inlineStr">
        <is>
          <t>TORSBY</t>
        </is>
      </c>
      <c r="G18083" t="n">
        <v>1</v>
      </c>
      <c r="H18083" t="n">
        <v>0</v>
      </c>
      <c r="I18083" t="n">
        <v>0</v>
      </c>
      <c r="J18083" t="n">
        <v>0</v>
      </c>
      <c r="K18083" t="n">
        <v>0</v>
      </c>
      <c r="L18083" t="n">
        <v>0</v>
      </c>
      <c r="M18083" t="n">
        <v>0</v>
      </c>
      <c r="N18083" t="n">
        <v>0</v>
      </c>
      <c r="O18083" t="n">
        <v>0</v>
      </c>
      <c r="P18083" t="n">
        <v>0</v>
      </c>
      <c r="Q18083" t="n">
        <v>0</v>
      </c>
      <c r="R18083" s="2" t="inlineStr"/>
    </row>
    <row r="18084" ht="15" customHeight="1">
      <c r="A18084" t="inlineStr">
        <is>
          <t>A 60634-2024</t>
        </is>
      </c>
      <c r="B18084" s="1" t="n">
        <v>45642</v>
      </c>
      <c r="C18084" s="1" t="n">
        <v>45810</v>
      </c>
      <c r="D18084" t="inlineStr">
        <is>
          <t>VÄRMLANDS LÄN</t>
        </is>
      </c>
      <c r="E18084" t="inlineStr">
        <is>
          <t>SUNNE</t>
        </is>
      </c>
      <c r="G18084" t="n">
        <v>7.9</v>
      </c>
      <c r="H18084" t="n">
        <v>0</v>
      </c>
      <c r="I18084" t="n">
        <v>0</v>
      </c>
      <c r="J18084" t="n">
        <v>0</v>
      </c>
      <c r="K18084" t="n">
        <v>0</v>
      </c>
      <c r="L18084" t="n">
        <v>0</v>
      </c>
      <c r="M18084" t="n">
        <v>0</v>
      </c>
      <c r="N18084" t="n">
        <v>0</v>
      </c>
      <c r="O18084" t="n">
        <v>0</v>
      </c>
      <c r="P18084" t="n">
        <v>0</v>
      </c>
      <c r="Q18084" t="n">
        <v>0</v>
      </c>
      <c r="R18084" s="2" t="inlineStr"/>
    </row>
    <row r="18085" ht="15" customHeight="1">
      <c r="A18085" t="inlineStr">
        <is>
          <t>A 60272-2024</t>
        </is>
      </c>
      <c r="B18085" s="1" t="n">
        <v>45642</v>
      </c>
      <c r="C18085" s="1" t="n">
        <v>45810</v>
      </c>
      <c r="D18085" t="inlineStr">
        <is>
          <t>VÄRMLANDS LÄN</t>
        </is>
      </c>
      <c r="E18085" t="inlineStr">
        <is>
          <t>TORSBY</t>
        </is>
      </c>
      <c r="G18085" t="n">
        <v>0.7</v>
      </c>
      <c r="H18085" t="n">
        <v>0</v>
      </c>
      <c r="I18085" t="n">
        <v>0</v>
      </c>
      <c r="J18085" t="n">
        <v>0</v>
      </c>
      <c r="K18085" t="n">
        <v>0</v>
      </c>
      <c r="L18085" t="n">
        <v>0</v>
      </c>
      <c r="M18085" t="n">
        <v>0</v>
      </c>
      <c r="N18085" t="n">
        <v>0</v>
      </c>
      <c r="O18085" t="n">
        <v>0</v>
      </c>
      <c r="P18085" t="n">
        <v>0</v>
      </c>
      <c r="Q18085" t="n">
        <v>0</v>
      </c>
      <c r="R18085" s="2" t="inlineStr"/>
    </row>
    <row r="18086" ht="15" customHeight="1">
      <c r="A18086" t="inlineStr">
        <is>
          <t>A 60626-2024</t>
        </is>
      </c>
      <c r="B18086" s="1" t="n">
        <v>45642</v>
      </c>
      <c r="C18086" s="1" t="n">
        <v>45810</v>
      </c>
      <c r="D18086" t="inlineStr">
        <is>
          <t>VÄRMLANDS LÄN</t>
        </is>
      </c>
      <c r="E18086" t="inlineStr">
        <is>
          <t>TORSBY</t>
        </is>
      </c>
      <c r="G18086" t="n">
        <v>1</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60020-2024</t>
        </is>
      </c>
      <c r="B18087" s="1" t="n">
        <v>45642</v>
      </c>
      <c r="C18087" s="1" t="n">
        <v>45810</v>
      </c>
      <c r="D18087" t="inlineStr">
        <is>
          <t>VÄRMLANDS LÄN</t>
        </is>
      </c>
      <c r="E18087" t="inlineStr">
        <is>
          <t>ÅRJÄNG</t>
        </is>
      </c>
      <c r="G18087" t="n">
        <v>1.2</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60148-2024</t>
        </is>
      </c>
      <c r="B18088" s="1" t="n">
        <v>45642</v>
      </c>
      <c r="C18088" s="1" t="n">
        <v>45810</v>
      </c>
      <c r="D18088" t="inlineStr">
        <is>
          <t>VÄRMLANDS LÄN</t>
        </is>
      </c>
      <c r="E18088" t="inlineStr">
        <is>
          <t>TORSBY</t>
        </is>
      </c>
      <c r="G18088" t="n">
        <v>12.4</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60126-2024</t>
        </is>
      </c>
      <c r="B18089" s="1" t="n">
        <v>45642</v>
      </c>
      <c r="C18089" s="1" t="n">
        <v>45810</v>
      </c>
      <c r="D18089" t="inlineStr">
        <is>
          <t>VÄRMLANDS LÄN</t>
        </is>
      </c>
      <c r="E18089" t="inlineStr">
        <is>
          <t>ÅRJÄNG</t>
        </is>
      </c>
      <c r="G18089" t="n">
        <v>1.2</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60104-2024</t>
        </is>
      </c>
      <c r="B18090" s="1" t="n">
        <v>45642</v>
      </c>
      <c r="C18090" s="1" t="n">
        <v>45810</v>
      </c>
      <c r="D18090" t="inlineStr">
        <is>
          <t>VÄRMLANDS LÄN</t>
        </is>
      </c>
      <c r="E18090" t="inlineStr">
        <is>
          <t>KIL</t>
        </is>
      </c>
      <c r="G18090" t="n">
        <v>1.1</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60124-2024</t>
        </is>
      </c>
      <c r="B18091" s="1" t="n">
        <v>45642</v>
      </c>
      <c r="C18091" s="1" t="n">
        <v>45810</v>
      </c>
      <c r="D18091" t="inlineStr">
        <is>
          <t>VÄRMLANDS LÄN</t>
        </is>
      </c>
      <c r="E18091" t="inlineStr">
        <is>
          <t>FILIPSTAD</t>
        </is>
      </c>
      <c r="G18091" t="n">
        <v>1.8</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60039-2024</t>
        </is>
      </c>
      <c r="B18092" s="1" t="n">
        <v>45642</v>
      </c>
      <c r="C18092" s="1" t="n">
        <v>45810</v>
      </c>
      <c r="D18092" t="inlineStr">
        <is>
          <t>VÄRMLANDS LÄN</t>
        </is>
      </c>
      <c r="E18092" t="inlineStr">
        <is>
          <t>TORSBY</t>
        </is>
      </c>
      <c r="G18092" t="n">
        <v>10.4</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60201-2024</t>
        </is>
      </c>
      <c r="B18093" s="1" t="n">
        <v>45642</v>
      </c>
      <c r="C18093" s="1" t="n">
        <v>45810</v>
      </c>
      <c r="D18093" t="inlineStr">
        <is>
          <t>VÄRMLANDS LÄN</t>
        </is>
      </c>
      <c r="E18093" t="inlineStr">
        <is>
          <t>KIL</t>
        </is>
      </c>
      <c r="G18093" t="n">
        <v>1.8</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60145-2024</t>
        </is>
      </c>
      <c r="B18094" s="1" t="n">
        <v>45642</v>
      </c>
      <c r="C18094" s="1" t="n">
        <v>45810</v>
      </c>
      <c r="D18094" t="inlineStr">
        <is>
          <t>VÄRMLANDS LÄN</t>
        </is>
      </c>
      <c r="E18094" t="inlineStr">
        <is>
          <t>EDA</t>
        </is>
      </c>
      <c r="G18094" t="n">
        <v>1.7</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60120-2024</t>
        </is>
      </c>
      <c r="B18095" s="1" t="n">
        <v>45642</v>
      </c>
      <c r="C18095" s="1" t="n">
        <v>45810</v>
      </c>
      <c r="D18095" t="inlineStr">
        <is>
          <t>VÄRMLANDS LÄN</t>
        </is>
      </c>
      <c r="E18095" t="inlineStr">
        <is>
          <t>KRISTINEHAMN</t>
        </is>
      </c>
      <c r="G18095" t="n">
        <v>9.9</v>
      </c>
      <c r="H18095" t="n">
        <v>0</v>
      </c>
      <c r="I18095" t="n">
        <v>0</v>
      </c>
      <c r="J18095" t="n">
        <v>0</v>
      </c>
      <c r="K18095" t="n">
        <v>0</v>
      </c>
      <c r="L18095" t="n">
        <v>0</v>
      </c>
      <c r="M18095" t="n">
        <v>0</v>
      </c>
      <c r="N18095" t="n">
        <v>0</v>
      </c>
      <c r="O18095" t="n">
        <v>0</v>
      </c>
      <c r="P18095" t="n">
        <v>0</v>
      </c>
      <c r="Q18095" t="n">
        <v>0</v>
      </c>
      <c r="R18095" s="2" t="inlineStr"/>
    </row>
    <row r="18096" ht="15" customHeight="1">
      <c r="A18096" t="inlineStr">
        <is>
          <t>A 59944-2024</t>
        </is>
      </c>
      <c r="B18096" s="1" t="n">
        <v>45642</v>
      </c>
      <c r="C18096" s="1" t="n">
        <v>45810</v>
      </c>
      <c r="D18096" t="inlineStr">
        <is>
          <t>VÄRMLANDS LÄN</t>
        </is>
      </c>
      <c r="E18096" t="inlineStr">
        <is>
          <t>KIL</t>
        </is>
      </c>
      <c r="G18096" t="n">
        <v>1.2</v>
      </c>
      <c r="H18096" t="n">
        <v>0</v>
      </c>
      <c r="I18096" t="n">
        <v>0</v>
      </c>
      <c r="J18096" t="n">
        <v>0</v>
      </c>
      <c r="K18096" t="n">
        <v>0</v>
      </c>
      <c r="L18096" t="n">
        <v>0</v>
      </c>
      <c r="M18096" t="n">
        <v>0</v>
      </c>
      <c r="N18096" t="n">
        <v>0</v>
      </c>
      <c r="O18096" t="n">
        <v>0</v>
      </c>
      <c r="P18096" t="n">
        <v>0</v>
      </c>
      <c r="Q18096" t="n">
        <v>0</v>
      </c>
      <c r="R18096" s="2" t="inlineStr"/>
    </row>
    <row r="18097" ht="15" customHeight="1">
      <c r="A18097" t="inlineStr">
        <is>
          <t>A 59928-2024</t>
        </is>
      </c>
      <c r="B18097" s="1" t="n">
        <v>45642</v>
      </c>
      <c r="C18097" s="1" t="n">
        <v>45810</v>
      </c>
      <c r="D18097" t="inlineStr">
        <is>
          <t>VÄRMLANDS LÄN</t>
        </is>
      </c>
      <c r="E18097" t="inlineStr">
        <is>
          <t>TORSBY</t>
        </is>
      </c>
      <c r="F18097" t="inlineStr">
        <is>
          <t>Bergvik skog väst AB</t>
        </is>
      </c>
      <c r="G18097" t="n">
        <v>1.9</v>
      </c>
      <c r="H18097" t="n">
        <v>0</v>
      </c>
      <c r="I18097" t="n">
        <v>0</v>
      </c>
      <c r="J18097" t="n">
        <v>0</v>
      </c>
      <c r="K18097" t="n">
        <v>0</v>
      </c>
      <c r="L18097" t="n">
        <v>0</v>
      </c>
      <c r="M18097" t="n">
        <v>0</v>
      </c>
      <c r="N18097" t="n">
        <v>0</v>
      </c>
      <c r="O18097" t="n">
        <v>0</v>
      </c>
      <c r="P18097" t="n">
        <v>0</v>
      </c>
      <c r="Q18097" t="n">
        <v>0</v>
      </c>
      <c r="R18097" s="2" t="inlineStr"/>
    </row>
    <row r="18098" ht="15" customHeight="1">
      <c r="A18098" t="inlineStr">
        <is>
          <t>A 59938-2024</t>
        </is>
      </c>
      <c r="B18098" s="1" t="n">
        <v>45642</v>
      </c>
      <c r="C18098" s="1" t="n">
        <v>45810</v>
      </c>
      <c r="D18098" t="inlineStr">
        <is>
          <t>VÄRMLANDS LÄN</t>
        </is>
      </c>
      <c r="E18098" t="inlineStr">
        <is>
          <t>KIL</t>
        </is>
      </c>
      <c r="G18098" t="n">
        <v>0.9</v>
      </c>
      <c r="H18098" t="n">
        <v>0</v>
      </c>
      <c r="I18098" t="n">
        <v>0</v>
      </c>
      <c r="J18098" t="n">
        <v>0</v>
      </c>
      <c r="K18098" t="n">
        <v>0</v>
      </c>
      <c r="L18098" t="n">
        <v>0</v>
      </c>
      <c r="M18098" t="n">
        <v>0</v>
      </c>
      <c r="N18098" t="n">
        <v>0</v>
      </c>
      <c r="O18098" t="n">
        <v>0</v>
      </c>
      <c r="P18098" t="n">
        <v>0</v>
      </c>
      <c r="Q18098" t="n">
        <v>0</v>
      </c>
      <c r="R18098" s="2" t="inlineStr"/>
    </row>
    <row r="18099" ht="15" customHeight="1">
      <c r="A18099" t="inlineStr">
        <is>
          <t>A 59934-2024</t>
        </is>
      </c>
      <c r="B18099" s="1" t="n">
        <v>45642</v>
      </c>
      <c r="C18099" s="1" t="n">
        <v>45810</v>
      </c>
      <c r="D18099" t="inlineStr">
        <is>
          <t>VÄRMLANDS LÄN</t>
        </is>
      </c>
      <c r="E18099" t="inlineStr">
        <is>
          <t>KIL</t>
        </is>
      </c>
      <c r="G18099" t="n">
        <v>1.4</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60781-2024</t>
        </is>
      </c>
      <c r="B18100" s="1" t="n">
        <v>45642</v>
      </c>
      <c r="C18100" s="1" t="n">
        <v>45810</v>
      </c>
      <c r="D18100" t="inlineStr">
        <is>
          <t>VÄRMLANDS LÄN</t>
        </is>
      </c>
      <c r="E18100" t="inlineStr">
        <is>
          <t>TORSBY</t>
        </is>
      </c>
      <c r="G18100" t="n">
        <v>4.3</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60049-2024</t>
        </is>
      </c>
      <c r="B18101" s="1" t="n">
        <v>45642</v>
      </c>
      <c r="C18101" s="1" t="n">
        <v>45810</v>
      </c>
      <c r="D18101" t="inlineStr">
        <is>
          <t>VÄRMLANDS LÄN</t>
        </is>
      </c>
      <c r="E18101" t="inlineStr">
        <is>
          <t>EDA</t>
        </is>
      </c>
      <c r="G18101" t="n">
        <v>1.8</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60000-2024</t>
        </is>
      </c>
      <c r="B18102" s="1" t="n">
        <v>45642</v>
      </c>
      <c r="C18102" s="1" t="n">
        <v>45810</v>
      </c>
      <c r="D18102" t="inlineStr">
        <is>
          <t>VÄRMLANDS LÄN</t>
        </is>
      </c>
      <c r="E18102" t="inlineStr">
        <is>
          <t>ÅRJÄNG</t>
        </is>
      </c>
      <c r="G18102" t="n">
        <v>1</v>
      </c>
      <c r="H18102" t="n">
        <v>0</v>
      </c>
      <c r="I18102" t="n">
        <v>0</v>
      </c>
      <c r="J18102" t="n">
        <v>0</v>
      </c>
      <c r="K18102" t="n">
        <v>0</v>
      </c>
      <c r="L18102" t="n">
        <v>0</v>
      </c>
      <c r="M18102" t="n">
        <v>0</v>
      </c>
      <c r="N18102" t="n">
        <v>0</v>
      </c>
      <c r="O18102" t="n">
        <v>0</v>
      </c>
      <c r="P18102" t="n">
        <v>0</v>
      </c>
      <c r="Q18102" t="n">
        <v>0</v>
      </c>
      <c r="R18102" s="2" t="inlineStr"/>
    </row>
    <row r="18103" ht="15" customHeight="1">
      <c r="A18103" t="inlineStr">
        <is>
          <t>A 59927-2024</t>
        </is>
      </c>
      <c r="B18103" s="1" t="n">
        <v>45642</v>
      </c>
      <c r="C18103" s="1" t="n">
        <v>45810</v>
      </c>
      <c r="D18103" t="inlineStr">
        <is>
          <t>VÄRMLANDS LÄN</t>
        </is>
      </c>
      <c r="E18103" t="inlineStr">
        <is>
          <t>TORSBY</t>
        </is>
      </c>
      <c r="F18103" t="inlineStr">
        <is>
          <t>Bergvik skog väst AB</t>
        </is>
      </c>
      <c r="G18103" t="n">
        <v>1.3</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60385-2024</t>
        </is>
      </c>
      <c r="B18104" s="1" t="n">
        <v>45643</v>
      </c>
      <c r="C18104" s="1" t="n">
        <v>45810</v>
      </c>
      <c r="D18104" t="inlineStr">
        <is>
          <t>VÄRMLANDS LÄN</t>
        </is>
      </c>
      <c r="E18104" t="inlineStr">
        <is>
          <t>TORSBY</t>
        </is>
      </c>
      <c r="G18104" t="n">
        <v>2.4</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60383-2024</t>
        </is>
      </c>
      <c r="B18105" s="1" t="n">
        <v>45643</v>
      </c>
      <c r="C18105" s="1" t="n">
        <v>45810</v>
      </c>
      <c r="D18105" t="inlineStr">
        <is>
          <t>VÄRMLANDS LÄN</t>
        </is>
      </c>
      <c r="E18105" t="inlineStr">
        <is>
          <t>TORSBY</t>
        </is>
      </c>
      <c r="G18105" t="n">
        <v>3.1</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60454-2024</t>
        </is>
      </c>
      <c r="B18106" s="1" t="n">
        <v>45643</v>
      </c>
      <c r="C18106" s="1" t="n">
        <v>45810</v>
      </c>
      <c r="D18106" t="inlineStr">
        <is>
          <t>VÄRMLANDS LÄN</t>
        </is>
      </c>
      <c r="E18106" t="inlineStr">
        <is>
          <t>TORSBY</t>
        </is>
      </c>
      <c r="G18106" t="n">
        <v>4.5</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60458-2024</t>
        </is>
      </c>
      <c r="B18107" s="1" t="n">
        <v>45643</v>
      </c>
      <c r="C18107" s="1" t="n">
        <v>45810</v>
      </c>
      <c r="D18107" t="inlineStr">
        <is>
          <t>VÄRMLANDS LÄN</t>
        </is>
      </c>
      <c r="E18107" t="inlineStr">
        <is>
          <t>TORSBY</t>
        </is>
      </c>
      <c r="G18107" t="n">
        <v>2.6</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60435-2024</t>
        </is>
      </c>
      <c r="B18108" s="1" t="n">
        <v>45643</v>
      </c>
      <c r="C18108" s="1" t="n">
        <v>45810</v>
      </c>
      <c r="D18108" t="inlineStr">
        <is>
          <t>VÄRMLANDS LÄN</t>
        </is>
      </c>
      <c r="E18108" t="inlineStr">
        <is>
          <t>SUNNE</t>
        </is>
      </c>
      <c r="G18108" t="n">
        <v>1.2</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60480-2024</t>
        </is>
      </c>
      <c r="B18109" s="1" t="n">
        <v>45643</v>
      </c>
      <c r="C18109" s="1" t="n">
        <v>45810</v>
      </c>
      <c r="D18109" t="inlineStr">
        <is>
          <t>VÄRMLANDS LÄN</t>
        </is>
      </c>
      <c r="E18109" t="inlineStr">
        <is>
          <t>KIL</t>
        </is>
      </c>
      <c r="G18109" t="n">
        <v>1</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60488-2024</t>
        </is>
      </c>
      <c r="B18110" s="1" t="n">
        <v>45643</v>
      </c>
      <c r="C18110" s="1" t="n">
        <v>45810</v>
      </c>
      <c r="D18110" t="inlineStr">
        <is>
          <t>VÄRMLANDS LÄN</t>
        </is>
      </c>
      <c r="E18110" t="inlineStr">
        <is>
          <t>SUNNE</t>
        </is>
      </c>
      <c r="G18110" t="n">
        <v>6</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60512-2024</t>
        </is>
      </c>
      <c r="B18111" s="1" t="n">
        <v>45643</v>
      </c>
      <c r="C18111" s="1" t="n">
        <v>45810</v>
      </c>
      <c r="D18111" t="inlineStr">
        <is>
          <t>VÄRMLANDS LÄN</t>
        </is>
      </c>
      <c r="E18111" t="inlineStr">
        <is>
          <t>FILIPSTAD</t>
        </is>
      </c>
      <c r="G18111" t="n">
        <v>5.6</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60516-2024</t>
        </is>
      </c>
      <c r="B18112" s="1" t="n">
        <v>45643</v>
      </c>
      <c r="C18112" s="1" t="n">
        <v>45810</v>
      </c>
      <c r="D18112" t="inlineStr">
        <is>
          <t>VÄRMLANDS LÄN</t>
        </is>
      </c>
      <c r="E18112" t="inlineStr">
        <is>
          <t>ARVIKA</t>
        </is>
      </c>
      <c r="G18112" t="n">
        <v>1.6</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60524-2024</t>
        </is>
      </c>
      <c r="B18113" s="1" t="n">
        <v>45643</v>
      </c>
      <c r="C18113" s="1" t="n">
        <v>45810</v>
      </c>
      <c r="D18113" t="inlineStr">
        <is>
          <t>VÄRMLANDS LÄN</t>
        </is>
      </c>
      <c r="E18113" t="inlineStr">
        <is>
          <t>FILIPSTAD</t>
        </is>
      </c>
      <c r="G18113" t="n">
        <v>3</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60546-2024</t>
        </is>
      </c>
      <c r="B18114" s="1" t="n">
        <v>45643</v>
      </c>
      <c r="C18114" s="1" t="n">
        <v>45810</v>
      </c>
      <c r="D18114" t="inlineStr">
        <is>
          <t>VÄRMLANDS LÄN</t>
        </is>
      </c>
      <c r="E18114" t="inlineStr">
        <is>
          <t>KRISTINEHAMN</t>
        </is>
      </c>
      <c r="G18114" t="n">
        <v>3.7</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60528-2024</t>
        </is>
      </c>
      <c r="B18115" s="1" t="n">
        <v>45643</v>
      </c>
      <c r="C18115" s="1" t="n">
        <v>45810</v>
      </c>
      <c r="D18115" t="inlineStr">
        <is>
          <t>VÄRMLANDS LÄN</t>
        </is>
      </c>
      <c r="E18115" t="inlineStr">
        <is>
          <t>ARVIKA</t>
        </is>
      </c>
      <c r="F18115" t="inlineStr">
        <is>
          <t>Bergvik skog väst AB</t>
        </is>
      </c>
      <c r="G18115" t="n">
        <v>3.6</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60352-2024</t>
        </is>
      </c>
      <c r="B18116" s="1" t="n">
        <v>45643</v>
      </c>
      <c r="C18116" s="1" t="n">
        <v>45810</v>
      </c>
      <c r="D18116" t="inlineStr">
        <is>
          <t>VÄRMLANDS LÄN</t>
        </is>
      </c>
      <c r="E18116" t="inlineStr">
        <is>
          <t>EDA</t>
        </is>
      </c>
      <c r="G18116" t="n">
        <v>3.1</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60710-2024</t>
        </is>
      </c>
      <c r="B18117" s="1" t="n">
        <v>45643</v>
      </c>
      <c r="C18117" s="1" t="n">
        <v>45810</v>
      </c>
      <c r="D18117" t="inlineStr">
        <is>
          <t>VÄRMLANDS LÄN</t>
        </is>
      </c>
      <c r="E18117" t="inlineStr">
        <is>
          <t>TORSBY</t>
        </is>
      </c>
      <c r="G18117" t="n">
        <v>1.8</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60473-2024</t>
        </is>
      </c>
      <c r="B18118" s="1" t="n">
        <v>45643</v>
      </c>
      <c r="C18118" s="1" t="n">
        <v>45810</v>
      </c>
      <c r="D18118" t="inlineStr">
        <is>
          <t>VÄRMLANDS LÄN</t>
        </is>
      </c>
      <c r="E18118" t="inlineStr">
        <is>
          <t>KIL</t>
        </is>
      </c>
      <c r="G18118" t="n">
        <v>0.9</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60477-2024</t>
        </is>
      </c>
      <c r="B18119" s="1" t="n">
        <v>45643</v>
      </c>
      <c r="C18119" s="1" t="n">
        <v>45810</v>
      </c>
      <c r="D18119" t="inlineStr">
        <is>
          <t>VÄRMLANDS LÄN</t>
        </is>
      </c>
      <c r="E18119" t="inlineStr">
        <is>
          <t>TORSBY</t>
        </is>
      </c>
      <c r="G18119" t="n">
        <v>1.1</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60374-2024</t>
        </is>
      </c>
      <c r="B18120" s="1" t="n">
        <v>45643</v>
      </c>
      <c r="C18120" s="1" t="n">
        <v>45810</v>
      </c>
      <c r="D18120" t="inlineStr">
        <is>
          <t>VÄRMLANDS LÄN</t>
        </is>
      </c>
      <c r="E18120" t="inlineStr">
        <is>
          <t>KARLSTAD</t>
        </is>
      </c>
      <c r="G18120" t="n">
        <v>16.1</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60386-2024</t>
        </is>
      </c>
      <c r="B18121" s="1" t="n">
        <v>45643</v>
      </c>
      <c r="C18121" s="1" t="n">
        <v>45810</v>
      </c>
      <c r="D18121" t="inlineStr">
        <is>
          <t>VÄRMLANDS LÄN</t>
        </is>
      </c>
      <c r="E18121" t="inlineStr">
        <is>
          <t>TORSBY</t>
        </is>
      </c>
      <c r="G18121" t="n">
        <v>2</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60513-2024</t>
        </is>
      </c>
      <c r="B18122" s="1" t="n">
        <v>45643</v>
      </c>
      <c r="C18122" s="1" t="n">
        <v>45810</v>
      </c>
      <c r="D18122" t="inlineStr">
        <is>
          <t>VÄRMLANDS LÄN</t>
        </is>
      </c>
      <c r="E18122" t="inlineStr">
        <is>
          <t>ARVIKA</t>
        </is>
      </c>
      <c r="G18122" t="n">
        <v>4.8</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60521-2024</t>
        </is>
      </c>
      <c r="B18123" s="1" t="n">
        <v>45643</v>
      </c>
      <c r="C18123" s="1" t="n">
        <v>45810</v>
      </c>
      <c r="D18123" t="inlineStr">
        <is>
          <t>VÄRMLANDS LÄN</t>
        </is>
      </c>
      <c r="E18123" t="inlineStr">
        <is>
          <t>FILIPSTAD</t>
        </is>
      </c>
      <c r="G18123" t="n">
        <v>1.2</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60537-2024</t>
        </is>
      </c>
      <c r="B18124" s="1" t="n">
        <v>45643</v>
      </c>
      <c r="C18124" s="1" t="n">
        <v>45810</v>
      </c>
      <c r="D18124" t="inlineStr">
        <is>
          <t>VÄRMLANDS LÄN</t>
        </is>
      </c>
      <c r="E18124" t="inlineStr">
        <is>
          <t>TORSBY</t>
        </is>
      </c>
      <c r="G18124" t="n">
        <v>0.8</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60701-2024</t>
        </is>
      </c>
      <c r="B18125" s="1" t="n">
        <v>45644</v>
      </c>
      <c r="C18125" s="1" t="n">
        <v>45810</v>
      </c>
      <c r="D18125" t="inlineStr">
        <is>
          <t>VÄRMLANDS LÄN</t>
        </is>
      </c>
      <c r="E18125" t="inlineStr">
        <is>
          <t>SUNNE</t>
        </is>
      </c>
      <c r="G18125" t="n">
        <v>0.5</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60638-2024</t>
        </is>
      </c>
      <c r="B18126" s="1" t="n">
        <v>45644</v>
      </c>
      <c r="C18126" s="1" t="n">
        <v>45810</v>
      </c>
      <c r="D18126" t="inlineStr">
        <is>
          <t>VÄRMLANDS LÄN</t>
        </is>
      </c>
      <c r="E18126" t="inlineStr">
        <is>
          <t>FILIPSTAD</t>
        </is>
      </c>
      <c r="G18126" t="n">
        <v>3.1</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60633-2024</t>
        </is>
      </c>
      <c r="B18127" s="1" t="n">
        <v>45644</v>
      </c>
      <c r="C18127" s="1" t="n">
        <v>45810</v>
      </c>
      <c r="D18127" t="inlineStr">
        <is>
          <t>VÄRMLANDS LÄN</t>
        </is>
      </c>
      <c r="E18127" t="inlineStr">
        <is>
          <t>SUNNE</t>
        </is>
      </c>
      <c r="G18127" t="n">
        <v>0.6</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60623-2024</t>
        </is>
      </c>
      <c r="B18128" s="1" t="n">
        <v>45644</v>
      </c>
      <c r="C18128" s="1" t="n">
        <v>45810</v>
      </c>
      <c r="D18128" t="inlineStr">
        <is>
          <t>VÄRMLANDS LÄN</t>
        </is>
      </c>
      <c r="E18128" t="inlineStr">
        <is>
          <t>HAGFORS</t>
        </is>
      </c>
      <c r="F18128" t="inlineStr">
        <is>
          <t>Bergvik skog väst AB</t>
        </is>
      </c>
      <c r="G18128" t="n">
        <v>1.7</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60826-2024</t>
        </is>
      </c>
      <c r="B18129" s="1" t="n">
        <v>45644</v>
      </c>
      <c r="C18129" s="1" t="n">
        <v>45810</v>
      </c>
      <c r="D18129" t="inlineStr">
        <is>
          <t>VÄRMLANDS LÄN</t>
        </is>
      </c>
      <c r="E18129" t="inlineStr">
        <is>
          <t>ARVIKA</t>
        </is>
      </c>
      <c r="G18129" t="n">
        <v>3</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60854-2024</t>
        </is>
      </c>
      <c r="B18130" s="1" t="n">
        <v>45644</v>
      </c>
      <c r="C18130" s="1" t="n">
        <v>45810</v>
      </c>
      <c r="D18130" t="inlineStr">
        <is>
          <t>VÄRMLANDS LÄN</t>
        </is>
      </c>
      <c r="E18130" t="inlineStr">
        <is>
          <t>TORSBY</t>
        </is>
      </c>
      <c r="G18130" t="n">
        <v>2.6</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60582-2024</t>
        </is>
      </c>
      <c r="B18131" s="1" t="n">
        <v>45644</v>
      </c>
      <c r="C18131" s="1" t="n">
        <v>45810</v>
      </c>
      <c r="D18131" t="inlineStr">
        <is>
          <t>VÄRMLANDS LÄN</t>
        </is>
      </c>
      <c r="E18131" t="inlineStr">
        <is>
          <t>HAGFORS</t>
        </is>
      </c>
      <c r="F18131" t="inlineStr">
        <is>
          <t>Kyrkan</t>
        </is>
      </c>
      <c r="G18131" t="n">
        <v>3.9</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60731-2024</t>
        </is>
      </c>
      <c r="B18132" s="1" t="n">
        <v>45644</v>
      </c>
      <c r="C18132" s="1" t="n">
        <v>45810</v>
      </c>
      <c r="D18132" t="inlineStr">
        <is>
          <t>VÄRMLANDS LÄN</t>
        </is>
      </c>
      <c r="E18132" t="inlineStr">
        <is>
          <t>FILIPSTAD</t>
        </is>
      </c>
      <c r="F18132" t="inlineStr">
        <is>
          <t>Bergvik skog väst AB</t>
        </is>
      </c>
      <c r="G18132" t="n">
        <v>1.5</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60794-2024</t>
        </is>
      </c>
      <c r="B18133" s="1" t="n">
        <v>45644</v>
      </c>
      <c r="C18133" s="1" t="n">
        <v>45810</v>
      </c>
      <c r="D18133" t="inlineStr">
        <is>
          <t>VÄRMLANDS LÄN</t>
        </is>
      </c>
      <c r="E18133" t="inlineStr">
        <is>
          <t>MUNKFORS</t>
        </is>
      </c>
      <c r="G18133" t="n">
        <v>1.3</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60628-2024</t>
        </is>
      </c>
      <c r="B18134" s="1" t="n">
        <v>45644</v>
      </c>
      <c r="C18134" s="1" t="n">
        <v>45810</v>
      </c>
      <c r="D18134" t="inlineStr">
        <is>
          <t>VÄRMLANDS LÄN</t>
        </is>
      </c>
      <c r="E18134" t="inlineStr">
        <is>
          <t>HAGFORS</t>
        </is>
      </c>
      <c r="F18134" t="inlineStr">
        <is>
          <t>Bergvik skog väst AB</t>
        </is>
      </c>
      <c r="G18134" t="n">
        <v>3</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60766-2024</t>
        </is>
      </c>
      <c r="B18135" s="1" t="n">
        <v>45644</v>
      </c>
      <c r="C18135" s="1" t="n">
        <v>45810</v>
      </c>
      <c r="D18135" t="inlineStr">
        <is>
          <t>VÄRMLANDS LÄN</t>
        </is>
      </c>
      <c r="E18135" t="inlineStr">
        <is>
          <t>ARVIKA</t>
        </is>
      </c>
      <c r="G18135" t="n">
        <v>1.7</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60567-2024</t>
        </is>
      </c>
      <c r="B18136" s="1" t="n">
        <v>45644</v>
      </c>
      <c r="C18136" s="1" t="n">
        <v>45810</v>
      </c>
      <c r="D18136" t="inlineStr">
        <is>
          <t>VÄRMLANDS LÄN</t>
        </is>
      </c>
      <c r="E18136" t="inlineStr">
        <is>
          <t>KRISTINEHAMN</t>
        </is>
      </c>
      <c r="G18136" t="n">
        <v>2.3</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60965-2024</t>
        </is>
      </c>
      <c r="B18137" s="1" t="n">
        <v>45644</v>
      </c>
      <c r="C18137" s="1" t="n">
        <v>45810</v>
      </c>
      <c r="D18137" t="inlineStr">
        <is>
          <t>VÄRMLANDS LÄN</t>
        </is>
      </c>
      <c r="E18137" t="inlineStr">
        <is>
          <t>SÄFFLE</t>
        </is>
      </c>
      <c r="G18137" t="n">
        <v>2.9</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60879-2024</t>
        </is>
      </c>
      <c r="B18138" s="1" t="n">
        <v>45644</v>
      </c>
      <c r="C18138" s="1" t="n">
        <v>45810</v>
      </c>
      <c r="D18138" t="inlineStr">
        <is>
          <t>VÄRMLANDS LÄN</t>
        </is>
      </c>
      <c r="E18138" t="inlineStr">
        <is>
          <t>SUNNE</t>
        </is>
      </c>
      <c r="G18138" t="n">
        <v>1.6</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60931-2024</t>
        </is>
      </c>
      <c r="B18139" s="1" t="n">
        <v>45644</v>
      </c>
      <c r="C18139" s="1" t="n">
        <v>45810</v>
      </c>
      <c r="D18139" t="inlineStr">
        <is>
          <t>VÄRMLANDS LÄN</t>
        </is>
      </c>
      <c r="E18139" t="inlineStr">
        <is>
          <t>SÄFFLE</t>
        </is>
      </c>
      <c r="G18139" t="n">
        <v>3.1</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60959-2024</t>
        </is>
      </c>
      <c r="B18140" s="1" t="n">
        <v>45644</v>
      </c>
      <c r="C18140" s="1" t="n">
        <v>45810</v>
      </c>
      <c r="D18140" t="inlineStr">
        <is>
          <t>VÄRMLANDS LÄN</t>
        </is>
      </c>
      <c r="E18140" t="inlineStr">
        <is>
          <t>SÄFFLE</t>
        </is>
      </c>
      <c r="G18140" t="n">
        <v>1.4</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60645-2024</t>
        </is>
      </c>
      <c r="B18141" s="1" t="n">
        <v>45644</v>
      </c>
      <c r="C18141" s="1" t="n">
        <v>45810</v>
      </c>
      <c r="D18141" t="inlineStr">
        <is>
          <t>VÄRMLANDS LÄN</t>
        </is>
      </c>
      <c r="E18141" t="inlineStr">
        <is>
          <t>FILIPSTAD</t>
        </is>
      </c>
      <c r="G18141" t="n">
        <v>2.1</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60708-2024</t>
        </is>
      </c>
      <c r="B18142" s="1" t="n">
        <v>45644</v>
      </c>
      <c r="C18142" s="1" t="n">
        <v>45810</v>
      </c>
      <c r="D18142" t="inlineStr">
        <is>
          <t>VÄRMLANDS LÄN</t>
        </is>
      </c>
      <c r="E18142" t="inlineStr">
        <is>
          <t>SÄFFLE</t>
        </is>
      </c>
      <c r="G18142" t="n">
        <v>1.4</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60763-2024</t>
        </is>
      </c>
      <c r="B18143" s="1" t="n">
        <v>45644</v>
      </c>
      <c r="C18143" s="1" t="n">
        <v>45810</v>
      </c>
      <c r="D18143" t="inlineStr">
        <is>
          <t>VÄRMLANDS LÄN</t>
        </is>
      </c>
      <c r="E18143" t="inlineStr">
        <is>
          <t>SUNNE</t>
        </is>
      </c>
      <c r="G18143" t="n">
        <v>0.6</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60828-2024</t>
        </is>
      </c>
      <c r="B18144" s="1" t="n">
        <v>45644</v>
      </c>
      <c r="C18144" s="1" t="n">
        <v>45810</v>
      </c>
      <c r="D18144" t="inlineStr">
        <is>
          <t>VÄRMLANDS LÄN</t>
        </is>
      </c>
      <c r="E18144" t="inlineStr">
        <is>
          <t>ARVIKA</t>
        </is>
      </c>
      <c r="F18144" t="inlineStr">
        <is>
          <t>Bergvik skog väst AB</t>
        </is>
      </c>
      <c r="G18144" t="n">
        <v>3.6</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60844-2024</t>
        </is>
      </c>
      <c r="B18145" s="1" t="n">
        <v>45644</v>
      </c>
      <c r="C18145" s="1" t="n">
        <v>45810</v>
      </c>
      <c r="D18145" t="inlineStr">
        <is>
          <t>VÄRMLANDS LÄN</t>
        </is>
      </c>
      <c r="E18145" t="inlineStr">
        <is>
          <t>ARVIKA</t>
        </is>
      </c>
      <c r="G18145" t="n">
        <v>3.8</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60880-2024</t>
        </is>
      </c>
      <c r="B18146" s="1" t="n">
        <v>45644</v>
      </c>
      <c r="C18146" s="1" t="n">
        <v>45810</v>
      </c>
      <c r="D18146" t="inlineStr">
        <is>
          <t>VÄRMLANDS LÄN</t>
        </is>
      </c>
      <c r="E18146" t="inlineStr">
        <is>
          <t>SUNNE</t>
        </is>
      </c>
      <c r="G18146" t="n">
        <v>13.5</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60950-2024</t>
        </is>
      </c>
      <c r="B18147" s="1" t="n">
        <v>45644</v>
      </c>
      <c r="C18147" s="1" t="n">
        <v>45810</v>
      </c>
      <c r="D18147" t="inlineStr">
        <is>
          <t>VÄRMLANDS LÄN</t>
        </is>
      </c>
      <c r="E18147" t="inlineStr">
        <is>
          <t>SÄFFLE</t>
        </is>
      </c>
      <c r="G18147" t="n">
        <v>1</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61216-2024</t>
        </is>
      </c>
      <c r="B18148" s="1" t="n">
        <v>45644</v>
      </c>
      <c r="C18148" s="1" t="n">
        <v>45810</v>
      </c>
      <c r="D18148" t="inlineStr">
        <is>
          <t>VÄRMLANDS LÄN</t>
        </is>
      </c>
      <c r="E18148" t="inlineStr">
        <is>
          <t>SUNNE</t>
        </is>
      </c>
      <c r="G18148" t="n">
        <v>9.800000000000001</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60897-2024</t>
        </is>
      </c>
      <c r="B18149" s="1" t="n">
        <v>45645</v>
      </c>
      <c r="C18149" s="1" t="n">
        <v>45810</v>
      </c>
      <c r="D18149" t="inlineStr">
        <is>
          <t>VÄRMLANDS LÄN</t>
        </is>
      </c>
      <c r="E18149" t="inlineStr">
        <is>
          <t>KARLSTAD</t>
        </is>
      </c>
      <c r="G18149" t="n">
        <v>4</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60907-2024</t>
        </is>
      </c>
      <c r="B18150" s="1" t="n">
        <v>45645</v>
      </c>
      <c r="C18150" s="1" t="n">
        <v>45810</v>
      </c>
      <c r="D18150" t="inlineStr">
        <is>
          <t>VÄRMLANDS LÄN</t>
        </is>
      </c>
      <c r="E18150" t="inlineStr">
        <is>
          <t>KARLSTAD</t>
        </is>
      </c>
      <c r="G18150" t="n">
        <v>1.5</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60963-2024</t>
        </is>
      </c>
      <c r="B18151" s="1" t="n">
        <v>45645</v>
      </c>
      <c r="C18151" s="1" t="n">
        <v>45810</v>
      </c>
      <c r="D18151" t="inlineStr">
        <is>
          <t>VÄRMLANDS LÄN</t>
        </is>
      </c>
      <c r="E18151" t="inlineStr">
        <is>
          <t>EDA</t>
        </is>
      </c>
      <c r="G18151" t="n">
        <v>6.7</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60968-2024</t>
        </is>
      </c>
      <c r="B18152" s="1" t="n">
        <v>45645</v>
      </c>
      <c r="C18152" s="1" t="n">
        <v>45810</v>
      </c>
      <c r="D18152" t="inlineStr">
        <is>
          <t>VÄRMLANDS LÄN</t>
        </is>
      </c>
      <c r="E18152" t="inlineStr">
        <is>
          <t>ARVIKA</t>
        </is>
      </c>
      <c r="G18152" t="n">
        <v>2.9</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60974-2024</t>
        </is>
      </c>
      <c r="B18153" s="1" t="n">
        <v>45645</v>
      </c>
      <c r="C18153" s="1" t="n">
        <v>45810</v>
      </c>
      <c r="D18153" t="inlineStr">
        <is>
          <t>VÄRMLANDS LÄN</t>
        </is>
      </c>
      <c r="E18153" t="inlineStr">
        <is>
          <t>HAGFORS</t>
        </is>
      </c>
      <c r="G18153" t="n">
        <v>1.4</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60998-2024</t>
        </is>
      </c>
      <c r="B18154" s="1" t="n">
        <v>45645</v>
      </c>
      <c r="C18154" s="1" t="n">
        <v>45810</v>
      </c>
      <c r="D18154" t="inlineStr">
        <is>
          <t>VÄRMLANDS LÄN</t>
        </is>
      </c>
      <c r="E18154" t="inlineStr">
        <is>
          <t>ARVIKA</t>
        </is>
      </c>
      <c r="G18154" t="n">
        <v>2.8</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60999-2024</t>
        </is>
      </c>
      <c r="B18155" s="1" t="n">
        <v>45645</v>
      </c>
      <c r="C18155" s="1" t="n">
        <v>45810</v>
      </c>
      <c r="D18155" t="inlineStr">
        <is>
          <t>VÄRMLANDS LÄN</t>
        </is>
      </c>
      <c r="E18155" t="inlineStr">
        <is>
          <t>SUNNE</t>
        </is>
      </c>
      <c r="G18155" t="n">
        <v>1.2</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61203-2024</t>
        </is>
      </c>
      <c r="B18156" s="1" t="n">
        <v>45645</v>
      </c>
      <c r="C18156" s="1" t="n">
        <v>45810</v>
      </c>
      <c r="D18156" t="inlineStr">
        <is>
          <t>VÄRMLANDS LÄN</t>
        </is>
      </c>
      <c r="E18156" t="inlineStr">
        <is>
          <t>ARVIKA</t>
        </is>
      </c>
      <c r="G18156" t="n">
        <v>1.1</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61226-2024</t>
        </is>
      </c>
      <c r="B18157" s="1" t="n">
        <v>45645</v>
      </c>
      <c r="C18157" s="1" t="n">
        <v>45810</v>
      </c>
      <c r="D18157" t="inlineStr">
        <is>
          <t>VÄRMLANDS LÄN</t>
        </is>
      </c>
      <c r="E18157" t="inlineStr">
        <is>
          <t>ÅRJÄNG</t>
        </is>
      </c>
      <c r="G18157" t="n">
        <v>0.8</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61055-2024</t>
        </is>
      </c>
      <c r="B18158" s="1" t="n">
        <v>45645</v>
      </c>
      <c r="C18158" s="1" t="n">
        <v>45810</v>
      </c>
      <c r="D18158" t="inlineStr">
        <is>
          <t>VÄRMLANDS LÄN</t>
        </is>
      </c>
      <c r="E18158" t="inlineStr">
        <is>
          <t>SÄFFLE</t>
        </is>
      </c>
      <c r="G18158" t="n">
        <v>7</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61067-2024</t>
        </is>
      </c>
      <c r="B18159" s="1" t="n">
        <v>45645</v>
      </c>
      <c r="C18159" s="1" t="n">
        <v>45810</v>
      </c>
      <c r="D18159" t="inlineStr">
        <is>
          <t>VÄRMLANDS LÄN</t>
        </is>
      </c>
      <c r="E18159" t="inlineStr">
        <is>
          <t>ARVIKA</t>
        </is>
      </c>
      <c r="F18159" t="inlineStr">
        <is>
          <t>Bergvik skog väst AB</t>
        </is>
      </c>
      <c r="G18159" t="n">
        <v>2.2</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60991-2024</t>
        </is>
      </c>
      <c r="B18160" s="1" t="n">
        <v>45645</v>
      </c>
      <c r="C18160" s="1" t="n">
        <v>45810</v>
      </c>
      <c r="D18160" t="inlineStr">
        <is>
          <t>VÄRMLANDS LÄN</t>
        </is>
      </c>
      <c r="E18160" t="inlineStr">
        <is>
          <t>HAGFORS</t>
        </is>
      </c>
      <c r="G18160" t="n">
        <v>4.1</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60995-2024</t>
        </is>
      </c>
      <c r="B18161" s="1" t="n">
        <v>45645</v>
      </c>
      <c r="C18161" s="1" t="n">
        <v>45810</v>
      </c>
      <c r="D18161" t="inlineStr">
        <is>
          <t>VÄRMLANDS LÄN</t>
        </is>
      </c>
      <c r="E18161" t="inlineStr">
        <is>
          <t>ARVIKA</t>
        </is>
      </c>
      <c r="G18161" t="n">
        <v>2</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61008-2024</t>
        </is>
      </c>
      <c r="B18162" s="1" t="n">
        <v>45645</v>
      </c>
      <c r="C18162" s="1" t="n">
        <v>45810</v>
      </c>
      <c r="D18162" t="inlineStr">
        <is>
          <t>VÄRMLANDS LÄN</t>
        </is>
      </c>
      <c r="E18162" t="inlineStr">
        <is>
          <t>ARVIKA</t>
        </is>
      </c>
      <c r="G18162" t="n">
        <v>38.7</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61090-2024</t>
        </is>
      </c>
      <c r="B18163" s="1" t="n">
        <v>45645</v>
      </c>
      <c r="C18163" s="1" t="n">
        <v>45810</v>
      </c>
      <c r="D18163" t="inlineStr">
        <is>
          <t>VÄRMLANDS LÄN</t>
        </is>
      </c>
      <c r="E18163" t="inlineStr">
        <is>
          <t>ARVIKA</t>
        </is>
      </c>
      <c r="G18163" t="n">
        <v>1.8</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61094-2024</t>
        </is>
      </c>
      <c r="B18164" s="1" t="n">
        <v>45645</v>
      </c>
      <c r="C18164" s="1" t="n">
        <v>45810</v>
      </c>
      <c r="D18164" t="inlineStr">
        <is>
          <t>VÄRMLANDS LÄN</t>
        </is>
      </c>
      <c r="E18164" t="inlineStr">
        <is>
          <t>KIL</t>
        </is>
      </c>
      <c r="G18164" t="n">
        <v>3.7</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61093-2024</t>
        </is>
      </c>
      <c r="B18165" s="1" t="n">
        <v>45645</v>
      </c>
      <c r="C18165" s="1" t="n">
        <v>45810</v>
      </c>
      <c r="D18165" t="inlineStr">
        <is>
          <t>VÄRMLANDS LÄN</t>
        </is>
      </c>
      <c r="E18165" t="inlineStr">
        <is>
          <t>HAGFORS</t>
        </is>
      </c>
      <c r="F18165" t="inlineStr">
        <is>
          <t>Bergvik skog väst AB</t>
        </is>
      </c>
      <c r="G18165" t="n">
        <v>7.3</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61119-2024</t>
        </is>
      </c>
      <c r="B18166" s="1" t="n">
        <v>45645</v>
      </c>
      <c r="C18166" s="1" t="n">
        <v>45810</v>
      </c>
      <c r="D18166" t="inlineStr">
        <is>
          <t>VÄRMLANDS LÄN</t>
        </is>
      </c>
      <c r="E18166" t="inlineStr">
        <is>
          <t>ÅRJÄNG</t>
        </is>
      </c>
      <c r="G18166" t="n">
        <v>2.4</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61180-2024</t>
        </is>
      </c>
      <c r="B18167" s="1" t="n">
        <v>45645</v>
      </c>
      <c r="C18167" s="1" t="n">
        <v>45810</v>
      </c>
      <c r="D18167" t="inlineStr">
        <is>
          <t>VÄRMLANDS LÄN</t>
        </is>
      </c>
      <c r="E18167" t="inlineStr">
        <is>
          <t>HAGFORS</t>
        </is>
      </c>
      <c r="F18167" t="inlineStr">
        <is>
          <t>Bergvik skog väst AB</t>
        </is>
      </c>
      <c r="G18167" t="n">
        <v>5.2</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61232-2024</t>
        </is>
      </c>
      <c r="B18168" s="1" t="n">
        <v>45645</v>
      </c>
      <c r="C18168" s="1" t="n">
        <v>45810</v>
      </c>
      <c r="D18168" t="inlineStr">
        <is>
          <t>VÄRMLANDS LÄN</t>
        </is>
      </c>
      <c r="E18168" t="inlineStr">
        <is>
          <t>HAGFORS</t>
        </is>
      </c>
      <c r="F18168" t="inlineStr">
        <is>
          <t>Bergvik skog väst AB</t>
        </is>
      </c>
      <c r="G18168" t="n">
        <v>6.4</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61253-2024</t>
        </is>
      </c>
      <c r="B18169" s="1" t="n">
        <v>45645</v>
      </c>
      <c r="C18169" s="1" t="n">
        <v>45810</v>
      </c>
      <c r="D18169" t="inlineStr">
        <is>
          <t>VÄRMLANDS LÄN</t>
        </is>
      </c>
      <c r="E18169" t="inlineStr">
        <is>
          <t>TORSBY</t>
        </is>
      </c>
      <c r="G18169" t="n">
        <v>13.4</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60909-2024</t>
        </is>
      </c>
      <c r="B18170" s="1" t="n">
        <v>45645</v>
      </c>
      <c r="C18170" s="1" t="n">
        <v>45810</v>
      </c>
      <c r="D18170" t="inlineStr">
        <is>
          <t>VÄRMLANDS LÄN</t>
        </is>
      </c>
      <c r="E18170" t="inlineStr">
        <is>
          <t>ÅRJÄNG</t>
        </is>
      </c>
      <c r="G18170" t="n">
        <v>1.1</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60932-2024</t>
        </is>
      </c>
      <c r="B18171" s="1" t="n">
        <v>45645</v>
      </c>
      <c r="C18171" s="1" t="n">
        <v>45810</v>
      </c>
      <c r="D18171" t="inlineStr">
        <is>
          <t>VÄRMLANDS LÄN</t>
        </is>
      </c>
      <c r="E18171" t="inlineStr">
        <is>
          <t>KARLSTAD</t>
        </is>
      </c>
      <c r="F18171" t="inlineStr">
        <is>
          <t>Bergvik skog väst AB</t>
        </is>
      </c>
      <c r="G18171" t="n">
        <v>3.5</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60971-2024</t>
        </is>
      </c>
      <c r="B18172" s="1" t="n">
        <v>45645</v>
      </c>
      <c r="C18172" s="1" t="n">
        <v>45810</v>
      </c>
      <c r="D18172" t="inlineStr">
        <is>
          <t>VÄRMLANDS LÄN</t>
        </is>
      </c>
      <c r="E18172" t="inlineStr">
        <is>
          <t>ARVIKA</t>
        </is>
      </c>
      <c r="G18172" t="n">
        <v>2.5</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60996-2024</t>
        </is>
      </c>
      <c r="B18173" s="1" t="n">
        <v>45645</v>
      </c>
      <c r="C18173" s="1" t="n">
        <v>45810</v>
      </c>
      <c r="D18173" t="inlineStr">
        <is>
          <t>VÄRMLANDS LÄN</t>
        </is>
      </c>
      <c r="E18173" t="inlineStr">
        <is>
          <t>SUNNE</t>
        </is>
      </c>
      <c r="G18173" t="n">
        <v>8</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61069-2024</t>
        </is>
      </c>
      <c r="B18174" s="1" t="n">
        <v>45645</v>
      </c>
      <c r="C18174" s="1" t="n">
        <v>45810</v>
      </c>
      <c r="D18174" t="inlineStr">
        <is>
          <t>VÄRMLANDS LÄN</t>
        </is>
      </c>
      <c r="E18174" t="inlineStr">
        <is>
          <t>TORSBY</t>
        </is>
      </c>
      <c r="F18174" t="inlineStr">
        <is>
          <t>Bergvik skog väst AB</t>
        </is>
      </c>
      <c r="G18174" t="n">
        <v>0.7</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61073-2024</t>
        </is>
      </c>
      <c r="B18175" s="1" t="n">
        <v>45645</v>
      </c>
      <c r="C18175" s="1" t="n">
        <v>45810</v>
      </c>
      <c r="D18175" t="inlineStr">
        <is>
          <t>VÄRMLANDS LÄN</t>
        </is>
      </c>
      <c r="E18175" t="inlineStr">
        <is>
          <t>TORSBY</t>
        </is>
      </c>
      <c r="G18175" t="n">
        <v>3.4</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61206-2024</t>
        </is>
      </c>
      <c r="B18176" s="1" t="n">
        <v>45645</v>
      </c>
      <c r="C18176" s="1" t="n">
        <v>45810</v>
      </c>
      <c r="D18176" t="inlineStr">
        <is>
          <t>VÄRMLANDS LÄN</t>
        </is>
      </c>
      <c r="E18176" t="inlineStr">
        <is>
          <t>TORSBY</t>
        </is>
      </c>
      <c r="G18176" t="n">
        <v>1</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61546-2024</t>
        </is>
      </c>
      <c r="B18177" s="1" t="n">
        <v>45645</v>
      </c>
      <c r="C18177" s="1" t="n">
        <v>45810</v>
      </c>
      <c r="D18177" t="inlineStr">
        <is>
          <t>VÄRMLANDS LÄN</t>
        </is>
      </c>
      <c r="E18177" t="inlineStr">
        <is>
          <t>TORSBY</t>
        </is>
      </c>
      <c r="G18177" t="n">
        <v>7.5</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61251-2024</t>
        </is>
      </c>
      <c r="B18178" s="1" t="n">
        <v>45645</v>
      </c>
      <c r="C18178" s="1" t="n">
        <v>45810</v>
      </c>
      <c r="D18178" t="inlineStr">
        <is>
          <t>VÄRMLANDS LÄN</t>
        </is>
      </c>
      <c r="E18178" t="inlineStr">
        <is>
          <t>TORSBY</t>
        </is>
      </c>
      <c r="G18178" t="n">
        <v>1.7</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61092-2024</t>
        </is>
      </c>
      <c r="B18179" s="1" t="n">
        <v>45645</v>
      </c>
      <c r="C18179" s="1" t="n">
        <v>45810</v>
      </c>
      <c r="D18179" t="inlineStr">
        <is>
          <t>VÄRMLANDS LÄN</t>
        </is>
      </c>
      <c r="E18179" t="inlineStr">
        <is>
          <t>SUNNE</t>
        </is>
      </c>
      <c r="G18179" t="n">
        <v>0.8</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61169-2024</t>
        </is>
      </c>
      <c r="B18180" s="1" t="n">
        <v>45645</v>
      </c>
      <c r="C18180" s="1" t="n">
        <v>45810</v>
      </c>
      <c r="D18180" t="inlineStr">
        <is>
          <t>VÄRMLANDS LÄN</t>
        </is>
      </c>
      <c r="E18180" t="inlineStr">
        <is>
          <t>HAGFORS</t>
        </is>
      </c>
      <c r="F18180" t="inlineStr">
        <is>
          <t>Bergvik skog väst AB</t>
        </is>
      </c>
      <c r="G18180" t="n">
        <v>1</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61259-2024</t>
        </is>
      </c>
      <c r="B18181" s="1" t="n">
        <v>45645</v>
      </c>
      <c r="C18181" s="1" t="n">
        <v>45810</v>
      </c>
      <c r="D18181" t="inlineStr">
        <is>
          <t>VÄRMLANDS LÄN</t>
        </is>
      </c>
      <c r="E18181" t="inlineStr">
        <is>
          <t>TORSBY</t>
        </is>
      </c>
      <c r="G18181" t="n">
        <v>1.2</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61310-2024</t>
        </is>
      </c>
      <c r="B18182" s="1" t="n">
        <v>45646</v>
      </c>
      <c r="C18182" s="1" t="n">
        <v>45810</v>
      </c>
      <c r="D18182" t="inlineStr">
        <is>
          <t>VÄRMLANDS LÄN</t>
        </is>
      </c>
      <c r="E18182" t="inlineStr">
        <is>
          <t>EDA</t>
        </is>
      </c>
      <c r="G18182" t="n">
        <v>1.9</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61441-2024</t>
        </is>
      </c>
      <c r="B18183" s="1" t="n">
        <v>45646</v>
      </c>
      <c r="C18183" s="1" t="n">
        <v>45810</v>
      </c>
      <c r="D18183" t="inlineStr">
        <is>
          <t>VÄRMLANDS LÄN</t>
        </is>
      </c>
      <c r="E18183" t="inlineStr">
        <is>
          <t>KARLSTAD</t>
        </is>
      </c>
      <c r="G18183" t="n">
        <v>1.5</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61472-2024</t>
        </is>
      </c>
      <c r="B18184" s="1" t="n">
        <v>45646</v>
      </c>
      <c r="C18184" s="1" t="n">
        <v>45810</v>
      </c>
      <c r="D18184" t="inlineStr">
        <is>
          <t>VÄRMLANDS LÄN</t>
        </is>
      </c>
      <c r="E18184" t="inlineStr">
        <is>
          <t>EDA</t>
        </is>
      </c>
      <c r="G18184" t="n">
        <v>1.6</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61477-2024</t>
        </is>
      </c>
      <c r="B18185" s="1" t="n">
        <v>45646</v>
      </c>
      <c r="C18185" s="1" t="n">
        <v>45810</v>
      </c>
      <c r="D18185" t="inlineStr">
        <is>
          <t>VÄRMLANDS LÄN</t>
        </is>
      </c>
      <c r="E18185" t="inlineStr">
        <is>
          <t>EDA</t>
        </is>
      </c>
      <c r="G18185" t="n">
        <v>6.2</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61311-2024</t>
        </is>
      </c>
      <c r="B18186" s="1" t="n">
        <v>45646</v>
      </c>
      <c r="C18186" s="1" t="n">
        <v>45810</v>
      </c>
      <c r="D18186" t="inlineStr">
        <is>
          <t>VÄRMLANDS LÄN</t>
        </is>
      </c>
      <c r="E18186" t="inlineStr">
        <is>
          <t>EDA</t>
        </is>
      </c>
      <c r="G18186" t="n">
        <v>1.1</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61545-2024</t>
        </is>
      </c>
      <c r="B18187" s="1" t="n">
        <v>45646</v>
      </c>
      <c r="C18187" s="1" t="n">
        <v>45810</v>
      </c>
      <c r="D18187" t="inlineStr">
        <is>
          <t>VÄRMLANDS LÄN</t>
        </is>
      </c>
      <c r="E18187" t="inlineStr">
        <is>
          <t>ÅRJÄNG</t>
        </is>
      </c>
      <c r="G18187" t="n">
        <v>1.1</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61608-2024</t>
        </is>
      </c>
      <c r="B18188" s="1" t="n">
        <v>45646</v>
      </c>
      <c r="C18188" s="1" t="n">
        <v>45810</v>
      </c>
      <c r="D18188" t="inlineStr">
        <is>
          <t>VÄRMLANDS LÄN</t>
        </is>
      </c>
      <c r="E18188" t="inlineStr">
        <is>
          <t>SÄFFLE</t>
        </is>
      </c>
      <c r="G18188" t="n">
        <v>2.9</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61614-2024</t>
        </is>
      </c>
      <c r="B18189" s="1" t="n">
        <v>45646</v>
      </c>
      <c r="C18189" s="1" t="n">
        <v>45810</v>
      </c>
      <c r="D18189" t="inlineStr">
        <is>
          <t>VÄRMLANDS LÄN</t>
        </is>
      </c>
      <c r="E18189" t="inlineStr">
        <is>
          <t>SÄFFLE</t>
        </is>
      </c>
      <c r="G18189" t="n">
        <v>2.1</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61612-2024</t>
        </is>
      </c>
      <c r="B18190" s="1" t="n">
        <v>45646</v>
      </c>
      <c r="C18190" s="1" t="n">
        <v>45810</v>
      </c>
      <c r="D18190" t="inlineStr">
        <is>
          <t>VÄRMLANDS LÄN</t>
        </is>
      </c>
      <c r="E18190" t="inlineStr">
        <is>
          <t>SÄFFLE</t>
        </is>
      </c>
      <c r="G18190" t="n">
        <v>2.9</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61644-2024</t>
        </is>
      </c>
      <c r="B18191" s="1" t="n">
        <v>45646</v>
      </c>
      <c r="C18191" s="1" t="n">
        <v>45810</v>
      </c>
      <c r="D18191" t="inlineStr">
        <is>
          <t>VÄRMLANDS LÄN</t>
        </is>
      </c>
      <c r="E18191" t="inlineStr">
        <is>
          <t>KARLSTAD</t>
        </is>
      </c>
      <c r="G18191" t="n">
        <v>0.8</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61642-2024</t>
        </is>
      </c>
      <c r="B18192" s="1" t="n">
        <v>45646</v>
      </c>
      <c r="C18192" s="1" t="n">
        <v>45810</v>
      </c>
      <c r="D18192" t="inlineStr">
        <is>
          <t>VÄRMLANDS LÄN</t>
        </is>
      </c>
      <c r="E18192" t="inlineStr">
        <is>
          <t>FILIPSTAD</t>
        </is>
      </c>
      <c r="G18192" t="n">
        <v>3</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61819-2024</t>
        </is>
      </c>
      <c r="B18193" s="1" t="n">
        <v>45646</v>
      </c>
      <c r="C18193" s="1" t="n">
        <v>45810</v>
      </c>
      <c r="D18193" t="inlineStr">
        <is>
          <t>VÄRMLANDS LÄN</t>
        </is>
      </c>
      <c r="E18193" t="inlineStr">
        <is>
          <t>SÄFFLE</t>
        </is>
      </c>
      <c r="G18193" t="n">
        <v>0.9</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61478-2024</t>
        </is>
      </c>
      <c r="B18194" s="1" t="n">
        <v>45646</v>
      </c>
      <c r="C18194" s="1" t="n">
        <v>45810</v>
      </c>
      <c r="D18194" t="inlineStr">
        <is>
          <t>VÄRMLANDS LÄN</t>
        </is>
      </c>
      <c r="E18194" t="inlineStr">
        <is>
          <t>TORSBY</t>
        </is>
      </c>
      <c r="G18194" t="n">
        <v>1.7</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61549-2024</t>
        </is>
      </c>
      <c r="B18195" s="1" t="n">
        <v>45646</v>
      </c>
      <c r="C18195" s="1" t="n">
        <v>45810</v>
      </c>
      <c r="D18195" t="inlineStr">
        <is>
          <t>VÄRMLANDS LÄN</t>
        </is>
      </c>
      <c r="E18195" t="inlineStr">
        <is>
          <t>ÅRJÄNG</t>
        </is>
      </c>
      <c r="G18195" t="n">
        <v>3.4</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61565-2024</t>
        </is>
      </c>
      <c r="B18196" s="1" t="n">
        <v>45646</v>
      </c>
      <c r="C18196" s="1" t="n">
        <v>45810</v>
      </c>
      <c r="D18196" t="inlineStr">
        <is>
          <t>VÄRMLANDS LÄN</t>
        </is>
      </c>
      <c r="E18196" t="inlineStr">
        <is>
          <t>TORSBY</t>
        </is>
      </c>
      <c r="F18196" t="inlineStr">
        <is>
          <t>Bergvik skog väst AB</t>
        </is>
      </c>
      <c r="G18196" t="n">
        <v>14.1</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61811-2024</t>
        </is>
      </c>
      <c r="B18197" s="1" t="n">
        <v>45646</v>
      </c>
      <c r="C18197" s="1" t="n">
        <v>45810</v>
      </c>
      <c r="D18197" t="inlineStr">
        <is>
          <t>VÄRMLANDS LÄN</t>
        </is>
      </c>
      <c r="E18197" t="inlineStr">
        <is>
          <t>ÅRJÄNG</t>
        </is>
      </c>
      <c r="G18197" t="n">
        <v>3.4</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61381-2024</t>
        </is>
      </c>
      <c r="B18198" s="1" t="n">
        <v>45646</v>
      </c>
      <c r="C18198" s="1" t="n">
        <v>45810</v>
      </c>
      <c r="D18198" t="inlineStr">
        <is>
          <t>VÄRMLANDS LÄN</t>
        </is>
      </c>
      <c r="E18198" t="inlineStr">
        <is>
          <t>EDA</t>
        </is>
      </c>
      <c r="G18198" t="n">
        <v>4.3</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61413-2024</t>
        </is>
      </c>
      <c r="B18199" s="1" t="n">
        <v>45646</v>
      </c>
      <c r="C18199" s="1" t="n">
        <v>45810</v>
      </c>
      <c r="D18199" t="inlineStr">
        <is>
          <t>VÄRMLANDS LÄN</t>
        </is>
      </c>
      <c r="E18199" t="inlineStr">
        <is>
          <t>EDA</t>
        </is>
      </c>
      <c r="G18199" t="n">
        <v>4.8</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61631-2024</t>
        </is>
      </c>
      <c r="B18200" s="1" t="n">
        <v>45646</v>
      </c>
      <c r="C18200" s="1" t="n">
        <v>45810</v>
      </c>
      <c r="D18200" t="inlineStr">
        <is>
          <t>VÄRMLANDS LÄN</t>
        </is>
      </c>
      <c r="E18200" t="inlineStr">
        <is>
          <t>KRISTINEHAMN</t>
        </is>
      </c>
      <c r="G18200" t="n">
        <v>1.2</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61635-2024</t>
        </is>
      </c>
      <c r="B18201" s="1" t="n">
        <v>45646</v>
      </c>
      <c r="C18201" s="1" t="n">
        <v>45810</v>
      </c>
      <c r="D18201" t="inlineStr">
        <is>
          <t>VÄRMLANDS LÄN</t>
        </is>
      </c>
      <c r="E18201" t="inlineStr">
        <is>
          <t>KARLSTAD</t>
        </is>
      </c>
      <c r="G18201" t="n">
        <v>2</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61643-2024</t>
        </is>
      </c>
      <c r="B18202" s="1" t="n">
        <v>45646</v>
      </c>
      <c r="C18202" s="1" t="n">
        <v>45810</v>
      </c>
      <c r="D18202" t="inlineStr">
        <is>
          <t>VÄRMLANDS LÄN</t>
        </is>
      </c>
      <c r="E18202" t="inlineStr">
        <is>
          <t>FILIPSTAD</t>
        </is>
      </c>
      <c r="G18202" t="n">
        <v>1.1</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61824-2024</t>
        </is>
      </c>
      <c r="B18203" s="1" t="n">
        <v>45646</v>
      </c>
      <c r="C18203" s="1" t="n">
        <v>45810</v>
      </c>
      <c r="D18203" t="inlineStr">
        <is>
          <t>VÄRMLANDS LÄN</t>
        </is>
      </c>
      <c r="E18203" t="inlineStr">
        <is>
          <t>SÄFFLE</t>
        </is>
      </c>
      <c r="G18203" t="n">
        <v>3</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62149-2024</t>
        </is>
      </c>
      <c r="B18204" s="1" t="n">
        <v>45646</v>
      </c>
      <c r="C18204" s="1" t="n">
        <v>45810</v>
      </c>
      <c r="D18204" t="inlineStr">
        <is>
          <t>VÄRMLANDS LÄN</t>
        </is>
      </c>
      <c r="E18204" t="inlineStr">
        <is>
          <t>SUNNE</t>
        </is>
      </c>
      <c r="G18204" t="n">
        <v>2.3</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61645-2024</t>
        </is>
      </c>
      <c r="B18205" s="1" t="n">
        <v>45646</v>
      </c>
      <c r="C18205" s="1" t="n">
        <v>45810</v>
      </c>
      <c r="D18205" t="inlineStr">
        <is>
          <t>VÄRMLANDS LÄN</t>
        </is>
      </c>
      <c r="E18205" t="inlineStr">
        <is>
          <t>SUNNE</t>
        </is>
      </c>
      <c r="G18205" t="n">
        <v>1.4</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61814-2024</t>
        </is>
      </c>
      <c r="B18206" s="1" t="n">
        <v>45646</v>
      </c>
      <c r="C18206" s="1" t="n">
        <v>45810</v>
      </c>
      <c r="D18206" t="inlineStr">
        <is>
          <t>VÄRMLANDS LÄN</t>
        </is>
      </c>
      <c r="E18206" t="inlineStr">
        <is>
          <t>ÅRJÄNG</t>
        </is>
      </c>
      <c r="G18206" t="n">
        <v>5.3</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61672-2024</t>
        </is>
      </c>
      <c r="B18207" s="1" t="n">
        <v>45647</v>
      </c>
      <c r="C18207" s="1" t="n">
        <v>45810</v>
      </c>
      <c r="D18207" t="inlineStr">
        <is>
          <t>VÄRMLANDS LÄN</t>
        </is>
      </c>
      <c r="E18207" t="inlineStr">
        <is>
          <t>TORSBY</t>
        </is>
      </c>
      <c r="G18207" t="n">
        <v>3.3</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61678-2024</t>
        </is>
      </c>
      <c r="B18208" s="1" t="n">
        <v>45647</v>
      </c>
      <c r="C18208" s="1" t="n">
        <v>45810</v>
      </c>
      <c r="D18208" t="inlineStr">
        <is>
          <t>VÄRMLANDS LÄN</t>
        </is>
      </c>
      <c r="E18208" t="inlineStr">
        <is>
          <t>KRISTINEHAMN</t>
        </is>
      </c>
      <c r="G18208" t="n">
        <v>3.2</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61674-2024</t>
        </is>
      </c>
      <c r="B18209" s="1" t="n">
        <v>45647</v>
      </c>
      <c r="C18209" s="1" t="n">
        <v>45810</v>
      </c>
      <c r="D18209" t="inlineStr">
        <is>
          <t>VÄRMLANDS LÄN</t>
        </is>
      </c>
      <c r="E18209" t="inlineStr">
        <is>
          <t>KRISTINEHAMN</t>
        </is>
      </c>
      <c r="G18209" t="n">
        <v>2</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61675-2024</t>
        </is>
      </c>
      <c r="B18210" s="1" t="n">
        <v>45647</v>
      </c>
      <c r="C18210" s="1" t="n">
        <v>45810</v>
      </c>
      <c r="D18210" t="inlineStr">
        <is>
          <t>VÄRMLANDS LÄN</t>
        </is>
      </c>
      <c r="E18210" t="inlineStr">
        <is>
          <t>KRISTINEHAMN</t>
        </is>
      </c>
      <c r="G18210" t="n">
        <v>0.7</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61712-2024</t>
        </is>
      </c>
      <c r="B18211" s="1" t="n">
        <v>45648</v>
      </c>
      <c r="C18211" s="1" t="n">
        <v>45810</v>
      </c>
      <c r="D18211" t="inlineStr">
        <is>
          <t>VÄRMLANDS LÄN</t>
        </is>
      </c>
      <c r="E18211" t="inlineStr">
        <is>
          <t>TORSBY</t>
        </is>
      </c>
      <c r="G18211" t="n">
        <v>2.8</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61713-2024</t>
        </is>
      </c>
      <c r="B18212" s="1" t="n">
        <v>45648</v>
      </c>
      <c r="C18212" s="1" t="n">
        <v>45810</v>
      </c>
      <c r="D18212" t="inlineStr">
        <is>
          <t>VÄRMLANDS LÄN</t>
        </is>
      </c>
      <c r="E18212" t="inlineStr">
        <is>
          <t>TORSBY</t>
        </is>
      </c>
      <c r="G18212" t="n">
        <v>1.1</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61705-2024</t>
        </is>
      </c>
      <c r="B18213" s="1" t="n">
        <v>45648</v>
      </c>
      <c r="C18213" s="1" t="n">
        <v>45810</v>
      </c>
      <c r="D18213" t="inlineStr">
        <is>
          <t>VÄRMLANDS LÄN</t>
        </is>
      </c>
      <c r="E18213" t="inlineStr">
        <is>
          <t>ARVIKA</t>
        </is>
      </c>
      <c r="F18213" t="inlineStr">
        <is>
          <t>Bergvik skog väst AB</t>
        </is>
      </c>
      <c r="G18213" t="n">
        <v>4.1</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61706-2024</t>
        </is>
      </c>
      <c r="B18214" s="1" t="n">
        <v>45648</v>
      </c>
      <c r="C18214" s="1" t="n">
        <v>45810</v>
      </c>
      <c r="D18214" t="inlineStr">
        <is>
          <t>VÄRMLANDS LÄN</t>
        </is>
      </c>
      <c r="E18214" t="inlineStr">
        <is>
          <t>ARVIKA</t>
        </is>
      </c>
      <c r="F18214" t="inlineStr">
        <is>
          <t>Bergvik skog väst AB</t>
        </is>
      </c>
      <c r="G18214" t="n">
        <v>4.1</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61747-2024</t>
        </is>
      </c>
      <c r="B18215" s="1" t="n">
        <v>45649</v>
      </c>
      <c r="C18215" s="1" t="n">
        <v>45810</v>
      </c>
      <c r="D18215" t="inlineStr">
        <is>
          <t>VÄRMLANDS LÄN</t>
        </is>
      </c>
      <c r="E18215" t="inlineStr">
        <is>
          <t>KARLSTAD</t>
        </is>
      </c>
      <c r="G18215" t="n">
        <v>4</v>
      </c>
      <c r="H18215" t="n">
        <v>0</v>
      </c>
      <c r="I18215" t="n">
        <v>0</v>
      </c>
      <c r="J18215" t="n">
        <v>0</v>
      </c>
      <c r="K18215" t="n">
        <v>0</v>
      </c>
      <c r="L18215" t="n">
        <v>0</v>
      </c>
      <c r="M18215" t="n">
        <v>0</v>
      </c>
      <c r="N18215" t="n">
        <v>0</v>
      </c>
      <c r="O18215" t="n">
        <v>0</v>
      </c>
      <c r="P18215" t="n">
        <v>0</v>
      </c>
      <c r="Q18215" t="n">
        <v>0</v>
      </c>
      <c r="R18215" s="2" t="inlineStr"/>
    </row>
    <row r="18216" ht="15" customHeight="1">
      <c r="A18216" t="inlineStr">
        <is>
          <t>A 99-2025</t>
        </is>
      </c>
      <c r="B18216" s="1" t="n">
        <v>45649</v>
      </c>
      <c r="C18216" s="1" t="n">
        <v>45810</v>
      </c>
      <c r="D18216" t="inlineStr">
        <is>
          <t>VÄRMLANDS LÄN</t>
        </is>
      </c>
      <c r="E18216" t="inlineStr">
        <is>
          <t>ÅRJÄNG</t>
        </is>
      </c>
      <c r="G18216" t="n">
        <v>0.6</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61855-2024</t>
        </is>
      </c>
      <c r="B18217" s="1" t="n">
        <v>45649</v>
      </c>
      <c r="C18217" s="1" t="n">
        <v>45810</v>
      </c>
      <c r="D18217" t="inlineStr">
        <is>
          <t>VÄRMLANDS LÄN</t>
        </is>
      </c>
      <c r="E18217" t="inlineStr">
        <is>
          <t>TORSBY</t>
        </is>
      </c>
      <c r="G18217" t="n">
        <v>1.8</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61851-2024</t>
        </is>
      </c>
      <c r="B18218" s="1" t="n">
        <v>45649</v>
      </c>
      <c r="C18218" s="1" t="n">
        <v>45810</v>
      </c>
      <c r="D18218" t="inlineStr">
        <is>
          <t>VÄRMLANDS LÄN</t>
        </is>
      </c>
      <c r="E18218" t="inlineStr">
        <is>
          <t>TORSBY</t>
        </is>
      </c>
      <c r="G18218" t="n">
        <v>2</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61793-2024</t>
        </is>
      </c>
      <c r="B18219" s="1" t="n">
        <v>45649</v>
      </c>
      <c r="C18219" s="1" t="n">
        <v>45810</v>
      </c>
      <c r="D18219" t="inlineStr">
        <is>
          <t>VÄRMLANDS LÄN</t>
        </is>
      </c>
      <c r="E18219" t="inlineStr">
        <is>
          <t>ÅRJÄNG</t>
        </is>
      </c>
      <c r="G18219" t="n">
        <v>1.9</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61736-2024</t>
        </is>
      </c>
      <c r="B18220" s="1" t="n">
        <v>45649</v>
      </c>
      <c r="C18220" s="1" t="n">
        <v>45810</v>
      </c>
      <c r="D18220" t="inlineStr">
        <is>
          <t>VÄRMLANDS LÄN</t>
        </is>
      </c>
      <c r="E18220" t="inlineStr">
        <is>
          <t>STORFORS</t>
        </is>
      </c>
      <c r="F18220" t="inlineStr">
        <is>
          <t>Bergvik skog väst AB</t>
        </is>
      </c>
      <c r="G18220" t="n">
        <v>3</v>
      </c>
      <c r="H18220" t="n">
        <v>0</v>
      </c>
      <c r="I18220" t="n">
        <v>0</v>
      </c>
      <c r="J18220" t="n">
        <v>0</v>
      </c>
      <c r="K18220" t="n">
        <v>0</v>
      </c>
      <c r="L18220" t="n">
        <v>0</v>
      </c>
      <c r="M18220" t="n">
        <v>0</v>
      </c>
      <c r="N18220" t="n">
        <v>0</v>
      </c>
      <c r="O18220" t="n">
        <v>0</v>
      </c>
      <c r="P18220" t="n">
        <v>0</v>
      </c>
      <c r="Q18220" t="n">
        <v>0</v>
      </c>
      <c r="R18220" s="2" t="inlineStr"/>
    </row>
    <row r="18221" ht="15" customHeight="1">
      <c r="A18221" t="inlineStr">
        <is>
          <t>A 61728-2024</t>
        </is>
      </c>
      <c r="B18221" s="1" t="n">
        <v>45649</v>
      </c>
      <c r="C18221" s="1" t="n">
        <v>45810</v>
      </c>
      <c r="D18221" t="inlineStr">
        <is>
          <t>VÄRMLANDS LÄN</t>
        </is>
      </c>
      <c r="E18221" t="inlineStr">
        <is>
          <t>STORFORS</t>
        </is>
      </c>
      <c r="F18221" t="inlineStr">
        <is>
          <t>Bergvik skog väst AB</t>
        </is>
      </c>
      <c r="G18221" t="n">
        <v>23.3</v>
      </c>
      <c r="H18221" t="n">
        <v>0</v>
      </c>
      <c r="I18221" t="n">
        <v>0</v>
      </c>
      <c r="J18221" t="n">
        <v>0</v>
      </c>
      <c r="K18221" t="n">
        <v>0</v>
      </c>
      <c r="L18221" t="n">
        <v>0</v>
      </c>
      <c r="M18221" t="n">
        <v>0</v>
      </c>
      <c r="N18221" t="n">
        <v>0</v>
      </c>
      <c r="O18221" t="n">
        <v>0</v>
      </c>
      <c r="P18221" t="n">
        <v>0</v>
      </c>
      <c r="Q18221" t="n">
        <v>0</v>
      </c>
      <c r="R18221" s="2" t="inlineStr"/>
    </row>
    <row r="18222" ht="15" customHeight="1">
      <c r="A18222" t="inlineStr">
        <is>
          <t>A 61856-2024</t>
        </is>
      </c>
      <c r="B18222" s="1" t="n">
        <v>45649</v>
      </c>
      <c r="C18222" s="1" t="n">
        <v>45810</v>
      </c>
      <c r="D18222" t="inlineStr">
        <is>
          <t>VÄRMLANDS LÄN</t>
        </is>
      </c>
      <c r="E18222" t="inlineStr">
        <is>
          <t>TORSBY</t>
        </is>
      </c>
      <c r="G18222" t="n">
        <v>1.2</v>
      </c>
      <c r="H18222" t="n">
        <v>0</v>
      </c>
      <c r="I18222" t="n">
        <v>0</v>
      </c>
      <c r="J18222" t="n">
        <v>0</v>
      </c>
      <c r="K18222" t="n">
        <v>0</v>
      </c>
      <c r="L18222" t="n">
        <v>0</v>
      </c>
      <c r="M18222" t="n">
        <v>0</v>
      </c>
      <c r="N18222" t="n">
        <v>0</v>
      </c>
      <c r="O18222" t="n">
        <v>0</v>
      </c>
      <c r="P18222" t="n">
        <v>0</v>
      </c>
      <c r="Q18222" t="n">
        <v>0</v>
      </c>
      <c r="R18222" s="2" t="inlineStr"/>
    </row>
    <row r="18223" ht="15" customHeight="1">
      <c r="A18223" t="inlineStr">
        <is>
          <t>A 61791-2024</t>
        </is>
      </c>
      <c r="B18223" s="1" t="n">
        <v>45649</v>
      </c>
      <c r="C18223" s="1" t="n">
        <v>45810</v>
      </c>
      <c r="D18223" t="inlineStr">
        <is>
          <t>VÄRMLANDS LÄN</t>
        </is>
      </c>
      <c r="E18223" t="inlineStr">
        <is>
          <t>EDA</t>
        </is>
      </c>
      <c r="G18223" t="n">
        <v>1.2</v>
      </c>
      <c r="H18223" t="n">
        <v>0</v>
      </c>
      <c r="I18223" t="n">
        <v>0</v>
      </c>
      <c r="J18223" t="n">
        <v>0</v>
      </c>
      <c r="K18223" t="n">
        <v>0</v>
      </c>
      <c r="L18223" t="n">
        <v>0</v>
      </c>
      <c r="M18223" t="n">
        <v>0</v>
      </c>
      <c r="N18223" t="n">
        <v>0</v>
      </c>
      <c r="O18223" t="n">
        <v>0</v>
      </c>
      <c r="P18223" t="n">
        <v>0</v>
      </c>
      <c r="Q18223" t="n">
        <v>0</v>
      </c>
      <c r="R18223" s="2" t="inlineStr"/>
    </row>
    <row r="18224" ht="15" customHeight="1">
      <c r="A18224" t="inlineStr">
        <is>
          <t>A 61754-2024</t>
        </is>
      </c>
      <c r="B18224" s="1" t="n">
        <v>45649</v>
      </c>
      <c r="C18224" s="1" t="n">
        <v>45810</v>
      </c>
      <c r="D18224" t="inlineStr">
        <is>
          <t>VÄRMLANDS LÄN</t>
        </is>
      </c>
      <c r="E18224" t="inlineStr">
        <is>
          <t>KRISTINEHAMN</t>
        </is>
      </c>
      <c r="G18224" t="n">
        <v>2.2</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61746-2024</t>
        </is>
      </c>
      <c r="B18225" s="1" t="n">
        <v>45649</v>
      </c>
      <c r="C18225" s="1" t="n">
        <v>45810</v>
      </c>
      <c r="D18225" t="inlineStr">
        <is>
          <t>VÄRMLANDS LÄN</t>
        </is>
      </c>
      <c r="E18225" t="inlineStr">
        <is>
          <t>STORFORS</t>
        </is>
      </c>
      <c r="F18225" t="inlineStr">
        <is>
          <t>Bergvik skog väst AB</t>
        </is>
      </c>
      <c r="G18225" t="n">
        <v>10.7</v>
      </c>
      <c r="H18225" t="n">
        <v>0</v>
      </c>
      <c r="I18225" t="n">
        <v>0</v>
      </c>
      <c r="J18225" t="n">
        <v>0</v>
      </c>
      <c r="K18225" t="n">
        <v>0</v>
      </c>
      <c r="L18225" t="n">
        <v>0</v>
      </c>
      <c r="M18225" t="n">
        <v>0</v>
      </c>
      <c r="N18225" t="n">
        <v>0</v>
      </c>
      <c r="O18225" t="n">
        <v>0</v>
      </c>
      <c r="P18225" t="n">
        <v>0</v>
      </c>
      <c r="Q18225" t="n">
        <v>0</v>
      </c>
      <c r="R18225" s="2" t="inlineStr"/>
    </row>
    <row r="18226" ht="15" customHeight="1">
      <c r="A18226" t="inlineStr">
        <is>
          <t>A 61765-2024</t>
        </is>
      </c>
      <c r="B18226" s="1" t="n">
        <v>45649</v>
      </c>
      <c r="C18226" s="1" t="n">
        <v>45810</v>
      </c>
      <c r="D18226" t="inlineStr">
        <is>
          <t>VÄRMLANDS LÄN</t>
        </is>
      </c>
      <c r="E18226" t="inlineStr">
        <is>
          <t>STORFORS</t>
        </is>
      </c>
      <c r="F18226" t="inlineStr">
        <is>
          <t>Bergvik skog väst AB</t>
        </is>
      </c>
      <c r="G18226" t="n">
        <v>12.5</v>
      </c>
      <c r="H18226" t="n">
        <v>0</v>
      </c>
      <c r="I18226" t="n">
        <v>0</v>
      </c>
      <c r="J18226" t="n">
        <v>0</v>
      </c>
      <c r="K18226" t="n">
        <v>0</v>
      </c>
      <c r="L18226" t="n">
        <v>0</v>
      </c>
      <c r="M18226" t="n">
        <v>0</v>
      </c>
      <c r="N18226" t="n">
        <v>0</v>
      </c>
      <c r="O18226" t="n">
        <v>0</v>
      </c>
      <c r="P18226" t="n">
        <v>0</v>
      </c>
      <c r="Q18226" t="n">
        <v>0</v>
      </c>
      <c r="R18226" s="2" t="inlineStr"/>
    </row>
    <row r="18227" ht="15" customHeight="1">
      <c r="A18227" t="inlineStr">
        <is>
          <t>A 61741-2024</t>
        </is>
      </c>
      <c r="B18227" s="1" t="n">
        <v>45649</v>
      </c>
      <c r="C18227" s="1" t="n">
        <v>45810</v>
      </c>
      <c r="D18227" t="inlineStr">
        <is>
          <t>VÄRMLANDS LÄN</t>
        </is>
      </c>
      <c r="E18227" t="inlineStr">
        <is>
          <t>STORFORS</t>
        </is>
      </c>
      <c r="F18227" t="inlineStr">
        <is>
          <t>Bergvik skog väst AB</t>
        </is>
      </c>
      <c r="G18227" t="n">
        <v>7.6</v>
      </c>
      <c r="H18227" t="n">
        <v>0</v>
      </c>
      <c r="I18227" t="n">
        <v>0</v>
      </c>
      <c r="J18227" t="n">
        <v>0</v>
      </c>
      <c r="K18227" t="n">
        <v>0</v>
      </c>
      <c r="L18227" t="n">
        <v>0</v>
      </c>
      <c r="M18227" t="n">
        <v>0</v>
      </c>
      <c r="N18227" t="n">
        <v>0</v>
      </c>
      <c r="O18227" t="n">
        <v>0</v>
      </c>
      <c r="P18227" t="n">
        <v>0</v>
      </c>
      <c r="Q18227" t="n">
        <v>0</v>
      </c>
      <c r="R18227" s="2" t="inlineStr"/>
    </row>
    <row r="18228" ht="15" customHeight="1">
      <c r="A18228" t="inlineStr">
        <is>
          <t>A 61864-2024</t>
        </is>
      </c>
      <c r="B18228" s="1" t="n">
        <v>45650</v>
      </c>
      <c r="C18228" s="1" t="n">
        <v>45810</v>
      </c>
      <c r="D18228" t="inlineStr">
        <is>
          <t>VÄRMLANDS LÄN</t>
        </is>
      </c>
      <c r="E18228" t="inlineStr">
        <is>
          <t>ARVIKA</t>
        </is>
      </c>
      <c r="G18228" t="n">
        <v>13.3</v>
      </c>
      <c r="H18228" t="n">
        <v>0</v>
      </c>
      <c r="I18228" t="n">
        <v>0</v>
      </c>
      <c r="J18228" t="n">
        <v>0</v>
      </c>
      <c r="K18228" t="n">
        <v>0</v>
      </c>
      <c r="L18228" t="n">
        <v>0</v>
      </c>
      <c r="M18228" t="n">
        <v>0</v>
      </c>
      <c r="N18228" t="n">
        <v>0</v>
      </c>
      <c r="O18228" t="n">
        <v>0</v>
      </c>
      <c r="P18228" t="n">
        <v>0</v>
      </c>
      <c r="Q18228" t="n">
        <v>0</v>
      </c>
      <c r="R18228" s="2" t="inlineStr"/>
    </row>
    <row r="18229" ht="15" customHeight="1">
      <c r="A18229" t="inlineStr">
        <is>
          <t>A 61862-2024</t>
        </is>
      </c>
      <c r="B18229" s="1" t="n">
        <v>45650</v>
      </c>
      <c r="C18229" s="1" t="n">
        <v>45810</v>
      </c>
      <c r="D18229" t="inlineStr">
        <is>
          <t>VÄRMLANDS LÄN</t>
        </is>
      </c>
      <c r="E18229" t="inlineStr">
        <is>
          <t>SUNNE</t>
        </is>
      </c>
      <c r="G18229" t="n">
        <v>1</v>
      </c>
      <c r="H18229" t="n">
        <v>0</v>
      </c>
      <c r="I18229" t="n">
        <v>0</v>
      </c>
      <c r="J18229" t="n">
        <v>0</v>
      </c>
      <c r="K18229" t="n">
        <v>0</v>
      </c>
      <c r="L18229" t="n">
        <v>0</v>
      </c>
      <c r="M18229" t="n">
        <v>0</v>
      </c>
      <c r="N18229" t="n">
        <v>0</v>
      </c>
      <c r="O18229" t="n">
        <v>0</v>
      </c>
      <c r="P18229" t="n">
        <v>0</v>
      </c>
      <c r="Q18229" t="n">
        <v>0</v>
      </c>
      <c r="R18229" s="2" t="inlineStr"/>
    </row>
    <row r="18230" ht="15" customHeight="1">
      <c r="A18230" t="inlineStr">
        <is>
          <t>A 61865-2024</t>
        </is>
      </c>
      <c r="B18230" s="1" t="n">
        <v>45651</v>
      </c>
      <c r="C18230" s="1" t="n">
        <v>45810</v>
      </c>
      <c r="D18230" t="inlineStr">
        <is>
          <t>VÄRMLANDS LÄN</t>
        </is>
      </c>
      <c r="E18230" t="inlineStr">
        <is>
          <t>ARVIKA</t>
        </is>
      </c>
      <c r="G18230" t="n">
        <v>2.8</v>
      </c>
      <c r="H18230" t="n">
        <v>0</v>
      </c>
      <c r="I18230" t="n">
        <v>0</v>
      </c>
      <c r="J18230" t="n">
        <v>0</v>
      </c>
      <c r="K18230" t="n">
        <v>0</v>
      </c>
      <c r="L18230" t="n">
        <v>0</v>
      </c>
      <c r="M18230" t="n">
        <v>0</v>
      </c>
      <c r="N18230" t="n">
        <v>0</v>
      </c>
      <c r="O18230" t="n">
        <v>0</v>
      </c>
      <c r="P18230" t="n">
        <v>0</v>
      </c>
      <c r="Q18230" t="n">
        <v>0</v>
      </c>
      <c r="R18230" s="2" t="inlineStr"/>
    </row>
    <row r="18231" ht="15" customHeight="1">
      <c r="A18231" t="inlineStr">
        <is>
          <t>A 61868-2024</t>
        </is>
      </c>
      <c r="B18231" s="1" t="n">
        <v>45651</v>
      </c>
      <c r="C18231" s="1" t="n">
        <v>45810</v>
      </c>
      <c r="D18231" t="inlineStr">
        <is>
          <t>VÄRMLANDS LÄN</t>
        </is>
      </c>
      <c r="E18231" t="inlineStr">
        <is>
          <t>ÅRJÄNG</t>
        </is>
      </c>
      <c r="G18231" t="n">
        <v>0.8</v>
      </c>
      <c r="H18231" t="n">
        <v>0</v>
      </c>
      <c r="I18231" t="n">
        <v>0</v>
      </c>
      <c r="J18231" t="n">
        <v>0</v>
      </c>
      <c r="K18231" t="n">
        <v>0</v>
      </c>
      <c r="L18231" t="n">
        <v>0</v>
      </c>
      <c r="M18231" t="n">
        <v>0</v>
      </c>
      <c r="N18231" t="n">
        <v>0</v>
      </c>
      <c r="O18231" t="n">
        <v>0</v>
      </c>
      <c r="P18231" t="n">
        <v>0</v>
      </c>
      <c r="Q18231" t="n">
        <v>0</v>
      </c>
      <c r="R18231" s="2" t="inlineStr"/>
    </row>
    <row r="18232" ht="15" customHeight="1">
      <c r="A18232" t="inlineStr">
        <is>
          <t>A 61866-2024</t>
        </is>
      </c>
      <c r="B18232" s="1" t="n">
        <v>45651</v>
      </c>
      <c r="C18232" s="1" t="n">
        <v>45810</v>
      </c>
      <c r="D18232" t="inlineStr">
        <is>
          <t>VÄRMLANDS LÄN</t>
        </is>
      </c>
      <c r="E18232" t="inlineStr">
        <is>
          <t>ARVIKA</t>
        </is>
      </c>
      <c r="G18232" t="n">
        <v>2</v>
      </c>
      <c r="H18232" t="n">
        <v>0</v>
      </c>
      <c r="I18232" t="n">
        <v>0</v>
      </c>
      <c r="J18232" t="n">
        <v>0</v>
      </c>
      <c r="K18232" t="n">
        <v>0</v>
      </c>
      <c r="L18232" t="n">
        <v>0</v>
      </c>
      <c r="M18232" t="n">
        <v>0</v>
      </c>
      <c r="N18232" t="n">
        <v>0</v>
      </c>
      <c r="O18232" t="n">
        <v>0</v>
      </c>
      <c r="P18232" t="n">
        <v>0</v>
      </c>
      <c r="Q18232" t="n">
        <v>0</v>
      </c>
      <c r="R18232" s="2" t="inlineStr"/>
    </row>
    <row r="18233" ht="15" customHeight="1">
      <c r="A18233" t="inlineStr">
        <is>
          <t>A 61885-2024</t>
        </is>
      </c>
      <c r="B18233" s="1" t="n">
        <v>45652</v>
      </c>
      <c r="C18233" s="1" t="n">
        <v>45810</v>
      </c>
      <c r="D18233" t="inlineStr">
        <is>
          <t>VÄRMLANDS LÄN</t>
        </is>
      </c>
      <c r="E18233" t="inlineStr">
        <is>
          <t>ARVIKA</t>
        </is>
      </c>
      <c r="G18233" t="n">
        <v>3.1</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235-2025</t>
        </is>
      </c>
      <c r="B18234" s="1" t="n">
        <v>45652</v>
      </c>
      <c r="C18234" s="1" t="n">
        <v>45810</v>
      </c>
      <c r="D18234" t="inlineStr">
        <is>
          <t>VÄRMLANDS LÄN</t>
        </is>
      </c>
      <c r="E18234" t="inlineStr">
        <is>
          <t>SÄFFLE</t>
        </is>
      </c>
      <c r="G18234" t="n">
        <v>2.1</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236-2025</t>
        </is>
      </c>
      <c r="B18235" s="1" t="n">
        <v>45653</v>
      </c>
      <c r="C18235" s="1" t="n">
        <v>45810</v>
      </c>
      <c r="D18235" t="inlineStr">
        <is>
          <t>VÄRMLANDS LÄN</t>
        </is>
      </c>
      <c r="E18235" t="inlineStr">
        <is>
          <t>ÅRJÄNG</t>
        </is>
      </c>
      <c r="F18235" t="inlineStr">
        <is>
          <t>Övriga Aktiebolag</t>
        </is>
      </c>
      <c r="G18235" t="n">
        <v>3</v>
      </c>
      <c r="H18235" t="n">
        <v>0</v>
      </c>
      <c r="I18235" t="n">
        <v>0</v>
      </c>
      <c r="J18235" t="n">
        <v>0</v>
      </c>
      <c r="K18235" t="n">
        <v>0</v>
      </c>
      <c r="L18235" t="n">
        <v>0</v>
      </c>
      <c r="M18235" t="n">
        <v>0</v>
      </c>
      <c r="N18235" t="n">
        <v>0</v>
      </c>
      <c r="O18235" t="n">
        <v>0</v>
      </c>
      <c r="P18235" t="n">
        <v>0</v>
      </c>
      <c r="Q18235" t="n">
        <v>0</v>
      </c>
      <c r="R18235" s="2" t="inlineStr"/>
    </row>
    <row r="18236" ht="15" customHeight="1">
      <c r="A18236" t="inlineStr">
        <is>
          <t>A 61939-2024</t>
        </is>
      </c>
      <c r="B18236" s="1" t="n">
        <v>45653</v>
      </c>
      <c r="C18236" s="1" t="n">
        <v>45810</v>
      </c>
      <c r="D18236" t="inlineStr">
        <is>
          <t>VÄRMLANDS LÄN</t>
        </is>
      </c>
      <c r="E18236" t="inlineStr">
        <is>
          <t>EDA</t>
        </is>
      </c>
      <c r="G18236" t="n">
        <v>1.9</v>
      </c>
      <c r="H18236" t="n">
        <v>0</v>
      </c>
      <c r="I18236" t="n">
        <v>0</v>
      </c>
      <c r="J18236" t="n">
        <v>0</v>
      </c>
      <c r="K18236" t="n">
        <v>0</v>
      </c>
      <c r="L18236" t="n">
        <v>0</v>
      </c>
      <c r="M18236" t="n">
        <v>0</v>
      </c>
      <c r="N18236" t="n">
        <v>0</v>
      </c>
      <c r="O18236" t="n">
        <v>0</v>
      </c>
      <c r="P18236" t="n">
        <v>0</v>
      </c>
      <c r="Q18236" t="n">
        <v>0</v>
      </c>
      <c r="R18236" s="2" t="inlineStr"/>
    </row>
    <row r="18237" ht="15" customHeight="1">
      <c r="A18237" t="inlineStr">
        <is>
          <t>A 61927-2024</t>
        </is>
      </c>
      <c r="B18237" s="1" t="n">
        <v>45653</v>
      </c>
      <c r="C18237" s="1" t="n">
        <v>45810</v>
      </c>
      <c r="D18237" t="inlineStr">
        <is>
          <t>VÄRMLANDS LÄN</t>
        </is>
      </c>
      <c r="E18237" t="inlineStr">
        <is>
          <t>ARVIKA</t>
        </is>
      </c>
      <c r="F18237" t="inlineStr">
        <is>
          <t>Bergvik skog väst AB</t>
        </is>
      </c>
      <c r="G18237" t="n">
        <v>2.2</v>
      </c>
      <c r="H18237" t="n">
        <v>0</v>
      </c>
      <c r="I18237" t="n">
        <v>0</v>
      </c>
      <c r="J18237" t="n">
        <v>0</v>
      </c>
      <c r="K18237" t="n">
        <v>0</v>
      </c>
      <c r="L18237" t="n">
        <v>0</v>
      </c>
      <c r="M18237" t="n">
        <v>0</v>
      </c>
      <c r="N18237" t="n">
        <v>0</v>
      </c>
      <c r="O18237" t="n">
        <v>0</v>
      </c>
      <c r="P18237" t="n">
        <v>0</v>
      </c>
      <c r="Q18237" t="n">
        <v>0</v>
      </c>
      <c r="R18237" s="2" t="inlineStr"/>
    </row>
    <row r="18238" ht="15" customHeight="1">
      <c r="A18238" t="inlineStr">
        <is>
          <t>A 61981-2024</t>
        </is>
      </c>
      <c r="B18238" s="1" t="n">
        <v>45653</v>
      </c>
      <c r="C18238" s="1" t="n">
        <v>45810</v>
      </c>
      <c r="D18238" t="inlineStr">
        <is>
          <t>VÄRMLANDS LÄN</t>
        </is>
      </c>
      <c r="E18238" t="inlineStr">
        <is>
          <t>HAGFORS</t>
        </is>
      </c>
      <c r="G18238" t="n">
        <v>0.7</v>
      </c>
      <c r="H18238" t="n">
        <v>0</v>
      </c>
      <c r="I18238" t="n">
        <v>0</v>
      </c>
      <c r="J18238" t="n">
        <v>0</v>
      </c>
      <c r="K18238" t="n">
        <v>0</v>
      </c>
      <c r="L18238" t="n">
        <v>0</v>
      </c>
      <c r="M18238" t="n">
        <v>0</v>
      </c>
      <c r="N18238" t="n">
        <v>0</v>
      </c>
      <c r="O18238" t="n">
        <v>0</v>
      </c>
      <c r="P18238" t="n">
        <v>0</v>
      </c>
      <c r="Q18238" t="n">
        <v>0</v>
      </c>
      <c r="R18238" s="2" t="inlineStr"/>
    </row>
    <row r="18239" ht="15" customHeight="1">
      <c r="A18239" t="inlineStr">
        <is>
          <t>A 61901-2024</t>
        </is>
      </c>
      <c r="B18239" s="1" t="n">
        <v>45653</v>
      </c>
      <c r="C18239" s="1" t="n">
        <v>45810</v>
      </c>
      <c r="D18239" t="inlineStr">
        <is>
          <t>VÄRMLANDS LÄN</t>
        </is>
      </c>
      <c r="E18239" t="inlineStr">
        <is>
          <t>EDA</t>
        </is>
      </c>
      <c r="G18239" t="n">
        <v>2.6</v>
      </c>
      <c r="H18239" t="n">
        <v>0</v>
      </c>
      <c r="I18239" t="n">
        <v>0</v>
      </c>
      <c r="J18239" t="n">
        <v>0</v>
      </c>
      <c r="K18239" t="n">
        <v>0</v>
      </c>
      <c r="L18239" t="n">
        <v>0</v>
      </c>
      <c r="M18239" t="n">
        <v>0</v>
      </c>
      <c r="N18239" t="n">
        <v>0</v>
      </c>
      <c r="O18239" t="n">
        <v>0</v>
      </c>
      <c r="P18239" t="n">
        <v>0</v>
      </c>
      <c r="Q18239" t="n">
        <v>0</v>
      </c>
      <c r="R18239" s="2" t="inlineStr"/>
    </row>
    <row r="18240" ht="15" customHeight="1">
      <c r="A18240" t="inlineStr">
        <is>
          <t>A 61945-2024</t>
        </is>
      </c>
      <c r="B18240" s="1" t="n">
        <v>45653</v>
      </c>
      <c r="C18240" s="1" t="n">
        <v>45810</v>
      </c>
      <c r="D18240" t="inlineStr">
        <is>
          <t>VÄRMLANDS LÄN</t>
        </is>
      </c>
      <c r="E18240" t="inlineStr">
        <is>
          <t>ARVIKA</t>
        </is>
      </c>
      <c r="F18240" t="inlineStr">
        <is>
          <t>Bergvik skog väst AB</t>
        </is>
      </c>
      <c r="G18240" t="n">
        <v>5.3</v>
      </c>
      <c r="H18240" t="n">
        <v>0</v>
      </c>
      <c r="I18240" t="n">
        <v>0</v>
      </c>
      <c r="J18240" t="n">
        <v>0</v>
      </c>
      <c r="K18240" t="n">
        <v>0</v>
      </c>
      <c r="L18240" t="n">
        <v>0</v>
      </c>
      <c r="M18240" t="n">
        <v>0</v>
      </c>
      <c r="N18240" t="n">
        <v>0</v>
      </c>
      <c r="O18240" t="n">
        <v>0</v>
      </c>
      <c r="P18240" t="n">
        <v>0</v>
      </c>
      <c r="Q18240" t="n">
        <v>0</v>
      </c>
      <c r="R18240" s="2" t="inlineStr"/>
    </row>
    <row r="18241" ht="15" customHeight="1">
      <c r="A18241" t="inlineStr">
        <is>
          <t>A 61974-2024</t>
        </is>
      </c>
      <c r="B18241" s="1" t="n">
        <v>45653</v>
      </c>
      <c r="C18241" s="1" t="n">
        <v>45810</v>
      </c>
      <c r="D18241" t="inlineStr">
        <is>
          <t>VÄRMLANDS LÄN</t>
        </is>
      </c>
      <c r="E18241" t="inlineStr">
        <is>
          <t>STORFORS</t>
        </is>
      </c>
      <c r="F18241" t="inlineStr">
        <is>
          <t>Bergvik skog väst AB</t>
        </is>
      </c>
      <c r="G18241" t="n">
        <v>6.5</v>
      </c>
      <c r="H18241" t="n">
        <v>0</v>
      </c>
      <c r="I18241" t="n">
        <v>0</v>
      </c>
      <c r="J18241" t="n">
        <v>0</v>
      </c>
      <c r="K18241" t="n">
        <v>0</v>
      </c>
      <c r="L18241" t="n">
        <v>0</v>
      </c>
      <c r="M18241" t="n">
        <v>0</v>
      </c>
      <c r="N18241" t="n">
        <v>0</v>
      </c>
      <c r="O18241" t="n">
        <v>0</v>
      </c>
      <c r="P18241" t="n">
        <v>0</v>
      </c>
      <c r="Q18241" t="n">
        <v>0</v>
      </c>
      <c r="R18241" s="2" t="inlineStr"/>
    </row>
    <row r="18242" ht="15" customHeight="1">
      <c r="A18242" t="inlineStr">
        <is>
          <t>A 61978-2024</t>
        </is>
      </c>
      <c r="B18242" s="1" t="n">
        <v>45653</v>
      </c>
      <c r="C18242" s="1" t="n">
        <v>45810</v>
      </c>
      <c r="D18242" t="inlineStr">
        <is>
          <t>VÄRMLANDS LÄN</t>
        </is>
      </c>
      <c r="E18242" t="inlineStr">
        <is>
          <t>HAGFORS</t>
        </is>
      </c>
      <c r="G18242" t="n">
        <v>1</v>
      </c>
      <c r="H18242" t="n">
        <v>0</v>
      </c>
      <c r="I18242" t="n">
        <v>0</v>
      </c>
      <c r="J18242" t="n">
        <v>0</v>
      </c>
      <c r="K18242" t="n">
        <v>0</v>
      </c>
      <c r="L18242" t="n">
        <v>0</v>
      </c>
      <c r="M18242" t="n">
        <v>0</v>
      </c>
      <c r="N18242" t="n">
        <v>0</v>
      </c>
      <c r="O18242" t="n">
        <v>0</v>
      </c>
      <c r="P18242" t="n">
        <v>0</v>
      </c>
      <c r="Q18242" t="n">
        <v>0</v>
      </c>
      <c r="R18242" s="2" t="inlineStr"/>
    </row>
    <row r="18243" ht="15" customHeight="1">
      <c r="A18243" t="inlineStr">
        <is>
          <t>A 61913-2024</t>
        </is>
      </c>
      <c r="B18243" s="1" t="n">
        <v>45653</v>
      </c>
      <c r="C18243" s="1" t="n">
        <v>45810</v>
      </c>
      <c r="D18243" t="inlineStr">
        <is>
          <t>VÄRMLANDS LÄN</t>
        </is>
      </c>
      <c r="E18243" t="inlineStr">
        <is>
          <t>ÅRJÄNG</t>
        </is>
      </c>
      <c r="G18243" t="n">
        <v>1.1</v>
      </c>
      <c r="H18243" t="n">
        <v>0</v>
      </c>
      <c r="I18243" t="n">
        <v>0</v>
      </c>
      <c r="J18243" t="n">
        <v>0</v>
      </c>
      <c r="K18243" t="n">
        <v>0</v>
      </c>
      <c r="L18243" t="n">
        <v>0</v>
      </c>
      <c r="M18243" t="n">
        <v>0</v>
      </c>
      <c r="N18243" t="n">
        <v>0</v>
      </c>
      <c r="O18243" t="n">
        <v>0</v>
      </c>
      <c r="P18243" t="n">
        <v>0</v>
      </c>
      <c r="Q18243" t="n">
        <v>0</v>
      </c>
      <c r="R18243" s="2" t="inlineStr"/>
    </row>
    <row r="18244" ht="15" customHeight="1">
      <c r="A18244" t="inlineStr">
        <is>
          <t>A 61963-2024</t>
        </is>
      </c>
      <c r="B18244" s="1" t="n">
        <v>45653</v>
      </c>
      <c r="C18244" s="1" t="n">
        <v>45810</v>
      </c>
      <c r="D18244" t="inlineStr">
        <is>
          <t>VÄRMLANDS LÄN</t>
        </is>
      </c>
      <c r="E18244" t="inlineStr">
        <is>
          <t>SÄFFLE</t>
        </is>
      </c>
      <c r="G18244" t="n">
        <v>7.1</v>
      </c>
      <c r="H18244" t="n">
        <v>0</v>
      </c>
      <c r="I18244" t="n">
        <v>0</v>
      </c>
      <c r="J18244" t="n">
        <v>0</v>
      </c>
      <c r="K18244" t="n">
        <v>0</v>
      </c>
      <c r="L18244" t="n">
        <v>0</v>
      </c>
      <c r="M18244" t="n">
        <v>0</v>
      </c>
      <c r="N18244" t="n">
        <v>0</v>
      </c>
      <c r="O18244" t="n">
        <v>0</v>
      </c>
      <c r="P18244" t="n">
        <v>0</v>
      </c>
      <c r="Q18244" t="n">
        <v>0</v>
      </c>
      <c r="R18244" s="2" t="inlineStr"/>
    </row>
    <row r="18245" ht="15" customHeight="1">
      <c r="A18245" t="inlineStr">
        <is>
          <t>A 62001-2024</t>
        </is>
      </c>
      <c r="B18245" s="1" t="n">
        <v>45654</v>
      </c>
      <c r="C18245" s="1" t="n">
        <v>45810</v>
      </c>
      <c r="D18245" t="inlineStr">
        <is>
          <t>VÄRMLANDS LÄN</t>
        </is>
      </c>
      <c r="E18245" t="inlineStr">
        <is>
          <t>STORFORS</t>
        </is>
      </c>
      <c r="F18245" t="inlineStr">
        <is>
          <t>Bergvik skog väst AB</t>
        </is>
      </c>
      <c r="G18245" t="n">
        <v>5.5</v>
      </c>
      <c r="H18245" t="n">
        <v>0</v>
      </c>
      <c r="I18245" t="n">
        <v>0</v>
      </c>
      <c r="J18245" t="n">
        <v>0</v>
      </c>
      <c r="K18245" t="n">
        <v>0</v>
      </c>
      <c r="L18245" t="n">
        <v>0</v>
      </c>
      <c r="M18245" t="n">
        <v>0</v>
      </c>
      <c r="N18245" t="n">
        <v>0</v>
      </c>
      <c r="O18245" t="n">
        <v>0</v>
      </c>
      <c r="P18245" t="n">
        <v>0</v>
      </c>
      <c r="Q18245" t="n">
        <v>0</v>
      </c>
      <c r="R18245" s="2" t="inlineStr"/>
    </row>
    <row r="18246" ht="15" customHeight="1">
      <c r="A18246" t="inlineStr">
        <is>
          <t>A 61999-2024</t>
        </is>
      </c>
      <c r="B18246" s="1" t="n">
        <v>45654</v>
      </c>
      <c r="C18246" s="1" t="n">
        <v>45810</v>
      </c>
      <c r="D18246" t="inlineStr">
        <is>
          <t>VÄRMLANDS LÄN</t>
        </is>
      </c>
      <c r="E18246" t="inlineStr">
        <is>
          <t>EDA</t>
        </is>
      </c>
      <c r="G18246" t="n">
        <v>1.9</v>
      </c>
      <c r="H18246" t="n">
        <v>0</v>
      </c>
      <c r="I18246" t="n">
        <v>0</v>
      </c>
      <c r="J18246" t="n">
        <v>0</v>
      </c>
      <c r="K18246" t="n">
        <v>0</v>
      </c>
      <c r="L18246" t="n">
        <v>0</v>
      </c>
      <c r="M18246" t="n">
        <v>0</v>
      </c>
      <c r="N18246" t="n">
        <v>0</v>
      </c>
      <c r="O18246" t="n">
        <v>0</v>
      </c>
      <c r="P18246" t="n">
        <v>0</v>
      </c>
      <c r="Q18246" t="n">
        <v>0</v>
      </c>
      <c r="R18246" s="2" t="inlineStr"/>
    </row>
    <row r="18247" ht="15" customHeight="1">
      <c r="A18247" t="inlineStr">
        <is>
          <t>A 62007-2024</t>
        </is>
      </c>
      <c r="B18247" s="1" t="n">
        <v>45655</v>
      </c>
      <c r="C18247" s="1" t="n">
        <v>45810</v>
      </c>
      <c r="D18247" t="inlineStr">
        <is>
          <t>VÄRMLANDS LÄN</t>
        </is>
      </c>
      <c r="E18247" t="inlineStr">
        <is>
          <t>ÅRJÄNG</t>
        </is>
      </c>
      <c r="G18247" t="n">
        <v>3</v>
      </c>
      <c r="H18247" t="n">
        <v>0</v>
      </c>
      <c r="I18247" t="n">
        <v>0</v>
      </c>
      <c r="J18247" t="n">
        <v>0</v>
      </c>
      <c r="K18247" t="n">
        <v>0</v>
      </c>
      <c r="L18247" t="n">
        <v>0</v>
      </c>
      <c r="M18247" t="n">
        <v>0</v>
      </c>
      <c r="N18247" t="n">
        <v>0</v>
      </c>
      <c r="O18247" t="n">
        <v>0</v>
      </c>
      <c r="P18247" t="n">
        <v>0</v>
      </c>
      <c r="Q18247" t="n">
        <v>0</v>
      </c>
      <c r="R18247" s="2" t="inlineStr"/>
    </row>
    <row r="18248" ht="15" customHeight="1">
      <c r="A18248" t="inlineStr">
        <is>
          <t>A 62011-2024</t>
        </is>
      </c>
      <c r="B18248" s="1" t="n">
        <v>45655</v>
      </c>
      <c r="C18248" s="1" t="n">
        <v>45810</v>
      </c>
      <c r="D18248" t="inlineStr">
        <is>
          <t>VÄRMLANDS LÄN</t>
        </is>
      </c>
      <c r="E18248" t="inlineStr">
        <is>
          <t>ARVIKA</t>
        </is>
      </c>
      <c r="G18248" t="n">
        <v>6.7</v>
      </c>
      <c r="H18248" t="n">
        <v>0</v>
      </c>
      <c r="I18248" t="n">
        <v>0</v>
      </c>
      <c r="J18248" t="n">
        <v>0</v>
      </c>
      <c r="K18248" t="n">
        <v>0</v>
      </c>
      <c r="L18248" t="n">
        <v>0</v>
      </c>
      <c r="M18248" t="n">
        <v>0</v>
      </c>
      <c r="N18248" t="n">
        <v>0</v>
      </c>
      <c r="O18248" t="n">
        <v>0</v>
      </c>
      <c r="P18248" t="n">
        <v>0</v>
      </c>
      <c r="Q18248" t="n">
        <v>0</v>
      </c>
      <c r="R18248" s="2" t="inlineStr"/>
    </row>
    <row r="18249" ht="15" customHeight="1">
      <c r="A18249" t="inlineStr">
        <is>
          <t>A 62013-2024</t>
        </is>
      </c>
      <c r="B18249" s="1" t="n">
        <v>45655</v>
      </c>
      <c r="C18249" s="1" t="n">
        <v>45810</v>
      </c>
      <c r="D18249" t="inlineStr">
        <is>
          <t>VÄRMLANDS LÄN</t>
        </is>
      </c>
      <c r="E18249" t="inlineStr">
        <is>
          <t>FILIPSTAD</t>
        </is>
      </c>
      <c r="G18249" t="n">
        <v>26.5</v>
      </c>
      <c r="H18249" t="n">
        <v>0</v>
      </c>
      <c r="I18249" t="n">
        <v>0</v>
      </c>
      <c r="J18249" t="n">
        <v>0</v>
      </c>
      <c r="K18249" t="n">
        <v>0</v>
      </c>
      <c r="L18249" t="n">
        <v>0</v>
      </c>
      <c r="M18249" t="n">
        <v>0</v>
      </c>
      <c r="N18249" t="n">
        <v>0</v>
      </c>
      <c r="O18249" t="n">
        <v>0</v>
      </c>
      <c r="P18249" t="n">
        <v>0</v>
      </c>
      <c r="Q18249" t="n">
        <v>0</v>
      </c>
      <c r="R18249" s="2" t="inlineStr"/>
    </row>
    <row r="18250" ht="15" customHeight="1">
      <c r="A18250" t="inlineStr">
        <is>
          <t>A 62014-2024</t>
        </is>
      </c>
      <c r="B18250" s="1" t="n">
        <v>45655</v>
      </c>
      <c r="C18250" s="1" t="n">
        <v>45810</v>
      </c>
      <c r="D18250" t="inlineStr">
        <is>
          <t>VÄRMLANDS LÄN</t>
        </is>
      </c>
      <c r="E18250" t="inlineStr">
        <is>
          <t>FILIPSTAD</t>
        </is>
      </c>
      <c r="G18250" t="n">
        <v>1.6</v>
      </c>
      <c r="H18250" t="n">
        <v>0</v>
      </c>
      <c r="I18250" t="n">
        <v>0</v>
      </c>
      <c r="J18250" t="n">
        <v>0</v>
      </c>
      <c r="K18250" t="n">
        <v>0</v>
      </c>
      <c r="L18250" t="n">
        <v>0</v>
      </c>
      <c r="M18250" t="n">
        <v>0</v>
      </c>
      <c r="N18250" t="n">
        <v>0</v>
      </c>
      <c r="O18250" t="n">
        <v>0</v>
      </c>
      <c r="P18250" t="n">
        <v>0</v>
      </c>
      <c r="Q18250" t="n">
        <v>0</v>
      </c>
      <c r="R18250" s="2" t="inlineStr"/>
    </row>
    <row r="18251" ht="15" customHeight="1">
      <c r="A18251" t="inlineStr">
        <is>
          <t>A 62029-2024</t>
        </is>
      </c>
      <c r="B18251" s="1" t="n">
        <v>45656</v>
      </c>
      <c r="C18251" s="1" t="n">
        <v>45810</v>
      </c>
      <c r="D18251" t="inlineStr">
        <is>
          <t>VÄRMLANDS LÄN</t>
        </is>
      </c>
      <c r="E18251" t="inlineStr">
        <is>
          <t>KRISTINEHAMN</t>
        </is>
      </c>
      <c r="G18251" t="n">
        <v>2.7</v>
      </c>
      <c r="H18251" t="n">
        <v>0</v>
      </c>
      <c r="I18251" t="n">
        <v>0</v>
      </c>
      <c r="J18251" t="n">
        <v>0</v>
      </c>
      <c r="K18251" t="n">
        <v>0</v>
      </c>
      <c r="L18251" t="n">
        <v>0</v>
      </c>
      <c r="M18251" t="n">
        <v>0</v>
      </c>
      <c r="N18251" t="n">
        <v>0</v>
      </c>
      <c r="O18251" t="n">
        <v>0</v>
      </c>
      <c r="P18251" t="n">
        <v>0</v>
      </c>
      <c r="Q18251" t="n">
        <v>0</v>
      </c>
      <c r="R18251" s="2" t="inlineStr"/>
    </row>
    <row r="18252" ht="15" customHeight="1">
      <c r="A18252" t="inlineStr">
        <is>
          <t>A 62033-2024</t>
        </is>
      </c>
      <c r="B18252" s="1" t="n">
        <v>45656</v>
      </c>
      <c r="C18252" s="1" t="n">
        <v>45810</v>
      </c>
      <c r="D18252" t="inlineStr">
        <is>
          <t>VÄRMLANDS LÄN</t>
        </is>
      </c>
      <c r="E18252" t="inlineStr">
        <is>
          <t>KRISTINEHAMN</t>
        </is>
      </c>
      <c r="G18252" t="n">
        <v>0.3</v>
      </c>
      <c r="H18252" t="n">
        <v>0</v>
      </c>
      <c r="I18252" t="n">
        <v>0</v>
      </c>
      <c r="J18252" t="n">
        <v>0</v>
      </c>
      <c r="K18252" t="n">
        <v>0</v>
      </c>
      <c r="L18252" t="n">
        <v>0</v>
      </c>
      <c r="M18252" t="n">
        <v>0</v>
      </c>
      <c r="N18252" t="n">
        <v>0</v>
      </c>
      <c r="O18252" t="n">
        <v>0</v>
      </c>
      <c r="P18252" t="n">
        <v>0</v>
      </c>
      <c r="Q18252" t="n">
        <v>0</v>
      </c>
      <c r="R18252" s="2" t="inlineStr"/>
    </row>
    <row r="18253" ht="15" customHeight="1">
      <c r="A18253" t="inlineStr">
        <is>
          <t>A 62069-2024</t>
        </is>
      </c>
      <c r="B18253" s="1" t="n">
        <v>45656</v>
      </c>
      <c r="C18253" s="1" t="n">
        <v>45810</v>
      </c>
      <c r="D18253" t="inlineStr">
        <is>
          <t>VÄRMLANDS LÄN</t>
        </is>
      </c>
      <c r="E18253" t="inlineStr">
        <is>
          <t>STORFORS</t>
        </is>
      </c>
      <c r="F18253" t="inlineStr">
        <is>
          <t>Bergvik skog väst AB</t>
        </is>
      </c>
      <c r="G18253" t="n">
        <v>2.4</v>
      </c>
      <c r="H18253" t="n">
        <v>0</v>
      </c>
      <c r="I18253" t="n">
        <v>0</v>
      </c>
      <c r="J18253" t="n">
        <v>0</v>
      </c>
      <c r="K18253" t="n">
        <v>0</v>
      </c>
      <c r="L18253" t="n">
        <v>0</v>
      </c>
      <c r="M18253" t="n">
        <v>0</v>
      </c>
      <c r="N18253" t="n">
        <v>0</v>
      </c>
      <c r="O18253" t="n">
        <v>0</v>
      </c>
      <c r="P18253" t="n">
        <v>0</v>
      </c>
      <c r="Q18253" t="n">
        <v>0</v>
      </c>
      <c r="R18253" s="2" t="inlineStr"/>
    </row>
    <row r="18254" ht="15" customHeight="1">
      <c r="A18254" t="inlineStr">
        <is>
          <t>A 62092-2024</t>
        </is>
      </c>
      <c r="B18254" s="1" t="n">
        <v>45656</v>
      </c>
      <c r="C18254" s="1" t="n">
        <v>45810</v>
      </c>
      <c r="D18254" t="inlineStr">
        <is>
          <t>VÄRMLANDS LÄN</t>
        </is>
      </c>
      <c r="E18254" t="inlineStr">
        <is>
          <t>TORSBY</t>
        </is>
      </c>
      <c r="G18254" t="n">
        <v>3.7</v>
      </c>
      <c r="H18254" t="n">
        <v>0</v>
      </c>
      <c r="I18254" t="n">
        <v>0</v>
      </c>
      <c r="J18254" t="n">
        <v>0</v>
      </c>
      <c r="K18254" t="n">
        <v>0</v>
      </c>
      <c r="L18254" t="n">
        <v>0</v>
      </c>
      <c r="M18254" t="n">
        <v>0</v>
      </c>
      <c r="N18254" t="n">
        <v>0</v>
      </c>
      <c r="O18254" t="n">
        <v>0</v>
      </c>
      <c r="P18254" t="n">
        <v>0</v>
      </c>
      <c r="Q18254" t="n">
        <v>0</v>
      </c>
      <c r="R18254" s="2" t="inlineStr"/>
    </row>
    <row r="18255" ht="15" customHeight="1">
      <c r="A18255" t="inlineStr">
        <is>
          <t>A 62090-2024</t>
        </is>
      </c>
      <c r="B18255" s="1" t="n">
        <v>45656</v>
      </c>
      <c r="C18255" s="1" t="n">
        <v>45810</v>
      </c>
      <c r="D18255" t="inlineStr">
        <is>
          <t>VÄRMLANDS LÄN</t>
        </is>
      </c>
      <c r="E18255" t="inlineStr">
        <is>
          <t>TORSBY</t>
        </is>
      </c>
      <c r="G18255" t="n">
        <v>2.8</v>
      </c>
      <c r="H18255" t="n">
        <v>0</v>
      </c>
      <c r="I18255" t="n">
        <v>0</v>
      </c>
      <c r="J18255" t="n">
        <v>0</v>
      </c>
      <c r="K18255" t="n">
        <v>0</v>
      </c>
      <c r="L18255" t="n">
        <v>0</v>
      </c>
      <c r="M18255" t="n">
        <v>0</v>
      </c>
      <c r="N18255" t="n">
        <v>0</v>
      </c>
      <c r="O18255" t="n">
        <v>0</v>
      </c>
      <c r="P18255" t="n">
        <v>0</v>
      </c>
      <c r="Q18255" t="n">
        <v>0</v>
      </c>
      <c r="R18255" s="2" t="inlineStr"/>
    </row>
    <row r="18256" ht="15" customHeight="1">
      <c r="A18256" t="inlineStr">
        <is>
          <t>A 62085-2024</t>
        </is>
      </c>
      <c r="B18256" s="1" t="n">
        <v>45656</v>
      </c>
      <c r="C18256" s="1" t="n">
        <v>45810</v>
      </c>
      <c r="D18256" t="inlineStr">
        <is>
          <t>VÄRMLANDS LÄN</t>
        </is>
      </c>
      <c r="E18256" t="inlineStr">
        <is>
          <t>STORFORS</t>
        </is>
      </c>
      <c r="F18256" t="inlineStr">
        <is>
          <t>Bergvik skog väst AB</t>
        </is>
      </c>
      <c r="G18256" t="n">
        <v>1.1</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283-2025</t>
        </is>
      </c>
      <c r="B18257" s="1" t="n">
        <v>45656</v>
      </c>
      <c r="C18257" s="1" t="n">
        <v>45810</v>
      </c>
      <c r="D18257" t="inlineStr">
        <is>
          <t>VÄRMLANDS LÄN</t>
        </is>
      </c>
      <c r="E18257" t="inlineStr">
        <is>
          <t>ÅRJÄNG</t>
        </is>
      </c>
      <c r="F18257" t="inlineStr">
        <is>
          <t>Övriga Aktiebolag</t>
        </is>
      </c>
      <c r="G18257" t="n">
        <v>3.9</v>
      </c>
      <c r="H18257" t="n">
        <v>0</v>
      </c>
      <c r="I18257" t="n">
        <v>0</v>
      </c>
      <c r="J18257" t="n">
        <v>0</v>
      </c>
      <c r="K18257" t="n">
        <v>0</v>
      </c>
      <c r="L18257" t="n">
        <v>0</v>
      </c>
      <c r="M18257" t="n">
        <v>0</v>
      </c>
      <c r="N18257" t="n">
        <v>0</v>
      </c>
      <c r="O18257" t="n">
        <v>0</v>
      </c>
      <c r="P18257" t="n">
        <v>0</v>
      </c>
      <c r="Q18257" t="n">
        <v>0</v>
      </c>
      <c r="R18257" s="2" t="inlineStr"/>
    </row>
    <row r="18258" ht="15" customHeight="1">
      <c r="A18258" t="inlineStr">
        <is>
          <t>A 62035-2024</t>
        </is>
      </c>
      <c r="B18258" s="1" t="n">
        <v>45656</v>
      </c>
      <c r="C18258" s="1" t="n">
        <v>45810</v>
      </c>
      <c r="D18258" t="inlineStr">
        <is>
          <t>VÄRMLANDS LÄN</t>
        </is>
      </c>
      <c r="E18258" t="inlineStr">
        <is>
          <t>KRISTINEHAMN</t>
        </is>
      </c>
      <c r="G18258" t="n">
        <v>0.6</v>
      </c>
      <c r="H18258" t="n">
        <v>0</v>
      </c>
      <c r="I18258" t="n">
        <v>0</v>
      </c>
      <c r="J18258" t="n">
        <v>0</v>
      </c>
      <c r="K18258" t="n">
        <v>0</v>
      </c>
      <c r="L18258" t="n">
        <v>0</v>
      </c>
      <c r="M18258" t="n">
        <v>0</v>
      </c>
      <c r="N18258" t="n">
        <v>0</v>
      </c>
      <c r="O18258" t="n">
        <v>0</v>
      </c>
      <c r="P18258" t="n">
        <v>0</v>
      </c>
      <c r="Q18258" t="n">
        <v>0</v>
      </c>
      <c r="R18258" s="2" t="inlineStr"/>
    </row>
    <row r="18259" ht="15" customHeight="1">
      <c r="A18259" t="inlineStr">
        <is>
          <t>A 62032-2024</t>
        </is>
      </c>
      <c r="B18259" s="1" t="n">
        <v>45656</v>
      </c>
      <c r="C18259" s="1" t="n">
        <v>45810</v>
      </c>
      <c r="D18259" t="inlineStr">
        <is>
          <t>VÄRMLANDS LÄN</t>
        </is>
      </c>
      <c r="E18259" t="inlineStr">
        <is>
          <t>KRISTINEHAMN</t>
        </is>
      </c>
      <c r="G18259" t="n">
        <v>0.9</v>
      </c>
      <c r="H18259" t="n">
        <v>0</v>
      </c>
      <c r="I18259" t="n">
        <v>0</v>
      </c>
      <c r="J18259" t="n">
        <v>0</v>
      </c>
      <c r="K18259" t="n">
        <v>0</v>
      </c>
      <c r="L18259" t="n">
        <v>0</v>
      </c>
      <c r="M18259" t="n">
        <v>0</v>
      </c>
      <c r="N18259" t="n">
        <v>0</v>
      </c>
      <c r="O18259" t="n">
        <v>0</v>
      </c>
      <c r="P18259" t="n">
        <v>0</v>
      </c>
      <c r="Q18259" t="n">
        <v>0</v>
      </c>
      <c r="R18259" s="2" t="inlineStr"/>
    </row>
    <row r="18260" ht="15" customHeight="1">
      <c r="A18260" t="inlineStr">
        <is>
          <t>A 62034-2024</t>
        </is>
      </c>
      <c r="B18260" s="1" t="n">
        <v>45656</v>
      </c>
      <c r="C18260" s="1" t="n">
        <v>45810</v>
      </c>
      <c r="D18260" t="inlineStr">
        <is>
          <t>VÄRMLANDS LÄN</t>
        </is>
      </c>
      <c r="E18260" t="inlineStr">
        <is>
          <t>STORFORS</t>
        </is>
      </c>
      <c r="F18260" t="inlineStr">
        <is>
          <t>Bergvik skog väst AB</t>
        </is>
      </c>
      <c r="G18260" t="n">
        <v>6.2</v>
      </c>
      <c r="H18260" t="n">
        <v>0</v>
      </c>
      <c r="I18260" t="n">
        <v>0</v>
      </c>
      <c r="J18260" t="n">
        <v>0</v>
      </c>
      <c r="K18260" t="n">
        <v>0</v>
      </c>
      <c r="L18260" t="n">
        <v>0</v>
      </c>
      <c r="M18260" t="n">
        <v>0</v>
      </c>
      <c r="N18260" t="n">
        <v>0</v>
      </c>
      <c r="O18260" t="n">
        <v>0</v>
      </c>
      <c r="P18260" t="n">
        <v>0</v>
      </c>
      <c r="Q18260" t="n">
        <v>0</v>
      </c>
      <c r="R18260" s="2" t="inlineStr"/>
    </row>
    <row r="18261" ht="15" customHeight="1">
      <c r="A18261" t="inlineStr">
        <is>
          <t>A 62030-2024</t>
        </is>
      </c>
      <c r="B18261" s="1" t="n">
        <v>45656</v>
      </c>
      <c r="C18261" s="1" t="n">
        <v>45810</v>
      </c>
      <c r="D18261" t="inlineStr">
        <is>
          <t>VÄRMLANDS LÄN</t>
        </is>
      </c>
      <c r="E18261" t="inlineStr">
        <is>
          <t>KRISTINEHAMN</t>
        </is>
      </c>
      <c r="G18261" t="n">
        <v>2</v>
      </c>
      <c r="H18261" t="n">
        <v>0</v>
      </c>
      <c r="I18261" t="n">
        <v>0</v>
      </c>
      <c r="J18261" t="n">
        <v>0</v>
      </c>
      <c r="K18261" t="n">
        <v>0</v>
      </c>
      <c r="L18261" t="n">
        <v>0</v>
      </c>
      <c r="M18261" t="n">
        <v>0</v>
      </c>
      <c r="N18261" t="n">
        <v>0</v>
      </c>
      <c r="O18261" t="n">
        <v>0</v>
      </c>
      <c r="P18261" t="n">
        <v>0</v>
      </c>
      <c r="Q18261" t="n">
        <v>0</v>
      </c>
      <c r="R18261" s="2" t="inlineStr"/>
    </row>
    <row r="18262" ht="15" customHeight="1">
      <c r="A18262" t="inlineStr">
        <is>
          <t>A 62170-2024</t>
        </is>
      </c>
      <c r="B18262" s="1" t="n">
        <v>45657</v>
      </c>
      <c r="C18262" s="1" t="n">
        <v>45810</v>
      </c>
      <c r="D18262" t="inlineStr">
        <is>
          <t>VÄRMLANDS LÄN</t>
        </is>
      </c>
      <c r="E18262" t="inlineStr">
        <is>
          <t>ARVIKA</t>
        </is>
      </c>
      <c r="G18262" t="n">
        <v>3.7</v>
      </c>
      <c r="H18262" t="n">
        <v>0</v>
      </c>
      <c r="I18262" t="n">
        <v>0</v>
      </c>
      <c r="J18262" t="n">
        <v>0</v>
      </c>
      <c r="K18262" t="n">
        <v>0</v>
      </c>
      <c r="L18262" t="n">
        <v>0</v>
      </c>
      <c r="M18262" t="n">
        <v>0</v>
      </c>
      <c r="N18262" t="n">
        <v>0</v>
      </c>
      <c r="O18262" t="n">
        <v>0</v>
      </c>
      <c r="P18262" t="n">
        <v>0</v>
      </c>
      <c r="Q18262" t="n">
        <v>0</v>
      </c>
      <c r="R18262" s="2" t="inlineStr"/>
    </row>
    <row r="18263" ht="15" customHeight="1">
      <c r="A18263" t="inlineStr">
        <is>
          <t>A 62166-2024</t>
        </is>
      </c>
      <c r="B18263" s="1" t="n">
        <v>45657</v>
      </c>
      <c r="C18263" s="1" t="n">
        <v>45810</v>
      </c>
      <c r="D18263" t="inlineStr">
        <is>
          <t>VÄRMLANDS LÄN</t>
        </is>
      </c>
      <c r="E18263" t="inlineStr">
        <is>
          <t>SUNNE</t>
        </is>
      </c>
      <c r="G18263" t="n">
        <v>1.3</v>
      </c>
      <c r="H18263" t="n">
        <v>0</v>
      </c>
      <c r="I18263" t="n">
        <v>0</v>
      </c>
      <c r="J18263" t="n">
        <v>0</v>
      </c>
      <c r="K18263" t="n">
        <v>0</v>
      </c>
      <c r="L18263" t="n">
        <v>0</v>
      </c>
      <c r="M18263" t="n">
        <v>0</v>
      </c>
      <c r="N18263" t="n">
        <v>0</v>
      </c>
      <c r="O18263" t="n">
        <v>0</v>
      </c>
      <c r="P18263" t="n">
        <v>0</v>
      </c>
      <c r="Q18263" t="n">
        <v>0</v>
      </c>
      <c r="R18263" s="2" t="inlineStr"/>
    </row>
    <row r="18264" ht="15" customHeight="1">
      <c r="A18264" t="inlineStr">
        <is>
          <t>A 62169-2024</t>
        </is>
      </c>
      <c r="B18264" s="1" t="n">
        <v>45657</v>
      </c>
      <c r="C18264" s="1" t="n">
        <v>45810</v>
      </c>
      <c r="D18264" t="inlineStr">
        <is>
          <t>VÄRMLANDS LÄN</t>
        </is>
      </c>
      <c r="E18264" t="inlineStr">
        <is>
          <t>ARVIKA</t>
        </is>
      </c>
      <c r="G18264" t="n">
        <v>2.5</v>
      </c>
      <c r="H18264" t="n">
        <v>0</v>
      </c>
      <c r="I18264" t="n">
        <v>0</v>
      </c>
      <c r="J18264" t="n">
        <v>0</v>
      </c>
      <c r="K18264" t="n">
        <v>0</v>
      </c>
      <c r="L18264" t="n">
        <v>0</v>
      </c>
      <c r="M18264" t="n">
        <v>0</v>
      </c>
      <c r="N18264" t="n">
        <v>0</v>
      </c>
      <c r="O18264" t="n">
        <v>0</v>
      </c>
      <c r="P18264" t="n">
        <v>0</v>
      </c>
      <c r="Q18264" t="n">
        <v>0</v>
      </c>
      <c r="R18264" s="2" t="inlineStr"/>
    </row>
    <row r="18265" ht="15" customHeight="1">
      <c r="A18265" t="inlineStr">
        <is>
          <t>A 62167-2024</t>
        </is>
      </c>
      <c r="B18265" s="1" t="n">
        <v>45657</v>
      </c>
      <c r="C18265" s="1" t="n">
        <v>45810</v>
      </c>
      <c r="D18265" t="inlineStr">
        <is>
          <t>VÄRMLANDS LÄN</t>
        </is>
      </c>
      <c r="E18265" t="inlineStr">
        <is>
          <t>STORFORS</t>
        </is>
      </c>
      <c r="F18265" t="inlineStr">
        <is>
          <t>Bergvik skog väst AB</t>
        </is>
      </c>
      <c r="G18265" t="n">
        <v>1.5</v>
      </c>
      <c r="H18265" t="n">
        <v>0</v>
      </c>
      <c r="I18265" t="n">
        <v>0</v>
      </c>
      <c r="J18265" t="n">
        <v>0</v>
      </c>
      <c r="K18265" t="n">
        <v>0</v>
      </c>
      <c r="L18265" t="n">
        <v>0</v>
      </c>
      <c r="M18265" t="n">
        <v>0</v>
      </c>
      <c r="N18265" t="n">
        <v>0</v>
      </c>
      <c r="O18265" t="n">
        <v>0</v>
      </c>
      <c r="P18265" t="n">
        <v>0</v>
      </c>
      <c r="Q18265" t="n">
        <v>0</v>
      </c>
      <c r="R18265" s="2" t="inlineStr"/>
    </row>
    <row r="18266" ht="15" customHeight="1">
      <c r="A18266" t="inlineStr">
        <is>
          <t>A 15-2025</t>
        </is>
      </c>
      <c r="B18266" s="1" t="n">
        <v>45658</v>
      </c>
      <c r="C18266" s="1" t="n">
        <v>45810</v>
      </c>
      <c r="D18266" t="inlineStr">
        <is>
          <t>VÄRMLANDS LÄN</t>
        </is>
      </c>
      <c r="E18266" t="inlineStr">
        <is>
          <t>FILIPSTAD</t>
        </is>
      </c>
      <c r="G18266" t="n">
        <v>2.5</v>
      </c>
      <c r="H18266" t="n">
        <v>0</v>
      </c>
      <c r="I18266" t="n">
        <v>0</v>
      </c>
      <c r="J18266" t="n">
        <v>0</v>
      </c>
      <c r="K18266" t="n">
        <v>0</v>
      </c>
      <c r="L18266" t="n">
        <v>0</v>
      </c>
      <c r="M18266" t="n">
        <v>0</v>
      </c>
      <c r="N18266" t="n">
        <v>0</v>
      </c>
      <c r="O18266" t="n">
        <v>0</v>
      </c>
      <c r="P18266" t="n">
        <v>0</v>
      </c>
      <c r="Q18266" t="n">
        <v>0</v>
      </c>
      <c r="R18266" s="2" t="inlineStr"/>
    </row>
    <row r="18267" ht="15" customHeight="1">
      <c r="A18267" t="inlineStr">
        <is>
          <t>A 46-2025</t>
        </is>
      </c>
      <c r="B18267" s="1" t="n">
        <v>45659</v>
      </c>
      <c r="C18267" s="1" t="n">
        <v>45810</v>
      </c>
      <c r="D18267" t="inlineStr">
        <is>
          <t>VÄRMLANDS LÄN</t>
        </is>
      </c>
      <c r="E18267" t="inlineStr">
        <is>
          <t>ARVIKA</t>
        </is>
      </c>
      <c r="G18267" t="n">
        <v>1.4</v>
      </c>
      <c r="H18267" t="n">
        <v>0</v>
      </c>
      <c r="I18267" t="n">
        <v>0</v>
      </c>
      <c r="J18267" t="n">
        <v>0</v>
      </c>
      <c r="K18267" t="n">
        <v>0</v>
      </c>
      <c r="L18267" t="n">
        <v>0</v>
      </c>
      <c r="M18267" t="n">
        <v>0</v>
      </c>
      <c r="N18267" t="n">
        <v>0</v>
      </c>
      <c r="O18267" t="n">
        <v>0</v>
      </c>
      <c r="P18267" t="n">
        <v>0</v>
      </c>
      <c r="Q18267" t="n">
        <v>0</v>
      </c>
      <c r="R18267" s="2" t="inlineStr"/>
    </row>
    <row r="18268" ht="15" customHeight="1">
      <c r="A18268" t="inlineStr">
        <is>
          <t>A 57-2025</t>
        </is>
      </c>
      <c r="B18268" s="1" t="n">
        <v>45659</v>
      </c>
      <c r="C18268" s="1" t="n">
        <v>45810</v>
      </c>
      <c r="D18268" t="inlineStr">
        <is>
          <t>VÄRMLANDS LÄN</t>
        </is>
      </c>
      <c r="E18268" t="inlineStr">
        <is>
          <t>HAGFORS</t>
        </is>
      </c>
      <c r="G18268" t="n">
        <v>2.8</v>
      </c>
      <c r="H18268" t="n">
        <v>0</v>
      </c>
      <c r="I18268" t="n">
        <v>0</v>
      </c>
      <c r="J18268" t="n">
        <v>0</v>
      </c>
      <c r="K18268" t="n">
        <v>0</v>
      </c>
      <c r="L18268" t="n">
        <v>0</v>
      </c>
      <c r="M18268" t="n">
        <v>0</v>
      </c>
      <c r="N18268" t="n">
        <v>0</v>
      </c>
      <c r="O18268" t="n">
        <v>0</v>
      </c>
      <c r="P18268" t="n">
        <v>0</v>
      </c>
      <c r="Q18268" t="n">
        <v>0</v>
      </c>
      <c r="R18268" s="2" t="inlineStr"/>
    </row>
    <row r="18269" ht="15" customHeight="1">
      <c r="A18269" t="inlineStr">
        <is>
          <t>A 54-2025</t>
        </is>
      </c>
      <c r="B18269" s="1" t="n">
        <v>45659</v>
      </c>
      <c r="C18269" s="1" t="n">
        <v>45810</v>
      </c>
      <c r="D18269" t="inlineStr">
        <is>
          <t>VÄRMLANDS LÄN</t>
        </is>
      </c>
      <c r="E18269" t="inlineStr">
        <is>
          <t>HAGFORS</t>
        </is>
      </c>
      <c r="G18269" t="n">
        <v>8.5</v>
      </c>
      <c r="H18269" t="n">
        <v>0</v>
      </c>
      <c r="I18269" t="n">
        <v>0</v>
      </c>
      <c r="J18269" t="n">
        <v>0</v>
      </c>
      <c r="K18269" t="n">
        <v>0</v>
      </c>
      <c r="L18269" t="n">
        <v>0</v>
      </c>
      <c r="M18269" t="n">
        <v>0</v>
      </c>
      <c r="N18269" t="n">
        <v>0</v>
      </c>
      <c r="O18269" t="n">
        <v>0</v>
      </c>
      <c r="P18269" t="n">
        <v>0</v>
      </c>
      <c r="Q18269" t="n">
        <v>0</v>
      </c>
      <c r="R18269" s="2" t="inlineStr"/>
    </row>
    <row r="18270" ht="15" customHeight="1">
      <c r="A18270" t="inlineStr">
        <is>
          <t>A 61-2025</t>
        </is>
      </c>
      <c r="B18270" s="1" t="n">
        <v>45659</v>
      </c>
      <c r="C18270" s="1" t="n">
        <v>45810</v>
      </c>
      <c r="D18270" t="inlineStr">
        <is>
          <t>VÄRMLANDS LÄN</t>
        </is>
      </c>
      <c r="E18270" t="inlineStr">
        <is>
          <t>TORSBY</t>
        </is>
      </c>
      <c r="G18270" t="n">
        <v>1.6</v>
      </c>
      <c r="H18270" t="n">
        <v>0</v>
      </c>
      <c r="I18270" t="n">
        <v>0</v>
      </c>
      <c r="J18270" t="n">
        <v>0</v>
      </c>
      <c r="K18270" t="n">
        <v>0</v>
      </c>
      <c r="L18270" t="n">
        <v>0</v>
      </c>
      <c r="M18270" t="n">
        <v>0</v>
      </c>
      <c r="N18270" t="n">
        <v>0</v>
      </c>
      <c r="O18270" t="n">
        <v>0</v>
      </c>
      <c r="P18270" t="n">
        <v>0</v>
      </c>
      <c r="Q18270" t="n">
        <v>0</v>
      </c>
      <c r="R18270" s="2" t="inlineStr"/>
    </row>
    <row r="18271" ht="15" customHeight="1">
      <c r="A18271" t="inlineStr">
        <is>
          <t>A 85-2025</t>
        </is>
      </c>
      <c r="B18271" s="1" t="n">
        <v>45659</v>
      </c>
      <c r="C18271" s="1" t="n">
        <v>45810</v>
      </c>
      <c r="D18271" t="inlineStr">
        <is>
          <t>VÄRMLANDS LÄN</t>
        </is>
      </c>
      <c r="E18271" t="inlineStr">
        <is>
          <t>SÄFFLE</t>
        </is>
      </c>
      <c r="G18271" t="n">
        <v>0.8</v>
      </c>
      <c r="H18271" t="n">
        <v>0</v>
      </c>
      <c r="I18271" t="n">
        <v>0</v>
      </c>
      <c r="J18271" t="n">
        <v>0</v>
      </c>
      <c r="K18271" t="n">
        <v>0</v>
      </c>
      <c r="L18271" t="n">
        <v>0</v>
      </c>
      <c r="M18271" t="n">
        <v>0</v>
      </c>
      <c r="N18271" t="n">
        <v>0</v>
      </c>
      <c r="O18271" t="n">
        <v>0</v>
      </c>
      <c r="P18271" t="n">
        <v>0</v>
      </c>
      <c r="Q18271" t="n">
        <v>0</v>
      </c>
      <c r="R18271" s="2" t="inlineStr"/>
    </row>
    <row r="18272" ht="15" customHeight="1">
      <c r="A18272" t="inlineStr">
        <is>
          <t>A 73-2025</t>
        </is>
      </c>
      <c r="B18272" s="1" t="n">
        <v>45659</v>
      </c>
      <c r="C18272" s="1" t="n">
        <v>45810</v>
      </c>
      <c r="D18272" t="inlineStr">
        <is>
          <t>VÄRMLANDS LÄN</t>
        </is>
      </c>
      <c r="E18272" t="inlineStr">
        <is>
          <t>EDA</t>
        </is>
      </c>
      <c r="G18272" t="n">
        <v>0.6</v>
      </c>
      <c r="H18272" t="n">
        <v>0</v>
      </c>
      <c r="I18272" t="n">
        <v>0</v>
      </c>
      <c r="J18272" t="n">
        <v>0</v>
      </c>
      <c r="K18272" t="n">
        <v>0</v>
      </c>
      <c r="L18272" t="n">
        <v>0</v>
      </c>
      <c r="M18272" t="n">
        <v>0</v>
      </c>
      <c r="N18272" t="n">
        <v>0</v>
      </c>
      <c r="O18272" t="n">
        <v>0</v>
      </c>
      <c r="P18272" t="n">
        <v>0</v>
      </c>
      <c r="Q18272" t="n">
        <v>0</v>
      </c>
      <c r="R18272" s="2" t="inlineStr"/>
    </row>
    <row r="18273" ht="15" customHeight="1">
      <c r="A18273" t="inlineStr">
        <is>
          <t>A 49-2025</t>
        </is>
      </c>
      <c r="B18273" s="1" t="n">
        <v>45659</v>
      </c>
      <c r="C18273" s="1" t="n">
        <v>45810</v>
      </c>
      <c r="D18273" t="inlineStr">
        <is>
          <t>VÄRMLANDS LÄN</t>
        </is>
      </c>
      <c r="E18273" t="inlineStr">
        <is>
          <t>ARVIKA</t>
        </is>
      </c>
      <c r="G18273" t="n">
        <v>3.4</v>
      </c>
      <c r="H18273" t="n">
        <v>0</v>
      </c>
      <c r="I18273" t="n">
        <v>0</v>
      </c>
      <c r="J18273" t="n">
        <v>0</v>
      </c>
      <c r="K18273" t="n">
        <v>0</v>
      </c>
      <c r="L18273" t="n">
        <v>0</v>
      </c>
      <c r="M18273" t="n">
        <v>0</v>
      </c>
      <c r="N18273" t="n">
        <v>0</v>
      </c>
      <c r="O18273" t="n">
        <v>0</v>
      </c>
      <c r="P18273" t="n">
        <v>0</v>
      </c>
      <c r="Q18273" t="n">
        <v>0</v>
      </c>
      <c r="R18273" s="2" t="inlineStr"/>
    </row>
    <row r="18274" ht="15" customHeight="1">
      <c r="A18274" t="inlineStr">
        <is>
          <t>A 127-2025</t>
        </is>
      </c>
      <c r="B18274" s="1" t="n">
        <v>45659</v>
      </c>
      <c r="C18274" s="1" t="n">
        <v>45810</v>
      </c>
      <c r="D18274" t="inlineStr">
        <is>
          <t>VÄRMLANDS LÄN</t>
        </is>
      </c>
      <c r="E18274" t="inlineStr">
        <is>
          <t>ARVIKA</t>
        </is>
      </c>
      <c r="G18274" t="n">
        <v>13.4</v>
      </c>
      <c r="H18274" t="n">
        <v>0</v>
      </c>
      <c r="I18274" t="n">
        <v>0</v>
      </c>
      <c r="J18274" t="n">
        <v>0</v>
      </c>
      <c r="K18274" t="n">
        <v>0</v>
      </c>
      <c r="L18274" t="n">
        <v>0</v>
      </c>
      <c r="M18274" t="n">
        <v>0</v>
      </c>
      <c r="N18274" t="n">
        <v>0</v>
      </c>
      <c r="O18274" t="n">
        <v>0</v>
      </c>
      <c r="P18274" t="n">
        <v>0</v>
      </c>
      <c r="Q18274" t="n">
        <v>0</v>
      </c>
      <c r="R18274" s="2" t="inlineStr"/>
    </row>
    <row r="18275" ht="15" customHeight="1">
      <c r="A18275" t="inlineStr">
        <is>
          <t>A 158-2025</t>
        </is>
      </c>
      <c r="B18275" s="1" t="n">
        <v>45659</v>
      </c>
      <c r="C18275" s="1" t="n">
        <v>45810</v>
      </c>
      <c r="D18275" t="inlineStr">
        <is>
          <t>VÄRMLANDS LÄN</t>
        </is>
      </c>
      <c r="E18275" t="inlineStr">
        <is>
          <t>ARVIKA</t>
        </is>
      </c>
      <c r="G18275" t="n">
        <v>0.6</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200-2025</t>
        </is>
      </c>
      <c r="B18276" s="1" t="n">
        <v>45659</v>
      </c>
      <c r="C18276" s="1" t="n">
        <v>45810</v>
      </c>
      <c r="D18276" t="inlineStr">
        <is>
          <t>VÄRMLANDS LÄN</t>
        </is>
      </c>
      <c r="E18276" t="inlineStr">
        <is>
          <t>TORSBY</t>
        </is>
      </c>
      <c r="G18276" t="n">
        <v>0.6</v>
      </c>
      <c r="H18276" t="n">
        <v>0</v>
      </c>
      <c r="I18276" t="n">
        <v>0</v>
      </c>
      <c r="J18276" t="n">
        <v>0</v>
      </c>
      <c r="K18276" t="n">
        <v>0</v>
      </c>
      <c r="L18276" t="n">
        <v>0</v>
      </c>
      <c r="M18276" t="n">
        <v>0</v>
      </c>
      <c r="N18276" t="n">
        <v>0</v>
      </c>
      <c r="O18276" t="n">
        <v>0</v>
      </c>
      <c r="P18276" t="n">
        <v>0</v>
      </c>
      <c r="Q18276" t="n">
        <v>0</v>
      </c>
      <c r="R18276" s="2" t="inlineStr"/>
    </row>
    <row r="18277" ht="15" customHeight="1">
      <c r="A18277" t="inlineStr">
        <is>
          <t>A 311-2025</t>
        </is>
      </c>
      <c r="B18277" s="1" t="n">
        <v>45660</v>
      </c>
      <c r="C18277" s="1" t="n">
        <v>45810</v>
      </c>
      <c r="D18277" t="inlineStr">
        <is>
          <t>VÄRMLANDS LÄN</t>
        </is>
      </c>
      <c r="E18277" t="inlineStr">
        <is>
          <t>TORSBY</t>
        </is>
      </c>
      <c r="G18277" t="n">
        <v>1.2</v>
      </c>
      <c r="H18277" t="n">
        <v>0</v>
      </c>
      <c r="I18277" t="n">
        <v>0</v>
      </c>
      <c r="J18277" t="n">
        <v>0</v>
      </c>
      <c r="K18277" t="n">
        <v>0</v>
      </c>
      <c r="L18277" t="n">
        <v>0</v>
      </c>
      <c r="M18277" t="n">
        <v>0</v>
      </c>
      <c r="N18277" t="n">
        <v>0</v>
      </c>
      <c r="O18277" t="n">
        <v>0</v>
      </c>
      <c r="P18277" t="n">
        <v>0</v>
      </c>
      <c r="Q18277" t="n">
        <v>0</v>
      </c>
      <c r="R18277" s="2" t="inlineStr"/>
    </row>
    <row r="18278" ht="15" customHeight="1">
      <c r="A18278" t="inlineStr">
        <is>
          <t>A 301-2025</t>
        </is>
      </c>
      <c r="B18278" s="1" t="n">
        <v>45660</v>
      </c>
      <c r="C18278" s="1" t="n">
        <v>45810</v>
      </c>
      <c r="D18278" t="inlineStr">
        <is>
          <t>VÄRMLANDS LÄN</t>
        </is>
      </c>
      <c r="E18278" t="inlineStr">
        <is>
          <t>ÅRJÄNG</t>
        </is>
      </c>
      <c r="G18278" t="n">
        <v>2.5</v>
      </c>
      <c r="H18278" t="n">
        <v>0</v>
      </c>
      <c r="I18278" t="n">
        <v>0</v>
      </c>
      <c r="J18278" t="n">
        <v>0</v>
      </c>
      <c r="K18278" t="n">
        <v>0</v>
      </c>
      <c r="L18278" t="n">
        <v>0</v>
      </c>
      <c r="M18278" t="n">
        <v>0</v>
      </c>
      <c r="N18278" t="n">
        <v>0</v>
      </c>
      <c r="O18278" t="n">
        <v>0</v>
      </c>
      <c r="P18278" t="n">
        <v>0</v>
      </c>
      <c r="Q18278" t="n">
        <v>0</v>
      </c>
      <c r="R18278" s="2" t="inlineStr"/>
    </row>
    <row r="18279" ht="15" customHeight="1">
      <c r="A18279" t="inlineStr">
        <is>
          <t>A 310-2025</t>
        </is>
      </c>
      <c r="B18279" s="1" t="n">
        <v>45660</v>
      </c>
      <c r="C18279" s="1" t="n">
        <v>45810</v>
      </c>
      <c r="D18279" t="inlineStr">
        <is>
          <t>VÄRMLANDS LÄN</t>
        </is>
      </c>
      <c r="E18279" t="inlineStr">
        <is>
          <t>ARVIKA</t>
        </is>
      </c>
      <c r="G18279" t="n">
        <v>1.9</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213-2025</t>
        </is>
      </c>
      <c r="B18280" s="1" t="n">
        <v>45660</v>
      </c>
      <c r="C18280" s="1" t="n">
        <v>45810</v>
      </c>
      <c r="D18280" t="inlineStr">
        <is>
          <t>VÄRMLANDS LÄN</t>
        </is>
      </c>
      <c r="E18280" t="inlineStr">
        <is>
          <t>STORFORS</t>
        </is>
      </c>
      <c r="G18280" t="n">
        <v>3.5</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202-2025</t>
        </is>
      </c>
      <c r="B18281" s="1" t="n">
        <v>45660</v>
      </c>
      <c r="C18281" s="1" t="n">
        <v>45810</v>
      </c>
      <c r="D18281" t="inlineStr">
        <is>
          <t>VÄRMLANDS LÄN</t>
        </is>
      </c>
      <c r="E18281" t="inlineStr">
        <is>
          <t>TORSBY</t>
        </is>
      </c>
      <c r="F18281" t="inlineStr">
        <is>
          <t>Bergvik skog väst AB</t>
        </is>
      </c>
      <c r="G18281" t="n">
        <v>10.2</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233-2025</t>
        </is>
      </c>
      <c r="B18282" s="1" t="n">
        <v>45660</v>
      </c>
      <c r="C18282" s="1" t="n">
        <v>45810</v>
      </c>
      <c r="D18282" t="inlineStr">
        <is>
          <t>VÄRMLANDS LÄN</t>
        </is>
      </c>
      <c r="E18282" t="inlineStr">
        <is>
          <t>HAGFORS</t>
        </is>
      </c>
      <c r="G18282" t="n">
        <v>5.1</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269-2025</t>
        </is>
      </c>
      <c r="B18283" s="1" t="n">
        <v>45660</v>
      </c>
      <c r="C18283" s="1" t="n">
        <v>45810</v>
      </c>
      <c r="D18283" t="inlineStr">
        <is>
          <t>VÄRMLANDS LÄN</t>
        </is>
      </c>
      <c r="E18283" t="inlineStr">
        <is>
          <t>SUNNE</t>
        </is>
      </c>
      <c r="G18283" t="n">
        <v>0.6</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227-2025</t>
        </is>
      </c>
      <c r="B18284" s="1" t="n">
        <v>45660</v>
      </c>
      <c r="C18284" s="1" t="n">
        <v>45810</v>
      </c>
      <c r="D18284" t="inlineStr">
        <is>
          <t>VÄRMLANDS LÄN</t>
        </is>
      </c>
      <c r="E18284" t="inlineStr">
        <is>
          <t>STORFORS</t>
        </is>
      </c>
      <c r="G18284" t="n">
        <v>5.3</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215-2025</t>
        </is>
      </c>
      <c r="B18285" s="1" t="n">
        <v>45660</v>
      </c>
      <c r="C18285" s="1" t="n">
        <v>45810</v>
      </c>
      <c r="D18285" t="inlineStr">
        <is>
          <t>VÄRMLANDS LÄN</t>
        </is>
      </c>
      <c r="E18285" t="inlineStr">
        <is>
          <t>STORFORS</t>
        </is>
      </c>
      <c r="G18285" t="n">
        <v>1.6</v>
      </c>
      <c r="H18285" t="n">
        <v>0</v>
      </c>
      <c r="I18285" t="n">
        <v>0</v>
      </c>
      <c r="J18285" t="n">
        <v>0</v>
      </c>
      <c r="K18285" t="n">
        <v>0</v>
      </c>
      <c r="L18285" t="n">
        <v>0</v>
      </c>
      <c r="M18285" t="n">
        <v>0</v>
      </c>
      <c r="N18285" t="n">
        <v>0</v>
      </c>
      <c r="O18285" t="n">
        <v>0</v>
      </c>
      <c r="P18285" t="n">
        <v>0</v>
      </c>
      <c r="Q18285" t="n">
        <v>0</v>
      </c>
      <c r="R18285" s="2" t="inlineStr"/>
    </row>
    <row r="18286" ht="15" customHeight="1">
      <c r="A18286" t="inlineStr">
        <is>
          <t>A 364-2025</t>
        </is>
      </c>
      <c r="B18286" s="1" t="n">
        <v>45661</v>
      </c>
      <c r="C18286" s="1" t="n">
        <v>45810</v>
      </c>
      <c r="D18286" t="inlineStr">
        <is>
          <t>VÄRMLANDS LÄN</t>
        </is>
      </c>
      <c r="E18286" t="inlineStr">
        <is>
          <t>TORSBY</t>
        </is>
      </c>
      <c r="G18286" t="n">
        <v>5.9</v>
      </c>
      <c r="H18286" t="n">
        <v>0</v>
      </c>
      <c r="I18286" t="n">
        <v>0</v>
      </c>
      <c r="J18286" t="n">
        <v>0</v>
      </c>
      <c r="K18286" t="n">
        <v>0</v>
      </c>
      <c r="L18286" t="n">
        <v>0</v>
      </c>
      <c r="M18286" t="n">
        <v>0</v>
      </c>
      <c r="N18286" t="n">
        <v>0</v>
      </c>
      <c r="O18286" t="n">
        <v>0</v>
      </c>
      <c r="P18286" t="n">
        <v>0</v>
      </c>
      <c r="Q18286" t="n">
        <v>0</v>
      </c>
      <c r="R18286" s="2" t="inlineStr"/>
    </row>
    <row r="18287" ht="15" customHeight="1">
      <c r="A18287" t="inlineStr">
        <is>
          <t>A 375-2025</t>
        </is>
      </c>
      <c r="B18287" s="1" t="n">
        <v>45661</v>
      </c>
      <c r="C18287" s="1" t="n">
        <v>45810</v>
      </c>
      <c r="D18287" t="inlineStr">
        <is>
          <t>VÄRMLANDS LÄN</t>
        </is>
      </c>
      <c r="E18287" t="inlineStr">
        <is>
          <t>TORSBY</t>
        </is>
      </c>
      <c r="G18287" t="n">
        <v>5.5</v>
      </c>
      <c r="H18287" t="n">
        <v>0</v>
      </c>
      <c r="I18287" t="n">
        <v>0</v>
      </c>
      <c r="J18287" t="n">
        <v>0</v>
      </c>
      <c r="K18287" t="n">
        <v>0</v>
      </c>
      <c r="L18287" t="n">
        <v>0</v>
      </c>
      <c r="M18287" t="n">
        <v>0</v>
      </c>
      <c r="N18287" t="n">
        <v>0</v>
      </c>
      <c r="O18287" t="n">
        <v>0</v>
      </c>
      <c r="P18287" t="n">
        <v>0</v>
      </c>
      <c r="Q18287" t="n">
        <v>0</v>
      </c>
      <c r="R18287" s="2" t="inlineStr"/>
    </row>
    <row r="18288" ht="15" customHeight="1">
      <c r="A18288" t="inlineStr">
        <is>
          <t>A 386-2025</t>
        </is>
      </c>
      <c r="B18288" s="1" t="n">
        <v>45662</v>
      </c>
      <c r="C18288" s="1" t="n">
        <v>45810</v>
      </c>
      <c r="D18288" t="inlineStr">
        <is>
          <t>VÄRMLANDS LÄN</t>
        </is>
      </c>
      <c r="E18288" t="inlineStr">
        <is>
          <t>KRISTINEHAMN</t>
        </is>
      </c>
      <c r="G18288" t="n">
        <v>1</v>
      </c>
      <c r="H18288" t="n">
        <v>0</v>
      </c>
      <c r="I18288" t="n">
        <v>0</v>
      </c>
      <c r="J18288" t="n">
        <v>0</v>
      </c>
      <c r="K18288" t="n">
        <v>0</v>
      </c>
      <c r="L18288" t="n">
        <v>0</v>
      </c>
      <c r="M18288" t="n">
        <v>0</v>
      </c>
      <c r="N18288" t="n">
        <v>0</v>
      </c>
      <c r="O18288" t="n">
        <v>0</v>
      </c>
      <c r="P18288" t="n">
        <v>0</v>
      </c>
      <c r="Q18288" t="n">
        <v>0</v>
      </c>
      <c r="R18288" s="2" t="inlineStr"/>
    </row>
    <row r="18289" ht="15" customHeight="1">
      <c r="A18289" t="inlineStr">
        <is>
          <t>A 378-2025</t>
        </is>
      </c>
      <c r="B18289" s="1" t="n">
        <v>45662</v>
      </c>
      <c r="C18289" s="1" t="n">
        <v>45810</v>
      </c>
      <c r="D18289" t="inlineStr">
        <is>
          <t>VÄRMLANDS LÄN</t>
        </is>
      </c>
      <c r="E18289" t="inlineStr">
        <is>
          <t>FILIPSTAD</t>
        </is>
      </c>
      <c r="G18289" t="n">
        <v>5.4</v>
      </c>
      <c r="H18289" t="n">
        <v>0</v>
      </c>
      <c r="I18289" t="n">
        <v>0</v>
      </c>
      <c r="J18289" t="n">
        <v>0</v>
      </c>
      <c r="K18289" t="n">
        <v>0</v>
      </c>
      <c r="L18289" t="n">
        <v>0</v>
      </c>
      <c r="M18289" t="n">
        <v>0</v>
      </c>
      <c r="N18289" t="n">
        <v>0</v>
      </c>
      <c r="O18289" t="n">
        <v>0</v>
      </c>
      <c r="P18289" t="n">
        <v>0</v>
      </c>
      <c r="Q18289" t="n">
        <v>0</v>
      </c>
      <c r="R18289" s="2" t="inlineStr"/>
    </row>
    <row r="18290" ht="15" customHeight="1">
      <c r="A18290" t="inlineStr">
        <is>
          <t>A 383-2025</t>
        </is>
      </c>
      <c r="B18290" s="1" t="n">
        <v>45662</v>
      </c>
      <c r="C18290" s="1" t="n">
        <v>45810</v>
      </c>
      <c r="D18290" t="inlineStr">
        <is>
          <t>VÄRMLANDS LÄN</t>
        </is>
      </c>
      <c r="E18290" t="inlineStr">
        <is>
          <t>TORSBY</t>
        </is>
      </c>
      <c r="G18290" t="n">
        <v>1.2</v>
      </c>
      <c r="H18290" t="n">
        <v>0</v>
      </c>
      <c r="I18290" t="n">
        <v>0</v>
      </c>
      <c r="J18290" t="n">
        <v>0</v>
      </c>
      <c r="K18290" t="n">
        <v>0</v>
      </c>
      <c r="L18290" t="n">
        <v>0</v>
      </c>
      <c r="M18290" t="n">
        <v>0</v>
      </c>
      <c r="N18290" t="n">
        <v>0</v>
      </c>
      <c r="O18290" t="n">
        <v>0</v>
      </c>
      <c r="P18290" t="n">
        <v>0</v>
      </c>
      <c r="Q18290" t="n">
        <v>0</v>
      </c>
      <c r="R18290" s="2" t="inlineStr"/>
    </row>
    <row r="18291" ht="15" customHeight="1">
      <c r="A18291" t="inlineStr">
        <is>
          <t>A 384-2025</t>
        </is>
      </c>
      <c r="B18291" s="1" t="n">
        <v>45662</v>
      </c>
      <c r="C18291" s="1" t="n">
        <v>45810</v>
      </c>
      <c r="D18291" t="inlineStr">
        <is>
          <t>VÄRMLANDS LÄN</t>
        </is>
      </c>
      <c r="E18291" t="inlineStr">
        <is>
          <t>EDA</t>
        </is>
      </c>
      <c r="G18291" t="n">
        <v>4.4</v>
      </c>
      <c r="H18291" t="n">
        <v>0</v>
      </c>
      <c r="I18291" t="n">
        <v>0</v>
      </c>
      <c r="J18291" t="n">
        <v>0</v>
      </c>
      <c r="K18291" t="n">
        <v>0</v>
      </c>
      <c r="L18291" t="n">
        <v>0</v>
      </c>
      <c r="M18291" t="n">
        <v>0</v>
      </c>
      <c r="N18291" t="n">
        <v>0</v>
      </c>
      <c r="O18291" t="n">
        <v>0</v>
      </c>
      <c r="P18291" t="n">
        <v>0</v>
      </c>
      <c r="Q18291" t="n">
        <v>0</v>
      </c>
      <c r="R18291" s="2" t="inlineStr"/>
    </row>
    <row r="18292" ht="15" customHeight="1">
      <c r="A18292" t="inlineStr">
        <is>
          <t>A 391-2025</t>
        </is>
      </c>
      <c r="B18292" s="1" t="n">
        <v>45663</v>
      </c>
      <c r="C18292" s="1" t="n">
        <v>45810</v>
      </c>
      <c r="D18292" t="inlineStr">
        <is>
          <t>VÄRMLANDS LÄN</t>
        </is>
      </c>
      <c r="E18292" t="inlineStr">
        <is>
          <t>TORSBY</t>
        </is>
      </c>
      <c r="G18292" t="n">
        <v>2.7</v>
      </c>
      <c r="H18292" t="n">
        <v>0</v>
      </c>
      <c r="I18292" t="n">
        <v>0</v>
      </c>
      <c r="J18292" t="n">
        <v>0</v>
      </c>
      <c r="K18292" t="n">
        <v>0</v>
      </c>
      <c r="L18292" t="n">
        <v>0</v>
      </c>
      <c r="M18292" t="n">
        <v>0</v>
      </c>
      <c r="N18292" t="n">
        <v>0</v>
      </c>
      <c r="O18292" t="n">
        <v>0</v>
      </c>
      <c r="P18292" t="n">
        <v>0</v>
      </c>
      <c r="Q18292" t="n">
        <v>0</v>
      </c>
      <c r="R18292" s="2" t="inlineStr"/>
    </row>
    <row r="18293" ht="15" customHeight="1">
      <c r="A18293" t="inlineStr">
        <is>
          <t>A 420-2025</t>
        </is>
      </c>
      <c r="B18293" s="1" t="n">
        <v>45663</v>
      </c>
      <c r="C18293" s="1" t="n">
        <v>45810</v>
      </c>
      <c r="D18293" t="inlineStr">
        <is>
          <t>VÄRMLANDS LÄN</t>
        </is>
      </c>
      <c r="E18293" t="inlineStr">
        <is>
          <t>ARVIKA</t>
        </is>
      </c>
      <c r="G18293" t="n">
        <v>2.6</v>
      </c>
      <c r="H18293" t="n">
        <v>0</v>
      </c>
      <c r="I18293" t="n">
        <v>0</v>
      </c>
      <c r="J18293" t="n">
        <v>0</v>
      </c>
      <c r="K18293" t="n">
        <v>0</v>
      </c>
      <c r="L18293" t="n">
        <v>0</v>
      </c>
      <c r="M18293" t="n">
        <v>0</v>
      </c>
      <c r="N18293" t="n">
        <v>0</v>
      </c>
      <c r="O18293" t="n">
        <v>0</v>
      </c>
      <c r="P18293" t="n">
        <v>0</v>
      </c>
      <c r="Q18293" t="n">
        <v>0</v>
      </c>
      <c r="R18293" s="2" t="inlineStr"/>
    </row>
    <row r="18294" ht="15" customHeight="1">
      <c r="A18294" t="inlineStr">
        <is>
          <t>A 392-2025</t>
        </is>
      </c>
      <c r="B18294" s="1" t="n">
        <v>45663</v>
      </c>
      <c r="C18294" s="1" t="n">
        <v>45810</v>
      </c>
      <c r="D18294" t="inlineStr">
        <is>
          <t>VÄRMLANDS LÄN</t>
        </is>
      </c>
      <c r="E18294" t="inlineStr">
        <is>
          <t>TORSBY</t>
        </is>
      </c>
      <c r="G18294" t="n">
        <v>3.5</v>
      </c>
      <c r="H18294" t="n">
        <v>0</v>
      </c>
      <c r="I18294" t="n">
        <v>0</v>
      </c>
      <c r="J18294" t="n">
        <v>0</v>
      </c>
      <c r="K18294" t="n">
        <v>0</v>
      </c>
      <c r="L18294" t="n">
        <v>0</v>
      </c>
      <c r="M18294" t="n">
        <v>0</v>
      </c>
      <c r="N18294" t="n">
        <v>0</v>
      </c>
      <c r="O18294" t="n">
        <v>0</v>
      </c>
      <c r="P18294" t="n">
        <v>0</v>
      </c>
      <c r="Q18294" t="n">
        <v>0</v>
      </c>
      <c r="R18294" s="2" t="inlineStr"/>
    </row>
    <row r="18295" ht="15" customHeight="1">
      <c r="A18295" t="inlineStr">
        <is>
          <t>A 474-2025</t>
        </is>
      </c>
      <c r="B18295" s="1" t="n">
        <v>45664</v>
      </c>
      <c r="C18295" s="1" t="n">
        <v>45810</v>
      </c>
      <c r="D18295" t="inlineStr">
        <is>
          <t>VÄRMLANDS LÄN</t>
        </is>
      </c>
      <c r="E18295" t="inlineStr">
        <is>
          <t>ÅRJÄNG</t>
        </is>
      </c>
      <c r="G18295" t="n">
        <v>3</v>
      </c>
      <c r="H18295" t="n">
        <v>0</v>
      </c>
      <c r="I18295" t="n">
        <v>0</v>
      </c>
      <c r="J18295" t="n">
        <v>0</v>
      </c>
      <c r="K18295" t="n">
        <v>0</v>
      </c>
      <c r="L18295" t="n">
        <v>0</v>
      </c>
      <c r="M18295" t="n">
        <v>0</v>
      </c>
      <c r="N18295" t="n">
        <v>0</v>
      </c>
      <c r="O18295" t="n">
        <v>0</v>
      </c>
      <c r="P18295" t="n">
        <v>0</v>
      </c>
      <c r="Q18295" t="n">
        <v>0</v>
      </c>
      <c r="R18295" s="2" t="inlineStr"/>
    </row>
    <row r="18296" ht="15" customHeight="1">
      <c r="A18296" t="inlineStr">
        <is>
          <t>A 422-2025</t>
        </is>
      </c>
      <c r="B18296" s="1" t="n">
        <v>45664</v>
      </c>
      <c r="C18296" s="1" t="n">
        <v>45810</v>
      </c>
      <c r="D18296" t="inlineStr">
        <is>
          <t>VÄRMLANDS LÄN</t>
        </is>
      </c>
      <c r="E18296" t="inlineStr">
        <is>
          <t>FILIPSTAD</t>
        </is>
      </c>
      <c r="G18296" t="n">
        <v>2.3</v>
      </c>
      <c r="H18296" t="n">
        <v>0</v>
      </c>
      <c r="I18296" t="n">
        <v>0</v>
      </c>
      <c r="J18296" t="n">
        <v>0</v>
      </c>
      <c r="K18296" t="n">
        <v>0</v>
      </c>
      <c r="L18296" t="n">
        <v>0</v>
      </c>
      <c r="M18296" t="n">
        <v>0</v>
      </c>
      <c r="N18296" t="n">
        <v>0</v>
      </c>
      <c r="O18296" t="n">
        <v>0</v>
      </c>
      <c r="P18296" t="n">
        <v>0</v>
      </c>
      <c r="Q18296" t="n">
        <v>0</v>
      </c>
      <c r="R18296" s="2" t="inlineStr"/>
    </row>
    <row r="18297" ht="15" customHeight="1">
      <c r="A18297" t="inlineStr">
        <is>
          <t>A 492-2025</t>
        </is>
      </c>
      <c r="B18297" s="1" t="n">
        <v>45664</v>
      </c>
      <c r="C18297" s="1" t="n">
        <v>45810</v>
      </c>
      <c r="D18297" t="inlineStr">
        <is>
          <t>VÄRMLANDS LÄN</t>
        </is>
      </c>
      <c r="E18297" t="inlineStr">
        <is>
          <t>TORSBY</t>
        </is>
      </c>
      <c r="G18297" t="n">
        <v>6.9</v>
      </c>
      <c r="H18297" t="n">
        <v>0</v>
      </c>
      <c r="I18297" t="n">
        <v>0</v>
      </c>
      <c r="J18297" t="n">
        <v>0</v>
      </c>
      <c r="K18297" t="n">
        <v>0</v>
      </c>
      <c r="L18297" t="n">
        <v>0</v>
      </c>
      <c r="M18297" t="n">
        <v>0</v>
      </c>
      <c r="N18297" t="n">
        <v>0</v>
      </c>
      <c r="O18297" t="n">
        <v>0</v>
      </c>
      <c r="P18297" t="n">
        <v>0</v>
      </c>
      <c r="Q18297" t="n">
        <v>0</v>
      </c>
      <c r="R18297" s="2" t="inlineStr"/>
    </row>
    <row r="18298" ht="15" customHeight="1">
      <c r="A18298" t="inlineStr">
        <is>
          <t>A 501-2025</t>
        </is>
      </c>
      <c r="B18298" s="1" t="n">
        <v>45664</v>
      </c>
      <c r="C18298" s="1" t="n">
        <v>45810</v>
      </c>
      <c r="D18298" t="inlineStr">
        <is>
          <t>VÄRMLANDS LÄN</t>
        </is>
      </c>
      <c r="E18298" t="inlineStr">
        <is>
          <t>HAGFORS</t>
        </is>
      </c>
      <c r="G18298" t="n">
        <v>4.5</v>
      </c>
      <c r="H18298" t="n">
        <v>0</v>
      </c>
      <c r="I18298" t="n">
        <v>0</v>
      </c>
      <c r="J18298" t="n">
        <v>0</v>
      </c>
      <c r="K18298" t="n">
        <v>0</v>
      </c>
      <c r="L18298" t="n">
        <v>0</v>
      </c>
      <c r="M18298" t="n">
        <v>0</v>
      </c>
      <c r="N18298" t="n">
        <v>0</v>
      </c>
      <c r="O18298" t="n">
        <v>0</v>
      </c>
      <c r="P18298" t="n">
        <v>0</v>
      </c>
      <c r="Q18298" t="n">
        <v>0</v>
      </c>
      <c r="R18298" s="2" t="inlineStr"/>
    </row>
    <row r="18299" ht="15" customHeight="1">
      <c r="A18299" t="inlineStr">
        <is>
          <t>A 423-2025</t>
        </is>
      </c>
      <c r="B18299" s="1" t="n">
        <v>45664</v>
      </c>
      <c r="C18299" s="1" t="n">
        <v>45810</v>
      </c>
      <c r="D18299" t="inlineStr">
        <is>
          <t>VÄRMLANDS LÄN</t>
        </is>
      </c>
      <c r="E18299" t="inlineStr">
        <is>
          <t>KRISTINEHAMN</t>
        </is>
      </c>
      <c r="G18299" t="n">
        <v>1.5</v>
      </c>
      <c r="H18299" t="n">
        <v>0</v>
      </c>
      <c r="I18299" t="n">
        <v>0</v>
      </c>
      <c r="J18299" t="n">
        <v>0</v>
      </c>
      <c r="K18299" t="n">
        <v>0</v>
      </c>
      <c r="L18299" t="n">
        <v>0</v>
      </c>
      <c r="M18299" t="n">
        <v>0</v>
      </c>
      <c r="N18299" t="n">
        <v>0</v>
      </c>
      <c r="O18299" t="n">
        <v>0</v>
      </c>
      <c r="P18299" t="n">
        <v>0</v>
      </c>
      <c r="Q18299" t="n">
        <v>0</v>
      </c>
      <c r="R18299" s="2" t="inlineStr"/>
    </row>
    <row r="18300" ht="15" customHeight="1">
      <c r="A18300" t="inlineStr">
        <is>
          <t>A 424-2025</t>
        </is>
      </c>
      <c r="B18300" s="1" t="n">
        <v>45664</v>
      </c>
      <c r="C18300" s="1" t="n">
        <v>45810</v>
      </c>
      <c r="D18300" t="inlineStr">
        <is>
          <t>VÄRMLANDS LÄN</t>
        </is>
      </c>
      <c r="E18300" t="inlineStr">
        <is>
          <t>ÅRJÄNG</t>
        </is>
      </c>
      <c r="G18300" t="n">
        <v>1.8</v>
      </c>
      <c r="H18300" t="n">
        <v>0</v>
      </c>
      <c r="I18300" t="n">
        <v>0</v>
      </c>
      <c r="J18300" t="n">
        <v>0</v>
      </c>
      <c r="K18300" t="n">
        <v>0</v>
      </c>
      <c r="L18300" t="n">
        <v>0</v>
      </c>
      <c r="M18300" t="n">
        <v>0</v>
      </c>
      <c r="N18300" t="n">
        <v>0</v>
      </c>
      <c r="O18300" t="n">
        <v>0</v>
      </c>
      <c r="P18300" t="n">
        <v>0</v>
      </c>
      <c r="Q18300" t="n">
        <v>0</v>
      </c>
      <c r="R18300" s="2" t="inlineStr"/>
    </row>
    <row r="18301" ht="15" customHeight="1">
      <c r="A18301" t="inlineStr">
        <is>
          <t>A 441-2025</t>
        </is>
      </c>
      <c r="B18301" s="1" t="n">
        <v>45664</v>
      </c>
      <c r="C18301" s="1" t="n">
        <v>45810</v>
      </c>
      <c r="D18301" t="inlineStr">
        <is>
          <t>VÄRMLANDS LÄN</t>
        </is>
      </c>
      <c r="E18301" t="inlineStr">
        <is>
          <t>ARVIKA</t>
        </is>
      </c>
      <c r="F18301" t="inlineStr">
        <is>
          <t>Bergvik skog väst AB</t>
        </is>
      </c>
      <c r="G18301" t="n">
        <v>1.5</v>
      </c>
      <c r="H18301" t="n">
        <v>0</v>
      </c>
      <c r="I18301" t="n">
        <v>0</v>
      </c>
      <c r="J18301" t="n">
        <v>0</v>
      </c>
      <c r="K18301" t="n">
        <v>0</v>
      </c>
      <c r="L18301" t="n">
        <v>0</v>
      </c>
      <c r="M18301" t="n">
        <v>0</v>
      </c>
      <c r="N18301" t="n">
        <v>0</v>
      </c>
      <c r="O18301" t="n">
        <v>0</v>
      </c>
      <c r="P18301" t="n">
        <v>0</v>
      </c>
      <c r="Q18301" t="n">
        <v>0</v>
      </c>
      <c r="R18301" s="2" t="inlineStr"/>
    </row>
    <row r="18302" ht="15" customHeight="1">
      <c r="A18302" t="inlineStr">
        <is>
          <t>A 485-2025</t>
        </is>
      </c>
      <c r="B18302" s="1" t="n">
        <v>45664</v>
      </c>
      <c r="C18302" s="1" t="n">
        <v>45810</v>
      </c>
      <c r="D18302" t="inlineStr">
        <is>
          <t>VÄRMLANDS LÄN</t>
        </is>
      </c>
      <c r="E18302" t="inlineStr">
        <is>
          <t>TORSBY</t>
        </is>
      </c>
      <c r="G18302" t="n">
        <v>2.5</v>
      </c>
      <c r="H18302" t="n">
        <v>0</v>
      </c>
      <c r="I18302" t="n">
        <v>0</v>
      </c>
      <c r="J18302" t="n">
        <v>0</v>
      </c>
      <c r="K18302" t="n">
        <v>0</v>
      </c>
      <c r="L18302" t="n">
        <v>0</v>
      </c>
      <c r="M18302" t="n">
        <v>0</v>
      </c>
      <c r="N18302" t="n">
        <v>0</v>
      </c>
      <c r="O18302" t="n">
        <v>0</v>
      </c>
      <c r="P18302" t="n">
        <v>0</v>
      </c>
      <c r="Q18302" t="n">
        <v>0</v>
      </c>
      <c r="R18302" s="2" t="inlineStr"/>
    </row>
    <row r="18303" ht="15" customHeight="1">
      <c r="A18303" t="inlineStr">
        <is>
          <t>A 480-2025</t>
        </is>
      </c>
      <c r="B18303" s="1" t="n">
        <v>45664</v>
      </c>
      <c r="C18303" s="1" t="n">
        <v>45810</v>
      </c>
      <c r="D18303" t="inlineStr">
        <is>
          <t>VÄRMLANDS LÄN</t>
        </is>
      </c>
      <c r="E18303" t="inlineStr">
        <is>
          <t>ÅRJÄNG</t>
        </is>
      </c>
      <c r="G18303" t="n">
        <v>1</v>
      </c>
      <c r="H18303" t="n">
        <v>0</v>
      </c>
      <c r="I18303" t="n">
        <v>0</v>
      </c>
      <c r="J18303" t="n">
        <v>0</v>
      </c>
      <c r="K18303" t="n">
        <v>0</v>
      </c>
      <c r="L18303" t="n">
        <v>0</v>
      </c>
      <c r="M18303" t="n">
        <v>0</v>
      </c>
      <c r="N18303" t="n">
        <v>0</v>
      </c>
      <c r="O18303" t="n">
        <v>0</v>
      </c>
      <c r="P18303" t="n">
        <v>0</v>
      </c>
      <c r="Q18303" t="n">
        <v>0</v>
      </c>
      <c r="R18303" s="2" t="inlineStr"/>
    </row>
    <row r="18304" ht="15" customHeight="1">
      <c r="A18304" t="inlineStr">
        <is>
          <t>A 521-2025</t>
        </is>
      </c>
      <c r="B18304" s="1" t="n">
        <v>45664</v>
      </c>
      <c r="C18304" s="1" t="n">
        <v>45810</v>
      </c>
      <c r="D18304" t="inlineStr">
        <is>
          <t>VÄRMLANDS LÄN</t>
        </is>
      </c>
      <c r="E18304" t="inlineStr">
        <is>
          <t>ÅRJÄNG</t>
        </is>
      </c>
      <c r="G18304" t="n">
        <v>2.7</v>
      </c>
      <c r="H18304" t="n">
        <v>0</v>
      </c>
      <c r="I18304" t="n">
        <v>0</v>
      </c>
      <c r="J18304" t="n">
        <v>0</v>
      </c>
      <c r="K18304" t="n">
        <v>0</v>
      </c>
      <c r="L18304" t="n">
        <v>0</v>
      </c>
      <c r="M18304" t="n">
        <v>0</v>
      </c>
      <c r="N18304" t="n">
        <v>0</v>
      </c>
      <c r="O18304" t="n">
        <v>0</v>
      </c>
      <c r="P18304" t="n">
        <v>0</v>
      </c>
      <c r="Q18304" t="n">
        <v>0</v>
      </c>
      <c r="R18304" s="2" t="inlineStr"/>
    </row>
    <row r="18305" ht="15" customHeight="1">
      <c r="A18305" t="inlineStr">
        <is>
          <t>A 644-2025</t>
        </is>
      </c>
      <c r="B18305" s="1" t="n">
        <v>45664</v>
      </c>
      <c r="C18305" s="1" t="n">
        <v>45810</v>
      </c>
      <c r="D18305" t="inlineStr">
        <is>
          <t>VÄRMLANDS LÄN</t>
        </is>
      </c>
      <c r="E18305" t="inlineStr">
        <is>
          <t>TORSBY</t>
        </is>
      </c>
      <c r="G18305" t="n">
        <v>2.3</v>
      </c>
      <c r="H18305" t="n">
        <v>0</v>
      </c>
      <c r="I18305" t="n">
        <v>0</v>
      </c>
      <c r="J18305" t="n">
        <v>0</v>
      </c>
      <c r="K18305" t="n">
        <v>0</v>
      </c>
      <c r="L18305" t="n">
        <v>0</v>
      </c>
      <c r="M18305" t="n">
        <v>0</v>
      </c>
      <c r="N18305" t="n">
        <v>0</v>
      </c>
      <c r="O18305" t="n">
        <v>0</v>
      </c>
      <c r="P18305" t="n">
        <v>0</v>
      </c>
      <c r="Q18305" t="n">
        <v>0</v>
      </c>
      <c r="R18305" s="2" t="inlineStr"/>
    </row>
    <row r="18306" ht="15" customHeight="1">
      <c r="A18306" t="inlineStr">
        <is>
          <t>A 670-2025</t>
        </is>
      </c>
      <c r="B18306" s="1" t="n">
        <v>45664</v>
      </c>
      <c r="C18306" s="1" t="n">
        <v>45810</v>
      </c>
      <c r="D18306" t="inlineStr">
        <is>
          <t>VÄRMLANDS LÄN</t>
        </is>
      </c>
      <c r="E18306" t="inlineStr">
        <is>
          <t>KRISTINEHAMN</t>
        </is>
      </c>
      <c r="G18306" t="n">
        <v>1.5</v>
      </c>
      <c r="H18306" t="n">
        <v>0</v>
      </c>
      <c r="I18306" t="n">
        <v>0</v>
      </c>
      <c r="J18306" t="n">
        <v>0</v>
      </c>
      <c r="K18306" t="n">
        <v>0</v>
      </c>
      <c r="L18306" t="n">
        <v>0</v>
      </c>
      <c r="M18306" t="n">
        <v>0</v>
      </c>
      <c r="N18306" t="n">
        <v>0</v>
      </c>
      <c r="O18306" t="n">
        <v>0</v>
      </c>
      <c r="P18306" t="n">
        <v>0</v>
      </c>
      <c r="Q18306" t="n">
        <v>0</v>
      </c>
      <c r="R18306" s="2" t="inlineStr"/>
    </row>
    <row r="18307" ht="15" customHeight="1">
      <c r="A18307" t="inlineStr">
        <is>
          <t>A 654-2025</t>
        </is>
      </c>
      <c r="B18307" s="1" t="n">
        <v>45664</v>
      </c>
      <c r="C18307" s="1" t="n">
        <v>45810</v>
      </c>
      <c r="D18307" t="inlineStr">
        <is>
          <t>VÄRMLANDS LÄN</t>
        </is>
      </c>
      <c r="E18307" t="inlineStr">
        <is>
          <t>TORSBY</t>
        </is>
      </c>
      <c r="G18307" t="n">
        <v>6.6</v>
      </c>
      <c r="H18307" t="n">
        <v>0</v>
      </c>
      <c r="I18307" t="n">
        <v>0</v>
      </c>
      <c r="J18307" t="n">
        <v>0</v>
      </c>
      <c r="K18307" t="n">
        <v>0</v>
      </c>
      <c r="L18307" t="n">
        <v>0</v>
      </c>
      <c r="M18307" t="n">
        <v>0</v>
      </c>
      <c r="N18307" t="n">
        <v>0</v>
      </c>
      <c r="O18307" t="n">
        <v>0</v>
      </c>
      <c r="P18307" t="n">
        <v>0</v>
      </c>
      <c r="Q18307" t="n">
        <v>0</v>
      </c>
      <c r="R18307" s="2" t="inlineStr"/>
    </row>
    <row r="18308" ht="15" customHeight="1">
      <c r="A18308" t="inlineStr">
        <is>
          <t>A 906-2025</t>
        </is>
      </c>
      <c r="B18308" s="1" t="n">
        <v>45664</v>
      </c>
      <c r="C18308" s="1" t="n">
        <v>45810</v>
      </c>
      <c r="D18308" t="inlineStr">
        <is>
          <t>VÄRMLANDS LÄN</t>
        </is>
      </c>
      <c r="E18308" t="inlineStr">
        <is>
          <t>TORSBY</t>
        </is>
      </c>
      <c r="G18308" t="n">
        <v>1.4</v>
      </c>
      <c r="H18308" t="n">
        <v>0</v>
      </c>
      <c r="I18308" t="n">
        <v>0</v>
      </c>
      <c r="J18308" t="n">
        <v>0</v>
      </c>
      <c r="K18308" t="n">
        <v>0</v>
      </c>
      <c r="L18308" t="n">
        <v>0</v>
      </c>
      <c r="M18308" t="n">
        <v>0</v>
      </c>
      <c r="N18308" t="n">
        <v>0</v>
      </c>
      <c r="O18308" t="n">
        <v>0</v>
      </c>
      <c r="P18308" t="n">
        <v>0</v>
      </c>
      <c r="Q18308" t="n">
        <v>0</v>
      </c>
      <c r="R18308" s="2" t="inlineStr"/>
    </row>
    <row r="18309" ht="15" customHeight="1">
      <c r="A18309" t="inlineStr">
        <is>
          <t>A 909-2025</t>
        </is>
      </c>
      <c r="B18309" s="1" t="n">
        <v>45664</v>
      </c>
      <c r="C18309" s="1" t="n">
        <v>45810</v>
      </c>
      <c r="D18309" t="inlineStr">
        <is>
          <t>VÄRMLANDS LÄN</t>
        </is>
      </c>
      <c r="E18309" t="inlineStr">
        <is>
          <t>GRUMS</t>
        </is>
      </c>
      <c r="G18309" t="n">
        <v>4.5</v>
      </c>
      <c r="H18309" t="n">
        <v>0</v>
      </c>
      <c r="I18309" t="n">
        <v>0</v>
      </c>
      <c r="J18309" t="n">
        <v>0</v>
      </c>
      <c r="K18309" t="n">
        <v>0</v>
      </c>
      <c r="L18309" t="n">
        <v>0</v>
      </c>
      <c r="M18309" t="n">
        <v>0</v>
      </c>
      <c r="N18309" t="n">
        <v>0</v>
      </c>
      <c r="O18309" t="n">
        <v>0</v>
      </c>
      <c r="P18309" t="n">
        <v>0</v>
      </c>
      <c r="Q18309" t="n">
        <v>0</v>
      </c>
      <c r="R18309" s="2" t="inlineStr"/>
    </row>
    <row r="18310" ht="15" customHeight="1">
      <c r="A18310" t="inlineStr">
        <is>
          <t>A 648-2025</t>
        </is>
      </c>
      <c r="B18310" s="1" t="n">
        <v>45664</v>
      </c>
      <c r="C18310" s="1" t="n">
        <v>45810</v>
      </c>
      <c r="D18310" t="inlineStr">
        <is>
          <t>VÄRMLANDS LÄN</t>
        </is>
      </c>
      <c r="E18310" t="inlineStr">
        <is>
          <t>KARLSTAD</t>
        </is>
      </c>
      <c r="G18310" t="n">
        <v>8</v>
      </c>
      <c r="H18310" t="n">
        <v>0</v>
      </c>
      <c r="I18310" t="n">
        <v>0</v>
      </c>
      <c r="J18310" t="n">
        <v>0</v>
      </c>
      <c r="K18310" t="n">
        <v>0</v>
      </c>
      <c r="L18310" t="n">
        <v>0</v>
      </c>
      <c r="M18310" t="n">
        <v>0</v>
      </c>
      <c r="N18310" t="n">
        <v>0</v>
      </c>
      <c r="O18310" t="n">
        <v>0</v>
      </c>
      <c r="P18310" t="n">
        <v>0</v>
      </c>
      <c r="Q18310" t="n">
        <v>0</v>
      </c>
      <c r="R18310" s="2" t="inlineStr"/>
      <c r="U18310">
        <f>HYPERLINK("https://klasma.github.io/Logging_1780/knärot/A 648-2025 karta knärot.png", "A 648-2025")</f>
        <v/>
      </c>
      <c r="V18310">
        <f>HYPERLINK("https://klasma.github.io/Logging_1780/klagomål/A 648-2025 FSC-klagomål.docx", "A 648-2025")</f>
        <v/>
      </c>
      <c r="W18310">
        <f>HYPERLINK("https://klasma.github.io/Logging_1780/klagomålsmail/A 648-2025 FSC-klagomål mail.docx", "A 648-2025")</f>
        <v/>
      </c>
      <c r="X18310">
        <f>HYPERLINK("https://klasma.github.io/Logging_1780/tillsyn/A 648-2025 tillsynsbegäran.docx", "A 648-2025")</f>
        <v/>
      </c>
      <c r="Y18310">
        <f>HYPERLINK("https://klasma.github.io/Logging_1780/tillsynsmail/A 648-2025 tillsynsbegäran mail.docx", "A 648-2025")</f>
        <v/>
      </c>
    </row>
    <row r="18311" ht="15" customHeight="1">
      <c r="A18311" t="inlineStr">
        <is>
          <t>A 684-2025</t>
        </is>
      </c>
      <c r="B18311" s="1" t="n">
        <v>45665</v>
      </c>
      <c r="C18311" s="1" t="n">
        <v>45810</v>
      </c>
      <c r="D18311" t="inlineStr">
        <is>
          <t>VÄRMLANDS LÄN</t>
        </is>
      </c>
      <c r="E18311" t="inlineStr">
        <is>
          <t>SUNNE</t>
        </is>
      </c>
      <c r="G18311" t="n">
        <v>9</v>
      </c>
      <c r="H18311" t="n">
        <v>0</v>
      </c>
      <c r="I18311" t="n">
        <v>0</v>
      </c>
      <c r="J18311" t="n">
        <v>0</v>
      </c>
      <c r="K18311" t="n">
        <v>0</v>
      </c>
      <c r="L18311" t="n">
        <v>0</v>
      </c>
      <c r="M18311" t="n">
        <v>0</v>
      </c>
      <c r="N18311" t="n">
        <v>0</v>
      </c>
      <c r="O18311" t="n">
        <v>0</v>
      </c>
      <c r="P18311" t="n">
        <v>0</v>
      </c>
      <c r="Q18311" t="n">
        <v>0</v>
      </c>
      <c r="R18311" s="2" t="inlineStr"/>
    </row>
    <row r="18312" ht="15" customHeight="1">
      <c r="A18312" t="inlineStr">
        <is>
          <t>A 718-2025</t>
        </is>
      </c>
      <c r="B18312" s="1" t="n">
        <v>45665</v>
      </c>
      <c r="C18312" s="1" t="n">
        <v>45810</v>
      </c>
      <c r="D18312" t="inlineStr">
        <is>
          <t>VÄRMLANDS LÄN</t>
        </is>
      </c>
      <c r="E18312" t="inlineStr">
        <is>
          <t>TORSBY</t>
        </is>
      </c>
      <c r="F18312" t="inlineStr">
        <is>
          <t>Bergvik skog väst AB</t>
        </is>
      </c>
      <c r="G18312" t="n">
        <v>2.4</v>
      </c>
      <c r="H18312" t="n">
        <v>0</v>
      </c>
      <c r="I18312" t="n">
        <v>0</v>
      </c>
      <c r="J18312" t="n">
        <v>0</v>
      </c>
      <c r="K18312" t="n">
        <v>0</v>
      </c>
      <c r="L18312" t="n">
        <v>0</v>
      </c>
      <c r="M18312" t="n">
        <v>0</v>
      </c>
      <c r="N18312" t="n">
        <v>0</v>
      </c>
      <c r="O18312" t="n">
        <v>0</v>
      </c>
      <c r="P18312" t="n">
        <v>0</v>
      </c>
      <c r="Q18312" t="n">
        <v>0</v>
      </c>
      <c r="R18312" s="2" t="inlineStr"/>
    </row>
    <row r="18313" ht="15" customHeight="1">
      <c r="A18313" t="inlineStr">
        <is>
          <t>A 722-2025</t>
        </is>
      </c>
      <c r="B18313" s="1" t="n">
        <v>45665</v>
      </c>
      <c r="C18313" s="1" t="n">
        <v>45810</v>
      </c>
      <c r="D18313" t="inlineStr">
        <is>
          <t>VÄRMLANDS LÄN</t>
        </is>
      </c>
      <c r="E18313" t="inlineStr">
        <is>
          <t>FILIPSTAD</t>
        </is>
      </c>
      <c r="G18313" t="n">
        <v>3.6</v>
      </c>
      <c r="H18313" t="n">
        <v>0</v>
      </c>
      <c r="I18313" t="n">
        <v>0</v>
      </c>
      <c r="J18313" t="n">
        <v>0</v>
      </c>
      <c r="K18313" t="n">
        <v>0</v>
      </c>
      <c r="L18313" t="n">
        <v>0</v>
      </c>
      <c r="M18313" t="n">
        <v>0</v>
      </c>
      <c r="N18313" t="n">
        <v>0</v>
      </c>
      <c r="O18313" t="n">
        <v>0</v>
      </c>
      <c r="P18313" t="n">
        <v>0</v>
      </c>
      <c r="Q18313" t="n">
        <v>0</v>
      </c>
      <c r="R18313" s="2" t="inlineStr"/>
    </row>
    <row r="18314" ht="15" customHeight="1">
      <c r="A18314" t="inlineStr">
        <is>
          <t>A 869-2025</t>
        </is>
      </c>
      <c r="B18314" s="1" t="n">
        <v>45665</v>
      </c>
      <c r="C18314" s="1" t="n">
        <v>45810</v>
      </c>
      <c r="D18314" t="inlineStr">
        <is>
          <t>VÄRMLANDS LÄN</t>
        </is>
      </c>
      <c r="E18314" t="inlineStr">
        <is>
          <t>FILIPSTAD</t>
        </is>
      </c>
      <c r="G18314" t="n">
        <v>11.7</v>
      </c>
      <c r="H18314" t="n">
        <v>0</v>
      </c>
      <c r="I18314" t="n">
        <v>0</v>
      </c>
      <c r="J18314" t="n">
        <v>0</v>
      </c>
      <c r="K18314" t="n">
        <v>0</v>
      </c>
      <c r="L18314" t="n">
        <v>0</v>
      </c>
      <c r="M18314" t="n">
        <v>0</v>
      </c>
      <c r="N18314" t="n">
        <v>0</v>
      </c>
      <c r="O18314" t="n">
        <v>0</v>
      </c>
      <c r="P18314" t="n">
        <v>0</v>
      </c>
      <c r="Q18314" t="n">
        <v>0</v>
      </c>
      <c r="R18314" s="2" t="inlineStr"/>
    </row>
    <row r="18315" ht="15" customHeight="1">
      <c r="A18315" t="inlineStr">
        <is>
          <t>A 972-2025</t>
        </is>
      </c>
      <c r="B18315" s="1" t="n">
        <v>45665</v>
      </c>
      <c r="C18315" s="1" t="n">
        <v>45810</v>
      </c>
      <c r="D18315" t="inlineStr">
        <is>
          <t>VÄRMLANDS LÄN</t>
        </is>
      </c>
      <c r="E18315" t="inlineStr">
        <is>
          <t>GRUMS</t>
        </is>
      </c>
      <c r="G18315" t="n">
        <v>1.1</v>
      </c>
      <c r="H18315" t="n">
        <v>0</v>
      </c>
      <c r="I18315" t="n">
        <v>0</v>
      </c>
      <c r="J18315" t="n">
        <v>0</v>
      </c>
      <c r="K18315" t="n">
        <v>0</v>
      </c>
      <c r="L18315" t="n">
        <v>0</v>
      </c>
      <c r="M18315" t="n">
        <v>0</v>
      </c>
      <c r="N18315" t="n">
        <v>0</v>
      </c>
      <c r="O18315" t="n">
        <v>0</v>
      </c>
      <c r="P18315" t="n">
        <v>0</v>
      </c>
      <c r="Q18315" t="n">
        <v>0</v>
      </c>
      <c r="R18315" s="2" t="inlineStr"/>
    </row>
    <row r="18316" ht="15" customHeight="1">
      <c r="A18316" t="inlineStr">
        <is>
          <t>A 820-2025</t>
        </is>
      </c>
      <c r="B18316" s="1" t="n">
        <v>45665</v>
      </c>
      <c r="C18316" s="1" t="n">
        <v>45810</v>
      </c>
      <c r="D18316" t="inlineStr">
        <is>
          <t>VÄRMLANDS LÄN</t>
        </is>
      </c>
      <c r="E18316" t="inlineStr">
        <is>
          <t>ARVIKA</t>
        </is>
      </c>
      <c r="G18316" t="n">
        <v>1.3</v>
      </c>
      <c r="H18316" t="n">
        <v>0</v>
      </c>
      <c r="I18316" t="n">
        <v>0</v>
      </c>
      <c r="J18316" t="n">
        <v>0</v>
      </c>
      <c r="K18316" t="n">
        <v>0</v>
      </c>
      <c r="L18316" t="n">
        <v>0</v>
      </c>
      <c r="M18316" t="n">
        <v>0</v>
      </c>
      <c r="N18316" t="n">
        <v>0</v>
      </c>
      <c r="O18316" t="n">
        <v>0</v>
      </c>
      <c r="P18316" t="n">
        <v>0</v>
      </c>
      <c r="Q18316" t="n">
        <v>0</v>
      </c>
      <c r="R18316" s="2" t="inlineStr"/>
    </row>
    <row r="18317" ht="15" customHeight="1">
      <c r="A18317" t="inlineStr">
        <is>
          <t>A 793-2025</t>
        </is>
      </c>
      <c r="B18317" s="1" t="n">
        <v>45665</v>
      </c>
      <c r="C18317" s="1" t="n">
        <v>45810</v>
      </c>
      <c r="D18317" t="inlineStr">
        <is>
          <t>VÄRMLANDS LÄN</t>
        </is>
      </c>
      <c r="E18317" t="inlineStr">
        <is>
          <t>HAMMARÖ</t>
        </is>
      </c>
      <c r="G18317" t="n">
        <v>2.6</v>
      </c>
      <c r="H18317" t="n">
        <v>0</v>
      </c>
      <c r="I18317" t="n">
        <v>0</v>
      </c>
      <c r="J18317" t="n">
        <v>0</v>
      </c>
      <c r="K18317" t="n">
        <v>0</v>
      </c>
      <c r="L18317" t="n">
        <v>0</v>
      </c>
      <c r="M18317" t="n">
        <v>0</v>
      </c>
      <c r="N18317" t="n">
        <v>0</v>
      </c>
      <c r="O18317" t="n">
        <v>0</v>
      </c>
      <c r="P18317" t="n">
        <v>0</v>
      </c>
      <c r="Q18317" t="n">
        <v>0</v>
      </c>
      <c r="R18317" s="2" t="inlineStr"/>
    </row>
    <row r="18318" ht="15" customHeight="1">
      <c r="A18318" t="inlineStr">
        <is>
          <t>A 707-2025</t>
        </is>
      </c>
      <c r="B18318" s="1" t="n">
        <v>45665</v>
      </c>
      <c r="C18318" s="1" t="n">
        <v>45810</v>
      </c>
      <c r="D18318" t="inlineStr">
        <is>
          <t>VÄRMLANDS LÄN</t>
        </is>
      </c>
      <c r="E18318" t="inlineStr">
        <is>
          <t>TORSBY</t>
        </is>
      </c>
      <c r="F18318" t="inlineStr">
        <is>
          <t>Bergvik skog väst AB</t>
        </is>
      </c>
      <c r="G18318" t="n">
        <v>1.7</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1041-2025</t>
        </is>
      </c>
      <c r="B18319" s="1" t="n">
        <v>45665</v>
      </c>
      <c r="C18319" s="1" t="n">
        <v>45810</v>
      </c>
      <c r="D18319" t="inlineStr">
        <is>
          <t>VÄRMLANDS LÄN</t>
        </is>
      </c>
      <c r="E18319" t="inlineStr">
        <is>
          <t>SÄFFLE</t>
        </is>
      </c>
      <c r="G18319" t="n">
        <v>1</v>
      </c>
      <c r="H18319" t="n">
        <v>0</v>
      </c>
      <c r="I18319" t="n">
        <v>0</v>
      </c>
      <c r="J18319" t="n">
        <v>0</v>
      </c>
      <c r="K18319" t="n">
        <v>0</v>
      </c>
      <c r="L18319" t="n">
        <v>0</v>
      </c>
      <c r="M18319" t="n">
        <v>0</v>
      </c>
      <c r="N18319" t="n">
        <v>0</v>
      </c>
      <c r="O18319" t="n">
        <v>0</v>
      </c>
      <c r="P18319" t="n">
        <v>0</v>
      </c>
      <c r="Q18319" t="n">
        <v>0</v>
      </c>
      <c r="R18319" s="2" t="inlineStr"/>
    </row>
    <row r="18320" ht="15" customHeight="1">
      <c r="A18320" t="inlineStr">
        <is>
          <t>A 699-2025</t>
        </is>
      </c>
      <c r="B18320" s="1" t="n">
        <v>45665</v>
      </c>
      <c r="C18320" s="1" t="n">
        <v>45810</v>
      </c>
      <c r="D18320" t="inlineStr">
        <is>
          <t>VÄRMLANDS LÄN</t>
        </is>
      </c>
      <c r="E18320" t="inlineStr">
        <is>
          <t>TORSBY</t>
        </is>
      </c>
      <c r="F18320" t="inlineStr">
        <is>
          <t>Bergvik skog väst AB</t>
        </is>
      </c>
      <c r="G18320" t="n">
        <v>3</v>
      </c>
      <c r="H18320" t="n">
        <v>0</v>
      </c>
      <c r="I18320" t="n">
        <v>0</v>
      </c>
      <c r="J18320" t="n">
        <v>0</v>
      </c>
      <c r="K18320" t="n">
        <v>0</v>
      </c>
      <c r="L18320" t="n">
        <v>0</v>
      </c>
      <c r="M18320" t="n">
        <v>0</v>
      </c>
      <c r="N18320" t="n">
        <v>0</v>
      </c>
      <c r="O18320" t="n">
        <v>0</v>
      </c>
      <c r="P18320" t="n">
        <v>0</v>
      </c>
      <c r="Q18320" t="n">
        <v>0</v>
      </c>
      <c r="R18320" s="2" t="inlineStr"/>
    </row>
    <row r="18321" ht="15" customHeight="1">
      <c r="A18321" t="inlineStr">
        <is>
          <t>A 927-2025</t>
        </is>
      </c>
      <c r="B18321" s="1" t="n">
        <v>45665</v>
      </c>
      <c r="C18321" s="1" t="n">
        <v>45810</v>
      </c>
      <c r="D18321" t="inlineStr">
        <is>
          <t>VÄRMLANDS LÄN</t>
        </is>
      </c>
      <c r="E18321" t="inlineStr">
        <is>
          <t>ARVIKA</t>
        </is>
      </c>
      <c r="G18321" t="n">
        <v>3</v>
      </c>
      <c r="H18321" t="n">
        <v>0</v>
      </c>
      <c r="I18321" t="n">
        <v>0</v>
      </c>
      <c r="J18321" t="n">
        <v>0</v>
      </c>
      <c r="K18321" t="n">
        <v>0</v>
      </c>
      <c r="L18321" t="n">
        <v>0</v>
      </c>
      <c r="M18321" t="n">
        <v>0</v>
      </c>
      <c r="N18321" t="n">
        <v>0</v>
      </c>
      <c r="O18321" t="n">
        <v>0</v>
      </c>
      <c r="P18321" t="n">
        <v>0</v>
      </c>
      <c r="Q18321" t="n">
        <v>0</v>
      </c>
      <c r="R18321" s="2" t="inlineStr"/>
    </row>
    <row r="18322" ht="15" customHeight="1">
      <c r="A18322" t="inlineStr">
        <is>
          <t>A 754-2025</t>
        </is>
      </c>
      <c r="B18322" s="1" t="n">
        <v>45665</v>
      </c>
      <c r="C18322" s="1" t="n">
        <v>45810</v>
      </c>
      <c r="D18322" t="inlineStr">
        <is>
          <t>VÄRMLANDS LÄN</t>
        </is>
      </c>
      <c r="E18322" t="inlineStr">
        <is>
          <t>TORSBY</t>
        </is>
      </c>
      <c r="G18322" t="n">
        <v>3</v>
      </c>
      <c r="H18322" t="n">
        <v>0</v>
      </c>
      <c r="I18322" t="n">
        <v>0</v>
      </c>
      <c r="J18322" t="n">
        <v>0</v>
      </c>
      <c r="K18322" t="n">
        <v>0</v>
      </c>
      <c r="L18322" t="n">
        <v>0</v>
      </c>
      <c r="M18322" t="n">
        <v>0</v>
      </c>
      <c r="N18322" t="n">
        <v>0</v>
      </c>
      <c r="O18322" t="n">
        <v>0</v>
      </c>
      <c r="P18322" t="n">
        <v>0</v>
      </c>
      <c r="Q18322" t="n">
        <v>0</v>
      </c>
      <c r="R18322" s="2" t="inlineStr"/>
    </row>
    <row r="18323" ht="15" customHeight="1">
      <c r="A18323" t="inlineStr">
        <is>
          <t>A 900-2025</t>
        </is>
      </c>
      <c r="B18323" s="1" t="n">
        <v>45665</v>
      </c>
      <c r="C18323" s="1" t="n">
        <v>45810</v>
      </c>
      <c r="D18323" t="inlineStr">
        <is>
          <t>VÄRMLANDS LÄN</t>
        </is>
      </c>
      <c r="E18323" t="inlineStr">
        <is>
          <t>KARLSTAD</t>
        </is>
      </c>
      <c r="G18323" t="n">
        <v>1.2</v>
      </c>
      <c r="H18323" t="n">
        <v>0</v>
      </c>
      <c r="I18323" t="n">
        <v>0</v>
      </c>
      <c r="J18323" t="n">
        <v>0</v>
      </c>
      <c r="K18323" t="n">
        <v>0</v>
      </c>
      <c r="L18323" t="n">
        <v>0</v>
      </c>
      <c r="M18323" t="n">
        <v>0</v>
      </c>
      <c r="N18323" t="n">
        <v>0</v>
      </c>
      <c r="O18323" t="n">
        <v>0</v>
      </c>
      <c r="P18323" t="n">
        <v>0</v>
      </c>
      <c r="Q18323" t="n">
        <v>0</v>
      </c>
      <c r="R18323" s="2" t="inlineStr"/>
    </row>
    <row r="18324" ht="15" customHeight="1">
      <c r="A18324" t="inlineStr">
        <is>
          <t>A 978-2025</t>
        </is>
      </c>
      <c r="B18324" s="1" t="n">
        <v>45665</v>
      </c>
      <c r="C18324" s="1" t="n">
        <v>45810</v>
      </c>
      <c r="D18324" t="inlineStr">
        <is>
          <t>VÄRMLANDS LÄN</t>
        </is>
      </c>
      <c r="E18324" t="inlineStr">
        <is>
          <t>GRUMS</t>
        </is>
      </c>
      <c r="G18324" t="n">
        <v>1.3</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1110-2025</t>
        </is>
      </c>
      <c r="B18325" s="1" t="n">
        <v>45665</v>
      </c>
      <c r="C18325" s="1" t="n">
        <v>45810</v>
      </c>
      <c r="D18325" t="inlineStr">
        <is>
          <t>VÄRMLANDS LÄN</t>
        </is>
      </c>
      <c r="E18325" t="inlineStr">
        <is>
          <t>ARVIKA</t>
        </is>
      </c>
      <c r="G18325" t="n">
        <v>11.4</v>
      </c>
      <c r="H18325" t="n">
        <v>0</v>
      </c>
      <c r="I18325" t="n">
        <v>0</v>
      </c>
      <c r="J18325" t="n">
        <v>0</v>
      </c>
      <c r="K18325" t="n">
        <v>0</v>
      </c>
      <c r="L18325" t="n">
        <v>0</v>
      </c>
      <c r="M18325" t="n">
        <v>0</v>
      </c>
      <c r="N18325" t="n">
        <v>0</v>
      </c>
      <c r="O18325" t="n">
        <v>0</v>
      </c>
      <c r="P18325" t="n">
        <v>0</v>
      </c>
      <c r="Q18325" t="n">
        <v>0</v>
      </c>
      <c r="R18325" s="2" t="inlineStr"/>
    </row>
    <row r="18326" ht="15" customHeight="1">
      <c r="A18326" t="inlineStr">
        <is>
          <t>A 703-2025</t>
        </is>
      </c>
      <c r="B18326" s="1" t="n">
        <v>45665</v>
      </c>
      <c r="C18326" s="1" t="n">
        <v>45810</v>
      </c>
      <c r="D18326" t="inlineStr">
        <is>
          <t>VÄRMLANDS LÄN</t>
        </is>
      </c>
      <c r="E18326" t="inlineStr">
        <is>
          <t>SÄFFLE</t>
        </is>
      </c>
      <c r="G18326" t="n">
        <v>4.6</v>
      </c>
      <c r="H18326" t="n">
        <v>0</v>
      </c>
      <c r="I18326" t="n">
        <v>0</v>
      </c>
      <c r="J18326" t="n">
        <v>0</v>
      </c>
      <c r="K18326" t="n">
        <v>0</v>
      </c>
      <c r="L18326" t="n">
        <v>0</v>
      </c>
      <c r="M18326" t="n">
        <v>0</v>
      </c>
      <c r="N18326" t="n">
        <v>0</v>
      </c>
      <c r="O18326" t="n">
        <v>0</v>
      </c>
      <c r="P18326" t="n">
        <v>0</v>
      </c>
      <c r="Q18326" t="n">
        <v>0</v>
      </c>
      <c r="R18326" s="2" t="inlineStr"/>
    </row>
    <row r="18327" ht="15" customHeight="1">
      <c r="A18327" t="inlineStr">
        <is>
          <t>A 885-2025</t>
        </is>
      </c>
      <c r="B18327" s="1" t="n">
        <v>45665</v>
      </c>
      <c r="C18327" s="1" t="n">
        <v>45810</v>
      </c>
      <c r="D18327" t="inlineStr">
        <is>
          <t>VÄRMLANDS LÄN</t>
        </is>
      </c>
      <c r="E18327" t="inlineStr">
        <is>
          <t>EDA</t>
        </is>
      </c>
      <c r="G18327" t="n">
        <v>1</v>
      </c>
      <c r="H18327" t="n">
        <v>0</v>
      </c>
      <c r="I18327" t="n">
        <v>0</v>
      </c>
      <c r="J18327" t="n">
        <v>0</v>
      </c>
      <c r="K18327" t="n">
        <v>0</v>
      </c>
      <c r="L18327" t="n">
        <v>0</v>
      </c>
      <c r="M18327" t="n">
        <v>0</v>
      </c>
      <c r="N18327" t="n">
        <v>0</v>
      </c>
      <c r="O18327" t="n">
        <v>0</v>
      </c>
      <c r="P18327" t="n">
        <v>0</v>
      </c>
      <c r="Q18327" t="n">
        <v>0</v>
      </c>
      <c r="R18327" s="2" t="inlineStr"/>
    </row>
    <row r="18328" ht="15" customHeight="1">
      <c r="A18328" t="inlineStr">
        <is>
          <t>A 904-2025</t>
        </is>
      </c>
      <c r="B18328" s="1" t="n">
        <v>45665</v>
      </c>
      <c r="C18328" s="1" t="n">
        <v>45810</v>
      </c>
      <c r="D18328" t="inlineStr">
        <is>
          <t>VÄRMLANDS LÄN</t>
        </is>
      </c>
      <c r="E18328" t="inlineStr">
        <is>
          <t>KARLSTAD</t>
        </is>
      </c>
      <c r="G18328" t="n">
        <v>4.3</v>
      </c>
      <c r="H18328" t="n">
        <v>0</v>
      </c>
      <c r="I18328" t="n">
        <v>0</v>
      </c>
      <c r="J18328" t="n">
        <v>0</v>
      </c>
      <c r="K18328" t="n">
        <v>0</v>
      </c>
      <c r="L18328" t="n">
        <v>0</v>
      </c>
      <c r="M18328" t="n">
        <v>0</v>
      </c>
      <c r="N18328" t="n">
        <v>0</v>
      </c>
      <c r="O18328" t="n">
        <v>0</v>
      </c>
      <c r="P18328" t="n">
        <v>0</v>
      </c>
      <c r="Q18328" t="n">
        <v>0</v>
      </c>
      <c r="R18328" s="2" t="inlineStr"/>
    </row>
    <row r="18329" ht="15" customHeight="1">
      <c r="A18329" t="inlineStr">
        <is>
          <t>A 925-2025</t>
        </is>
      </c>
      <c r="B18329" s="1" t="n">
        <v>45665</v>
      </c>
      <c r="C18329" s="1" t="n">
        <v>45810</v>
      </c>
      <c r="D18329" t="inlineStr">
        <is>
          <t>VÄRMLANDS LÄN</t>
        </is>
      </c>
      <c r="E18329" t="inlineStr">
        <is>
          <t>ARVIKA</t>
        </is>
      </c>
      <c r="G18329" t="n">
        <v>1.7</v>
      </c>
      <c r="H18329" t="n">
        <v>0</v>
      </c>
      <c r="I18329" t="n">
        <v>0</v>
      </c>
      <c r="J18329" t="n">
        <v>0</v>
      </c>
      <c r="K18329" t="n">
        <v>0</v>
      </c>
      <c r="L18329" t="n">
        <v>0</v>
      </c>
      <c r="M18329" t="n">
        <v>0</v>
      </c>
      <c r="N18329" t="n">
        <v>0</v>
      </c>
      <c r="O18329" t="n">
        <v>0</v>
      </c>
      <c r="P18329" t="n">
        <v>0</v>
      </c>
      <c r="Q18329" t="n">
        <v>0</v>
      </c>
      <c r="R18329" s="2" t="inlineStr"/>
    </row>
    <row r="18330" ht="15" customHeight="1">
      <c r="A18330" t="inlineStr">
        <is>
          <t>A 929-2025</t>
        </is>
      </c>
      <c r="B18330" s="1" t="n">
        <v>45665</v>
      </c>
      <c r="C18330" s="1" t="n">
        <v>45810</v>
      </c>
      <c r="D18330" t="inlineStr">
        <is>
          <t>VÄRMLANDS LÄN</t>
        </is>
      </c>
      <c r="E18330" t="inlineStr">
        <is>
          <t>ARVIKA</t>
        </is>
      </c>
      <c r="G18330" t="n">
        <v>0.5</v>
      </c>
      <c r="H18330" t="n">
        <v>0</v>
      </c>
      <c r="I18330" t="n">
        <v>0</v>
      </c>
      <c r="J18330" t="n">
        <v>0</v>
      </c>
      <c r="K18330" t="n">
        <v>0</v>
      </c>
      <c r="L18330" t="n">
        <v>0</v>
      </c>
      <c r="M18330" t="n">
        <v>0</v>
      </c>
      <c r="N18330" t="n">
        <v>0</v>
      </c>
      <c r="O18330" t="n">
        <v>0</v>
      </c>
      <c r="P18330" t="n">
        <v>0</v>
      </c>
      <c r="Q18330" t="n">
        <v>0</v>
      </c>
      <c r="R18330" s="2" t="inlineStr"/>
    </row>
    <row r="18331" ht="15" customHeight="1">
      <c r="A18331" t="inlineStr">
        <is>
          <t>A 975-2025</t>
        </is>
      </c>
      <c r="B18331" s="1" t="n">
        <v>45665</v>
      </c>
      <c r="C18331" s="1" t="n">
        <v>45810</v>
      </c>
      <c r="D18331" t="inlineStr">
        <is>
          <t>VÄRMLANDS LÄN</t>
        </is>
      </c>
      <c r="E18331" t="inlineStr">
        <is>
          <t>GRUMS</t>
        </is>
      </c>
      <c r="G18331" t="n">
        <v>2.4</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1045-2025</t>
        </is>
      </c>
      <c r="B18332" s="1" t="n">
        <v>45665</v>
      </c>
      <c r="C18332" s="1" t="n">
        <v>45810</v>
      </c>
      <c r="D18332" t="inlineStr">
        <is>
          <t>VÄRMLANDS LÄN</t>
        </is>
      </c>
      <c r="E18332" t="inlineStr">
        <is>
          <t>SÄFFLE</t>
        </is>
      </c>
      <c r="G18332" t="n">
        <v>4.4</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1158-2025</t>
        </is>
      </c>
      <c r="B18333" s="1" t="n">
        <v>45666</v>
      </c>
      <c r="C18333" s="1" t="n">
        <v>45810</v>
      </c>
      <c r="D18333" t="inlineStr">
        <is>
          <t>VÄRMLANDS LÄN</t>
        </is>
      </c>
      <c r="E18333" t="inlineStr">
        <is>
          <t>SUNNE</t>
        </is>
      </c>
      <c r="G18333" t="n">
        <v>0.8</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1162-2025</t>
        </is>
      </c>
      <c r="B18334" s="1" t="n">
        <v>45666</v>
      </c>
      <c r="C18334" s="1" t="n">
        <v>45810</v>
      </c>
      <c r="D18334" t="inlineStr">
        <is>
          <t>VÄRMLANDS LÄN</t>
        </is>
      </c>
      <c r="E18334" t="inlineStr">
        <is>
          <t>TORSBY</t>
        </is>
      </c>
      <c r="G18334" t="n">
        <v>1.4</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1104-2025</t>
        </is>
      </c>
      <c r="B18335" s="1" t="n">
        <v>45666</v>
      </c>
      <c r="C18335" s="1" t="n">
        <v>45810</v>
      </c>
      <c r="D18335" t="inlineStr">
        <is>
          <t>VÄRMLANDS LÄN</t>
        </is>
      </c>
      <c r="E18335" t="inlineStr">
        <is>
          <t>TORSBY</t>
        </is>
      </c>
      <c r="G18335" t="n">
        <v>6.9</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1100-2025</t>
        </is>
      </c>
      <c r="B18336" s="1" t="n">
        <v>45666</v>
      </c>
      <c r="C18336" s="1" t="n">
        <v>45810</v>
      </c>
      <c r="D18336" t="inlineStr">
        <is>
          <t>VÄRMLANDS LÄN</t>
        </is>
      </c>
      <c r="E18336" t="inlineStr">
        <is>
          <t>TORSBY</t>
        </is>
      </c>
      <c r="G18336" t="n">
        <v>8.4</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1054-2025</t>
        </is>
      </c>
      <c r="B18337" s="1" t="n">
        <v>45666</v>
      </c>
      <c r="C18337" s="1" t="n">
        <v>45810</v>
      </c>
      <c r="D18337" t="inlineStr">
        <is>
          <t>VÄRMLANDS LÄN</t>
        </is>
      </c>
      <c r="E18337" t="inlineStr">
        <is>
          <t>SUNNE</t>
        </is>
      </c>
      <c r="G18337" t="n">
        <v>4.1</v>
      </c>
      <c r="H18337" t="n">
        <v>0</v>
      </c>
      <c r="I18337" t="n">
        <v>0</v>
      </c>
      <c r="J18337" t="n">
        <v>0</v>
      </c>
      <c r="K18337" t="n">
        <v>0</v>
      </c>
      <c r="L18337" t="n">
        <v>0</v>
      </c>
      <c r="M18337" t="n">
        <v>0</v>
      </c>
      <c r="N18337" t="n">
        <v>0</v>
      </c>
      <c r="O18337" t="n">
        <v>0</v>
      </c>
      <c r="P18337" t="n">
        <v>0</v>
      </c>
      <c r="Q18337" t="n">
        <v>0</v>
      </c>
      <c r="R18337" s="2" t="inlineStr"/>
    </row>
    <row r="18338" ht="15" customHeight="1">
      <c r="A18338" t="inlineStr">
        <is>
          <t>A 973-2025</t>
        </is>
      </c>
      <c r="B18338" s="1" t="n">
        <v>45666</v>
      </c>
      <c r="C18338" s="1" t="n">
        <v>45810</v>
      </c>
      <c r="D18338" t="inlineStr">
        <is>
          <t>VÄRMLANDS LÄN</t>
        </is>
      </c>
      <c r="E18338" t="inlineStr">
        <is>
          <t>SUNNE</t>
        </is>
      </c>
      <c r="G18338" t="n">
        <v>3.1</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1125-2025</t>
        </is>
      </c>
      <c r="B18339" s="1" t="n">
        <v>45666</v>
      </c>
      <c r="C18339" s="1" t="n">
        <v>45810</v>
      </c>
      <c r="D18339" t="inlineStr">
        <is>
          <t>VÄRMLANDS LÄN</t>
        </is>
      </c>
      <c r="E18339" t="inlineStr">
        <is>
          <t>SUNNE</t>
        </is>
      </c>
      <c r="G18339" t="n">
        <v>0.9</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1092-2025</t>
        </is>
      </c>
      <c r="B18340" s="1" t="n">
        <v>45666</v>
      </c>
      <c r="C18340" s="1" t="n">
        <v>45810</v>
      </c>
      <c r="D18340" t="inlineStr">
        <is>
          <t>VÄRMLANDS LÄN</t>
        </is>
      </c>
      <c r="E18340" t="inlineStr">
        <is>
          <t>TORSBY</t>
        </is>
      </c>
      <c r="G18340" t="n">
        <v>2.6</v>
      </c>
      <c r="H18340" t="n">
        <v>0</v>
      </c>
      <c r="I18340" t="n">
        <v>0</v>
      </c>
      <c r="J18340" t="n">
        <v>0</v>
      </c>
      <c r="K18340" t="n">
        <v>0</v>
      </c>
      <c r="L18340" t="n">
        <v>0</v>
      </c>
      <c r="M18340" t="n">
        <v>0</v>
      </c>
      <c r="N18340" t="n">
        <v>0</v>
      </c>
      <c r="O18340" t="n">
        <v>0</v>
      </c>
      <c r="P18340" t="n">
        <v>0</v>
      </c>
      <c r="Q18340" t="n">
        <v>0</v>
      </c>
      <c r="R18340" s="2" t="inlineStr"/>
    </row>
    <row r="18341" ht="15" customHeight="1">
      <c r="A18341" t="inlineStr">
        <is>
          <t>A 946-2025</t>
        </is>
      </c>
      <c r="B18341" s="1" t="n">
        <v>45666</v>
      </c>
      <c r="C18341" s="1" t="n">
        <v>45810</v>
      </c>
      <c r="D18341" t="inlineStr">
        <is>
          <t>VÄRMLANDS LÄN</t>
        </is>
      </c>
      <c r="E18341" t="inlineStr">
        <is>
          <t>SUNNE</t>
        </is>
      </c>
      <c r="G18341" t="n">
        <v>2.8</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1161-2025</t>
        </is>
      </c>
      <c r="B18342" s="1" t="n">
        <v>45666</v>
      </c>
      <c r="C18342" s="1" t="n">
        <v>45810</v>
      </c>
      <c r="D18342" t="inlineStr">
        <is>
          <t>VÄRMLANDS LÄN</t>
        </is>
      </c>
      <c r="E18342" t="inlineStr">
        <is>
          <t>TORSBY</t>
        </is>
      </c>
      <c r="G18342" t="n">
        <v>1.3</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1164-2025</t>
        </is>
      </c>
      <c r="B18343" s="1" t="n">
        <v>45666</v>
      </c>
      <c r="C18343" s="1" t="n">
        <v>45810</v>
      </c>
      <c r="D18343" t="inlineStr">
        <is>
          <t>VÄRMLANDS LÄN</t>
        </is>
      </c>
      <c r="E18343" t="inlineStr">
        <is>
          <t>KARLSTAD</t>
        </is>
      </c>
      <c r="G18343" t="n">
        <v>1.2</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1099-2025</t>
        </is>
      </c>
      <c r="B18344" s="1" t="n">
        <v>45666</v>
      </c>
      <c r="C18344" s="1" t="n">
        <v>45810</v>
      </c>
      <c r="D18344" t="inlineStr">
        <is>
          <t>VÄRMLANDS LÄN</t>
        </is>
      </c>
      <c r="E18344" t="inlineStr">
        <is>
          <t>KRISTINEHAMN</t>
        </is>
      </c>
      <c r="G18344" t="n">
        <v>8.699999999999999</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1095-2025</t>
        </is>
      </c>
      <c r="B18345" s="1" t="n">
        <v>45666</v>
      </c>
      <c r="C18345" s="1" t="n">
        <v>45810</v>
      </c>
      <c r="D18345" t="inlineStr">
        <is>
          <t>VÄRMLANDS LÄN</t>
        </is>
      </c>
      <c r="E18345" t="inlineStr">
        <is>
          <t>TORSBY</t>
        </is>
      </c>
      <c r="G18345" t="n">
        <v>0.8</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1090-2025</t>
        </is>
      </c>
      <c r="B18346" s="1" t="n">
        <v>45666</v>
      </c>
      <c r="C18346" s="1" t="n">
        <v>45810</v>
      </c>
      <c r="D18346" t="inlineStr">
        <is>
          <t>VÄRMLANDS LÄN</t>
        </is>
      </c>
      <c r="E18346" t="inlineStr">
        <is>
          <t>KRISTINEHAMN</t>
        </is>
      </c>
      <c r="G18346" t="n">
        <v>9.300000000000001</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1008-2025</t>
        </is>
      </c>
      <c r="B18347" s="1" t="n">
        <v>45666</v>
      </c>
      <c r="C18347" s="1" t="n">
        <v>45810</v>
      </c>
      <c r="D18347" t="inlineStr">
        <is>
          <t>VÄRMLANDS LÄN</t>
        </is>
      </c>
      <c r="E18347" t="inlineStr">
        <is>
          <t>KIL</t>
        </is>
      </c>
      <c r="G18347" t="n">
        <v>1.8</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1257-2025</t>
        </is>
      </c>
      <c r="B18348" s="1" t="n">
        <v>45667</v>
      </c>
      <c r="C18348" s="1" t="n">
        <v>45810</v>
      </c>
      <c r="D18348" t="inlineStr">
        <is>
          <t>VÄRMLANDS LÄN</t>
        </is>
      </c>
      <c r="E18348" t="inlineStr">
        <is>
          <t>ARVIKA</t>
        </is>
      </c>
      <c r="F18348" t="inlineStr">
        <is>
          <t>Bergvik skog väst AB</t>
        </is>
      </c>
      <c r="G18348" t="n">
        <v>2.6</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1279-2025</t>
        </is>
      </c>
      <c r="B18349" s="1" t="n">
        <v>45667</v>
      </c>
      <c r="C18349" s="1" t="n">
        <v>45810</v>
      </c>
      <c r="D18349" t="inlineStr">
        <is>
          <t>VÄRMLANDS LÄN</t>
        </is>
      </c>
      <c r="E18349" t="inlineStr">
        <is>
          <t>ÅRJÄNG</t>
        </is>
      </c>
      <c r="G18349" t="n">
        <v>2.6</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1171-2025</t>
        </is>
      </c>
      <c r="B18350" s="1" t="n">
        <v>45667</v>
      </c>
      <c r="C18350" s="1" t="n">
        <v>45810</v>
      </c>
      <c r="D18350" t="inlineStr">
        <is>
          <t>VÄRMLANDS LÄN</t>
        </is>
      </c>
      <c r="E18350" t="inlineStr">
        <is>
          <t>KIL</t>
        </is>
      </c>
      <c r="G18350" t="n">
        <v>1.9</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1304-2025</t>
        </is>
      </c>
      <c r="B18351" s="1" t="n">
        <v>45667</v>
      </c>
      <c r="C18351" s="1" t="n">
        <v>45810</v>
      </c>
      <c r="D18351" t="inlineStr">
        <is>
          <t>VÄRMLANDS LÄN</t>
        </is>
      </c>
      <c r="E18351" t="inlineStr">
        <is>
          <t>SUNNE</t>
        </is>
      </c>
      <c r="G18351" t="n">
        <v>1</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1346-2025</t>
        </is>
      </c>
      <c r="B18352" s="1" t="n">
        <v>45667</v>
      </c>
      <c r="C18352" s="1" t="n">
        <v>45810</v>
      </c>
      <c r="D18352" t="inlineStr">
        <is>
          <t>VÄRMLANDS LÄN</t>
        </is>
      </c>
      <c r="E18352" t="inlineStr">
        <is>
          <t>FILIPSTAD</t>
        </is>
      </c>
      <c r="F18352" t="inlineStr">
        <is>
          <t>Kommuner</t>
        </is>
      </c>
      <c r="G18352" t="n">
        <v>6.9</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1350-2025</t>
        </is>
      </c>
      <c r="B18353" s="1" t="n">
        <v>45667</v>
      </c>
      <c r="C18353" s="1" t="n">
        <v>45810</v>
      </c>
      <c r="D18353" t="inlineStr">
        <is>
          <t>VÄRMLANDS LÄN</t>
        </is>
      </c>
      <c r="E18353" t="inlineStr">
        <is>
          <t>FILIPSTAD</t>
        </is>
      </c>
      <c r="F18353" t="inlineStr">
        <is>
          <t>Kommuner</t>
        </is>
      </c>
      <c r="G18353" t="n">
        <v>5.9</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1354-2025</t>
        </is>
      </c>
      <c r="B18354" s="1" t="n">
        <v>45667</v>
      </c>
      <c r="C18354" s="1" t="n">
        <v>45810</v>
      </c>
      <c r="D18354" t="inlineStr">
        <is>
          <t>VÄRMLANDS LÄN</t>
        </is>
      </c>
      <c r="E18354" t="inlineStr">
        <is>
          <t>SUNNE</t>
        </is>
      </c>
      <c r="G18354" t="n">
        <v>2.3</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1358-2025</t>
        </is>
      </c>
      <c r="B18355" s="1" t="n">
        <v>45667</v>
      </c>
      <c r="C18355" s="1" t="n">
        <v>45810</v>
      </c>
      <c r="D18355" t="inlineStr">
        <is>
          <t>VÄRMLANDS LÄN</t>
        </is>
      </c>
      <c r="E18355" t="inlineStr">
        <is>
          <t>SÄFFLE</t>
        </is>
      </c>
      <c r="F18355" t="inlineStr">
        <is>
          <t>Kommuner</t>
        </is>
      </c>
      <c r="G18355" t="n">
        <v>4.6</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1366-2025</t>
        </is>
      </c>
      <c r="B18356" s="1" t="n">
        <v>45667</v>
      </c>
      <c r="C18356" s="1" t="n">
        <v>45810</v>
      </c>
      <c r="D18356" t="inlineStr">
        <is>
          <t>VÄRMLANDS LÄN</t>
        </is>
      </c>
      <c r="E18356" t="inlineStr">
        <is>
          <t>SÄFFLE</t>
        </is>
      </c>
      <c r="G18356" t="n">
        <v>3.5</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1382-2025</t>
        </is>
      </c>
      <c r="B18357" s="1" t="n">
        <v>45667</v>
      </c>
      <c r="C18357" s="1" t="n">
        <v>45810</v>
      </c>
      <c r="D18357" t="inlineStr">
        <is>
          <t>VÄRMLANDS LÄN</t>
        </is>
      </c>
      <c r="E18357" t="inlineStr">
        <is>
          <t>SÄFFLE</t>
        </is>
      </c>
      <c r="F18357" t="inlineStr">
        <is>
          <t>Kommuner</t>
        </is>
      </c>
      <c r="G18357" t="n">
        <v>1</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1390-2025</t>
        </is>
      </c>
      <c r="B18358" s="1" t="n">
        <v>45667</v>
      </c>
      <c r="C18358" s="1" t="n">
        <v>45810</v>
      </c>
      <c r="D18358" t="inlineStr">
        <is>
          <t>VÄRMLANDS LÄN</t>
        </is>
      </c>
      <c r="E18358" t="inlineStr">
        <is>
          <t>SUNNE</t>
        </is>
      </c>
      <c r="G18358" t="n">
        <v>3.3</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1410-2025</t>
        </is>
      </c>
      <c r="B18359" s="1" t="n">
        <v>45668</v>
      </c>
      <c r="C18359" s="1" t="n">
        <v>45810</v>
      </c>
      <c r="D18359" t="inlineStr">
        <is>
          <t>VÄRMLANDS LÄN</t>
        </is>
      </c>
      <c r="E18359" t="inlineStr">
        <is>
          <t>ARVIKA</t>
        </is>
      </c>
      <c r="G18359" t="n">
        <v>2.5</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1371-2025</t>
        </is>
      </c>
      <c r="B18360" s="1" t="n">
        <v>45667</v>
      </c>
      <c r="C18360" s="1" t="n">
        <v>45810</v>
      </c>
      <c r="D18360" t="inlineStr">
        <is>
          <t>VÄRMLANDS LÄN</t>
        </is>
      </c>
      <c r="E18360" t="inlineStr">
        <is>
          <t>FILIPSTAD</t>
        </is>
      </c>
      <c r="G18360" t="n">
        <v>3.6</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1411-2025</t>
        </is>
      </c>
      <c r="B18361" s="1" t="n">
        <v>45667</v>
      </c>
      <c r="C18361" s="1" t="n">
        <v>45810</v>
      </c>
      <c r="D18361" t="inlineStr">
        <is>
          <t>VÄRMLANDS LÄN</t>
        </is>
      </c>
      <c r="E18361" t="inlineStr">
        <is>
          <t>ARVIKA</t>
        </is>
      </c>
      <c r="G18361" t="n">
        <v>2.2</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1289-2025</t>
        </is>
      </c>
      <c r="B18362" s="1" t="n">
        <v>45667</v>
      </c>
      <c r="C18362" s="1" t="n">
        <v>45810</v>
      </c>
      <c r="D18362" t="inlineStr">
        <is>
          <t>VÄRMLANDS LÄN</t>
        </is>
      </c>
      <c r="E18362" t="inlineStr">
        <is>
          <t>ÅRJÄNG</t>
        </is>
      </c>
      <c r="G18362" t="n">
        <v>2.6</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1309-2025</t>
        </is>
      </c>
      <c r="B18363" s="1" t="n">
        <v>45667</v>
      </c>
      <c r="C18363" s="1" t="n">
        <v>45810</v>
      </c>
      <c r="D18363" t="inlineStr">
        <is>
          <t>VÄRMLANDS LÄN</t>
        </is>
      </c>
      <c r="E18363" t="inlineStr">
        <is>
          <t>ARVIKA</t>
        </is>
      </c>
      <c r="F18363" t="inlineStr">
        <is>
          <t>Bergvik skog väst AB</t>
        </is>
      </c>
      <c r="G18363" t="n">
        <v>14.5</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1353-2025</t>
        </is>
      </c>
      <c r="B18364" s="1" t="n">
        <v>45667</v>
      </c>
      <c r="C18364" s="1" t="n">
        <v>45810</v>
      </c>
      <c r="D18364" t="inlineStr">
        <is>
          <t>VÄRMLANDS LÄN</t>
        </is>
      </c>
      <c r="E18364" t="inlineStr">
        <is>
          <t>SUNNE</t>
        </is>
      </c>
      <c r="G18364" t="n">
        <v>3.3</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1373-2025</t>
        </is>
      </c>
      <c r="B18365" s="1" t="n">
        <v>45667</v>
      </c>
      <c r="C18365" s="1" t="n">
        <v>45810</v>
      </c>
      <c r="D18365" t="inlineStr">
        <is>
          <t>VÄRMLANDS LÄN</t>
        </is>
      </c>
      <c r="E18365" t="inlineStr">
        <is>
          <t>FILIPSTAD</t>
        </is>
      </c>
      <c r="F18365" t="inlineStr">
        <is>
          <t>Kommuner</t>
        </is>
      </c>
      <c r="G18365" t="n">
        <v>5.1</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1381-2025</t>
        </is>
      </c>
      <c r="B18366" s="1" t="n">
        <v>45667</v>
      </c>
      <c r="C18366" s="1" t="n">
        <v>45810</v>
      </c>
      <c r="D18366" t="inlineStr">
        <is>
          <t>VÄRMLANDS LÄN</t>
        </is>
      </c>
      <c r="E18366" t="inlineStr">
        <is>
          <t>SÄFFLE</t>
        </is>
      </c>
      <c r="G18366" t="n">
        <v>1.9</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1409-2025</t>
        </is>
      </c>
      <c r="B18367" s="1" t="n">
        <v>45667</v>
      </c>
      <c r="C18367" s="1" t="n">
        <v>45810</v>
      </c>
      <c r="D18367" t="inlineStr">
        <is>
          <t>VÄRMLANDS LÄN</t>
        </is>
      </c>
      <c r="E18367" t="inlineStr">
        <is>
          <t>FORSHAGA</t>
        </is>
      </c>
      <c r="G18367" t="n">
        <v>2.2</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1467-2025</t>
        </is>
      </c>
      <c r="B18368" s="1" t="n">
        <v>45667</v>
      </c>
      <c r="C18368" s="1" t="n">
        <v>45810</v>
      </c>
      <c r="D18368" t="inlineStr">
        <is>
          <t>VÄRMLANDS LÄN</t>
        </is>
      </c>
      <c r="E18368" t="inlineStr">
        <is>
          <t>ÅRJÄNG</t>
        </is>
      </c>
      <c r="F18368" t="inlineStr">
        <is>
          <t>Övriga Aktiebolag</t>
        </is>
      </c>
      <c r="G18368" t="n">
        <v>1.8</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1415-2025</t>
        </is>
      </c>
      <c r="B18369" s="1" t="n">
        <v>45668</v>
      </c>
      <c r="C18369" s="1" t="n">
        <v>45810</v>
      </c>
      <c r="D18369" t="inlineStr">
        <is>
          <t>VÄRMLANDS LÄN</t>
        </is>
      </c>
      <c r="E18369" t="inlineStr">
        <is>
          <t>ÅRJÄNG</t>
        </is>
      </c>
      <c r="G18369" t="n">
        <v>2.3</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1414-2025</t>
        </is>
      </c>
      <c r="B18370" s="1" t="n">
        <v>45668</v>
      </c>
      <c r="C18370" s="1" t="n">
        <v>45810</v>
      </c>
      <c r="D18370" t="inlineStr">
        <is>
          <t>VÄRMLANDS LÄN</t>
        </is>
      </c>
      <c r="E18370" t="inlineStr">
        <is>
          <t>ÅRJÄNG</t>
        </is>
      </c>
      <c r="G18370" t="n">
        <v>3.6</v>
      </c>
      <c r="H18370" t="n">
        <v>0</v>
      </c>
      <c r="I18370" t="n">
        <v>0</v>
      </c>
      <c r="J18370" t="n">
        <v>0</v>
      </c>
      <c r="K18370" t="n">
        <v>0</v>
      </c>
      <c r="L18370" t="n">
        <v>0</v>
      </c>
      <c r="M18370" t="n">
        <v>0</v>
      </c>
      <c r="N18370" t="n">
        <v>0</v>
      </c>
      <c r="O18370" t="n">
        <v>0</v>
      </c>
      <c r="P18370" t="n">
        <v>0</v>
      </c>
      <c r="Q18370" t="n">
        <v>0</v>
      </c>
      <c r="R18370" s="2" t="inlineStr"/>
    </row>
    <row r="18371" ht="15" customHeight="1">
      <c r="A18371" t="inlineStr">
        <is>
          <t>A 1432-2025</t>
        </is>
      </c>
      <c r="B18371" s="1" t="n">
        <v>45669</v>
      </c>
      <c r="C18371" s="1" t="n">
        <v>45810</v>
      </c>
      <c r="D18371" t="inlineStr">
        <is>
          <t>VÄRMLANDS LÄN</t>
        </is>
      </c>
      <c r="E18371" t="inlineStr">
        <is>
          <t>TORSBY</t>
        </is>
      </c>
      <c r="G18371" t="n">
        <v>0.6</v>
      </c>
      <c r="H18371" t="n">
        <v>0</v>
      </c>
      <c r="I18371" t="n">
        <v>0</v>
      </c>
      <c r="J18371" t="n">
        <v>0</v>
      </c>
      <c r="K18371" t="n">
        <v>0</v>
      </c>
      <c r="L18371" t="n">
        <v>0</v>
      </c>
      <c r="M18371" t="n">
        <v>0</v>
      </c>
      <c r="N18371" t="n">
        <v>0</v>
      </c>
      <c r="O18371" t="n">
        <v>0</v>
      </c>
      <c r="P18371" t="n">
        <v>0</v>
      </c>
      <c r="Q18371" t="n">
        <v>0</v>
      </c>
      <c r="R18371" s="2" t="inlineStr"/>
    </row>
    <row r="18372" ht="15" customHeight="1">
      <c r="A18372" t="inlineStr">
        <is>
          <t>A 1431-2025</t>
        </is>
      </c>
      <c r="B18372" s="1" t="n">
        <v>45669</v>
      </c>
      <c r="C18372" s="1" t="n">
        <v>45810</v>
      </c>
      <c r="D18372" t="inlineStr">
        <is>
          <t>VÄRMLANDS LÄN</t>
        </is>
      </c>
      <c r="E18372" t="inlineStr">
        <is>
          <t>STORFORS</t>
        </is>
      </c>
      <c r="G18372" t="n">
        <v>3.2</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1435-2025</t>
        </is>
      </c>
      <c r="B18373" s="1" t="n">
        <v>45669</v>
      </c>
      <c r="C18373" s="1" t="n">
        <v>45810</v>
      </c>
      <c r="D18373" t="inlineStr">
        <is>
          <t>VÄRMLANDS LÄN</t>
        </is>
      </c>
      <c r="E18373" t="inlineStr">
        <is>
          <t>TORSBY</t>
        </is>
      </c>
      <c r="G18373" t="n">
        <v>5</v>
      </c>
      <c r="H18373" t="n">
        <v>0</v>
      </c>
      <c r="I18373" t="n">
        <v>0</v>
      </c>
      <c r="J18373" t="n">
        <v>0</v>
      </c>
      <c r="K18373" t="n">
        <v>0</v>
      </c>
      <c r="L18373" t="n">
        <v>0</v>
      </c>
      <c r="M18373" t="n">
        <v>0</v>
      </c>
      <c r="N18373" t="n">
        <v>0</v>
      </c>
      <c r="O18373" t="n">
        <v>0</v>
      </c>
      <c r="P18373" t="n">
        <v>0</v>
      </c>
      <c r="Q18373" t="n">
        <v>0</v>
      </c>
      <c r="R18373" s="2" t="inlineStr"/>
    </row>
    <row r="18374" ht="15" customHeight="1">
      <c r="A18374" t="inlineStr">
        <is>
          <t>A 1555-2025</t>
        </is>
      </c>
      <c r="B18374" s="1" t="n">
        <v>45670</v>
      </c>
      <c r="C18374" s="1" t="n">
        <v>45810</v>
      </c>
      <c r="D18374" t="inlineStr">
        <is>
          <t>VÄRMLANDS LÄN</t>
        </is>
      </c>
      <c r="E18374" t="inlineStr">
        <is>
          <t>ÅRJÄNG</t>
        </is>
      </c>
      <c r="G18374" t="n">
        <v>3.2</v>
      </c>
      <c r="H18374" t="n">
        <v>0</v>
      </c>
      <c r="I18374" t="n">
        <v>0</v>
      </c>
      <c r="J18374" t="n">
        <v>0</v>
      </c>
      <c r="K18374" t="n">
        <v>0</v>
      </c>
      <c r="L18374" t="n">
        <v>0</v>
      </c>
      <c r="M18374" t="n">
        <v>0</v>
      </c>
      <c r="N18374" t="n">
        <v>0</v>
      </c>
      <c r="O18374" t="n">
        <v>0</v>
      </c>
      <c r="P18374" t="n">
        <v>0</v>
      </c>
      <c r="Q18374" t="n">
        <v>0</v>
      </c>
      <c r="R18374" s="2" t="inlineStr"/>
    </row>
    <row r="18375" ht="15" customHeight="1">
      <c r="A18375" t="inlineStr">
        <is>
          <t>A 1512-2025</t>
        </is>
      </c>
      <c r="B18375" s="1" t="n">
        <v>45670</v>
      </c>
      <c r="C18375" s="1" t="n">
        <v>45810</v>
      </c>
      <c r="D18375" t="inlineStr">
        <is>
          <t>VÄRMLANDS LÄN</t>
        </is>
      </c>
      <c r="E18375" t="inlineStr">
        <is>
          <t>TORSBY</t>
        </is>
      </c>
      <c r="G18375" t="n">
        <v>2.7</v>
      </c>
      <c r="H18375" t="n">
        <v>0</v>
      </c>
      <c r="I18375" t="n">
        <v>0</v>
      </c>
      <c r="J18375" t="n">
        <v>0</v>
      </c>
      <c r="K18375" t="n">
        <v>0</v>
      </c>
      <c r="L18375" t="n">
        <v>0</v>
      </c>
      <c r="M18375" t="n">
        <v>0</v>
      </c>
      <c r="N18375" t="n">
        <v>0</v>
      </c>
      <c r="O18375" t="n">
        <v>0</v>
      </c>
      <c r="P18375" t="n">
        <v>0</v>
      </c>
      <c r="Q18375" t="n">
        <v>0</v>
      </c>
      <c r="R18375" s="2" t="inlineStr"/>
    </row>
    <row r="18376" ht="15" customHeight="1">
      <c r="A18376" t="inlineStr">
        <is>
          <t>A 1602-2025</t>
        </is>
      </c>
      <c r="B18376" s="1" t="n">
        <v>45670</v>
      </c>
      <c r="C18376" s="1" t="n">
        <v>45810</v>
      </c>
      <c r="D18376" t="inlineStr">
        <is>
          <t>VÄRMLANDS LÄN</t>
        </is>
      </c>
      <c r="E18376" t="inlineStr">
        <is>
          <t>ÅRJÄNG</t>
        </is>
      </c>
      <c r="G18376" t="n">
        <v>1</v>
      </c>
      <c r="H18376" t="n">
        <v>0</v>
      </c>
      <c r="I18376" t="n">
        <v>0</v>
      </c>
      <c r="J18376" t="n">
        <v>0</v>
      </c>
      <c r="K18376" t="n">
        <v>0</v>
      </c>
      <c r="L18376" t="n">
        <v>0</v>
      </c>
      <c r="M18376" t="n">
        <v>0</v>
      </c>
      <c r="N18376" t="n">
        <v>0</v>
      </c>
      <c r="O18376" t="n">
        <v>0</v>
      </c>
      <c r="P18376" t="n">
        <v>0</v>
      </c>
      <c r="Q18376" t="n">
        <v>0</v>
      </c>
      <c r="R18376" s="2" t="inlineStr"/>
    </row>
    <row r="18377" ht="15" customHeight="1">
      <c r="A18377" t="inlineStr">
        <is>
          <t>A 1607-2025</t>
        </is>
      </c>
      <c r="B18377" s="1" t="n">
        <v>45670</v>
      </c>
      <c r="C18377" s="1" t="n">
        <v>45810</v>
      </c>
      <c r="D18377" t="inlineStr">
        <is>
          <t>VÄRMLANDS LÄN</t>
        </is>
      </c>
      <c r="E18377" t="inlineStr">
        <is>
          <t>ÅRJÄNG</t>
        </is>
      </c>
      <c r="G18377" t="n">
        <v>1.4</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1633-2025</t>
        </is>
      </c>
      <c r="B18378" s="1" t="n">
        <v>45670</v>
      </c>
      <c r="C18378" s="1" t="n">
        <v>45810</v>
      </c>
      <c r="D18378" t="inlineStr">
        <is>
          <t>VÄRMLANDS LÄN</t>
        </is>
      </c>
      <c r="E18378" t="inlineStr">
        <is>
          <t>SUNNE</t>
        </is>
      </c>
      <c r="G18378" t="n">
        <v>1.9</v>
      </c>
      <c r="H18378" t="n">
        <v>0</v>
      </c>
      <c r="I18378" t="n">
        <v>0</v>
      </c>
      <c r="J18378" t="n">
        <v>0</v>
      </c>
      <c r="K18378" t="n">
        <v>0</v>
      </c>
      <c r="L18378" t="n">
        <v>0</v>
      </c>
      <c r="M18378" t="n">
        <v>0</v>
      </c>
      <c r="N18378" t="n">
        <v>0</v>
      </c>
      <c r="O18378" t="n">
        <v>0</v>
      </c>
      <c r="P18378" t="n">
        <v>0</v>
      </c>
      <c r="Q18378" t="n">
        <v>0</v>
      </c>
      <c r="R18378" s="2" t="inlineStr"/>
    </row>
    <row r="18379" ht="15" customHeight="1">
      <c r="A18379" t="inlineStr">
        <is>
          <t>A 1603-2025</t>
        </is>
      </c>
      <c r="B18379" s="1" t="n">
        <v>45670</v>
      </c>
      <c r="C18379" s="1" t="n">
        <v>45810</v>
      </c>
      <c r="D18379" t="inlineStr">
        <is>
          <t>VÄRMLANDS LÄN</t>
        </is>
      </c>
      <c r="E18379" t="inlineStr">
        <is>
          <t>ÅRJÄNG</t>
        </is>
      </c>
      <c r="G18379" t="n">
        <v>1.1</v>
      </c>
      <c r="H18379" t="n">
        <v>0</v>
      </c>
      <c r="I18379" t="n">
        <v>0</v>
      </c>
      <c r="J18379" t="n">
        <v>0</v>
      </c>
      <c r="K18379" t="n">
        <v>0</v>
      </c>
      <c r="L18379" t="n">
        <v>0</v>
      </c>
      <c r="M18379" t="n">
        <v>0</v>
      </c>
      <c r="N18379" t="n">
        <v>0</v>
      </c>
      <c r="O18379" t="n">
        <v>0</v>
      </c>
      <c r="P18379" t="n">
        <v>0</v>
      </c>
      <c r="Q18379" t="n">
        <v>0</v>
      </c>
      <c r="R18379" s="2" t="inlineStr"/>
    </row>
    <row r="18380" ht="15" customHeight="1">
      <c r="A18380" t="inlineStr">
        <is>
          <t>A 1571-2025</t>
        </is>
      </c>
      <c r="B18380" s="1" t="n">
        <v>45670</v>
      </c>
      <c r="C18380" s="1" t="n">
        <v>45810</v>
      </c>
      <c r="D18380" t="inlineStr">
        <is>
          <t>VÄRMLANDS LÄN</t>
        </is>
      </c>
      <c r="E18380" t="inlineStr">
        <is>
          <t>ÅRJÄNG</t>
        </is>
      </c>
      <c r="G18380" t="n">
        <v>0.9</v>
      </c>
      <c r="H18380" t="n">
        <v>0</v>
      </c>
      <c r="I18380" t="n">
        <v>0</v>
      </c>
      <c r="J18380" t="n">
        <v>0</v>
      </c>
      <c r="K18380" t="n">
        <v>0</v>
      </c>
      <c r="L18380" t="n">
        <v>0</v>
      </c>
      <c r="M18380" t="n">
        <v>0</v>
      </c>
      <c r="N18380" t="n">
        <v>0</v>
      </c>
      <c r="O18380" t="n">
        <v>0</v>
      </c>
      <c r="P18380" t="n">
        <v>0</v>
      </c>
      <c r="Q18380" t="n">
        <v>0</v>
      </c>
      <c r="R18380" s="2" t="inlineStr"/>
    </row>
    <row r="18381" ht="15" customHeight="1">
      <c r="A18381" t="inlineStr">
        <is>
          <t>A 1556-2025</t>
        </is>
      </c>
      <c r="B18381" s="1" t="n">
        <v>45670</v>
      </c>
      <c r="C18381" s="1" t="n">
        <v>45810</v>
      </c>
      <c r="D18381" t="inlineStr">
        <is>
          <t>VÄRMLANDS LÄN</t>
        </is>
      </c>
      <c r="E18381" t="inlineStr">
        <is>
          <t>GRUMS</t>
        </is>
      </c>
      <c r="G18381" t="n">
        <v>1.8</v>
      </c>
      <c r="H18381" t="n">
        <v>0</v>
      </c>
      <c r="I18381" t="n">
        <v>0</v>
      </c>
      <c r="J18381" t="n">
        <v>0</v>
      </c>
      <c r="K18381" t="n">
        <v>0</v>
      </c>
      <c r="L18381" t="n">
        <v>0</v>
      </c>
      <c r="M18381" t="n">
        <v>0</v>
      </c>
      <c r="N18381" t="n">
        <v>0</v>
      </c>
      <c r="O18381" t="n">
        <v>0</v>
      </c>
      <c r="P18381" t="n">
        <v>0</v>
      </c>
      <c r="Q18381" t="n">
        <v>0</v>
      </c>
      <c r="R18381" s="2" t="inlineStr"/>
    </row>
    <row r="18382" ht="15" customHeight="1">
      <c r="A18382" t="inlineStr">
        <is>
          <t>A 1631-2025</t>
        </is>
      </c>
      <c r="B18382" s="1" t="n">
        <v>45670</v>
      </c>
      <c r="C18382" s="1" t="n">
        <v>45810</v>
      </c>
      <c r="D18382" t="inlineStr">
        <is>
          <t>VÄRMLANDS LÄN</t>
        </is>
      </c>
      <c r="E18382" t="inlineStr">
        <is>
          <t>ARVIKA</t>
        </is>
      </c>
      <c r="G18382" t="n">
        <v>2.3</v>
      </c>
      <c r="H18382" t="n">
        <v>0</v>
      </c>
      <c r="I18382" t="n">
        <v>0</v>
      </c>
      <c r="J18382" t="n">
        <v>0</v>
      </c>
      <c r="K18382" t="n">
        <v>0</v>
      </c>
      <c r="L18382" t="n">
        <v>0</v>
      </c>
      <c r="M18382" t="n">
        <v>0</v>
      </c>
      <c r="N18382" t="n">
        <v>0</v>
      </c>
      <c r="O18382" t="n">
        <v>0</v>
      </c>
      <c r="P18382" t="n">
        <v>0</v>
      </c>
      <c r="Q18382" t="n">
        <v>0</v>
      </c>
      <c r="R18382" s="2" t="inlineStr"/>
    </row>
    <row r="18383" ht="15" customHeight="1">
      <c r="A18383" t="inlineStr">
        <is>
          <t>A 1615-2025</t>
        </is>
      </c>
      <c r="B18383" s="1" t="n">
        <v>45670</v>
      </c>
      <c r="C18383" s="1" t="n">
        <v>45810</v>
      </c>
      <c r="D18383" t="inlineStr">
        <is>
          <t>VÄRMLANDS LÄN</t>
        </is>
      </c>
      <c r="E18383" t="inlineStr">
        <is>
          <t>ÅRJÄNG</t>
        </is>
      </c>
      <c r="G18383" t="n">
        <v>3.3</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1611-2025</t>
        </is>
      </c>
      <c r="B18384" s="1" t="n">
        <v>45670</v>
      </c>
      <c r="C18384" s="1" t="n">
        <v>45810</v>
      </c>
      <c r="D18384" t="inlineStr">
        <is>
          <t>VÄRMLANDS LÄN</t>
        </is>
      </c>
      <c r="E18384" t="inlineStr">
        <is>
          <t>SUNNE</t>
        </is>
      </c>
      <c r="G18384" t="n">
        <v>2</v>
      </c>
      <c r="H18384" t="n">
        <v>0</v>
      </c>
      <c r="I18384" t="n">
        <v>0</v>
      </c>
      <c r="J18384" t="n">
        <v>0</v>
      </c>
      <c r="K18384" t="n">
        <v>0</v>
      </c>
      <c r="L18384" t="n">
        <v>0</v>
      </c>
      <c r="M18384" t="n">
        <v>0</v>
      </c>
      <c r="N18384" t="n">
        <v>0</v>
      </c>
      <c r="O18384" t="n">
        <v>0</v>
      </c>
      <c r="P18384" t="n">
        <v>0</v>
      </c>
      <c r="Q18384" t="n">
        <v>0</v>
      </c>
      <c r="R18384" s="2" t="inlineStr"/>
    </row>
    <row r="18385" ht="15" customHeight="1">
      <c r="A18385" t="inlineStr">
        <is>
          <t>A 1606-2025</t>
        </is>
      </c>
      <c r="B18385" s="1" t="n">
        <v>45670</v>
      </c>
      <c r="C18385" s="1" t="n">
        <v>45810</v>
      </c>
      <c r="D18385" t="inlineStr">
        <is>
          <t>VÄRMLANDS LÄN</t>
        </is>
      </c>
      <c r="E18385" t="inlineStr">
        <is>
          <t>SUNNE</t>
        </is>
      </c>
      <c r="G18385" t="n">
        <v>3.4</v>
      </c>
      <c r="H18385" t="n">
        <v>0</v>
      </c>
      <c r="I18385" t="n">
        <v>0</v>
      </c>
      <c r="J18385" t="n">
        <v>0</v>
      </c>
      <c r="K18385" t="n">
        <v>0</v>
      </c>
      <c r="L18385" t="n">
        <v>0</v>
      </c>
      <c r="M18385" t="n">
        <v>0</v>
      </c>
      <c r="N18385" t="n">
        <v>0</v>
      </c>
      <c r="O18385" t="n">
        <v>0</v>
      </c>
      <c r="P18385" t="n">
        <v>0</v>
      </c>
      <c r="Q18385" t="n">
        <v>0</v>
      </c>
      <c r="R18385" s="2" t="inlineStr"/>
    </row>
    <row r="18386" ht="15" customHeight="1">
      <c r="A18386" t="inlineStr">
        <is>
          <t>A 1589-2025</t>
        </is>
      </c>
      <c r="B18386" s="1" t="n">
        <v>45670</v>
      </c>
      <c r="C18386" s="1" t="n">
        <v>45810</v>
      </c>
      <c r="D18386" t="inlineStr">
        <is>
          <t>VÄRMLANDS LÄN</t>
        </is>
      </c>
      <c r="E18386" t="inlineStr">
        <is>
          <t>ÅRJÄNG</t>
        </is>
      </c>
      <c r="G18386" t="n">
        <v>4.5</v>
      </c>
      <c r="H18386" t="n">
        <v>0</v>
      </c>
      <c r="I18386" t="n">
        <v>0</v>
      </c>
      <c r="J18386" t="n">
        <v>0</v>
      </c>
      <c r="K18386" t="n">
        <v>0</v>
      </c>
      <c r="L18386" t="n">
        <v>0</v>
      </c>
      <c r="M18386" t="n">
        <v>0</v>
      </c>
      <c r="N18386" t="n">
        <v>0</v>
      </c>
      <c r="O18386" t="n">
        <v>0</v>
      </c>
      <c r="P18386" t="n">
        <v>0</v>
      </c>
      <c r="Q18386" t="n">
        <v>0</v>
      </c>
      <c r="R18386" s="2" t="inlineStr"/>
    </row>
    <row r="18387" ht="15" customHeight="1">
      <c r="A18387" t="inlineStr">
        <is>
          <t>A 1560-2025</t>
        </is>
      </c>
      <c r="B18387" s="1" t="n">
        <v>45670</v>
      </c>
      <c r="C18387" s="1" t="n">
        <v>45810</v>
      </c>
      <c r="D18387" t="inlineStr">
        <is>
          <t>VÄRMLANDS LÄN</t>
        </is>
      </c>
      <c r="E18387" t="inlineStr">
        <is>
          <t>ÅRJÄNG</t>
        </is>
      </c>
      <c r="G18387" t="n">
        <v>2.7</v>
      </c>
      <c r="H18387" t="n">
        <v>0</v>
      </c>
      <c r="I18387" t="n">
        <v>0</v>
      </c>
      <c r="J18387" t="n">
        <v>0</v>
      </c>
      <c r="K18387" t="n">
        <v>0</v>
      </c>
      <c r="L18387" t="n">
        <v>0</v>
      </c>
      <c r="M18387" t="n">
        <v>0</v>
      </c>
      <c r="N18387" t="n">
        <v>0</v>
      </c>
      <c r="O18387" t="n">
        <v>0</v>
      </c>
      <c r="P18387" t="n">
        <v>0</v>
      </c>
      <c r="Q18387" t="n">
        <v>0</v>
      </c>
      <c r="R18387" s="2" t="inlineStr"/>
    </row>
    <row r="18388" ht="15" customHeight="1">
      <c r="A18388" t="inlineStr">
        <is>
          <t>A 1708-2025</t>
        </is>
      </c>
      <c r="B18388" s="1" t="n">
        <v>45670</v>
      </c>
      <c r="C18388" s="1" t="n">
        <v>45810</v>
      </c>
      <c r="D18388" t="inlineStr">
        <is>
          <t>VÄRMLANDS LÄN</t>
        </is>
      </c>
      <c r="E18388" t="inlineStr">
        <is>
          <t>TORSBY</t>
        </is>
      </c>
      <c r="G18388" t="n">
        <v>7.7</v>
      </c>
      <c r="H18388" t="n">
        <v>0</v>
      </c>
      <c r="I18388" t="n">
        <v>0</v>
      </c>
      <c r="J18388" t="n">
        <v>0</v>
      </c>
      <c r="K18388" t="n">
        <v>0</v>
      </c>
      <c r="L18388" t="n">
        <v>0</v>
      </c>
      <c r="M18388" t="n">
        <v>0</v>
      </c>
      <c r="N18388" t="n">
        <v>0</v>
      </c>
      <c r="O18388" t="n">
        <v>0</v>
      </c>
      <c r="P18388" t="n">
        <v>0</v>
      </c>
      <c r="Q18388" t="n">
        <v>0</v>
      </c>
      <c r="R18388" s="2" t="inlineStr"/>
    </row>
    <row r="18389" ht="15" customHeight="1">
      <c r="A18389" t="inlineStr">
        <is>
          <t>A 1528-2025</t>
        </is>
      </c>
      <c r="B18389" s="1" t="n">
        <v>45670</v>
      </c>
      <c r="C18389" s="1" t="n">
        <v>45810</v>
      </c>
      <c r="D18389" t="inlineStr">
        <is>
          <t>VÄRMLANDS LÄN</t>
        </is>
      </c>
      <c r="E18389" t="inlineStr">
        <is>
          <t>TORSBY</t>
        </is>
      </c>
      <c r="G18389" t="n">
        <v>7.4</v>
      </c>
      <c r="H18389" t="n">
        <v>0</v>
      </c>
      <c r="I18389" t="n">
        <v>0</v>
      </c>
      <c r="J18389" t="n">
        <v>0</v>
      </c>
      <c r="K18389" t="n">
        <v>0</v>
      </c>
      <c r="L18389" t="n">
        <v>0</v>
      </c>
      <c r="M18389" t="n">
        <v>0</v>
      </c>
      <c r="N18389" t="n">
        <v>0</v>
      </c>
      <c r="O18389" t="n">
        <v>0</v>
      </c>
      <c r="P18389" t="n">
        <v>0</v>
      </c>
      <c r="Q18389" t="n">
        <v>0</v>
      </c>
      <c r="R18389" s="2" t="inlineStr"/>
    </row>
    <row r="18390" ht="15" customHeight="1">
      <c r="A18390" t="inlineStr">
        <is>
          <t>A 1519-2025</t>
        </is>
      </c>
      <c r="B18390" s="1" t="n">
        <v>45670</v>
      </c>
      <c r="C18390" s="1" t="n">
        <v>45810</v>
      </c>
      <c r="D18390" t="inlineStr">
        <is>
          <t>VÄRMLANDS LÄN</t>
        </is>
      </c>
      <c r="E18390" t="inlineStr">
        <is>
          <t>FILIPSTAD</t>
        </is>
      </c>
      <c r="G18390" t="n">
        <v>6.8</v>
      </c>
      <c r="H18390" t="n">
        <v>0</v>
      </c>
      <c r="I18390" t="n">
        <v>0</v>
      </c>
      <c r="J18390" t="n">
        <v>0</v>
      </c>
      <c r="K18390" t="n">
        <v>0</v>
      </c>
      <c r="L18390" t="n">
        <v>0</v>
      </c>
      <c r="M18390" t="n">
        <v>0</v>
      </c>
      <c r="N18390" t="n">
        <v>0</v>
      </c>
      <c r="O18390" t="n">
        <v>0</v>
      </c>
      <c r="P18390" t="n">
        <v>0</v>
      </c>
      <c r="Q18390" t="n">
        <v>0</v>
      </c>
      <c r="R18390" s="2" t="inlineStr"/>
    </row>
    <row r="18391" ht="15" customHeight="1">
      <c r="A18391" t="inlineStr">
        <is>
          <t>A 1511-2025</t>
        </is>
      </c>
      <c r="B18391" s="1" t="n">
        <v>45670</v>
      </c>
      <c r="C18391" s="1" t="n">
        <v>45810</v>
      </c>
      <c r="D18391" t="inlineStr">
        <is>
          <t>VÄRMLANDS LÄN</t>
        </is>
      </c>
      <c r="E18391" t="inlineStr">
        <is>
          <t>ARVIKA</t>
        </is>
      </c>
      <c r="G18391" t="n">
        <v>3.1</v>
      </c>
      <c r="H18391" t="n">
        <v>0</v>
      </c>
      <c r="I18391" t="n">
        <v>0</v>
      </c>
      <c r="J18391" t="n">
        <v>0</v>
      </c>
      <c r="K18391" t="n">
        <v>0</v>
      </c>
      <c r="L18391" t="n">
        <v>0</v>
      </c>
      <c r="M18391" t="n">
        <v>0</v>
      </c>
      <c r="N18391" t="n">
        <v>0</v>
      </c>
      <c r="O18391" t="n">
        <v>0</v>
      </c>
      <c r="P18391" t="n">
        <v>0</v>
      </c>
      <c r="Q18391" t="n">
        <v>0</v>
      </c>
      <c r="R18391" s="2" t="inlineStr"/>
    </row>
    <row r="18392" ht="15" customHeight="1">
      <c r="A18392" t="inlineStr">
        <is>
          <t>A 1630-2025</t>
        </is>
      </c>
      <c r="B18392" s="1" t="n">
        <v>45670</v>
      </c>
      <c r="C18392" s="1" t="n">
        <v>45810</v>
      </c>
      <c r="D18392" t="inlineStr">
        <is>
          <t>VÄRMLANDS LÄN</t>
        </is>
      </c>
      <c r="E18392" t="inlineStr">
        <is>
          <t>ARVIKA</t>
        </is>
      </c>
      <c r="G18392" t="n">
        <v>2.2</v>
      </c>
      <c r="H18392" t="n">
        <v>0</v>
      </c>
      <c r="I18392" t="n">
        <v>0</v>
      </c>
      <c r="J18392" t="n">
        <v>0</v>
      </c>
      <c r="K18392" t="n">
        <v>0</v>
      </c>
      <c r="L18392" t="n">
        <v>0</v>
      </c>
      <c r="M18392" t="n">
        <v>0</v>
      </c>
      <c r="N18392" t="n">
        <v>0</v>
      </c>
      <c r="O18392" t="n">
        <v>0</v>
      </c>
      <c r="P18392" t="n">
        <v>0</v>
      </c>
      <c r="Q18392" t="n">
        <v>0</v>
      </c>
      <c r="R18392" s="2" t="inlineStr"/>
    </row>
    <row r="18393" ht="15" customHeight="1">
      <c r="A18393" t="inlineStr">
        <is>
          <t>A 1580-2025</t>
        </is>
      </c>
      <c r="B18393" s="1" t="n">
        <v>45670</v>
      </c>
      <c r="C18393" s="1" t="n">
        <v>45810</v>
      </c>
      <c r="D18393" t="inlineStr">
        <is>
          <t>VÄRMLANDS LÄN</t>
        </is>
      </c>
      <c r="E18393" t="inlineStr">
        <is>
          <t>ÅRJÄNG</t>
        </is>
      </c>
      <c r="G18393" t="n">
        <v>2.8</v>
      </c>
      <c r="H18393" t="n">
        <v>0</v>
      </c>
      <c r="I18393" t="n">
        <v>0</v>
      </c>
      <c r="J18393" t="n">
        <v>0</v>
      </c>
      <c r="K18393" t="n">
        <v>0</v>
      </c>
      <c r="L18393" t="n">
        <v>0</v>
      </c>
      <c r="M18393" t="n">
        <v>0</v>
      </c>
      <c r="N18393" t="n">
        <v>0</v>
      </c>
      <c r="O18393" t="n">
        <v>0</v>
      </c>
      <c r="P18393" t="n">
        <v>0</v>
      </c>
      <c r="Q18393" t="n">
        <v>0</v>
      </c>
      <c r="R18393" s="2" t="inlineStr"/>
    </row>
    <row r="18394" ht="15" customHeight="1">
      <c r="A18394" t="inlineStr">
        <is>
          <t>A 1736-2025</t>
        </is>
      </c>
      <c r="B18394" s="1" t="n">
        <v>45671</v>
      </c>
      <c r="C18394" s="1" t="n">
        <v>45810</v>
      </c>
      <c r="D18394" t="inlineStr">
        <is>
          <t>VÄRMLANDS LÄN</t>
        </is>
      </c>
      <c r="E18394" t="inlineStr">
        <is>
          <t>SUNNE</t>
        </is>
      </c>
      <c r="G18394" t="n">
        <v>3.1</v>
      </c>
      <c r="H18394" t="n">
        <v>0</v>
      </c>
      <c r="I18394" t="n">
        <v>0</v>
      </c>
      <c r="J18394" t="n">
        <v>0</v>
      </c>
      <c r="K18394" t="n">
        <v>0</v>
      </c>
      <c r="L18394" t="n">
        <v>0</v>
      </c>
      <c r="M18394" t="n">
        <v>0</v>
      </c>
      <c r="N18394" t="n">
        <v>0</v>
      </c>
      <c r="O18394" t="n">
        <v>0</v>
      </c>
      <c r="P18394" t="n">
        <v>0</v>
      </c>
      <c r="Q18394" t="n">
        <v>0</v>
      </c>
      <c r="R18394" s="2" t="inlineStr"/>
    </row>
    <row r="18395" ht="15" customHeight="1">
      <c r="A18395" t="inlineStr">
        <is>
          <t>A 1737-2025</t>
        </is>
      </c>
      <c r="B18395" s="1" t="n">
        <v>45671</v>
      </c>
      <c r="C18395" s="1" t="n">
        <v>45810</v>
      </c>
      <c r="D18395" t="inlineStr">
        <is>
          <t>VÄRMLANDS LÄN</t>
        </is>
      </c>
      <c r="E18395" t="inlineStr">
        <is>
          <t>SUNNE</t>
        </is>
      </c>
      <c r="G18395" t="n">
        <v>1.4</v>
      </c>
      <c r="H18395" t="n">
        <v>0</v>
      </c>
      <c r="I18395" t="n">
        <v>0</v>
      </c>
      <c r="J18395" t="n">
        <v>0</v>
      </c>
      <c r="K18395" t="n">
        <v>0</v>
      </c>
      <c r="L18395" t="n">
        <v>0</v>
      </c>
      <c r="M18395" t="n">
        <v>0</v>
      </c>
      <c r="N18395" t="n">
        <v>0</v>
      </c>
      <c r="O18395" t="n">
        <v>0</v>
      </c>
      <c r="P18395" t="n">
        <v>0</v>
      </c>
      <c r="Q18395" t="n">
        <v>0</v>
      </c>
      <c r="R18395" s="2" t="inlineStr"/>
    </row>
    <row r="18396" ht="15" customHeight="1">
      <c r="A18396" t="inlineStr">
        <is>
          <t>A 1717-2025</t>
        </is>
      </c>
      <c r="B18396" s="1" t="n">
        <v>45671</v>
      </c>
      <c r="C18396" s="1" t="n">
        <v>45810</v>
      </c>
      <c r="D18396" t="inlineStr">
        <is>
          <t>VÄRMLANDS LÄN</t>
        </is>
      </c>
      <c r="E18396" t="inlineStr">
        <is>
          <t>ÅRJÄNG</t>
        </is>
      </c>
      <c r="G18396" t="n">
        <v>8.800000000000001</v>
      </c>
      <c r="H18396" t="n">
        <v>0</v>
      </c>
      <c r="I18396" t="n">
        <v>0</v>
      </c>
      <c r="J18396" t="n">
        <v>0</v>
      </c>
      <c r="K18396" t="n">
        <v>0</v>
      </c>
      <c r="L18396" t="n">
        <v>0</v>
      </c>
      <c r="M18396" t="n">
        <v>0</v>
      </c>
      <c r="N18396" t="n">
        <v>0</v>
      </c>
      <c r="O18396" t="n">
        <v>0</v>
      </c>
      <c r="P18396" t="n">
        <v>0</v>
      </c>
      <c r="Q18396" t="n">
        <v>0</v>
      </c>
      <c r="R18396" s="2" t="inlineStr"/>
    </row>
    <row r="18397" ht="15" customHeight="1">
      <c r="A18397" t="inlineStr">
        <is>
          <t>A 1710-2025</t>
        </is>
      </c>
      <c r="B18397" s="1" t="n">
        <v>45671</v>
      </c>
      <c r="C18397" s="1" t="n">
        <v>45810</v>
      </c>
      <c r="D18397" t="inlineStr">
        <is>
          <t>VÄRMLANDS LÄN</t>
        </is>
      </c>
      <c r="E18397" t="inlineStr">
        <is>
          <t>HAGFORS</t>
        </is>
      </c>
      <c r="G18397" t="n">
        <v>3.8</v>
      </c>
      <c r="H18397" t="n">
        <v>0</v>
      </c>
      <c r="I18397" t="n">
        <v>0</v>
      </c>
      <c r="J18397" t="n">
        <v>0</v>
      </c>
      <c r="K18397" t="n">
        <v>0</v>
      </c>
      <c r="L18397" t="n">
        <v>0</v>
      </c>
      <c r="M18397" t="n">
        <v>0</v>
      </c>
      <c r="N18397" t="n">
        <v>0</v>
      </c>
      <c r="O18397" t="n">
        <v>0</v>
      </c>
      <c r="P18397" t="n">
        <v>0</v>
      </c>
      <c r="Q18397" t="n">
        <v>0</v>
      </c>
      <c r="R18397" s="2" t="inlineStr"/>
    </row>
    <row r="18398" ht="15" customHeight="1">
      <c r="A18398" t="inlineStr">
        <is>
          <t>A 1750-2025</t>
        </is>
      </c>
      <c r="B18398" s="1" t="n">
        <v>45671</v>
      </c>
      <c r="C18398" s="1" t="n">
        <v>45810</v>
      </c>
      <c r="D18398" t="inlineStr">
        <is>
          <t>VÄRMLANDS LÄN</t>
        </is>
      </c>
      <c r="E18398" t="inlineStr">
        <is>
          <t>FILIPSTAD</t>
        </is>
      </c>
      <c r="G18398" t="n">
        <v>0.5</v>
      </c>
      <c r="H18398" t="n">
        <v>0</v>
      </c>
      <c r="I18398" t="n">
        <v>0</v>
      </c>
      <c r="J18398" t="n">
        <v>0</v>
      </c>
      <c r="K18398" t="n">
        <v>0</v>
      </c>
      <c r="L18398" t="n">
        <v>0</v>
      </c>
      <c r="M18398" t="n">
        <v>0</v>
      </c>
      <c r="N18398" t="n">
        <v>0</v>
      </c>
      <c r="O18398" t="n">
        <v>0</v>
      </c>
      <c r="P18398" t="n">
        <v>0</v>
      </c>
      <c r="Q18398" t="n">
        <v>0</v>
      </c>
      <c r="R18398" s="2" t="inlineStr"/>
    </row>
    <row r="18399" ht="15" customHeight="1">
      <c r="A18399" t="inlineStr">
        <is>
          <t>A 1935-2025</t>
        </is>
      </c>
      <c r="B18399" s="1" t="n">
        <v>45671</v>
      </c>
      <c r="C18399" s="1" t="n">
        <v>45810</v>
      </c>
      <c r="D18399" t="inlineStr">
        <is>
          <t>VÄRMLANDS LÄN</t>
        </is>
      </c>
      <c r="E18399" t="inlineStr">
        <is>
          <t>KARLSTAD</t>
        </is>
      </c>
      <c r="G18399" t="n">
        <v>1.2</v>
      </c>
      <c r="H18399" t="n">
        <v>0</v>
      </c>
      <c r="I18399" t="n">
        <v>0</v>
      </c>
      <c r="J18399" t="n">
        <v>0</v>
      </c>
      <c r="K18399" t="n">
        <v>0</v>
      </c>
      <c r="L18399" t="n">
        <v>0</v>
      </c>
      <c r="M18399" t="n">
        <v>0</v>
      </c>
      <c r="N18399" t="n">
        <v>0</v>
      </c>
      <c r="O18399" t="n">
        <v>0</v>
      </c>
      <c r="P18399" t="n">
        <v>0</v>
      </c>
      <c r="Q18399" t="n">
        <v>0</v>
      </c>
      <c r="R18399" s="2" t="inlineStr"/>
    </row>
    <row r="18400" ht="15" customHeight="1">
      <c r="A18400" t="inlineStr">
        <is>
          <t>A 1756-2025</t>
        </is>
      </c>
      <c r="B18400" s="1" t="n">
        <v>45671</v>
      </c>
      <c r="C18400" s="1" t="n">
        <v>45810</v>
      </c>
      <c r="D18400" t="inlineStr">
        <is>
          <t>VÄRMLANDS LÄN</t>
        </is>
      </c>
      <c r="E18400" t="inlineStr">
        <is>
          <t>TORSBY</t>
        </is>
      </c>
      <c r="F18400" t="inlineStr">
        <is>
          <t>Bergvik skog väst AB</t>
        </is>
      </c>
      <c r="G18400" t="n">
        <v>4.9</v>
      </c>
      <c r="H18400" t="n">
        <v>0</v>
      </c>
      <c r="I18400" t="n">
        <v>0</v>
      </c>
      <c r="J18400" t="n">
        <v>0</v>
      </c>
      <c r="K18400" t="n">
        <v>0</v>
      </c>
      <c r="L18400" t="n">
        <v>0</v>
      </c>
      <c r="M18400" t="n">
        <v>0</v>
      </c>
      <c r="N18400" t="n">
        <v>0</v>
      </c>
      <c r="O18400" t="n">
        <v>0</v>
      </c>
      <c r="P18400" t="n">
        <v>0</v>
      </c>
      <c r="Q18400" t="n">
        <v>0</v>
      </c>
      <c r="R18400" s="2" t="inlineStr"/>
    </row>
    <row r="18401" ht="15" customHeight="1">
      <c r="A18401" t="inlineStr">
        <is>
          <t>A 1848-2025</t>
        </is>
      </c>
      <c r="B18401" s="1" t="n">
        <v>45671</v>
      </c>
      <c r="C18401" s="1" t="n">
        <v>45810</v>
      </c>
      <c r="D18401" t="inlineStr">
        <is>
          <t>VÄRMLANDS LÄN</t>
        </is>
      </c>
      <c r="E18401" t="inlineStr">
        <is>
          <t>FILIPSTAD</t>
        </is>
      </c>
      <c r="F18401" t="inlineStr">
        <is>
          <t>Kommuner</t>
        </is>
      </c>
      <c r="G18401" t="n">
        <v>4.8</v>
      </c>
      <c r="H18401" t="n">
        <v>0</v>
      </c>
      <c r="I18401" t="n">
        <v>0</v>
      </c>
      <c r="J18401" t="n">
        <v>0</v>
      </c>
      <c r="K18401" t="n">
        <v>0</v>
      </c>
      <c r="L18401" t="n">
        <v>0</v>
      </c>
      <c r="M18401" t="n">
        <v>0</v>
      </c>
      <c r="N18401" t="n">
        <v>0</v>
      </c>
      <c r="O18401" t="n">
        <v>0</v>
      </c>
      <c r="P18401" t="n">
        <v>0</v>
      </c>
      <c r="Q18401" t="n">
        <v>0</v>
      </c>
      <c r="R18401" s="2" t="inlineStr"/>
    </row>
    <row r="18402" ht="15" customHeight="1">
      <c r="A18402" t="inlineStr">
        <is>
          <t>A 1843-2025</t>
        </is>
      </c>
      <c r="B18402" s="1" t="n">
        <v>45671</v>
      </c>
      <c r="C18402" s="1" t="n">
        <v>45810</v>
      </c>
      <c r="D18402" t="inlineStr">
        <is>
          <t>VÄRMLANDS LÄN</t>
        </is>
      </c>
      <c r="E18402" t="inlineStr">
        <is>
          <t>KIL</t>
        </is>
      </c>
      <c r="G18402" t="n">
        <v>2.1</v>
      </c>
      <c r="H18402" t="n">
        <v>0</v>
      </c>
      <c r="I18402" t="n">
        <v>0</v>
      </c>
      <c r="J18402" t="n">
        <v>0</v>
      </c>
      <c r="K18402" t="n">
        <v>0</v>
      </c>
      <c r="L18402" t="n">
        <v>0</v>
      </c>
      <c r="M18402" t="n">
        <v>0</v>
      </c>
      <c r="N18402" t="n">
        <v>0</v>
      </c>
      <c r="O18402" t="n">
        <v>0</v>
      </c>
      <c r="P18402" t="n">
        <v>0</v>
      </c>
      <c r="Q18402" t="n">
        <v>0</v>
      </c>
      <c r="R18402" s="2" t="inlineStr"/>
    </row>
    <row r="18403" ht="15" customHeight="1">
      <c r="A18403" t="inlineStr">
        <is>
          <t>A 1847-2025</t>
        </is>
      </c>
      <c r="B18403" s="1" t="n">
        <v>45671</v>
      </c>
      <c r="C18403" s="1" t="n">
        <v>45810</v>
      </c>
      <c r="D18403" t="inlineStr">
        <is>
          <t>VÄRMLANDS LÄN</t>
        </is>
      </c>
      <c r="E18403" t="inlineStr">
        <is>
          <t>KIL</t>
        </is>
      </c>
      <c r="G18403" t="n">
        <v>1.9</v>
      </c>
      <c r="H18403" t="n">
        <v>0</v>
      </c>
      <c r="I18403" t="n">
        <v>0</v>
      </c>
      <c r="J18403" t="n">
        <v>0</v>
      </c>
      <c r="K18403" t="n">
        <v>0</v>
      </c>
      <c r="L18403" t="n">
        <v>0</v>
      </c>
      <c r="M18403" t="n">
        <v>0</v>
      </c>
      <c r="N18403" t="n">
        <v>0</v>
      </c>
      <c r="O18403" t="n">
        <v>0</v>
      </c>
      <c r="P18403" t="n">
        <v>0</v>
      </c>
      <c r="Q18403" t="n">
        <v>0</v>
      </c>
      <c r="R18403" s="2" t="inlineStr"/>
    </row>
    <row r="18404" ht="15" customHeight="1">
      <c r="A18404" t="inlineStr">
        <is>
          <t>A 1851-2025</t>
        </is>
      </c>
      <c r="B18404" s="1" t="n">
        <v>45671</v>
      </c>
      <c r="C18404" s="1" t="n">
        <v>45810</v>
      </c>
      <c r="D18404" t="inlineStr">
        <is>
          <t>VÄRMLANDS LÄN</t>
        </is>
      </c>
      <c r="E18404" t="inlineStr">
        <is>
          <t>FILIPSTAD</t>
        </is>
      </c>
      <c r="F18404" t="inlineStr">
        <is>
          <t>Kommuner</t>
        </is>
      </c>
      <c r="G18404" t="n">
        <v>2.9</v>
      </c>
      <c r="H18404" t="n">
        <v>0</v>
      </c>
      <c r="I18404" t="n">
        <v>0</v>
      </c>
      <c r="J18404" t="n">
        <v>0</v>
      </c>
      <c r="K18404" t="n">
        <v>0</v>
      </c>
      <c r="L18404" t="n">
        <v>0</v>
      </c>
      <c r="M18404" t="n">
        <v>0</v>
      </c>
      <c r="N18404" t="n">
        <v>0</v>
      </c>
      <c r="O18404" t="n">
        <v>0</v>
      </c>
      <c r="P18404" t="n">
        <v>0</v>
      </c>
      <c r="Q18404" t="n">
        <v>0</v>
      </c>
      <c r="R18404" s="2" t="inlineStr"/>
    </row>
    <row r="18405" ht="15" customHeight="1">
      <c r="A18405" t="inlineStr">
        <is>
          <t>A 1893-2025</t>
        </is>
      </c>
      <c r="B18405" s="1" t="n">
        <v>45671</v>
      </c>
      <c r="C18405" s="1" t="n">
        <v>45810</v>
      </c>
      <c r="D18405" t="inlineStr">
        <is>
          <t>VÄRMLANDS LÄN</t>
        </is>
      </c>
      <c r="E18405" t="inlineStr">
        <is>
          <t>EDA</t>
        </is>
      </c>
      <c r="G18405" t="n">
        <v>2.7</v>
      </c>
      <c r="H18405" t="n">
        <v>0</v>
      </c>
      <c r="I18405" t="n">
        <v>0</v>
      </c>
      <c r="J18405" t="n">
        <v>0</v>
      </c>
      <c r="K18405" t="n">
        <v>0</v>
      </c>
      <c r="L18405" t="n">
        <v>0</v>
      </c>
      <c r="M18405" t="n">
        <v>0</v>
      </c>
      <c r="N18405" t="n">
        <v>0</v>
      </c>
      <c r="O18405" t="n">
        <v>0</v>
      </c>
      <c r="P18405" t="n">
        <v>0</v>
      </c>
      <c r="Q18405" t="n">
        <v>0</v>
      </c>
      <c r="R18405" s="2" t="inlineStr"/>
    </row>
    <row r="18406" ht="15" customHeight="1">
      <c r="A18406" t="inlineStr">
        <is>
          <t>A 1930-2025</t>
        </is>
      </c>
      <c r="B18406" s="1" t="n">
        <v>45671</v>
      </c>
      <c r="C18406" s="1" t="n">
        <v>45810</v>
      </c>
      <c r="D18406" t="inlineStr">
        <is>
          <t>VÄRMLANDS LÄN</t>
        </is>
      </c>
      <c r="E18406" t="inlineStr">
        <is>
          <t>KRISTINEHAMN</t>
        </is>
      </c>
      <c r="G18406" t="n">
        <v>1.8</v>
      </c>
      <c r="H18406" t="n">
        <v>0</v>
      </c>
      <c r="I18406" t="n">
        <v>0</v>
      </c>
      <c r="J18406" t="n">
        <v>0</v>
      </c>
      <c r="K18406" t="n">
        <v>0</v>
      </c>
      <c r="L18406" t="n">
        <v>0</v>
      </c>
      <c r="M18406" t="n">
        <v>0</v>
      </c>
      <c r="N18406" t="n">
        <v>0</v>
      </c>
      <c r="O18406" t="n">
        <v>0</v>
      </c>
      <c r="P18406" t="n">
        <v>0</v>
      </c>
      <c r="Q18406" t="n">
        <v>0</v>
      </c>
      <c r="R18406" s="2" t="inlineStr"/>
    </row>
    <row r="18407" ht="15" customHeight="1">
      <c r="A18407" t="inlineStr">
        <is>
          <t>A 1900-2025</t>
        </is>
      </c>
      <c r="B18407" s="1" t="n">
        <v>45671</v>
      </c>
      <c r="C18407" s="1" t="n">
        <v>45810</v>
      </c>
      <c r="D18407" t="inlineStr">
        <is>
          <t>VÄRMLANDS LÄN</t>
        </is>
      </c>
      <c r="E18407" t="inlineStr">
        <is>
          <t>EDA</t>
        </is>
      </c>
      <c r="G18407" t="n">
        <v>1.1</v>
      </c>
      <c r="H18407" t="n">
        <v>0</v>
      </c>
      <c r="I18407" t="n">
        <v>0</v>
      </c>
      <c r="J18407" t="n">
        <v>0</v>
      </c>
      <c r="K18407" t="n">
        <v>0</v>
      </c>
      <c r="L18407" t="n">
        <v>0</v>
      </c>
      <c r="M18407" t="n">
        <v>0</v>
      </c>
      <c r="N18407" t="n">
        <v>0</v>
      </c>
      <c r="O18407" t="n">
        <v>0</v>
      </c>
      <c r="P18407" t="n">
        <v>0</v>
      </c>
      <c r="Q18407" t="n">
        <v>0</v>
      </c>
      <c r="R18407" s="2" t="inlineStr"/>
    </row>
    <row r="18408" ht="15" customHeight="1">
      <c r="A18408" t="inlineStr">
        <is>
          <t>A 1929-2025</t>
        </is>
      </c>
      <c r="B18408" s="1" t="n">
        <v>45671</v>
      </c>
      <c r="C18408" s="1" t="n">
        <v>45810</v>
      </c>
      <c r="D18408" t="inlineStr">
        <is>
          <t>VÄRMLANDS LÄN</t>
        </is>
      </c>
      <c r="E18408" t="inlineStr">
        <is>
          <t>ÅRJÄNG</t>
        </is>
      </c>
      <c r="G18408" t="n">
        <v>2.9</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2158-2025</t>
        </is>
      </c>
      <c r="B18409" s="1" t="n">
        <v>45672</v>
      </c>
      <c r="C18409" s="1" t="n">
        <v>45810</v>
      </c>
      <c r="D18409" t="inlineStr">
        <is>
          <t>VÄRMLANDS LÄN</t>
        </is>
      </c>
      <c r="E18409" t="inlineStr">
        <is>
          <t>HAGFORS</t>
        </is>
      </c>
      <c r="G18409" t="n">
        <v>0.6</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2191-2025</t>
        </is>
      </c>
      <c r="B18410" s="1" t="n">
        <v>45672</v>
      </c>
      <c r="C18410" s="1" t="n">
        <v>45810</v>
      </c>
      <c r="D18410" t="inlineStr">
        <is>
          <t>VÄRMLANDS LÄN</t>
        </is>
      </c>
      <c r="E18410" t="inlineStr">
        <is>
          <t>SÄFFLE</t>
        </is>
      </c>
      <c r="G18410" t="n">
        <v>46.5</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2144-2025</t>
        </is>
      </c>
      <c r="B18411" s="1" t="n">
        <v>45672</v>
      </c>
      <c r="C18411" s="1" t="n">
        <v>45810</v>
      </c>
      <c r="D18411" t="inlineStr">
        <is>
          <t>VÄRMLANDS LÄN</t>
        </is>
      </c>
      <c r="E18411" t="inlineStr">
        <is>
          <t>KRISTINEHAMN</t>
        </is>
      </c>
      <c r="F18411" t="inlineStr">
        <is>
          <t>Bergvik skog väst AB</t>
        </is>
      </c>
      <c r="G18411" t="n">
        <v>1.1</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2148-2025</t>
        </is>
      </c>
      <c r="B18412" s="1" t="n">
        <v>45672</v>
      </c>
      <c r="C18412" s="1" t="n">
        <v>45810</v>
      </c>
      <c r="D18412" t="inlineStr">
        <is>
          <t>VÄRMLANDS LÄN</t>
        </is>
      </c>
      <c r="E18412" t="inlineStr">
        <is>
          <t>KRISTINEHAMN</t>
        </is>
      </c>
      <c r="F18412" t="inlineStr">
        <is>
          <t>Bergvik skog väst AB</t>
        </is>
      </c>
      <c r="G18412" t="n">
        <v>10.4</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2061-2025</t>
        </is>
      </c>
      <c r="B18413" s="1" t="n">
        <v>45672</v>
      </c>
      <c r="C18413" s="1" t="n">
        <v>45810</v>
      </c>
      <c r="D18413" t="inlineStr">
        <is>
          <t>VÄRMLANDS LÄN</t>
        </is>
      </c>
      <c r="E18413" t="inlineStr">
        <is>
          <t>KARLSTAD</t>
        </is>
      </c>
      <c r="F18413" t="inlineStr">
        <is>
          <t>Övriga statliga verk och myndigheter</t>
        </is>
      </c>
      <c r="G18413" t="n">
        <v>2</v>
      </c>
      <c r="H18413" t="n">
        <v>0</v>
      </c>
      <c r="I18413" t="n">
        <v>0</v>
      </c>
      <c r="J18413" t="n">
        <v>0</v>
      </c>
      <c r="K18413" t="n">
        <v>0</v>
      </c>
      <c r="L18413" t="n">
        <v>0</v>
      </c>
      <c r="M18413" t="n">
        <v>0</v>
      </c>
      <c r="N18413" t="n">
        <v>0</v>
      </c>
      <c r="O18413" t="n">
        <v>0</v>
      </c>
      <c r="P18413" t="n">
        <v>0</v>
      </c>
      <c r="Q18413" t="n">
        <v>0</v>
      </c>
      <c r="R18413" s="2" t="inlineStr"/>
    </row>
    <row r="18414" ht="15" customHeight="1">
      <c r="A18414" t="inlineStr">
        <is>
          <t>A 1997-2025</t>
        </is>
      </c>
      <c r="B18414" s="1" t="n">
        <v>45672</v>
      </c>
      <c r="C18414" s="1" t="n">
        <v>45810</v>
      </c>
      <c r="D18414" t="inlineStr">
        <is>
          <t>VÄRMLANDS LÄN</t>
        </is>
      </c>
      <c r="E18414" t="inlineStr">
        <is>
          <t>TORSBY</t>
        </is>
      </c>
      <c r="G18414" t="n">
        <v>20.1</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2116-2025</t>
        </is>
      </c>
      <c r="B18415" s="1" t="n">
        <v>45672</v>
      </c>
      <c r="C18415" s="1" t="n">
        <v>45810</v>
      </c>
      <c r="D18415" t="inlineStr">
        <is>
          <t>VÄRMLANDS LÄN</t>
        </is>
      </c>
      <c r="E18415" t="inlineStr">
        <is>
          <t>ÅRJÄNG</t>
        </is>
      </c>
      <c r="G18415" t="n">
        <v>3.8</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2072-2025</t>
        </is>
      </c>
      <c r="B18416" s="1" t="n">
        <v>45672</v>
      </c>
      <c r="C18416" s="1" t="n">
        <v>45810</v>
      </c>
      <c r="D18416" t="inlineStr">
        <is>
          <t>VÄRMLANDS LÄN</t>
        </is>
      </c>
      <c r="E18416" t="inlineStr">
        <is>
          <t>HAGFORS</t>
        </is>
      </c>
      <c r="F18416" t="inlineStr">
        <is>
          <t>Bergvik skog väst AB</t>
        </is>
      </c>
      <c r="G18416" t="n">
        <v>2.5</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2034-2025</t>
        </is>
      </c>
      <c r="B18417" s="1" t="n">
        <v>45672</v>
      </c>
      <c r="C18417" s="1" t="n">
        <v>45810</v>
      </c>
      <c r="D18417" t="inlineStr">
        <is>
          <t>VÄRMLANDS LÄN</t>
        </is>
      </c>
      <c r="E18417" t="inlineStr">
        <is>
          <t>ARVIKA</t>
        </is>
      </c>
      <c r="G18417" t="n">
        <v>4.5</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2085-2025</t>
        </is>
      </c>
      <c r="B18418" s="1" t="n">
        <v>45672</v>
      </c>
      <c r="C18418" s="1" t="n">
        <v>45810</v>
      </c>
      <c r="D18418" t="inlineStr">
        <is>
          <t>VÄRMLANDS LÄN</t>
        </is>
      </c>
      <c r="E18418" t="inlineStr">
        <is>
          <t>HAGFORS</t>
        </is>
      </c>
      <c r="G18418" t="n">
        <v>1.5</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2073-2025</t>
        </is>
      </c>
      <c r="B18419" s="1" t="n">
        <v>45672</v>
      </c>
      <c r="C18419" s="1" t="n">
        <v>45810</v>
      </c>
      <c r="D18419" t="inlineStr">
        <is>
          <t>VÄRMLANDS LÄN</t>
        </is>
      </c>
      <c r="E18419" t="inlineStr">
        <is>
          <t>HAGFORS</t>
        </is>
      </c>
      <c r="F18419" t="inlineStr">
        <is>
          <t>Bergvik skog väst AB</t>
        </is>
      </c>
      <c r="G18419" t="n">
        <v>6.9</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2065-2025</t>
        </is>
      </c>
      <c r="B18420" s="1" t="n">
        <v>45672</v>
      </c>
      <c r="C18420" s="1" t="n">
        <v>45810</v>
      </c>
      <c r="D18420" t="inlineStr">
        <is>
          <t>VÄRMLANDS LÄN</t>
        </is>
      </c>
      <c r="E18420" t="inlineStr">
        <is>
          <t>HAGFORS</t>
        </is>
      </c>
      <c r="G18420" t="n">
        <v>5.7</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2009-2025</t>
        </is>
      </c>
      <c r="B18421" s="1" t="n">
        <v>45672</v>
      </c>
      <c r="C18421" s="1" t="n">
        <v>45810</v>
      </c>
      <c r="D18421" t="inlineStr">
        <is>
          <t>VÄRMLANDS LÄN</t>
        </is>
      </c>
      <c r="E18421" t="inlineStr">
        <is>
          <t>TORSBY</t>
        </is>
      </c>
      <c r="G18421" t="n">
        <v>3.3</v>
      </c>
      <c r="H18421" t="n">
        <v>0</v>
      </c>
      <c r="I18421" t="n">
        <v>0</v>
      </c>
      <c r="J18421" t="n">
        <v>0</v>
      </c>
      <c r="K18421" t="n">
        <v>0</v>
      </c>
      <c r="L18421" t="n">
        <v>0</v>
      </c>
      <c r="M18421" t="n">
        <v>0</v>
      </c>
      <c r="N18421" t="n">
        <v>0</v>
      </c>
      <c r="O18421" t="n">
        <v>0</v>
      </c>
      <c r="P18421" t="n">
        <v>0</v>
      </c>
      <c r="Q18421" t="n">
        <v>0</v>
      </c>
      <c r="R18421" s="2" t="inlineStr"/>
    </row>
    <row r="18422" ht="15" customHeight="1">
      <c r="A18422" t="inlineStr">
        <is>
          <t>A 1942-2025</t>
        </is>
      </c>
      <c r="B18422" s="1" t="n">
        <v>45672</v>
      </c>
      <c r="C18422" s="1" t="n">
        <v>45810</v>
      </c>
      <c r="D18422" t="inlineStr">
        <is>
          <t>VÄRMLANDS LÄN</t>
        </is>
      </c>
      <c r="E18422" t="inlineStr">
        <is>
          <t>ARVIKA</t>
        </is>
      </c>
      <c r="G18422" t="n">
        <v>0.7</v>
      </c>
      <c r="H18422" t="n">
        <v>0</v>
      </c>
      <c r="I18422" t="n">
        <v>0</v>
      </c>
      <c r="J18422" t="n">
        <v>0</v>
      </c>
      <c r="K18422" t="n">
        <v>0</v>
      </c>
      <c r="L18422" t="n">
        <v>0</v>
      </c>
      <c r="M18422" t="n">
        <v>0</v>
      </c>
      <c r="N18422" t="n">
        <v>0</v>
      </c>
      <c r="O18422" t="n">
        <v>0</v>
      </c>
      <c r="P18422" t="n">
        <v>0</v>
      </c>
      <c r="Q18422" t="n">
        <v>0</v>
      </c>
      <c r="R18422" s="2" t="inlineStr"/>
    </row>
    <row r="18423" ht="15" customHeight="1">
      <c r="A18423" t="inlineStr">
        <is>
          <t>A 1976-2025</t>
        </is>
      </c>
      <c r="B18423" s="1" t="n">
        <v>45672</v>
      </c>
      <c r="C18423" s="1" t="n">
        <v>45810</v>
      </c>
      <c r="D18423" t="inlineStr">
        <is>
          <t>VÄRMLANDS LÄN</t>
        </is>
      </c>
      <c r="E18423" t="inlineStr">
        <is>
          <t>EDA</t>
        </is>
      </c>
      <c r="G18423" t="n">
        <v>2.6</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2063-2025</t>
        </is>
      </c>
      <c r="B18424" s="1" t="n">
        <v>45672</v>
      </c>
      <c r="C18424" s="1" t="n">
        <v>45810</v>
      </c>
      <c r="D18424" t="inlineStr">
        <is>
          <t>VÄRMLANDS LÄN</t>
        </is>
      </c>
      <c r="E18424" t="inlineStr">
        <is>
          <t>SUNNE</t>
        </is>
      </c>
      <c r="G18424" t="n">
        <v>6.5</v>
      </c>
      <c r="H18424" t="n">
        <v>0</v>
      </c>
      <c r="I18424" t="n">
        <v>0</v>
      </c>
      <c r="J18424" t="n">
        <v>0</v>
      </c>
      <c r="K18424" t="n">
        <v>0</v>
      </c>
      <c r="L18424" t="n">
        <v>0</v>
      </c>
      <c r="M18424" t="n">
        <v>0</v>
      </c>
      <c r="N18424" t="n">
        <v>0</v>
      </c>
      <c r="O18424" t="n">
        <v>0</v>
      </c>
      <c r="P18424" t="n">
        <v>0</v>
      </c>
      <c r="Q18424" t="n">
        <v>0</v>
      </c>
      <c r="R18424" s="2" t="inlineStr"/>
    </row>
    <row r="18425" ht="15" customHeight="1">
      <c r="A18425" t="inlineStr">
        <is>
          <t>A 1994-2025</t>
        </is>
      </c>
      <c r="B18425" s="1" t="n">
        <v>45672</v>
      </c>
      <c r="C18425" s="1" t="n">
        <v>45810</v>
      </c>
      <c r="D18425" t="inlineStr">
        <is>
          <t>VÄRMLANDS LÄN</t>
        </is>
      </c>
      <c r="E18425" t="inlineStr">
        <is>
          <t>FORSHAGA</t>
        </is>
      </c>
      <c r="G18425" t="n">
        <v>1.8</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2174-2025</t>
        </is>
      </c>
      <c r="B18426" s="1" t="n">
        <v>45673</v>
      </c>
      <c r="C18426" s="1" t="n">
        <v>45810</v>
      </c>
      <c r="D18426" t="inlineStr">
        <is>
          <t>VÄRMLANDS LÄN</t>
        </is>
      </c>
      <c r="E18426" t="inlineStr">
        <is>
          <t>SUNNE</t>
        </is>
      </c>
      <c r="G18426" t="n">
        <v>1</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2186-2025</t>
        </is>
      </c>
      <c r="B18427" s="1" t="n">
        <v>45673</v>
      </c>
      <c r="C18427" s="1" t="n">
        <v>45810</v>
      </c>
      <c r="D18427" t="inlineStr">
        <is>
          <t>VÄRMLANDS LÄN</t>
        </is>
      </c>
      <c r="E18427" t="inlineStr">
        <is>
          <t>ARVIKA</t>
        </is>
      </c>
      <c r="G18427" t="n">
        <v>2.3</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2222-2025</t>
        </is>
      </c>
      <c r="B18428" s="1" t="n">
        <v>45673</v>
      </c>
      <c r="C18428" s="1" t="n">
        <v>45810</v>
      </c>
      <c r="D18428" t="inlineStr">
        <is>
          <t>VÄRMLANDS LÄN</t>
        </is>
      </c>
      <c r="E18428" t="inlineStr">
        <is>
          <t>ÅRJÄNG</t>
        </is>
      </c>
      <c r="G18428" t="n">
        <v>6.8</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2173-2025</t>
        </is>
      </c>
      <c r="B18429" s="1" t="n">
        <v>45673</v>
      </c>
      <c r="C18429" s="1" t="n">
        <v>45810</v>
      </c>
      <c r="D18429" t="inlineStr">
        <is>
          <t>VÄRMLANDS LÄN</t>
        </is>
      </c>
      <c r="E18429" t="inlineStr">
        <is>
          <t>SUNNE</t>
        </is>
      </c>
      <c r="G18429" t="n">
        <v>3.7</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2195-2025</t>
        </is>
      </c>
      <c r="B18430" s="1" t="n">
        <v>45673</v>
      </c>
      <c r="C18430" s="1" t="n">
        <v>45810</v>
      </c>
      <c r="D18430" t="inlineStr">
        <is>
          <t>VÄRMLANDS LÄN</t>
        </is>
      </c>
      <c r="E18430" t="inlineStr">
        <is>
          <t>TORSBY</t>
        </is>
      </c>
      <c r="G18430" t="n">
        <v>1.8</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2199-2025</t>
        </is>
      </c>
      <c r="B18431" s="1" t="n">
        <v>45673</v>
      </c>
      <c r="C18431" s="1" t="n">
        <v>45810</v>
      </c>
      <c r="D18431" t="inlineStr">
        <is>
          <t>VÄRMLANDS LÄN</t>
        </is>
      </c>
      <c r="E18431" t="inlineStr">
        <is>
          <t>TORSBY</t>
        </is>
      </c>
      <c r="G18431" t="n">
        <v>2.9</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2175-2025</t>
        </is>
      </c>
      <c r="B18432" s="1" t="n">
        <v>45673</v>
      </c>
      <c r="C18432" s="1" t="n">
        <v>45810</v>
      </c>
      <c r="D18432" t="inlineStr">
        <is>
          <t>VÄRMLANDS LÄN</t>
        </is>
      </c>
      <c r="E18432" t="inlineStr">
        <is>
          <t>SUNNE</t>
        </is>
      </c>
      <c r="G18432" t="n">
        <v>1.2</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2253-2025</t>
        </is>
      </c>
      <c r="B18433" s="1" t="n">
        <v>45673</v>
      </c>
      <c r="C18433" s="1" t="n">
        <v>45810</v>
      </c>
      <c r="D18433" t="inlineStr">
        <is>
          <t>VÄRMLANDS LÄN</t>
        </is>
      </c>
      <c r="E18433" t="inlineStr">
        <is>
          <t>ÅRJÄNG</t>
        </is>
      </c>
      <c r="G18433" t="n">
        <v>19.1</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2275-2025</t>
        </is>
      </c>
      <c r="B18434" s="1" t="n">
        <v>45673</v>
      </c>
      <c r="C18434" s="1" t="n">
        <v>45810</v>
      </c>
      <c r="D18434" t="inlineStr">
        <is>
          <t>VÄRMLANDS LÄN</t>
        </is>
      </c>
      <c r="E18434" t="inlineStr">
        <is>
          <t>SÄFFLE</t>
        </is>
      </c>
      <c r="G18434" t="n">
        <v>4.5</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2356-2025</t>
        </is>
      </c>
      <c r="B18435" s="1" t="n">
        <v>45673</v>
      </c>
      <c r="C18435" s="1" t="n">
        <v>45810</v>
      </c>
      <c r="D18435" t="inlineStr">
        <is>
          <t>VÄRMLANDS LÄN</t>
        </is>
      </c>
      <c r="E18435" t="inlineStr">
        <is>
          <t>ARVIKA</t>
        </is>
      </c>
      <c r="G18435" t="n">
        <v>1.4</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2341-2025</t>
        </is>
      </c>
      <c r="B18436" s="1" t="n">
        <v>45673</v>
      </c>
      <c r="C18436" s="1" t="n">
        <v>45810</v>
      </c>
      <c r="D18436" t="inlineStr">
        <is>
          <t>VÄRMLANDS LÄN</t>
        </is>
      </c>
      <c r="E18436" t="inlineStr">
        <is>
          <t>SÄFFLE</t>
        </is>
      </c>
      <c r="G18436" t="n">
        <v>1.7</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2321-2025</t>
        </is>
      </c>
      <c r="B18437" s="1" t="n">
        <v>45673</v>
      </c>
      <c r="C18437" s="1" t="n">
        <v>45810</v>
      </c>
      <c r="D18437" t="inlineStr">
        <is>
          <t>VÄRMLANDS LÄN</t>
        </is>
      </c>
      <c r="E18437" t="inlineStr">
        <is>
          <t>SÄFFLE</t>
        </is>
      </c>
      <c r="G18437" t="n">
        <v>0.9</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2317-2025</t>
        </is>
      </c>
      <c r="B18438" s="1" t="n">
        <v>45673</v>
      </c>
      <c r="C18438" s="1" t="n">
        <v>45810</v>
      </c>
      <c r="D18438" t="inlineStr">
        <is>
          <t>VÄRMLANDS LÄN</t>
        </is>
      </c>
      <c r="E18438" t="inlineStr">
        <is>
          <t>HAGFORS</t>
        </is>
      </c>
      <c r="G18438" t="n">
        <v>4.8</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2322-2025</t>
        </is>
      </c>
      <c r="B18439" s="1" t="n">
        <v>45673</v>
      </c>
      <c r="C18439" s="1" t="n">
        <v>45810</v>
      </c>
      <c r="D18439" t="inlineStr">
        <is>
          <t>VÄRMLANDS LÄN</t>
        </is>
      </c>
      <c r="E18439" t="inlineStr">
        <is>
          <t>ARVIKA</t>
        </is>
      </c>
      <c r="G18439" t="n">
        <v>6.1</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2330-2025</t>
        </is>
      </c>
      <c r="B18440" s="1" t="n">
        <v>45673</v>
      </c>
      <c r="C18440" s="1" t="n">
        <v>45810</v>
      </c>
      <c r="D18440" t="inlineStr">
        <is>
          <t>VÄRMLANDS LÄN</t>
        </is>
      </c>
      <c r="E18440" t="inlineStr">
        <is>
          <t>ÅRJÄNG</t>
        </is>
      </c>
      <c r="G18440" t="n">
        <v>0.8</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2334-2025</t>
        </is>
      </c>
      <c r="B18441" s="1" t="n">
        <v>45673</v>
      </c>
      <c r="C18441" s="1" t="n">
        <v>45810</v>
      </c>
      <c r="D18441" t="inlineStr">
        <is>
          <t>VÄRMLANDS LÄN</t>
        </is>
      </c>
      <c r="E18441" t="inlineStr">
        <is>
          <t>EDA</t>
        </is>
      </c>
      <c r="G18441" t="n">
        <v>6.8</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2342-2025</t>
        </is>
      </c>
      <c r="B18442" s="1" t="n">
        <v>45673</v>
      </c>
      <c r="C18442" s="1" t="n">
        <v>45810</v>
      </c>
      <c r="D18442" t="inlineStr">
        <is>
          <t>VÄRMLANDS LÄN</t>
        </is>
      </c>
      <c r="E18442" t="inlineStr">
        <is>
          <t>SÄFFLE</t>
        </is>
      </c>
      <c r="G18442" t="n">
        <v>1.2</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2371-2025</t>
        </is>
      </c>
      <c r="B18443" s="1" t="n">
        <v>45673</v>
      </c>
      <c r="C18443" s="1" t="n">
        <v>45810</v>
      </c>
      <c r="D18443" t="inlineStr">
        <is>
          <t>VÄRMLANDS LÄN</t>
        </is>
      </c>
      <c r="E18443" t="inlineStr">
        <is>
          <t>HAGFORS</t>
        </is>
      </c>
      <c r="G18443" t="n">
        <v>4.9</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2332-2025</t>
        </is>
      </c>
      <c r="B18444" s="1" t="n">
        <v>45673</v>
      </c>
      <c r="C18444" s="1" t="n">
        <v>45810</v>
      </c>
      <c r="D18444" t="inlineStr">
        <is>
          <t>VÄRMLANDS LÄN</t>
        </is>
      </c>
      <c r="E18444" t="inlineStr">
        <is>
          <t>SUNNE</t>
        </is>
      </c>
      <c r="G18444" t="n">
        <v>4.2</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2320-2025</t>
        </is>
      </c>
      <c r="B18445" s="1" t="n">
        <v>45673</v>
      </c>
      <c r="C18445" s="1" t="n">
        <v>45810</v>
      </c>
      <c r="D18445" t="inlineStr">
        <is>
          <t>VÄRMLANDS LÄN</t>
        </is>
      </c>
      <c r="E18445" t="inlineStr">
        <is>
          <t>ARVIKA</t>
        </is>
      </c>
      <c r="G18445" t="n">
        <v>6.7</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2600-2025</t>
        </is>
      </c>
      <c r="B18446" s="1" t="n">
        <v>45674</v>
      </c>
      <c r="C18446" s="1" t="n">
        <v>45810</v>
      </c>
      <c r="D18446" t="inlineStr">
        <is>
          <t>VÄRMLANDS LÄN</t>
        </is>
      </c>
      <c r="E18446" t="inlineStr">
        <is>
          <t>ARVIKA</t>
        </is>
      </c>
      <c r="G18446" t="n">
        <v>3.3</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2390-2025</t>
        </is>
      </c>
      <c r="B18447" s="1" t="n">
        <v>45674</v>
      </c>
      <c r="C18447" s="1" t="n">
        <v>45810</v>
      </c>
      <c r="D18447" t="inlineStr">
        <is>
          <t>VÄRMLANDS LÄN</t>
        </is>
      </c>
      <c r="E18447" t="inlineStr">
        <is>
          <t>TORSBY</t>
        </is>
      </c>
      <c r="G18447" t="n">
        <v>4.6</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2475-2025</t>
        </is>
      </c>
      <c r="B18448" s="1" t="n">
        <v>45674</v>
      </c>
      <c r="C18448" s="1" t="n">
        <v>45810</v>
      </c>
      <c r="D18448" t="inlineStr">
        <is>
          <t>VÄRMLANDS LÄN</t>
        </is>
      </c>
      <c r="E18448" t="inlineStr">
        <is>
          <t>KARLSTAD</t>
        </is>
      </c>
      <c r="G18448" t="n">
        <v>2.2</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2506-2025</t>
        </is>
      </c>
      <c r="B18449" s="1" t="n">
        <v>45674</v>
      </c>
      <c r="C18449" s="1" t="n">
        <v>45810</v>
      </c>
      <c r="D18449" t="inlineStr">
        <is>
          <t>VÄRMLANDS LÄN</t>
        </is>
      </c>
      <c r="E18449" t="inlineStr">
        <is>
          <t>TORSBY</t>
        </is>
      </c>
      <c r="F18449" t="inlineStr">
        <is>
          <t>Bergvik skog väst AB</t>
        </is>
      </c>
      <c r="G18449" t="n">
        <v>19.2</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2437-2025</t>
        </is>
      </c>
      <c r="B18450" s="1" t="n">
        <v>45674</v>
      </c>
      <c r="C18450" s="1" t="n">
        <v>45810</v>
      </c>
      <c r="D18450" t="inlineStr">
        <is>
          <t>VÄRMLANDS LÄN</t>
        </is>
      </c>
      <c r="E18450" t="inlineStr">
        <is>
          <t>FILIPSTAD</t>
        </is>
      </c>
      <c r="G18450" t="n">
        <v>1.1</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2406-2025</t>
        </is>
      </c>
      <c r="B18451" s="1" t="n">
        <v>45674</v>
      </c>
      <c r="C18451" s="1" t="n">
        <v>45810</v>
      </c>
      <c r="D18451" t="inlineStr">
        <is>
          <t>VÄRMLANDS LÄN</t>
        </is>
      </c>
      <c r="E18451" t="inlineStr">
        <is>
          <t>KRISTINEHAMN</t>
        </is>
      </c>
      <c r="G18451" t="n">
        <v>9.699999999999999</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2504-2025</t>
        </is>
      </c>
      <c r="B18452" s="1" t="n">
        <v>45674</v>
      </c>
      <c r="C18452" s="1" t="n">
        <v>45810</v>
      </c>
      <c r="D18452" t="inlineStr">
        <is>
          <t>VÄRMLANDS LÄN</t>
        </is>
      </c>
      <c r="E18452" t="inlineStr">
        <is>
          <t>TORSBY</t>
        </is>
      </c>
      <c r="G18452" t="n">
        <v>1.7</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2387-2025</t>
        </is>
      </c>
      <c r="B18453" s="1" t="n">
        <v>45674</v>
      </c>
      <c r="C18453" s="1" t="n">
        <v>45810</v>
      </c>
      <c r="D18453" t="inlineStr">
        <is>
          <t>VÄRMLANDS LÄN</t>
        </is>
      </c>
      <c r="E18453" t="inlineStr">
        <is>
          <t>TORSBY</t>
        </is>
      </c>
      <c r="G18453" t="n">
        <v>2.1</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2564-2025</t>
        </is>
      </c>
      <c r="B18454" s="1" t="n">
        <v>45674</v>
      </c>
      <c r="C18454" s="1" t="n">
        <v>45810</v>
      </c>
      <c r="D18454" t="inlineStr">
        <is>
          <t>VÄRMLANDS LÄN</t>
        </is>
      </c>
      <c r="E18454" t="inlineStr">
        <is>
          <t>ARVIKA</t>
        </is>
      </c>
      <c r="G18454" t="n">
        <v>2.7</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2599-2025</t>
        </is>
      </c>
      <c r="B18455" s="1" t="n">
        <v>45674</v>
      </c>
      <c r="C18455" s="1" t="n">
        <v>45810</v>
      </c>
      <c r="D18455" t="inlineStr">
        <is>
          <t>VÄRMLANDS LÄN</t>
        </is>
      </c>
      <c r="E18455" t="inlineStr">
        <is>
          <t>ARVIKA</t>
        </is>
      </c>
      <c r="G18455" t="n">
        <v>0.7</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2578-2025</t>
        </is>
      </c>
      <c r="B18456" s="1" t="n">
        <v>45674</v>
      </c>
      <c r="C18456" s="1" t="n">
        <v>45810</v>
      </c>
      <c r="D18456" t="inlineStr">
        <is>
          <t>VÄRMLANDS LÄN</t>
        </is>
      </c>
      <c r="E18456" t="inlineStr">
        <is>
          <t>KRISTINEHAMN</t>
        </is>
      </c>
      <c r="G18456" t="n">
        <v>1</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2605-2025</t>
        </is>
      </c>
      <c r="B18457" s="1" t="n">
        <v>45674</v>
      </c>
      <c r="C18457" s="1" t="n">
        <v>45810</v>
      </c>
      <c r="D18457" t="inlineStr">
        <is>
          <t>VÄRMLANDS LÄN</t>
        </is>
      </c>
      <c r="E18457" t="inlineStr">
        <is>
          <t>ARVIKA</t>
        </is>
      </c>
      <c r="G18457" t="n">
        <v>2.5</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2551-2025</t>
        </is>
      </c>
      <c r="B18458" s="1" t="n">
        <v>45674</v>
      </c>
      <c r="C18458" s="1" t="n">
        <v>45810</v>
      </c>
      <c r="D18458" t="inlineStr">
        <is>
          <t>VÄRMLANDS LÄN</t>
        </is>
      </c>
      <c r="E18458" t="inlineStr">
        <is>
          <t>ÅRJÄNG</t>
        </is>
      </c>
      <c r="G18458" t="n">
        <v>0.5</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2525-2025</t>
        </is>
      </c>
      <c r="B18459" s="1" t="n">
        <v>45674</v>
      </c>
      <c r="C18459" s="1" t="n">
        <v>45810</v>
      </c>
      <c r="D18459" t="inlineStr">
        <is>
          <t>VÄRMLANDS LÄN</t>
        </is>
      </c>
      <c r="E18459" t="inlineStr">
        <is>
          <t>STORFORS</t>
        </is>
      </c>
      <c r="G18459" t="n">
        <v>3.9</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2516-2025</t>
        </is>
      </c>
      <c r="B18460" s="1" t="n">
        <v>45674</v>
      </c>
      <c r="C18460" s="1" t="n">
        <v>45810</v>
      </c>
      <c r="D18460" t="inlineStr">
        <is>
          <t>VÄRMLANDS LÄN</t>
        </is>
      </c>
      <c r="E18460" t="inlineStr">
        <is>
          <t>KARLSTAD</t>
        </is>
      </c>
      <c r="G18460" t="n">
        <v>0.8</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2389-2025</t>
        </is>
      </c>
      <c r="B18461" s="1" t="n">
        <v>45674</v>
      </c>
      <c r="C18461" s="1" t="n">
        <v>45810</v>
      </c>
      <c r="D18461" t="inlineStr">
        <is>
          <t>VÄRMLANDS LÄN</t>
        </is>
      </c>
      <c r="E18461" t="inlineStr">
        <is>
          <t>EDA</t>
        </is>
      </c>
      <c r="G18461" t="n">
        <v>2</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2616-2025</t>
        </is>
      </c>
      <c r="B18462" s="1" t="n">
        <v>45675</v>
      </c>
      <c r="C18462" s="1" t="n">
        <v>45810</v>
      </c>
      <c r="D18462" t="inlineStr">
        <is>
          <t>VÄRMLANDS LÄN</t>
        </is>
      </c>
      <c r="E18462" t="inlineStr">
        <is>
          <t>TORSBY</t>
        </is>
      </c>
      <c r="G18462" t="n">
        <v>4.1</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2646-2025</t>
        </is>
      </c>
      <c r="B18463" s="1" t="n">
        <v>45676</v>
      </c>
      <c r="C18463" s="1" t="n">
        <v>45810</v>
      </c>
      <c r="D18463" t="inlineStr">
        <is>
          <t>VÄRMLANDS LÄN</t>
        </is>
      </c>
      <c r="E18463" t="inlineStr">
        <is>
          <t>SUNNE</t>
        </is>
      </c>
      <c r="G18463" t="n">
        <v>1.2</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2650-2025</t>
        </is>
      </c>
      <c r="B18464" s="1" t="n">
        <v>45676</v>
      </c>
      <c r="C18464" s="1" t="n">
        <v>45810</v>
      </c>
      <c r="D18464" t="inlineStr">
        <is>
          <t>VÄRMLANDS LÄN</t>
        </is>
      </c>
      <c r="E18464" t="inlineStr">
        <is>
          <t>EDA</t>
        </is>
      </c>
      <c r="G18464" t="n">
        <v>1.5</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2654-2025</t>
        </is>
      </c>
      <c r="B18465" s="1" t="n">
        <v>45676</v>
      </c>
      <c r="C18465" s="1" t="n">
        <v>45810</v>
      </c>
      <c r="D18465" t="inlineStr">
        <is>
          <t>VÄRMLANDS LÄN</t>
        </is>
      </c>
      <c r="E18465" t="inlineStr">
        <is>
          <t>KARLSTAD</t>
        </is>
      </c>
      <c r="G18465" t="n">
        <v>3</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2783-2025</t>
        </is>
      </c>
      <c r="B18466" s="1" t="n">
        <v>45676</v>
      </c>
      <c r="C18466" s="1" t="n">
        <v>45810</v>
      </c>
      <c r="D18466" t="inlineStr">
        <is>
          <t>VÄRMLANDS LÄN</t>
        </is>
      </c>
      <c r="E18466" t="inlineStr">
        <is>
          <t>SÄFFLE</t>
        </is>
      </c>
      <c r="G18466" t="n">
        <v>1.5</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2652-2025</t>
        </is>
      </c>
      <c r="B18467" s="1" t="n">
        <v>45676</v>
      </c>
      <c r="C18467" s="1" t="n">
        <v>45810</v>
      </c>
      <c r="D18467" t="inlineStr">
        <is>
          <t>VÄRMLANDS LÄN</t>
        </is>
      </c>
      <c r="E18467" t="inlineStr">
        <is>
          <t>KARLSTAD</t>
        </is>
      </c>
      <c r="G18467" t="n">
        <v>4.3</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2703-2025</t>
        </is>
      </c>
      <c r="B18468" s="1" t="n">
        <v>45677</v>
      </c>
      <c r="C18468" s="1" t="n">
        <v>45810</v>
      </c>
      <c r="D18468" t="inlineStr">
        <is>
          <t>VÄRMLANDS LÄN</t>
        </is>
      </c>
      <c r="E18468" t="inlineStr">
        <is>
          <t>ARVIKA</t>
        </is>
      </c>
      <c r="G18468" t="n">
        <v>2.6</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2788-2025</t>
        </is>
      </c>
      <c r="B18469" s="1" t="n">
        <v>45677</v>
      </c>
      <c r="C18469" s="1" t="n">
        <v>45810</v>
      </c>
      <c r="D18469" t="inlineStr">
        <is>
          <t>VÄRMLANDS LÄN</t>
        </is>
      </c>
      <c r="E18469" t="inlineStr">
        <is>
          <t>TORSBY</t>
        </is>
      </c>
      <c r="G18469" t="n">
        <v>0.6</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2858-2025</t>
        </is>
      </c>
      <c r="B18470" s="1" t="n">
        <v>45677</v>
      </c>
      <c r="C18470" s="1" t="n">
        <v>45810</v>
      </c>
      <c r="D18470" t="inlineStr">
        <is>
          <t>VÄRMLANDS LÄN</t>
        </is>
      </c>
      <c r="E18470" t="inlineStr">
        <is>
          <t>FILIPSTAD</t>
        </is>
      </c>
      <c r="F18470" t="inlineStr">
        <is>
          <t>Bergvik skog väst AB</t>
        </is>
      </c>
      <c r="G18470" t="n">
        <v>2</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2787-2025</t>
        </is>
      </c>
      <c r="B18471" s="1" t="n">
        <v>45677</v>
      </c>
      <c r="C18471" s="1" t="n">
        <v>45810</v>
      </c>
      <c r="D18471" t="inlineStr">
        <is>
          <t>VÄRMLANDS LÄN</t>
        </is>
      </c>
      <c r="E18471" t="inlineStr">
        <is>
          <t>ÅRJÄNG</t>
        </is>
      </c>
      <c r="G18471" t="n">
        <v>4</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2803-2025</t>
        </is>
      </c>
      <c r="B18472" s="1" t="n">
        <v>45677</v>
      </c>
      <c r="C18472" s="1" t="n">
        <v>45810</v>
      </c>
      <c r="D18472" t="inlineStr">
        <is>
          <t>VÄRMLANDS LÄN</t>
        </is>
      </c>
      <c r="E18472" t="inlineStr">
        <is>
          <t>TORSBY</t>
        </is>
      </c>
      <c r="F18472" t="inlineStr">
        <is>
          <t>Bergvik skog väst AB</t>
        </is>
      </c>
      <c r="G18472" t="n">
        <v>0.6</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2807-2025</t>
        </is>
      </c>
      <c r="B18473" s="1" t="n">
        <v>45677</v>
      </c>
      <c r="C18473" s="1" t="n">
        <v>45810</v>
      </c>
      <c r="D18473" t="inlineStr">
        <is>
          <t>VÄRMLANDS LÄN</t>
        </is>
      </c>
      <c r="E18473" t="inlineStr">
        <is>
          <t>TORSBY</t>
        </is>
      </c>
      <c r="G18473" t="n">
        <v>2.5</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2885-2025</t>
        </is>
      </c>
      <c r="B18474" s="1" t="n">
        <v>45677</v>
      </c>
      <c r="C18474" s="1" t="n">
        <v>45810</v>
      </c>
      <c r="D18474" t="inlineStr">
        <is>
          <t>VÄRMLANDS LÄN</t>
        </is>
      </c>
      <c r="E18474" t="inlineStr">
        <is>
          <t>SÄFFLE</t>
        </is>
      </c>
      <c r="G18474" t="n">
        <v>6.8</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2904-2025</t>
        </is>
      </c>
      <c r="B18475" s="1" t="n">
        <v>45677</v>
      </c>
      <c r="C18475" s="1" t="n">
        <v>45810</v>
      </c>
      <c r="D18475" t="inlineStr">
        <is>
          <t>VÄRMLANDS LÄN</t>
        </is>
      </c>
      <c r="E18475" t="inlineStr">
        <is>
          <t>FORSHAGA</t>
        </is>
      </c>
      <c r="G18475" t="n">
        <v>3.7</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2912-2025</t>
        </is>
      </c>
      <c r="B18476" s="1" t="n">
        <v>45677</v>
      </c>
      <c r="C18476" s="1" t="n">
        <v>45810</v>
      </c>
      <c r="D18476" t="inlineStr">
        <is>
          <t>VÄRMLANDS LÄN</t>
        </is>
      </c>
      <c r="E18476" t="inlineStr">
        <is>
          <t>EDA</t>
        </is>
      </c>
      <c r="G18476" t="n">
        <v>2.7</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2902-2025</t>
        </is>
      </c>
      <c r="B18477" s="1" t="n">
        <v>45677</v>
      </c>
      <c r="C18477" s="1" t="n">
        <v>45810</v>
      </c>
      <c r="D18477" t="inlineStr">
        <is>
          <t>VÄRMLANDS LÄN</t>
        </is>
      </c>
      <c r="E18477" t="inlineStr">
        <is>
          <t>SÄFFLE</t>
        </is>
      </c>
      <c r="G18477" t="n">
        <v>1.6</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2797-2025</t>
        </is>
      </c>
      <c r="B18478" s="1" t="n">
        <v>45677</v>
      </c>
      <c r="C18478" s="1" t="n">
        <v>45810</v>
      </c>
      <c r="D18478" t="inlineStr">
        <is>
          <t>VÄRMLANDS LÄN</t>
        </is>
      </c>
      <c r="E18478" t="inlineStr">
        <is>
          <t>TORSBY</t>
        </is>
      </c>
      <c r="G18478" t="n">
        <v>1.7</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2702-2025</t>
        </is>
      </c>
      <c r="B18479" s="1" t="n">
        <v>45677</v>
      </c>
      <c r="C18479" s="1" t="n">
        <v>45810</v>
      </c>
      <c r="D18479" t="inlineStr">
        <is>
          <t>VÄRMLANDS LÄN</t>
        </is>
      </c>
      <c r="E18479" t="inlineStr">
        <is>
          <t>ARVIKA</t>
        </is>
      </c>
      <c r="G18479" t="n">
        <v>4.8</v>
      </c>
      <c r="H18479" t="n">
        <v>0</v>
      </c>
      <c r="I18479" t="n">
        <v>0</v>
      </c>
      <c r="J18479" t="n">
        <v>0</v>
      </c>
      <c r="K18479" t="n">
        <v>0</v>
      </c>
      <c r="L18479" t="n">
        <v>0</v>
      </c>
      <c r="M18479" t="n">
        <v>0</v>
      </c>
      <c r="N18479" t="n">
        <v>0</v>
      </c>
      <c r="O18479" t="n">
        <v>0</v>
      </c>
      <c r="P18479" t="n">
        <v>0</v>
      </c>
      <c r="Q18479" t="n">
        <v>0</v>
      </c>
      <c r="R18479" s="2" t="inlineStr"/>
    </row>
    <row r="18480" ht="15" customHeight="1">
      <c r="A18480" t="inlineStr">
        <is>
          <t>A 3036-2025</t>
        </is>
      </c>
      <c r="B18480" s="1" t="n">
        <v>45678</v>
      </c>
      <c r="C18480" s="1" t="n">
        <v>45810</v>
      </c>
      <c r="D18480" t="inlineStr">
        <is>
          <t>VÄRMLANDS LÄN</t>
        </is>
      </c>
      <c r="E18480" t="inlineStr">
        <is>
          <t>TORSBY</t>
        </is>
      </c>
      <c r="G18480" t="n">
        <v>15.4</v>
      </c>
      <c r="H18480" t="n">
        <v>0</v>
      </c>
      <c r="I18480" t="n">
        <v>0</v>
      </c>
      <c r="J18480" t="n">
        <v>0</v>
      </c>
      <c r="K18480" t="n">
        <v>0</v>
      </c>
      <c r="L18480" t="n">
        <v>0</v>
      </c>
      <c r="M18480" t="n">
        <v>0</v>
      </c>
      <c r="N18480" t="n">
        <v>0</v>
      </c>
      <c r="O18480" t="n">
        <v>0</v>
      </c>
      <c r="P18480" t="n">
        <v>0</v>
      </c>
      <c r="Q18480" t="n">
        <v>0</v>
      </c>
      <c r="R18480" s="2" t="inlineStr"/>
    </row>
    <row r="18481" ht="15" customHeight="1">
      <c r="A18481" t="inlineStr">
        <is>
          <t>A 3076-2025</t>
        </is>
      </c>
      <c r="B18481" s="1" t="n">
        <v>45678</v>
      </c>
      <c r="C18481" s="1" t="n">
        <v>45810</v>
      </c>
      <c r="D18481" t="inlineStr">
        <is>
          <t>VÄRMLANDS LÄN</t>
        </is>
      </c>
      <c r="E18481" t="inlineStr">
        <is>
          <t>ARVIKA</t>
        </is>
      </c>
      <c r="G18481" t="n">
        <v>1</v>
      </c>
      <c r="H18481" t="n">
        <v>0</v>
      </c>
      <c r="I18481" t="n">
        <v>0</v>
      </c>
      <c r="J18481" t="n">
        <v>0</v>
      </c>
      <c r="K18481" t="n">
        <v>0</v>
      </c>
      <c r="L18481" t="n">
        <v>0</v>
      </c>
      <c r="M18481" t="n">
        <v>0</v>
      </c>
      <c r="N18481" t="n">
        <v>0</v>
      </c>
      <c r="O18481" t="n">
        <v>0</v>
      </c>
      <c r="P18481" t="n">
        <v>0</v>
      </c>
      <c r="Q18481" t="n">
        <v>0</v>
      </c>
      <c r="R18481" s="2" t="inlineStr"/>
    </row>
    <row r="18482" ht="15" customHeight="1">
      <c r="A18482" t="inlineStr">
        <is>
          <t>A 3148-2025</t>
        </is>
      </c>
      <c r="B18482" s="1" t="n">
        <v>45678</v>
      </c>
      <c r="C18482" s="1" t="n">
        <v>45810</v>
      </c>
      <c r="D18482" t="inlineStr">
        <is>
          <t>VÄRMLANDS LÄN</t>
        </is>
      </c>
      <c r="E18482" t="inlineStr">
        <is>
          <t>SUNNE</t>
        </is>
      </c>
      <c r="G18482" t="n">
        <v>1.5</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2924-2025</t>
        </is>
      </c>
      <c r="B18483" s="1" t="n">
        <v>45678</v>
      </c>
      <c r="C18483" s="1" t="n">
        <v>45810</v>
      </c>
      <c r="D18483" t="inlineStr">
        <is>
          <t>VÄRMLANDS LÄN</t>
        </is>
      </c>
      <c r="E18483" t="inlineStr">
        <is>
          <t>KRISTINEHAMN</t>
        </is>
      </c>
      <c r="G18483" t="n">
        <v>0.6</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2920-2025</t>
        </is>
      </c>
      <c r="B18484" s="1" t="n">
        <v>45678</v>
      </c>
      <c r="C18484" s="1" t="n">
        <v>45810</v>
      </c>
      <c r="D18484" t="inlineStr">
        <is>
          <t>VÄRMLANDS LÄN</t>
        </is>
      </c>
      <c r="E18484" t="inlineStr">
        <is>
          <t>KRISTINEHAMN</t>
        </is>
      </c>
      <c r="G18484" t="n">
        <v>2</v>
      </c>
      <c r="H18484" t="n">
        <v>0</v>
      </c>
      <c r="I18484" t="n">
        <v>0</v>
      </c>
      <c r="J18484" t="n">
        <v>0</v>
      </c>
      <c r="K18484" t="n">
        <v>0</v>
      </c>
      <c r="L18484" t="n">
        <v>0</v>
      </c>
      <c r="M18484" t="n">
        <v>0</v>
      </c>
      <c r="N18484" t="n">
        <v>0</v>
      </c>
      <c r="O18484" t="n">
        <v>0</v>
      </c>
      <c r="P18484" t="n">
        <v>0</v>
      </c>
      <c r="Q18484" t="n">
        <v>0</v>
      </c>
      <c r="R18484" s="2" t="inlineStr"/>
    </row>
    <row r="18485" ht="15" customHeight="1">
      <c r="A18485" t="inlineStr">
        <is>
          <t>A 3064-2025</t>
        </is>
      </c>
      <c r="B18485" s="1" t="n">
        <v>45678</v>
      </c>
      <c r="C18485" s="1" t="n">
        <v>45810</v>
      </c>
      <c r="D18485" t="inlineStr">
        <is>
          <t>VÄRMLANDS LÄN</t>
        </is>
      </c>
      <c r="E18485" t="inlineStr">
        <is>
          <t>HAGFORS</t>
        </is>
      </c>
      <c r="G18485" t="n">
        <v>16</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2981-2025</t>
        </is>
      </c>
      <c r="B18486" s="1" t="n">
        <v>45678</v>
      </c>
      <c r="C18486" s="1" t="n">
        <v>45810</v>
      </c>
      <c r="D18486" t="inlineStr">
        <is>
          <t>VÄRMLANDS LÄN</t>
        </is>
      </c>
      <c r="E18486" t="inlineStr">
        <is>
          <t>TORSBY</t>
        </is>
      </c>
      <c r="G18486" t="n">
        <v>4.7</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2927-2025</t>
        </is>
      </c>
      <c r="B18487" s="1" t="n">
        <v>45678</v>
      </c>
      <c r="C18487" s="1" t="n">
        <v>45810</v>
      </c>
      <c r="D18487" t="inlineStr">
        <is>
          <t>VÄRMLANDS LÄN</t>
        </is>
      </c>
      <c r="E18487" t="inlineStr">
        <is>
          <t>KRISTINEHAMN</t>
        </is>
      </c>
      <c r="G18487" t="n">
        <v>3.3</v>
      </c>
      <c r="H18487" t="n">
        <v>0</v>
      </c>
      <c r="I18487" t="n">
        <v>0</v>
      </c>
      <c r="J18487" t="n">
        <v>0</v>
      </c>
      <c r="K18487" t="n">
        <v>0</v>
      </c>
      <c r="L18487" t="n">
        <v>0</v>
      </c>
      <c r="M18487" t="n">
        <v>0</v>
      </c>
      <c r="N18487" t="n">
        <v>0</v>
      </c>
      <c r="O18487" t="n">
        <v>0</v>
      </c>
      <c r="P18487" t="n">
        <v>0</v>
      </c>
      <c r="Q18487" t="n">
        <v>0</v>
      </c>
      <c r="R18487" s="2" t="inlineStr"/>
    </row>
    <row r="18488" ht="15" customHeight="1">
      <c r="A18488" t="inlineStr">
        <is>
          <t>A 3147-2025</t>
        </is>
      </c>
      <c r="B18488" s="1" t="n">
        <v>45678</v>
      </c>
      <c r="C18488" s="1" t="n">
        <v>45810</v>
      </c>
      <c r="D18488" t="inlineStr">
        <is>
          <t>VÄRMLANDS LÄN</t>
        </is>
      </c>
      <c r="E18488" t="inlineStr">
        <is>
          <t>SUNNE</t>
        </is>
      </c>
      <c r="G18488" t="n">
        <v>1.8</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2971-2025</t>
        </is>
      </c>
      <c r="B18489" s="1" t="n">
        <v>45678</v>
      </c>
      <c r="C18489" s="1" t="n">
        <v>45810</v>
      </c>
      <c r="D18489" t="inlineStr">
        <is>
          <t>VÄRMLANDS LÄN</t>
        </is>
      </c>
      <c r="E18489" t="inlineStr">
        <is>
          <t>HAGFORS</t>
        </is>
      </c>
      <c r="G18489" t="n">
        <v>0.7</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2926-2025</t>
        </is>
      </c>
      <c r="B18490" s="1" t="n">
        <v>45678</v>
      </c>
      <c r="C18490" s="1" t="n">
        <v>45810</v>
      </c>
      <c r="D18490" t="inlineStr">
        <is>
          <t>VÄRMLANDS LÄN</t>
        </is>
      </c>
      <c r="E18490" t="inlineStr">
        <is>
          <t>KRISTINEHAMN</t>
        </is>
      </c>
      <c r="G18490" t="n">
        <v>0.9</v>
      </c>
      <c r="H18490" t="n">
        <v>0</v>
      </c>
      <c r="I18490" t="n">
        <v>0</v>
      </c>
      <c r="J18490" t="n">
        <v>0</v>
      </c>
      <c r="K18490" t="n">
        <v>0</v>
      </c>
      <c r="L18490" t="n">
        <v>0</v>
      </c>
      <c r="M18490" t="n">
        <v>0</v>
      </c>
      <c r="N18490" t="n">
        <v>0</v>
      </c>
      <c r="O18490" t="n">
        <v>0</v>
      </c>
      <c r="P18490" t="n">
        <v>0</v>
      </c>
      <c r="Q18490" t="n">
        <v>0</v>
      </c>
      <c r="R18490" s="2" t="inlineStr"/>
    </row>
    <row r="18491" ht="15" customHeight="1">
      <c r="A18491" t="inlineStr">
        <is>
          <t>A 3269-2025</t>
        </is>
      </c>
      <c r="B18491" s="1" t="n">
        <v>45679</v>
      </c>
      <c r="C18491" s="1" t="n">
        <v>45810</v>
      </c>
      <c r="D18491" t="inlineStr">
        <is>
          <t>VÄRMLANDS LÄN</t>
        </is>
      </c>
      <c r="E18491" t="inlineStr">
        <is>
          <t>TORSBY</t>
        </is>
      </c>
      <c r="G18491" t="n">
        <v>6.9</v>
      </c>
      <c r="H18491" t="n">
        <v>0</v>
      </c>
      <c r="I18491" t="n">
        <v>0</v>
      </c>
      <c r="J18491" t="n">
        <v>0</v>
      </c>
      <c r="K18491" t="n">
        <v>0</v>
      </c>
      <c r="L18491" t="n">
        <v>0</v>
      </c>
      <c r="M18491" t="n">
        <v>0</v>
      </c>
      <c r="N18491" t="n">
        <v>0</v>
      </c>
      <c r="O18491" t="n">
        <v>0</v>
      </c>
      <c r="P18491" t="n">
        <v>0</v>
      </c>
      <c r="Q18491" t="n">
        <v>0</v>
      </c>
      <c r="R18491" s="2" t="inlineStr"/>
    </row>
    <row r="18492" ht="15" customHeight="1">
      <c r="A18492" t="inlineStr">
        <is>
          <t>A 3307-2025</t>
        </is>
      </c>
      <c r="B18492" s="1" t="n">
        <v>45679</v>
      </c>
      <c r="C18492" s="1" t="n">
        <v>45810</v>
      </c>
      <c r="D18492" t="inlineStr">
        <is>
          <t>VÄRMLANDS LÄN</t>
        </is>
      </c>
      <c r="E18492" t="inlineStr">
        <is>
          <t>KARLSTAD</t>
        </is>
      </c>
      <c r="G18492" t="n">
        <v>3.5</v>
      </c>
      <c r="H18492" t="n">
        <v>0</v>
      </c>
      <c r="I18492" t="n">
        <v>0</v>
      </c>
      <c r="J18492" t="n">
        <v>0</v>
      </c>
      <c r="K18492" t="n">
        <v>0</v>
      </c>
      <c r="L18492" t="n">
        <v>0</v>
      </c>
      <c r="M18492" t="n">
        <v>0</v>
      </c>
      <c r="N18492" t="n">
        <v>0</v>
      </c>
      <c r="O18492" t="n">
        <v>0</v>
      </c>
      <c r="P18492" t="n">
        <v>0</v>
      </c>
      <c r="Q18492" t="n">
        <v>0</v>
      </c>
      <c r="R18492" s="2" t="inlineStr"/>
    </row>
    <row r="18493" ht="15" customHeight="1">
      <c r="A18493" t="inlineStr">
        <is>
          <t>A 3311-2025</t>
        </is>
      </c>
      <c r="B18493" s="1" t="n">
        <v>45679</v>
      </c>
      <c r="C18493" s="1" t="n">
        <v>45810</v>
      </c>
      <c r="D18493" t="inlineStr">
        <is>
          <t>VÄRMLANDS LÄN</t>
        </is>
      </c>
      <c r="E18493" t="inlineStr">
        <is>
          <t>SÄFFLE</t>
        </is>
      </c>
      <c r="G18493" t="n">
        <v>0.9</v>
      </c>
      <c r="H18493" t="n">
        <v>0</v>
      </c>
      <c r="I18493" t="n">
        <v>0</v>
      </c>
      <c r="J18493" t="n">
        <v>0</v>
      </c>
      <c r="K18493" t="n">
        <v>0</v>
      </c>
      <c r="L18493" t="n">
        <v>0</v>
      </c>
      <c r="M18493" t="n">
        <v>0</v>
      </c>
      <c r="N18493" t="n">
        <v>0</v>
      </c>
      <c r="O18493" t="n">
        <v>0</v>
      </c>
      <c r="P18493" t="n">
        <v>0</v>
      </c>
      <c r="Q18493" t="n">
        <v>0</v>
      </c>
      <c r="R18493" s="2" t="inlineStr"/>
    </row>
    <row r="18494" ht="15" customHeight="1">
      <c r="A18494" t="inlineStr">
        <is>
          <t>A 3313-2025</t>
        </is>
      </c>
      <c r="B18494" s="1" t="n">
        <v>45679</v>
      </c>
      <c r="C18494" s="1" t="n">
        <v>45810</v>
      </c>
      <c r="D18494" t="inlineStr">
        <is>
          <t>VÄRMLANDS LÄN</t>
        </is>
      </c>
      <c r="E18494" t="inlineStr">
        <is>
          <t>KRISTINEHAMN</t>
        </is>
      </c>
      <c r="G18494" t="n">
        <v>2.6</v>
      </c>
      <c r="H18494" t="n">
        <v>0</v>
      </c>
      <c r="I18494" t="n">
        <v>0</v>
      </c>
      <c r="J18494" t="n">
        <v>0</v>
      </c>
      <c r="K18494" t="n">
        <v>0</v>
      </c>
      <c r="L18494" t="n">
        <v>0</v>
      </c>
      <c r="M18494" t="n">
        <v>0</v>
      </c>
      <c r="N18494" t="n">
        <v>0</v>
      </c>
      <c r="O18494" t="n">
        <v>0</v>
      </c>
      <c r="P18494" t="n">
        <v>0</v>
      </c>
      <c r="Q18494" t="n">
        <v>0</v>
      </c>
      <c r="R18494" s="2" t="inlineStr"/>
    </row>
    <row r="18495" ht="15" customHeight="1">
      <c r="A18495" t="inlineStr">
        <is>
          <t>A 3338-2025</t>
        </is>
      </c>
      <c r="B18495" s="1" t="n">
        <v>45679</v>
      </c>
      <c r="C18495" s="1" t="n">
        <v>45810</v>
      </c>
      <c r="D18495" t="inlineStr">
        <is>
          <t>VÄRMLANDS LÄN</t>
        </is>
      </c>
      <c r="E18495" t="inlineStr">
        <is>
          <t>KRISTINEHAMN</t>
        </is>
      </c>
      <c r="G18495" t="n">
        <v>4.1</v>
      </c>
      <c r="H18495" t="n">
        <v>0</v>
      </c>
      <c r="I18495" t="n">
        <v>0</v>
      </c>
      <c r="J18495" t="n">
        <v>0</v>
      </c>
      <c r="K18495" t="n">
        <v>0</v>
      </c>
      <c r="L18495" t="n">
        <v>0</v>
      </c>
      <c r="M18495" t="n">
        <v>0</v>
      </c>
      <c r="N18495" t="n">
        <v>0</v>
      </c>
      <c r="O18495" t="n">
        <v>0</v>
      </c>
      <c r="P18495" t="n">
        <v>0</v>
      </c>
      <c r="Q18495" t="n">
        <v>0</v>
      </c>
      <c r="R18495" s="2" t="inlineStr"/>
    </row>
    <row r="18496" ht="15" customHeight="1">
      <c r="A18496" t="inlineStr">
        <is>
          <t>A 3350-2025</t>
        </is>
      </c>
      <c r="B18496" s="1" t="n">
        <v>45679</v>
      </c>
      <c r="C18496" s="1" t="n">
        <v>45810</v>
      </c>
      <c r="D18496" t="inlineStr">
        <is>
          <t>VÄRMLANDS LÄN</t>
        </is>
      </c>
      <c r="E18496" t="inlineStr">
        <is>
          <t>TORSBY</t>
        </is>
      </c>
      <c r="G18496" t="n">
        <v>3.7</v>
      </c>
      <c r="H18496" t="n">
        <v>0</v>
      </c>
      <c r="I18496" t="n">
        <v>0</v>
      </c>
      <c r="J18496" t="n">
        <v>0</v>
      </c>
      <c r="K18496" t="n">
        <v>0</v>
      </c>
      <c r="L18496" t="n">
        <v>0</v>
      </c>
      <c r="M18496" t="n">
        <v>0</v>
      </c>
      <c r="N18496" t="n">
        <v>0</v>
      </c>
      <c r="O18496" t="n">
        <v>0</v>
      </c>
      <c r="P18496" t="n">
        <v>0</v>
      </c>
      <c r="Q18496" t="n">
        <v>0</v>
      </c>
      <c r="R18496" s="2" t="inlineStr"/>
    </row>
    <row r="18497" ht="15" customHeight="1">
      <c r="A18497" t="inlineStr">
        <is>
          <t>A 3333-2025</t>
        </is>
      </c>
      <c r="B18497" s="1" t="n">
        <v>45679</v>
      </c>
      <c r="C18497" s="1" t="n">
        <v>45810</v>
      </c>
      <c r="D18497" t="inlineStr">
        <is>
          <t>VÄRMLANDS LÄN</t>
        </is>
      </c>
      <c r="E18497" t="inlineStr">
        <is>
          <t>MUNKFORS</t>
        </is>
      </c>
      <c r="G18497" t="n">
        <v>2.9</v>
      </c>
      <c r="H18497" t="n">
        <v>0</v>
      </c>
      <c r="I18497" t="n">
        <v>0</v>
      </c>
      <c r="J18497" t="n">
        <v>0</v>
      </c>
      <c r="K18497" t="n">
        <v>0</v>
      </c>
      <c r="L18497" t="n">
        <v>0</v>
      </c>
      <c r="M18497" t="n">
        <v>0</v>
      </c>
      <c r="N18497" t="n">
        <v>0</v>
      </c>
      <c r="O18497" t="n">
        <v>0</v>
      </c>
      <c r="P18497" t="n">
        <v>0</v>
      </c>
      <c r="Q18497" t="n">
        <v>0</v>
      </c>
      <c r="R18497" s="2" t="inlineStr"/>
    </row>
    <row r="18498" ht="15" customHeight="1">
      <c r="A18498" t="inlineStr">
        <is>
          <t>A 3302-2025</t>
        </is>
      </c>
      <c r="B18498" s="1" t="n">
        <v>45679</v>
      </c>
      <c r="C18498" s="1" t="n">
        <v>45810</v>
      </c>
      <c r="D18498" t="inlineStr">
        <is>
          <t>VÄRMLANDS LÄN</t>
        </is>
      </c>
      <c r="E18498" t="inlineStr">
        <is>
          <t>SUNNE</t>
        </is>
      </c>
      <c r="G18498" t="n">
        <v>1.2</v>
      </c>
      <c r="H18498" t="n">
        <v>0</v>
      </c>
      <c r="I18498" t="n">
        <v>0</v>
      </c>
      <c r="J18498" t="n">
        <v>0</v>
      </c>
      <c r="K18498" t="n">
        <v>0</v>
      </c>
      <c r="L18498" t="n">
        <v>0</v>
      </c>
      <c r="M18498" t="n">
        <v>0</v>
      </c>
      <c r="N18498" t="n">
        <v>0</v>
      </c>
      <c r="O18498" t="n">
        <v>0</v>
      </c>
      <c r="P18498" t="n">
        <v>0</v>
      </c>
      <c r="Q18498" t="n">
        <v>0</v>
      </c>
      <c r="R18498" s="2" t="inlineStr"/>
    </row>
    <row r="18499" ht="15" customHeight="1">
      <c r="A18499" t="inlineStr">
        <is>
          <t>A 3298-2025</t>
        </is>
      </c>
      <c r="B18499" s="1" t="n">
        <v>45679</v>
      </c>
      <c r="C18499" s="1" t="n">
        <v>45810</v>
      </c>
      <c r="D18499" t="inlineStr">
        <is>
          <t>VÄRMLANDS LÄN</t>
        </is>
      </c>
      <c r="E18499" t="inlineStr">
        <is>
          <t>ÅRJÄNG</t>
        </is>
      </c>
      <c r="G18499" t="n">
        <v>9.199999999999999</v>
      </c>
      <c r="H18499" t="n">
        <v>0</v>
      </c>
      <c r="I18499" t="n">
        <v>0</v>
      </c>
      <c r="J18499" t="n">
        <v>0</v>
      </c>
      <c r="K18499" t="n">
        <v>0</v>
      </c>
      <c r="L18499" t="n">
        <v>0</v>
      </c>
      <c r="M18499" t="n">
        <v>0</v>
      </c>
      <c r="N18499" t="n">
        <v>0</v>
      </c>
      <c r="O18499" t="n">
        <v>0</v>
      </c>
      <c r="P18499" t="n">
        <v>0</v>
      </c>
      <c r="Q18499" t="n">
        <v>0</v>
      </c>
      <c r="R18499" s="2" t="inlineStr"/>
    </row>
    <row r="18500" ht="15" customHeight="1">
      <c r="A18500" t="inlineStr">
        <is>
          <t>A 3226-2025</t>
        </is>
      </c>
      <c r="B18500" s="1" t="n">
        <v>45679</v>
      </c>
      <c r="C18500" s="1" t="n">
        <v>45810</v>
      </c>
      <c r="D18500" t="inlineStr">
        <is>
          <t>VÄRMLANDS LÄN</t>
        </is>
      </c>
      <c r="E18500" t="inlineStr">
        <is>
          <t>TORSBY</t>
        </is>
      </c>
      <c r="G18500" t="n">
        <v>3.3</v>
      </c>
      <c r="H18500" t="n">
        <v>0</v>
      </c>
      <c r="I18500" t="n">
        <v>0</v>
      </c>
      <c r="J18500" t="n">
        <v>0</v>
      </c>
      <c r="K18500" t="n">
        <v>0</v>
      </c>
      <c r="L18500" t="n">
        <v>0</v>
      </c>
      <c r="M18500" t="n">
        <v>0</v>
      </c>
      <c r="N18500" t="n">
        <v>0</v>
      </c>
      <c r="O18500" t="n">
        <v>0</v>
      </c>
      <c r="P18500" t="n">
        <v>0</v>
      </c>
      <c r="Q18500" t="n">
        <v>0</v>
      </c>
      <c r="R18500" s="2" t="inlineStr"/>
    </row>
    <row r="18501" ht="15" customHeight="1">
      <c r="A18501" t="inlineStr">
        <is>
          <t>A 3163-2025</t>
        </is>
      </c>
      <c r="B18501" s="1" t="n">
        <v>45679</v>
      </c>
      <c r="C18501" s="1" t="n">
        <v>45810</v>
      </c>
      <c r="D18501" t="inlineStr">
        <is>
          <t>VÄRMLANDS LÄN</t>
        </is>
      </c>
      <c r="E18501" t="inlineStr">
        <is>
          <t>KIL</t>
        </is>
      </c>
      <c r="G18501" t="n">
        <v>0.6</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3398-2025</t>
        </is>
      </c>
      <c r="B18502" s="1" t="n">
        <v>45679</v>
      </c>
      <c r="C18502" s="1" t="n">
        <v>45810</v>
      </c>
      <c r="D18502" t="inlineStr">
        <is>
          <t>VÄRMLANDS LÄN</t>
        </is>
      </c>
      <c r="E18502" t="inlineStr">
        <is>
          <t>KARLSTAD</t>
        </is>
      </c>
      <c r="G18502" t="n">
        <v>1.2</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3162-2025</t>
        </is>
      </c>
      <c r="B18503" s="1" t="n">
        <v>45679</v>
      </c>
      <c r="C18503" s="1" t="n">
        <v>45810</v>
      </c>
      <c r="D18503" t="inlineStr">
        <is>
          <t>VÄRMLANDS LÄN</t>
        </is>
      </c>
      <c r="E18503" t="inlineStr">
        <is>
          <t>HAGFORS</t>
        </is>
      </c>
      <c r="G18503" t="n">
        <v>0.9</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3158-2025</t>
        </is>
      </c>
      <c r="B18504" s="1" t="n">
        <v>45679</v>
      </c>
      <c r="C18504" s="1" t="n">
        <v>45810</v>
      </c>
      <c r="D18504" t="inlineStr">
        <is>
          <t>VÄRMLANDS LÄN</t>
        </is>
      </c>
      <c r="E18504" t="inlineStr">
        <is>
          <t>KIL</t>
        </is>
      </c>
      <c r="G18504" t="n">
        <v>3.2</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3223-2025</t>
        </is>
      </c>
      <c r="B18505" s="1" t="n">
        <v>45679</v>
      </c>
      <c r="C18505" s="1" t="n">
        <v>45810</v>
      </c>
      <c r="D18505" t="inlineStr">
        <is>
          <t>VÄRMLANDS LÄN</t>
        </is>
      </c>
      <c r="E18505" t="inlineStr">
        <is>
          <t>TORSBY</t>
        </is>
      </c>
      <c r="G18505" t="n">
        <v>3.4</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3260-2025</t>
        </is>
      </c>
      <c r="B18506" s="1" t="n">
        <v>45679</v>
      </c>
      <c r="C18506" s="1" t="n">
        <v>45810</v>
      </c>
      <c r="D18506" t="inlineStr">
        <is>
          <t>VÄRMLANDS LÄN</t>
        </is>
      </c>
      <c r="E18506" t="inlineStr">
        <is>
          <t>SUNNE</t>
        </is>
      </c>
      <c r="G18506" t="n">
        <v>1.8</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3288-2025</t>
        </is>
      </c>
      <c r="B18507" s="1" t="n">
        <v>45679</v>
      </c>
      <c r="C18507" s="1" t="n">
        <v>45810</v>
      </c>
      <c r="D18507" t="inlineStr">
        <is>
          <t>VÄRMLANDS LÄN</t>
        </is>
      </c>
      <c r="E18507" t="inlineStr">
        <is>
          <t>SÄFFLE</t>
        </is>
      </c>
      <c r="G18507" t="n">
        <v>1.2</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3292-2025</t>
        </is>
      </c>
      <c r="B18508" s="1" t="n">
        <v>45679</v>
      </c>
      <c r="C18508" s="1" t="n">
        <v>45810</v>
      </c>
      <c r="D18508" t="inlineStr">
        <is>
          <t>VÄRMLANDS LÄN</t>
        </is>
      </c>
      <c r="E18508" t="inlineStr">
        <is>
          <t>KARLSTAD</t>
        </is>
      </c>
      <c r="G18508" t="n">
        <v>0.7</v>
      </c>
      <c r="H18508" t="n">
        <v>0</v>
      </c>
      <c r="I18508" t="n">
        <v>0</v>
      </c>
      <c r="J18508" t="n">
        <v>0</v>
      </c>
      <c r="K18508" t="n">
        <v>0</v>
      </c>
      <c r="L18508" t="n">
        <v>0</v>
      </c>
      <c r="M18508" t="n">
        <v>0</v>
      </c>
      <c r="N18508" t="n">
        <v>0</v>
      </c>
      <c r="O18508" t="n">
        <v>0</v>
      </c>
      <c r="P18508" t="n">
        <v>0</v>
      </c>
      <c r="Q18508" t="n">
        <v>0</v>
      </c>
      <c r="R18508" s="2" t="inlineStr"/>
    </row>
    <row r="18509" ht="15" customHeight="1">
      <c r="A18509" t="inlineStr">
        <is>
          <t>A 3296-2025</t>
        </is>
      </c>
      <c r="B18509" s="1" t="n">
        <v>45679</v>
      </c>
      <c r="C18509" s="1" t="n">
        <v>45810</v>
      </c>
      <c r="D18509" t="inlineStr">
        <is>
          <t>VÄRMLANDS LÄN</t>
        </is>
      </c>
      <c r="E18509" t="inlineStr">
        <is>
          <t>KARLSTAD</t>
        </is>
      </c>
      <c r="G18509" t="n">
        <v>2</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3312-2025</t>
        </is>
      </c>
      <c r="B18510" s="1" t="n">
        <v>45679</v>
      </c>
      <c r="C18510" s="1" t="n">
        <v>45810</v>
      </c>
      <c r="D18510" t="inlineStr">
        <is>
          <t>VÄRMLANDS LÄN</t>
        </is>
      </c>
      <c r="E18510" t="inlineStr">
        <is>
          <t>ÅRJÄNG</t>
        </is>
      </c>
      <c r="G18510" t="n">
        <v>1.7</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3316-2025</t>
        </is>
      </c>
      <c r="B18511" s="1" t="n">
        <v>45679</v>
      </c>
      <c r="C18511" s="1" t="n">
        <v>45810</v>
      </c>
      <c r="D18511" t="inlineStr">
        <is>
          <t>VÄRMLANDS LÄN</t>
        </is>
      </c>
      <c r="E18511" t="inlineStr">
        <is>
          <t>KRISTINEHAMN</t>
        </is>
      </c>
      <c r="G18511" t="n">
        <v>2.7</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3332-2025</t>
        </is>
      </c>
      <c r="B18512" s="1" t="n">
        <v>45679</v>
      </c>
      <c r="C18512" s="1" t="n">
        <v>45810</v>
      </c>
      <c r="D18512" t="inlineStr">
        <is>
          <t>VÄRMLANDS LÄN</t>
        </is>
      </c>
      <c r="E18512" t="inlineStr">
        <is>
          <t>KRISTINEHAMN</t>
        </is>
      </c>
      <c r="G18512" t="n">
        <v>3.6</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3479-2025</t>
        </is>
      </c>
      <c r="B18513" s="1" t="n">
        <v>45680</v>
      </c>
      <c r="C18513" s="1" t="n">
        <v>45810</v>
      </c>
      <c r="D18513" t="inlineStr">
        <is>
          <t>VÄRMLANDS LÄN</t>
        </is>
      </c>
      <c r="E18513" t="inlineStr">
        <is>
          <t>ÅRJÄNG</t>
        </is>
      </c>
      <c r="G18513" t="n">
        <v>2.2</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3507-2025</t>
        </is>
      </c>
      <c r="B18514" s="1" t="n">
        <v>45680</v>
      </c>
      <c r="C18514" s="1" t="n">
        <v>45810</v>
      </c>
      <c r="D18514" t="inlineStr">
        <is>
          <t>VÄRMLANDS LÄN</t>
        </is>
      </c>
      <c r="E18514" t="inlineStr">
        <is>
          <t>TORSBY</t>
        </is>
      </c>
      <c r="F18514" t="inlineStr">
        <is>
          <t>Bergvik skog väst AB</t>
        </is>
      </c>
      <c r="G18514" t="n">
        <v>2.7</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3511-2025</t>
        </is>
      </c>
      <c r="B18515" s="1" t="n">
        <v>45680</v>
      </c>
      <c r="C18515" s="1" t="n">
        <v>45810</v>
      </c>
      <c r="D18515" t="inlineStr">
        <is>
          <t>VÄRMLANDS LÄN</t>
        </is>
      </c>
      <c r="E18515" t="inlineStr">
        <is>
          <t>TORSBY</t>
        </is>
      </c>
      <c r="F18515" t="inlineStr">
        <is>
          <t>Bergvik skog väst AB</t>
        </is>
      </c>
      <c r="G18515" t="n">
        <v>1.8</v>
      </c>
      <c r="H18515" t="n">
        <v>0</v>
      </c>
      <c r="I18515" t="n">
        <v>0</v>
      </c>
      <c r="J18515" t="n">
        <v>0</v>
      </c>
      <c r="K18515" t="n">
        <v>0</v>
      </c>
      <c r="L18515" t="n">
        <v>0</v>
      </c>
      <c r="M18515" t="n">
        <v>0</v>
      </c>
      <c r="N18515" t="n">
        <v>0</v>
      </c>
      <c r="O18515" t="n">
        <v>0</v>
      </c>
      <c r="P18515" t="n">
        <v>0</v>
      </c>
      <c r="Q18515" t="n">
        <v>0</v>
      </c>
      <c r="R18515" s="2" t="inlineStr"/>
    </row>
    <row r="18516" ht="15" customHeight="1">
      <c r="A18516" t="inlineStr">
        <is>
          <t>A 3374-2025</t>
        </is>
      </c>
      <c r="B18516" s="1" t="n">
        <v>45680</v>
      </c>
      <c r="C18516" s="1" t="n">
        <v>45810</v>
      </c>
      <c r="D18516" t="inlineStr">
        <is>
          <t>VÄRMLANDS LÄN</t>
        </is>
      </c>
      <c r="E18516" t="inlineStr">
        <is>
          <t>EDA</t>
        </is>
      </c>
      <c r="G18516" t="n">
        <v>4.3</v>
      </c>
      <c r="H18516" t="n">
        <v>0</v>
      </c>
      <c r="I18516" t="n">
        <v>0</v>
      </c>
      <c r="J18516" t="n">
        <v>0</v>
      </c>
      <c r="K18516" t="n">
        <v>0</v>
      </c>
      <c r="L18516" t="n">
        <v>0</v>
      </c>
      <c r="M18516" t="n">
        <v>0</v>
      </c>
      <c r="N18516" t="n">
        <v>0</v>
      </c>
      <c r="O18516" t="n">
        <v>0</v>
      </c>
      <c r="P18516" t="n">
        <v>0</v>
      </c>
      <c r="Q18516" t="n">
        <v>0</v>
      </c>
      <c r="R18516" s="2" t="inlineStr"/>
    </row>
    <row r="18517" ht="15" customHeight="1">
      <c r="A18517" t="inlineStr">
        <is>
          <t>A 3390-2025</t>
        </is>
      </c>
      <c r="B18517" s="1" t="n">
        <v>45680</v>
      </c>
      <c r="C18517" s="1" t="n">
        <v>45810</v>
      </c>
      <c r="D18517" t="inlineStr">
        <is>
          <t>VÄRMLANDS LÄN</t>
        </is>
      </c>
      <c r="E18517" t="inlineStr">
        <is>
          <t>SUNNE</t>
        </is>
      </c>
      <c r="G18517" t="n">
        <v>4.7</v>
      </c>
      <c r="H18517" t="n">
        <v>0</v>
      </c>
      <c r="I18517" t="n">
        <v>0</v>
      </c>
      <c r="J18517" t="n">
        <v>0</v>
      </c>
      <c r="K18517" t="n">
        <v>0</v>
      </c>
      <c r="L18517" t="n">
        <v>0</v>
      </c>
      <c r="M18517" t="n">
        <v>0</v>
      </c>
      <c r="N18517" t="n">
        <v>0</v>
      </c>
      <c r="O18517" t="n">
        <v>0</v>
      </c>
      <c r="P18517" t="n">
        <v>0</v>
      </c>
      <c r="Q18517" t="n">
        <v>0</v>
      </c>
      <c r="R18517" s="2" t="inlineStr"/>
    </row>
    <row r="18518" ht="15" customHeight="1">
      <c r="A18518" t="inlineStr">
        <is>
          <t>A 3550-2025</t>
        </is>
      </c>
      <c r="B18518" s="1" t="n">
        <v>45680</v>
      </c>
      <c r="C18518" s="1" t="n">
        <v>45810</v>
      </c>
      <c r="D18518" t="inlineStr">
        <is>
          <t>VÄRMLANDS LÄN</t>
        </is>
      </c>
      <c r="E18518" t="inlineStr">
        <is>
          <t>FILIPSTAD</t>
        </is>
      </c>
      <c r="F18518" t="inlineStr">
        <is>
          <t>Bergvik skog väst AB</t>
        </is>
      </c>
      <c r="G18518" t="n">
        <v>8</v>
      </c>
      <c r="H18518" t="n">
        <v>0</v>
      </c>
      <c r="I18518" t="n">
        <v>0</v>
      </c>
      <c r="J18518" t="n">
        <v>0</v>
      </c>
      <c r="K18518" t="n">
        <v>0</v>
      </c>
      <c r="L18518" t="n">
        <v>0</v>
      </c>
      <c r="M18518" t="n">
        <v>0</v>
      </c>
      <c r="N18518" t="n">
        <v>0</v>
      </c>
      <c r="O18518" t="n">
        <v>0</v>
      </c>
      <c r="P18518" t="n">
        <v>0</v>
      </c>
      <c r="Q18518" t="n">
        <v>0</v>
      </c>
      <c r="R18518" s="2" t="inlineStr"/>
    </row>
    <row r="18519" ht="15" customHeight="1">
      <c r="A18519" t="inlineStr">
        <is>
          <t>A 3541-2025</t>
        </is>
      </c>
      <c r="B18519" s="1" t="n">
        <v>45680</v>
      </c>
      <c r="C18519" s="1" t="n">
        <v>45810</v>
      </c>
      <c r="D18519" t="inlineStr">
        <is>
          <t>VÄRMLANDS LÄN</t>
        </is>
      </c>
      <c r="E18519" t="inlineStr">
        <is>
          <t>TORSBY</t>
        </is>
      </c>
      <c r="G18519" t="n">
        <v>2.4</v>
      </c>
      <c r="H18519" t="n">
        <v>0</v>
      </c>
      <c r="I18519" t="n">
        <v>0</v>
      </c>
      <c r="J18519" t="n">
        <v>0</v>
      </c>
      <c r="K18519" t="n">
        <v>0</v>
      </c>
      <c r="L18519" t="n">
        <v>0</v>
      </c>
      <c r="M18519" t="n">
        <v>0</v>
      </c>
      <c r="N18519" t="n">
        <v>0</v>
      </c>
      <c r="O18519" t="n">
        <v>0</v>
      </c>
      <c r="P18519" t="n">
        <v>0</v>
      </c>
      <c r="Q18519" t="n">
        <v>0</v>
      </c>
      <c r="R18519" s="2" t="inlineStr"/>
    </row>
    <row r="18520" ht="15" customHeight="1">
      <c r="A18520" t="inlineStr">
        <is>
          <t>A 3590-2025</t>
        </is>
      </c>
      <c r="B18520" s="1" t="n">
        <v>45680</v>
      </c>
      <c r="C18520" s="1" t="n">
        <v>45810</v>
      </c>
      <c r="D18520" t="inlineStr">
        <is>
          <t>VÄRMLANDS LÄN</t>
        </is>
      </c>
      <c r="E18520" t="inlineStr">
        <is>
          <t>ARVIKA</t>
        </is>
      </c>
      <c r="G18520" t="n">
        <v>2.3</v>
      </c>
      <c r="H18520" t="n">
        <v>0</v>
      </c>
      <c r="I18520" t="n">
        <v>0</v>
      </c>
      <c r="J18520" t="n">
        <v>0</v>
      </c>
      <c r="K18520" t="n">
        <v>0</v>
      </c>
      <c r="L18520" t="n">
        <v>0</v>
      </c>
      <c r="M18520" t="n">
        <v>0</v>
      </c>
      <c r="N18520" t="n">
        <v>0</v>
      </c>
      <c r="O18520" t="n">
        <v>0</v>
      </c>
      <c r="P18520" t="n">
        <v>0</v>
      </c>
      <c r="Q18520" t="n">
        <v>0</v>
      </c>
      <c r="R18520" s="2" t="inlineStr"/>
    </row>
    <row r="18521" ht="15" customHeight="1">
      <c r="A18521" t="inlineStr">
        <is>
          <t>A 3569-2025</t>
        </is>
      </c>
      <c r="B18521" s="1" t="n">
        <v>45680</v>
      </c>
      <c r="C18521" s="1" t="n">
        <v>45810</v>
      </c>
      <c r="D18521" t="inlineStr">
        <is>
          <t>VÄRMLANDS LÄN</t>
        </is>
      </c>
      <c r="E18521" t="inlineStr">
        <is>
          <t>KARLSTAD</t>
        </is>
      </c>
      <c r="G18521" t="n">
        <v>1.4</v>
      </c>
      <c r="H18521" t="n">
        <v>0</v>
      </c>
      <c r="I18521" t="n">
        <v>0</v>
      </c>
      <c r="J18521" t="n">
        <v>0</v>
      </c>
      <c r="K18521" t="n">
        <v>0</v>
      </c>
      <c r="L18521" t="n">
        <v>0</v>
      </c>
      <c r="M18521" t="n">
        <v>0</v>
      </c>
      <c r="N18521" t="n">
        <v>0</v>
      </c>
      <c r="O18521" t="n">
        <v>0</v>
      </c>
      <c r="P18521" t="n">
        <v>0</v>
      </c>
      <c r="Q18521" t="n">
        <v>0</v>
      </c>
      <c r="R18521" s="2" t="inlineStr"/>
    </row>
    <row r="18522" ht="15" customHeight="1">
      <c r="A18522" t="inlineStr">
        <is>
          <t>A 3529-2025</t>
        </is>
      </c>
      <c r="B18522" s="1" t="n">
        <v>45680</v>
      </c>
      <c r="C18522" s="1" t="n">
        <v>45810</v>
      </c>
      <c r="D18522" t="inlineStr">
        <is>
          <t>VÄRMLANDS LÄN</t>
        </is>
      </c>
      <c r="E18522" t="inlineStr">
        <is>
          <t>SÄFFLE</t>
        </is>
      </c>
      <c r="G18522" t="n">
        <v>8.4</v>
      </c>
      <c r="H18522" t="n">
        <v>0</v>
      </c>
      <c r="I18522" t="n">
        <v>0</v>
      </c>
      <c r="J18522" t="n">
        <v>0</v>
      </c>
      <c r="K18522" t="n">
        <v>0</v>
      </c>
      <c r="L18522" t="n">
        <v>0</v>
      </c>
      <c r="M18522" t="n">
        <v>0</v>
      </c>
      <c r="N18522" t="n">
        <v>0</v>
      </c>
      <c r="O18522" t="n">
        <v>0</v>
      </c>
      <c r="P18522" t="n">
        <v>0</v>
      </c>
      <c r="Q18522" t="n">
        <v>0</v>
      </c>
      <c r="R18522" s="2" t="inlineStr"/>
    </row>
    <row r="18523" ht="15" customHeight="1">
      <c r="A18523" t="inlineStr">
        <is>
          <t>A 3455-2025</t>
        </is>
      </c>
      <c r="B18523" s="1" t="n">
        <v>45680</v>
      </c>
      <c r="C18523" s="1" t="n">
        <v>45810</v>
      </c>
      <c r="D18523" t="inlineStr">
        <is>
          <t>VÄRMLANDS LÄN</t>
        </is>
      </c>
      <c r="E18523" t="inlineStr">
        <is>
          <t>STORFORS</t>
        </is>
      </c>
      <c r="G18523" t="n">
        <v>1.5</v>
      </c>
      <c r="H18523" t="n">
        <v>0</v>
      </c>
      <c r="I18523" t="n">
        <v>0</v>
      </c>
      <c r="J18523" t="n">
        <v>0</v>
      </c>
      <c r="K18523" t="n">
        <v>0</v>
      </c>
      <c r="L18523" t="n">
        <v>0</v>
      </c>
      <c r="M18523" t="n">
        <v>0</v>
      </c>
      <c r="N18523" t="n">
        <v>0</v>
      </c>
      <c r="O18523" t="n">
        <v>0</v>
      </c>
      <c r="P18523" t="n">
        <v>0</v>
      </c>
      <c r="Q18523" t="n">
        <v>0</v>
      </c>
      <c r="R18523" s="2" t="inlineStr"/>
    </row>
    <row r="18524" ht="15" customHeight="1">
      <c r="A18524" t="inlineStr">
        <is>
          <t>A 3456-2025</t>
        </is>
      </c>
      <c r="B18524" s="1" t="n">
        <v>45680</v>
      </c>
      <c r="C18524" s="1" t="n">
        <v>45810</v>
      </c>
      <c r="D18524" t="inlineStr">
        <is>
          <t>VÄRMLANDS LÄN</t>
        </is>
      </c>
      <c r="E18524" t="inlineStr">
        <is>
          <t>FORSHAGA</t>
        </is>
      </c>
      <c r="G18524" t="n">
        <v>5</v>
      </c>
      <c r="H18524" t="n">
        <v>0</v>
      </c>
      <c r="I18524" t="n">
        <v>0</v>
      </c>
      <c r="J18524" t="n">
        <v>0</v>
      </c>
      <c r="K18524" t="n">
        <v>0</v>
      </c>
      <c r="L18524" t="n">
        <v>0</v>
      </c>
      <c r="M18524" t="n">
        <v>0</v>
      </c>
      <c r="N18524" t="n">
        <v>0</v>
      </c>
      <c r="O18524" t="n">
        <v>0</v>
      </c>
      <c r="P18524" t="n">
        <v>0</v>
      </c>
      <c r="Q18524" t="n">
        <v>0</v>
      </c>
      <c r="R18524" s="2" t="inlineStr"/>
    </row>
    <row r="18525" ht="15" customHeight="1">
      <c r="A18525" t="inlineStr">
        <is>
          <t>A 3452-2025</t>
        </is>
      </c>
      <c r="B18525" s="1" t="n">
        <v>45680</v>
      </c>
      <c r="C18525" s="1" t="n">
        <v>45810</v>
      </c>
      <c r="D18525" t="inlineStr">
        <is>
          <t>VÄRMLANDS LÄN</t>
        </is>
      </c>
      <c r="E18525" t="inlineStr">
        <is>
          <t>STORFORS</t>
        </is>
      </c>
      <c r="G18525" t="n">
        <v>2.2</v>
      </c>
      <c r="H18525" t="n">
        <v>0</v>
      </c>
      <c r="I18525" t="n">
        <v>0</v>
      </c>
      <c r="J18525" t="n">
        <v>0</v>
      </c>
      <c r="K18525" t="n">
        <v>0</v>
      </c>
      <c r="L18525" t="n">
        <v>0</v>
      </c>
      <c r="M18525" t="n">
        <v>0</v>
      </c>
      <c r="N18525" t="n">
        <v>0</v>
      </c>
      <c r="O18525" t="n">
        <v>0</v>
      </c>
      <c r="P18525" t="n">
        <v>0</v>
      </c>
      <c r="Q18525" t="n">
        <v>0</v>
      </c>
      <c r="R18525" s="2" t="inlineStr"/>
    </row>
    <row r="18526" ht="15" customHeight="1">
      <c r="A18526" t="inlineStr">
        <is>
          <t>A 3441-2025</t>
        </is>
      </c>
      <c r="B18526" s="1" t="n">
        <v>45680</v>
      </c>
      <c r="C18526" s="1" t="n">
        <v>45810</v>
      </c>
      <c r="D18526" t="inlineStr">
        <is>
          <t>VÄRMLANDS LÄN</t>
        </is>
      </c>
      <c r="E18526" t="inlineStr">
        <is>
          <t>TORSBY</t>
        </is>
      </c>
      <c r="G18526" t="n">
        <v>1.8</v>
      </c>
      <c r="H18526" t="n">
        <v>0</v>
      </c>
      <c r="I18526" t="n">
        <v>0</v>
      </c>
      <c r="J18526" t="n">
        <v>0</v>
      </c>
      <c r="K18526" t="n">
        <v>0</v>
      </c>
      <c r="L18526" t="n">
        <v>0</v>
      </c>
      <c r="M18526" t="n">
        <v>0</v>
      </c>
      <c r="N18526" t="n">
        <v>0</v>
      </c>
      <c r="O18526" t="n">
        <v>0</v>
      </c>
      <c r="P18526" t="n">
        <v>0</v>
      </c>
      <c r="Q18526" t="n">
        <v>0</v>
      </c>
      <c r="R18526" s="2" t="inlineStr"/>
    </row>
    <row r="18527" ht="15" customHeight="1">
      <c r="A18527" t="inlineStr">
        <is>
          <t>A 3568-2025</t>
        </is>
      </c>
      <c r="B18527" s="1" t="n">
        <v>45680</v>
      </c>
      <c r="C18527" s="1" t="n">
        <v>45810</v>
      </c>
      <c r="D18527" t="inlineStr">
        <is>
          <t>VÄRMLANDS LÄN</t>
        </is>
      </c>
      <c r="E18527" t="inlineStr">
        <is>
          <t>EDA</t>
        </is>
      </c>
      <c r="G18527" t="n">
        <v>1.9</v>
      </c>
      <c r="H18527" t="n">
        <v>0</v>
      </c>
      <c r="I18527" t="n">
        <v>0</v>
      </c>
      <c r="J18527" t="n">
        <v>0</v>
      </c>
      <c r="K18527" t="n">
        <v>0</v>
      </c>
      <c r="L18527" t="n">
        <v>0</v>
      </c>
      <c r="M18527" t="n">
        <v>0</v>
      </c>
      <c r="N18527" t="n">
        <v>0</v>
      </c>
      <c r="O18527" t="n">
        <v>0</v>
      </c>
      <c r="P18527" t="n">
        <v>0</v>
      </c>
      <c r="Q18527" t="n">
        <v>0</v>
      </c>
      <c r="R18527" s="2" t="inlineStr"/>
    </row>
    <row r="18528" ht="15" customHeight="1">
      <c r="A18528" t="inlineStr">
        <is>
          <t>A 3588-2025</t>
        </is>
      </c>
      <c r="B18528" s="1" t="n">
        <v>45680</v>
      </c>
      <c r="C18528" s="1" t="n">
        <v>45810</v>
      </c>
      <c r="D18528" t="inlineStr">
        <is>
          <t>VÄRMLANDS LÄN</t>
        </is>
      </c>
      <c r="E18528" t="inlineStr">
        <is>
          <t>ARVIKA</t>
        </is>
      </c>
      <c r="G18528" t="n">
        <v>1</v>
      </c>
      <c r="H18528" t="n">
        <v>0</v>
      </c>
      <c r="I18528" t="n">
        <v>0</v>
      </c>
      <c r="J18528" t="n">
        <v>0</v>
      </c>
      <c r="K18528" t="n">
        <v>0</v>
      </c>
      <c r="L18528" t="n">
        <v>0</v>
      </c>
      <c r="M18528" t="n">
        <v>0</v>
      </c>
      <c r="N18528" t="n">
        <v>0</v>
      </c>
      <c r="O18528" t="n">
        <v>0</v>
      </c>
      <c r="P18528" t="n">
        <v>0</v>
      </c>
      <c r="Q18528" t="n">
        <v>0</v>
      </c>
      <c r="R18528" s="2" t="inlineStr"/>
    </row>
    <row r="18529" ht="15" customHeight="1">
      <c r="A18529" t="inlineStr">
        <is>
          <t>A 3421-2025</t>
        </is>
      </c>
      <c r="B18529" s="1" t="n">
        <v>45680</v>
      </c>
      <c r="C18529" s="1" t="n">
        <v>45810</v>
      </c>
      <c r="D18529" t="inlineStr">
        <is>
          <t>VÄRMLANDS LÄN</t>
        </is>
      </c>
      <c r="E18529" t="inlineStr">
        <is>
          <t>SUNNE</t>
        </is>
      </c>
      <c r="G18529" t="n">
        <v>1.1</v>
      </c>
      <c r="H18529" t="n">
        <v>0</v>
      </c>
      <c r="I18529" t="n">
        <v>0</v>
      </c>
      <c r="J18529" t="n">
        <v>0</v>
      </c>
      <c r="K18529" t="n">
        <v>0</v>
      </c>
      <c r="L18529" t="n">
        <v>0</v>
      </c>
      <c r="M18529" t="n">
        <v>0</v>
      </c>
      <c r="N18529" t="n">
        <v>0</v>
      </c>
      <c r="O18529" t="n">
        <v>0</v>
      </c>
      <c r="P18529" t="n">
        <v>0</v>
      </c>
      <c r="Q18529" t="n">
        <v>0</v>
      </c>
      <c r="R18529" s="2" t="inlineStr"/>
    </row>
    <row r="18530" ht="15" customHeight="1">
      <c r="A18530" t="inlineStr">
        <is>
          <t>A 3463-2025</t>
        </is>
      </c>
      <c r="B18530" s="1" t="n">
        <v>45680</v>
      </c>
      <c r="C18530" s="1" t="n">
        <v>45810</v>
      </c>
      <c r="D18530" t="inlineStr">
        <is>
          <t>VÄRMLANDS LÄN</t>
        </is>
      </c>
      <c r="E18530" t="inlineStr">
        <is>
          <t>ÅRJÄNG</t>
        </is>
      </c>
      <c r="G18530" t="n">
        <v>0.8</v>
      </c>
      <c r="H18530" t="n">
        <v>0</v>
      </c>
      <c r="I18530" t="n">
        <v>0</v>
      </c>
      <c r="J18530" t="n">
        <v>0</v>
      </c>
      <c r="K18530" t="n">
        <v>0</v>
      </c>
      <c r="L18530" t="n">
        <v>0</v>
      </c>
      <c r="M18530" t="n">
        <v>0</v>
      </c>
      <c r="N18530" t="n">
        <v>0</v>
      </c>
      <c r="O18530" t="n">
        <v>0</v>
      </c>
      <c r="P18530" t="n">
        <v>0</v>
      </c>
      <c r="Q18530" t="n">
        <v>0</v>
      </c>
      <c r="R18530" s="2" t="inlineStr"/>
    </row>
    <row r="18531" ht="15" customHeight="1">
      <c r="A18531" t="inlineStr">
        <is>
          <t>A 3458-2025</t>
        </is>
      </c>
      <c r="B18531" s="1" t="n">
        <v>45680</v>
      </c>
      <c r="C18531" s="1" t="n">
        <v>45810</v>
      </c>
      <c r="D18531" t="inlineStr">
        <is>
          <t>VÄRMLANDS LÄN</t>
        </is>
      </c>
      <c r="E18531" t="inlineStr">
        <is>
          <t>ÅRJÄNG</t>
        </is>
      </c>
      <c r="G18531" t="n">
        <v>1.4</v>
      </c>
      <c r="H18531" t="n">
        <v>0</v>
      </c>
      <c r="I18531" t="n">
        <v>0</v>
      </c>
      <c r="J18531" t="n">
        <v>0</v>
      </c>
      <c r="K18531" t="n">
        <v>0</v>
      </c>
      <c r="L18531" t="n">
        <v>0</v>
      </c>
      <c r="M18531" t="n">
        <v>0</v>
      </c>
      <c r="N18531" t="n">
        <v>0</v>
      </c>
      <c r="O18531" t="n">
        <v>0</v>
      </c>
      <c r="P18531" t="n">
        <v>0</v>
      </c>
      <c r="Q18531" t="n">
        <v>0</v>
      </c>
      <c r="R18531" s="2" t="inlineStr"/>
    </row>
    <row r="18532" ht="15" customHeight="1">
      <c r="A18532" t="inlineStr">
        <is>
          <t>A 3408-2025</t>
        </is>
      </c>
      <c r="B18532" s="1" t="n">
        <v>45680</v>
      </c>
      <c r="C18532" s="1" t="n">
        <v>45810</v>
      </c>
      <c r="D18532" t="inlineStr">
        <is>
          <t>VÄRMLANDS LÄN</t>
        </is>
      </c>
      <c r="E18532" t="inlineStr">
        <is>
          <t>ARVIKA</t>
        </is>
      </c>
      <c r="G18532" t="n">
        <v>1.8</v>
      </c>
      <c r="H18532" t="n">
        <v>0</v>
      </c>
      <c r="I18532" t="n">
        <v>0</v>
      </c>
      <c r="J18532" t="n">
        <v>0</v>
      </c>
      <c r="K18532" t="n">
        <v>0</v>
      </c>
      <c r="L18532" t="n">
        <v>0</v>
      </c>
      <c r="M18532" t="n">
        <v>0</v>
      </c>
      <c r="N18532" t="n">
        <v>0</v>
      </c>
      <c r="O18532" t="n">
        <v>0</v>
      </c>
      <c r="P18532" t="n">
        <v>0</v>
      </c>
      <c r="Q18532" t="n">
        <v>0</v>
      </c>
      <c r="R18532" s="2" t="inlineStr"/>
    </row>
    <row r="18533" ht="15" customHeight="1">
      <c r="A18533" t="inlineStr">
        <is>
          <t>A 3387-2025</t>
        </is>
      </c>
      <c r="B18533" s="1" t="n">
        <v>45680</v>
      </c>
      <c r="C18533" s="1" t="n">
        <v>45810</v>
      </c>
      <c r="D18533" t="inlineStr">
        <is>
          <t>VÄRMLANDS LÄN</t>
        </is>
      </c>
      <c r="E18533" t="inlineStr">
        <is>
          <t>TORSBY</t>
        </is>
      </c>
      <c r="F18533" t="inlineStr">
        <is>
          <t>Kommuner</t>
        </is>
      </c>
      <c r="G18533" t="n">
        <v>0.9</v>
      </c>
      <c r="H18533" t="n">
        <v>0</v>
      </c>
      <c r="I18533" t="n">
        <v>0</v>
      </c>
      <c r="J18533" t="n">
        <v>0</v>
      </c>
      <c r="K18533" t="n">
        <v>0</v>
      </c>
      <c r="L18533" t="n">
        <v>0</v>
      </c>
      <c r="M18533" t="n">
        <v>0</v>
      </c>
      <c r="N18533" t="n">
        <v>0</v>
      </c>
      <c r="O18533" t="n">
        <v>0</v>
      </c>
      <c r="P18533" t="n">
        <v>0</v>
      </c>
      <c r="Q18533" t="n">
        <v>0</v>
      </c>
      <c r="R18533" s="2" t="inlineStr"/>
    </row>
    <row r="18534" ht="15" customHeight="1">
      <c r="A18534" t="inlineStr">
        <is>
          <t>A 3442-2025</t>
        </is>
      </c>
      <c r="B18534" s="1" t="n">
        <v>45680</v>
      </c>
      <c r="C18534" s="1" t="n">
        <v>45810</v>
      </c>
      <c r="D18534" t="inlineStr">
        <is>
          <t>VÄRMLANDS LÄN</t>
        </is>
      </c>
      <c r="E18534" t="inlineStr">
        <is>
          <t>TORSBY</t>
        </is>
      </c>
      <c r="G18534" t="n">
        <v>1</v>
      </c>
      <c r="H18534" t="n">
        <v>0</v>
      </c>
      <c r="I18534" t="n">
        <v>0</v>
      </c>
      <c r="J18534" t="n">
        <v>0</v>
      </c>
      <c r="K18534" t="n">
        <v>0</v>
      </c>
      <c r="L18534" t="n">
        <v>0</v>
      </c>
      <c r="M18534" t="n">
        <v>0</v>
      </c>
      <c r="N18534" t="n">
        <v>0</v>
      </c>
      <c r="O18534" t="n">
        <v>0</v>
      </c>
      <c r="P18534" t="n">
        <v>0</v>
      </c>
      <c r="Q18534" t="n">
        <v>0</v>
      </c>
      <c r="R18534" s="2" t="inlineStr"/>
    </row>
    <row r="18535" ht="15" customHeight="1">
      <c r="A18535" t="inlineStr">
        <is>
          <t>A 3434-2025</t>
        </is>
      </c>
      <c r="B18535" s="1" t="n">
        <v>45680</v>
      </c>
      <c r="C18535" s="1" t="n">
        <v>45810</v>
      </c>
      <c r="D18535" t="inlineStr">
        <is>
          <t>VÄRMLANDS LÄN</t>
        </is>
      </c>
      <c r="E18535" t="inlineStr">
        <is>
          <t>EDA</t>
        </is>
      </c>
      <c r="G18535" t="n">
        <v>0.6</v>
      </c>
      <c r="H18535" t="n">
        <v>0</v>
      </c>
      <c r="I18535" t="n">
        <v>0</v>
      </c>
      <c r="J18535" t="n">
        <v>0</v>
      </c>
      <c r="K18535" t="n">
        <v>0</v>
      </c>
      <c r="L18535" t="n">
        <v>0</v>
      </c>
      <c r="M18535" t="n">
        <v>0</v>
      </c>
      <c r="N18535" t="n">
        <v>0</v>
      </c>
      <c r="O18535" t="n">
        <v>0</v>
      </c>
      <c r="P18535" t="n">
        <v>0</v>
      </c>
      <c r="Q18535" t="n">
        <v>0</v>
      </c>
      <c r="R18535" s="2" t="inlineStr"/>
    </row>
    <row r="18536" ht="15" customHeight="1">
      <c r="A18536" t="inlineStr">
        <is>
          <t>A 3409-2025</t>
        </is>
      </c>
      <c r="B18536" s="1" t="n">
        <v>45680</v>
      </c>
      <c r="C18536" s="1" t="n">
        <v>45810</v>
      </c>
      <c r="D18536" t="inlineStr">
        <is>
          <t>VÄRMLANDS LÄN</t>
        </is>
      </c>
      <c r="E18536" t="inlineStr">
        <is>
          <t>TORSBY</t>
        </is>
      </c>
      <c r="G18536" t="n">
        <v>1</v>
      </c>
      <c r="H18536" t="n">
        <v>0</v>
      </c>
      <c r="I18536" t="n">
        <v>0</v>
      </c>
      <c r="J18536" t="n">
        <v>0</v>
      </c>
      <c r="K18536" t="n">
        <v>0</v>
      </c>
      <c r="L18536" t="n">
        <v>0</v>
      </c>
      <c r="M18536" t="n">
        <v>0</v>
      </c>
      <c r="N18536" t="n">
        <v>0</v>
      </c>
      <c r="O18536" t="n">
        <v>0</v>
      </c>
      <c r="P18536" t="n">
        <v>0</v>
      </c>
      <c r="Q18536" t="n">
        <v>0</v>
      </c>
      <c r="R18536" s="2" t="inlineStr"/>
    </row>
    <row r="18537" ht="15" customHeight="1">
      <c r="A18537" t="inlineStr">
        <is>
          <t>A 3392-2025</t>
        </is>
      </c>
      <c r="B18537" s="1" t="n">
        <v>45680</v>
      </c>
      <c r="C18537" s="1" t="n">
        <v>45810</v>
      </c>
      <c r="D18537" t="inlineStr">
        <is>
          <t>VÄRMLANDS LÄN</t>
        </is>
      </c>
      <c r="E18537" t="inlineStr">
        <is>
          <t>SUNNE</t>
        </is>
      </c>
      <c r="G18537" t="n">
        <v>3</v>
      </c>
      <c r="H18537" t="n">
        <v>0</v>
      </c>
      <c r="I18537" t="n">
        <v>0</v>
      </c>
      <c r="J18537" t="n">
        <v>0</v>
      </c>
      <c r="K18537" t="n">
        <v>0</v>
      </c>
      <c r="L18537" t="n">
        <v>0</v>
      </c>
      <c r="M18537" t="n">
        <v>0</v>
      </c>
      <c r="N18537" t="n">
        <v>0</v>
      </c>
      <c r="O18537" t="n">
        <v>0</v>
      </c>
      <c r="P18537" t="n">
        <v>0</v>
      </c>
      <c r="Q18537" t="n">
        <v>0</v>
      </c>
      <c r="R18537" s="2" t="inlineStr"/>
    </row>
    <row r="18538" ht="15" customHeight="1">
      <c r="A18538" t="inlineStr">
        <is>
          <t>A 3376-2025</t>
        </is>
      </c>
      <c r="B18538" s="1" t="n">
        <v>45680</v>
      </c>
      <c r="C18538" s="1" t="n">
        <v>45810</v>
      </c>
      <c r="D18538" t="inlineStr">
        <is>
          <t>VÄRMLANDS LÄN</t>
        </is>
      </c>
      <c r="E18538" t="inlineStr">
        <is>
          <t>HAGFORS</t>
        </is>
      </c>
      <c r="F18538" t="inlineStr">
        <is>
          <t>Bergvik skog väst AB</t>
        </is>
      </c>
      <c r="G18538" t="n">
        <v>13.7</v>
      </c>
      <c r="H18538" t="n">
        <v>0</v>
      </c>
      <c r="I18538" t="n">
        <v>0</v>
      </c>
      <c r="J18538" t="n">
        <v>0</v>
      </c>
      <c r="K18538" t="n">
        <v>0</v>
      </c>
      <c r="L18538" t="n">
        <v>0</v>
      </c>
      <c r="M18538" t="n">
        <v>0</v>
      </c>
      <c r="N18538" t="n">
        <v>0</v>
      </c>
      <c r="O18538" t="n">
        <v>0</v>
      </c>
      <c r="P18538" t="n">
        <v>0</v>
      </c>
      <c r="Q18538" t="n">
        <v>0</v>
      </c>
      <c r="R18538" s="2" t="inlineStr"/>
    </row>
    <row r="18539" ht="15" customHeight="1">
      <c r="A18539" t="inlineStr">
        <is>
          <t>A 3779-2025</t>
        </is>
      </c>
      <c r="B18539" s="1" t="n">
        <v>45681</v>
      </c>
      <c r="C18539" s="1" t="n">
        <v>45810</v>
      </c>
      <c r="D18539" t="inlineStr">
        <is>
          <t>VÄRMLANDS LÄN</t>
        </is>
      </c>
      <c r="E18539" t="inlineStr">
        <is>
          <t>GRUMS</t>
        </is>
      </c>
      <c r="F18539" t="inlineStr">
        <is>
          <t>BillerudKorsnäs AB</t>
        </is>
      </c>
      <c r="G18539" t="n">
        <v>7.6</v>
      </c>
      <c r="H18539" t="n">
        <v>0</v>
      </c>
      <c r="I18539" t="n">
        <v>0</v>
      </c>
      <c r="J18539" t="n">
        <v>0</v>
      </c>
      <c r="K18539" t="n">
        <v>0</v>
      </c>
      <c r="L18539" t="n">
        <v>0</v>
      </c>
      <c r="M18539" t="n">
        <v>0</v>
      </c>
      <c r="N18539" t="n">
        <v>0</v>
      </c>
      <c r="O18539" t="n">
        <v>0</v>
      </c>
      <c r="P18539" t="n">
        <v>0</v>
      </c>
      <c r="Q18539" t="n">
        <v>0</v>
      </c>
      <c r="R18539" s="2" t="inlineStr"/>
    </row>
    <row r="18540" ht="15" customHeight="1">
      <c r="A18540" t="inlineStr">
        <is>
          <t>A 3771-2025</t>
        </is>
      </c>
      <c r="B18540" s="1" t="n">
        <v>45681</v>
      </c>
      <c r="C18540" s="1" t="n">
        <v>45810</v>
      </c>
      <c r="D18540" t="inlineStr">
        <is>
          <t>VÄRMLANDS LÄN</t>
        </is>
      </c>
      <c r="E18540" t="inlineStr">
        <is>
          <t>SÄFFLE</t>
        </is>
      </c>
      <c r="G18540" t="n">
        <v>3.7</v>
      </c>
      <c r="H18540" t="n">
        <v>0</v>
      </c>
      <c r="I18540" t="n">
        <v>0</v>
      </c>
      <c r="J18540" t="n">
        <v>0</v>
      </c>
      <c r="K18540" t="n">
        <v>0</v>
      </c>
      <c r="L18540" t="n">
        <v>0</v>
      </c>
      <c r="M18540" t="n">
        <v>0</v>
      </c>
      <c r="N18540" t="n">
        <v>0</v>
      </c>
      <c r="O18540" t="n">
        <v>0</v>
      </c>
      <c r="P18540" t="n">
        <v>0</v>
      </c>
      <c r="Q18540" t="n">
        <v>0</v>
      </c>
      <c r="R18540" s="2" t="inlineStr"/>
    </row>
    <row r="18541" ht="15" customHeight="1">
      <c r="A18541" t="inlineStr">
        <is>
          <t>A 3827-2025</t>
        </is>
      </c>
      <c r="B18541" s="1" t="n">
        <v>45681</v>
      </c>
      <c r="C18541" s="1" t="n">
        <v>45810</v>
      </c>
      <c r="D18541" t="inlineStr">
        <is>
          <t>VÄRMLANDS LÄN</t>
        </is>
      </c>
      <c r="E18541" t="inlineStr">
        <is>
          <t>ARVIKA</t>
        </is>
      </c>
      <c r="G18541" t="n">
        <v>0.9</v>
      </c>
      <c r="H18541" t="n">
        <v>0</v>
      </c>
      <c r="I18541" t="n">
        <v>0</v>
      </c>
      <c r="J18541" t="n">
        <v>0</v>
      </c>
      <c r="K18541" t="n">
        <v>0</v>
      </c>
      <c r="L18541" t="n">
        <v>0</v>
      </c>
      <c r="M18541" t="n">
        <v>0</v>
      </c>
      <c r="N18541" t="n">
        <v>0</v>
      </c>
      <c r="O18541" t="n">
        <v>0</v>
      </c>
      <c r="P18541" t="n">
        <v>0</v>
      </c>
      <c r="Q18541" t="n">
        <v>0</v>
      </c>
      <c r="R18541" s="2" t="inlineStr"/>
    </row>
    <row r="18542" ht="15" customHeight="1">
      <c r="A18542" t="inlineStr">
        <is>
          <t>A 3775-2025</t>
        </is>
      </c>
      <c r="B18542" s="1" t="n">
        <v>45681</v>
      </c>
      <c r="C18542" s="1" t="n">
        <v>45810</v>
      </c>
      <c r="D18542" t="inlineStr">
        <is>
          <t>VÄRMLANDS LÄN</t>
        </is>
      </c>
      <c r="E18542" t="inlineStr">
        <is>
          <t>EDA</t>
        </is>
      </c>
      <c r="F18542" t="inlineStr">
        <is>
          <t>Kommuner</t>
        </is>
      </c>
      <c r="G18542" t="n">
        <v>8.300000000000001</v>
      </c>
      <c r="H18542" t="n">
        <v>0</v>
      </c>
      <c r="I18542" t="n">
        <v>0</v>
      </c>
      <c r="J18542" t="n">
        <v>0</v>
      </c>
      <c r="K18542" t="n">
        <v>0</v>
      </c>
      <c r="L18542" t="n">
        <v>0</v>
      </c>
      <c r="M18542" t="n">
        <v>0</v>
      </c>
      <c r="N18542" t="n">
        <v>0</v>
      </c>
      <c r="O18542" t="n">
        <v>0</v>
      </c>
      <c r="P18542" t="n">
        <v>0</v>
      </c>
      <c r="Q18542" t="n">
        <v>0</v>
      </c>
      <c r="R18542" s="2" t="inlineStr"/>
    </row>
    <row r="18543" ht="15" customHeight="1">
      <c r="A18543" t="inlineStr">
        <is>
          <t>A 3794-2025</t>
        </is>
      </c>
      <c r="B18543" s="1" t="n">
        <v>45681</v>
      </c>
      <c r="C18543" s="1" t="n">
        <v>45810</v>
      </c>
      <c r="D18543" t="inlineStr">
        <is>
          <t>VÄRMLANDS LÄN</t>
        </is>
      </c>
      <c r="E18543" t="inlineStr">
        <is>
          <t>KARLSTAD</t>
        </is>
      </c>
      <c r="G18543" t="n">
        <v>1.1</v>
      </c>
      <c r="H18543" t="n">
        <v>0</v>
      </c>
      <c r="I18543" t="n">
        <v>0</v>
      </c>
      <c r="J18543" t="n">
        <v>0</v>
      </c>
      <c r="K18543" t="n">
        <v>0</v>
      </c>
      <c r="L18543" t="n">
        <v>0</v>
      </c>
      <c r="M18543" t="n">
        <v>0</v>
      </c>
      <c r="N18543" t="n">
        <v>0</v>
      </c>
      <c r="O18543" t="n">
        <v>0</v>
      </c>
      <c r="P18543" t="n">
        <v>0</v>
      </c>
      <c r="Q18543" t="n">
        <v>0</v>
      </c>
      <c r="R18543" s="2" t="inlineStr"/>
    </row>
    <row r="18544" ht="15" customHeight="1">
      <c r="A18544" t="inlineStr">
        <is>
          <t>A 3790-2025</t>
        </is>
      </c>
      <c r="B18544" s="1" t="n">
        <v>45681</v>
      </c>
      <c r="C18544" s="1" t="n">
        <v>45810</v>
      </c>
      <c r="D18544" t="inlineStr">
        <is>
          <t>VÄRMLANDS LÄN</t>
        </is>
      </c>
      <c r="E18544" t="inlineStr">
        <is>
          <t>KRISTINEHAMN</t>
        </is>
      </c>
      <c r="F18544" t="inlineStr">
        <is>
          <t>Kommuner</t>
        </is>
      </c>
      <c r="G18544" t="n">
        <v>0.7</v>
      </c>
      <c r="H18544" t="n">
        <v>0</v>
      </c>
      <c r="I18544" t="n">
        <v>0</v>
      </c>
      <c r="J18544" t="n">
        <v>0</v>
      </c>
      <c r="K18544" t="n">
        <v>0</v>
      </c>
      <c r="L18544" t="n">
        <v>0</v>
      </c>
      <c r="M18544" t="n">
        <v>0</v>
      </c>
      <c r="N18544" t="n">
        <v>0</v>
      </c>
      <c r="O18544" t="n">
        <v>0</v>
      </c>
      <c r="P18544" t="n">
        <v>0</v>
      </c>
      <c r="Q18544" t="n">
        <v>0</v>
      </c>
      <c r="R18544" s="2" t="inlineStr"/>
    </row>
    <row r="18545" ht="15" customHeight="1">
      <c r="A18545" t="inlineStr">
        <is>
          <t>A 3793-2025</t>
        </is>
      </c>
      <c r="B18545" s="1" t="n">
        <v>45681</v>
      </c>
      <c r="C18545" s="1" t="n">
        <v>45810</v>
      </c>
      <c r="D18545" t="inlineStr">
        <is>
          <t>VÄRMLANDS LÄN</t>
        </is>
      </c>
      <c r="E18545" t="inlineStr">
        <is>
          <t>KRISTINEHAMN</t>
        </is>
      </c>
      <c r="F18545" t="inlineStr">
        <is>
          <t>Kommuner</t>
        </is>
      </c>
      <c r="G18545" t="n">
        <v>0.8</v>
      </c>
      <c r="H18545" t="n">
        <v>0</v>
      </c>
      <c r="I18545" t="n">
        <v>0</v>
      </c>
      <c r="J18545" t="n">
        <v>0</v>
      </c>
      <c r="K18545" t="n">
        <v>0</v>
      </c>
      <c r="L18545" t="n">
        <v>0</v>
      </c>
      <c r="M18545" t="n">
        <v>0</v>
      </c>
      <c r="N18545" t="n">
        <v>0</v>
      </c>
      <c r="O18545" t="n">
        <v>0</v>
      </c>
      <c r="P18545" t="n">
        <v>0</v>
      </c>
      <c r="Q18545" t="n">
        <v>0</v>
      </c>
      <c r="R18545" s="2" t="inlineStr"/>
    </row>
    <row r="18546" ht="15" customHeight="1">
      <c r="A18546" t="inlineStr">
        <is>
          <t>A 3826-2025</t>
        </is>
      </c>
      <c r="B18546" s="1" t="n">
        <v>45681</v>
      </c>
      <c r="C18546" s="1" t="n">
        <v>45810</v>
      </c>
      <c r="D18546" t="inlineStr">
        <is>
          <t>VÄRMLANDS LÄN</t>
        </is>
      </c>
      <c r="E18546" t="inlineStr">
        <is>
          <t>KIL</t>
        </is>
      </c>
      <c r="G18546" t="n">
        <v>0.9</v>
      </c>
      <c r="H18546" t="n">
        <v>0</v>
      </c>
      <c r="I18546" t="n">
        <v>0</v>
      </c>
      <c r="J18546" t="n">
        <v>0</v>
      </c>
      <c r="K18546" t="n">
        <v>0</v>
      </c>
      <c r="L18546" t="n">
        <v>0</v>
      </c>
      <c r="M18546" t="n">
        <v>0</v>
      </c>
      <c r="N18546" t="n">
        <v>0</v>
      </c>
      <c r="O18546" t="n">
        <v>0</v>
      </c>
      <c r="P18546" t="n">
        <v>0</v>
      </c>
      <c r="Q18546" t="n">
        <v>0</v>
      </c>
      <c r="R18546" s="2" t="inlineStr"/>
    </row>
    <row r="18547" ht="15" customHeight="1">
      <c r="A18547" t="inlineStr">
        <is>
          <t>A 3698-2025</t>
        </is>
      </c>
      <c r="B18547" s="1" t="n">
        <v>45681</v>
      </c>
      <c r="C18547" s="1" t="n">
        <v>45810</v>
      </c>
      <c r="D18547" t="inlineStr">
        <is>
          <t>VÄRMLANDS LÄN</t>
        </is>
      </c>
      <c r="E18547" t="inlineStr">
        <is>
          <t>SÄFFLE</t>
        </is>
      </c>
      <c r="G18547" t="n">
        <v>0.9</v>
      </c>
      <c r="H18547" t="n">
        <v>0</v>
      </c>
      <c r="I18547" t="n">
        <v>0</v>
      </c>
      <c r="J18547" t="n">
        <v>0</v>
      </c>
      <c r="K18547" t="n">
        <v>0</v>
      </c>
      <c r="L18547" t="n">
        <v>0</v>
      </c>
      <c r="M18547" t="n">
        <v>0</v>
      </c>
      <c r="N18547" t="n">
        <v>0</v>
      </c>
      <c r="O18547" t="n">
        <v>0</v>
      </c>
      <c r="P18547" t="n">
        <v>0</v>
      </c>
      <c r="Q18547" t="n">
        <v>0</v>
      </c>
      <c r="R18547" s="2" t="inlineStr"/>
    </row>
    <row r="18548" ht="15" customHeight="1">
      <c r="A18548" t="inlineStr">
        <is>
          <t>A 3694-2025</t>
        </is>
      </c>
      <c r="B18548" s="1" t="n">
        <v>45681</v>
      </c>
      <c r="C18548" s="1" t="n">
        <v>45810</v>
      </c>
      <c r="D18548" t="inlineStr">
        <is>
          <t>VÄRMLANDS LÄN</t>
        </is>
      </c>
      <c r="E18548" t="inlineStr">
        <is>
          <t>SÄFFLE</t>
        </is>
      </c>
      <c r="G18548" t="n">
        <v>3.2</v>
      </c>
      <c r="H18548" t="n">
        <v>0</v>
      </c>
      <c r="I18548" t="n">
        <v>0</v>
      </c>
      <c r="J18548" t="n">
        <v>0</v>
      </c>
      <c r="K18548" t="n">
        <v>0</v>
      </c>
      <c r="L18548" t="n">
        <v>0</v>
      </c>
      <c r="M18548" t="n">
        <v>0</v>
      </c>
      <c r="N18548" t="n">
        <v>0</v>
      </c>
      <c r="O18548" t="n">
        <v>0</v>
      </c>
      <c r="P18548" t="n">
        <v>0</v>
      </c>
      <c r="Q18548" t="n">
        <v>0</v>
      </c>
      <c r="R18548" s="2" t="inlineStr"/>
    </row>
    <row r="18549" ht="15" customHeight="1">
      <c r="A18549" t="inlineStr">
        <is>
          <t>A 3669-2025</t>
        </is>
      </c>
      <c r="B18549" s="1" t="n">
        <v>45681</v>
      </c>
      <c r="C18549" s="1" t="n">
        <v>45810</v>
      </c>
      <c r="D18549" t="inlineStr">
        <is>
          <t>VÄRMLANDS LÄN</t>
        </is>
      </c>
      <c r="E18549" t="inlineStr">
        <is>
          <t>HAGFORS</t>
        </is>
      </c>
      <c r="G18549" t="n">
        <v>0.4</v>
      </c>
      <c r="H18549" t="n">
        <v>0</v>
      </c>
      <c r="I18549" t="n">
        <v>0</v>
      </c>
      <c r="J18549" t="n">
        <v>0</v>
      </c>
      <c r="K18549" t="n">
        <v>0</v>
      </c>
      <c r="L18549" t="n">
        <v>0</v>
      </c>
      <c r="M18549" t="n">
        <v>0</v>
      </c>
      <c r="N18549" t="n">
        <v>0</v>
      </c>
      <c r="O18549" t="n">
        <v>0</v>
      </c>
      <c r="P18549" t="n">
        <v>0</v>
      </c>
      <c r="Q18549" t="n">
        <v>0</v>
      </c>
      <c r="R18549" s="2" t="inlineStr"/>
    </row>
    <row r="18550" ht="15" customHeight="1">
      <c r="A18550" t="inlineStr">
        <is>
          <t>A 3661-2025</t>
        </is>
      </c>
      <c r="B18550" s="1" t="n">
        <v>45681</v>
      </c>
      <c r="C18550" s="1" t="n">
        <v>45810</v>
      </c>
      <c r="D18550" t="inlineStr">
        <is>
          <t>VÄRMLANDS LÄN</t>
        </is>
      </c>
      <c r="E18550" t="inlineStr">
        <is>
          <t>HAMMARÖ</t>
        </is>
      </c>
      <c r="G18550" t="n">
        <v>2.9</v>
      </c>
      <c r="H18550" t="n">
        <v>0</v>
      </c>
      <c r="I18550" t="n">
        <v>0</v>
      </c>
      <c r="J18550" t="n">
        <v>0</v>
      </c>
      <c r="K18550" t="n">
        <v>0</v>
      </c>
      <c r="L18550" t="n">
        <v>0</v>
      </c>
      <c r="M18550" t="n">
        <v>0</v>
      </c>
      <c r="N18550" t="n">
        <v>0</v>
      </c>
      <c r="O18550" t="n">
        <v>0</v>
      </c>
      <c r="P18550" t="n">
        <v>0</v>
      </c>
      <c r="Q18550" t="n">
        <v>0</v>
      </c>
      <c r="R18550" s="2" t="inlineStr"/>
    </row>
    <row r="18551" ht="15" customHeight="1">
      <c r="A18551" t="inlineStr">
        <is>
          <t>A 3637-2025</t>
        </is>
      </c>
      <c r="B18551" s="1" t="n">
        <v>45681</v>
      </c>
      <c r="C18551" s="1" t="n">
        <v>45810</v>
      </c>
      <c r="D18551" t="inlineStr">
        <is>
          <t>VÄRMLANDS LÄN</t>
        </is>
      </c>
      <c r="E18551" t="inlineStr">
        <is>
          <t>SUNNE</t>
        </is>
      </c>
      <c r="G18551" t="n">
        <v>1.5</v>
      </c>
      <c r="H18551" t="n">
        <v>0</v>
      </c>
      <c r="I18551" t="n">
        <v>0</v>
      </c>
      <c r="J18551" t="n">
        <v>0</v>
      </c>
      <c r="K18551" t="n">
        <v>0</v>
      </c>
      <c r="L18551" t="n">
        <v>0</v>
      </c>
      <c r="M18551" t="n">
        <v>0</v>
      </c>
      <c r="N18551" t="n">
        <v>0</v>
      </c>
      <c r="O18551" t="n">
        <v>0</v>
      </c>
      <c r="P18551" t="n">
        <v>0</v>
      </c>
      <c r="Q18551" t="n">
        <v>0</v>
      </c>
      <c r="R18551" s="2" t="inlineStr"/>
    </row>
    <row r="18552" ht="15" customHeight="1">
      <c r="A18552" t="inlineStr">
        <is>
          <t>A 3613-2025</t>
        </is>
      </c>
      <c r="B18552" s="1" t="n">
        <v>45681</v>
      </c>
      <c r="C18552" s="1" t="n">
        <v>45810</v>
      </c>
      <c r="D18552" t="inlineStr">
        <is>
          <t>VÄRMLANDS LÄN</t>
        </is>
      </c>
      <c r="E18552" t="inlineStr">
        <is>
          <t>ARVIKA</t>
        </is>
      </c>
      <c r="G18552" t="n">
        <v>0.5</v>
      </c>
      <c r="H18552" t="n">
        <v>0</v>
      </c>
      <c r="I18552" t="n">
        <v>0</v>
      </c>
      <c r="J18552" t="n">
        <v>0</v>
      </c>
      <c r="K18552" t="n">
        <v>0</v>
      </c>
      <c r="L18552" t="n">
        <v>0</v>
      </c>
      <c r="M18552" t="n">
        <v>0</v>
      </c>
      <c r="N18552" t="n">
        <v>0</v>
      </c>
      <c r="O18552" t="n">
        <v>0</v>
      </c>
      <c r="P18552" t="n">
        <v>0</v>
      </c>
      <c r="Q18552" t="n">
        <v>0</v>
      </c>
      <c r="R18552" s="2" t="inlineStr"/>
    </row>
    <row r="18553" ht="15" customHeight="1">
      <c r="A18553" t="inlineStr">
        <is>
          <t>A 3729-2025</t>
        </is>
      </c>
      <c r="B18553" s="1" t="n">
        <v>45681</v>
      </c>
      <c r="C18553" s="1" t="n">
        <v>45810</v>
      </c>
      <c r="D18553" t="inlineStr">
        <is>
          <t>VÄRMLANDS LÄN</t>
        </is>
      </c>
      <c r="E18553" t="inlineStr">
        <is>
          <t>ÅRJÄNG</t>
        </is>
      </c>
      <c r="G18553" t="n">
        <v>1.9</v>
      </c>
      <c r="H18553" t="n">
        <v>0</v>
      </c>
      <c r="I18553" t="n">
        <v>0</v>
      </c>
      <c r="J18553" t="n">
        <v>0</v>
      </c>
      <c r="K18553" t="n">
        <v>0</v>
      </c>
      <c r="L18553" t="n">
        <v>0</v>
      </c>
      <c r="M18553" t="n">
        <v>0</v>
      </c>
      <c r="N18553" t="n">
        <v>0</v>
      </c>
      <c r="O18553" t="n">
        <v>0</v>
      </c>
      <c r="P18553" t="n">
        <v>0</v>
      </c>
      <c r="Q18553" t="n">
        <v>0</v>
      </c>
      <c r="R18553" s="2" t="inlineStr"/>
    </row>
    <row r="18554" ht="15" customHeight="1">
      <c r="A18554" t="inlineStr">
        <is>
          <t>A 3721-2025</t>
        </is>
      </c>
      <c r="B18554" s="1" t="n">
        <v>45681</v>
      </c>
      <c r="C18554" s="1" t="n">
        <v>45810</v>
      </c>
      <c r="D18554" t="inlineStr">
        <is>
          <t>VÄRMLANDS LÄN</t>
        </is>
      </c>
      <c r="E18554" t="inlineStr">
        <is>
          <t>STORFORS</t>
        </is>
      </c>
      <c r="G18554" t="n">
        <v>0.4</v>
      </c>
      <c r="H18554" t="n">
        <v>0</v>
      </c>
      <c r="I18554" t="n">
        <v>0</v>
      </c>
      <c r="J18554" t="n">
        <v>0</v>
      </c>
      <c r="K18554" t="n">
        <v>0</v>
      </c>
      <c r="L18554" t="n">
        <v>0</v>
      </c>
      <c r="M18554" t="n">
        <v>0</v>
      </c>
      <c r="N18554" t="n">
        <v>0</v>
      </c>
      <c r="O18554" t="n">
        <v>0</v>
      </c>
      <c r="P18554" t="n">
        <v>0</v>
      </c>
      <c r="Q18554" t="n">
        <v>0</v>
      </c>
      <c r="R18554" s="2" t="inlineStr"/>
    </row>
    <row r="18555" ht="15" customHeight="1">
      <c r="A18555" t="inlineStr">
        <is>
          <t>A 3671-2025</t>
        </is>
      </c>
      <c r="B18555" s="1" t="n">
        <v>45681</v>
      </c>
      <c r="C18555" s="1" t="n">
        <v>45810</v>
      </c>
      <c r="D18555" t="inlineStr">
        <is>
          <t>VÄRMLANDS LÄN</t>
        </is>
      </c>
      <c r="E18555" t="inlineStr">
        <is>
          <t>ARVIKA</t>
        </is>
      </c>
      <c r="F18555" t="inlineStr">
        <is>
          <t>Bergvik skog väst AB</t>
        </is>
      </c>
      <c r="G18555" t="n">
        <v>13.4</v>
      </c>
      <c r="H18555" t="n">
        <v>0</v>
      </c>
      <c r="I18555" t="n">
        <v>0</v>
      </c>
      <c r="J18555" t="n">
        <v>0</v>
      </c>
      <c r="K18555" t="n">
        <v>0</v>
      </c>
      <c r="L18555" t="n">
        <v>0</v>
      </c>
      <c r="M18555" t="n">
        <v>0</v>
      </c>
      <c r="N18555" t="n">
        <v>0</v>
      </c>
      <c r="O18555" t="n">
        <v>0</v>
      </c>
      <c r="P18555" t="n">
        <v>0</v>
      </c>
      <c r="Q18555" t="n">
        <v>0</v>
      </c>
      <c r="R18555" s="2" t="inlineStr"/>
    </row>
    <row r="18556" ht="15" customHeight="1">
      <c r="A18556" t="inlineStr">
        <is>
          <t>A 3766-2025</t>
        </is>
      </c>
      <c r="B18556" s="1" t="n">
        <v>45681</v>
      </c>
      <c r="C18556" s="1" t="n">
        <v>45810</v>
      </c>
      <c r="D18556" t="inlineStr">
        <is>
          <t>VÄRMLANDS LÄN</t>
        </is>
      </c>
      <c r="E18556" t="inlineStr">
        <is>
          <t>EDA</t>
        </is>
      </c>
      <c r="F18556" t="inlineStr">
        <is>
          <t>Kommuner</t>
        </is>
      </c>
      <c r="G18556" t="n">
        <v>7.9</v>
      </c>
      <c r="H18556" t="n">
        <v>0</v>
      </c>
      <c r="I18556" t="n">
        <v>0</v>
      </c>
      <c r="J18556" t="n">
        <v>0</v>
      </c>
      <c r="K18556" t="n">
        <v>0</v>
      </c>
      <c r="L18556" t="n">
        <v>0</v>
      </c>
      <c r="M18556" t="n">
        <v>0</v>
      </c>
      <c r="N18556" t="n">
        <v>0</v>
      </c>
      <c r="O18556" t="n">
        <v>0</v>
      </c>
      <c r="P18556" t="n">
        <v>0</v>
      </c>
      <c r="Q18556" t="n">
        <v>0</v>
      </c>
      <c r="R18556" s="2" t="inlineStr"/>
    </row>
    <row r="18557" ht="15" customHeight="1">
      <c r="A18557" t="inlineStr">
        <is>
          <t>A 3610-2025</t>
        </is>
      </c>
      <c r="B18557" s="1" t="n">
        <v>45681</v>
      </c>
      <c r="C18557" s="1" t="n">
        <v>45810</v>
      </c>
      <c r="D18557" t="inlineStr">
        <is>
          <t>VÄRMLANDS LÄN</t>
        </is>
      </c>
      <c r="E18557" t="inlineStr">
        <is>
          <t>ARVIKA</t>
        </is>
      </c>
      <c r="G18557" t="n">
        <v>0.5</v>
      </c>
      <c r="H18557" t="n">
        <v>0</v>
      </c>
      <c r="I18557" t="n">
        <v>0</v>
      </c>
      <c r="J18557" t="n">
        <v>0</v>
      </c>
      <c r="K18557" t="n">
        <v>0</v>
      </c>
      <c r="L18557" t="n">
        <v>0</v>
      </c>
      <c r="M18557" t="n">
        <v>0</v>
      </c>
      <c r="N18557" t="n">
        <v>0</v>
      </c>
      <c r="O18557" t="n">
        <v>0</v>
      </c>
      <c r="P18557" t="n">
        <v>0</v>
      </c>
      <c r="Q18557" t="n">
        <v>0</v>
      </c>
      <c r="R18557" s="2" t="inlineStr"/>
    </row>
    <row r="18558" ht="15" customHeight="1">
      <c r="A18558" t="inlineStr">
        <is>
          <t>A 3752-2025</t>
        </is>
      </c>
      <c r="B18558" s="1" t="n">
        <v>45681</v>
      </c>
      <c r="C18558" s="1" t="n">
        <v>45810</v>
      </c>
      <c r="D18558" t="inlineStr">
        <is>
          <t>VÄRMLANDS LÄN</t>
        </is>
      </c>
      <c r="E18558" t="inlineStr">
        <is>
          <t>SÄFFLE</t>
        </is>
      </c>
      <c r="G18558" t="n">
        <v>2.3</v>
      </c>
      <c r="H18558" t="n">
        <v>0</v>
      </c>
      <c r="I18558" t="n">
        <v>0</v>
      </c>
      <c r="J18558" t="n">
        <v>0</v>
      </c>
      <c r="K18558" t="n">
        <v>0</v>
      </c>
      <c r="L18558" t="n">
        <v>0</v>
      </c>
      <c r="M18558" t="n">
        <v>0</v>
      </c>
      <c r="N18558" t="n">
        <v>0</v>
      </c>
      <c r="O18558" t="n">
        <v>0</v>
      </c>
      <c r="P18558" t="n">
        <v>0</v>
      </c>
      <c r="Q18558" t="n">
        <v>0</v>
      </c>
      <c r="R18558" s="2" t="inlineStr"/>
    </row>
    <row r="18559" ht="15" customHeight="1">
      <c r="A18559" t="inlineStr">
        <is>
          <t>A 3821-2025</t>
        </is>
      </c>
      <c r="B18559" s="1" t="n">
        <v>45681</v>
      </c>
      <c r="C18559" s="1" t="n">
        <v>45810</v>
      </c>
      <c r="D18559" t="inlineStr">
        <is>
          <t>VÄRMLANDS LÄN</t>
        </is>
      </c>
      <c r="E18559" t="inlineStr">
        <is>
          <t>KARLSTAD</t>
        </is>
      </c>
      <c r="G18559" t="n">
        <v>3.7</v>
      </c>
      <c r="H18559" t="n">
        <v>0</v>
      </c>
      <c r="I18559" t="n">
        <v>0</v>
      </c>
      <c r="J18559" t="n">
        <v>0</v>
      </c>
      <c r="K18559" t="n">
        <v>0</v>
      </c>
      <c r="L18559" t="n">
        <v>0</v>
      </c>
      <c r="M18559" t="n">
        <v>0</v>
      </c>
      <c r="N18559" t="n">
        <v>0</v>
      </c>
      <c r="O18559" t="n">
        <v>0</v>
      </c>
      <c r="P18559" t="n">
        <v>0</v>
      </c>
      <c r="Q18559" t="n">
        <v>0</v>
      </c>
      <c r="R18559" s="2" t="inlineStr"/>
    </row>
    <row r="18560" ht="15" customHeight="1">
      <c r="A18560" t="inlineStr">
        <is>
          <t>A 3704-2025</t>
        </is>
      </c>
      <c r="B18560" s="1" t="n">
        <v>45681</v>
      </c>
      <c r="C18560" s="1" t="n">
        <v>45810</v>
      </c>
      <c r="D18560" t="inlineStr">
        <is>
          <t>VÄRMLANDS LÄN</t>
        </is>
      </c>
      <c r="E18560" t="inlineStr">
        <is>
          <t>SUNNE</t>
        </is>
      </c>
      <c r="G18560" t="n">
        <v>1.3</v>
      </c>
      <c r="H18560" t="n">
        <v>0</v>
      </c>
      <c r="I18560" t="n">
        <v>0</v>
      </c>
      <c r="J18560" t="n">
        <v>0</v>
      </c>
      <c r="K18560" t="n">
        <v>0</v>
      </c>
      <c r="L18560" t="n">
        <v>0</v>
      </c>
      <c r="M18560" t="n">
        <v>0</v>
      </c>
      <c r="N18560" t="n">
        <v>0</v>
      </c>
      <c r="O18560" t="n">
        <v>0</v>
      </c>
      <c r="P18560" t="n">
        <v>0</v>
      </c>
      <c r="Q18560" t="n">
        <v>0</v>
      </c>
      <c r="R18560" s="2" t="inlineStr"/>
    </row>
    <row r="18561" ht="15" customHeight="1">
      <c r="A18561" t="inlineStr">
        <is>
          <t>A 3691-2025</t>
        </is>
      </c>
      <c r="B18561" s="1" t="n">
        <v>45681</v>
      </c>
      <c r="C18561" s="1" t="n">
        <v>45810</v>
      </c>
      <c r="D18561" t="inlineStr">
        <is>
          <t>VÄRMLANDS LÄN</t>
        </is>
      </c>
      <c r="E18561" t="inlineStr">
        <is>
          <t>ÅRJÄNG</t>
        </is>
      </c>
      <c r="G18561" t="n">
        <v>7.6</v>
      </c>
      <c r="H18561" t="n">
        <v>0</v>
      </c>
      <c r="I18561" t="n">
        <v>0</v>
      </c>
      <c r="J18561" t="n">
        <v>0</v>
      </c>
      <c r="K18561" t="n">
        <v>0</v>
      </c>
      <c r="L18561" t="n">
        <v>0</v>
      </c>
      <c r="M18561" t="n">
        <v>0</v>
      </c>
      <c r="N18561" t="n">
        <v>0</v>
      </c>
      <c r="O18561" t="n">
        <v>0</v>
      </c>
      <c r="P18561" t="n">
        <v>0</v>
      </c>
      <c r="Q18561" t="n">
        <v>0</v>
      </c>
      <c r="R18561" s="2" t="inlineStr"/>
    </row>
    <row r="18562" ht="15" customHeight="1">
      <c r="A18562" t="inlineStr">
        <is>
          <t>A 3662-2025</t>
        </is>
      </c>
      <c r="B18562" s="1" t="n">
        <v>45681</v>
      </c>
      <c r="C18562" s="1" t="n">
        <v>45810</v>
      </c>
      <c r="D18562" t="inlineStr">
        <is>
          <t>VÄRMLANDS LÄN</t>
        </is>
      </c>
      <c r="E18562" t="inlineStr">
        <is>
          <t>KRISTINEHAMN</t>
        </is>
      </c>
      <c r="G18562" t="n">
        <v>1.3</v>
      </c>
      <c r="H18562" t="n">
        <v>0</v>
      </c>
      <c r="I18562" t="n">
        <v>0</v>
      </c>
      <c r="J18562" t="n">
        <v>0</v>
      </c>
      <c r="K18562" t="n">
        <v>0</v>
      </c>
      <c r="L18562" t="n">
        <v>0</v>
      </c>
      <c r="M18562" t="n">
        <v>0</v>
      </c>
      <c r="N18562" t="n">
        <v>0</v>
      </c>
      <c r="O18562" t="n">
        <v>0</v>
      </c>
      <c r="P18562" t="n">
        <v>0</v>
      </c>
      <c r="Q18562" t="n">
        <v>0</v>
      </c>
      <c r="R18562" s="2" t="inlineStr"/>
    </row>
    <row r="18563" ht="15" customHeight="1">
      <c r="A18563" t="inlineStr">
        <is>
          <t>A 3710-2025</t>
        </is>
      </c>
      <c r="B18563" s="1" t="n">
        <v>45681</v>
      </c>
      <c r="C18563" s="1" t="n">
        <v>45810</v>
      </c>
      <c r="D18563" t="inlineStr">
        <is>
          <t>VÄRMLANDS LÄN</t>
        </is>
      </c>
      <c r="E18563" t="inlineStr">
        <is>
          <t>SUNNE</t>
        </is>
      </c>
      <c r="G18563" t="n">
        <v>1.1</v>
      </c>
      <c r="H18563" t="n">
        <v>0</v>
      </c>
      <c r="I18563" t="n">
        <v>0</v>
      </c>
      <c r="J18563" t="n">
        <v>0</v>
      </c>
      <c r="K18563" t="n">
        <v>0</v>
      </c>
      <c r="L18563" t="n">
        <v>0</v>
      </c>
      <c r="M18563" t="n">
        <v>0</v>
      </c>
      <c r="N18563" t="n">
        <v>0</v>
      </c>
      <c r="O18563" t="n">
        <v>0</v>
      </c>
      <c r="P18563" t="n">
        <v>0</v>
      </c>
      <c r="Q18563" t="n">
        <v>0</v>
      </c>
      <c r="R18563" s="2" t="inlineStr"/>
    </row>
    <row r="18564" ht="15" customHeight="1">
      <c r="A18564" t="inlineStr">
        <is>
          <t>A 3660-2025</t>
        </is>
      </c>
      <c r="B18564" s="1" t="n">
        <v>45681</v>
      </c>
      <c r="C18564" s="1" t="n">
        <v>45810</v>
      </c>
      <c r="D18564" t="inlineStr">
        <is>
          <t>VÄRMLANDS LÄN</t>
        </is>
      </c>
      <c r="E18564" t="inlineStr">
        <is>
          <t>KRISTINEHAMN</t>
        </is>
      </c>
      <c r="G18564" t="n">
        <v>1.1</v>
      </c>
      <c r="H18564" t="n">
        <v>0</v>
      </c>
      <c r="I18564" t="n">
        <v>0</v>
      </c>
      <c r="J18564" t="n">
        <v>0</v>
      </c>
      <c r="K18564" t="n">
        <v>0</v>
      </c>
      <c r="L18564" t="n">
        <v>0</v>
      </c>
      <c r="M18564" t="n">
        <v>0</v>
      </c>
      <c r="N18564" t="n">
        <v>0</v>
      </c>
      <c r="O18564" t="n">
        <v>0</v>
      </c>
      <c r="P18564" t="n">
        <v>0</v>
      </c>
      <c r="Q18564" t="n">
        <v>0</v>
      </c>
      <c r="R18564" s="2" t="inlineStr"/>
    </row>
    <row r="18565" ht="15" customHeight="1">
      <c r="A18565" t="inlineStr">
        <is>
          <t>A 3851-2025</t>
        </is>
      </c>
      <c r="B18565" s="1" t="n">
        <v>45683</v>
      </c>
      <c r="C18565" s="1" t="n">
        <v>45810</v>
      </c>
      <c r="D18565" t="inlineStr">
        <is>
          <t>VÄRMLANDS LÄN</t>
        </is>
      </c>
      <c r="E18565" t="inlineStr">
        <is>
          <t>KIL</t>
        </is>
      </c>
      <c r="G18565" t="n">
        <v>2.5</v>
      </c>
      <c r="H18565" t="n">
        <v>0</v>
      </c>
      <c r="I18565" t="n">
        <v>0</v>
      </c>
      <c r="J18565" t="n">
        <v>0</v>
      </c>
      <c r="K18565" t="n">
        <v>0</v>
      </c>
      <c r="L18565" t="n">
        <v>0</v>
      </c>
      <c r="M18565" t="n">
        <v>0</v>
      </c>
      <c r="N18565" t="n">
        <v>0</v>
      </c>
      <c r="O18565" t="n">
        <v>0</v>
      </c>
      <c r="P18565" t="n">
        <v>0</v>
      </c>
      <c r="Q18565" t="n">
        <v>0</v>
      </c>
      <c r="R18565" s="2" t="inlineStr"/>
    </row>
    <row r="18566" ht="15" customHeight="1">
      <c r="A18566" t="inlineStr">
        <is>
          <t>A 3848-2025</t>
        </is>
      </c>
      <c r="B18566" s="1" t="n">
        <v>45683</v>
      </c>
      <c r="C18566" s="1" t="n">
        <v>45810</v>
      </c>
      <c r="D18566" t="inlineStr">
        <is>
          <t>VÄRMLANDS LÄN</t>
        </is>
      </c>
      <c r="E18566" t="inlineStr">
        <is>
          <t>ÅRJÄNG</t>
        </is>
      </c>
      <c r="G18566" t="n">
        <v>0.9</v>
      </c>
      <c r="H18566" t="n">
        <v>0</v>
      </c>
      <c r="I18566" t="n">
        <v>0</v>
      </c>
      <c r="J18566" t="n">
        <v>0</v>
      </c>
      <c r="K18566" t="n">
        <v>0</v>
      </c>
      <c r="L18566" t="n">
        <v>0</v>
      </c>
      <c r="M18566" t="n">
        <v>0</v>
      </c>
      <c r="N18566" t="n">
        <v>0</v>
      </c>
      <c r="O18566" t="n">
        <v>0</v>
      </c>
      <c r="P18566" t="n">
        <v>0</v>
      </c>
      <c r="Q18566" t="n">
        <v>0</v>
      </c>
      <c r="R18566" s="2" t="inlineStr"/>
    </row>
    <row r="18567" ht="15" customHeight="1">
      <c r="A18567" t="inlineStr">
        <is>
          <t>A 3861-2025</t>
        </is>
      </c>
      <c r="B18567" s="1" t="n">
        <v>45683</v>
      </c>
      <c r="C18567" s="1" t="n">
        <v>45810</v>
      </c>
      <c r="D18567" t="inlineStr">
        <is>
          <t>VÄRMLANDS LÄN</t>
        </is>
      </c>
      <c r="E18567" t="inlineStr">
        <is>
          <t>ÅRJÄNG</t>
        </is>
      </c>
      <c r="G18567" t="n">
        <v>2.4</v>
      </c>
      <c r="H18567" t="n">
        <v>0</v>
      </c>
      <c r="I18567" t="n">
        <v>0</v>
      </c>
      <c r="J18567" t="n">
        <v>0</v>
      </c>
      <c r="K18567" t="n">
        <v>0</v>
      </c>
      <c r="L18567" t="n">
        <v>0</v>
      </c>
      <c r="M18567" t="n">
        <v>0</v>
      </c>
      <c r="N18567" t="n">
        <v>0</v>
      </c>
      <c r="O18567" t="n">
        <v>0</v>
      </c>
      <c r="P18567" t="n">
        <v>0</v>
      </c>
      <c r="Q18567" t="n">
        <v>0</v>
      </c>
      <c r="R18567" s="2" t="inlineStr"/>
    </row>
    <row r="18568" ht="15" customHeight="1">
      <c r="A18568" t="inlineStr">
        <is>
          <t>A 4035-2025</t>
        </is>
      </c>
      <c r="B18568" s="1" t="n">
        <v>45684</v>
      </c>
      <c r="C18568" s="1" t="n">
        <v>45810</v>
      </c>
      <c r="D18568" t="inlineStr">
        <is>
          <t>VÄRMLANDS LÄN</t>
        </is>
      </c>
      <c r="E18568" t="inlineStr">
        <is>
          <t>SUNNE</t>
        </is>
      </c>
      <c r="G18568" t="n">
        <v>1</v>
      </c>
      <c r="H18568" t="n">
        <v>0</v>
      </c>
      <c r="I18568" t="n">
        <v>0</v>
      </c>
      <c r="J18568" t="n">
        <v>0</v>
      </c>
      <c r="K18568" t="n">
        <v>0</v>
      </c>
      <c r="L18568" t="n">
        <v>0</v>
      </c>
      <c r="M18568" t="n">
        <v>0</v>
      </c>
      <c r="N18568" t="n">
        <v>0</v>
      </c>
      <c r="O18568" t="n">
        <v>0</v>
      </c>
      <c r="P18568" t="n">
        <v>0</v>
      </c>
      <c r="Q18568" t="n">
        <v>0</v>
      </c>
      <c r="R18568" s="2" t="inlineStr"/>
    </row>
    <row r="18569" ht="15" customHeight="1">
      <c r="A18569" t="inlineStr">
        <is>
          <t>A 3951-2025</t>
        </is>
      </c>
      <c r="B18569" s="1" t="n">
        <v>45684</v>
      </c>
      <c r="C18569" s="1" t="n">
        <v>45810</v>
      </c>
      <c r="D18569" t="inlineStr">
        <is>
          <t>VÄRMLANDS LÄN</t>
        </is>
      </c>
      <c r="E18569" t="inlineStr">
        <is>
          <t>TORSBY</t>
        </is>
      </c>
      <c r="F18569" t="inlineStr">
        <is>
          <t>Bergvik skog väst AB</t>
        </is>
      </c>
      <c r="G18569" t="n">
        <v>2.3</v>
      </c>
      <c r="H18569" t="n">
        <v>0</v>
      </c>
      <c r="I18569" t="n">
        <v>0</v>
      </c>
      <c r="J18569" t="n">
        <v>0</v>
      </c>
      <c r="K18569" t="n">
        <v>0</v>
      </c>
      <c r="L18569" t="n">
        <v>0</v>
      </c>
      <c r="M18569" t="n">
        <v>0</v>
      </c>
      <c r="N18569" t="n">
        <v>0</v>
      </c>
      <c r="O18569" t="n">
        <v>0</v>
      </c>
      <c r="P18569" t="n">
        <v>0</v>
      </c>
      <c r="Q18569" t="n">
        <v>0</v>
      </c>
      <c r="R18569" s="2" t="inlineStr"/>
    </row>
    <row r="18570" ht="15" customHeight="1">
      <c r="A18570" t="inlineStr">
        <is>
          <t>A 3864-2025</t>
        </is>
      </c>
      <c r="B18570" s="1" t="n">
        <v>45684</v>
      </c>
      <c r="C18570" s="1" t="n">
        <v>45810</v>
      </c>
      <c r="D18570" t="inlineStr">
        <is>
          <t>VÄRMLANDS LÄN</t>
        </is>
      </c>
      <c r="E18570" t="inlineStr">
        <is>
          <t>TORSBY</t>
        </is>
      </c>
      <c r="F18570" t="inlineStr">
        <is>
          <t>Bergvik skog väst AB</t>
        </is>
      </c>
      <c r="G18570" t="n">
        <v>8</v>
      </c>
      <c r="H18570" t="n">
        <v>0</v>
      </c>
      <c r="I18570" t="n">
        <v>0</v>
      </c>
      <c r="J18570" t="n">
        <v>0</v>
      </c>
      <c r="K18570" t="n">
        <v>0</v>
      </c>
      <c r="L18570" t="n">
        <v>0</v>
      </c>
      <c r="M18570" t="n">
        <v>0</v>
      </c>
      <c r="N18570" t="n">
        <v>0</v>
      </c>
      <c r="O18570" t="n">
        <v>0</v>
      </c>
      <c r="P18570" t="n">
        <v>0</v>
      </c>
      <c r="Q18570" t="n">
        <v>0</v>
      </c>
      <c r="R18570" s="2" t="inlineStr"/>
    </row>
    <row r="18571" ht="15" customHeight="1">
      <c r="A18571" t="inlineStr">
        <is>
          <t>A 3904-2025</t>
        </is>
      </c>
      <c r="B18571" s="1" t="n">
        <v>45684</v>
      </c>
      <c r="C18571" s="1" t="n">
        <v>45810</v>
      </c>
      <c r="D18571" t="inlineStr">
        <is>
          <t>VÄRMLANDS LÄN</t>
        </is>
      </c>
      <c r="E18571" t="inlineStr">
        <is>
          <t>TORSBY</t>
        </is>
      </c>
      <c r="F18571" t="inlineStr">
        <is>
          <t>Övriga statliga verk och myndigheter</t>
        </is>
      </c>
      <c r="G18571" t="n">
        <v>0.7</v>
      </c>
      <c r="H18571" t="n">
        <v>0</v>
      </c>
      <c r="I18571" t="n">
        <v>0</v>
      </c>
      <c r="J18571" t="n">
        <v>0</v>
      </c>
      <c r="K18571" t="n">
        <v>0</v>
      </c>
      <c r="L18571" t="n">
        <v>0</v>
      </c>
      <c r="M18571" t="n">
        <v>0</v>
      </c>
      <c r="N18571" t="n">
        <v>0</v>
      </c>
      <c r="O18571" t="n">
        <v>0</v>
      </c>
      <c r="P18571" t="n">
        <v>0</v>
      </c>
      <c r="Q18571" t="n">
        <v>0</v>
      </c>
      <c r="R18571" s="2" t="inlineStr"/>
    </row>
    <row r="18572" ht="15" customHeight="1">
      <c r="A18572" t="inlineStr">
        <is>
          <t>A 3963-2025</t>
        </is>
      </c>
      <c r="B18572" s="1" t="n">
        <v>45684</v>
      </c>
      <c r="C18572" s="1" t="n">
        <v>45810</v>
      </c>
      <c r="D18572" t="inlineStr">
        <is>
          <t>VÄRMLANDS LÄN</t>
        </is>
      </c>
      <c r="E18572" t="inlineStr">
        <is>
          <t>HAGFORS</t>
        </is>
      </c>
      <c r="G18572" t="n">
        <v>0.5</v>
      </c>
      <c r="H18572" t="n">
        <v>0</v>
      </c>
      <c r="I18572" t="n">
        <v>0</v>
      </c>
      <c r="J18572" t="n">
        <v>0</v>
      </c>
      <c r="K18572" t="n">
        <v>0</v>
      </c>
      <c r="L18572" t="n">
        <v>0</v>
      </c>
      <c r="M18572" t="n">
        <v>0</v>
      </c>
      <c r="N18572" t="n">
        <v>0</v>
      </c>
      <c r="O18572" t="n">
        <v>0</v>
      </c>
      <c r="P18572" t="n">
        <v>0</v>
      </c>
      <c r="Q18572" t="n">
        <v>0</v>
      </c>
      <c r="R18572" s="2" t="inlineStr"/>
    </row>
    <row r="18573" ht="15" customHeight="1">
      <c r="A18573" t="inlineStr">
        <is>
          <t>A 3975-2025</t>
        </is>
      </c>
      <c r="B18573" s="1" t="n">
        <v>45684</v>
      </c>
      <c r="C18573" s="1" t="n">
        <v>45810</v>
      </c>
      <c r="D18573" t="inlineStr">
        <is>
          <t>VÄRMLANDS LÄN</t>
        </is>
      </c>
      <c r="E18573" t="inlineStr">
        <is>
          <t>EDA</t>
        </is>
      </c>
      <c r="G18573" t="n">
        <v>0.7</v>
      </c>
      <c r="H18573" t="n">
        <v>0</v>
      </c>
      <c r="I18573" t="n">
        <v>0</v>
      </c>
      <c r="J18573" t="n">
        <v>0</v>
      </c>
      <c r="K18573" t="n">
        <v>0</v>
      </c>
      <c r="L18573" t="n">
        <v>0</v>
      </c>
      <c r="M18573" t="n">
        <v>0</v>
      </c>
      <c r="N18573" t="n">
        <v>0</v>
      </c>
      <c r="O18573" t="n">
        <v>0</v>
      </c>
      <c r="P18573" t="n">
        <v>0</v>
      </c>
      <c r="Q18573" t="n">
        <v>0</v>
      </c>
      <c r="R18573" s="2" t="inlineStr"/>
    </row>
    <row r="18574" ht="15" customHeight="1">
      <c r="A18574" t="inlineStr">
        <is>
          <t>A 4012-2025</t>
        </is>
      </c>
      <c r="B18574" s="1" t="n">
        <v>45684</v>
      </c>
      <c r="C18574" s="1" t="n">
        <v>45810</v>
      </c>
      <c r="D18574" t="inlineStr">
        <is>
          <t>VÄRMLANDS LÄN</t>
        </is>
      </c>
      <c r="E18574" t="inlineStr">
        <is>
          <t>HAGFORS</t>
        </is>
      </c>
      <c r="G18574" t="n">
        <v>2.2</v>
      </c>
      <c r="H18574" t="n">
        <v>0</v>
      </c>
      <c r="I18574" t="n">
        <v>0</v>
      </c>
      <c r="J18574" t="n">
        <v>0</v>
      </c>
      <c r="K18574" t="n">
        <v>0</v>
      </c>
      <c r="L18574" t="n">
        <v>0</v>
      </c>
      <c r="M18574" t="n">
        <v>0</v>
      </c>
      <c r="N18574" t="n">
        <v>0</v>
      </c>
      <c r="O18574" t="n">
        <v>0</v>
      </c>
      <c r="P18574" t="n">
        <v>0</v>
      </c>
      <c r="Q18574" t="n">
        <v>0</v>
      </c>
      <c r="R18574" s="2" t="inlineStr"/>
    </row>
    <row r="18575" ht="15" customHeight="1">
      <c r="A18575" t="inlineStr">
        <is>
          <t>A 4028-2025</t>
        </is>
      </c>
      <c r="B18575" s="1" t="n">
        <v>45684</v>
      </c>
      <c r="C18575" s="1" t="n">
        <v>45810</v>
      </c>
      <c r="D18575" t="inlineStr">
        <is>
          <t>VÄRMLANDS LÄN</t>
        </is>
      </c>
      <c r="E18575" t="inlineStr">
        <is>
          <t>HAGFORS</t>
        </is>
      </c>
      <c r="G18575" t="n">
        <v>1.2</v>
      </c>
      <c r="H18575" t="n">
        <v>0</v>
      </c>
      <c r="I18575" t="n">
        <v>0</v>
      </c>
      <c r="J18575" t="n">
        <v>0</v>
      </c>
      <c r="K18575" t="n">
        <v>0</v>
      </c>
      <c r="L18575" t="n">
        <v>0</v>
      </c>
      <c r="M18575" t="n">
        <v>0</v>
      </c>
      <c r="N18575" t="n">
        <v>0</v>
      </c>
      <c r="O18575" t="n">
        <v>0</v>
      </c>
      <c r="P18575" t="n">
        <v>0</v>
      </c>
      <c r="Q18575" t="n">
        <v>0</v>
      </c>
      <c r="R18575" s="2" t="inlineStr"/>
    </row>
    <row r="18576" ht="15" customHeight="1">
      <c r="A18576" t="inlineStr">
        <is>
          <t>A 4080-2025</t>
        </is>
      </c>
      <c r="B18576" s="1" t="n">
        <v>45684</v>
      </c>
      <c r="C18576" s="1" t="n">
        <v>45810</v>
      </c>
      <c r="D18576" t="inlineStr">
        <is>
          <t>VÄRMLANDS LÄN</t>
        </is>
      </c>
      <c r="E18576" t="inlineStr">
        <is>
          <t>SÄFFLE</t>
        </is>
      </c>
      <c r="G18576" t="n">
        <v>5.9</v>
      </c>
      <c r="H18576" t="n">
        <v>0</v>
      </c>
      <c r="I18576" t="n">
        <v>0</v>
      </c>
      <c r="J18576" t="n">
        <v>0</v>
      </c>
      <c r="K18576" t="n">
        <v>0</v>
      </c>
      <c r="L18576" t="n">
        <v>0</v>
      </c>
      <c r="M18576" t="n">
        <v>0</v>
      </c>
      <c r="N18576" t="n">
        <v>0</v>
      </c>
      <c r="O18576" t="n">
        <v>0</v>
      </c>
      <c r="P18576" t="n">
        <v>0</v>
      </c>
      <c r="Q18576" t="n">
        <v>0</v>
      </c>
      <c r="R18576" s="2" t="inlineStr"/>
    </row>
    <row r="18577" ht="15" customHeight="1">
      <c r="A18577" t="inlineStr">
        <is>
          <t>A 4019-2025</t>
        </is>
      </c>
      <c r="B18577" s="1" t="n">
        <v>45684</v>
      </c>
      <c r="C18577" s="1" t="n">
        <v>45810</v>
      </c>
      <c r="D18577" t="inlineStr">
        <is>
          <t>VÄRMLANDS LÄN</t>
        </is>
      </c>
      <c r="E18577" t="inlineStr">
        <is>
          <t>SUNNE</t>
        </is>
      </c>
      <c r="G18577" t="n">
        <v>1.2</v>
      </c>
      <c r="H18577" t="n">
        <v>0</v>
      </c>
      <c r="I18577" t="n">
        <v>0</v>
      </c>
      <c r="J18577" t="n">
        <v>0</v>
      </c>
      <c r="K18577" t="n">
        <v>0</v>
      </c>
      <c r="L18577" t="n">
        <v>0</v>
      </c>
      <c r="M18577" t="n">
        <v>0</v>
      </c>
      <c r="N18577" t="n">
        <v>0</v>
      </c>
      <c r="O18577" t="n">
        <v>0</v>
      </c>
      <c r="P18577" t="n">
        <v>0</v>
      </c>
      <c r="Q18577" t="n">
        <v>0</v>
      </c>
      <c r="R18577" s="2" t="inlineStr"/>
    </row>
    <row r="18578" ht="15" customHeight="1">
      <c r="A18578" t="inlineStr">
        <is>
          <t>A 4018-2025</t>
        </is>
      </c>
      <c r="B18578" s="1" t="n">
        <v>45684</v>
      </c>
      <c r="C18578" s="1" t="n">
        <v>45810</v>
      </c>
      <c r="D18578" t="inlineStr">
        <is>
          <t>VÄRMLANDS LÄN</t>
        </is>
      </c>
      <c r="E18578" t="inlineStr">
        <is>
          <t>SUNNE</t>
        </is>
      </c>
      <c r="G18578" t="n">
        <v>5.2</v>
      </c>
      <c r="H18578" t="n">
        <v>0</v>
      </c>
      <c r="I18578" t="n">
        <v>0</v>
      </c>
      <c r="J18578" t="n">
        <v>0</v>
      </c>
      <c r="K18578" t="n">
        <v>0</v>
      </c>
      <c r="L18578" t="n">
        <v>0</v>
      </c>
      <c r="M18578" t="n">
        <v>0</v>
      </c>
      <c r="N18578" t="n">
        <v>0</v>
      </c>
      <c r="O18578" t="n">
        <v>0</v>
      </c>
      <c r="P18578" t="n">
        <v>0</v>
      </c>
      <c r="Q18578" t="n">
        <v>0</v>
      </c>
      <c r="R18578" s="2" t="inlineStr"/>
    </row>
    <row r="18579" ht="15" customHeight="1">
      <c r="A18579" t="inlineStr">
        <is>
          <t>A 4022-2025</t>
        </is>
      </c>
      <c r="B18579" s="1" t="n">
        <v>45684</v>
      </c>
      <c r="C18579" s="1" t="n">
        <v>45810</v>
      </c>
      <c r="D18579" t="inlineStr">
        <is>
          <t>VÄRMLANDS LÄN</t>
        </is>
      </c>
      <c r="E18579" t="inlineStr">
        <is>
          <t>SUNNE</t>
        </is>
      </c>
      <c r="G18579" t="n">
        <v>0.9</v>
      </c>
      <c r="H18579" t="n">
        <v>0</v>
      </c>
      <c r="I18579" t="n">
        <v>0</v>
      </c>
      <c r="J18579" t="n">
        <v>0</v>
      </c>
      <c r="K18579" t="n">
        <v>0</v>
      </c>
      <c r="L18579" t="n">
        <v>0</v>
      </c>
      <c r="M18579" t="n">
        <v>0</v>
      </c>
      <c r="N18579" t="n">
        <v>0</v>
      </c>
      <c r="O18579" t="n">
        <v>0</v>
      </c>
      <c r="P18579" t="n">
        <v>0</v>
      </c>
      <c r="Q18579" t="n">
        <v>0</v>
      </c>
      <c r="R18579" s="2" t="inlineStr"/>
    </row>
    <row r="18580" ht="15" customHeight="1">
      <c r="A18580" t="inlineStr">
        <is>
          <t>A 4030-2025</t>
        </is>
      </c>
      <c r="B18580" s="1" t="n">
        <v>45684</v>
      </c>
      <c r="C18580" s="1" t="n">
        <v>45810</v>
      </c>
      <c r="D18580" t="inlineStr">
        <is>
          <t>VÄRMLANDS LÄN</t>
        </is>
      </c>
      <c r="E18580" t="inlineStr">
        <is>
          <t>SUNNE</t>
        </is>
      </c>
      <c r="G18580" t="n">
        <v>2.8</v>
      </c>
      <c r="H18580" t="n">
        <v>0</v>
      </c>
      <c r="I18580" t="n">
        <v>0</v>
      </c>
      <c r="J18580" t="n">
        <v>0</v>
      </c>
      <c r="K18580" t="n">
        <v>0</v>
      </c>
      <c r="L18580" t="n">
        <v>0</v>
      </c>
      <c r="M18580" t="n">
        <v>0</v>
      </c>
      <c r="N18580" t="n">
        <v>0</v>
      </c>
      <c r="O18580" t="n">
        <v>0</v>
      </c>
      <c r="P18580" t="n">
        <v>0</v>
      </c>
      <c r="Q18580" t="n">
        <v>0</v>
      </c>
      <c r="R18580" s="2" t="inlineStr"/>
    </row>
    <row r="18581" ht="15" customHeight="1">
      <c r="A18581" t="inlineStr">
        <is>
          <t>A 4088-2025</t>
        </is>
      </c>
      <c r="B18581" s="1" t="n">
        <v>45684</v>
      </c>
      <c r="C18581" s="1" t="n">
        <v>45810</v>
      </c>
      <c r="D18581" t="inlineStr">
        <is>
          <t>VÄRMLANDS LÄN</t>
        </is>
      </c>
      <c r="E18581" t="inlineStr">
        <is>
          <t>ÅRJÄNG</t>
        </is>
      </c>
      <c r="G18581" t="n">
        <v>4.1</v>
      </c>
      <c r="H18581" t="n">
        <v>0</v>
      </c>
      <c r="I18581" t="n">
        <v>0</v>
      </c>
      <c r="J18581" t="n">
        <v>0</v>
      </c>
      <c r="K18581" t="n">
        <v>0</v>
      </c>
      <c r="L18581" t="n">
        <v>0</v>
      </c>
      <c r="M18581" t="n">
        <v>0</v>
      </c>
      <c r="N18581" t="n">
        <v>0</v>
      </c>
      <c r="O18581" t="n">
        <v>0</v>
      </c>
      <c r="P18581" t="n">
        <v>0</v>
      </c>
      <c r="Q18581" t="n">
        <v>0</v>
      </c>
      <c r="R18581" s="2" t="inlineStr"/>
    </row>
    <row r="18582" ht="15" customHeight="1">
      <c r="A18582" t="inlineStr">
        <is>
          <t>A 3968-2025</t>
        </is>
      </c>
      <c r="B18582" s="1" t="n">
        <v>45684</v>
      </c>
      <c r="C18582" s="1" t="n">
        <v>45810</v>
      </c>
      <c r="D18582" t="inlineStr">
        <is>
          <t>VÄRMLANDS LÄN</t>
        </is>
      </c>
      <c r="E18582" t="inlineStr">
        <is>
          <t>ÅRJÄNG</t>
        </is>
      </c>
      <c r="G18582" t="n">
        <v>1.1</v>
      </c>
      <c r="H18582" t="n">
        <v>0</v>
      </c>
      <c r="I18582" t="n">
        <v>0</v>
      </c>
      <c r="J18582" t="n">
        <v>0</v>
      </c>
      <c r="K18582" t="n">
        <v>0</v>
      </c>
      <c r="L18582" t="n">
        <v>0</v>
      </c>
      <c r="M18582" t="n">
        <v>0</v>
      </c>
      <c r="N18582" t="n">
        <v>0</v>
      </c>
      <c r="O18582" t="n">
        <v>0</v>
      </c>
      <c r="P18582" t="n">
        <v>0</v>
      </c>
      <c r="Q18582" t="n">
        <v>0</v>
      </c>
      <c r="R18582" s="2" t="inlineStr"/>
    </row>
    <row r="18583" ht="15" customHeight="1">
      <c r="A18583" t="inlineStr">
        <is>
          <t>A 3980-2025</t>
        </is>
      </c>
      <c r="B18583" s="1" t="n">
        <v>45684</v>
      </c>
      <c r="C18583" s="1" t="n">
        <v>45810</v>
      </c>
      <c r="D18583" t="inlineStr">
        <is>
          <t>VÄRMLANDS LÄN</t>
        </is>
      </c>
      <c r="E18583" t="inlineStr">
        <is>
          <t>HAGFORS</t>
        </is>
      </c>
      <c r="G18583" t="n">
        <v>1.8</v>
      </c>
      <c r="H18583" t="n">
        <v>0</v>
      </c>
      <c r="I18583" t="n">
        <v>0</v>
      </c>
      <c r="J18583" t="n">
        <v>0</v>
      </c>
      <c r="K18583" t="n">
        <v>0</v>
      </c>
      <c r="L18583" t="n">
        <v>0</v>
      </c>
      <c r="M18583" t="n">
        <v>0</v>
      </c>
      <c r="N18583" t="n">
        <v>0</v>
      </c>
      <c r="O18583" t="n">
        <v>0</v>
      </c>
      <c r="P18583" t="n">
        <v>0</v>
      </c>
      <c r="Q18583" t="n">
        <v>0</v>
      </c>
      <c r="R18583" s="2" t="inlineStr"/>
    </row>
    <row r="18584" ht="15" customHeight="1">
      <c r="A18584" t="inlineStr">
        <is>
          <t>A 3992-2025</t>
        </is>
      </c>
      <c r="B18584" s="1" t="n">
        <v>45684</v>
      </c>
      <c r="C18584" s="1" t="n">
        <v>45810</v>
      </c>
      <c r="D18584" t="inlineStr">
        <is>
          <t>VÄRMLANDS LÄN</t>
        </is>
      </c>
      <c r="E18584" t="inlineStr">
        <is>
          <t>EDA</t>
        </is>
      </c>
      <c r="G18584" t="n">
        <v>2.7</v>
      </c>
      <c r="H18584" t="n">
        <v>0</v>
      </c>
      <c r="I18584" t="n">
        <v>0</v>
      </c>
      <c r="J18584" t="n">
        <v>0</v>
      </c>
      <c r="K18584" t="n">
        <v>0</v>
      </c>
      <c r="L18584" t="n">
        <v>0</v>
      </c>
      <c r="M18584" t="n">
        <v>0</v>
      </c>
      <c r="N18584" t="n">
        <v>0</v>
      </c>
      <c r="O18584" t="n">
        <v>0</v>
      </c>
      <c r="P18584" t="n">
        <v>0</v>
      </c>
      <c r="Q18584" t="n">
        <v>0</v>
      </c>
      <c r="R18584" s="2" t="inlineStr"/>
    </row>
    <row r="18585" ht="15" customHeight="1">
      <c r="A18585" t="inlineStr">
        <is>
          <t>A 3996-2025</t>
        </is>
      </c>
      <c r="B18585" s="1" t="n">
        <v>45684</v>
      </c>
      <c r="C18585" s="1" t="n">
        <v>45810</v>
      </c>
      <c r="D18585" t="inlineStr">
        <is>
          <t>VÄRMLANDS LÄN</t>
        </is>
      </c>
      <c r="E18585" t="inlineStr">
        <is>
          <t>HAGFORS</t>
        </is>
      </c>
      <c r="G18585" t="n">
        <v>1.2</v>
      </c>
      <c r="H18585" t="n">
        <v>0</v>
      </c>
      <c r="I18585" t="n">
        <v>0</v>
      </c>
      <c r="J18585" t="n">
        <v>0</v>
      </c>
      <c r="K18585" t="n">
        <v>0</v>
      </c>
      <c r="L18585" t="n">
        <v>0</v>
      </c>
      <c r="M18585" t="n">
        <v>0</v>
      </c>
      <c r="N18585" t="n">
        <v>0</v>
      </c>
      <c r="O18585" t="n">
        <v>0</v>
      </c>
      <c r="P18585" t="n">
        <v>0</v>
      </c>
      <c r="Q18585" t="n">
        <v>0</v>
      </c>
      <c r="R18585" s="2" t="inlineStr"/>
    </row>
    <row r="18586" ht="15" customHeight="1">
      <c r="A18586" t="inlineStr">
        <is>
          <t>A 4065-2025</t>
        </is>
      </c>
      <c r="B18586" s="1" t="n">
        <v>45684</v>
      </c>
      <c r="C18586" s="1" t="n">
        <v>45810</v>
      </c>
      <c r="D18586" t="inlineStr">
        <is>
          <t>VÄRMLANDS LÄN</t>
        </is>
      </c>
      <c r="E18586" t="inlineStr">
        <is>
          <t>ARVIKA</t>
        </is>
      </c>
      <c r="G18586" t="n">
        <v>4.5</v>
      </c>
      <c r="H18586" t="n">
        <v>0</v>
      </c>
      <c r="I18586" t="n">
        <v>0</v>
      </c>
      <c r="J18586" t="n">
        <v>0</v>
      </c>
      <c r="K18586" t="n">
        <v>0</v>
      </c>
      <c r="L18586" t="n">
        <v>0</v>
      </c>
      <c r="M18586" t="n">
        <v>0</v>
      </c>
      <c r="N18586" t="n">
        <v>0</v>
      </c>
      <c r="O18586" t="n">
        <v>0</v>
      </c>
      <c r="P18586" t="n">
        <v>0</v>
      </c>
      <c r="Q18586" t="n">
        <v>0</v>
      </c>
      <c r="R18586" s="2" t="inlineStr"/>
    </row>
    <row r="18587" ht="15" customHeight="1">
      <c r="A18587" t="inlineStr">
        <is>
          <t>A 4069-2025</t>
        </is>
      </c>
      <c r="B18587" s="1" t="n">
        <v>45684</v>
      </c>
      <c r="C18587" s="1" t="n">
        <v>45810</v>
      </c>
      <c r="D18587" t="inlineStr">
        <is>
          <t>VÄRMLANDS LÄN</t>
        </is>
      </c>
      <c r="E18587" t="inlineStr">
        <is>
          <t>KIL</t>
        </is>
      </c>
      <c r="F18587" t="inlineStr">
        <is>
          <t>Kommuner</t>
        </is>
      </c>
      <c r="G18587" t="n">
        <v>0.4</v>
      </c>
      <c r="H18587" t="n">
        <v>0</v>
      </c>
      <c r="I18587" t="n">
        <v>0</v>
      </c>
      <c r="J18587" t="n">
        <v>0</v>
      </c>
      <c r="K18587" t="n">
        <v>0</v>
      </c>
      <c r="L18587" t="n">
        <v>0</v>
      </c>
      <c r="M18587" t="n">
        <v>0</v>
      </c>
      <c r="N18587" t="n">
        <v>0</v>
      </c>
      <c r="O18587" t="n">
        <v>0</v>
      </c>
      <c r="P18587" t="n">
        <v>0</v>
      </c>
      <c r="Q18587" t="n">
        <v>0</v>
      </c>
      <c r="R18587" s="2" t="inlineStr"/>
    </row>
    <row r="18588" ht="15" customHeight="1">
      <c r="A18588" t="inlineStr">
        <is>
          <t>A 4312-2025</t>
        </is>
      </c>
      <c r="B18588" s="1" t="n">
        <v>45685</v>
      </c>
      <c r="C18588" s="1" t="n">
        <v>45810</v>
      </c>
      <c r="D18588" t="inlineStr">
        <is>
          <t>VÄRMLANDS LÄN</t>
        </is>
      </c>
      <c r="E18588" t="inlineStr">
        <is>
          <t>SUNNE</t>
        </is>
      </c>
      <c r="G18588" t="n">
        <v>2.4</v>
      </c>
      <c r="H18588" t="n">
        <v>0</v>
      </c>
      <c r="I18588" t="n">
        <v>0</v>
      </c>
      <c r="J18588" t="n">
        <v>0</v>
      </c>
      <c r="K18588" t="n">
        <v>0</v>
      </c>
      <c r="L18588" t="n">
        <v>0</v>
      </c>
      <c r="M18588" t="n">
        <v>0</v>
      </c>
      <c r="N18588" t="n">
        <v>0</v>
      </c>
      <c r="O18588" t="n">
        <v>0</v>
      </c>
      <c r="P18588" t="n">
        <v>0</v>
      </c>
      <c r="Q18588" t="n">
        <v>0</v>
      </c>
      <c r="R18588" s="2" t="inlineStr"/>
    </row>
    <row r="18589" ht="15" customHeight="1">
      <c r="A18589" t="inlineStr">
        <is>
          <t>A 4302-2025</t>
        </is>
      </c>
      <c r="B18589" s="1" t="n">
        <v>45685</v>
      </c>
      <c r="C18589" s="1" t="n">
        <v>45810</v>
      </c>
      <c r="D18589" t="inlineStr">
        <is>
          <t>VÄRMLANDS LÄN</t>
        </is>
      </c>
      <c r="E18589" t="inlineStr">
        <is>
          <t>TORSBY</t>
        </is>
      </c>
      <c r="F18589" t="inlineStr">
        <is>
          <t>Kommuner</t>
        </is>
      </c>
      <c r="G18589" t="n">
        <v>0.6</v>
      </c>
      <c r="H18589" t="n">
        <v>0</v>
      </c>
      <c r="I18589" t="n">
        <v>0</v>
      </c>
      <c r="J18589" t="n">
        <v>0</v>
      </c>
      <c r="K18589" t="n">
        <v>0</v>
      </c>
      <c r="L18589" t="n">
        <v>0</v>
      </c>
      <c r="M18589" t="n">
        <v>0</v>
      </c>
      <c r="N18589" t="n">
        <v>0</v>
      </c>
      <c r="O18589" t="n">
        <v>0</v>
      </c>
      <c r="P18589" t="n">
        <v>0</v>
      </c>
      <c r="Q18589" t="n">
        <v>0</v>
      </c>
      <c r="R18589" s="2" t="inlineStr"/>
    </row>
    <row r="18590" ht="15" customHeight="1">
      <c r="A18590" t="inlineStr">
        <is>
          <t>A 4238-2025</t>
        </is>
      </c>
      <c r="B18590" s="1" t="n">
        <v>45685</v>
      </c>
      <c r="C18590" s="1" t="n">
        <v>45810</v>
      </c>
      <c r="D18590" t="inlineStr">
        <is>
          <t>VÄRMLANDS LÄN</t>
        </is>
      </c>
      <c r="E18590" t="inlineStr">
        <is>
          <t>ARVIKA</t>
        </is>
      </c>
      <c r="G18590" t="n">
        <v>4.6</v>
      </c>
      <c r="H18590" t="n">
        <v>0</v>
      </c>
      <c r="I18590" t="n">
        <v>0</v>
      </c>
      <c r="J18590" t="n">
        <v>0</v>
      </c>
      <c r="K18590" t="n">
        <v>0</v>
      </c>
      <c r="L18590" t="n">
        <v>0</v>
      </c>
      <c r="M18590" t="n">
        <v>0</v>
      </c>
      <c r="N18590" t="n">
        <v>0</v>
      </c>
      <c r="O18590" t="n">
        <v>0</v>
      </c>
      <c r="P18590" t="n">
        <v>0</v>
      </c>
      <c r="Q18590" t="n">
        <v>0</v>
      </c>
      <c r="R18590" s="2" t="inlineStr"/>
    </row>
    <row r="18591" ht="15" customHeight="1">
      <c r="A18591" t="inlineStr">
        <is>
          <t>A 4266-2025</t>
        </is>
      </c>
      <c r="B18591" s="1" t="n">
        <v>45685</v>
      </c>
      <c r="C18591" s="1" t="n">
        <v>45810</v>
      </c>
      <c r="D18591" t="inlineStr">
        <is>
          <t>VÄRMLANDS LÄN</t>
        </is>
      </c>
      <c r="E18591" t="inlineStr">
        <is>
          <t>KIL</t>
        </is>
      </c>
      <c r="G18591" t="n">
        <v>7</v>
      </c>
      <c r="H18591" t="n">
        <v>0</v>
      </c>
      <c r="I18591" t="n">
        <v>0</v>
      </c>
      <c r="J18591" t="n">
        <v>0</v>
      </c>
      <c r="K18591" t="n">
        <v>0</v>
      </c>
      <c r="L18591" t="n">
        <v>0</v>
      </c>
      <c r="M18591" t="n">
        <v>0</v>
      </c>
      <c r="N18591" t="n">
        <v>0</v>
      </c>
      <c r="O18591" t="n">
        <v>0</v>
      </c>
      <c r="P18591" t="n">
        <v>0</v>
      </c>
      <c r="Q18591" t="n">
        <v>0</v>
      </c>
      <c r="R18591" s="2" t="inlineStr"/>
    </row>
    <row r="18592" ht="15" customHeight="1">
      <c r="A18592" t="inlineStr">
        <is>
          <t>A 4214-2025</t>
        </is>
      </c>
      <c r="B18592" s="1" t="n">
        <v>45685</v>
      </c>
      <c r="C18592" s="1" t="n">
        <v>45810</v>
      </c>
      <c r="D18592" t="inlineStr">
        <is>
          <t>VÄRMLANDS LÄN</t>
        </is>
      </c>
      <c r="E18592" t="inlineStr">
        <is>
          <t>ARVIKA</t>
        </is>
      </c>
      <c r="G18592" t="n">
        <v>0.7</v>
      </c>
      <c r="H18592" t="n">
        <v>0</v>
      </c>
      <c r="I18592" t="n">
        <v>0</v>
      </c>
      <c r="J18592" t="n">
        <v>0</v>
      </c>
      <c r="K18592" t="n">
        <v>0</v>
      </c>
      <c r="L18592" t="n">
        <v>0</v>
      </c>
      <c r="M18592" t="n">
        <v>0</v>
      </c>
      <c r="N18592" t="n">
        <v>0</v>
      </c>
      <c r="O18592" t="n">
        <v>0</v>
      </c>
      <c r="P18592" t="n">
        <v>0</v>
      </c>
      <c r="Q18592" t="n">
        <v>0</v>
      </c>
      <c r="R18592" s="2" t="inlineStr"/>
    </row>
    <row r="18593" ht="15" customHeight="1">
      <c r="A18593" t="inlineStr">
        <is>
          <t>A 4194-2025</t>
        </is>
      </c>
      <c r="B18593" s="1" t="n">
        <v>45685</v>
      </c>
      <c r="C18593" s="1" t="n">
        <v>45810</v>
      </c>
      <c r="D18593" t="inlineStr">
        <is>
          <t>VÄRMLANDS LÄN</t>
        </is>
      </c>
      <c r="E18593" t="inlineStr">
        <is>
          <t>SÄFFLE</t>
        </is>
      </c>
      <c r="G18593" t="n">
        <v>5.2</v>
      </c>
      <c r="H18593" t="n">
        <v>0</v>
      </c>
      <c r="I18593" t="n">
        <v>0</v>
      </c>
      <c r="J18593" t="n">
        <v>0</v>
      </c>
      <c r="K18593" t="n">
        <v>0</v>
      </c>
      <c r="L18593" t="n">
        <v>0</v>
      </c>
      <c r="M18593" t="n">
        <v>0</v>
      </c>
      <c r="N18593" t="n">
        <v>0</v>
      </c>
      <c r="O18593" t="n">
        <v>0</v>
      </c>
      <c r="P18593" t="n">
        <v>0</v>
      </c>
      <c r="Q18593" t="n">
        <v>0</v>
      </c>
      <c r="R18593" s="2" t="inlineStr"/>
    </row>
    <row r="18594" ht="15" customHeight="1">
      <c r="A18594" t="inlineStr">
        <is>
          <t>A 4228-2025</t>
        </is>
      </c>
      <c r="B18594" s="1" t="n">
        <v>45685</v>
      </c>
      <c r="C18594" s="1" t="n">
        <v>45810</v>
      </c>
      <c r="D18594" t="inlineStr">
        <is>
          <t>VÄRMLANDS LÄN</t>
        </is>
      </c>
      <c r="E18594" t="inlineStr">
        <is>
          <t>SÄFFLE</t>
        </is>
      </c>
      <c r="G18594" t="n">
        <v>8.199999999999999</v>
      </c>
      <c r="H18594" t="n">
        <v>0</v>
      </c>
      <c r="I18594" t="n">
        <v>0</v>
      </c>
      <c r="J18594" t="n">
        <v>0</v>
      </c>
      <c r="K18594" t="n">
        <v>0</v>
      </c>
      <c r="L18594" t="n">
        <v>0</v>
      </c>
      <c r="M18594" t="n">
        <v>0</v>
      </c>
      <c r="N18594" t="n">
        <v>0</v>
      </c>
      <c r="O18594" t="n">
        <v>0</v>
      </c>
      <c r="P18594" t="n">
        <v>0</v>
      </c>
      <c r="Q18594" t="n">
        <v>0</v>
      </c>
      <c r="R18594" s="2" t="inlineStr"/>
    </row>
    <row r="18595" ht="15" customHeight="1">
      <c r="A18595" t="inlineStr">
        <is>
          <t>A 4137-2025</t>
        </is>
      </c>
      <c r="B18595" s="1" t="n">
        <v>45685</v>
      </c>
      <c r="C18595" s="1" t="n">
        <v>45810</v>
      </c>
      <c r="D18595" t="inlineStr">
        <is>
          <t>VÄRMLANDS LÄN</t>
        </is>
      </c>
      <c r="E18595" t="inlineStr">
        <is>
          <t>ÅRJÄNG</t>
        </is>
      </c>
      <c r="G18595" t="n">
        <v>3.3</v>
      </c>
      <c r="H18595" t="n">
        <v>0</v>
      </c>
      <c r="I18595" t="n">
        <v>0</v>
      </c>
      <c r="J18595" t="n">
        <v>0</v>
      </c>
      <c r="K18595" t="n">
        <v>0</v>
      </c>
      <c r="L18595" t="n">
        <v>0</v>
      </c>
      <c r="M18595" t="n">
        <v>0</v>
      </c>
      <c r="N18595" t="n">
        <v>0</v>
      </c>
      <c r="O18595" t="n">
        <v>0</v>
      </c>
      <c r="P18595" t="n">
        <v>0</v>
      </c>
      <c r="Q18595" t="n">
        <v>0</v>
      </c>
      <c r="R18595" s="2" t="inlineStr"/>
    </row>
    <row r="18596" ht="15" customHeight="1">
      <c r="A18596" t="inlineStr">
        <is>
          <t>A 4135-2025</t>
        </is>
      </c>
      <c r="B18596" s="1" t="n">
        <v>45685</v>
      </c>
      <c r="C18596" s="1" t="n">
        <v>45810</v>
      </c>
      <c r="D18596" t="inlineStr">
        <is>
          <t>VÄRMLANDS LÄN</t>
        </is>
      </c>
      <c r="E18596" t="inlineStr">
        <is>
          <t>ÅRJÄNG</t>
        </is>
      </c>
      <c r="G18596" t="n">
        <v>4.4</v>
      </c>
      <c r="H18596" t="n">
        <v>0</v>
      </c>
      <c r="I18596" t="n">
        <v>0</v>
      </c>
      <c r="J18596" t="n">
        <v>0</v>
      </c>
      <c r="K18596" t="n">
        <v>0</v>
      </c>
      <c r="L18596" t="n">
        <v>0</v>
      </c>
      <c r="M18596" t="n">
        <v>0</v>
      </c>
      <c r="N18596" t="n">
        <v>0</v>
      </c>
      <c r="O18596" t="n">
        <v>0</v>
      </c>
      <c r="P18596" t="n">
        <v>0</v>
      </c>
      <c r="Q18596" t="n">
        <v>0</v>
      </c>
      <c r="R18596" s="2" t="inlineStr"/>
    </row>
    <row r="18597" ht="15" customHeight="1">
      <c r="A18597" t="inlineStr">
        <is>
          <t>A 4335-2025</t>
        </is>
      </c>
      <c r="B18597" s="1" t="n">
        <v>45685</v>
      </c>
      <c r="C18597" s="1" t="n">
        <v>45810</v>
      </c>
      <c r="D18597" t="inlineStr">
        <is>
          <t>VÄRMLANDS LÄN</t>
        </is>
      </c>
      <c r="E18597" t="inlineStr">
        <is>
          <t>KRISTINEHAMN</t>
        </is>
      </c>
      <c r="G18597" t="n">
        <v>2.9</v>
      </c>
      <c r="H18597" t="n">
        <v>0</v>
      </c>
      <c r="I18597" t="n">
        <v>0</v>
      </c>
      <c r="J18597" t="n">
        <v>0</v>
      </c>
      <c r="K18597" t="n">
        <v>0</v>
      </c>
      <c r="L18597" t="n">
        <v>0</v>
      </c>
      <c r="M18597" t="n">
        <v>0</v>
      </c>
      <c r="N18597" t="n">
        <v>0</v>
      </c>
      <c r="O18597" t="n">
        <v>0</v>
      </c>
      <c r="P18597" t="n">
        <v>0</v>
      </c>
      <c r="Q18597" t="n">
        <v>0</v>
      </c>
      <c r="R18597" s="2" t="inlineStr"/>
    </row>
    <row r="18598" ht="15" customHeight="1">
      <c r="A18598" t="inlineStr">
        <is>
          <t>A 4342-2025</t>
        </is>
      </c>
      <c r="B18598" s="1" t="n">
        <v>45685</v>
      </c>
      <c r="C18598" s="1" t="n">
        <v>45810</v>
      </c>
      <c r="D18598" t="inlineStr">
        <is>
          <t>VÄRMLANDS LÄN</t>
        </is>
      </c>
      <c r="E18598" t="inlineStr">
        <is>
          <t>TORSBY</t>
        </is>
      </c>
      <c r="G18598" t="n">
        <v>1.8</v>
      </c>
      <c r="H18598" t="n">
        <v>0</v>
      </c>
      <c r="I18598" t="n">
        <v>0</v>
      </c>
      <c r="J18598" t="n">
        <v>0</v>
      </c>
      <c r="K18598" t="n">
        <v>0</v>
      </c>
      <c r="L18598" t="n">
        <v>0</v>
      </c>
      <c r="M18598" t="n">
        <v>0</v>
      </c>
      <c r="N18598" t="n">
        <v>0</v>
      </c>
      <c r="O18598" t="n">
        <v>0</v>
      </c>
      <c r="P18598" t="n">
        <v>0</v>
      </c>
      <c r="Q18598" t="n">
        <v>0</v>
      </c>
      <c r="R18598" s="2" t="inlineStr"/>
    </row>
    <row r="18599" ht="15" customHeight="1">
      <c r="A18599" t="inlineStr">
        <is>
          <t>A 4337-2025</t>
        </is>
      </c>
      <c r="B18599" s="1" t="n">
        <v>45685</v>
      </c>
      <c r="C18599" s="1" t="n">
        <v>45810</v>
      </c>
      <c r="D18599" t="inlineStr">
        <is>
          <t>VÄRMLANDS LÄN</t>
        </is>
      </c>
      <c r="E18599" t="inlineStr">
        <is>
          <t>KRISTINEHAMN</t>
        </is>
      </c>
      <c r="G18599" t="n">
        <v>1.1</v>
      </c>
      <c r="H18599" t="n">
        <v>0</v>
      </c>
      <c r="I18599" t="n">
        <v>0</v>
      </c>
      <c r="J18599" t="n">
        <v>0</v>
      </c>
      <c r="K18599" t="n">
        <v>0</v>
      </c>
      <c r="L18599" t="n">
        <v>0</v>
      </c>
      <c r="M18599" t="n">
        <v>0</v>
      </c>
      <c r="N18599" t="n">
        <v>0</v>
      </c>
      <c r="O18599" t="n">
        <v>0</v>
      </c>
      <c r="P18599" t="n">
        <v>0</v>
      </c>
      <c r="Q18599" t="n">
        <v>0</v>
      </c>
      <c r="R18599" s="2" t="inlineStr"/>
    </row>
    <row r="18600" ht="15" customHeight="1">
      <c r="A18600" t="inlineStr">
        <is>
          <t>A 4273-2025</t>
        </is>
      </c>
      <c r="B18600" s="1" t="n">
        <v>45685</v>
      </c>
      <c r="C18600" s="1" t="n">
        <v>45810</v>
      </c>
      <c r="D18600" t="inlineStr">
        <is>
          <t>VÄRMLANDS LÄN</t>
        </is>
      </c>
      <c r="E18600" t="inlineStr">
        <is>
          <t>GRUMS</t>
        </is>
      </c>
      <c r="G18600" t="n">
        <v>1.7</v>
      </c>
      <c r="H18600" t="n">
        <v>0</v>
      </c>
      <c r="I18600" t="n">
        <v>0</v>
      </c>
      <c r="J18600" t="n">
        <v>0</v>
      </c>
      <c r="K18600" t="n">
        <v>0</v>
      </c>
      <c r="L18600" t="n">
        <v>0</v>
      </c>
      <c r="M18600" t="n">
        <v>0</v>
      </c>
      <c r="N18600" t="n">
        <v>0</v>
      </c>
      <c r="O18600" t="n">
        <v>0</v>
      </c>
      <c r="P18600" t="n">
        <v>0</v>
      </c>
      <c r="Q18600" t="n">
        <v>0</v>
      </c>
      <c r="R18600" s="2" t="inlineStr"/>
    </row>
    <row r="18601" ht="15" customHeight="1">
      <c r="A18601" t="inlineStr">
        <is>
          <t>A 4239-2025</t>
        </is>
      </c>
      <c r="B18601" s="1" t="n">
        <v>45685</v>
      </c>
      <c r="C18601" s="1" t="n">
        <v>45810</v>
      </c>
      <c r="D18601" t="inlineStr">
        <is>
          <t>VÄRMLANDS LÄN</t>
        </is>
      </c>
      <c r="E18601" t="inlineStr">
        <is>
          <t>SUNNE</t>
        </is>
      </c>
      <c r="G18601" t="n">
        <v>3.5</v>
      </c>
      <c r="H18601" t="n">
        <v>0</v>
      </c>
      <c r="I18601" t="n">
        <v>0</v>
      </c>
      <c r="J18601" t="n">
        <v>0</v>
      </c>
      <c r="K18601" t="n">
        <v>0</v>
      </c>
      <c r="L18601" t="n">
        <v>0</v>
      </c>
      <c r="M18601" t="n">
        <v>0</v>
      </c>
      <c r="N18601" t="n">
        <v>0</v>
      </c>
      <c r="O18601" t="n">
        <v>0</v>
      </c>
      <c r="P18601" t="n">
        <v>0</v>
      </c>
      <c r="Q18601" t="n">
        <v>0</v>
      </c>
      <c r="R18601" s="2" t="inlineStr"/>
    </row>
    <row r="18602" ht="15" customHeight="1">
      <c r="A18602" t="inlineStr">
        <is>
          <t>A 4211-2025</t>
        </is>
      </c>
      <c r="B18602" s="1" t="n">
        <v>45685</v>
      </c>
      <c r="C18602" s="1" t="n">
        <v>45810</v>
      </c>
      <c r="D18602" t="inlineStr">
        <is>
          <t>VÄRMLANDS LÄN</t>
        </is>
      </c>
      <c r="E18602" t="inlineStr">
        <is>
          <t>ARVIKA</t>
        </is>
      </c>
      <c r="G18602" t="n">
        <v>11.1</v>
      </c>
      <c r="H18602" t="n">
        <v>0</v>
      </c>
      <c r="I18602" t="n">
        <v>0</v>
      </c>
      <c r="J18602" t="n">
        <v>0</v>
      </c>
      <c r="K18602" t="n">
        <v>0</v>
      </c>
      <c r="L18602" t="n">
        <v>0</v>
      </c>
      <c r="M18602" t="n">
        <v>0</v>
      </c>
      <c r="N18602" t="n">
        <v>0</v>
      </c>
      <c r="O18602" t="n">
        <v>0</v>
      </c>
      <c r="P18602" t="n">
        <v>0</v>
      </c>
      <c r="Q18602" t="n">
        <v>0</v>
      </c>
      <c r="R18602" s="2" t="inlineStr"/>
    </row>
    <row r="18603" ht="15" customHeight="1">
      <c r="A18603" t="inlineStr">
        <is>
          <t>A 4140-2025</t>
        </is>
      </c>
      <c r="B18603" s="1" t="n">
        <v>45685</v>
      </c>
      <c r="C18603" s="1" t="n">
        <v>45810</v>
      </c>
      <c r="D18603" t="inlineStr">
        <is>
          <t>VÄRMLANDS LÄN</t>
        </is>
      </c>
      <c r="E18603" t="inlineStr">
        <is>
          <t>EDA</t>
        </is>
      </c>
      <c r="G18603" t="n">
        <v>1.8</v>
      </c>
      <c r="H18603" t="n">
        <v>0</v>
      </c>
      <c r="I18603" t="n">
        <v>0</v>
      </c>
      <c r="J18603" t="n">
        <v>0</v>
      </c>
      <c r="K18603" t="n">
        <v>0</v>
      </c>
      <c r="L18603" t="n">
        <v>0</v>
      </c>
      <c r="M18603" t="n">
        <v>0</v>
      </c>
      <c r="N18603" t="n">
        <v>0</v>
      </c>
      <c r="O18603" t="n">
        <v>0</v>
      </c>
      <c r="P18603" t="n">
        <v>0</v>
      </c>
      <c r="Q18603" t="n">
        <v>0</v>
      </c>
      <c r="R18603" s="2" t="inlineStr"/>
    </row>
    <row r="18604" ht="15" customHeight="1">
      <c r="A18604" t="inlineStr">
        <is>
          <t>A 4189-2025</t>
        </is>
      </c>
      <c r="B18604" s="1" t="n">
        <v>45685</v>
      </c>
      <c r="C18604" s="1" t="n">
        <v>45810</v>
      </c>
      <c r="D18604" t="inlineStr">
        <is>
          <t>VÄRMLANDS LÄN</t>
        </is>
      </c>
      <c r="E18604" t="inlineStr">
        <is>
          <t>ÅRJÄNG</t>
        </is>
      </c>
      <c r="G18604" t="n">
        <v>3.1</v>
      </c>
      <c r="H18604" t="n">
        <v>0</v>
      </c>
      <c r="I18604" t="n">
        <v>0</v>
      </c>
      <c r="J18604" t="n">
        <v>0</v>
      </c>
      <c r="K18604" t="n">
        <v>0</v>
      </c>
      <c r="L18604" t="n">
        <v>0</v>
      </c>
      <c r="M18604" t="n">
        <v>0</v>
      </c>
      <c r="N18604" t="n">
        <v>0</v>
      </c>
      <c r="O18604" t="n">
        <v>0</v>
      </c>
      <c r="P18604" t="n">
        <v>0</v>
      </c>
      <c r="Q18604" t="n">
        <v>0</v>
      </c>
      <c r="R18604" s="2" t="inlineStr"/>
    </row>
    <row r="18605" ht="15" customHeight="1">
      <c r="A18605" t="inlineStr">
        <is>
          <t>A 4201-2025</t>
        </is>
      </c>
      <c r="B18605" s="1" t="n">
        <v>45685</v>
      </c>
      <c r="C18605" s="1" t="n">
        <v>45810</v>
      </c>
      <c r="D18605" t="inlineStr">
        <is>
          <t>VÄRMLANDS LÄN</t>
        </is>
      </c>
      <c r="E18605" t="inlineStr">
        <is>
          <t>ÅRJÄNG</t>
        </is>
      </c>
      <c r="G18605" t="n">
        <v>0.8</v>
      </c>
      <c r="H18605" t="n">
        <v>0</v>
      </c>
      <c r="I18605" t="n">
        <v>0</v>
      </c>
      <c r="J18605" t="n">
        <v>0</v>
      </c>
      <c r="K18605" t="n">
        <v>0</v>
      </c>
      <c r="L18605" t="n">
        <v>0</v>
      </c>
      <c r="M18605" t="n">
        <v>0</v>
      </c>
      <c r="N18605" t="n">
        <v>0</v>
      </c>
      <c r="O18605" t="n">
        <v>0</v>
      </c>
      <c r="P18605" t="n">
        <v>0</v>
      </c>
      <c r="Q18605" t="n">
        <v>0</v>
      </c>
      <c r="R18605" s="2" t="inlineStr"/>
    </row>
    <row r="18606" ht="15" customHeight="1">
      <c r="A18606" t="inlineStr">
        <is>
          <t>A 4249-2025</t>
        </is>
      </c>
      <c r="B18606" s="1" t="n">
        <v>45685</v>
      </c>
      <c r="C18606" s="1" t="n">
        <v>45810</v>
      </c>
      <c r="D18606" t="inlineStr">
        <is>
          <t>VÄRMLANDS LÄN</t>
        </is>
      </c>
      <c r="E18606" t="inlineStr">
        <is>
          <t>SÄFFLE</t>
        </is>
      </c>
      <c r="G18606" t="n">
        <v>6.6</v>
      </c>
      <c r="H18606" t="n">
        <v>0</v>
      </c>
      <c r="I18606" t="n">
        <v>0</v>
      </c>
      <c r="J18606" t="n">
        <v>0</v>
      </c>
      <c r="K18606" t="n">
        <v>0</v>
      </c>
      <c r="L18606" t="n">
        <v>0</v>
      </c>
      <c r="M18606" t="n">
        <v>0</v>
      </c>
      <c r="N18606" t="n">
        <v>0</v>
      </c>
      <c r="O18606" t="n">
        <v>0</v>
      </c>
      <c r="P18606" t="n">
        <v>0</v>
      </c>
      <c r="Q18606" t="n">
        <v>0</v>
      </c>
      <c r="R18606" s="2" t="inlineStr"/>
    </row>
    <row r="18607" ht="15" customHeight="1">
      <c r="A18607" t="inlineStr">
        <is>
          <t>A 4418-2025</t>
        </is>
      </c>
      <c r="B18607" s="1" t="n">
        <v>45686</v>
      </c>
      <c r="C18607" s="1" t="n">
        <v>45810</v>
      </c>
      <c r="D18607" t="inlineStr">
        <is>
          <t>VÄRMLANDS LÄN</t>
        </is>
      </c>
      <c r="E18607" t="inlineStr">
        <is>
          <t>KRISTINEHAMN</t>
        </is>
      </c>
      <c r="G18607" t="n">
        <v>8.199999999999999</v>
      </c>
      <c r="H18607" t="n">
        <v>0</v>
      </c>
      <c r="I18607" t="n">
        <v>0</v>
      </c>
      <c r="J18607" t="n">
        <v>0</v>
      </c>
      <c r="K18607" t="n">
        <v>0</v>
      </c>
      <c r="L18607" t="n">
        <v>0</v>
      </c>
      <c r="M18607" t="n">
        <v>0</v>
      </c>
      <c r="N18607" t="n">
        <v>0</v>
      </c>
      <c r="O18607" t="n">
        <v>0</v>
      </c>
      <c r="P18607" t="n">
        <v>0</v>
      </c>
      <c r="Q18607" t="n">
        <v>0</v>
      </c>
      <c r="R18607" s="2" t="inlineStr"/>
    </row>
    <row r="18608" ht="15" customHeight="1">
      <c r="A18608" t="inlineStr">
        <is>
          <t>A 4506-2025</t>
        </is>
      </c>
      <c r="B18608" s="1" t="n">
        <v>45686</v>
      </c>
      <c r="C18608" s="1" t="n">
        <v>45810</v>
      </c>
      <c r="D18608" t="inlineStr">
        <is>
          <t>VÄRMLANDS LÄN</t>
        </is>
      </c>
      <c r="E18608" t="inlineStr">
        <is>
          <t>ARVIKA</t>
        </is>
      </c>
      <c r="G18608" t="n">
        <v>0.2</v>
      </c>
      <c r="H18608" t="n">
        <v>0</v>
      </c>
      <c r="I18608" t="n">
        <v>0</v>
      </c>
      <c r="J18608" t="n">
        <v>0</v>
      </c>
      <c r="K18608" t="n">
        <v>0</v>
      </c>
      <c r="L18608" t="n">
        <v>0</v>
      </c>
      <c r="M18608" t="n">
        <v>0</v>
      </c>
      <c r="N18608" t="n">
        <v>0</v>
      </c>
      <c r="O18608" t="n">
        <v>0</v>
      </c>
      <c r="P18608" t="n">
        <v>0</v>
      </c>
      <c r="Q18608" t="n">
        <v>0</v>
      </c>
      <c r="R18608" s="2" t="inlineStr"/>
    </row>
    <row r="18609" ht="15" customHeight="1">
      <c r="A18609" t="inlineStr">
        <is>
          <t>A 4494-2025</t>
        </is>
      </c>
      <c r="B18609" s="1" t="n">
        <v>45686</v>
      </c>
      <c r="C18609" s="1" t="n">
        <v>45810</v>
      </c>
      <c r="D18609" t="inlineStr">
        <is>
          <t>VÄRMLANDS LÄN</t>
        </is>
      </c>
      <c r="E18609" t="inlineStr">
        <is>
          <t>STORFORS</t>
        </is>
      </c>
      <c r="G18609" t="n">
        <v>1</v>
      </c>
      <c r="H18609" t="n">
        <v>0</v>
      </c>
      <c r="I18609" t="n">
        <v>0</v>
      </c>
      <c r="J18609" t="n">
        <v>0</v>
      </c>
      <c r="K18609" t="n">
        <v>0</v>
      </c>
      <c r="L18609" t="n">
        <v>0</v>
      </c>
      <c r="M18609" t="n">
        <v>0</v>
      </c>
      <c r="N18609" t="n">
        <v>0</v>
      </c>
      <c r="O18609" t="n">
        <v>0</v>
      </c>
      <c r="P18609" t="n">
        <v>0</v>
      </c>
      <c r="Q18609" t="n">
        <v>0</v>
      </c>
      <c r="R18609" s="2" t="inlineStr"/>
    </row>
    <row r="18610" ht="15" customHeight="1">
      <c r="A18610" t="inlineStr">
        <is>
          <t>A 4516-2025</t>
        </is>
      </c>
      <c r="B18610" s="1" t="n">
        <v>45686</v>
      </c>
      <c r="C18610" s="1" t="n">
        <v>45810</v>
      </c>
      <c r="D18610" t="inlineStr">
        <is>
          <t>VÄRMLANDS LÄN</t>
        </is>
      </c>
      <c r="E18610" t="inlineStr">
        <is>
          <t>TORSBY</t>
        </is>
      </c>
      <c r="G18610" t="n">
        <v>1.3</v>
      </c>
      <c r="H18610" t="n">
        <v>0</v>
      </c>
      <c r="I18610" t="n">
        <v>0</v>
      </c>
      <c r="J18610" t="n">
        <v>0</v>
      </c>
      <c r="K18610" t="n">
        <v>0</v>
      </c>
      <c r="L18610" t="n">
        <v>0</v>
      </c>
      <c r="M18610" t="n">
        <v>0</v>
      </c>
      <c r="N18610" t="n">
        <v>0</v>
      </c>
      <c r="O18610" t="n">
        <v>0</v>
      </c>
      <c r="P18610" t="n">
        <v>0</v>
      </c>
      <c r="Q18610" t="n">
        <v>0</v>
      </c>
      <c r="R18610" s="2" t="inlineStr"/>
    </row>
    <row r="18611" ht="15" customHeight="1">
      <c r="A18611" t="inlineStr">
        <is>
          <t>A 4470-2025</t>
        </is>
      </c>
      <c r="B18611" s="1" t="n">
        <v>45686</v>
      </c>
      <c r="C18611" s="1" t="n">
        <v>45810</v>
      </c>
      <c r="D18611" t="inlineStr">
        <is>
          <t>VÄRMLANDS LÄN</t>
        </is>
      </c>
      <c r="E18611" t="inlineStr">
        <is>
          <t>TORSBY</t>
        </is>
      </c>
      <c r="G18611" t="n">
        <v>2.7</v>
      </c>
      <c r="H18611" t="n">
        <v>0</v>
      </c>
      <c r="I18611" t="n">
        <v>0</v>
      </c>
      <c r="J18611" t="n">
        <v>0</v>
      </c>
      <c r="K18611" t="n">
        <v>0</v>
      </c>
      <c r="L18611" t="n">
        <v>0</v>
      </c>
      <c r="M18611" t="n">
        <v>0</v>
      </c>
      <c r="N18611" t="n">
        <v>0</v>
      </c>
      <c r="O18611" t="n">
        <v>0</v>
      </c>
      <c r="P18611" t="n">
        <v>0</v>
      </c>
      <c r="Q18611" t="n">
        <v>0</v>
      </c>
      <c r="R18611" s="2" t="inlineStr"/>
    </row>
    <row r="18612" ht="15" customHeight="1">
      <c r="A18612" t="inlineStr">
        <is>
          <t>A 4466-2025</t>
        </is>
      </c>
      <c r="B18612" s="1" t="n">
        <v>45686</v>
      </c>
      <c r="C18612" s="1" t="n">
        <v>45810</v>
      </c>
      <c r="D18612" t="inlineStr">
        <is>
          <t>VÄRMLANDS LÄN</t>
        </is>
      </c>
      <c r="E18612" t="inlineStr">
        <is>
          <t>ARVIKA</t>
        </is>
      </c>
      <c r="G18612" t="n">
        <v>1.2</v>
      </c>
      <c r="H18612" t="n">
        <v>0</v>
      </c>
      <c r="I18612" t="n">
        <v>0</v>
      </c>
      <c r="J18612" t="n">
        <v>0</v>
      </c>
      <c r="K18612" t="n">
        <v>0</v>
      </c>
      <c r="L18612" t="n">
        <v>0</v>
      </c>
      <c r="M18612" t="n">
        <v>0</v>
      </c>
      <c r="N18612" t="n">
        <v>0</v>
      </c>
      <c r="O18612" t="n">
        <v>0</v>
      </c>
      <c r="P18612" t="n">
        <v>0</v>
      </c>
      <c r="Q18612" t="n">
        <v>0</v>
      </c>
      <c r="R18612" s="2" t="inlineStr"/>
    </row>
    <row r="18613" ht="15" customHeight="1">
      <c r="A18613" t="inlineStr">
        <is>
          <t>A 4462-2025</t>
        </is>
      </c>
      <c r="B18613" s="1" t="n">
        <v>45686</v>
      </c>
      <c r="C18613" s="1" t="n">
        <v>45810</v>
      </c>
      <c r="D18613" t="inlineStr">
        <is>
          <t>VÄRMLANDS LÄN</t>
        </is>
      </c>
      <c r="E18613" t="inlineStr">
        <is>
          <t>FILIPSTAD</t>
        </is>
      </c>
      <c r="F18613" t="inlineStr">
        <is>
          <t>Bergvik skog väst AB</t>
        </is>
      </c>
      <c r="G18613" t="n">
        <v>0.6</v>
      </c>
      <c r="H18613" t="n">
        <v>0</v>
      </c>
      <c r="I18613" t="n">
        <v>0</v>
      </c>
      <c r="J18613" t="n">
        <v>0</v>
      </c>
      <c r="K18613" t="n">
        <v>0</v>
      </c>
      <c r="L18613" t="n">
        <v>0</v>
      </c>
      <c r="M18613" t="n">
        <v>0</v>
      </c>
      <c r="N18613" t="n">
        <v>0</v>
      </c>
      <c r="O18613" t="n">
        <v>0</v>
      </c>
      <c r="P18613" t="n">
        <v>0</v>
      </c>
      <c r="Q18613" t="n">
        <v>0</v>
      </c>
      <c r="R18613" s="2" t="inlineStr"/>
    </row>
    <row r="18614" ht="15" customHeight="1">
      <c r="A18614" t="inlineStr">
        <is>
          <t>A 4499-2025</t>
        </is>
      </c>
      <c r="B18614" s="1" t="n">
        <v>45686</v>
      </c>
      <c r="C18614" s="1" t="n">
        <v>45810</v>
      </c>
      <c r="D18614" t="inlineStr">
        <is>
          <t>VÄRMLANDS LÄN</t>
        </is>
      </c>
      <c r="E18614" t="inlineStr">
        <is>
          <t>SUNNE</t>
        </is>
      </c>
      <c r="G18614" t="n">
        <v>1.1</v>
      </c>
      <c r="H18614" t="n">
        <v>0</v>
      </c>
      <c r="I18614" t="n">
        <v>0</v>
      </c>
      <c r="J18614" t="n">
        <v>0</v>
      </c>
      <c r="K18614" t="n">
        <v>0</v>
      </c>
      <c r="L18614" t="n">
        <v>0</v>
      </c>
      <c r="M18614" t="n">
        <v>0</v>
      </c>
      <c r="N18614" t="n">
        <v>0</v>
      </c>
      <c r="O18614" t="n">
        <v>0</v>
      </c>
      <c r="P18614" t="n">
        <v>0</v>
      </c>
      <c r="Q18614" t="n">
        <v>0</v>
      </c>
      <c r="R18614" s="2" t="inlineStr"/>
    </row>
    <row r="18615" ht="15" customHeight="1">
      <c r="A18615" t="inlineStr">
        <is>
          <t>A 4495-2025</t>
        </is>
      </c>
      <c r="B18615" s="1" t="n">
        <v>45686</v>
      </c>
      <c r="C18615" s="1" t="n">
        <v>45810</v>
      </c>
      <c r="D18615" t="inlineStr">
        <is>
          <t>VÄRMLANDS LÄN</t>
        </is>
      </c>
      <c r="E18615" t="inlineStr">
        <is>
          <t>KRISTINEHAMN</t>
        </is>
      </c>
      <c r="G18615" t="n">
        <v>7</v>
      </c>
      <c r="H18615" t="n">
        <v>0</v>
      </c>
      <c r="I18615" t="n">
        <v>0</v>
      </c>
      <c r="J18615" t="n">
        <v>0</v>
      </c>
      <c r="K18615" t="n">
        <v>0</v>
      </c>
      <c r="L18615" t="n">
        <v>0</v>
      </c>
      <c r="M18615" t="n">
        <v>0</v>
      </c>
      <c r="N18615" t="n">
        <v>0</v>
      </c>
      <c r="O18615" t="n">
        <v>0</v>
      </c>
      <c r="P18615" t="n">
        <v>0</v>
      </c>
      <c r="Q18615" t="n">
        <v>0</v>
      </c>
      <c r="R18615" s="2" t="inlineStr"/>
    </row>
    <row r="18616" ht="15" customHeight="1">
      <c r="A18616" t="inlineStr">
        <is>
          <t>A 4465-2025</t>
        </is>
      </c>
      <c r="B18616" s="1" t="n">
        <v>45686</v>
      </c>
      <c r="C18616" s="1" t="n">
        <v>45810</v>
      </c>
      <c r="D18616" t="inlineStr">
        <is>
          <t>VÄRMLANDS LÄN</t>
        </is>
      </c>
      <c r="E18616" t="inlineStr">
        <is>
          <t>STORFORS</t>
        </is>
      </c>
      <c r="F18616" t="inlineStr">
        <is>
          <t>Bergvik skog väst AB</t>
        </is>
      </c>
      <c r="G18616" t="n">
        <v>0.6</v>
      </c>
      <c r="H18616" t="n">
        <v>0</v>
      </c>
      <c r="I18616" t="n">
        <v>0</v>
      </c>
      <c r="J18616" t="n">
        <v>0</v>
      </c>
      <c r="K18616" t="n">
        <v>0</v>
      </c>
      <c r="L18616" t="n">
        <v>0</v>
      </c>
      <c r="M18616" t="n">
        <v>0</v>
      </c>
      <c r="N18616" t="n">
        <v>0</v>
      </c>
      <c r="O18616" t="n">
        <v>0</v>
      </c>
      <c r="P18616" t="n">
        <v>0</v>
      </c>
      <c r="Q18616" t="n">
        <v>0</v>
      </c>
      <c r="R18616" s="2" t="inlineStr"/>
    </row>
    <row r="18617" ht="15" customHeight="1">
      <c r="A18617" t="inlineStr">
        <is>
          <t>A 4517-2025</t>
        </is>
      </c>
      <c r="B18617" s="1" t="n">
        <v>45686</v>
      </c>
      <c r="C18617" s="1" t="n">
        <v>45810</v>
      </c>
      <c r="D18617" t="inlineStr">
        <is>
          <t>VÄRMLANDS LÄN</t>
        </is>
      </c>
      <c r="E18617" t="inlineStr">
        <is>
          <t>TORSBY</t>
        </is>
      </c>
      <c r="G18617" t="n">
        <v>1</v>
      </c>
      <c r="H18617" t="n">
        <v>0</v>
      </c>
      <c r="I18617" t="n">
        <v>0</v>
      </c>
      <c r="J18617" t="n">
        <v>0</v>
      </c>
      <c r="K18617" t="n">
        <v>0</v>
      </c>
      <c r="L18617" t="n">
        <v>0</v>
      </c>
      <c r="M18617" t="n">
        <v>0</v>
      </c>
      <c r="N18617" t="n">
        <v>0</v>
      </c>
      <c r="O18617" t="n">
        <v>0</v>
      </c>
      <c r="P18617" t="n">
        <v>0</v>
      </c>
      <c r="Q18617" t="n">
        <v>0</v>
      </c>
      <c r="R18617" s="2" t="inlineStr"/>
    </row>
    <row r="18618" ht="15" customHeight="1">
      <c r="A18618" t="inlineStr">
        <is>
          <t>A 4501-2025</t>
        </is>
      </c>
      <c r="B18618" s="1" t="n">
        <v>45686</v>
      </c>
      <c r="C18618" s="1" t="n">
        <v>45810</v>
      </c>
      <c r="D18618" t="inlineStr">
        <is>
          <t>VÄRMLANDS LÄN</t>
        </is>
      </c>
      <c r="E18618" t="inlineStr">
        <is>
          <t>HAGFORS</t>
        </is>
      </c>
      <c r="G18618" t="n">
        <v>5.4</v>
      </c>
      <c r="H18618" t="n">
        <v>0</v>
      </c>
      <c r="I18618" t="n">
        <v>0</v>
      </c>
      <c r="J18618" t="n">
        <v>0</v>
      </c>
      <c r="K18618" t="n">
        <v>0</v>
      </c>
      <c r="L18618" t="n">
        <v>0</v>
      </c>
      <c r="M18618" t="n">
        <v>0</v>
      </c>
      <c r="N18618" t="n">
        <v>0</v>
      </c>
      <c r="O18618" t="n">
        <v>0</v>
      </c>
      <c r="P18618" t="n">
        <v>0</v>
      </c>
      <c r="Q18618" t="n">
        <v>0</v>
      </c>
      <c r="R18618" s="2" t="inlineStr"/>
    </row>
    <row r="18619" ht="15" customHeight="1">
      <c r="A18619" t="inlineStr">
        <is>
          <t>A 4360-2025</t>
        </is>
      </c>
      <c r="B18619" s="1" t="n">
        <v>45686</v>
      </c>
      <c r="C18619" s="1" t="n">
        <v>45810</v>
      </c>
      <c r="D18619" t="inlineStr">
        <is>
          <t>VÄRMLANDS LÄN</t>
        </is>
      </c>
      <c r="E18619" t="inlineStr">
        <is>
          <t>SUNNE</t>
        </is>
      </c>
      <c r="G18619" t="n">
        <v>1.1</v>
      </c>
      <c r="H18619" t="n">
        <v>0</v>
      </c>
      <c r="I18619" t="n">
        <v>0</v>
      </c>
      <c r="J18619" t="n">
        <v>0</v>
      </c>
      <c r="K18619" t="n">
        <v>0</v>
      </c>
      <c r="L18619" t="n">
        <v>0</v>
      </c>
      <c r="M18619" t="n">
        <v>0</v>
      </c>
      <c r="N18619" t="n">
        <v>0</v>
      </c>
      <c r="O18619" t="n">
        <v>0</v>
      </c>
      <c r="P18619" t="n">
        <v>0</v>
      </c>
      <c r="Q18619" t="n">
        <v>0</v>
      </c>
      <c r="R18619" s="2" t="inlineStr"/>
    </row>
    <row r="18620" ht="15" customHeight="1">
      <c r="A18620" t="inlineStr">
        <is>
          <t>A 4391-2025</t>
        </is>
      </c>
      <c r="B18620" s="1" t="n">
        <v>45686</v>
      </c>
      <c r="C18620" s="1" t="n">
        <v>45810</v>
      </c>
      <c r="D18620" t="inlineStr">
        <is>
          <t>VÄRMLANDS LÄN</t>
        </is>
      </c>
      <c r="E18620" t="inlineStr">
        <is>
          <t>SUNNE</t>
        </is>
      </c>
      <c r="G18620" t="n">
        <v>18.6</v>
      </c>
      <c r="H18620" t="n">
        <v>0</v>
      </c>
      <c r="I18620" t="n">
        <v>0</v>
      </c>
      <c r="J18620" t="n">
        <v>0</v>
      </c>
      <c r="K18620" t="n">
        <v>0</v>
      </c>
      <c r="L18620" t="n">
        <v>0</v>
      </c>
      <c r="M18620" t="n">
        <v>0</v>
      </c>
      <c r="N18620" t="n">
        <v>0</v>
      </c>
      <c r="O18620" t="n">
        <v>0</v>
      </c>
      <c r="P18620" t="n">
        <v>0</v>
      </c>
      <c r="Q18620" t="n">
        <v>0</v>
      </c>
      <c r="R18620" s="2" t="inlineStr"/>
    </row>
    <row r="18621" ht="15" customHeight="1">
      <c r="A18621" t="inlineStr">
        <is>
          <t>A 4434-2025</t>
        </is>
      </c>
      <c r="B18621" s="1" t="n">
        <v>45686</v>
      </c>
      <c r="C18621" s="1" t="n">
        <v>45810</v>
      </c>
      <c r="D18621" t="inlineStr">
        <is>
          <t>VÄRMLANDS LÄN</t>
        </is>
      </c>
      <c r="E18621" t="inlineStr">
        <is>
          <t>KRISTINEHAMN</t>
        </is>
      </c>
      <c r="G18621" t="n">
        <v>6.5</v>
      </c>
      <c r="H18621" t="n">
        <v>0</v>
      </c>
      <c r="I18621" t="n">
        <v>0</v>
      </c>
      <c r="J18621" t="n">
        <v>0</v>
      </c>
      <c r="K18621" t="n">
        <v>0</v>
      </c>
      <c r="L18621" t="n">
        <v>0</v>
      </c>
      <c r="M18621" t="n">
        <v>0</v>
      </c>
      <c r="N18621" t="n">
        <v>0</v>
      </c>
      <c r="O18621" t="n">
        <v>0</v>
      </c>
      <c r="P18621" t="n">
        <v>0</v>
      </c>
      <c r="Q18621" t="n">
        <v>0</v>
      </c>
      <c r="R18621" s="2" t="inlineStr"/>
    </row>
    <row r="18622" ht="15" customHeight="1">
      <c r="A18622" t="inlineStr">
        <is>
          <t>A 4408-2025</t>
        </is>
      </c>
      <c r="B18622" s="1" t="n">
        <v>45686</v>
      </c>
      <c r="C18622" s="1" t="n">
        <v>45810</v>
      </c>
      <c r="D18622" t="inlineStr">
        <is>
          <t>VÄRMLANDS LÄN</t>
        </is>
      </c>
      <c r="E18622" t="inlineStr">
        <is>
          <t>ÅRJÄNG</t>
        </is>
      </c>
      <c r="G18622" t="n">
        <v>2</v>
      </c>
      <c r="H18622" t="n">
        <v>0</v>
      </c>
      <c r="I18622" t="n">
        <v>0</v>
      </c>
      <c r="J18622" t="n">
        <v>0</v>
      </c>
      <c r="K18622" t="n">
        <v>0</v>
      </c>
      <c r="L18622" t="n">
        <v>0</v>
      </c>
      <c r="M18622" t="n">
        <v>0</v>
      </c>
      <c r="N18622" t="n">
        <v>0</v>
      </c>
      <c r="O18622" t="n">
        <v>0</v>
      </c>
      <c r="P18622" t="n">
        <v>0</v>
      </c>
      <c r="Q18622" t="n">
        <v>0</v>
      </c>
      <c r="R18622" s="2" t="inlineStr"/>
    </row>
    <row r="18623" ht="15" customHeight="1">
      <c r="A18623" t="inlineStr">
        <is>
          <t>A 4404-2025</t>
        </is>
      </c>
      <c r="B18623" s="1" t="n">
        <v>45686</v>
      </c>
      <c r="C18623" s="1" t="n">
        <v>45810</v>
      </c>
      <c r="D18623" t="inlineStr">
        <is>
          <t>VÄRMLANDS LÄN</t>
        </is>
      </c>
      <c r="E18623" t="inlineStr">
        <is>
          <t>ÅRJÄNG</t>
        </is>
      </c>
      <c r="F18623" t="inlineStr">
        <is>
          <t>Kyrkan</t>
        </is>
      </c>
      <c r="G18623" t="n">
        <v>4.8</v>
      </c>
      <c r="H18623" t="n">
        <v>0</v>
      </c>
      <c r="I18623" t="n">
        <v>0</v>
      </c>
      <c r="J18623" t="n">
        <v>0</v>
      </c>
      <c r="K18623" t="n">
        <v>0</v>
      </c>
      <c r="L18623" t="n">
        <v>0</v>
      </c>
      <c r="M18623" t="n">
        <v>0</v>
      </c>
      <c r="N18623" t="n">
        <v>0</v>
      </c>
      <c r="O18623" t="n">
        <v>0</v>
      </c>
      <c r="P18623" t="n">
        <v>0</v>
      </c>
      <c r="Q18623" t="n">
        <v>0</v>
      </c>
      <c r="R18623" s="2" t="inlineStr"/>
    </row>
    <row r="18624" ht="15" customHeight="1">
      <c r="A18624" t="inlineStr">
        <is>
          <t>A 4493-2025</t>
        </is>
      </c>
      <c r="B18624" s="1" t="n">
        <v>45686</v>
      </c>
      <c r="C18624" s="1" t="n">
        <v>45810</v>
      </c>
      <c r="D18624" t="inlineStr">
        <is>
          <t>VÄRMLANDS LÄN</t>
        </is>
      </c>
      <c r="E18624" t="inlineStr">
        <is>
          <t>KRISTINEHAMN</t>
        </is>
      </c>
      <c r="G18624" t="n">
        <v>4.7</v>
      </c>
      <c r="H18624" t="n">
        <v>0</v>
      </c>
      <c r="I18624" t="n">
        <v>0</v>
      </c>
      <c r="J18624" t="n">
        <v>0</v>
      </c>
      <c r="K18624" t="n">
        <v>0</v>
      </c>
      <c r="L18624" t="n">
        <v>0</v>
      </c>
      <c r="M18624" t="n">
        <v>0</v>
      </c>
      <c r="N18624" t="n">
        <v>0</v>
      </c>
      <c r="O18624" t="n">
        <v>0</v>
      </c>
      <c r="P18624" t="n">
        <v>0</v>
      </c>
      <c r="Q18624" t="n">
        <v>0</v>
      </c>
      <c r="R18624" s="2" t="inlineStr"/>
    </row>
    <row r="18625" ht="15" customHeight="1">
      <c r="A18625" t="inlineStr">
        <is>
          <t>A 4588-2025</t>
        </is>
      </c>
      <c r="B18625" s="1" t="n">
        <v>45687</v>
      </c>
      <c r="C18625" s="1" t="n">
        <v>45810</v>
      </c>
      <c r="D18625" t="inlineStr">
        <is>
          <t>VÄRMLANDS LÄN</t>
        </is>
      </c>
      <c r="E18625" t="inlineStr">
        <is>
          <t>SÄFFLE</t>
        </is>
      </c>
      <c r="G18625" t="n">
        <v>2.1</v>
      </c>
      <c r="H18625" t="n">
        <v>0</v>
      </c>
      <c r="I18625" t="n">
        <v>0</v>
      </c>
      <c r="J18625" t="n">
        <v>0</v>
      </c>
      <c r="K18625" t="n">
        <v>0</v>
      </c>
      <c r="L18625" t="n">
        <v>0</v>
      </c>
      <c r="M18625" t="n">
        <v>0</v>
      </c>
      <c r="N18625" t="n">
        <v>0</v>
      </c>
      <c r="O18625" t="n">
        <v>0</v>
      </c>
      <c r="P18625" t="n">
        <v>0</v>
      </c>
      <c r="Q18625" t="n">
        <v>0</v>
      </c>
      <c r="R18625" s="2" t="inlineStr"/>
    </row>
    <row r="18626" ht="15" customHeight="1">
      <c r="A18626" t="inlineStr">
        <is>
          <t>A 4592-2025</t>
        </is>
      </c>
      <c r="B18626" s="1" t="n">
        <v>45687</v>
      </c>
      <c r="C18626" s="1" t="n">
        <v>45810</v>
      </c>
      <c r="D18626" t="inlineStr">
        <is>
          <t>VÄRMLANDS LÄN</t>
        </is>
      </c>
      <c r="E18626" t="inlineStr">
        <is>
          <t>ARVIKA</t>
        </is>
      </c>
      <c r="G18626" t="n">
        <v>2.4</v>
      </c>
      <c r="H18626" t="n">
        <v>0</v>
      </c>
      <c r="I18626" t="n">
        <v>0</v>
      </c>
      <c r="J18626" t="n">
        <v>0</v>
      </c>
      <c r="K18626" t="n">
        <v>0</v>
      </c>
      <c r="L18626" t="n">
        <v>0</v>
      </c>
      <c r="M18626" t="n">
        <v>0</v>
      </c>
      <c r="N18626" t="n">
        <v>0</v>
      </c>
      <c r="O18626" t="n">
        <v>0</v>
      </c>
      <c r="P18626" t="n">
        <v>0</v>
      </c>
      <c r="Q18626" t="n">
        <v>0</v>
      </c>
      <c r="R18626" s="2" t="inlineStr"/>
    </row>
    <row r="18627" ht="15" customHeight="1">
      <c r="A18627" t="inlineStr">
        <is>
          <t>A 4640-2025</t>
        </is>
      </c>
      <c r="B18627" s="1" t="n">
        <v>45687</v>
      </c>
      <c r="C18627" s="1" t="n">
        <v>45810</v>
      </c>
      <c r="D18627" t="inlineStr">
        <is>
          <t>VÄRMLANDS LÄN</t>
        </is>
      </c>
      <c r="E18627" t="inlineStr">
        <is>
          <t>STORFORS</t>
        </is>
      </c>
      <c r="G18627" t="n">
        <v>4.1</v>
      </c>
      <c r="H18627" t="n">
        <v>0</v>
      </c>
      <c r="I18627" t="n">
        <v>0</v>
      </c>
      <c r="J18627" t="n">
        <v>0</v>
      </c>
      <c r="K18627" t="n">
        <v>0</v>
      </c>
      <c r="L18627" t="n">
        <v>0</v>
      </c>
      <c r="M18627" t="n">
        <v>0</v>
      </c>
      <c r="N18627" t="n">
        <v>0</v>
      </c>
      <c r="O18627" t="n">
        <v>0</v>
      </c>
      <c r="P18627" t="n">
        <v>0</v>
      </c>
      <c r="Q18627" t="n">
        <v>0</v>
      </c>
      <c r="R18627" s="2" t="inlineStr"/>
    </row>
    <row r="18628" ht="15" customHeight="1">
      <c r="A18628" t="inlineStr">
        <is>
          <t>A 4668-2025</t>
        </is>
      </c>
      <c r="B18628" s="1" t="n">
        <v>45687</v>
      </c>
      <c r="C18628" s="1" t="n">
        <v>45810</v>
      </c>
      <c r="D18628" t="inlineStr">
        <is>
          <t>VÄRMLANDS LÄN</t>
        </is>
      </c>
      <c r="E18628" t="inlineStr">
        <is>
          <t>ÅRJÄNG</t>
        </is>
      </c>
      <c r="G18628" t="n">
        <v>8.5</v>
      </c>
      <c r="H18628" t="n">
        <v>0</v>
      </c>
      <c r="I18628" t="n">
        <v>0</v>
      </c>
      <c r="J18628" t="n">
        <v>0</v>
      </c>
      <c r="K18628" t="n">
        <v>0</v>
      </c>
      <c r="L18628" t="n">
        <v>0</v>
      </c>
      <c r="M18628" t="n">
        <v>0</v>
      </c>
      <c r="N18628" t="n">
        <v>0</v>
      </c>
      <c r="O18628" t="n">
        <v>0</v>
      </c>
      <c r="P18628" t="n">
        <v>0</v>
      </c>
      <c r="Q18628" t="n">
        <v>0</v>
      </c>
      <c r="R18628" s="2" t="inlineStr"/>
    </row>
    <row r="18629" ht="15" customHeight="1">
      <c r="A18629" t="inlineStr">
        <is>
          <t>A 4564-2025</t>
        </is>
      </c>
      <c r="B18629" s="1" t="n">
        <v>45687</v>
      </c>
      <c r="C18629" s="1" t="n">
        <v>45810</v>
      </c>
      <c r="D18629" t="inlineStr">
        <is>
          <t>VÄRMLANDS LÄN</t>
        </is>
      </c>
      <c r="E18629" t="inlineStr">
        <is>
          <t>SUNNE</t>
        </is>
      </c>
      <c r="G18629" t="n">
        <v>2.3</v>
      </c>
      <c r="H18629" t="n">
        <v>0</v>
      </c>
      <c r="I18629" t="n">
        <v>0</v>
      </c>
      <c r="J18629" t="n">
        <v>0</v>
      </c>
      <c r="K18629" t="n">
        <v>0</v>
      </c>
      <c r="L18629" t="n">
        <v>0</v>
      </c>
      <c r="M18629" t="n">
        <v>0</v>
      </c>
      <c r="N18629" t="n">
        <v>0</v>
      </c>
      <c r="O18629" t="n">
        <v>0</v>
      </c>
      <c r="P18629" t="n">
        <v>0</v>
      </c>
      <c r="Q18629" t="n">
        <v>0</v>
      </c>
      <c r="R18629" s="2" t="inlineStr"/>
    </row>
    <row r="18630" ht="15" customHeight="1">
      <c r="A18630" t="inlineStr">
        <is>
          <t>A 4560-2025</t>
        </is>
      </c>
      <c r="B18630" s="1" t="n">
        <v>45687</v>
      </c>
      <c r="C18630" s="1" t="n">
        <v>45810</v>
      </c>
      <c r="D18630" t="inlineStr">
        <is>
          <t>VÄRMLANDS LÄN</t>
        </is>
      </c>
      <c r="E18630" t="inlineStr">
        <is>
          <t>FILIPSTAD</t>
        </is>
      </c>
      <c r="G18630" t="n">
        <v>13.6</v>
      </c>
      <c r="H18630" t="n">
        <v>0</v>
      </c>
      <c r="I18630" t="n">
        <v>0</v>
      </c>
      <c r="J18630" t="n">
        <v>0</v>
      </c>
      <c r="K18630" t="n">
        <v>0</v>
      </c>
      <c r="L18630" t="n">
        <v>0</v>
      </c>
      <c r="M18630" t="n">
        <v>0</v>
      </c>
      <c r="N18630" t="n">
        <v>0</v>
      </c>
      <c r="O18630" t="n">
        <v>0</v>
      </c>
      <c r="P18630" t="n">
        <v>0</v>
      </c>
      <c r="Q18630" t="n">
        <v>0</v>
      </c>
      <c r="R18630" s="2" t="inlineStr"/>
    </row>
    <row r="18631" ht="15" customHeight="1">
      <c r="A18631" t="inlineStr">
        <is>
          <t>A 4582-2025</t>
        </is>
      </c>
      <c r="B18631" s="1" t="n">
        <v>45687</v>
      </c>
      <c r="C18631" s="1" t="n">
        <v>45810</v>
      </c>
      <c r="D18631" t="inlineStr">
        <is>
          <t>VÄRMLANDS LÄN</t>
        </is>
      </c>
      <c r="E18631" t="inlineStr">
        <is>
          <t>ÅRJÄNG</t>
        </is>
      </c>
      <c r="F18631" t="inlineStr">
        <is>
          <t>Övriga Aktiebolag</t>
        </is>
      </c>
      <c r="G18631" t="n">
        <v>3.4</v>
      </c>
      <c r="H18631" t="n">
        <v>0</v>
      </c>
      <c r="I18631" t="n">
        <v>0</v>
      </c>
      <c r="J18631" t="n">
        <v>0</v>
      </c>
      <c r="K18631" t="n">
        <v>0</v>
      </c>
      <c r="L18631" t="n">
        <v>0</v>
      </c>
      <c r="M18631" t="n">
        <v>0</v>
      </c>
      <c r="N18631" t="n">
        <v>0</v>
      </c>
      <c r="O18631" t="n">
        <v>0</v>
      </c>
      <c r="P18631" t="n">
        <v>0</v>
      </c>
      <c r="Q18631" t="n">
        <v>0</v>
      </c>
      <c r="R18631" s="2" t="inlineStr"/>
    </row>
    <row r="18632" ht="15" customHeight="1">
      <c r="A18632" t="inlineStr">
        <is>
          <t>A 4578-2025</t>
        </is>
      </c>
      <c r="B18632" s="1" t="n">
        <v>45687</v>
      </c>
      <c r="C18632" s="1" t="n">
        <v>45810</v>
      </c>
      <c r="D18632" t="inlineStr">
        <is>
          <t>VÄRMLANDS LÄN</t>
        </is>
      </c>
      <c r="E18632" t="inlineStr">
        <is>
          <t>TORSBY</t>
        </is>
      </c>
      <c r="G18632" t="n">
        <v>1.6</v>
      </c>
      <c r="H18632" t="n">
        <v>0</v>
      </c>
      <c r="I18632" t="n">
        <v>0</v>
      </c>
      <c r="J18632" t="n">
        <v>0</v>
      </c>
      <c r="K18632" t="n">
        <v>0</v>
      </c>
      <c r="L18632" t="n">
        <v>0</v>
      </c>
      <c r="M18632" t="n">
        <v>0</v>
      </c>
      <c r="N18632" t="n">
        <v>0</v>
      </c>
      <c r="O18632" t="n">
        <v>0</v>
      </c>
      <c r="P18632" t="n">
        <v>0</v>
      </c>
      <c r="Q18632" t="n">
        <v>0</v>
      </c>
      <c r="R18632" s="2" t="inlineStr"/>
    </row>
    <row r="18633" ht="15" customHeight="1">
      <c r="A18633" t="inlineStr">
        <is>
          <t>A 4537-2025</t>
        </is>
      </c>
      <c r="B18633" s="1" t="n">
        <v>45687</v>
      </c>
      <c r="C18633" s="1" t="n">
        <v>45810</v>
      </c>
      <c r="D18633" t="inlineStr">
        <is>
          <t>VÄRMLANDS LÄN</t>
        </is>
      </c>
      <c r="E18633" t="inlineStr">
        <is>
          <t>TORSBY</t>
        </is>
      </c>
      <c r="F18633" t="inlineStr">
        <is>
          <t>Kommuner</t>
        </is>
      </c>
      <c r="G18633" t="n">
        <v>1.5</v>
      </c>
      <c r="H18633" t="n">
        <v>0</v>
      </c>
      <c r="I18633" t="n">
        <v>0</v>
      </c>
      <c r="J18633" t="n">
        <v>0</v>
      </c>
      <c r="K18633" t="n">
        <v>0</v>
      </c>
      <c r="L18633" t="n">
        <v>0</v>
      </c>
      <c r="M18633" t="n">
        <v>0</v>
      </c>
      <c r="N18633" t="n">
        <v>0</v>
      </c>
      <c r="O18633" t="n">
        <v>0</v>
      </c>
      <c r="P18633" t="n">
        <v>0</v>
      </c>
      <c r="Q18633" t="n">
        <v>0</v>
      </c>
      <c r="R18633" s="2" t="inlineStr"/>
    </row>
    <row r="18634" ht="15" customHeight="1">
      <c r="A18634" t="inlineStr">
        <is>
          <t>A 4603-2025</t>
        </is>
      </c>
      <c r="B18634" s="1" t="n">
        <v>45687</v>
      </c>
      <c r="C18634" s="1" t="n">
        <v>45810</v>
      </c>
      <c r="D18634" t="inlineStr">
        <is>
          <t>VÄRMLANDS LÄN</t>
        </is>
      </c>
      <c r="E18634" t="inlineStr">
        <is>
          <t>GRUMS</t>
        </is>
      </c>
      <c r="F18634" t="inlineStr">
        <is>
          <t>Bergvik skog väst AB</t>
        </is>
      </c>
      <c r="G18634" t="n">
        <v>2.5</v>
      </c>
      <c r="H18634" t="n">
        <v>0</v>
      </c>
      <c r="I18634" t="n">
        <v>0</v>
      </c>
      <c r="J18634" t="n">
        <v>0</v>
      </c>
      <c r="K18634" t="n">
        <v>0</v>
      </c>
      <c r="L18634" t="n">
        <v>0</v>
      </c>
      <c r="M18634" t="n">
        <v>0</v>
      </c>
      <c r="N18634" t="n">
        <v>0</v>
      </c>
      <c r="O18634" t="n">
        <v>0</v>
      </c>
      <c r="P18634" t="n">
        <v>0</v>
      </c>
      <c r="Q18634" t="n">
        <v>0</v>
      </c>
      <c r="R18634" s="2" t="inlineStr"/>
    </row>
    <row r="18635" ht="15" customHeight="1">
      <c r="A18635" t="inlineStr">
        <is>
          <t>A 4723-2025</t>
        </is>
      </c>
      <c r="B18635" s="1" t="n">
        <v>45688</v>
      </c>
      <c r="C18635" s="1" t="n">
        <v>45810</v>
      </c>
      <c r="D18635" t="inlineStr">
        <is>
          <t>VÄRMLANDS LÄN</t>
        </is>
      </c>
      <c r="E18635" t="inlineStr">
        <is>
          <t>KARLSTAD</t>
        </is>
      </c>
      <c r="G18635" t="n">
        <v>2.4</v>
      </c>
      <c r="H18635" t="n">
        <v>0</v>
      </c>
      <c r="I18635" t="n">
        <v>0</v>
      </c>
      <c r="J18635" t="n">
        <v>0</v>
      </c>
      <c r="K18635" t="n">
        <v>0</v>
      </c>
      <c r="L18635" t="n">
        <v>0</v>
      </c>
      <c r="M18635" t="n">
        <v>0</v>
      </c>
      <c r="N18635" t="n">
        <v>0</v>
      </c>
      <c r="O18635" t="n">
        <v>0</v>
      </c>
      <c r="P18635" t="n">
        <v>0</v>
      </c>
      <c r="Q18635" t="n">
        <v>0</v>
      </c>
      <c r="R18635" s="2" t="inlineStr"/>
    </row>
    <row r="18636" ht="15" customHeight="1">
      <c r="A18636" t="inlineStr">
        <is>
          <t>A 4706-2025</t>
        </is>
      </c>
      <c r="B18636" s="1" t="n">
        <v>45688</v>
      </c>
      <c r="C18636" s="1" t="n">
        <v>45810</v>
      </c>
      <c r="D18636" t="inlineStr">
        <is>
          <t>VÄRMLANDS LÄN</t>
        </is>
      </c>
      <c r="E18636" t="inlineStr">
        <is>
          <t>ARVIKA</t>
        </is>
      </c>
      <c r="G18636" t="n">
        <v>4.2</v>
      </c>
      <c r="H18636" t="n">
        <v>0</v>
      </c>
      <c r="I18636" t="n">
        <v>0</v>
      </c>
      <c r="J18636" t="n">
        <v>0</v>
      </c>
      <c r="K18636" t="n">
        <v>0</v>
      </c>
      <c r="L18636" t="n">
        <v>0</v>
      </c>
      <c r="M18636" t="n">
        <v>0</v>
      </c>
      <c r="N18636" t="n">
        <v>0</v>
      </c>
      <c r="O18636" t="n">
        <v>0</v>
      </c>
      <c r="P18636" t="n">
        <v>0</v>
      </c>
      <c r="Q18636" t="n">
        <v>0</v>
      </c>
      <c r="R18636" s="2" t="inlineStr"/>
    </row>
    <row r="18637" ht="15" customHeight="1">
      <c r="A18637" t="inlineStr">
        <is>
          <t>A 4717-2025</t>
        </is>
      </c>
      <c r="B18637" s="1" t="n">
        <v>45688</v>
      </c>
      <c r="C18637" s="1" t="n">
        <v>45810</v>
      </c>
      <c r="D18637" t="inlineStr">
        <is>
          <t>VÄRMLANDS LÄN</t>
        </is>
      </c>
      <c r="E18637" t="inlineStr">
        <is>
          <t>KARLSTAD</t>
        </is>
      </c>
      <c r="G18637" t="n">
        <v>1</v>
      </c>
      <c r="H18637" t="n">
        <v>0</v>
      </c>
      <c r="I18637" t="n">
        <v>0</v>
      </c>
      <c r="J18637" t="n">
        <v>0</v>
      </c>
      <c r="K18637" t="n">
        <v>0</v>
      </c>
      <c r="L18637" t="n">
        <v>0</v>
      </c>
      <c r="M18637" t="n">
        <v>0</v>
      </c>
      <c r="N18637" t="n">
        <v>0</v>
      </c>
      <c r="O18637" t="n">
        <v>0</v>
      </c>
      <c r="P18637" t="n">
        <v>0</v>
      </c>
      <c r="Q18637" t="n">
        <v>0</v>
      </c>
      <c r="R18637" s="2" t="inlineStr"/>
    </row>
    <row r="18638" ht="15" customHeight="1">
      <c r="A18638" t="inlineStr">
        <is>
          <t>A 4736-2025</t>
        </is>
      </c>
      <c r="B18638" s="1" t="n">
        <v>45688</v>
      </c>
      <c r="C18638" s="1" t="n">
        <v>45810</v>
      </c>
      <c r="D18638" t="inlineStr">
        <is>
          <t>VÄRMLANDS LÄN</t>
        </is>
      </c>
      <c r="E18638" t="inlineStr">
        <is>
          <t>ARVIKA</t>
        </is>
      </c>
      <c r="G18638" t="n">
        <v>0.8</v>
      </c>
      <c r="H18638" t="n">
        <v>0</v>
      </c>
      <c r="I18638" t="n">
        <v>0</v>
      </c>
      <c r="J18638" t="n">
        <v>0</v>
      </c>
      <c r="K18638" t="n">
        <v>0</v>
      </c>
      <c r="L18638" t="n">
        <v>0</v>
      </c>
      <c r="M18638" t="n">
        <v>0</v>
      </c>
      <c r="N18638" t="n">
        <v>0</v>
      </c>
      <c r="O18638" t="n">
        <v>0</v>
      </c>
      <c r="P18638" t="n">
        <v>0</v>
      </c>
      <c r="Q18638" t="n">
        <v>0</v>
      </c>
      <c r="R18638" s="2" t="inlineStr"/>
    </row>
    <row r="18639" ht="15" customHeight="1">
      <c r="A18639" t="inlineStr">
        <is>
          <t>A 4743-2025</t>
        </is>
      </c>
      <c r="B18639" s="1" t="n">
        <v>45688</v>
      </c>
      <c r="C18639" s="1" t="n">
        <v>45810</v>
      </c>
      <c r="D18639" t="inlineStr">
        <is>
          <t>VÄRMLANDS LÄN</t>
        </is>
      </c>
      <c r="E18639" t="inlineStr">
        <is>
          <t>FILIPSTAD</t>
        </is>
      </c>
      <c r="G18639" t="n">
        <v>1.7</v>
      </c>
      <c r="H18639" t="n">
        <v>0</v>
      </c>
      <c r="I18639" t="n">
        <v>0</v>
      </c>
      <c r="J18639" t="n">
        <v>0</v>
      </c>
      <c r="K18639" t="n">
        <v>0</v>
      </c>
      <c r="L18639" t="n">
        <v>0</v>
      </c>
      <c r="M18639" t="n">
        <v>0</v>
      </c>
      <c r="N18639" t="n">
        <v>0</v>
      </c>
      <c r="O18639" t="n">
        <v>0</v>
      </c>
      <c r="P18639" t="n">
        <v>0</v>
      </c>
      <c r="Q18639" t="n">
        <v>0</v>
      </c>
      <c r="R18639" s="2" t="inlineStr"/>
    </row>
    <row r="18640" ht="15" customHeight="1">
      <c r="A18640" t="inlineStr">
        <is>
          <t>A 4767-2025</t>
        </is>
      </c>
      <c r="B18640" s="1" t="n">
        <v>45688</v>
      </c>
      <c r="C18640" s="1" t="n">
        <v>45810</v>
      </c>
      <c r="D18640" t="inlineStr">
        <is>
          <t>VÄRMLANDS LÄN</t>
        </is>
      </c>
      <c r="E18640" t="inlineStr">
        <is>
          <t>KARLSTAD</t>
        </is>
      </c>
      <c r="G18640" t="n">
        <v>1.3</v>
      </c>
      <c r="H18640" t="n">
        <v>0</v>
      </c>
      <c r="I18640" t="n">
        <v>0</v>
      </c>
      <c r="J18640" t="n">
        <v>0</v>
      </c>
      <c r="K18640" t="n">
        <v>0</v>
      </c>
      <c r="L18640" t="n">
        <v>0</v>
      </c>
      <c r="M18640" t="n">
        <v>0</v>
      </c>
      <c r="N18640" t="n">
        <v>0</v>
      </c>
      <c r="O18640" t="n">
        <v>0</v>
      </c>
      <c r="P18640" t="n">
        <v>0</v>
      </c>
      <c r="Q18640" t="n">
        <v>0</v>
      </c>
      <c r="R18640" s="2" t="inlineStr"/>
    </row>
    <row r="18641" ht="15" customHeight="1">
      <c r="A18641" t="inlineStr">
        <is>
          <t>A 4744-2025</t>
        </is>
      </c>
      <c r="B18641" s="1" t="n">
        <v>45688</v>
      </c>
      <c r="C18641" s="1" t="n">
        <v>45810</v>
      </c>
      <c r="D18641" t="inlineStr">
        <is>
          <t>VÄRMLANDS LÄN</t>
        </is>
      </c>
      <c r="E18641" t="inlineStr">
        <is>
          <t>STORFORS</t>
        </is>
      </c>
      <c r="G18641" t="n">
        <v>2.3</v>
      </c>
      <c r="H18641" t="n">
        <v>0</v>
      </c>
      <c r="I18641" t="n">
        <v>0</v>
      </c>
      <c r="J18641" t="n">
        <v>0</v>
      </c>
      <c r="K18641" t="n">
        <v>0</v>
      </c>
      <c r="L18641" t="n">
        <v>0</v>
      </c>
      <c r="M18641" t="n">
        <v>0</v>
      </c>
      <c r="N18641" t="n">
        <v>0</v>
      </c>
      <c r="O18641" t="n">
        <v>0</v>
      </c>
      <c r="P18641" t="n">
        <v>0</v>
      </c>
      <c r="Q18641" t="n">
        <v>0</v>
      </c>
      <c r="R18641" s="2" t="inlineStr"/>
    </row>
    <row r="18642" ht="15" customHeight="1">
      <c r="A18642" t="inlineStr">
        <is>
          <t>A 4832-2025</t>
        </is>
      </c>
      <c r="B18642" s="1" t="n">
        <v>45688</v>
      </c>
      <c r="C18642" s="1" t="n">
        <v>45810</v>
      </c>
      <c r="D18642" t="inlineStr">
        <is>
          <t>VÄRMLANDS LÄN</t>
        </is>
      </c>
      <c r="E18642" t="inlineStr">
        <is>
          <t>TORSBY</t>
        </is>
      </c>
      <c r="G18642" t="n">
        <v>7.7</v>
      </c>
      <c r="H18642" t="n">
        <v>0</v>
      </c>
      <c r="I18642" t="n">
        <v>0</v>
      </c>
      <c r="J18642" t="n">
        <v>0</v>
      </c>
      <c r="K18642" t="n">
        <v>0</v>
      </c>
      <c r="L18642" t="n">
        <v>0</v>
      </c>
      <c r="M18642" t="n">
        <v>0</v>
      </c>
      <c r="N18642" t="n">
        <v>0</v>
      </c>
      <c r="O18642" t="n">
        <v>0</v>
      </c>
      <c r="P18642" t="n">
        <v>0</v>
      </c>
      <c r="Q18642" t="n">
        <v>0</v>
      </c>
      <c r="R18642" s="2" t="inlineStr"/>
    </row>
    <row r="18643" ht="15" customHeight="1">
      <c r="A18643" t="inlineStr">
        <is>
          <t>A 4975-2025</t>
        </is>
      </c>
      <c r="B18643" s="1" t="n">
        <v>45690</v>
      </c>
      <c r="C18643" s="1" t="n">
        <v>45810</v>
      </c>
      <c r="D18643" t="inlineStr">
        <is>
          <t>VÄRMLANDS LÄN</t>
        </is>
      </c>
      <c r="E18643" t="inlineStr">
        <is>
          <t>KRISTINEHAMN</t>
        </is>
      </c>
      <c r="G18643" t="n">
        <v>3.9</v>
      </c>
      <c r="H18643" t="n">
        <v>0</v>
      </c>
      <c r="I18643" t="n">
        <v>0</v>
      </c>
      <c r="J18643" t="n">
        <v>0</v>
      </c>
      <c r="K18643" t="n">
        <v>0</v>
      </c>
      <c r="L18643" t="n">
        <v>0</v>
      </c>
      <c r="M18643" t="n">
        <v>0</v>
      </c>
      <c r="N18643" t="n">
        <v>0</v>
      </c>
      <c r="O18643" t="n">
        <v>0</v>
      </c>
      <c r="P18643" t="n">
        <v>0</v>
      </c>
      <c r="Q18643" t="n">
        <v>0</v>
      </c>
      <c r="R18643" s="2" t="inlineStr"/>
    </row>
    <row r="18644" ht="15" customHeight="1">
      <c r="A18644" t="inlineStr">
        <is>
          <t>A 4976-2025</t>
        </is>
      </c>
      <c r="B18644" s="1" t="n">
        <v>45690</v>
      </c>
      <c r="C18644" s="1" t="n">
        <v>45810</v>
      </c>
      <c r="D18644" t="inlineStr">
        <is>
          <t>VÄRMLANDS LÄN</t>
        </is>
      </c>
      <c r="E18644" t="inlineStr">
        <is>
          <t>ÅRJÄNG</t>
        </is>
      </c>
      <c r="G18644" t="n">
        <v>4.5</v>
      </c>
      <c r="H18644" t="n">
        <v>0</v>
      </c>
      <c r="I18644" t="n">
        <v>0</v>
      </c>
      <c r="J18644" t="n">
        <v>0</v>
      </c>
      <c r="K18644" t="n">
        <v>0</v>
      </c>
      <c r="L18644" t="n">
        <v>0</v>
      </c>
      <c r="M18644" t="n">
        <v>0</v>
      </c>
      <c r="N18644" t="n">
        <v>0</v>
      </c>
      <c r="O18644" t="n">
        <v>0</v>
      </c>
      <c r="P18644" t="n">
        <v>0</v>
      </c>
      <c r="Q18644" t="n">
        <v>0</v>
      </c>
      <c r="R18644" s="2" t="inlineStr"/>
    </row>
    <row r="18645" ht="15" customHeight="1">
      <c r="A18645" t="inlineStr">
        <is>
          <t>A 4995-2025</t>
        </is>
      </c>
      <c r="B18645" s="1" t="n">
        <v>45691</v>
      </c>
      <c r="C18645" s="1" t="n">
        <v>45810</v>
      </c>
      <c r="D18645" t="inlineStr">
        <is>
          <t>VÄRMLANDS LÄN</t>
        </is>
      </c>
      <c r="E18645" t="inlineStr">
        <is>
          <t>ARVIKA</t>
        </is>
      </c>
      <c r="G18645" t="n">
        <v>2</v>
      </c>
      <c r="H18645" t="n">
        <v>0</v>
      </c>
      <c r="I18645" t="n">
        <v>0</v>
      </c>
      <c r="J18645" t="n">
        <v>0</v>
      </c>
      <c r="K18645" t="n">
        <v>0</v>
      </c>
      <c r="L18645" t="n">
        <v>0</v>
      </c>
      <c r="M18645" t="n">
        <v>0</v>
      </c>
      <c r="N18645" t="n">
        <v>0</v>
      </c>
      <c r="O18645" t="n">
        <v>0</v>
      </c>
      <c r="P18645" t="n">
        <v>0</v>
      </c>
      <c r="Q18645" t="n">
        <v>0</v>
      </c>
      <c r="R18645" s="2" t="inlineStr"/>
    </row>
    <row r="18646" ht="15" customHeight="1">
      <c r="A18646" t="inlineStr">
        <is>
          <t>A 5052-2025</t>
        </is>
      </c>
      <c r="B18646" s="1" t="n">
        <v>45691</v>
      </c>
      <c r="C18646" s="1" t="n">
        <v>45810</v>
      </c>
      <c r="D18646" t="inlineStr">
        <is>
          <t>VÄRMLANDS LÄN</t>
        </is>
      </c>
      <c r="E18646" t="inlineStr">
        <is>
          <t>TORSBY</t>
        </is>
      </c>
      <c r="G18646" t="n">
        <v>4.1</v>
      </c>
      <c r="H18646" t="n">
        <v>0</v>
      </c>
      <c r="I18646" t="n">
        <v>0</v>
      </c>
      <c r="J18646" t="n">
        <v>0</v>
      </c>
      <c r="K18646" t="n">
        <v>0</v>
      </c>
      <c r="L18646" t="n">
        <v>0</v>
      </c>
      <c r="M18646" t="n">
        <v>0</v>
      </c>
      <c r="N18646" t="n">
        <v>0</v>
      </c>
      <c r="O18646" t="n">
        <v>0</v>
      </c>
      <c r="P18646" t="n">
        <v>0</v>
      </c>
      <c r="Q18646" t="n">
        <v>0</v>
      </c>
      <c r="R18646" s="2" t="inlineStr"/>
    </row>
    <row r="18647" ht="15" customHeight="1">
      <c r="A18647" t="inlineStr">
        <is>
          <t>A 5056-2025</t>
        </is>
      </c>
      <c r="B18647" s="1" t="n">
        <v>45691</v>
      </c>
      <c r="C18647" s="1" t="n">
        <v>45810</v>
      </c>
      <c r="D18647" t="inlineStr">
        <is>
          <t>VÄRMLANDS LÄN</t>
        </is>
      </c>
      <c r="E18647" t="inlineStr">
        <is>
          <t>ARVIKA</t>
        </is>
      </c>
      <c r="G18647" t="n">
        <v>0.6</v>
      </c>
      <c r="H18647" t="n">
        <v>0</v>
      </c>
      <c r="I18647" t="n">
        <v>0</v>
      </c>
      <c r="J18647" t="n">
        <v>0</v>
      </c>
      <c r="K18647" t="n">
        <v>0</v>
      </c>
      <c r="L18647" t="n">
        <v>0</v>
      </c>
      <c r="M18647" t="n">
        <v>0</v>
      </c>
      <c r="N18647" t="n">
        <v>0</v>
      </c>
      <c r="O18647" t="n">
        <v>0</v>
      </c>
      <c r="P18647" t="n">
        <v>0</v>
      </c>
      <c r="Q18647" t="n">
        <v>0</v>
      </c>
      <c r="R18647" s="2" t="inlineStr"/>
    </row>
    <row r="18648" ht="15" customHeight="1">
      <c r="A18648" t="inlineStr">
        <is>
          <t>A 5072-2025</t>
        </is>
      </c>
      <c r="B18648" s="1" t="n">
        <v>45691</v>
      </c>
      <c r="C18648" s="1" t="n">
        <v>45810</v>
      </c>
      <c r="D18648" t="inlineStr">
        <is>
          <t>VÄRMLANDS LÄN</t>
        </is>
      </c>
      <c r="E18648" t="inlineStr">
        <is>
          <t>ARVIKA</t>
        </is>
      </c>
      <c r="G18648" t="n">
        <v>3.3</v>
      </c>
      <c r="H18648" t="n">
        <v>0</v>
      </c>
      <c r="I18648" t="n">
        <v>0</v>
      </c>
      <c r="J18648" t="n">
        <v>0</v>
      </c>
      <c r="K18648" t="n">
        <v>0</v>
      </c>
      <c r="L18648" t="n">
        <v>0</v>
      </c>
      <c r="M18648" t="n">
        <v>0</v>
      </c>
      <c r="N18648" t="n">
        <v>0</v>
      </c>
      <c r="O18648" t="n">
        <v>0</v>
      </c>
      <c r="P18648" t="n">
        <v>0</v>
      </c>
      <c r="Q18648" t="n">
        <v>0</v>
      </c>
      <c r="R18648" s="2" t="inlineStr"/>
    </row>
    <row r="18649" ht="15" customHeight="1">
      <c r="A18649" t="inlineStr">
        <is>
          <t>A 5053-2025</t>
        </is>
      </c>
      <c r="B18649" s="1" t="n">
        <v>45691</v>
      </c>
      <c r="C18649" s="1" t="n">
        <v>45810</v>
      </c>
      <c r="D18649" t="inlineStr">
        <is>
          <t>VÄRMLANDS LÄN</t>
        </is>
      </c>
      <c r="E18649" t="inlineStr">
        <is>
          <t>ARVIKA</t>
        </is>
      </c>
      <c r="G18649" t="n">
        <v>0.7</v>
      </c>
      <c r="H18649" t="n">
        <v>0</v>
      </c>
      <c r="I18649" t="n">
        <v>0</v>
      </c>
      <c r="J18649" t="n">
        <v>0</v>
      </c>
      <c r="K18649" t="n">
        <v>0</v>
      </c>
      <c r="L18649" t="n">
        <v>0</v>
      </c>
      <c r="M18649" t="n">
        <v>0</v>
      </c>
      <c r="N18649" t="n">
        <v>0</v>
      </c>
      <c r="O18649" t="n">
        <v>0</v>
      </c>
      <c r="P18649" t="n">
        <v>0</v>
      </c>
      <c r="Q18649" t="n">
        <v>0</v>
      </c>
      <c r="R18649" s="2" t="inlineStr"/>
    </row>
    <row r="18650" ht="15" customHeight="1">
      <c r="A18650" t="inlineStr">
        <is>
          <t>A 5081-2025</t>
        </is>
      </c>
      <c r="B18650" s="1" t="n">
        <v>45691</v>
      </c>
      <c r="C18650" s="1" t="n">
        <v>45810</v>
      </c>
      <c r="D18650" t="inlineStr">
        <is>
          <t>VÄRMLANDS LÄN</t>
        </is>
      </c>
      <c r="E18650" t="inlineStr">
        <is>
          <t>EDA</t>
        </is>
      </c>
      <c r="G18650" t="n">
        <v>3.3</v>
      </c>
      <c r="H18650" t="n">
        <v>0</v>
      </c>
      <c r="I18650" t="n">
        <v>0</v>
      </c>
      <c r="J18650" t="n">
        <v>0</v>
      </c>
      <c r="K18650" t="n">
        <v>0</v>
      </c>
      <c r="L18650" t="n">
        <v>0</v>
      </c>
      <c r="M18650" t="n">
        <v>0</v>
      </c>
      <c r="N18650" t="n">
        <v>0</v>
      </c>
      <c r="O18650" t="n">
        <v>0</v>
      </c>
      <c r="P18650" t="n">
        <v>0</v>
      </c>
      <c r="Q18650" t="n">
        <v>0</v>
      </c>
      <c r="R18650" s="2" t="inlineStr"/>
    </row>
    <row r="18651" ht="15" customHeight="1">
      <c r="A18651" t="inlineStr">
        <is>
          <t>A 4998-2025</t>
        </is>
      </c>
      <c r="B18651" s="1" t="n">
        <v>45691</v>
      </c>
      <c r="C18651" s="1" t="n">
        <v>45810</v>
      </c>
      <c r="D18651" t="inlineStr">
        <is>
          <t>VÄRMLANDS LÄN</t>
        </is>
      </c>
      <c r="E18651" t="inlineStr">
        <is>
          <t>SUNNE</t>
        </is>
      </c>
      <c r="G18651" t="n">
        <v>0.8</v>
      </c>
      <c r="H18651" t="n">
        <v>0</v>
      </c>
      <c r="I18651" t="n">
        <v>0</v>
      </c>
      <c r="J18651" t="n">
        <v>0</v>
      </c>
      <c r="K18651" t="n">
        <v>0</v>
      </c>
      <c r="L18651" t="n">
        <v>0</v>
      </c>
      <c r="M18651" t="n">
        <v>0</v>
      </c>
      <c r="N18651" t="n">
        <v>0</v>
      </c>
      <c r="O18651" t="n">
        <v>0</v>
      </c>
      <c r="P18651" t="n">
        <v>0</v>
      </c>
      <c r="Q18651" t="n">
        <v>0</v>
      </c>
      <c r="R18651" s="2" t="inlineStr"/>
    </row>
    <row r="18652" ht="15" customHeight="1">
      <c r="A18652" t="inlineStr">
        <is>
          <t>A 4997-2025</t>
        </is>
      </c>
      <c r="B18652" s="1" t="n">
        <v>45691</v>
      </c>
      <c r="C18652" s="1" t="n">
        <v>45810</v>
      </c>
      <c r="D18652" t="inlineStr">
        <is>
          <t>VÄRMLANDS LÄN</t>
        </is>
      </c>
      <c r="E18652" t="inlineStr">
        <is>
          <t>ARVIKA</t>
        </is>
      </c>
      <c r="G18652" t="n">
        <v>1.7</v>
      </c>
      <c r="H18652" t="n">
        <v>0</v>
      </c>
      <c r="I18652" t="n">
        <v>0</v>
      </c>
      <c r="J18652" t="n">
        <v>0</v>
      </c>
      <c r="K18652" t="n">
        <v>0</v>
      </c>
      <c r="L18652" t="n">
        <v>0</v>
      </c>
      <c r="M18652" t="n">
        <v>0</v>
      </c>
      <c r="N18652" t="n">
        <v>0</v>
      </c>
      <c r="O18652" t="n">
        <v>0</v>
      </c>
      <c r="P18652" t="n">
        <v>0</v>
      </c>
      <c r="Q18652" t="n">
        <v>0</v>
      </c>
      <c r="R18652" s="2" t="inlineStr"/>
    </row>
    <row r="18653" ht="15" customHeight="1">
      <c r="A18653" t="inlineStr">
        <is>
          <t>A 5127-2025</t>
        </is>
      </c>
      <c r="B18653" s="1" t="n">
        <v>45691</v>
      </c>
      <c r="C18653" s="1" t="n">
        <v>45810</v>
      </c>
      <c r="D18653" t="inlineStr">
        <is>
          <t>VÄRMLANDS LÄN</t>
        </is>
      </c>
      <c r="E18653" t="inlineStr">
        <is>
          <t>ÅRJÄNG</t>
        </is>
      </c>
      <c r="G18653" t="n">
        <v>5.7</v>
      </c>
      <c r="H18653" t="n">
        <v>0</v>
      </c>
      <c r="I18653" t="n">
        <v>0</v>
      </c>
      <c r="J18653" t="n">
        <v>0</v>
      </c>
      <c r="K18653" t="n">
        <v>0</v>
      </c>
      <c r="L18653" t="n">
        <v>0</v>
      </c>
      <c r="M18653" t="n">
        <v>0</v>
      </c>
      <c r="N18653" t="n">
        <v>0</v>
      </c>
      <c r="O18653" t="n">
        <v>0</v>
      </c>
      <c r="P18653" t="n">
        <v>0</v>
      </c>
      <c r="Q18653" t="n">
        <v>0</v>
      </c>
      <c r="R18653" s="2" t="inlineStr"/>
    </row>
    <row r="18654" ht="15" customHeight="1">
      <c r="A18654" t="inlineStr">
        <is>
          <t>A 5122-2025</t>
        </is>
      </c>
      <c r="B18654" s="1" t="n">
        <v>45691</v>
      </c>
      <c r="C18654" s="1" t="n">
        <v>45810</v>
      </c>
      <c r="D18654" t="inlineStr">
        <is>
          <t>VÄRMLANDS LÄN</t>
        </is>
      </c>
      <c r="E18654" t="inlineStr">
        <is>
          <t>ÅRJÄNG</t>
        </is>
      </c>
      <c r="G18654" t="n">
        <v>5.7</v>
      </c>
      <c r="H18654" t="n">
        <v>0</v>
      </c>
      <c r="I18654" t="n">
        <v>0</v>
      </c>
      <c r="J18654" t="n">
        <v>0</v>
      </c>
      <c r="K18654" t="n">
        <v>0</v>
      </c>
      <c r="L18654" t="n">
        <v>0</v>
      </c>
      <c r="M18654" t="n">
        <v>0</v>
      </c>
      <c r="N18654" t="n">
        <v>0</v>
      </c>
      <c r="O18654" t="n">
        <v>0</v>
      </c>
      <c r="P18654" t="n">
        <v>0</v>
      </c>
      <c r="Q18654" t="n">
        <v>0</v>
      </c>
      <c r="R18654" s="2" t="inlineStr"/>
    </row>
    <row r="18655" ht="15" customHeight="1">
      <c r="A18655" t="inlineStr">
        <is>
          <t>A 5043-2025</t>
        </is>
      </c>
      <c r="B18655" s="1" t="n">
        <v>45691</v>
      </c>
      <c r="C18655" s="1" t="n">
        <v>45810</v>
      </c>
      <c r="D18655" t="inlineStr">
        <is>
          <t>VÄRMLANDS LÄN</t>
        </is>
      </c>
      <c r="E18655" t="inlineStr">
        <is>
          <t>EDA</t>
        </is>
      </c>
      <c r="G18655" t="n">
        <v>1.6</v>
      </c>
      <c r="H18655" t="n">
        <v>0</v>
      </c>
      <c r="I18655" t="n">
        <v>0</v>
      </c>
      <c r="J18655" t="n">
        <v>0</v>
      </c>
      <c r="K18655" t="n">
        <v>0</v>
      </c>
      <c r="L18655" t="n">
        <v>0</v>
      </c>
      <c r="M18655" t="n">
        <v>0</v>
      </c>
      <c r="N18655" t="n">
        <v>0</v>
      </c>
      <c r="O18655" t="n">
        <v>0</v>
      </c>
      <c r="P18655" t="n">
        <v>0</v>
      </c>
      <c r="Q18655" t="n">
        <v>0</v>
      </c>
      <c r="R18655" s="2" t="inlineStr"/>
    </row>
    <row r="18656" ht="15" customHeight="1">
      <c r="A18656" t="inlineStr">
        <is>
          <t>A 5006-2025</t>
        </is>
      </c>
      <c r="B18656" s="1" t="n">
        <v>45691</v>
      </c>
      <c r="C18656" s="1" t="n">
        <v>45810</v>
      </c>
      <c r="D18656" t="inlineStr">
        <is>
          <t>VÄRMLANDS LÄN</t>
        </is>
      </c>
      <c r="E18656" t="inlineStr">
        <is>
          <t>SUNNE</t>
        </is>
      </c>
      <c r="G18656" t="n">
        <v>1.2</v>
      </c>
      <c r="H18656" t="n">
        <v>0</v>
      </c>
      <c r="I18656" t="n">
        <v>0</v>
      </c>
      <c r="J18656" t="n">
        <v>0</v>
      </c>
      <c r="K18656" t="n">
        <v>0</v>
      </c>
      <c r="L18656" t="n">
        <v>0</v>
      </c>
      <c r="M18656" t="n">
        <v>0</v>
      </c>
      <c r="N18656" t="n">
        <v>0</v>
      </c>
      <c r="O18656" t="n">
        <v>0</v>
      </c>
      <c r="P18656" t="n">
        <v>0</v>
      </c>
      <c r="Q18656" t="n">
        <v>0</v>
      </c>
      <c r="R18656" s="2" t="inlineStr"/>
    </row>
    <row r="18657" ht="15" customHeight="1">
      <c r="A18657" t="inlineStr">
        <is>
          <t>A 5214-2025</t>
        </is>
      </c>
      <c r="B18657" s="1" t="n">
        <v>45691</v>
      </c>
      <c r="C18657" s="1" t="n">
        <v>45810</v>
      </c>
      <c r="D18657" t="inlineStr">
        <is>
          <t>VÄRMLANDS LÄN</t>
        </is>
      </c>
      <c r="E18657" t="inlineStr">
        <is>
          <t>GRUMS</t>
        </is>
      </c>
      <c r="G18657" t="n">
        <v>2.5</v>
      </c>
      <c r="H18657" t="n">
        <v>0</v>
      </c>
      <c r="I18657" t="n">
        <v>0</v>
      </c>
      <c r="J18657" t="n">
        <v>0</v>
      </c>
      <c r="K18657" t="n">
        <v>0</v>
      </c>
      <c r="L18657" t="n">
        <v>0</v>
      </c>
      <c r="M18657" t="n">
        <v>0</v>
      </c>
      <c r="N18657" t="n">
        <v>0</v>
      </c>
      <c r="O18657" t="n">
        <v>0</v>
      </c>
      <c r="P18657" t="n">
        <v>0</v>
      </c>
      <c r="Q18657" t="n">
        <v>0</v>
      </c>
      <c r="R18657" s="2" t="inlineStr"/>
    </row>
    <row r="18658" ht="15" customHeight="1">
      <c r="A18658" t="inlineStr">
        <is>
          <t>A 5008-2025</t>
        </is>
      </c>
      <c r="B18658" s="1" t="n">
        <v>45691</v>
      </c>
      <c r="C18658" s="1" t="n">
        <v>45810</v>
      </c>
      <c r="D18658" t="inlineStr">
        <is>
          <t>VÄRMLANDS LÄN</t>
        </is>
      </c>
      <c r="E18658" t="inlineStr">
        <is>
          <t>SUNNE</t>
        </is>
      </c>
      <c r="G18658" t="n">
        <v>1.6</v>
      </c>
      <c r="H18658" t="n">
        <v>0</v>
      </c>
      <c r="I18658" t="n">
        <v>0</v>
      </c>
      <c r="J18658" t="n">
        <v>0</v>
      </c>
      <c r="K18658" t="n">
        <v>0</v>
      </c>
      <c r="L18658" t="n">
        <v>0</v>
      </c>
      <c r="M18658" t="n">
        <v>0</v>
      </c>
      <c r="N18658" t="n">
        <v>0</v>
      </c>
      <c r="O18658" t="n">
        <v>0</v>
      </c>
      <c r="P18658" t="n">
        <v>0</v>
      </c>
      <c r="Q18658" t="n">
        <v>0</v>
      </c>
      <c r="R18658" s="2" t="inlineStr"/>
    </row>
    <row r="18659" ht="15" customHeight="1">
      <c r="A18659" t="inlineStr">
        <is>
          <t>A 5185-2025</t>
        </is>
      </c>
      <c r="B18659" s="1" t="n">
        <v>45691</v>
      </c>
      <c r="C18659" s="1" t="n">
        <v>45810</v>
      </c>
      <c r="D18659" t="inlineStr">
        <is>
          <t>VÄRMLANDS LÄN</t>
        </is>
      </c>
      <c r="E18659" t="inlineStr">
        <is>
          <t>KARLSTAD</t>
        </is>
      </c>
      <c r="G18659" t="n">
        <v>4.1</v>
      </c>
      <c r="H18659" t="n">
        <v>0</v>
      </c>
      <c r="I18659" t="n">
        <v>0</v>
      </c>
      <c r="J18659" t="n">
        <v>0</v>
      </c>
      <c r="K18659" t="n">
        <v>0</v>
      </c>
      <c r="L18659" t="n">
        <v>0</v>
      </c>
      <c r="M18659" t="n">
        <v>0</v>
      </c>
      <c r="N18659" t="n">
        <v>0</v>
      </c>
      <c r="O18659" t="n">
        <v>0</v>
      </c>
      <c r="P18659" t="n">
        <v>0</v>
      </c>
      <c r="Q18659" t="n">
        <v>0</v>
      </c>
      <c r="R18659" s="2" t="inlineStr"/>
    </row>
    <row r="18660" ht="15" customHeight="1">
      <c r="A18660" t="inlineStr">
        <is>
          <t>A 5044-2025</t>
        </is>
      </c>
      <c r="B18660" s="1" t="n">
        <v>45691</v>
      </c>
      <c r="C18660" s="1" t="n">
        <v>45810</v>
      </c>
      <c r="D18660" t="inlineStr">
        <is>
          <t>VÄRMLANDS LÄN</t>
        </is>
      </c>
      <c r="E18660" t="inlineStr">
        <is>
          <t>EDA</t>
        </is>
      </c>
      <c r="G18660" t="n">
        <v>1.4</v>
      </c>
      <c r="H18660" t="n">
        <v>0</v>
      </c>
      <c r="I18660" t="n">
        <v>0</v>
      </c>
      <c r="J18660" t="n">
        <v>0</v>
      </c>
      <c r="K18660" t="n">
        <v>0</v>
      </c>
      <c r="L18660" t="n">
        <v>0</v>
      </c>
      <c r="M18660" t="n">
        <v>0</v>
      </c>
      <c r="N18660" t="n">
        <v>0</v>
      </c>
      <c r="O18660" t="n">
        <v>0</v>
      </c>
      <c r="P18660" t="n">
        <v>0</v>
      </c>
      <c r="Q18660" t="n">
        <v>0</v>
      </c>
      <c r="R18660" s="2" t="inlineStr"/>
    </row>
    <row r="18661" ht="15" customHeight="1">
      <c r="A18661" t="inlineStr">
        <is>
          <t>A 5012-2025</t>
        </is>
      </c>
      <c r="B18661" s="1" t="n">
        <v>45691</v>
      </c>
      <c r="C18661" s="1" t="n">
        <v>45810</v>
      </c>
      <c r="D18661" t="inlineStr">
        <is>
          <t>VÄRMLANDS LÄN</t>
        </is>
      </c>
      <c r="E18661" t="inlineStr">
        <is>
          <t>SUNNE</t>
        </is>
      </c>
      <c r="G18661" t="n">
        <v>0.7</v>
      </c>
      <c r="H18661" t="n">
        <v>0</v>
      </c>
      <c r="I18661" t="n">
        <v>0</v>
      </c>
      <c r="J18661" t="n">
        <v>0</v>
      </c>
      <c r="K18661" t="n">
        <v>0</v>
      </c>
      <c r="L18661" t="n">
        <v>0</v>
      </c>
      <c r="M18661" t="n">
        <v>0</v>
      </c>
      <c r="N18661" t="n">
        <v>0</v>
      </c>
      <c r="O18661" t="n">
        <v>0</v>
      </c>
      <c r="P18661" t="n">
        <v>0</v>
      </c>
      <c r="Q18661" t="n">
        <v>0</v>
      </c>
      <c r="R18661" s="2" t="inlineStr"/>
    </row>
    <row r="18662" ht="15" customHeight="1">
      <c r="A18662" t="inlineStr">
        <is>
          <t>A 5257-2025</t>
        </is>
      </c>
      <c r="B18662" s="1" t="n">
        <v>45692</v>
      </c>
      <c r="C18662" s="1" t="n">
        <v>45810</v>
      </c>
      <c r="D18662" t="inlineStr">
        <is>
          <t>VÄRMLANDS LÄN</t>
        </is>
      </c>
      <c r="E18662" t="inlineStr">
        <is>
          <t>FILIPSTAD</t>
        </is>
      </c>
      <c r="F18662" t="inlineStr">
        <is>
          <t>Bergvik skog väst AB</t>
        </is>
      </c>
      <c r="G18662" t="n">
        <v>2.5</v>
      </c>
      <c r="H18662" t="n">
        <v>0</v>
      </c>
      <c r="I18662" t="n">
        <v>0</v>
      </c>
      <c r="J18662" t="n">
        <v>0</v>
      </c>
      <c r="K18662" t="n">
        <v>0</v>
      </c>
      <c r="L18662" t="n">
        <v>0</v>
      </c>
      <c r="M18662" t="n">
        <v>0</v>
      </c>
      <c r="N18662" t="n">
        <v>0</v>
      </c>
      <c r="O18662" t="n">
        <v>0</v>
      </c>
      <c r="P18662" t="n">
        <v>0</v>
      </c>
      <c r="Q18662" t="n">
        <v>0</v>
      </c>
      <c r="R18662" s="2" t="inlineStr"/>
    </row>
    <row r="18663" ht="15" customHeight="1">
      <c r="A18663" t="inlineStr">
        <is>
          <t>A 5319-2025</t>
        </is>
      </c>
      <c r="B18663" s="1" t="n">
        <v>45692</v>
      </c>
      <c r="C18663" s="1" t="n">
        <v>45810</v>
      </c>
      <c r="D18663" t="inlineStr">
        <is>
          <t>VÄRMLANDS LÄN</t>
        </is>
      </c>
      <c r="E18663" t="inlineStr">
        <is>
          <t>ÅRJÄNG</t>
        </is>
      </c>
      <c r="G18663" t="n">
        <v>1.8</v>
      </c>
      <c r="H18663" t="n">
        <v>0</v>
      </c>
      <c r="I18663" t="n">
        <v>0</v>
      </c>
      <c r="J18663" t="n">
        <v>0</v>
      </c>
      <c r="K18663" t="n">
        <v>0</v>
      </c>
      <c r="L18663" t="n">
        <v>0</v>
      </c>
      <c r="M18663" t="n">
        <v>0</v>
      </c>
      <c r="N18663" t="n">
        <v>0</v>
      </c>
      <c r="O18663" t="n">
        <v>0</v>
      </c>
      <c r="P18663" t="n">
        <v>0</v>
      </c>
      <c r="Q18663" t="n">
        <v>0</v>
      </c>
      <c r="R18663" s="2" t="inlineStr"/>
    </row>
    <row r="18664" ht="15" customHeight="1">
      <c r="A18664" t="inlineStr">
        <is>
          <t>A 5411-2025</t>
        </is>
      </c>
      <c r="B18664" s="1" t="n">
        <v>45692</v>
      </c>
      <c r="C18664" s="1" t="n">
        <v>45810</v>
      </c>
      <c r="D18664" t="inlineStr">
        <is>
          <t>VÄRMLANDS LÄN</t>
        </is>
      </c>
      <c r="E18664" t="inlineStr">
        <is>
          <t>SUNNE</t>
        </is>
      </c>
      <c r="G18664" t="n">
        <v>2.1</v>
      </c>
      <c r="H18664" t="n">
        <v>0</v>
      </c>
      <c r="I18664" t="n">
        <v>0</v>
      </c>
      <c r="J18664" t="n">
        <v>0</v>
      </c>
      <c r="K18664" t="n">
        <v>0</v>
      </c>
      <c r="L18664" t="n">
        <v>0</v>
      </c>
      <c r="M18664" t="n">
        <v>0</v>
      </c>
      <c r="N18664" t="n">
        <v>0</v>
      </c>
      <c r="O18664" t="n">
        <v>0</v>
      </c>
      <c r="P18664" t="n">
        <v>0</v>
      </c>
      <c r="Q18664" t="n">
        <v>0</v>
      </c>
      <c r="R18664" s="2" t="inlineStr"/>
    </row>
    <row r="18665" ht="15" customHeight="1">
      <c r="A18665" t="inlineStr">
        <is>
          <t>A 5332-2025</t>
        </is>
      </c>
      <c r="B18665" s="1" t="n">
        <v>45692</v>
      </c>
      <c r="C18665" s="1" t="n">
        <v>45810</v>
      </c>
      <c r="D18665" t="inlineStr">
        <is>
          <t>VÄRMLANDS LÄN</t>
        </is>
      </c>
      <c r="E18665" t="inlineStr">
        <is>
          <t>ÅRJÄNG</t>
        </is>
      </c>
      <c r="G18665" t="n">
        <v>0.9</v>
      </c>
      <c r="H18665" t="n">
        <v>0</v>
      </c>
      <c r="I18665" t="n">
        <v>0</v>
      </c>
      <c r="J18665" t="n">
        <v>0</v>
      </c>
      <c r="K18665" t="n">
        <v>0</v>
      </c>
      <c r="L18665" t="n">
        <v>0</v>
      </c>
      <c r="M18665" t="n">
        <v>0</v>
      </c>
      <c r="N18665" t="n">
        <v>0</v>
      </c>
      <c r="O18665" t="n">
        <v>0</v>
      </c>
      <c r="P18665" t="n">
        <v>0</v>
      </c>
      <c r="Q18665" t="n">
        <v>0</v>
      </c>
      <c r="R18665" s="2" t="inlineStr"/>
    </row>
    <row r="18666" ht="15" customHeight="1">
      <c r="A18666" t="inlineStr">
        <is>
          <t>A 5337-2025</t>
        </is>
      </c>
      <c r="B18666" s="1" t="n">
        <v>45692</v>
      </c>
      <c r="C18666" s="1" t="n">
        <v>45810</v>
      </c>
      <c r="D18666" t="inlineStr">
        <is>
          <t>VÄRMLANDS LÄN</t>
        </is>
      </c>
      <c r="E18666" t="inlineStr">
        <is>
          <t>ARVIKA</t>
        </is>
      </c>
      <c r="F18666" t="inlineStr">
        <is>
          <t>Kommuner</t>
        </is>
      </c>
      <c r="G18666" t="n">
        <v>0.7</v>
      </c>
      <c r="H18666" t="n">
        <v>0</v>
      </c>
      <c r="I18666" t="n">
        <v>0</v>
      </c>
      <c r="J18666" t="n">
        <v>0</v>
      </c>
      <c r="K18666" t="n">
        <v>0</v>
      </c>
      <c r="L18666" t="n">
        <v>0</v>
      </c>
      <c r="M18666" t="n">
        <v>0</v>
      </c>
      <c r="N18666" t="n">
        <v>0</v>
      </c>
      <c r="O18666" t="n">
        <v>0</v>
      </c>
      <c r="P18666" t="n">
        <v>0</v>
      </c>
      <c r="Q18666" t="n">
        <v>0</v>
      </c>
      <c r="R18666" s="2" t="inlineStr"/>
    </row>
    <row r="18667" ht="15" customHeight="1">
      <c r="A18667" t="inlineStr">
        <is>
          <t>A 5360-2025</t>
        </is>
      </c>
      <c r="B18667" s="1" t="n">
        <v>45692</v>
      </c>
      <c r="C18667" s="1" t="n">
        <v>45810</v>
      </c>
      <c r="D18667" t="inlineStr">
        <is>
          <t>VÄRMLANDS LÄN</t>
        </is>
      </c>
      <c r="E18667" t="inlineStr">
        <is>
          <t>ARVIKA</t>
        </is>
      </c>
      <c r="F18667" t="inlineStr">
        <is>
          <t>Kommuner</t>
        </is>
      </c>
      <c r="G18667" t="n">
        <v>0.8</v>
      </c>
      <c r="H18667" t="n">
        <v>0</v>
      </c>
      <c r="I18667" t="n">
        <v>0</v>
      </c>
      <c r="J18667" t="n">
        <v>0</v>
      </c>
      <c r="K18667" t="n">
        <v>0</v>
      </c>
      <c r="L18667" t="n">
        <v>0</v>
      </c>
      <c r="M18667" t="n">
        <v>0</v>
      </c>
      <c r="N18667" t="n">
        <v>0</v>
      </c>
      <c r="O18667" t="n">
        <v>0</v>
      </c>
      <c r="P18667" t="n">
        <v>0</v>
      </c>
      <c r="Q18667" t="n">
        <v>0</v>
      </c>
      <c r="R18667" s="2" t="inlineStr"/>
    </row>
    <row r="18668" ht="15" customHeight="1">
      <c r="A18668" t="inlineStr">
        <is>
          <t>A 5397-2025</t>
        </is>
      </c>
      <c r="B18668" s="1" t="n">
        <v>45692</v>
      </c>
      <c r="C18668" s="1" t="n">
        <v>45810</v>
      </c>
      <c r="D18668" t="inlineStr">
        <is>
          <t>VÄRMLANDS LÄN</t>
        </is>
      </c>
      <c r="E18668" t="inlineStr">
        <is>
          <t>ARVIKA</t>
        </is>
      </c>
      <c r="G18668" t="n">
        <v>2.5</v>
      </c>
      <c r="H18668" t="n">
        <v>0</v>
      </c>
      <c r="I18668" t="n">
        <v>0</v>
      </c>
      <c r="J18668" t="n">
        <v>0</v>
      </c>
      <c r="K18668" t="n">
        <v>0</v>
      </c>
      <c r="L18668" t="n">
        <v>0</v>
      </c>
      <c r="M18668" t="n">
        <v>0</v>
      </c>
      <c r="N18668" t="n">
        <v>0</v>
      </c>
      <c r="O18668" t="n">
        <v>0</v>
      </c>
      <c r="P18668" t="n">
        <v>0</v>
      </c>
      <c r="Q18668" t="n">
        <v>0</v>
      </c>
      <c r="R18668" s="2" t="inlineStr"/>
    </row>
    <row r="18669" ht="15" customHeight="1">
      <c r="A18669" t="inlineStr">
        <is>
          <t>A 5416-2025</t>
        </is>
      </c>
      <c r="B18669" s="1" t="n">
        <v>45692</v>
      </c>
      <c r="C18669" s="1" t="n">
        <v>45810</v>
      </c>
      <c r="D18669" t="inlineStr">
        <is>
          <t>VÄRMLANDS LÄN</t>
        </is>
      </c>
      <c r="E18669" t="inlineStr">
        <is>
          <t>ÅRJÄNG</t>
        </is>
      </c>
      <c r="G18669" t="n">
        <v>2.7</v>
      </c>
      <c r="H18669" t="n">
        <v>0</v>
      </c>
      <c r="I18669" t="n">
        <v>0</v>
      </c>
      <c r="J18669" t="n">
        <v>0</v>
      </c>
      <c r="K18669" t="n">
        <v>0</v>
      </c>
      <c r="L18669" t="n">
        <v>0</v>
      </c>
      <c r="M18669" t="n">
        <v>0</v>
      </c>
      <c r="N18669" t="n">
        <v>0</v>
      </c>
      <c r="O18669" t="n">
        <v>0</v>
      </c>
      <c r="P18669" t="n">
        <v>0</v>
      </c>
      <c r="Q18669" t="n">
        <v>0</v>
      </c>
      <c r="R18669" s="2" t="inlineStr"/>
    </row>
    <row r="18670" ht="15" customHeight="1">
      <c r="A18670" t="inlineStr">
        <is>
          <t>A 5432-2025</t>
        </is>
      </c>
      <c r="B18670" s="1" t="n">
        <v>45692</v>
      </c>
      <c r="C18670" s="1" t="n">
        <v>45810</v>
      </c>
      <c r="D18670" t="inlineStr">
        <is>
          <t>VÄRMLANDS LÄN</t>
        </is>
      </c>
      <c r="E18670" t="inlineStr">
        <is>
          <t>EDA</t>
        </is>
      </c>
      <c r="G18670" t="n">
        <v>0.4</v>
      </c>
      <c r="H18670" t="n">
        <v>0</v>
      </c>
      <c r="I18670" t="n">
        <v>0</v>
      </c>
      <c r="J18670" t="n">
        <v>0</v>
      </c>
      <c r="K18670" t="n">
        <v>0</v>
      </c>
      <c r="L18670" t="n">
        <v>0</v>
      </c>
      <c r="M18670" t="n">
        <v>0</v>
      </c>
      <c r="N18670" t="n">
        <v>0</v>
      </c>
      <c r="O18670" t="n">
        <v>0</v>
      </c>
      <c r="P18670" t="n">
        <v>0</v>
      </c>
      <c r="Q18670" t="n">
        <v>0</v>
      </c>
      <c r="R18670" s="2" t="inlineStr"/>
    </row>
    <row r="18671" ht="15" customHeight="1">
      <c r="A18671" t="inlineStr">
        <is>
          <t>A 5431-2025</t>
        </is>
      </c>
      <c r="B18671" s="1" t="n">
        <v>45692</v>
      </c>
      <c r="C18671" s="1" t="n">
        <v>45810</v>
      </c>
      <c r="D18671" t="inlineStr">
        <is>
          <t>VÄRMLANDS LÄN</t>
        </is>
      </c>
      <c r="E18671" t="inlineStr">
        <is>
          <t>EDA</t>
        </is>
      </c>
      <c r="G18671" t="n">
        <v>1.4</v>
      </c>
      <c r="H18671" t="n">
        <v>0</v>
      </c>
      <c r="I18671" t="n">
        <v>0</v>
      </c>
      <c r="J18671" t="n">
        <v>0</v>
      </c>
      <c r="K18671" t="n">
        <v>0</v>
      </c>
      <c r="L18671" t="n">
        <v>0</v>
      </c>
      <c r="M18671" t="n">
        <v>0</v>
      </c>
      <c r="N18671" t="n">
        <v>0</v>
      </c>
      <c r="O18671" t="n">
        <v>0</v>
      </c>
      <c r="P18671" t="n">
        <v>0</v>
      </c>
      <c r="Q18671" t="n">
        <v>0</v>
      </c>
      <c r="R18671" s="2" t="inlineStr"/>
    </row>
    <row r="18672" ht="15" customHeight="1">
      <c r="A18672" t="inlineStr">
        <is>
          <t>A 5271-2025</t>
        </is>
      </c>
      <c r="B18672" s="1" t="n">
        <v>45692</v>
      </c>
      <c r="C18672" s="1" t="n">
        <v>45810</v>
      </c>
      <c r="D18672" t="inlineStr">
        <is>
          <t>VÄRMLANDS LÄN</t>
        </is>
      </c>
      <c r="E18672" t="inlineStr">
        <is>
          <t>SÄFFLE</t>
        </is>
      </c>
      <c r="G18672" t="n">
        <v>19.2</v>
      </c>
      <c r="H18672" t="n">
        <v>0</v>
      </c>
      <c r="I18672" t="n">
        <v>0</v>
      </c>
      <c r="J18672" t="n">
        <v>0</v>
      </c>
      <c r="K18672" t="n">
        <v>0</v>
      </c>
      <c r="L18672" t="n">
        <v>0</v>
      </c>
      <c r="M18672" t="n">
        <v>0</v>
      </c>
      <c r="N18672" t="n">
        <v>0</v>
      </c>
      <c r="O18672" t="n">
        <v>0</v>
      </c>
      <c r="P18672" t="n">
        <v>0</v>
      </c>
      <c r="Q18672" t="n">
        <v>0</v>
      </c>
      <c r="R18672" s="2" t="inlineStr"/>
    </row>
    <row r="18673" ht="15" customHeight="1">
      <c r="A18673" t="inlineStr">
        <is>
          <t>A 5317-2025</t>
        </is>
      </c>
      <c r="B18673" s="1" t="n">
        <v>45692</v>
      </c>
      <c r="C18673" s="1" t="n">
        <v>45810</v>
      </c>
      <c r="D18673" t="inlineStr">
        <is>
          <t>VÄRMLANDS LÄN</t>
        </is>
      </c>
      <c r="E18673" t="inlineStr">
        <is>
          <t>ÅRJÄNG</t>
        </is>
      </c>
      <c r="G18673" t="n">
        <v>5.4</v>
      </c>
      <c r="H18673" t="n">
        <v>0</v>
      </c>
      <c r="I18673" t="n">
        <v>0</v>
      </c>
      <c r="J18673" t="n">
        <v>0</v>
      </c>
      <c r="K18673" t="n">
        <v>0</v>
      </c>
      <c r="L18673" t="n">
        <v>0</v>
      </c>
      <c r="M18673" t="n">
        <v>0</v>
      </c>
      <c r="N18673" t="n">
        <v>0</v>
      </c>
      <c r="O18673" t="n">
        <v>0</v>
      </c>
      <c r="P18673" t="n">
        <v>0</v>
      </c>
      <c r="Q18673" t="n">
        <v>0</v>
      </c>
      <c r="R18673" s="2" t="inlineStr"/>
    </row>
    <row r="18674" ht="15" customHeight="1">
      <c r="A18674" t="inlineStr">
        <is>
          <t>A 5329-2025</t>
        </is>
      </c>
      <c r="B18674" s="1" t="n">
        <v>45692</v>
      </c>
      <c r="C18674" s="1" t="n">
        <v>45810</v>
      </c>
      <c r="D18674" t="inlineStr">
        <is>
          <t>VÄRMLANDS LÄN</t>
        </is>
      </c>
      <c r="E18674" t="inlineStr">
        <is>
          <t>ARVIKA</t>
        </is>
      </c>
      <c r="F18674" t="inlineStr">
        <is>
          <t>Kommuner</t>
        </is>
      </c>
      <c r="G18674" t="n">
        <v>3.8</v>
      </c>
      <c r="H18674" t="n">
        <v>0</v>
      </c>
      <c r="I18674" t="n">
        <v>0</v>
      </c>
      <c r="J18674" t="n">
        <v>0</v>
      </c>
      <c r="K18674" t="n">
        <v>0</v>
      </c>
      <c r="L18674" t="n">
        <v>0</v>
      </c>
      <c r="M18674" t="n">
        <v>0</v>
      </c>
      <c r="N18674" t="n">
        <v>0</v>
      </c>
      <c r="O18674" t="n">
        <v>0</v>
      </c>
      <c r="P18674" t="n">
        <v>0</v>
      </c>
      <c r="Q18674" t="n">
        <v>0</v>
      </c>
      <c r="R18674" s="2" t="inlineStr"/>
    </row>
    <row r="18675" ht="15" customHeight="1">
      <c r="A18675" t="inlineStr">
        <is>
          <t>A 5338-2025</t>
        </is>
      </c>
      <c r="B18675" s="1" t="n">
        <v>45692</v>
      </c>
      <c r="C18675" s="1" t="n">
        <v>45810</v>
      </c>
      <c r="D18675" t="inlineStr">
        <is>
          <t>VÄRMLANDS LÄN</t>
        </is>
      </c>
      <c r="E18675" t="inlineStr">
        <is>
          <t>HAGFORS</t>
        </is>
      </c>
      <c r="G18675" t="n">
        <v>1.3</v>
      </c>
      <c r="H18675" t="n">
        <v>0</v>
      </c>
      <c r="I18675" t="n">
        <v>0</v>
      </c>
      <c r="J18675" t="n">
        <v>0</v>
      </c>
      <c r="K18675" t="n">
        <v>0</v>
      </c>
      <c r="L18675" t="n">
        <v>0</v>
      </c>
      <c r="M18675" t="n">
        <v>0</v>
      </c>
      <c r="N18675" t="n">
        <v>0</v>
      </c>
      <c r="O18675" t="n">
        <v>0</v>
      </c>
      <c r="P18675" t="n">
        <v>0</v>
      </c>
      <c r="Q18675" t="n">
        <v>0</v>
      </c>
      <c r="R18675" s="2" t="inlineStr"/>
    </row>
    <row r="18676" ht="15" customHeight="1">
      <c r="A18676" t="inlineStr">
        <is>
          <t>A 5353-2025</t>
        </is>
      </c>
      <c r="B18676" s="1" t="n">
        <v>45692</v>
      </c>
      <c r="C18676" s="1" t="n">
        <v>45810</v>
      </c>
      <c r="D18676" t="inlineStr">
        <is>
          <t>VÄRMLANDS LÄN</t>
        </is>
      </c>
      <c r="E18676" t="inlineStr">
        <is>
          <t>FILIPSTAD</t>
        </is>
      </c>
      <c r="G18676" t="n">
        <v>8.4</v>
      </c>
      <c r="H18676" t="n">
        <v>0</v>
      </c>
      <c r="I18676" t="n">
        <v>0</v>
      </c>
      <c r="J18676" t="n">
        <v>0</v>
      </c>
      <c r="K18676" t="n">
        <v>0</v>
      </c>
      <c r="L18676" t="n">
        <v>0</v>
      </c>
      <c r="M18676" t="n">
        <v>0</v>
      </c>
      <c r="N18676" t="n">
        <v>0</v>
      </c>
      <c r="O18676" t="n">
        <v>0</v>
      </c>
      <c r="P18676" t="n">
        <v>0</v>
      </c>
      <c r="Q18676" t="n">
        <v>0</v>
      </c>
      <c r="R18676" s="2" t="inlineStr"/>
    </row>
    <row r="18677" ht="15" customHeight="1">
      <c r="A18677" t="inlineStr">
        <is>
          <t>A 5272-2025</t>
        </is>
      </c>
      <c r="B18677" s="1" t="n">
        <v>45692</v>
      </c>
      <c r="C18677" s="1" t="n">
        <v>45810</v>
      </c>
      <c r="D18677" t="inlineStr">
        <is>
          <t>VÄRMLANDS LÄN</t>
        </is>
      </c>
      <c r="E18677" t="inlineStr">
        <is>
          <t>SÄFFLE</t>
        </is>
      </c>
      <c r="G18677" t="n">
        <v>20.8</v>
      </c>
      <c r="H18677" t="n">
        <v>0</v>
      </c>
      <c r="I18677" t="n">
        <v>0</v>
      </c>
      <c r="J18677" t="n">
        <v>0</v>
      </c>
      <c r="K18677" t="n">
        <v>0</v>
      </c>
      <c r="L18677" t="n">
        <v>0</v>
      </c>
      <c r="M18677" t="n">
        <v>0</v>
      </c>
      <c r="N18677" t="n">
        <v>0</v>
      </c>
      <c r="O18677" t="n">
        <v>0</v>
      </c>
      <c r="P18677" t="n">
        <v>0</v>
      </c>
      <c r="Q18677" t="n">
        <v>0</v>
      </c>
      <c r="R18677" s="2" t="inlineStr"/>
    </row>
    <row r="18678" ht="15" customHeight="1">
      <c r="A18678" t="inlineStr">
        <is>
          <t>A 5542-2025</t>
        </is>
      </c>
      <c r="B18678" s="1" t="n">
        <v>45693</v>
      </c>
      <c r="C18678" s="1" t="n">
        <v>45810</v>
      </c>
      <c r="D18678" t="inlineStr">
        <is>
          <t>VÄRMLANDS LÄN</t>
        </is>
      </c>
      <c r="E18678" t="inlineStr">
        <is>
          <t>FILIPSTAD</t>
        </is>
      </c>
      <c r="F18678" t="inlineStr">
        <is>
          <t>Bergvik skog väst AB</t>
        </is>
      </c>
      <c r="G18678" t="n">
        <v>4.3</v>
      </c>
      <c r="H18678" t="n">
        <v>0</v>
      </c>
      <c r="I18678" t="n">
        <v>0</v>
      </c>
      <c r="J18678" t="n">
        <v>0</v>
      </c>
      <c r="K18678" t="n">
        <v>0</v>
      </c>
      <c r="L18678" t="n">
        <v>0</v>
      </c>
      <c r="M18678" t="n">
        <v>0</v>
      </c>
      <c r="N18678" t="n">
        <v>0</v>
      </c>
      <c r="O18678" t="n">
        <v>0</v>
      </c>
      <c r="P18678" t="n">
        <v>0</v>
      </c>
      <c r="Q18678" t="n">
        <v>0</v>
      </c>
      <c r="R18678" s="2" t="inlineStr"/>
    </row>
    <row r="18679" ht="15" customHeight="1">
      <c r="A18679" t="inlineStr">
        <is>
          <t>A 5636-2025</t>
        </is>
      </c>
      <c r="B18679" s="1" t="n">
        <v>45693</v>
      </c>
      <c r="C18679" s="1" t="n">
        <v>45810</v>
      </c>
      <c r="D18679" t="inlineStr">
        <is>
          <t>VÄRMLANDS LÄN</t>
        </is>
      </c>
      <c r="E18679" t="inlineStr">
        <is>
          <t>HAGFORS</t>
        </is>
      </c>
      <c r="F18679" t="inlineStr">
        <is>
          <t>Bergvik skog väst AB</t>
        </is>
      </c>
      <c r="G18679" t="n">
        <v>2.2</v>
      </c>
      <c r="H18679" t="n">
        <v>0</v>
      </c>
      <c r="I18679" t="n">
        <v>0</v>
      </c>
      <c r="J18679" t="n">
        <v>0</v>
      </c>
      <c r="K18679" t="n">
        <v>0</v>
      </c>
      <c r="L18679" t="n">
        <v>0</v>
      </c>
      <c r="M18679" t="n">
        <v>0</v>
      </c>
      <c r="N18679" t="n">
        <v>0</v>
      </c>
      <c r="O18679" t="n">
        <v>0</v>
      </c>
      <c r="P18679" t="n">
        <v>0</v>
      </c>
      <c r="Q18679" t="n">
        <v>0</v>
      </c>
      <c r="R18679" s="2" t="inlineStr"/>
    </row>
    <row r="18680" ht="15" customHeight="1">
      <c r="A18680" t="inlineStr">
        <is>
          <t>A 5502-2025</t>
        </is>
      </c>
      <c r="B18680" s="1" t="n">
        <v>45693</v>
      </c>
      <c r="C18680" s="1" t="n">
        <v>45810</v>
      </c>
      <c r="D18680" t="inlineStr">
        <is>
          <t>VÄRMLANDS LÄN</t>
        </is>
      </c>
      <c r="E18680" t="inlineStr">
        <is>
          <t>ÅRJÄNG</t>
        </is>
      </c>
      <c r="G18680" t="n">
        <v>0.9</v>
      </c>
      <c r="H18680" t="n">
        <v>0</v>
      </c>
      <c r="I18680" t="n">
        <v>0</v>
      </c>
      <c r="J18680" t="n">
        <v>0</v>
      </c>
      <c r="K18680" t="n">
        <v>0</v>
      </c>
      <c r="L18680" t="n">
        <v>0</v>
      </c>
      <c r="M18680" t="n">
        <v>0</v>
      </c>
      <c r="N18680" t="n">
        <v>0</v>
      </c>
      <c r="O18680" t="n">
        <v>0</v>
      </c>
      <c r="P18680" t="n">
        <v>0</v>
      </c>
      <c r="Q18680" t="n">
        <v>0</v>
      </c>
      <c r="R18680" s="2" t="inlineStr"/>
    </row>
    <row r="18681" ht="15" customHeight="1">
      <c r="A18681" t="inlineStr">
        <is>
          <t>A 5491-2025</t>
        </is>
      </c>
      <c r="B18681" s="1" t="n">
        <v>45693</v>
      </c>
      <c r="C18681" s="1" t="n">
        <v>45810</v>
      </c>
      <c r="D18681" t="inlineStr">
        <is>
          <t>VÄRMLANDS LÄN</t>
        </is>
      </c>
      <c r="E18681" t="inlineStr">
        <is>
          <t>KRISTINEHAMN</t>
        </is>
      </c>
      <c r="G18681" t="n">
        <v>6.7</v>
      </c>
      <c r="H18681" t="n">
        <v>0</v>
      </c>
      <c r="I18681" t="n">
        <v>0</v>
      </c>
      <c r="J18681" t="n">
        <v>0</v>
      </c>
      <c r="K18681" t="n">
        <v>0</v>
      </c>
      <c r="L18681" t="n">
        <v>0</v>
      </c>
      <c r="M18681" t="n">
        <v>0</v>
      </c>
      <c r="N18681" t="n">
        <v>0</v>
      </c>
      <c r="O18681" t="n">
        <v>0</v>
      </c>
      <c r="P18681" t="n">
        <v>0</v>
      </c>
      <c r="Q18681" t="n">
        <v>0</v>
      </c>
      <c r="R18681" s="2" t="inlineStr"/>
    </row>
    <row r="18682" ht="15" customHeight="1">
      <c r="A18682" t="inlineStr">
        <is>
          <t>A 5645-2025</t>
        </is>
      </c>
      <c r="B18682" s="1" t="n">
        <v>45693</v>
      </c>
      <c r="C18682" s="1" t="n">
        <v>45810</v>
      </c>
      <c r="D18682" t="inlineStr">
        <is>
          <t>VÄRMLANDS LÄN</t>
        </is>
      </c>
      <c r="E18682" t="inlineStr">
        <is>
          <t>SUNNE</t>
        </is>
      </c>
      <c r="G18682" t="n">
        <v>1.6</v>
      </c>
      <c r="H18682" t="n">
        <v>0</v>
      </c>
      <c r="I18682" t="n">
        <v>0</v>
      </c>
      <c r="J18682" t="n">
        <v>0</v>
      </c>
      <c r="K18682" t="n">
        <v>0</v>
      </c>
      <c r="L18682" t="n">
        <v>0</v>
      </c>
      <c r="M18682" t="n">
        <v>0</v>
      </c>
      <c r="N18682" t="n">
        <v>0</v>
      </c>
      <c r="O18682" t="n">
        <v>0</v>
      </c>
      <c r="P18682" t="n">
        <v>0</v>
      </c>
      <c r="Q18682" t="n">
        <v>0</v>
      </c>
      <c r="R18682" s="2" t="inlineStr"/>
    </row>
    <row r="18683" ht="15" customHeight="1">
      <c r="A18683" t="inlineStr">
        <is>
          <t>A 5669-2025</t>
        </is>
      </c>
      <c r="B18683" s="1" t="n">
        <v>45693</v>
      </c>
      <c r="C18683" s="1" t="n">
        <v>45810</v>
      </c>
      <c r="D18683" t="inlineStr">
        <is>
          <t>VÄRMLANDS LÄN</t>
        </is>
      </c>
      <c r="E18683" t="inlineStr">
        <is>
          <t>EDA</t>
        </is>
      </c>
      <c r="G18683" t="n">
        <v>5.3</v>
      </c>
      <c r="H18683" t="n">
        <v>0</v>
      </c>
      <c r="I18683" t="n">
        <v>0</v>
      </c>
      <c r="J18683" t="n">
        <v>0</v>
      </c>
      <c r="K18683" t="n">
        <v>0</v>
      </c>
      <c r="L18683" t="n">
        <v>0</v>
      </c>
      <c r="M18683" t="n">
        <v>0</v>
      </c>
      <c r="N18683" t="n">
        <v>0</v>
      </c>
      <c r="O18683" t="n">
        <v>0</v>
      </c>
      <c r="P18683" t="n">
        <v>0</v>
      </c>
      <c r="Q18683" t="n">
        <v>0</v>
      </c>
      <c r="R18683" s="2" t="inlineStr"/>
    </row>
    <row r="18684" ht="15" customHeight="1">
      <c r="A18684" t="inlineStr">
        <is>
          <t>A 5568-2025</t>
        </is>
      </c>
      <c r="B18684" s="1" t="n">
        <v>45693</v>
      </c>
      <c r="C18684" s="1" t="n">
        <v>45810</v>
      </c>
      <c r="D18684" t="inlineStr">
        <is>
          <t>VÄRMLANDS LÄN</t>
        </is>
      </c>
      <c r="E18684" t="inlineStr">
        <is>
          <t>ARVIKA</t>
        </is>
      </c>
      <c r="F18684" t="inlineStr">
        <is>
          <t>Bergvik skog väst AB</t>
        </is>
      </c>
      <c r="G18684" t="n">
        <v>13.1</v>
      </c>
      <c r="H18684" t="n">
        <v>0</v>
      </c>
      <c r="I18684" t="n">
        <v>0</v>
      </c>
      <c r="J18684" t="n">
        <v>0</v>
      </c>
      <c r="K18684" t="n">
        <v>0</v>
      </c>
      <c r="L18684" t="n">
        <v>0</v>
      </c>
      <c r="M18684" t="n">
        <v>0</v>
      </c>
      <c r="N18684" t="n">
        <v>0</v>
      </c>
      <c r="O18684" t="n">
        <v>0</v>
      </c>
      <c r="P18684" t="n">
        <v>0</v>
      </c>
      <c r="Q18684" t="n">
        <v>0</v>
      </c>
      <c r="R18684" s="2" t="inlineStr"/>
    </row>
    <row r="18685" ht="15" customHeight="1">
      <c r="A18685" t="inlineStr">
        <is>
          <t>A 5494-2025</t>
        </is>
      </c>
      <c r="B18685" s="1" t="n">
        <v>45693</v>
      </c>
      <c r="C18685" s="1" t="n">
        <v>45810</v>
      </c>
      <c r="D18685" t="inlineStr">
        <is>
          <t>VÄRMLANDS LÄN</t>
        </is>
      </c>
      <c r="E18685" t="inlineStr">
        <is>
          <t>KRISTINEHAMN</t>
        </is>
      </c>
      <c r="G18685" t="n">
        <v>8.699999999999999</v>
      </c>
      <c r="H18685" t="n">
        <v>0</v>
      </c>
      <c r="I18685" t="n">
        <v>0</v>
      </c>
      <c r="J18685" t="n">
        <v>0</v>
      </c>
      <c r="K18685" t="n">
        <v>0</v>
      </c>
      <c r="L18685" t="n">
        <v>0</v>
      </c>
      <c r="M18685" t="n">
        <v>0</v>
      </c>
      <c r="N18685" t="n">
        <v>0</v>
      </c>
      <c r="O18685" t="n">
        <v>0</v>
      </c>
      <c r="P18685" t="n">
        <v>0</v>
      </c>
      <c r="Q18685" t="n">
        <v>0</v>
      </c>
      <c r="R18685" s="2" t="inlineStr"/>
    </row>
    <row r="18686" ht="15" customHeight="1">
      <c r="A18686" t="inlineStr">
        <is>
          <t>A 5631-2025</t>
        </is>
      </c>
      <c r="B18686" s="1" t="n">
        <v>45693</v>
      </c>
      <c r="C18686" s="1" t="n">
        <v>45810</v>
      </c>
      <c r="D18686" t="inlineStr">
        <is>
          <t>VÄRMLANDS LÄN</t>
        </is>
      </c>
      <c r="E18686" t="inlineStr">
        <is>
          <t>KARLSTAD</t>
        </is>
      </c>
      <c r="F18686" t="inlineStr">
        <is>
          <t>Bergvik skog väst AB</t>
        </is>
      </c>
      <c r="G18686" t="n">
        <v>4.3</v>
      </c>
      <c r="H18686" t="n">
        <v>0</v>
      </c>
      <c r="I18686" t="n">
        <v>0</v>
      </c>
      <c r="J18686" t="n">
        <v>0</v>
      </c>
      <c r="K18686" t="n">
        <v>0</v>
      </c>
      <c r="L18686" t="n">
        <v>0</v>
      </c>
      <c r="M18686" t="n">
        <v>0</v>
      </c>
      <c r="N18686" t="n">
        <v>0</v>
      </c>
      <c r="O18686" t="n">
        <v>0</v>
      </c>
      <c r="P18686" t="n">
        <v>0</v>
      </c>
      <c r="Q18686" t="n">
        <v>0</v>
      </c>
      <c r="R18686" s="2" t="inlineStr"/>
    </row>
    <row r="18687" ht="15" customHeight="1">
      <c r="A18687" t="inlineStr">
        <is>
          <t>A 5737-2025</t>
        </is>
      </c>
      <c r="B18687" s="1" t="n">
        <v>45694</v>
      </c>
      <c r="C18687" s="1" t="n">
        <v>45810</v>
      </c>
      <c r="D18687" t="inlineStr">
        <is>
          <t>VÄRMLANDS LÄN</t>
        </is>
      </c>
      <c r="E18687" t="inlineStr">
        <is>
          <t>EDA</t>
        </is>
      </c>
      <c r="G18687" t="n">
        <v>1.9</v>
      </c>
      <c r="H18687" t="n">
        <v>0</v>
      </c>
      <c r="I18687" t="n">
        <v>0</v>
      </c>
      <c r="J18687" t="n">
        <v>0</v>
      </c>
      <c r="K18687" t="n">
        <v>0</v>
      </c>
      <c r="L18687" t="n">
        <v>0</v>
      </c>
      <c r="M18687" t="n">
        <v>0</v>
      </c>
      <c r="N18687" t="n">
        <v>0</v>
      </c>
      <c r="O18687" t="n">
        <v>0</v>
      </c>
      <c r="P18687" t="n">
        <v>0</v>
      </c>
      <c r="Q18687" t="n">
        <v>0</v>
      </c>
      <c r="R18687" s="2" t="inlineStr"/>
    </row>
    <row r="18688" ht="15" customHeight="1">
      <c r="A18688" t="inlineStr">
        <is>
          <t>A 5741-2025</t>
        </is>
      </c>
      <c r="B18688" s="1" t="n">
        <v>45694</v>
      </c>
      <c r="C18688" s="1" t="n">
        <v>45810</v>
      </c>
      <c r="D18688" t="inlineStr">
        <is>
          <t>VÄRMLANDS LÄN</t>
        </is>
      </c>
      <c r="E18688" t="inlineStr">
        <is>
          <t>ÅRJÄNG</t>
        </is>
      </c>
      <c r="G18688" t="n">
        <v>2.4</v>
      </c>
      <c r="H18688" t="n">
        <v>0</v>
      </c>
      <c r="I18688" t="n">
        <v>0</v>
      </c>
      <c r="J18688" t="n">
        <v>0</v>
      </c>
      <c r="K18688" t="n">
        <v>0</v>
      </c>
      <c r="L18688" t="n">
        <v>0</v>
      </c>
      <c r="M18688" t="n">
        <v>0</v>
      </c>
      <c r="N18688" t="n">
        <v>0</v>
      </c>
      <c r="O18688" t="n">
        <v>0</v>
      </c>
      <c r="P18688" t="n">
        <v>0</v>
      </c>
      <c r="Q18688" t="n">
        <v>0</v>
      </c>
      <c r="R18688" s="2" t="inlineStr"/>
    </row>
    <row r="18689" ht="15" customHeight="1">
      <c r="A18689" t="inlineStr">
        <is>
          <t>A 5753-2025</t>
        </is>
      </c>
      <c r="B18689" s="1" t="n">
        <v>45694</v>
      </c>
      <c r="C18689" s="1" t="n">
        <v>45810</v>
      </c>
      <c r="D18689" t="inlineStr">
        <is>
          <t>VÄRMLANDS LÄN</t>
        </is>
      </c>
      <c r="E18689" t="inlineStr">
        <is>
          <t>KIL</t>
        </is>
      </c>
      <c r="G18689" t="n">
        <v>1.5</v>
      </c>
      <c r="H18689" t="n">
        <v>0</v>
      </c>
      <c r="I18689" t="n">
        <v>0</v>
      </c>
      <c r="J18689" t="n">
        <v>0</v>
      </c>
      <c r="K18689" t="n">
        <v>0</v>
      </c>
      <c r="L18689" t="n">
        <v>0</v>
      </c>
      <c r="M18689" t="n">
        <v>0</v>
      </c>
      <c r="N18689" t="n">
        <v>0</v>
      </c>
      <c r="O18689" t="n">
        <v>0</v>
      </c>
      <c r="P18689" t="n">
        <v>0</v>
      </c>
      <c r="Q18689" t="n">
        <v>0</v>
      </c>
      <c r="R18689" s="2" t="inlineStr"/>
    </row>
    <row r="18690" ht="15" customHeight="1">
      <c r="A18690" t="inlineStr">
        <is>
          <t>A 5761-2025</t>
        </is>
      </c>
      <c r="B18690" s="1" t="n">
        <v>45694</v>
      </c>
      <c r="C18690" s="1" t="n">
        <v>45810</v>
      </c>
      <c r="D18690" t="inlineStr">
        <is>
          <t>VÄRMLANDS LÄN</t>
        </is>
      </c>
      <c r="E18690" t="inlineStr">
        <is>
          <t>ARVIKA</t>
        </is>
      </c>
      <c r="G18690" t="n">
        <v>2.6</v>
      </c>
      <c r="H18690" t="n">
        <v>0</v>
      </c>
      <c r="I18690" t="n">
        <v>0</v>
      </c>
      <c r="J18690" t="n">
        <v>0</v>
      </c>
      <c r="K18690" t="n">
        <v>0</v>
      </c>
      <c r="L18690" t="n">
        <v>0</v>
      </c>
      <c r="M18690" t="n">
        <v>0</v>
      </c>
      <c r="N18690" t="n">
        <v>0</v>
      </c>
      <c r="O18690" t="n">
        <v>0</v>
      </c>
      <c r="P18690" t="n">
        <v>0</v>
      </c>
      <c r="Q18690" t="n">
        <v>0</v>
      </c>
      <c r="R18690" s="2" t="inlineStr"/>
    </row>
    <row r="18691" ht="15" customHeight="1">
      <c r="A18691" t="inlineStr">
        <is>
          <t>A 5782-2025</t>
        </is>
      </c>
      <c r="B18691" s="1" t="n">
        <v>45694</v>
      </c>
      <c r="C18691" s="1" t="n">
        <v>45810</v>
      </c>
      <c r="D18691" t="inlineStr">
        <is>
          <t>VÄRMLANDS LÄN</t>
        </is>
      </c>
      <c r="E18691" t="inlineStr">
        <is>
          <t>SUNNE</t>
        </is>
      </c>
      <c r="G18691" t="n">
        <v>7.6</v>
      </c>
      <c r="H18691" t="n">
        <v>0</v>
      </c>
      <c r="I18691" t="n">
        <v>0</v>
      </c>
      <c r="J18691" t="n">
        <v>0</v>
      </c>
      <c r="K18691" t="n">
        <v>0</v>
      </c>
      <c r="L18691" t="n">
        <v>0</v>
      </c>
      <c r="M18691" t="n">
        <v>0</v>
      </c>
      <c r="N18691" t="n">
        <v>0</v>
      </c>
      <c r="O18691" t="n">
        <v>0</v>
      </c>
      <c r="P18691" t="n">
        <v>0</v>
      </c>
      <c r="Q18691" t="n">
        <v>0</v>
      </c>
      <c r="R18691" s="2" t="inlineStr"/>
    </row>
    <row r="18692" ht="15" customHeight="1">
      <c r="A18692" t="inlineStr">
        <is>
          <t>A 5693-2025</t>
        </is>
      </c>
      <c r="B18692" s="1" t="n">
        <v>45694</v>
      </c>
      <c r="C18692" s="1" t="n">
        <v>45810</v>
      </c>
      <c r="D18692" t="inlineStr">
        <is>
          <t>VÄRMLANDS LÄN</t>
        </is>
      </c>
      <c r="E18692" t="inlineStr">
        <is>
          <t>EDA</t>
        </is>
      </c>
      <c r="G18692" t="n">
        <v>2.4</v>
      </c>
      <c r="H18692" t="n">
        <v>0</v>
      </c>
      <c r="I18692" t="n">
        <v>0</v>
      </c>
      <c r="J18692" t="n">
        <v>0</v>
      </c>
      <c r="K18692" t="n">
        <v>0</v>
      </c>
      <c r="L18692" t="n">
        <v>0</v>
      </c>
      <c r="M18692" t="n">
        <v>0</v>
      </c>
      <c r="N18692" t="n">
        <v>0</v>
      </c>
      <c r="O18692" t="n">
        <v>0</v>
      </c>
      <c r="P18692" t="n">
        <v>0</v>
      </c>
      <c r="Q18692" t="n">
        <v>0</v>
      </c>
      <c r="R18692" s="2" t="inlineStr"/>
    </row>
    <row r="18693" ht="15" customHeight="1">
      <c r="A18693" t="inlineStr">
        <is>
          <t>A 5709-2025</t>
        </is>
      </c>
      <c r="B18693" s="1" t="n">
        <v>45694</v>
      </c>
      <c r="C18693" s="1" t="n">
        <v>45810</v>
      </c>
      <c r="D18693" t="inlineStr">
        <is>
          <t>VÄRMLANDS LÄN</t>
        </is>
      </c>
      <c r="E18693" t="inlineStr">
        <is>
          <t>SUNNE</t>
        </is>
      </c>
      <c r="G18693" t="n">
        <v>11.3</v>
      </c>
      <c r="H18693" t="n">
        <v>0</v>
      </c>
      <c r="I18693" t="n">
        <v>0</v>
      </c>
      <c r="J18693" t="n">
        <v>0</v>
      </c>
      <c r="K18693" t="n">
        <v>0</v>
      </c>
      <c r="L18693" t="n">
        <v>0</v>
      </c>
      <c r="M18693" t="n">
        <v>0</v>
      </c>
      <c r="N18693" t="n">
        <v>0</v>
      </c>
      <c r="O18693" t="n">
        <v>0</v>
      </c>
      <c r="P18693" t="n">
        <v>0</v>
      </c>
      <c r="Q18693" t="n">
        <v>0</v>
      </c>
      <c r="R18693" s="2" t="inlineStr"/>
    </row>
    <row r="18694" ht="15" customHeight="1">
      <c r="A18694" t="inlineStr">
        <is>
          <t>A 5754-2025</t>
        </is>
      </c>
      <c r="B18694" s="1" t="n">
        <v>45694</v>
      </c>
      <c r="C18694" s="1" t="n">
        <v>45810</v>
      </c>
      <c r="D18694" t="inlineStr">
        <is>
          <t>VÄRMLANDS LÄN</t>
        </is>
      </c>
      <c r="E18694" t="inlineStr">
        <is>
          <t>KIL</t>
        </is>
      </c>
      <c r="G18694" t="n">
        <v>0.9</v>
      </c>
      <c r="H18694" t="n">
        <v>0</v>
      </c>
      <c r="I18694" t="n">
        <v>0</v>
      </c>
      <c r="J18694" t="n">
        <v>0</v>
      </c>
      <c r="K18694" t="n">
        <v>0</v>
      </c>
      <c r="L18694" t="n">
        <v>0</v>
      </c>
      <c r="M18694" t="n">
        <v>0</v>
      </c>
      <c r="N18694" t="n">
        <v>0</v>
      </c>
      <c r="O18694" t="n">
        <v>0</v>
      </c>
      <c r="P18694" t="n">
        <v>0</v>
      </c>
      <c r="Q18694" t="n">
        <v>0</v>
      </c>
      <c r="R18694" s="2" t="inlineStr"/>
    </row>
    <row r="18695" ht="15" customHeight="1">
      <c r="A18695" t="inlineStr">
        <is>
          <t>A 5758-2025</t>
        </is>
      </c>
      <c r="B18695" s="1" t="n">
        <v>45694</v>
      </c>
      <c r="C18695" s="1" t="n">
        <v>45810</v>
      </c>
      <c r="D18695" t="inlineStr">
        <is>
          <t>VÄRMLANDS LÄN</t>
        </is>
      </c>
      <c r="E18695" t="inlineStr">
        <is>
          <t>KIL</t>
        </is>
      </c>
      <c r="G18695" t="n">
        <v>1</v>
      </c>
      <c r="H18695" t="n">
        <v>0</v>
      </c>
      <c r="I18695" t="n">
        <v>0</v>
      </c>
      <c r="J18695" t="n">
        <v>0</v>
      </c>
      <c r="K18695" t="n">
        <v>0</v>
      </c>
      <c r="L18695" t="n">
        <v>0</v>
      </c>
      <c r="M18695" t="n">
        <v>0</v>
      </c>
      <c r="N18695" t="n">
        <v>0</v>
      </c>
      <c r="O18695" t="n">
        <v>0</v>
      </c>
      <c r="P18695" t="n">
        <v>0</v>
      </c>
      <c r="Q18695" t="n">
        <v>0</v>
      </c>
      <c r="R18695" s="2" t="inlineStr"/>
    </row>
    <row r="18696" ht="15" customHeight="1">
      <c r="A18696" t="inlineStr">
        <is>
          <t>A 5787-2025</t>
        </is>
      </c>
      <c r="B18696" s="1" t="n">
        <v>45694</v>
      </c>
      <c r="C18696" s="1" t="n">
        <v>45810</v>
      </c>
      <c r="D18696" t="inlineStr">
        <is>
          <t>VÄRMLANDS LÄN</t>
        </is>
      </c>
      <c r="E18696" t="inlineStr">
        <is>
          <t>SUNNE</t>
        </is>
      </c>
      <c r="G18696" t="n">
        <v>0.6</v>
      </c>
      <c r="H18696" t="n">
        <v>0</v>
      </c>
      <c r="I18696" t="n">
        <v>0</v>
      </c>
      <c r="J18696" t="n">
        <v>0</v>
      </c>
      <c r="K18696" t="n">
        <v>0</v>
      </c>
      <c r="L18696" t="n">
        <v>0</v>
      </c>
      <c r="M18696" t="n">
        <v>0</v>
      </c>
      <c r="N18696" t="n">
        <v>0</v>
      </c>
      <c r="O18696" t="n">
        <v>0</v>
      </c>
      <c r="P18696" t="n">
        <v>0</v>
      </c>
      <c r="Q18696" t="n">
        <v>0</v>
      </c>
      <c r="R18696" s="2" t="inlineStr"/>
    </row>
    <row r="18697" ht="15" customHeight="1">
      <c r="A18697" t="inlineStr">
        <is>
          <t>A 5799-2025</t>
        </is>
      </c>
      <c r="B18697" s="1" t="n">
        <v>45694</v>
      </c>
      <c r="C18697" s="1" t="n">
        <v>45810</v>
      </c>
      <c r="D18697" t="inlineStr">
        <is>
          <t>VÄRMLANDS LÄN</t>
        </is>
      </c>
      <c r="E18697" t="inlineStr">
        <is>
          <t>TORSBY</t>
        </is>
      </c>
      <c r="G18697" t="n">
        <v>3.4</v>
      </c>
      <c r="H18697" t="n">
        <v>0</v>
      </c>
      <c r="I18697" t="n">
        <v>0</v>
      </c>
      <c r="J18697" t="n">
        <v>0</v>
      </c>
      <c r="K18697" t="n">
        <v>0</v>
      </c>
      <c r="L18697" t="n">
        <v>0</v>
      </c>
      <c r="M18697" t="n">
        <v>0</v>
      </c>
      <c r="N18697" t="n">
        <v>0</v>
      </c>
      <c r="O18697" t="n">
        <v>0</v>
      </c>
      <c r="P18697" t="n">
        <v>0</v>
      </c>
      <c r="Q18697" t="n">
        <v>0</v>
      </c>
      <c r="R18697" s="2" t="inlineStr"/>
    </row>
    <row r="18698" ht="15" customHeight="1">
      <c r="A18698" t="inlineStr">
        <is>
          <t>A 5695-2025</t>
        </is>
      </c>
      <c r="B18698" s="1" t="n">
        <v>45694</v>
      </c>
      <c r="C18698" s="1" t="n">
        <v>45810</v>
      </c>
      <c r="D18698" t="inlineStr">
        <is>
          <t>VÄRMLANDS LÄN</t>
        </is>
      </c>
      <c r="E18698" t="inlineStr">
        <is>
          <t>EDA</t>
        </is>
      </c>
      <c r="G18698" t="n">
        <v>3</v>
      </c>
      <c r="H18698" t="n">
        <v>0</v>
      </c>
      <c r="I18698" t="n">
        <v>0</v>
      </c>
      <c r="J18698" t="n">
        <v>0</v>
      </c>
      <c r="K18698" t="n">
        <v>0</v>
      </c>
      <c r="L18698" t="n">
        <v>0</v>
      </c>
      <c r="M18698" t="n">
        <v>0</v>
      </c>
      <c r="N18698" t="n">
        <v>0</v>
      </c>
      <c r="O18698" t="n">
        <v>0</v>
      </c>
      <c r="P18698" t="n">
        <v>0</v>
      </c>
      <c r="Q18698" t="n">
        <v>0</v>
      </c>
      <c r="R18698" s="2" t="inlineStr"/>
    </row>
    <row r="18699" ht="15" customHeight="1">
      <c r="A18699" t="inlineStr">
        <is>
          <t>A 5736-2025</t>
        </is>
      </c>
      <c r="B18699" s="1" t="n">
        <v>45694</v>
      </c>
      <c r="C18699" s="1" t="n">
        <v>45810</v>
      </c>
      <c r="D18699" t="inlineStr">
        <is>
          <t>VÄRMLANDS LÄN</t>
        </is>
      </c>
      <c r="E18699" t="inlineStr">
        <is>
          <t>EDA</t>
        </is>
      </c>
      <c r="G18699" t="n">
        <v>0.5</v>
      </c>
      <c r="H18699" t="n">
        <v>0</v>
      </c>
      <c r="I18699" t="n">
        <v>0</v>
      </c>
      <c r="J18699" t="n">
        <v>0</v>
      </c>
      <c r="K18699" t="n">
        <v>0</v>
      </c>
      <c r="L18699" t="n">
        <v>0</v>
      </c>
      <c r="M18699" t="n">
        <v>0</v>
      </c>
      <c r="N18699" t="n">
        <v>0</v>
      </c>
      <c r="O18699" t="n">
        <v>0</v>
      </c>
      <c r="P18699" t="n">
        <v>0</v>
      </c>
      <c r="Q18699" t="n">
        <v>0</v>
      </c>
      <c r="R18699" s="2" t="inlineStr"/>
    </row>
    <row r="18700" ht="15" customHeight="1">
      <c r="A18700" t="inlineStr">
        <is>
          <t>A 5748-2025</t>
        </is>
      </c>
      <c r="B18700" s="1" t="n">
        <v>45694</v>
      </c>
      <c r="C18700" s="1" t="n">
        <v>45810</v>
      </c>
      <c r="D18700" t="inlineStr">
        <is>
          <t>VÄRMLANDS LÄN</t>
        </is>
      </c>
      <c r="E18700" t="inlineStr">
        <is>
          <t>TORSBY</t>
        </is>
      </c>
      <c r="G18700" t="n">
        <v>2</v>
      </c>
      <c r="H18700" t="n">
        <v>0</v>
      </c>
      <c r="I18700" t="n">
        <v>0</v>
      </c>
      <c r="J18700" t="n">
        <v>0</v>
      </c>
      <c r="K18700" t="n">
        <v>0</v>
      </c>
      <c r="L18700" t="n">
        <v>0</v>
      </c>
      <c r="M18700" t="n">
        <v>0</v>
      </c>
      <c r="N18700" t="n">
        <v>0</v>
      </c>
      <c r="O18700" t="n">
        <v>0</v>
      </c>
      <c r="P18700" t="n">
        <v>0</v>
      </c>
      <c r="Q18700" t="n">
        <v>0</v>
      </c>
      <c r="R18700" s="2" t="inlineStr"/>
    </row>
    <row r="18701" ht="15" customHeight="1">
      <c r="A18701" t="inlineStr">
        <is>
          <t>A 5735-2025</t>
        </is>
      </c>
      <c r="B18701" s="1" t="n">
        <v>45694</v>
      </c>
      <c r="C18701" s="1" t="n">
        <v>45810</v>
      </c>
      <c r="D18701" t="inlineStr">
        <is>
          <t>VÄRMLANDS LÄN</t>
        </is>
      </c>
      <c r="E18701" t="inlineStr">
        <is>
          <t>EDA</t>
        </is>
      </c>
      <c r="G18701" t="n">
        <v>4.4</v>
      </c>
      <c r="H18701" t="n">
        <v>0</v>
      </c>
      <c r="I18701" t="n">
        <v>0</v>
      </c>
      <c r="J18701" t="n">
        <v>0</v>
      </c>
      <c r="K18701" t="n">
        <v>0</v>
      </c>
      <c r="L18701" t="n">
        <v>0</v>
      </c>
      <c r="M18701" t="n">
        <v>0</v>
      </c>
      <c r="N18701" t="n">
        <v>0</v>
      </c>
      <c r="O18701" t="n">
        <v>0</v>
      </c>
      <c r="P18701" t="n">
        <v>0</v>
      </c>
      <c r="Q18701" t="n">
        <v>0</v>
      </c>
      <c r="R18701" s="2" t="inlineStr"/>
    </row>
    <row r="18702" ht="15" customHeight="1">
      <c r="A18702" t="inlineStr">
        <is>
          <t>A 5739-2025</t>
        </is>
      </c>
      <c r="B18702" s="1" t="n">
        <v>45694</v>
      </c>
      <c r="C18702" s="1" t="n">
        <v>45810</v>
      </c>
      <c r="D18702" t="inlineStr">
        <is>
          <t>VÄRMLANDS LÄN</t>
        </is>
      </c>
      <c r="E18702" t="inlineStr">
        <is>
          <t>EDA</t>
        </is>
      </c>
      <c r="G18702" t="n">
        <v>0.8</v>
      </c>
      <c r="H18702" t="n">
        <v>0</v>
      </c>
      <c r="I18702" t="n">
        <v>0</v>
      </c>
      <c r="J18702" t="n">
        <v>0</v>
      </c>
      <c r="K18702" t="n">
        <v>0</v>
      </c>
      <c r="L18702" t="n">
        <v>0</v>
      </c>
      <c r="M18702" t="n">
        <v>0</v>
      </c>
      <c r="N18702" t="n">
        <v>0</v>
      </c>
      <c r="O18702" t="n">
        <v>0</v>
      </c>
      <c r="P18702" t="n">
        <v>0</v>
      </c>
      <c r="Q18702" t="n">
        <v>0</v>
      </c>
      <c r="R18702" s="2" t="inlineStr"/>
    </row>
    <row r="18703" ht="15" customHeight="1">
      <c r="A18703" t="inlineStr">
        <is>
          <t>A 5860-2025</t>
        </is>
      </c>
      <c r="B18703" s="1" t="n">
        <v>45695</v>
      </c>
      <c r="C18703" s="1" t="n">
        <v>45810</v>
      </c>
      <c r="D18703" t="inlineStr">
        <is>
          <t>VÄRMLANDS LÄN</t>
        </is>
      </c>
      <c r="E18703" t="inlineStr">
        <is>
          <t>KRISTINEHAMN</t>
        </is>
      </c>
      <c r="G18703" t="n">
        <v>1.7</v>
      </c>
      <c r="H18703" t="n">
        <v>0</v>
      </c>
      <c r="I18703" t="n">
        <v>0</v>
      </c>
      <c r="J18703" t="n">
        <v>0</v>
      </c>
      <c r="K18703" t="n">
        <v>0</v>
      </c>
      <c r="L18703" t="n">
        <v>0</v>
      </c>
      <c r="M18703" t="n">
        <v>0</v>
      </c>
      <c r="N18703" t="n">
        <v>0</v>
      </c>
      <c r="O18703" t="n">
        <v>0</v>
      </c>
      <c r="P18703" t="n">
        <v>0</v>
      </c>
      <c r="Q18703" t="n">
        <v>0</v>
      </c>
      <c r="R18703" s="2" t="inlineStr"/>
    </row>
    <row r="18704" ht="15" customHeight="1">
      <c r="A18704" t="inlineStr">
        <is>
          <t>A 5881-2025</t>
        </is>
      </c>
      <c r="B18704" s="1" t="n">
        <v>45695</v>
      </c>
      <c r="C18704" s="1" t="n">
        <v>45810</v>
      </c>
      <c r="D18704" t="inlineStr">
        <is>
          <t>VÄRMLANDS LÄN</t>
        </is>
      </c>
      <c r="E18704" t="inlineStr">
        <is>
          <t>STORFORS</t>
        </is>
      </c>
      <c r="G18704" t="n">
        <v>3.5</v>
      </c>
      <c r="H18704" t="n">
        <v>0</v>
      </c>
      <c r="I18704" t="n">
        <v>0</v>
      </c>
      <c r="J18704" t="n">
        <v>0</v>
      </c>
      <c r="K18704" t="n">
        <v>0</v>
      </c>
      <c r="L18704" t="n">
        <v>0</v>
      </c>
      <c r="M18704" t="n">
        <v>0</v>
      </c>
      <c r="N18704" t="n">
        <v>0</v>
      </c>
      <c r="O18704" t="n">
        <v>0</v>
      </c>
      <c r="P18704" t="n">
        <v>0</v>
      </c>
      <c r="Q18704" t="n">
        <v>0</v>
      </c>
      <c r="R18704" s="2" t="inlineStr"/>
    </row>
    <row r="18705" ht="15" customHeight="1">
      <c r="A18705" t="inlineStr">
        <is>
          <t>A 5945-2025</t>
        </is>
      </c>
      <c r="B18705" s="1" t="n">
        <v>45695</v>
      </c>
      <c r="C18705" s="1" t="n">
        <v>45810</v>
      </c>
      <c r="D18705" t="inlineStr">
        <is>
          <t>VÄRMLANDS LÄN</t>
        </is>
      </c>
      <c r="E18705" t="inlineStr">
        <is>
          <t>ARVIKA</t>
        </is>
      </c>
      <c r="G18705" t="n">
        <v>0.5</v>
      </c>
      <c r="H18705" t="n">
        <v>0</v>
      </c>
      <c r="I18705" t="n">
        <v>0</v>
      </c>
      <c r="J18705" t="n">
        <v>0</v>
      </c>
      <c r="K18705" t="n">
        <v>0</v>
      </c>
      <c r="L18705" t="n">
        <v>0</v>
      </c>
      <c r="M18705" t="n">
        <v>0</v>
      </c>
      <c r="N18705" t="n">
        <v>0</v>
      </c>
      <c r="O18705" t="n">
        <v>0</v>
      </c>
      <c r="P18705" t="n">
        <v>0</v>
      </c>
      <c r="Q18705" t="n">
        <v>0</v>
      </c>
      <c r="R18705" s="2" t="inlineStr"/>
    </row>
    <row r="18706" ht="15" customHeight="1">
      <c r="A18706" t="inlineStr">
        <is>
          <t>A 5846-2025</t>
        </is>
      </c>
      <c r="B18706" s="1" t="n">
        <v>45695</v>
      </c>
      <c r="C18706" s="1" t="n">
        <v>45810</v>
      </c>
      <c r="D18706" t="inlineStr">
        <is>
          <t>VÄRMLANDS LÄN</t>
        </is>
      </c>
      <c r="E18706" t="inlineStr">
        <is>
          <t>KARLSTAD</t>
        </is>
      </c>
      <c r="F18706" t="inlineStr">
        <is>
          <t>Bergvik skog väst AB</t>
        </is>
      </c>
      <c r="G18706" t="n">
        <v>7.8</v>
      </c>
      <c r="H18706" t="n">
        <v>0</v>
      </c>
      <c r="I18706" t="n">
        <v>0</v>
      </c>
      <c r="J18706" t="n">
        <v>0</v>
      </c>
      <c r="K18706" t="n">
        <v>0</v>
      </c>
      <c r="L18706" t="n">
        <v>0</v>
      </c>
      <c r="M18706" t="n">
        <v>0</v>
      </c>
      <c r="N18706" t="n">
        <v>0</v>
      </c>
      <c r="O18706" t="n">
        <v>0</v>
      </c>
      <c r="P18706" t="n">
        <v>0</v>
      </c>
      <c r="Q18706" t="n">
        <v>0</v>
      </c>
      <c r="R18706" s="2" t="inlineStr"/>
    </row>
    <row r="18707" ht="15" customHeight="1">
      <c r="A18707" t="inlineStr">
        <is>
          <t>A 5866-2025</t>
        </is>
      </c>
      <c r="B18707" s="1" t="n">
        <v>45695</v>
      </c>
      <c r="C18707" s="1" t="n">
        <v>45810</v>
      </c>
      <c r="D18707" t="inlineStr">
        <is>
          <t>VÄRMLANDS LÄN</t>
        </is>
      </c>
      <c r="E18707" t="inlineStr">
        <is>
          <t>ARVIKA</t>
        </is>
      </c>
      <c r="G18707" t="n">
        <v>3</v>
      </c>
      <c r="H18707" t="n">
        <v>0</v>
      </c>
      <c r="I18707" t="n">
        <v>0</v>
      </c>
      <c r="J18707" t="n">
        <v>0</v>
      </c>
      <c r="K18707" t="n">
        <v>0</v>
      </c>
      <c r="L18707" t="n">
        <v>0</v>
      </c>
      <c r="M18707" t="n">
        <v>0</v>
      </c>
      <c r="N18707" t="n">
        <v>0</v>
      </c>
      <c r="O18707" t="n">
        <v>0</v>
      </c>
      <c r="P18707" t="n">
        <v>0</v>
      </c>
      <c r="Q18707" t="n">
        <v>0</v>
      </c>
      <c r="R18707" s="2" t="inlineStr"/>
    </row>
    <row r="18708" ht="15" customHeight="1">
      <c r="A18708" t="inlineStr">
        <is>
          <t>A 5845-2025</t>
        </is>
      </c>
      <c r="B18708" s="1" t="n">
        <v>45695</v>
      </c>
      <c r="C18708" s="1" t="n">
        <v>45810</v>
      </c>
      <c r="D18708" t="inlineStr">
        <is>
          <t>VÄRMLANDS LÄN</t>
        </is>
      </c>
      <c r="E18708" t="inlineStr">
        <is>
          <t>SUNNE</t>
        </is>
      </c>
      <c r="G18708" t="n">
        <v>5.6</v>
      </c>
      <c r="H18708" t="n">
        <v>0</v>
      </c>
      <c r="I18708" t="n">
        <v>0</v>
      </c>
      <c r="J18708" t="n">
        <v>0</v>
      </c>
      <c r="K18708" t="n">
        <v>0</v>
      </c>
      <c r="L18708" t="n">
        <v>0</v>
      </c>
      <c r="M18708" t="n">
        <v>0</v>
      </c>
      <c r="N18708" t="n">
        <v>0</v>
      </c>
      <c r="O18708" t="n">
        <v>0</v>
      </c>
      <c r="P18708" t="n">
        <v>0</v>
      </c>
      <c r="Q18708" t="n">
        <v>0</v>
      </c>
      <c r="R18708" s="2" t="inlineStr"/>
    </row>
    <row r="18709" ht="15" customHeight="1">
      <c r="A18709" t="inlineStr">
        <is>
          <t>A 5853-2025</t>
        </is>
      </c>
      <c r="B18709" s="1" t="n">
        <v>45695</v>
      </c>
      <c r="C18709" s="1" t="n">
        <v>45810</v>
      </c>
      <c r="D18709" t="inlineStr">
        <is>
          <t>VÄRMLANDS LÄN</t>
        </is>
      </c>
      <c r="E18709" t="inlineStr">
        <is>
          <t>HAGFORS</t>
        </is>
      </c>
      <c r="G18709" t="n">
        <v>2.6</v>
      </c>
      <c r="H18709" t="n">
        <v>0</v>
      </c>
      <c r="I18709" t="n">
        <v>0</v>
      </c>
      <c r="J18709" t="n">
        <v>0</v>
      </c>
      <c r="K18709" t="n">
        <v>0</v>
      </c>
      <c r="L18709" t="n">
        <v>0</v>
      </c>
      <c r="M18709" t="n">
        <v>0</v>
      </c>
      <c r="N18709" t="n">
        <v>0</v>
      </c>
      <c r="O18709" t="n">
        <v>0</v>
      </c>
      <c r="P18709" t="n">
        <v>0</v>
      </c>
      <c r="Q18709" t="n">
        <v>0</v>
      </c>
      <c r="R18709" s="2" t="inlineStr"/>
    </row>
    <row r="18710" ht="15" customHeight="1">
      <c r="A18710" t="inlineStr">
        <is>
          <t>A 5923-2025</t>
        </is>
      </c>
      <c r="B18710" s="1" t="n">
        <v>45695</v>
      </c>
      <c r="C18710" s="1" t="n">
        <v>45810</v>
      </c>
      <c r="D18710" t="inlineStr">
        <is>
          <t>VÄRMLANDS LÄN</t>
        </is>
      </c>
      <c r="E18710" t="inlineStr">
        <is>
          <t>SUNNE</t>
        </is>
      </c>
      <c r="G18710" t="n">
        <v>2.4</v>
      </c>
      <c r="H18710" t="n">
        <v>0</v>
      </c>
      <c r="I18710" t="n">
        <v>0</v>
      </c>
      <c r="J18710" t="n">
        <v>0</v>
      </c>
      <c r="K18710" t="n">
        <v>0</v>
      </c>
      <c r="L18710" t="n">
        <v>0</v>
      </c>
      <c r="M18710" t="n">
        <v>0</v>
      </c>
      <c r="N18710" t="n">
        <v>0</v>
      </c>
      <c r="O18710" t="n">
        <v>0</v>
      </c>
      <c r="P18710" t="n">
        <v>0</v>
      </c>
      <c r="Q18710" t="n">
        <v>0</v>
      </c>
      <c r="R18710" s="2" t="inlineStr"/>
    </row>
    <row r="18711" ht="15" customHeight="1">
      <c r="A18711" t="inlineStr">
        <is>
          <t>A 5975-2025</t>
        </is>
      </c>
      <c r="B18711" s="1" t="n">
        <v>45695</v>
      </c>
      <c r="C18711" s="1" t="n">
        <v>45810</v>
      </c>
      <c r="D18711" t="inlineStr">
        <is>
          <t>VÄRMLANDS LÄN</t>
        </is>
      </c>
      <c r="E18711" t="inlineStr">
        <is>
          <t>HAGFORS</t>
        </is>
      </c>
      <c r="G18711" t="n">
        <v>9.5</v>
      </c>
      <c r="H18711" t="n">
        <v>0</v>
      </c>
      <c r="I18711" t="n">
        <v>0</v>
      </c>
      <c r="J18711" t="n">
        <v>0</v>
      </c>
      <c r="K18711" t="n">
        <v>0</v>
      </c>
      <c r="L18711" t="n">
        <v>0</v>
      </c>
      <c r="M18711" t="n">
        <v>0</v>
      </c>
      <c r="N18711" t="n">
        <v>0</v>
      </c>
      <c r="O18711" t="n">
        <v>0</v>
      </c>
      <c r="P18711" t="n">
        <v>0</v>
      </c>
      <c r="Q18711" t="n">
        <v>0</v>
      </c>
      <c r="R18711" s="2" t="inlineStr"/>
    </row>
    <row r="18712" ht="15" customHeight="1">
      <c r="A18712" t="inlineStr">
        <is>
          <t>A 6021-2025</t>
        </is>
      </c>
      <c r="B18712" s="1" t="n">
        <v>45695</v>
      </c>
      <c r="C18712" s="1" t="n">
        <v>45810</v>
      </c>
      <c r="D18712" t="inlineStr">
        <is>
          <t>VÄRMLANDS LÄN</t>
        </is>
      </c>
      <c r="E18712" t="inlineStr">
        <is>
          <t>SUNNE</t>
        </is>
      </c>
      <c r="G18712" t="n">
        <v>0.8</v>
      </c>
      <c r="H18712" t="n">
        <v>0</v>
      </c>
      <c r="I18712" t="n">
        <v>0</v>
      </c>
      <c r="J18712" t="n">
        <v>0</v>
      </c>
      <c r="K18712" t="n">
        <v>0</v>
      </c>
      <c r="L18712" t="n">
        <v>0</v>
      </c>
      <c r="M18712" t="n">
        <v>0</v>
      </c>
      <c r="N18712" t="n">
        <v>0</v>
      </c>
      <c r="O18712" t="n">
        <v>0</v>
      </c>
      <c r="P18712" t="n">
        <v>0</v>
      </c>
      <c r="Q18712" t="n">
        <v>0</v>
      </c>
      <c r="R18712" s="2" t="inlineStr"/>
    </row>
    <row r="18713" ht="15" customHeight="1">
      <c r="A18713" t="inlineStr">
        <is>
          <t>A 5924-2025</t>
        </is>
      </c>
      <c r="B18713" s="1" t="n">
        <v>45695</v>
      </c>
      <c r="C18713" s="1" t="n">
        <v>45810</v>
      </c>
      <c r="D18713" t="inlineStr">
        <is>
          <t>VÄRMLANDS LÄN</t>
        </is>
      </c>
      <c r="E18713" t="inlineStr">
        <is>
          <t>SUNNE</t>
        </is>
      </c>
      <c r="G18713" t="n">
        <v>2.5</v>
      </c>
      <c r="H18713" t="n">
        <v>0</v>
      </c>
      <c r="I18713" t="n">
        <v>0</v>
      </c>
      <c r="J18713" t="n">
        <v>0</v>
      </c>
      <c r="K18713" t="n">
        <v>0</v>
      </c>
      <c r="L18713" t="n">
        <v>0</v>
      </c>
      <c r="M18713" t="n">
        <v>0</v>
      </c>
      <c r="N18713" t="n">
        <v>0</v>
      </c>
      <c r="O18713" t="n">
        <v>0</v>
      </c>
      <c r="P18713" t="n">
        <v>0</v>
      </c>
      <c r="Q18713" t="n">
        <v>0</v>
      </c>
      <c r="R18713" s="2" t="inlineStr"/>
    </row>
    <row r="18714" ht="15" customHeight="1">
      <c r="A18714" t="inlineStr">
        <is>
          <t>A 6023-2025</t>
        </is>
      </c>
      <c r="B18714" s="1" t="n">
        <v>45695</v>
      </c>
      <c r="C18714" s="1" t="n">
        <v>45810</v>
      </c>
      <c r="D18714" t="inlineStr">
        <is>
          <t>VÄRMLANDS LÄN</t>
        </is>
      </c>
      <c r="E18714" t="inlineStr">
        <is>
          <t>SUNNE</t>
        </is>
      </c>
      <c r="G18714" t="n">
        <v>1.1</v>
      </c>
      <c r="H18714" t="n">
        <v>0</v>
      </c>
      <c r="I18714" t="n">
        <v>0</v>
      </c>
      <c r="J18714" t="n">
        <v>0</v>
      </c>
      <c r="K18714" t="n">
        <v>0</v>
      </c>
      <c r="L18714" t="n">
        <v>0</v>
      </c>
      <c r="M18714" t="n">
        <v>0</v>
      </c>
      <c r="N18714" t="n">
        <v>0</v>
      </c>
      <c r="O18714" t="n">
        <v>0</v>
      </c>
      <c r="P18714" t="n">
        <v>0</v>
      </c>
      <c r="Q18714" t="n">
        <v>0</v>
      </c>
      <c r="R18714" s="2" t="inlineStr"/>
    </row>
    <row r="18715" ht="15" customHeight="1">
      <c r="A18715" t="inlineStr">
        <is>
          <t>A 6079-2025</t>
        </is>
      </c>
      <c r="B18715" s="1" t="n">
        <v>45697</v>
      </c>
      <c r="C18715" s="1" t="n">
        <v>45810</v>
      </c>
      <c r="D18715" t="inlineStr">
        <is>
          <t>VÄRMLANDS LÄN</t>
        </is>
      </c>
      <c r="E18715" t="inlineStr">
        <is>
          <t>KRISTINEHAMN</t>
        </is>
      </c>
      <c r="G18715" t="n">
        <v>3.4</v>
      </c>
      <c r="H18715" t="n">
        <v>0</v>
      </c>
      <c r="I18715" t="n">
        <v>0</v>
      </c>
      <c r="J18715" t="n">
        <v>0</v>
      </c>
      <c r="K18715" t="n">
        <v>0</v>
      </c>
      <c r="L18715" t="n">
        <v>0</v>
      </c>
      <c r="M18715" t="n">
        <v>0</v>
      </c>
      <c r="N18715" t="n">
        <v>0</v>
      </c>
      <c r="O18715" t="n">
        <v>0</v>
      </c>
      <c r="P18715" t="n">
        <v>0</v>
      </c>
      <c r="Q18715" t="n">
        <v>0</v>
      </c>
      <c r="R18715" s="2" t="inlineStr"/>
    </row>
    <row r="18716" ht="15" customHeight="1">
      <c r="A18716" t="inlineStr">
        <is>
          <t>A 6078-2025</t>
        </is>
      </c>
      <c r="B18716" s="1" t="n">
        <v>45697</v>
      </c>
      <c r="C18716" s="1" t="n">
        <v>45810</v>
      </c>
      <c r="D18716" t="inlineStr">
        <is>
          <t>VÄRMLANDS LÄN</t>
        </is>
      </c>
      <c r="E18716" t="inlineStr">
        <is>
          <t>KRISTINEHAMN</t>
        </is>
      </c>
      <c r="G18716" t="n">
        <v>1.3</v>
      </c>
      <c r="H18716" t="n">
        <v>0</v>
      </c>
      <c r="I18716" t="n">
        <v>0</v>
      </c>
      <c r="J18716" t="n">
        <v>0</v>
      </c>
      <c r="K18716" t="n">
        <v>0</v>
      </c>
      <c r="L18716" t="n">
        <v>0</v>
      </c>
      <c r="M18716" t="n">
        <v>0</v>
      </c>
      <c r="N18716" t="n">
        <v>0</v>
      </c>
      <c r="O18716" t="n">
        <v>0</v>
      </c>
      <c r="P18716" t="n">
        <v>0</v>
      </c>
      <c r="Q18716" t="n">
        <v>0</v>
      </c>
      <c r="R18716" s="2" t="inlineStr"/>
    </row>
    <row r="18717" ht="15" customHeight="1">
      <c r="A18717" t="inlineStr">
        <is>
          <t>A 6095-2025</t>
        </is>
      </c>
      <c r="B18717" s="1" t="n">
        <v>45697</v>
      </c>
      <c r="C18717" s="1" t="n">
        <v>45810</v>
      </c>
      <c r="D18717" t="inlineStr">
        <is>
          <t>VÄRMLANDS LÄN</t>
        </is>
      </c>
      <c r="E18717" t="inlineStr">
        <is>
          <t>SUNNE</t>
        </is>
      </c>
      <c r="G18717" t="n">
        <v>4.2</v>
      </c>
      <c r="H18717" t="n">
        <v>0</v>
      </c>
      <c r="I18717" t="n">
        <v>0</v>
      </c>
      <c r="J18717" t="n">
        <v>0</v>
      </c>
      <c r="K18717" t="n">
        <v>0</v>
      </c>
      <c r="L18717" t="n">
        <v>0</v>
      </c>
      <c r="M18717" t="n">
        <v>0</v>
      </c>
      <c r="N18717" t="n">
        <v>0</v>
      </c>
      <c r="O18717" t="n">
        <v>0</v>
      </c>
      <c r="P18717" t="n">
        <v>0</v>
      </c>
      <c r="Q18717" t="n">
        <v>0</v>
      </c>
      <c r="R18717" s="2" t="inlineStr"/>
    </row>
    <row r="18718" ht="15" customHeight="1">
      <c r="A18718" t="inlineStr">
        <is>
          <t>A 6269-2025</t>
        </is>
      </c>
      <c r="B18718" s="1" t="n">
        <v>45698</v>
      </c>
      <c r="C18718" s="1" t="n">
        <v>45810</v>
      </c>
      <c r="D18718" t="inlineStr">
        <is>
          <t>VÄRMLANDS LÄN</t>
        </is>
      </c>
      <c r="E18718" t="inlineStr">
        <is>
          <t>KARLSTAD</t>
        </is>
      </c>
      <c r="G18718" t="n">
        <v>4.4</v>
      </c>
      <c r="H18718" t="n">
        <v>0</v>
      </c>
      <c r="I18718" t="n">
        <v>0</v>
      </c>
      <c r="J18718" t="n">
        <v>0</v>
      </c>
      <c r="K18718" t="n">
        <v>0</v>
      </c>
      <c r="L18718" t="n">
        <v>0</v>
      </c>
      <c r="M18718" t="n">
        <v>0</v>
      </c>
      <c r="N18718" t="n">
        <v>0</v>
      </c>
      <c r="O18718" t="n">
        <v>0</v>
      </c>
      <c r="P18718" t="n">
        <v>0</v>
      </c>
      <c r="Q18718" t="n">
        <v>0</v>
      </c>
      <c r="R18718" s="2" t="inlineStr"/>
    </row>
    <row r="18719" ht="15" customHeight="1">
      <c r="A18719" t="inlineStr">
        <is>
          <t>A 6237-2025</t>
        </is>
      </c>
      <c r="B18719" s="1" t="n">
        <v>45698</v>
      </c>
      <c r="C18719" s="1" t="n">
        <v>45810</v>
      </c>
      <c r="D18719" t="inlineStr">
        <is>
          <t>VÄRMLANDS LÄN</t>
        </is>
      </c>
      <c r="E18719" t="inlineStr">
        <is>
          <t>ARVIKA</t>
        </is>
      </c>
      <c r="G18719" t="n">
        <v>3.3</v>
      </c>
      <c r="H18719" t="n">
        <v>0</v>
      </c>
      <c r="I18719" t="n">
        <v>0</v>
      </c>
      <c r="J18719" t="n">
        <v>0</v>
      </c>
      <c r="K18719" t="n">
        <v>0</v>
      </c>
      <c r="L18719" t="n">
        <v>0</v>
      </c>
      <c r="M18719" t="n">
        <v>0</v>
      </c>
      <c r="N18719" t="n">
        <v>0</v>
      </c>
      <c r="O18719" t="n">
        <v>0</v>
      </c>
      <c r="P18719" t="n">
        <v>0</v>
      </c>
      <c r="Q18719" t="n">
        <v>0</v>
      </c>
      <c r="R18719" s="2" t="inlineStr"/>
    </row>
    <row r="18720" ht="15" customHeight="1">
      <c r="A18720" t="inlineStr">
        <is>
          <t>A 6317-2025</t>
        </is>
      </c>
      <c r="B18720" s="1" t="n">
        <v>45698</v>
      </c>
      <c r="C18720" s="1" t="n">
        <v>45810</v>
      </c>
      <c r="D18720" t="inlineStr">
        <is>
          <t>VÄRMLANDS LÄN</t>
        </is>
      </c>
      <c r="E18720" t="inlineStr">
        <is>
          <t>TORSBY</t>
        </is>
      </c>
      <c r="G18720" t="n">
        <v>5.8</v>
      </c>
      <c r="H18720" t="n">
        <v>0</v>
      </c>
      <c r="I18720" t="n">
        <v>0</v>
      </c>
      <c r="J18720" t="n">
        <v>0</v>
      </c>
      <c r="K18720" t="n">
        <v>0</v>
      </c>
      <c r="L18720" t="n">
        <v>0</v>
      </c>
      <c r="M18720" t="n">
        <v>0</v>
      </c>
      <c r="N18720" t="n">
        <v>0</v>
      </c>
      <c r="O18720" t="n">
        <v>0</v>
      </c>
      <c r="P18720" t="n">
        <v>0</v>
      </c>
      <c r="Q18720" t="n">
        <v>0</v>
      </c>
      <c r="R18720" s="2" t="inlineStr"/>
    </row>
    <row r="18721" ht="15" customHeight="1">
      <c r="A18721" t="inlineStr">
        <is>
          <t>A 6262-2025</t>
        </is>
      </c>
      <c r="B18721" s="1" t="n">
        <v>45698</v>
      </c>
      <c r="C18721" s="1" t="n">
        <v>45810</v>
      </c>
      <c r="D18721" t="inlineStr">
        <is>
          <t>VÄRMLANDS LÄN</t>
        </is>
      </c>
      <c r="E18721" t="inlineStr">
        <is>
          <t>KARLSTAD</t>
        </is>
      </c>
      <c r="G18721" t="n">
        <v>6.1</v>
      </c>
      <c r="H18721" t="n">
        <v>0</v>
      </c>
      <c r="I18721" t="n">
        <v>0</v>
      </c>
      <c r="J18721" t="n">
        <v>0</v>
      </c>
      <c r="K18721" t="n">
        <v>0</v>
      </c>
      <c r="L18721" t="n">
        <v>0</v>
      </c>
      <c r="M18721" t="n">
        <v>0</v>
      </c>
      <c r="N18721" t="n">
        <v>0</v>
      </c>
      <c r="O18721" t="n">
        <v>0</v>
      </c>
      <c r="P18721" t="n">
        <v>0</v>
      </c>
      <c r="Q18721" t="n">
        <v>0</v>
      </c>
      <c r="R18721" s="2" t="inlineStr"/>
    </row>
    <row r="18722" ht="15" customHeight="1">
      <c r="A18722" t="inlineStr">
        <is>
          <t>A 6254-2025</t>
        </is>
      </c>
      <c r="B18722" s="1" t="n">
        <v>45698</v>
      </c>
      <c r="C18722" s="1" t="n">
        <v>45810</v>
      </c>
      <c r="D18722" t="inlineStr">
        <is>
          <t>VÄRMLANDS LÄN</t>
        </is>
      </c>
      <c r="E18722" t="inlineStr">
        <is>
          <t>KARLSTAD</t>
        </is>
      </c>
      <c r="G18722" t="n">
        <v>20.6</v>
      </c>
      <c r="H18722" t="n">
        <v>0</v>
      </c>
      <c r="I18722" t="n">
        <v>0</v>
      </c>
      <c r="J18722" t="n">
        <v>0</v>
      </c>
      <c r="K18722" t="n">
        <v>0</v>
      </c>
      <c r="L18722" t="n">
        <v>0</v>
      </c>
      <c r="M18722" t="n">
        <v>0</v>
      </c>
      <c r="N18722" t="n">
        <v>0</v>
      </c>
      <c r="O18722" t="n">
        <v>0</v>
      </c>
      <c r="P18722" t="n">
        <v>0</v>
      </c>
      <c r="Q18722" t="n">
        <v>0</v>
      </c>
      <c r="R18722" s="2" t="inlineStr"/>
    </row>
    <row r="18723" ht="15" customHeight="1">
      <c r="A18723" t="inlineStr">
        <is>
          <t>A 6250-2025</t>
        </is>
      </c>
      <c r="B18723" s="1" t="n">
        <v>45698</v>
      </c>
      <c r="C18723" s="1" t="n">
        <v>45810</v>
      </c>
      <c r="D18723" t="inlineStr">
        <is>
          <t>VÄRMLANDS LÄN</t>
        </is>
      </c>
      <c r="E18723" t="inlineStr">
        <is>
          <t>ARVIKA</t>
        </is>
      </c>
      <c r="G18723" t="n">
        <v>1.1</v>
      </c>
      <c r="H18723" t="n">
        <v>0</v>
      </c>
      <c r="I18723" t="n">
        <v>0</v>
      </c>
      <c r="J18723" t="n">
        <v>0</v>
      </c>
      <c r="K18723" t="n">
        <v>0</v>
      </c>
      <c r="L18723" t="n">
        <v>0</v>
      </c>
      <c r="M18723" t="n">
        <v>0</v>
      </c>
      <c r="N18723" t="n">
        <v>0</v>
      </c>
      <c r="O18723" t="n">
        <v>0</v>
      </c>
      <c r="P18723" t="n">
        <v>0</v>
      </c>
      <c r="Q18723" t="n">
        <v>0</v>
      </c>
      <c r="R18723" s="2" t="inlineStr"/>
    </row>
    <row r="18724" ht="15" customHeight="1">
      <c r="A18724" t="inlineStr">
        <is>
          <t>A 6241-2025</t>
        </is>
      </c>
      <c r="B18724" s="1" t="n">
        <v>45698</v>
      </c>
      <c r="C18724" s="1" t="n">
        <v>45810</v>
      </c>
      <c r="D18724" t="inlineStr">
        <is>
          <t>VÄRMLANDS LÄN</t>
        </is>
      </c>
      <c r="E18724" t="inlineStr">
        <is>
          <t>ARVIKA</t>
        </is>
      </c>
      <c r="G18724" t="n">
        <v>0.5</v>
      </c>
      <c r="H18724" t="n">
        <v>0</v>
      </c>
      <c r="I18724" t="n">
        <v>0</v>
      </c>
      <c r="J18724" t="n">
        <v>0</v>
      </c>
      <c r="K18724" t="n">
        <v>0</v>
      </c>
      <c r="L18724" t="n">
        <v>0</v>
      </c>
      <c r="M18724" t="n">
        <v>0</v>
      </c>
      <c r="N18724" t="n">
        <v>0</v>
      </c>
      <c r="O18724" t="n">
        <v>0</v>
      </c>
      <c r="P18724" t="n">
        <v>0</v>
      </c>
      <c r="Q18724" t="n">
        <v>0</v>
      </c>
      <c r="R18724" s="2" t="inlineStr"/>
      <c r="U18724">
        <f>HYPERLINK("https://klasma.github.io/Logging_1784/knärot/A 6241-2025 karta knärot.png", "A 6241-2025")</f>
        <v/>
      </c>
      <c r="V18724">
        <f>HYPERLINK("https://klasma.github.io/Logging_1784/klagomål/A 6241-2025 FSC-klagomål.docx", "A 6241-2025")</f>
        <v/>
      </c>
      <c r="W18724">
        <f>HYPERLINK("https://klasma.github.io/Logging_1784/klagomålsmail/A 6241-2025 FSC-klagomål mail.docx", "A 6241-2025")</f>
        <v/>
      </c>
      <c r="X18724">
        <f>HYPERLINK("https://klasma.github.io/Logging_1784/tillsyn/A 6241-2025 tillsynsbegäran.docx", "A 6241-2025")</f>
        <v/>
      </c>
      <c r="Y18724">
        <f>HYPERLINK("https://klasma.github.io/Logging_1784/tillsynsmail/A 6241-2025 tillsynsbegäran mail.docx", "A 6241-2025")</f>
        <v/>
      </c>
    </row>
    <row r="18725" ht="15" customHeight="1">
      <c r="A18725" t="inlineStr">
        <is>
          <t>A 6223-2025</t>
        </is>
      </c>
      <c r="B18725" s="1" t="n">
        <v>45698</v>
      </c>
      <c r="C18725" s="1" t="n">
        <v>45810</v>
      </c>
      <c r="D18725" t="inlineStr">
        <is>
          <t>VÄRMLANDS LÄN</t>
        </is>
      </c>
      <c r="E18725" t="inlineStr">
        <is>
          <t>ARVIKA</t>
        </is>
      </c>
      <c r="G18725" t="n">
        <v>1</v>
      </c>
      <c r="H18725" t="n">
        <v>0</v>
      </c>
      <c r="I18725" t="n">
        <v>0</v>
      </c>
      <c r="J18725" t="n">
        <v>0</v>
      </c>
      <c r="K18725" t="n">
        <v>0</v>
      </c>
      <c r="L18725" t="n">
        <v>0</v>
      </c>
      <c r="M18725" t="n">
        <v>0</v>
      </c>
      <c r="N18725" t="n">
        <v>0</v>
      </c>
      <c r="O18725" t="n">
        <v>0</v>
      </c>
      <c r="P18725" t="n">
        <v>0</v>
      </c>
      <c r="Q18725" t="n">
        <v>0</v>
      </c>
      <c r="R18725" s="2" t="inlineStr"/>
    </row>
    <row r="18726" ht="15" customHeight="1">
      <c r="A18726" t="inlineStr">
        <is>
          <t>A 6186-2025</t>
        </is>
      </c>
      <c r="B18726" s="1" t="n">
        <v>45698</v>
      </c>
      <c r="C18726" s="1" t="n">
        <v>45810</v>
      </c>
      <c r="D18726" t="inlineStr">
        <is>
          <t>VÄRMLANDS LÄN</t>
        </is>
      </c>
      <c r="E18726" t="inlineStr">
        <is>
          <t>ARVIKA</t>
        </is>
      </c>
      <c r="G18726" t="n">
        <v>2.4</v>
      </c>
      <c r="H18726" t="n">
        <v>0</v>
      </c>
      <c r="I18726" t="n">
        <v>0</v>
      </c>
      <c r="J18726" t="n">
        <v>0</v>
      </c>
      <c r="K18726" t="n">
        <v>0</v>
      </c>
      <c r="L18726" t="n">
        <v>0</v>
      </c>
      <c r="M18726" t="n">
        <v>0</v>
      </c>
      <c r="N18726" t="n">
        <v>0</v>
      </c>
      <c r="O18726" t="n">
        <v>0</v>
      </c>
      <c r="P18726" t="n">
        <v>0</v>
      </c>
      <c r="Q18726" t="n">
        <v>0</v>
      </c>
      <c r="R18726" s="2" t="inlineStr"/>
    </row>
    <row r="18727" ht="15" customHeight="1">
      <c r="A18727" t="inlineStr">
        <is>
          <t>A 6125-2025</t>
        </is>
      </c>
      <c r="B18727" s="1" t="n">
        <v>45698</v>
      </c>
      <c r="C18727" s="1" t="n">
        <v>45810</v>
      </c>
      <c r="D18727" t="inlineStr">
        <is>
          <t>VÄRMLANDS LÄN</t>
        </is>
      </c>
      <c r="E18727" t="inlineStr">
        <is>
          <t>ÅRJÄNG</t>
        </is>
      </c>
      <c r="G18727" t="n">
        <v>1.2</v>
      </c>
      <c r="H18727" t="n">
        <v>0</v>
      </c>
      <c r="I18727" t="n">
        <v>0</v>
      </c>
      <c r="J18727" t="n">
        <v>0</v>
      </c>
      <c r="K18727" t="n">
        <v>0</v>
      </c>
      <c r="L18727" t="n">
        <v>0</v>
      </c>
      <c r="M18727" t="n">
        <v>0</v>
      </c>
      <c r="N18727" t="n">
        <v>0</v>
      </c>
      <c r="O18727" t="n">
        <v>0</v>
      </c>
      <c r="P18727" t="n">
        <v>0</v>
      </c>
      <c r="Q18727" t="n">
        <v>0</v>
      </c>
      <c r="R18727" s="2" t="inlineStr"/>
    </row>
    <row r="18728" ht="15" customHeight="1">
      <c r="A18728" t="inlineStr">
        <is>
          <t>A 6117-2025</t>
        </is>
      </c>
      <c r="B18728" s="1" t="n">
        <v>45698</v>
      </c>
      <c r="C18728" s="1" t="n">
        <v>45810</v>
      </c>
      <c r="D18728" t="inlineStr">
        <is>
          <t>VÄRMLANDS LÄN</t>
        </is>
      </c>
      <c r="E18728" t="inlineStr">
        <is>
          <t>ÅRJÄNG</t>
        </is>
      </c>
      <c r="G18728" t="n">
        <v>3.6</v>
      </c>
      <c r="H18728" t="n">
        <v>0</v>
      </c>
      <c r="I18728" t="n">
        <v>0</v>
      </c>
      <c r="J18728" t="n">
        <v>0</v>
      </c>
      <c r="K18728" t="n">
        <v>0</v>
      </c>
      <c r="L18728" t="n">
        <v>0</v>
      </c>
      <c r="M18728" t="n">
        <v>0</v>
      </c>
      <c r="N18728" t="n">
        <v>0</v>
      </c>
      <c r="O18728" t="n">
        <v>0</v>
      </c>
      <c r="P18728" t="n">
        <v>0</v>
      </c>
      <c r="Q18728" t="n">
        <v>0</v>
      </c>
      <c r="R18728" s="2" t="inlineStr"/>
    </row>
    <row r="18729" ht="15" customHeight="1">
      <c r="A18729" t="inlineStr">
        <is>
          <t>A 6113-2025</t>
        </is>
      </c>
      <c r="B18729" s="1" t="n">
        <v>45698</v>
      </c>
      <c r="C18729" s="1" t="n">
        <v>45810</v>
      </c>
      <c r="D18729" t="inlineStr">
        <is>
          <t>VÄRMLANDS LÄN</t>
        </is>
      </c>
      <c r="E18729" t="inlineStr">
        <is>
          <t>KRISTINEHAMN</t>
        </is>
      </c>
      <c r="G18729" t="n">
        <v>3.8</v>
      </c>
      <c r="H18729" t="n">
        <v>0</v>
      </c>
      <c r="I18729" t="n">
        <v>0</v>
      </c>
      <c r="J18729" t="n">
        <v>0</v>
      </c>
      <c r="K18729" t="n">
        <v>0</v>
      </c>
      <c r="L18729" t="n">
        <v>0</v>
      </c>
      <c r="M18729" t="n">
        <v>0</v>
      </c>
      <c r="N18729" t="n">
        <v>0</v>
      </c>
      <c r="O18729" t="n">
        <v>0</v>
      </c>
      <c r="P18729" t="n">
        <v>0</v>
      </c>
      <c r="Q18729" t="n">
        <v>0</v>
      </c>
      <c r="R18729" s="2" t="inlineStr"/>
    </row>
    <row r="18730" ht="15" customHeight="1">
      <c r="A18730" t="inlineStr">
        <is>
          <t>A 6109-2025</t>
        </is>
      </c>
      <c r="B18730" s="1" t="n">
        <v>45698</v>
      </c>
      <c r="C18730" s="1" t="n">
        <v>45810</v>
      </c>
      <c r="D18730" t="inlineStr">
        <is>
          <t>VÄRMLANDS LÄN</t>
        </is>
      </c>
      <c r="E18730" t="inlineStr">
        <is>
          <t>ÅRJÄNG</t>
        </is>
      </c>
      <c r="G18730" t="n">
        <v>4.1</v>
      </c>
      <c r="H18730" t="n">
        <v>0</v>
      </c>
      <c r="I18730" t="n">
        <v>0</v>
      </c>
      <c r="J18730" t="n">
        <v>0</v>
      </c>
      <c r="K18730" t="n">
        <v>0</v>
      </c>
      <c r="L18730" t="n">
        <v>0</v>
      </c>
      <c r="M18730" t="n">
        <v>0</v>
      </c>
      <c r="N18730" t="n">
        <v>0</v>
      </c>
      <c r="O18730" t="n">
        <v>0</v>
      </c>
      <c r="P18730" t="n">
        <v>0</v>
      </c>
      <c r="Q18730" t="n">
        <v>0</v>
      </c>
      <c r="R18730" s="2" t="inlineStr"/>
    </row>
    <row r="18731" ht="15" customHeight="1">
      <c r="A18731" t="inlineStr">
        <is>
          <t>A 6227-2025</t>
        </is>
      </c>
      <c r="B18731" s="1" t="n">
        <v>45698</v>
      </c>
      <c r="C18731" s="1" t="n">
        <v>45810</v>
      </c>
      <c r="D18731" t="inlineStr">
        <is>
          <t>VÄRMLANDS LÄN</t>
        </is>
      </c>
      <c r="E18731" t="inlineStr">
        <is>
          <t>ARVIKA</t>
        </is>
      </c>
      <c r="G18731" t="n">
        <v>1</v>
      </c>
      <c r="H18731" t="n">
        <v>0</v>
      </c>
      <c r="I18731" t="n">
        <v>0</v>
      </c>
      <c r="J18731" t="n">
        <v>0</v>
      </c>
      <c r="K18731" t="n">
        <v>0</v>
      </c>
      <c r="L18731" t="n">
        <v>0</v>
      </c>
      <c r="M18731" t="n">
        <v>0</v>
      </c>
      <c r="N18731" t="n">
        <v>0</v>
      </c>
      <c r="O18731" t="n">
        <v>0</v>
      </c>
      <c r="P18731" t="n">
        <v>0</v>
      </c>
      <c r="Q18731" t="n">
        <v>0</v>
      </c>
      <c r="R18731" s="2" t="inlineStr"/>
    </row>
    <row r="18732" ht="15" customHeight="1">
      <c r="A18732" t="inlineStr">
        <is>
          <t>A 6131-2025</t>
        </is>
      </c>
      <c r="B18732" s="1" t="n">
        <v>45698</v>
      </c>
      <c r="C18732" s="1" t="n">
        <v>45810</v>
      </c>
      <c r="D18732" t="inlineStr">
        <is>
          <t>VÄRMLANDS LÄN</t>
        </is>
      </c>
      <c r="E18732" t="inlineStr">
        <is>
          <t>EDA</t>
        </is>
      </c>
      <c r="G18732" t="n">
        <v>0.8</v>
      </c>
      <c r="H18732" t="n">
        <v>0</v>
      </c>
      <c r="I18732" t="n">
        <v>0</v>
      </c>
      <c r="J18732" t="n">
        <v>0</v>
      </c>
      <c r="K18732" t="n">
        <v>0</v>
      </c>
      <c r="L18732" t="n">
        <v>0</v>
      </c>
      <c r="M18732" t="n">
        <v>0</v>
      </c>
      <c r="N18732" t="n">
        <v>0</v>
      </c>
      <c r="O18732" t="n">
        <v>0</v>
      </c>
      <c r="P18732" t="n">
        <v>0</v>
      </c>
      <c r="Q18732" t="n">
        <v>0</v>
      </c>
      <c r="R18732" s="2" t="inlineStr"/>
    </row>
    <row r="18733" ht="15" customHeight="1">
      <c r="A18733" t="inlineStr">
        <is>
          <t>A 6110-2025</t>
        </is>
      </c>
      <c r="B18733" s="1" t="n">
        <v>45698</v>
      </c>
      <c r="C18733" s="1" t="n">
        <v>45810</v>
      </c>
      <c r="D18733" t="inlineStr">
        <is>
          <t>VÄRMLANDS LÄN</t>
        </is>
      </c>
      <c r="E18733" t="inlineStr">
        <is>
          <t>ARVIKA</t>
        </is>
      </c>
      <c r="F18733" t="inlineStr">
        <is>
          <t>Bergvik skog väst AB</t>
        </is>
      </c>
      <c r="G18733" t="n">
        <v>2.6</v>
      </c>
      <c r="H18733" t="n">
        <v>0</v>
      </c>
      <c r="I18733" t="n">
        <v>0</v>
      </c>
      <c r="J18733" t="n">
        <v>0</v>
      </c>
      <c r="K18733" t="n">
        <v>0</v>
      </c>
      <c r="L18733" t="n">
        <v>0</v>
      </c>
      <c r="M18733" t="n">
        <v>0</v>
      </c>
      <c r="N18733" t="n">
        <v>0</v>
      </c>
      <c r="O18733" t="n">
        <v>0</v>
      </c>
      <c r="P18733" t="n">
        <v>0</v>
      </c>
      <c r="Q18733" t="n">
        <v>0</v>
      </c>
      <c r="R18733" s="2" t="inlineStr"/>
    </row>
    <row r="18734" ht="15" customHeight="1">
      <c r="A18734" t="inlineStr">
        <is>
          <t>A 6111-2025</t>
        </is>
      </c>
      <c r="B18734" s="1" t="n">
        <v>45698</v>
      </c>
      <c r="C18734" s="1" t="n">
        <v>45810</v>
      </c>
      <c r="D18734" t="inlineStr">
        <is>
          <t>VÄRMLANDS LÄN</t>
        </is>
      </c>
      <c r="E18734" t="inlineStr">
        <is>
          <t>ÅRJÄNG</t>
        </is>
      </c>
      <c r="G18734" t="n">
        <v>5.9</v>
      </c>
      <c r="H18734" t="n">
        <v>0</v>
      </c>
      <c r="I18734" t="n">
        <v>0</v>
      </c>
      <c r="J18734" t="n">
        <v>0</v>
      </c>
      <c r="K18734" t="n">
        <v>0</v>
      </c>
      <c r="L18734" t="n">
        <v>0</v>
      </c>
      <c r="M18734" t="n">
        <v>0</v>
      </c>
      <c r="N18734" t="n">
        <v>0</v>
      </c>
      <c r="O18734" t="n">
        <v>0</v>
      </c>
      <c r="P18734" t="n">
        <v>0</v>
      </c>
      <c r="Q18734" t="n">
        <v>0</v>
      </c>
      <c r="R18734" s="2" t="inlineStr"/>
    </row>
    <row r="18735" ht="15" customHeight="1">
      <c r="A18735" t="inlineStr">
        <is>
          <t>A 6503-2025</t>
        </is>
      </c>
      <c r="B18735" s="1" t="n">
        <v>45699</v>
      </c>
      <c r="C18735" s="1" t="n">
        <v>45810</v>
      </c>
      <c r="D18735" t="inlineStr">
        <is>
          <t>VÄRMLANDS LÄN</t>
        </is>
      </c>
      <c r="E18735" t="inlineStr">
        <is>
          <t>KIL</t>
        </is>
      </c>
      <c r="G18735" t="n">
        <v>1.6</v>
      </c>
      <c r="H18735" t="n">
        <v>0</v>
      </c>
      <c r="I18735" t="n">
        <v>0</v>
      </c>
      <c r="J18735" t="n">
        <v>0</v>
      </c>
      <c r="K18735" t="n">
        <v>0</v>
      </c>
      <c r="L18735" t="n">
        <v>0</v>
      </c>
      <c r="M18735" t="n">
        <v>0</v>
      </c>
      <c r="N18735" t="n">
        <v>0</v>
      </c>
      <c r="O18735" t="n">
        <v>0</v>
      </c>
      <c r="P18735" t="n">
        <v>0</v>
      </c>
      <c r="Q18735" t="n">
        <v>0</v>
      </c>
      <c r="R18735" s="2" t="inlineStr"/>
    </row>
    <row r="18736" ht="15" customHeight="1">
      <c r="A18736" t="inlineStr">
        <is>
          <t>A 6529-2025</t>
        </is>
      </c>
      <c r="B18736" s="1" t="n">
        <v>45699</v>
      </c>
      <c r="C18736" s="1" t="n">
        <v>45810</v>
      </c>
      <c r="D18736" t="inlineStr">
        <is>
          <t>VÄRMLANDS LÄN</t>
        </is>
      </c>
      <c r="E18736" t="inlineStr">
        <is>
          <t>TORSBY</t>
        </is>
      </c>
      <c r="F18736" t="inlineStr">
        <is>
          <t>Kommuner</t>
        </is>
      </c>
      <c r="G18736" t="n">
        <v>0.2</v>
      </c>
      <c r="H18736" t="n">
        <v>0</v>
      </c>
      <c r="I18736" t="n">
        <v>0</v>
      </c>
      <c r="J18736" t="n">
        <v>0</v>
      </c>
      <c r="K18736" t="n">
        <v>0</v>
      </c>
      <c r="L18736" t="n">
        <v>0</v>
      </c>
      <c r="M18736" t="n">
        <v>0</v>
      </c>
      <c r="N18736" t="n">
        <v>0</v>
      </c>
      <c r="O18736" t="n">
        <v>0</v>
      </c>
      <c r="P18736" t="n">
        <v>0</v>
      </c>
      <c r="Q18736" t="n">
        <v>0</v>
      </c>
      <c r="R18736" s="2" t="inlineStr"/>
    </row>
    <row r="18737" ht="15" customHeight="1">
      <c r="A18737" t="inlineStr">
        <is>
          <t>A 6427-2025</t>
        </is>
      </c>
      <c r="B18737" s="1" t="n">
        <v>45699</v>
      </c>
      <c r="C18737" s="1" t="n">
        <v>45810</v>
      </c>
      <c r="D18737" t="inlineStr">
        <is>
          <t>VÄRMLANDS LÄN</t>
        </is>
      </c>
      <c r="E18737" t="inlineStr">
        <is>
          <t>SÄFFLE</t>
        </is>
      </c>
      <c r="G18737" t="n">
        <v>1.5</v>
      </c>
      <c r="H18737" t="n">
        <v>0</v>
      </c>
      <c r="I18737" t="n">
        <v>0</v>
      </c>
      <c r="J18737" t="n">
        <v>0</v>
      </c>
      <c r="K18737" t="n">
        <v>0</v>
      </c>
      <c r="L18737" t="n">
        <v>0</v>
      </c>
      <c r="M18737" t="n">
        <v>0</v>
      </c>
      <c r="N18737" t="n">
        <v>0</v>
      </c>
      <c r="O18737" t="n">
        <v>0</v>
      </c>
      <c r="P18737" t="n">
        <v>0</v>
      </c>
      <c r="Q18737" t="n">
        <v>0</v>
      </c>
      <c r="R18737" s="2" t="inlineStr"/>
    </row>
    <row r="18738" ht="15" customHeight="1">
      <c r="A18738" t="inlineStr">
        <is>
          <t>A 6447-2025</t>
        </is>
      </c>
      <c r="B18738" s="1" t="n">
        <v>45699</v>
      </c>
      <c r="C18738" s="1" t="n">
        <v>45810</v>
      </c>
      <c r="D18738" t="inlineStr">
        <is>
          <t>VÄRMLANDS LÄN</t>
        </is>
      </c>
      <c r="E18738" t="inlineStr">
        <is>
          <t>SÄFFLE</t>
        </is>
      </c>
      <c r="F18738" t="inlineStr">
        <is>
          <t>Bergvik skog väst AB</t>
        </is>
      </c>
      <c r="G18738" t="n">
        <v>3.9</v>
      </c>
      <c r="H18738" t="n">
        <v>0</v>
      </c>
      <c r="I18738" t="n">
        <v>0</v>
      </c>
      <c r="J18738" t="n">
        <v>0</v>
      </c>
      <c r="K18738" t="n">
        <v>0</v>
      </c>
      <c r="L18738" t="n">
        <v>0</v>
      </c>
      <c r="M18738" t="n">
        <v>0</v>
      </c>
      <c r="N18738" t="n">
        <v>0</v>
      </c>
      <c r="O18738" t="n">
        <v>0</v>
      </c>
      <c r="P18738" t="n">
        <v>0</v>
      </c>
      <c r="Q18738" t="n">
        <v>0</v>
      </c>
      <c r="R18738" s="2" t="inlineStr"/>
    </row>
    <row r="18739" ht="15" customHeight="1">
      <c r="A18739" t="inlineStr">
        <is>
          <t>A 6478-2025</t>
        </is>
      </c>
      <c r="B18739" s="1" t="n">
        <v>45699</v>
      </c>
      <c r="C18739" s="1" t="n">
        <v>45810</v>
      </c>
      <c r="D18739" t="inlineStr">
        <is>
          <t>VÄRMLANDS LÄN</t>
        </is>
      </c>
      <c r="E18739" t="inlineStr">
        <is>
          <t>HAGFORS</t>
        </is>
      </c>
      <c r="G18739" t="n">
        <v>1.4</v>
      </c>
      <c r="H18739" t="n">
        <v>0</v>
      </c>
      <c r="I18739" t="n">
        <v>0</v>
      </c>
      <c r="J18739" t="n">
        <v>0</v>
      </c>
      <c r="K18739" t="n">
        <v>0</v>
      </c>
      <c r="L18739" t="n">
        <v>0</v>
      </c>
      <c r="M18739" t="n">
        <v>0</v>
      </c>
      <c r="N18739" t="n">
        <v>0</v>
      </c>
      <c r="O18739" t="n">
        <v>0</v>
      </c>
      <c r="P18739" t="n">
        <v>0</v>
      </c>
      <c r="Q18739" t="n">
        <v>0</v>
      </c>
      <c r="R18739" s="2" t="inlineStr"/>
    </row>
    <row r="18740" ht="15" customHeight="1">
      <c r="A18740" t="inlineStr">
        <is>
          <t>A 6504-2025</t>
        </is>
      </c>
      <c r="B18740" s="1" t="n">
        <v>45699</v>
      </c>
      <c r="C18740" s="1" t="n">
        <v>45810</v>
      </c>
      <c r="D18740" t="inlineStr">
        <is>
          <t>VÄRMLANDS LÄN</t>
        </is>
      </c>
      <c r="E18740" t="inlineStr">
        <is>
          <t>SUNNE</t>
        </is>
      </c>
      <c r="G18740" t="n">
        <v>2.3</v>
      </c>
      <c r="H18740" t="n">
        <v>0</v>
      </c>
      <c r="I18740" t="n">
        <v>0</v>
      </c>
      <c r="J18740" t="n">
        <v>0</v>
      </c>
      <c r="K18740" t="n">
        <v>0</v>
      </c>
      <c r="L18740" t="n">
        <v>0</v>
      </c>
      <c r="M18740" t="n">
        <v>0</v>
      </c>
      <c r="N18740" t="n">
        <v>0</v>
      </c>
      <c r="O18740" t="n">
        <v>0</v>
      </c>
      <c r="P18740" t="n">
        <v>0</v>
      </c>
      <c r="Q18740" t="n">
        <v>0</v>
      </c>
      <c r="R18740" s="2" t="inlineStr"/>
    </row>
    <row r="18741" ht="15" customHeight="1">
      <c r="A18741" t="inlineStr">
        <is>
          <t>A 6532-2025</t>
        </is>
      </c>
      <c r="B18741" s="1" t="n">
        <v>45699</v>
      </c>
      <c r="C18741" s="1" t="n">
        <v>45810</v>
      </c>
      <c r="D18741" t="inlineStr">
        <is>
          <t>VÄRMLANDS LÄN</t>
        </is>
      </c>
      <c r="E18741" t="inlineStr">
        <is>
          <t>TORSBY</t>
        </is>
      </c>
      <c r="F18741" t="inlineStr">
        <is>
          <t>Kommuner</t>
        </is>
      </c>
      <c r="G18741" t="n">
        <v>0.3</v>
      </c>
      <c r="H18741" t="n">
        <v>0</v>
      </c>
      <c r="I18741" t="n">
        <v>0</v>
      </c>
      <c r="J18741" t="n">
        <v>0</v>
      </c>
      <c r="K18741" t="n">
        <v>0</v>
      </c>
      <c r="L18741" t="n">
        <v>0</v>
      </c>
      <c r="M18741" t="n">
        <v>0</v>
      </c>
      <c r="N18741" t="n">
        <v>0</v>
      </c>
      <c r="O18741" t="n">
        <v>0</v>
      </c>
      <c r="P18741" t="n">
        <v>0</v>
      </c>
      <c r="Q18741" t="n">
        <v>0</v>
      </c>
      <c r="R18741" s="2" t="inlineStr"/>
    </row>
    <row r="18742" ht="15" customHeight="1">
      <c r="A18742" t="inlineStr">
        <is>
          <t>A 6551-2025</t>
        </is>
      </c>
      <c r="B18742" s="1" t="n">
        <v>45699</v>
      </c>
      <c r="C18742" s="1" t="n">
        <v>45810</v>
      </c>
      <c r="D18742" t="inlineStr">
        <is>
          <t>VÄRMLANDS LÄN</t>
        </is>
      </c>
      <c r="E18742" t="inlineStr">
        <is>
          <t>ÅRJÄNG</t>
        </is>
      </c>
      <c r="G18742" t="n">
        <v>0.9</v>
      </c>
      <c r="H18742" t="n">
        <v>0</v>
      </c>
      <c r="I18742" t="n">
        <v>0</v>
      </c>
      <c r="J18742" t="n">
        <v>0</v>
      </c>
      <c r="K18742" t="n">
        <v>0</v>
      </c>
      <c r="L18742" t="n">
        <v>0</v>
      </c>
      <c r="M18742" t="n">
        <v>0</v>
      </c>
      <c r="N18742" t="n">
        <v>0</v>
      </c>
      <c r="O18742" t="n">
        <v>0</v>
      </c>
      <c r="P18742" t="n">
        <v>0</v>
      </c>
      <c r="Q18742" t="n">
        <v>0</v>
      </c>
      <c r="R18742" s="2" t="inlineStr"/>
    </row>
    <row r="18743" ht="15" customHeight="1">
      <c r="A18743" t="inlineStr">
        <is>
          <t>A 6434-2025</t>
        </is>
      </c>
      <c r="B18743" s="1" t="n">
        <v>45699</v>
      </c>
      <c r="C18743" s="1" t="n">
        <v>45810</v>
      </c>
      <c r="D18743" t="inlineStr">
        <is>
          <t>VÄRMLANDS LÄN</t>
        </is>
      </c>
      <c r="E18743" t="inlineStr">
        <is>
          <t>SÄFFLE</t>
        </is>
      </c>
      <c r="F18743" t="inlineStr">
        <is>
          <t>Bergvik skog väst AB</t>
        </is>
      </c>
      <c r="G18743" t="n">
        <v>0.5</v>
      </c>
      <c r="H18743" t="n">
        <v>0</v>
      </c>
      <c r="I18743" t="n">
        <v>0</v>
      </c>
      <c r="J18743" t="n">
        <v>0</v>
      </c>
      <c r="K18743" t="n">
        <v>0</v>
      </c>
      <c r="L18743" t="n">
        <v>0</v>
      </c>
      <c r="M18743" t="n">
        <v>0</v>
      </c>
      <c r="N18743" t="n">
        <v>0</v>
      </c>
      <c r="O18743" t="n">
        <v>0</v>
      </c>
      <c r="P18743" t="n">
        <v>0</v>
      </c>
      <c r="Q18743" t="n">
        <v>0</v>
      </c>
      <c r="R18743" s="2" t="inlineStr"/>
    </row>
    <row r="18744" ht="15" customHeight="1">
      <c r="A18744" t="inlineStr">
        <is>
          <t>A 6430-2025</t>
        </is>
      </c>
      <c r="B18744" s="1" t="n">
        <v>45699</v>
      </c>
      <c r="C18744" s="1" t="n">
        <v>45810</v>
      </c>
      <c r="D18744" t="inlineStr">
        <is>
          <t>VÄRMLANDS LÄN</t>
        </is>
      </c>
      <c r="E18744" t="inlineStr">
        <is>
          <t>KRISTINEHAMN</t>
        </is>
      </c>
      <c r="G18744" t="n">
        <v>1.8</v>
      </c>
      <c r="H18744" t="n">
        <v>0</v>
      </c>
      <c r="I18744" t="n">
        <v>0</v>
      </c>
      <c r="J18744" t="n">
        <v>0</v>
      </c>
      <c r="K18744" t="n">
        <v>0</v>
      </c>
      <c r="L18744" t="n">
        <v>0</v>
      </c>
      <c r="M18744" t="n">
        <v>0</v>
      </c>
      <c r="N18744" t="n">
        <v>0</v>
      </c>
      <c r="O18744" t="n">
        <v>0</v>
      </c>
      <c r="P18744" t="n">
        <v>0</v>
      </c>
      <c r="Q18744" t="n">
        <v>0</v>
      </c>
      <c r="R18744" s="2" t="inlineStr"/>
    </row>
    <row r="18745" ht="15" customHeight="1">
      <c r="A18745" t="inlineStr">
        <is>
          <t>A 6345-2025</t>
        </is>
      </c>
      <c r="B18745" s="1" t="n">
        <v>45699</v>
      </c>
      <c r="C18745" s="1" t="n">
        <v>45810</v>
      </c>
      <c r="D18745" t="inlineStr">
        <is>
          <t>VÄRMLANDS LÄN</t>
        </is>
      </c>
      <c r="E18745" t="inlineStr">
        <is>
          <t>ÅRJÄNG</t>
        </is>
      </c>
      <c r="G18745" t="n">
        <v>1.5</v>
      </c>
      <c r="H18745" t="n">
        <v>0</v>
      </c>
      <c r="I18745" t="n">
        <v>0</v>
      </c>
      <c r="J18745" t="n">
        <v>0</v>
      </c>
      <c r="K18745" t="n">
        <v>0</v>
      </c>
      <c r="L18745" t="n">
        <v>0</v>
      </c>
      <c r="M18745" t="n">
        <v>0</v>
      </c>
      <c r="N18745" t="n">
        <v>0</v>
      </c>
      <c r="O18745" t="n">
        <v>0</v>
      </c>
      <c r="P18745" t="n">
        <v>0</v>
      </c>
      <c r="Q18745" t="n">
        <v>0</v>
      </c>
      <c r="R18745" s="2" t="inlineStr"/>
    </row>
    <row r="18746" ht="15" customHeight="1">
      <c r="A18746" t="inlineStr">
        <is>
          <t>A 6464-2025</t>
        </is>
      </c>
      <c r="B18746" s="1" t="n">
        <v>45699</v>
      </c>
      <c r="C18746" s="1" t="n">
        <v>45810</v>
      </c>
      <c r="D18746" t="inlineStr">
        <is>
          <t>VÄRMLANDS LÄN</t>
        </is>
      </c>
      <c r="E18746" t="inlineStr">
        <is>
          <t>TORSBY</t>
        </is>
      </c>
      <c r="G18746" t="n">
        <v>0.8</v>
      </c>
      <c r="H18746" t="n">
        <v>0</v>
      </c>
      <c r="I18746" t="n">
        <v>0</v>
      </c>
      <c r="J18746" t="n">
        <v>0</v>
      </c>
      <c r="K18746" t="n">
        <v>0</v>
      </c>
      <c r="L18746" t="n">
        <v>0</v>
      </c>
      <c r="M18746" t="n">
        <v>0</v>
      </c>
      <c r="N18746" t="n">
        <v>0</v>
      </c>
      <c r="O18746" t="n">
        <v>0</v>
      </c>
      <c r="P18746" t="n">
        <v>0</v>
      </c>
      <c r="Q18746" t="n">
        <v>0</v>
      </c>
      <c r="R18746" s="2" t="inlineStr"/>
    </row>
    <row r="18747" ht="15" customHeight="1">
      <c r="A18747" t="inlineStr">
        <is>
          <t>A 6460-2025</t>
        </is>
      </c>
      <c r="B18747" s="1" t="n">
        <v>45699</v>
      </c>
      <c r="C18747" s="1" t="n">
        <v>45810</v>
      </c>
      <c r="D18747" t="inlineStr">
        <is>
          <t>VÄRMLANDS LÄN</t>
        </is>
      </c>
      <c r="E18747" t="inlineStr">
        <is>
          <t>TORSBY</t>
        </is>
      </c>
      <c r="G18747" t="n">
        <v>3.7</v>
      </c>
      <c r="H18747" t="n">
        <v>0</v>
      </c>
      <c r="I18747" t="n">
        <v>0</v>
      </c>
      <c r="J18747" t="n">
        <v>0</v>
      </c>
      <c r="K18747" t="n">
        <v>0</v>
      </c>
      <c r="L18747" t="n">
        <v>0</v>
      </c>
      <c r="M18747" t="n">
        <v>0</v>
      </c>
      <c r="N18747" t="n">
        <v>0</v>
      </c>
      <c r="O18747" t="n">
        <v>0</v>
      </c>
      <c r="P18747" t="n">
        <v>0</v>
      </c>
      <c r="Q18747" t="n">
        <v>0</v>
      </c>
      <c r="R18747" s="2" t="inlineStr"/>
    </row>
    <row r="18748" ht="15" customHeight="1">
      <c r="A18748" t="inlineStr">
        <is>
          <t>A 6448-2025</t>
        </is>
      </c>
      <c r="B18748" s="1" t="n">
        <v>45699</v>
      </c>
      <c r="C18748" s="1" t="n">
        <v>45810</v>
      </c>
      <c r="D18748" t="inlineStr">
        <is>
          <t>VÄRMLANDS LÄN</t>
        </is>
      </c>
      <c r="E18748" t="inlineStr">
        <is>
          <t>TORSBY</t>
        </is>
      </c>
      <c r="G18748" t="n">
        <v>6.4</v>
      </c>
      <c r="H18748" t="n">
        <v>0</v>
      </c>
      <c r="I18748" t="n">
        <v>0</v>
      </c>
      <c r="J18748" t="n">
        <v>0</v>
      </c>
      <c r="K18748" t="n">
        <v>0</v>
      </c>
      <c r="L18748" t="n">
        <v>0</v>
      </c>
      <c r="M18748" t="n">
        <v>0</v>
      </c>
      <c r="N18748" t="n">
        <v>0</v>
      </c>
      <c r="O18748" t="n">
        <v>0</v>
      </c>
      <c r="P18748" t="n">
        <v>0</v>
      </c>
      <c r="Q18748" t="n">
        <v>0</v>
      </c>
      <c r="R18748" s="2" t="inlineStr"/>
    </row>
    <row r="18749" ht="15" customHeight="1">
      <c r="A18749" t="inlineStr">
        <is>
          <t>A 6436-2025</t>
        </is>
      </c>
      <c r="B18749" s="1" t="n">
        <v>45699</v>
      </c>
      <c r="C18749" s="1" t="n">
        <v>45810</v>
      </c>
      <c r="D18749" t="inlineStr">
        <is>
          <t>VÄRMLANDS LÄN</t>
        </is>
      </c>
      <c r="E18749" t="inlineStr">
        <is>
          <t>KRISTINEHAMN</t>
        </is>
      </c>
      <c r="G18749" t="n">
        <v>6.3</v>
      </c>
      <c r="H18749" t="n">
        <v>0</v>
      </c>
      <c r="I18749" t="n">
        <v>0</v>
      </c>
      <c r="J18749" t="n">
        <v>0</v>
      </c>
      <c r="K18749" t="n">
        <v>0</v>
      </c>
      <c r="L18749" t="n">
        <v>0</v>
      </c>
      <c r="M18749" t="n">
        <v>0</v>
      </c>
      <c r="N18749" t="n">
        <v>0</v>
      </c>
      <c r="O18749" t="n">
        <v>0</v>
      </c>
      <c r="P18749" t="n">
        <v>0</v>
      </c>
      <c r="Q18749" t="n">
        <v>0</v>
      </c>
      <c r="R18749" s="2" t="inlineStr"/>
    </row>
    <row r="18750" ht="15" customHeight="1">
      <c r="A18750" t="inlineStr">
        <is>
          <t>A 6432-2025</t>
        </is>
      </c>
      <c r="B18750" s="1" t="n">
        <v>45699</v>
      </c>
      <c r="C18750" s="1" t="n">
        <v>45810</v>
      </c>
      <c r="D18750" t="inlineStr">
        <is>
          <t>VÄRMLANDS LÄN</t>
        </is>
      </c>
      <c r="E18750" t="inlineStr">
        <is>
          <t>KRISTINEHAMN</t>
        </is>
      </c>
      <c r="G18750" t="n">
        <v>1.2</v>
      </c>
      <c r="H18750" t="n">
        <v>0</v>
      </c>
      <c r="I18750" t="n">
        <v>0</v>
      </c>
      <c r="J18750" t="n">
        <v>0</v>
      </c>
      <c r="K18750" t="n">
        <v>0</v>
      </c>
      <c r="L18750" t="n">
        <v>0</v>
      </c>
      <c r="M18750" t="n">
        <v>0</v>
      </c>
      <c r="N18750" t="n">
        <v>0</v>
      </c>
      <c r="O18750" t="n">
        <v>0</v>
      </c>
      <c r="P18750" t="n">
        <v>0</v>
      </c>
      <c r="Q18750" t="n">
        <v>0</v>
      </c>
      <c r="R18750" s="2" t="inlineStr"/>
    </row>
    <row r="18751" ht="15" customHeight="1">
      <c r="A18751" t="inlineStr">
        <is>
          <t>A 6577-2025</t>
        </is>
      </c>
      <c r="B18751" s="1" t="n">
        <v>45699</v>
      </c>
      <c r="C18751" s="1" t="n">
        <v>45810</v>
      </c>
      <c r="D18751" t="inlineStr">
        <is>
          <t>VÄRMLANDS LÄN</t>
        </is>
      </c>
      <c r="E18751" t="inlineStr">
        <is>
          <t>ÅRJÄNG</t>
        </is>
      </c>
      <c r="G18751" t="n">
        <v>1.2</v>
      </c>
      <c r="H18751" t="n">
        <v>0</v>
      </c>
      <c r="I18751" t="n">
        <v>0</v>
      </c>
      <c r="J18751" t="n">
        <v>0</v>
      </c>
      <c r="K18751" t="n">
        <v>0</v>
      </c>
      <c r="L18751" t="n">
        <v>0</v>
      </c>
      <c r="M18751" t="n">
        <v>0</v>
      </c>
      <c r="N18751" t="n">
        <v>0</v>
      </c>
      <c r="O18751" t="n">
        <v>0</v>
      </c>
      <c r="P18751" t="n">
        <v>0</v>
      </c>
      <c r="Q18751" t="n">
        <v>0</v>
      </c>
      <c r="R18751" s="2" t="inlineStr"/>
    </row>
    <row r="18752" ht="15" customHeight="1">
      <c r="A18752" t="inlineStr">
        <is>
          <t>A 6481-2025</t>
        </is>
      </c>
      <c r="B18752" s="1" t="n">
        <v>45699</v>
      </c>
      <c r="C18752" s="1" t="n">
        <v>45810</v>
      </c>
      <c r="D18752" t="inlineStr">
        <is>
          <t>VÄRMLANDS LÄN</t>
        </is>
      </c>
      <c r="E18752" t="inlineStr">
        <is>
          <t>SUNNE</t>
        </is>
      </c>
      <c r="G18752" t="n">
        <v>1.8</v>
      </c>
      <c r="H18752" t="n">
        <v>0</v>
      </c>
      <c r="I18752" t="n">
        <v>0</v>
      </c>
      <c r="J18752" t="n">
        <v>0</v>
      </c>
      <c r="K18752" t="n">
        <v>0</v>
      </c>
      <c r="L18752" t="n">
        <v>0</v>
      </c>
      <c r="M18752" t="n">
        <v>0</v>
      </c>
      <c r="N18752" t="n">
        <v>0</v>
      </c>
      <c r="O18752" t="n">
        <v>0</v>
      </c>
      <c r="P18752" t="n">
        <v>0</v>
      </c>
      <c r="Q18752" t="n">
        <v>0</v>
      </c>
      <c r="R18752" s="2" t="inlineStr"/>
    </row>
    <row r="18753" ht="15" customHeight="1">
      <c r="A18753" t="inlineStr">
        <is>
          <t>A 6534-2025</t>
        </is>
      </c>
      <c r="B18753" s="1" t="n">
        <v>45699</v>
      </c>
      <c r="C18753" s="1" t="n">
        <v>45810</v>
      </c>
      <c r="D18753" t="inlineStr">
        <is>
          <t>VÄRMLANDS LÄN</t>
        </is>
      </c>
      <c r="E18753" t="inlineStr">
        <is>
          <t>TORSBY</t>
        </is>
      </c>
      <c r="F18753" t="inlineStr">
        <is>
          <t>Kommuner</t>
        </is>
      </c>
      <c r="G18753" t="n">
        <v>0.1</v>
      </c>
      <c r="H18753" t="n">
        <v>0</v>
      </c>
      <c r="I18753" t="n">
        <v>0</v>
      </c>
      <c r="J18753" t="n">
        <v>0</v>
      </c>
      <c r="K18753" t="n">
        <v>0</v>
      </c>
      <c r="L18753" t="n">
        <v>0</v>
      </c>
      <c r="M18753" t="n">
        <v>0</v>
      </c>
      <c r="N18753" t="n">
        <v>0</v>
      </c>
      <c r="O18753" t="n">
        <v>0</v>
      </c>
      <c r="P18753" t="n">
        <v>0</v>
      </c>
      <c r="Q18753" t="n">
        <v>0</v>
      </c>
      <c r="R18753" s="2" t="inlineStr"/>
    </row>
    <row r="18754" ht="15" customHeight="1">
      <c r="A18754" t="inlineStr">
        <is>
          <t>A 6559-2025</t>
        </is>
      </c>
      <c r="B18754" s="1" t="n">
        <v>45699</v>
      </c>
      <c r="C18754" s="1" t="n">
        <v>45810</v>
      </c>
      <c r="D18754" t="inlineStr">
        <is>
          <t>VÄRMLANDS LÄN</t>
        </is>
      </c>
      <c r="E18754" t="inlineStr">
        <is>
          <t>ÅRJÄNG</t>
        </is>
      </c>
      <c r="G18754" t="n">
        <v>0.7</v>
      </c>
      <c r="H18754" t="n">
        <v>0</v>
      </c>
      <c r="I18754" t="n">
        <v>0</v>
      </c>
      <c r="J18754" t="n">
        <v>0</v>
      </c>
      <c r="K18754" t="n">
        <v>0</v>
      </c>
      <c r="L18754" t="n">
        <v>0</v>
      </c>
      <c r="M18754" t="n">
        <v>0</v>
      </c>
      <c r="N18754" t="n">
        <v>0</v>
      </c>
      <c r="O18754" t="n">
        <v>0</v>
      </c>
      <c r="P18754" t="n">
        <v>0</v>
      </c>
      <c r="Q18754" t="n">
        <v>0</v>
      </c>
      <c r="R18754" s="2" t="inlineStr"/>
    </row>
    <row r="18755" ht="15" customHeight="1">
      <c r="A18755" t="inlineStr">
        <is>
          <t>A 6579-2025</t>
        </is>
      </c>
      <c r="B18755" s="1" t="n">
        <v>45699</v>
      </c>
      <c r="C18755" s="1" t="n">
        <v>45810</v>
      </c>
      <c r="D18755" t="inlineStr">
        <is>
          <t>VÄRMLANDS LÄN</t>
        </is>
      </c>
      <c r="E18755" t="inlineStr">
        <is>
          <t>MUNKFORS</t>
        </is>
      </c>
      <c r="F18755" t="inlineStr">
        <is>
          <t>Kommuner</t>
        </is>
      </c>
      <c r="G18755" t="n">
        <v>1.4</v>
      </c>
      <c r="H18755" t="n">
        <v>0</v>
      </c>
      <c r="I18755" t="n">
        <v>0</v>
      </c>
      <c r="J18755" t="n">
        <v>0</v>
      </c>
      <c r="K18755" t="n">
        <v>0</v>
      </c>
      <c r="L18755" t="n">
        <v>0</v>
      </c>
      <c r="M18755" t="n">
        <v>0</v>
      </c>
      <c r="N18755" t="n">
        <v>0</v>
      </c>
      <c r="O18755" t="n">
        <v>0</v>
      </c>
      <c r="P18755" t="n">
        <v>0</v>
      </c>
      <c r="Q18755" t="n">
        <v>0</v>
      </c>
      <c r="R18755" s="2" t="inlineStr"/>
    </row>
    <row r="18756" ht="15" customHeight="1">
      <c r="A18756" t="inlineStr">
        <is>
          <t>A 6713-2025</t>
        </is>
      </c>
      <c r="B18756" s="1" t="n">
        <v>45700</v>
      </c>
      <c r="C18756" s="1" t="n">
        <v>45810</v>
      </c>
      <c r="D18756" t="inlineStr">
        <is>
          <t>VÄRMLANDS LÄN</t>
        </is>
      </c>
      <c r="E18756" t="inlineStr">
        <is>
          <t>GRUMS</t>
        </is>
      </c>
      <c r="F18756" t="inlineStr">
        <is>
          <t>Bergvik skog väst AB</t>
        </is>
      </c>
      <c r="G18756" t="n">
        <v>1.8</v>
      </c>
      <c r="H18756" t="n">
        <v>0</v>
      </c>
      <c r="I18756" t="n">
        <v>0</v>
      </c>
      <c r="J18756" t="n">
        <v>0</v>
      </c>
      <c r="K18756" t="n">
        <v>0</v>
      </c>
      <c r="L18756" t="n">
        <v>0</v>
      </c>
      <c r="M18756" t="n">
        <v>0</v>
      </c>
      <c r="N18756" t="n">
        <v>0</v>
      </c>
      <c r="O18756" t="n">
        <v>0</v>
      </c>
      <c r="P18756" t="n">
        <v>0</v>
      </c>
      <c r="Q18756" t="n">
        <v>0</v>
      </c>
      <c r="R18756" s="2" t="inlineStr"/>
    </row>
    <row r="18757" ht="15" customHeight="1">
      <c r="A18757" t="inlineStr">
        <is>
          <t>A 6696-2025</t>
        </is>
      </c>
      <c r="B18757" s="1" t="n">
        <v>45700</v>
      </c>
      <c r="C18757" s="1" t="n">
        <v>45810</v>
      </c>
      <c r="D18757" t="inlineStr">
        <is>
          <t>VÄRMLANDS LÄN</t>
        </is>
      </c>
      <c r="E18757" t="inlineStr">
        <is>
          <t>HAGFORS</t>
        </is>
      </c>
      <c r="G18757" t="n">
        <v>0.7</v>
      </c>
      <c r="H18757" t="n">
        <v>0</v>
      </c>
      <c r="I18757" t="n">
        <v>0</v>
      </c>
      <c r="J18757" t="n">
        <v>0</v>
      </c>
      <c r="K18757" t="n">
        <v>0</v>
      </c>
      <c r="L18757" t="n">
        <v>0</v>
      </c>
      <c r="M18757" t="n">
        <v>0</v>
      </c>
      <c r="N18757" t="n">
        <v>0</v>
      </c>
      <c r="O18757" t="n">
        <v>0</v>
      </c>
      <c r="P18757" t="n">
        <v>0</v>
      </c>
      <c r="Q18757" t="n">
        <v>0</v>
      </c>
      <c r="R18757" s="2" t="inlineStr"/>
    </row>
    <row r="18758" ht="15" customHeight="1">
      <c r="A18758" t="inlineStr">
        <is>
          <t>A 6745-2025</t>
        </is>
      </c>
      <c r="B18758" s="1" t="n">
        <v>45700</v>
      </c>
      <c r="C18758" s="1" t="n">
        <v>45810</v>
      </c>
      <c r="D18758" t="inlineStr">
        <is>
          <t>VÄRMLANDS LÄN</t>
        </is>
      </c>
      <c r="E18758" t="inlineStr">
        <is>
          <t>FILIPSTAD</t>
        </is>
      </c>
      <c r="G18758" t="n">
        <v>1.5</v>
      </c>
      <c r="H18758" t="n">
        <v>0</v>
      </c>
      <c r="I18758" t="n">
        <v>0</v>
      </c>
      <c r="J18758" t="n">
        <v>0</v>
      </c>
      <c r="K18758" t="n">
        <v>0</v>
      </c>
      <c r="L18758" t="n">
        <v>0</v>
      </c>
      <c r="M18758" t="n">
        <v>0</v>
      </c>
      <c r="N18758" t="n">
        <v>0</v>
      </c>
      <c r="O18758" t="n">
        <v>0</v>
      </c>
      <c r="P18758" t="n">
        <v>0</v>
      </c>
      <c r="Q18758" t="n">
        <v>0</v>
      </c>
      <c r="R18758" s="2" t="inlineStr"/>
    </row>
    <row r="18759" ht="15" customHeight="1">
      <c r="A18759" t="inlineStr">
        <is>
          <t>A 6636-2025</t>
        </is>
      </c>
      <c r="B18759" s="1" t="n">
        <v>45700</v>
      </c>
      <c r="C18759" s="1" t="n">
        <v>45810</v>
      </c>
      <c r="D18759" t="inlineStr">
        <is>
          <t>VÄRMLANDS LÄN</t>
        </is>
      </c>
      <c r="E18759" t="inlineStr">
        <is>
          <t>KARLSTAD</t>
        </is>
      </c>
      <c r="G18759" t="n">
        <v>4.1</v>
      </c>
      <c r="H18759" t="n">
        <v>0</v>
      </c>
      <c r="I18759" t="n">
        <v>0</v>
      </c>
      <c r="J18759" t="n">
        <v>0</v>
      </c>
      <c r="K18759" t="n">
        <v>0</v>
      </c>
      <c r="L18759" t="n">
        <v>0</v>
      </c>
      <c r="M18759" t="n">
        <v>0</v>
      </c>
      <c r="N18759" t="n">
        <v>0</v>
      </c>
      <c r="O18759" t="n">
        <v>0</v>
      </c>
      <c r="P18759" t="n">
        <v>0</v>
      </c>
      <c r="Q18759" t="n">
        <v>0</v>
      </c>
      <c r="R18759" s="2" t="inlineStr"/>
    </row>
    <row r="18760" ht="15" customHeight="1">
      <c r="A18760" t="inlineStr">
        <is>
          <t>A 6721-2025</t>
        </is>
      </c>
      <c r="B18760" s="1" t="n">
        <v>45700</v>
      </c>
      <c r="C18760" s="1" t="n">
        <v>45810</v>
      </c>
      <c r="D18760" t="inlineStr">
        <is>
          <t>VÄRMLANDS LÄN</t>
        </is>
      </c>
      <c r="E18760" t="inlineStr">
        <is>
          <t>GRUMS</t>
        </is>
      </c>
      <c r="F18760" t="inlineStr">
        <is>
          <t>Bergvik skog väst AB</t>
        </is>
      </c>
      <c r="G18760" t="n">
        <v>5.7</v>
      </c>
      <c r="H18760" t="n">
        <v>0</v>
      </c>
      <c r="I18760" t="n">
        <v>0</v>
      </c>
      <c r="J18760" t="n">
        <v>0</v>
      </c>
      <c r="K18760" t="n">
        <v>0</v>
      </c>
      <c r="L18760" t="n">
        <v>0</v>
      </c>
      <c r="M18760" t="n">
        <v>0</v>
      </c>
      <c r="N18760" t="n">
        <v>0</v>
      </c>
      <c r="O18760" t="n">
        <v>0</v>
      </c>
      <c r="P18760" t="n">
        <v>0</v>
      </c>
      <c r="Q18760" t="n">
        <v>0</v>
      </c>
      <c r="R18760" s="2" t="inlineStr"/>
    </row>
    <row r="18761" ht="15" customHeight="1">
      <c r="A18761" t="inlineStr">
        <is>
          <t>A 6661-2025</t>
        </is>
      </c>
      <c r="B18761" s="1" t="n">
        <v>45700</v>
      </c>
      <c r="C18761" s="1" t="n">
        <v>45810</v>
      </c>
      <c r="D18761" t="inlineStr">
        <is>
          <t>VÄRMLANDS LÄN</t>
        </is>
      </c>
      <c r="E18761" t="inlineStr">
        <is>
          <t>FILIPSTAD</t>
        </is>
      </c>
      <c r="G18761" t="n">
        <v>10.6</v>
      </c>
      <c r="H18761" t="n">
        <v>0</v>
      </c>
      <c r="I18761" t="n">
        <v>0</v>
      </c>
      <c r="J18761" t="n">
        <v>0</v>
      </c>
      <c r="K18761" t="n">
        <v>0</v>
      </c>
      <c r="L18761" t="n">
        <v>0</v>
      </c>
      <c r="M18761" t="n">
        <v>0</v>
      </c>
      <c r="N18761" t="n">
        <v>0</v>
      </c>
      <c r="O18761" t="n">
        <v>0</v>
      </c>
      <c r="P18761" t="n">
        <v>0</v>
      </c>
      <c r="Q18761" t="n">
        <v>0</v>
      </c>
      <c r="R18761" s="2" t="inlineStr"/>
    </row>
    <row r="18762" ht="15" customHeight="1">
      <c r="A18762" t="inlineStr">
        <is>
          <t>A 6653-2025</t>
        </is>
      </c>
      <c r="B18762" s="1" t="n">
        <v>45700</v>
      </c>
      <c r="C18762" s="1" t="n">
        <v>45810</v>
      </c>
      <c r="D18762" t="inlineStr">
        <is>
          <t>VÄRMLANDS LÄN</t>
        </is>
      </c>
      <c r="E18762" t="inlineStr">
        <is>
          <t>TORSBY</t>
        </is>
      </c>
      <c r="G18762" t="n">
        <v>1.3</v>
      </c>
      <c r="H18762" t="n">
        <v>0</v>
      </c>
      <c r="I18762" t="n">
        <v>0</v>
      </c>
      <c r="J18762" t="n">
        <v>0</v>
      </c>
      <c r="K18762" t="n">
        <v>0</v>
      </c>
      <c r="L18762" t="n">
        <v>0</v>
      </c>
      <c r="M18762" t="n">
        <v>0</v>
      </c>
      <c r="N18762" t="n">
        <v>0</v>
      </c>
      <c r="O18762" t="n">
        <v>0</v>
      </c>
      <c r="P18762" t="n">
        <v>0</v>
      </c>
      <c r="Q18762" t="n">
        <v>0</v>
      </c>
      <c r="R18762" s="2" t="inlineStr"/>
    </row>
    <row r="18763" ht="15" customHeight="1">
      <c r="A18763" t="inlineStr">
        <is>
          <t>A 6641-2025</t>
        </is>
      </c>
      <c r="B18763" s="1" t="n">
        <v>45700</v>
      </c>
      <c r="C18763" s="1" t="n">
        <v>45810</v>
      </c>
      <c r="D18763" t="inlineStr">
        <is>
          <t>VÄRMLANDS LÄN</t>
        </is>
      </c>
      <c r="E18763" t="inlineStr">
        <is>
          <t>KARLSTAD</t>
        </is>
      </c>
      <c r="G18763" t="n">
        <v>6.9</v>
      </c>
      <c r="H18763" t="n">
        <v>0</v>
      </c>
      <c r="I18763" t="n">
        <v>0</v>
      </c>
      <c r="J18763" t="n">
        <v>0</v>
      </c>
      <c r="K18763" t="n">
        <v>0</v>
      </c>
      <c r="L18763" t="n">
        <v>0</v>
      </c>
      <c r="M18763" t="n">
        <v>0</v>
      </c>
      <c r="N18763" t="n">
        <v>0</v>
      </c>
      <c r="O18763" t="n">
        <v>0</v>
      </c>
      <c r="P18763" t="n">
        <v>0</v>
      </c>
      <c r="Q18763" t="n">
        <v>0</v>
      </c>
      <c r="R18763" s="2" t="inlineStr"/>
    </row>
    <row r="18764" ht="15" customHeight="1">
      <c r="A18764" t="inlineStr">
        <is>
          <t>A 6633-2025</t>
        </is>
      </c>
      <c r="B18764" s="1" t="n">
        <v>45700</v>
      </c>
      <c r="C18764" s="1" t="n">
        <v>45810</v>
      </c>
      <c r="D18764" t="inlineStr">
        <is>
          <t>VÄRMLANDS LÄN</t>
        </is>
      </c>
      <c r="E18764" t="inlineStr">
        <is>
          <t>GRUMS</t>
        </is>
      </c>
      <c r="G18764" t="n">
        <v>4.1</v>
      </c>
      <c r="H18764" t="n">
        <v>0</v>
      </c>
      <c r="I18764" t="n">
        <v>0</v>
      </c>
      <c r="J18764" t="n">
        <v>0</v>
      </c>
      <c r="K18764" t="n">
        <v>0</v>
      </c>
      <c r="L18764" t="n">
        <v>0</v>
      </c>
      <c r="M18764" t="n">
        <v>0</v>
      </c>
      <c r="N18764" t="n">
        <v>0</v>
      </c>
      <c r="O18764" t="n">
        <v>0</v>
      </c>
      <c r="P18764" t="n">
        <v>0</v>
      </c>
      <c r="Q18764" t="n">
        <v>0</v>
      </c>
      <c r="R18764" s="2" t="inlineStr"/>
    </row>
    <row r="18765" ht="15" customHeight="1">
      <c r="A18765" t="inlineStr">
        <is>
          <t>A 6612-2025</t>
        </is>
      </c>
      <c r="B18765" s="1" t="n">
        <v>45700</v>
      </c>
      <c r="C18765" s="1" t="n">
        <v>45810</v>
      </c>
      <c r="D18765" t="inlineStr">
        <is>
          <t>VÄRMLANDS LÄN</t>
        </is>
      </c>
      <c r="E18765" t="inlineStr">
        <is>
          <t>KRISTINEHAMN</t>
        </is>
      </c>
      <c r="G18765" t="n">
        <v>1.7</v>
      </c>
      <c r="H18765" t="n">
        <v>0</v>
      </c>
      <c r="I18765" t="n">
        <v>0</v>
      </c>
      <c r="J18765" t="n">
        <v>0</v>
      </c>
      <c r="K18765" t="n">
        <v>0</v>
      </c>
      <c r="L18765" t="n">
        <v>0</v>
      </c>
      <c r="M18765" t="n">
        <v>0</v>
      </c>
      <c r="N18765" t="n">
        <v>0</v>
      </c>
      <c r="O18765" t="n">
        <v>0</v>
      </c>
      <c r="P18765" t="n">
        <v>0</v>
      </c>
      <c r="Q18765" t="n">
        <v>0</v>
      </c>
      <c r="R18765" s="2" t="inlineStr"/>
    </row>
    <row r="18766" ht="15" customHeight="1">
      <c r="A18766" t="inlineStr">
        <is>
          <t>A 6843-2025</t>
        </is>
      </c>
      <c r="B18766" s="1" t="n">
        <v>45700</v>
      </c>
      <c r="C18766" s="1" t="n">
        <v>45810</v>
      </c>
      <c r="D18766" t="inlineStr">
        <is>
          <t>VÄRMLANDS LÄN</t>
        </is>
      </c>
      <c r="E18766" t="inlineStr">
        <is>
          <t>SÄFFLE</t>
        </is>
      </c>
      <c r="G18766" t="n">
        <v>2.5</v>
      </c>
      <c r="H18766" t="n">
        <v>0</v>
      </c>
      <c r="I18766" t="n">
        <v>0</v>
      </c>
      <c r="J18766" t="n">
        <v>0</v>
      </c>
      <c r="K18766" t="n">
        <v>0</v>
      </c>
      <c r="L18766" t="n">
        <v>0</v>
      </c>
      <c r="M18766" t="n">
        <v>0</v>
      </c>
      <c r="N18766" t="n">
        <v>0</v>
      </c>
      <c r="O18766" t="n">
        <v>0</v>
      </c>
      <c r="P18766" t="n">
        <v>0</v>
      </c>
      <c r="Q18766" t="n">
        <v>0</v>
      </c>
      <c r="R18766" s="2" t="inlineStr"/>
    </row>
    <row r="18767" ht="15" customHeight="1">
      <c r="A18767" t="inlineStr">
        <is>
          <t>A 6768-2025</t>
        </is>
      </c>
      <c r="B18767" s="1" t="n">
        <v>45700</v>
      </c>
      <c r="C18767" s="1" t="n">
        <v>45810</v>
      </c>
      <c r="D18767" t="inlineStr">
        <is>
          <t>VÄRMLANDS LÄN</t>
        </is>
      </c>
      <c r="E18767" t="inlineStr">
        <is>
          <t>SÄFFLE</t>
        </is>
      </c>
      <c r="G18767" t="n">
        <v>1</v>
      </c>
      <c r="H18767" t="n">
        <v>0</v>
      </c>
      <c r="I18767" t="n">
        <v>0</v>
      </c>
      <c r="J18767" t="n">
        <v>0</v>
      </c>
      <c r="K18767" t="n">
        <v>0</v>
      </c>
      <c r="L18767" t="n">
        <v>0</v>
      </c>
      <c r="M18767" t="n">
        <v>0</v>
      </c>
      <c r="N18767" t="n">
        <v>0</v>
      </c>
      <c r="O18767" t="n">
        <v>0</v>
      </c>
      <c r="P18767" t="n">
        <v>0</v>
      </c>
      <c r="Q18767" t="n">
        <v>0</v>
      </c>
      <c r="R18767" s="2" t="inlineStr"/>
    </row>
    <row r="18768" ht="15" customHeight="1">
      <c r="A18768" t="inlineStr">
        <is>
          <t>A 6728-2025</t>
        </is>
      </c>
      <c r="B18768" s="1" t="n">
        <v>45700</v>
      </c>
      <c r="C18768" s="1" t="n">
        <v>45810</v>
      </c>
      <c r="D18768" t="inlineStr">
        <is>
          <t>VÄRMLANDS LÄN</t>
        </is>
      </c>
      <c r="E18768" t="inlineStr">
        <is>
          <t>FILIPSTAD</t>
        </is>
      </c>
      <c r="G18768" t="n">
        <v>2.5</v>
      </c>
      <c r="H18768" t="n">
        <v>0</v>
      </c>
      <c r="I18768" t="n">
        <v>0</v>
      </c>
      <c r="J18768" t="n">
        <v>0</v>
      </c>
      <c r="K18768" t="n">
        <v>0</v>
      </c>
      <c r="L18768" t="n">
        <v>0</v>
      </c>
      <c r="M18768" t="n">
        <v>0</v>
      </c>
      <c r="N18768" t="n">
        <v>0</v>
      </c>
      <c r="O18768" t="n">
        <v>0</v>
      </c>
      <c r="P18768" t="n">
        <v>0</v>
      </c>
      <c r="Q18768" t="n">
        <v>0</v>
      </c>
      <c r="R18768" s="2" t="inlineStr"/>
    </row>
    <row r="18769" ht="15" customHeight="1">
      <c r="A18769" t="inlineStr">
        <is>
          <t>A 6683-2025</t>
        </is>
      </c>
      <c r="B18769" s="1" t="n">
        <v>45700</v>
      </c>
      <c r="C18769" s="1" t="n">
        <v>45810</v>
      </c>
      <c r="D18769" t="inlineStr">
        <is>
          <t>VÄRMLANDS LÄN</t>
        </is>
      </c>
      <c r="E18769" t="inlineStr">
        <is>
          <t>FILIPSTAD</t>
        </is>
      </c>
      <c r="G18769" t="n">
        <v>5.9</v>
      </c>
      <c r="H18769" t="n">
        <v>0</v>
      </c>
      <c r="I18769" t="n">
        <v>0</v>
      </c>
      <c r="J18769" t="n">
        <v>0</v>
      </c>
      <c r="K18769" t="n">
        <v>0</v>
      </c>
      <c r="L18769" t="n">
        <v>0</v>
      </c>
      <c r="M18769" t="n">
        <v>0</v>
      </c>
      <c r="N18769" t="n">
        <v>0</v>
      </c>
      <c r="O18769" t="n">
        <v>0</v>
      </c>
      <c r="P18769" t="n">
        <v>0</v>
      </c>
      <c r="Q18769" t="n">
        <v>0</v>
      </c>
      <c r="R18769" s="2" t="inlineStr"/>
    </row>
    <row r="18770" ht="15" customHeight="1">
      <c r="A18770" t="inlineStr">
        <is>
          <t>A 6862-2025</t>
        </is>
      </c>
      <c r="B18770" s="1" t="n">
        <v>45700</v>
      </c>
      <c r="C18770" s="1" t="n">
        <v>45810</v>
      </c>
      <c r="D18770" t="inlineStr">
        <is>
          <t>VÄRMLANDS LÄN</t>
        </is>
      </c>
      <c r="E18770" t="inlineStr">
        <is>
          <t>TORSBY</t>
        </is>
      </c>
      <c r="G18770" t="n">
        <v>2.9</v>
      </c>
      <c r="H18770" t="n">
        <v>0</v>
      </c>
      <c r="I18770" t="n">
        <v>0</v>
      </c>
      <c r="J18770" t="n">
        <v>0</v>
      </c>
      <c r="K18770" t="n">
        <v>0</v>
      </c>
      <c r="L18770" t="n">
        <v>0</v>
      </c>
      <c r="M18770" t="n">
        <v>0</v>
      </c>
      <c r="N18770" t="n">
        <v>0</v>
      </c>
      <c r="O18770" t="n">
        <v>0</v>
      </c>
      <c r="P18770" t="n">
        <v>0</v>
      </c>
      <c r="Q18770" t="n">
        <v>0</v>
      </c>
      <c r="R18770" s="2" t="inlineStr"/>
    </row>
    <row r="18771" ht="15" customHeight="1">
      <c r="A18771" t="inlineStr">
        <is>
          <t>A 6820-2025</t>
        </is>
      </c>
      <c r="B18771" s="1" t="n">
        <v>45700</v>
      </c>
      <c r="C18771" s="1" t="n">
        <v>45810</v>
      </c>
      <c r="D18771" t="inlineStr">
        <is>
          <t>VÄRMLANDS LÄN</t>
        </is>
      </c>
      <c r="E18771" t="inlineStr">
        <is>
          <t>KRISTINEHAMN</t>
        </is>
      </c>
      <c r="G18771" t="n">
        <v>1.8</v>
      </c>
      <c r="H18771" t="n">
        <v>0</v>
      </c>
      <c r="I18771" t="n">
        <v>0</v>
      </c>
      <c r="J18771" t="n">
        <v>0</v>
      </c>
      <c r="K18771" t="n">
        <v>0</v>
      </c>
      <c r="L18771" t="n">
        <v>0</v>
      </c>
      <c r="M18771" t="n">
        <v>0</v>
      </c>
      <c r="N18771" t="n">
        <v>0</v>
      </c>
      <c r="O18771" t="n">
        <v>0</v>
      </c>
      <c r="P18771" t="n">
        <v>0</v>
      </c>
      <c r="Q18771" t="n">
        <v>0</v>
      </c>
      <c r="R18771" s="2" t="inlineStr"/>
    </row>
    <row r="18772" ht="15" customHeight="1">
      <c r="A18772" t="inlineStr">
        <is>
          <t>A 6751-2025</t>
        </is>
      </c>
      <c r="B18772" s="1" t="n">
        <v>45700</v>
      </c>
      <c r="C18772" s="1" t="n">
        <v>45810</v>
      </c>
      <c r="D18772" t="inlineStr">
        <is>
          <t>VÄRMLANDS LÄN</t>
        </is>
      </c>
      <c r="E18772" t="inlineStr">
        <is>
          <t>GRUMS</t>
        </is>
      </c>
      <c r="G18772" t="n">
        <v>0.9</v>
      </c>
      <c r="H18772" t="n">
        <v>0</v>
      </c>
      <c r="I18772" t="n">
        <v>0</v>
      </c>
      <c r="J18772" t="n">
        <v>0</v>
      </c>
      <c r="K18772" t="n">
        <v>0</v>
      </c>
      <c r="L18772" t="n">
        <v>0</v>
      </c>
      <c r="M18772" t="n">
        <v>0</v>
      </c>
      <c r="N18772" t="n">
        <v>0</v>
      </c>
      <c r="O18772" t="n">
        <v>0</v>
      </c>
      <c r="P18772" t="n">
        <v>0</v>
      </c>
      <c r="Q18772" t="n">
        <v>0</v>
      </c>
      <c r="R18772" s="2" t="inlineStr"/>
    </row>
    <row r="18773" ht="15" customHeight="1">
      <c r="A18773" t="inlineStr">
        <is>
          <t>A 6715-2025</t>
        </is>
      </c>
      <c r="B18773" s="1" t="n">
        <v>45700</v>
      </c>
      <c r="C18773" s="1" t="n">
        <v>45810</v>
      </c>
      <c r="D18773" t="inlineStr">
        <is>
          <t>VÄRMLANDS LÄN</t>
        </is>
      </c>
      <c r="E18773" t="inlineStr">
        <is>
          <t>SÄFFLE</t>
        </is>
      </c>
      <c r="G18773" t="n">
        <v>1.1</v>
      </c>
      <c r="H18773" t="n">
        <v>0</v>
      </c>
      <c r="I18773" t="n">
        <v>0</v>
      </c>
      <c r="J18773" t="n">
        <v>0</v>
      </c>
      <c r="K18773" t="n">
        <v>0</v>
      </c>
      <c r="L18773" t="n">
        <v>0</v>
      </c>
      <c r="M18773" t="n">
        <v>0</v>
      </c>
      <c r="N18773" t="n">
        <v>0</v>
      </c>
      <c r="O18773" t="n">
        <v>0</v>
      </c>
      <c r="P18773" t="n">
        <v>0</v>
      </c>
      <c r="Q18773" t="n">
        <v>0</v>
      </c>
      <c r="R18773" s="2" t="inlineStr"/>
    </row>
    <row r="18774" ht="15" customHeight="1">
      <c r="A18774" t="inlineStr">
        <is>
          <t>A 6703-2025</t>
        </is>
      </c>
      <c r="B18774" s="1" t="n">
        <v>45700</v>
      </c>
      <c r="C18774" s="1" t="n">
        <v>45810</v>
      </c>
      <c r="D18774" t="inlineStr">
        <is>
          <t>VÄRMLANDS LÄN</t>
        </is>
      </c>
      <c r="E18774" t="inlineStr">
        <is>
          <t>SUNNE</t>
        </is>
      </c>
      <c r="G18774" t="n">
        <v>2.6</v>
      </c>
      <c r="H18774" t="n">
        <v>0</v>
      </c>
      <c r="I18774" t="n">
        <v>0</v>
      </c>
      <c r="J18774" t="n">
        <v>0</v>
      </c>
      <c r="K18774" t="n">
        <v>0</v>
      </c>
      <c r="L18774" t="n">
        <v>0</v>
      </c>
      <c r="M18774" t="n">
        <v>0</v>
      </c>
      <c r="N18774" t="n">
        <v>0</v>
      </c>
      <c r="O18774" t="n">
        <v>0</v>
      </c>
      <c r="P18774" t="n">
        <v>0</v>
      </c>
      <c r="Q18774" t="n">
        <v>0</v>
      </c>
      <c r="R18774" s="2" t="inlineStr"/>
    </row>
    <row r="18775" ht="15" customHeight="1">
      <c r="A18775" t="inlineStr">
        <is>
          <t>A 6674-2025</t>
        </is>
      </c>
      <c r="B18775" s="1" t="n">
        <v>45700</v>
      </c>
      <c r="C18775" s="1" t="n">
        <v>45810</v>
      </c>
      <c r="D18775" t="inlineStr">
        <is>
          <t>VÄRMLANDS LÄN</t>
        </is>
      </c>
      <c r="E18775" t="inlineStr">
        <is>
          <t>FILIPSTAD</t>
        </is>
      </c>
      <c r="G18775" t="n">
        <v>5.7</v>
      </c>
      <c r="H18775" t="n">
        <v>0</v>
      </c>
      <c r="I18775" t="n">
        <v>0</v>
      </c>
      <c r="J18775" t="n">
        <v>0</v>
      </c>
      <c r="K18775" t="n">
        <v>0</v>
      </c>
      <c r="L18775" t="n">
        <v>0</v>
      </c>
      <c r="M18775" t="n">
        <v>0</v>
      </c>
      <c r="N18775" t="n">
        <v>0</v>
      </c>
      <c r="O18775" t="n">
        <v>0</v>
      </c>
      <c r="P18775" t="n">
        <v>0</v>
      </c>
      <c r="Q18775" t="n">
        <v>0</v>
      </c>
      <c r="R18775" s="2" t="inlineStr"/>
    </row>
    <row r="18776" ht="15" customHeight="1">
      <c r="A18776" t="inlineStr">
        <is>
          <t>A 6646-2025</t>
        </is>
      </c>
      <c r="B18776" s="1" t="n">
        <v>45700</v>
      </c>
      <c r="C18776" s="1" t="n">
        <v>45810</v>
      </c>
      <c r="D18776" t="inlineStr">
        <is>
          <t>VÄRMLANDS LÄN</t>
        </is>
      </c>
      <c r="E18776" t="inlineStr">
        <is>
          <t>ÅRJÄNG</t>
        </is>
      </c>
      <c r="G18776" t="n">
        <v>3.2</v>
      </c>
      <c r="H18776" t="n">
        <v>0</v>
      </c>
      <c r="I18776" t="n">
        <v>0</v>
      </c>
      <c r="J18776" t="n">
        <v>0</v>
      </c>
      <c r="K18776" t="n">
        <v>0</v>
      </c>
      <c r="L18776" t="n">
        <v>0</v>
      </c>
      <c r="M18776" t="n">
        <v>0</v>
      </c>
      <c r="N18776" t="n">
        <v>0</v>
      </c>
      <c r="O18776" t="n">
        <v>0</v>
      </c>
      <c r="P18776" t="n">
        <v>0</v>
      </c>
      <c r="Q18776" t="n">
        <v>0</v>
      </c>
      <c r="R18776" s="2" t="inlineStr"/>
    </row>
    <row r="18777" ht="15" customHeight="1">
      <c r="A18777" t="inlineStr">
        <is>
          <t>A 6642-2025</t>
        </is>
      </c>
      <c r="B18777" s="1" t="n">
        <v>45700</v>
      </c>
      <c r="C18777" s="1" t="n">
        <v>45810</v>
      </c>
      <c r="D18777" t="inlineStr">
        <is>
          <t>VÄRMLANDS LÄN</t>
        </is>
      </c>
      <c r="E18777" t="inlineStr">
        <is>
          <t>KARLSTAD</t>
        </is>
      </c>
      <c r="G18777" t="n">
        <v>0.7</v>
      </c>
      <c r="H18777" t="n">
        <v>0</v>
      </c>
      <c r="I18777" t="n">
        <v>0</v>
      </c>
      <c r="J18777" t="n">
        <v>0</v>
      </c>
      <c r="K18777" t="n">
        <v>0</v>
      </c>
      <c r="L18777" t="n">
        <v>0</v>
      </c>
      <c r="M18777" t="n">
        <v>0</v>
      </c>
      <c r="N18777" t="n">
        <v>0</v>
      </c>
      <c r="O18777" t="n">
        <v>0</v>
      </c>
      <c r="P18777" t="n">
        <v>0</v>
      </c>
      <c r="Q18777" t="n">
        <v>0</v>
      </c>
      <c r="R18777" s="2" t="inlineStr"/>
    </row>
    <row r="18778" ht="15" customHeight="1">
      <c r="A18778" t="inlineStr">
        <is>
          <t>A 6609-2025</t>
        </is>
      </c>
      <c r="B18778" s="1" t="n">
        <v>45700</v>
      </c>
      <c r="C18778" s="1" t="n">
        <v>45810</v>
      </c>
      <c r="D18778" t="inlineStr">
        <is>
          <t>VÄRMLANDS LÄN</t>
        </is>
      </c>
      <c r="E18778" t="inlineStr">
        <is>
          <t>KRISTINEHAMN</t>
        </is>
      </c>
      <c r="G18778" t="n">
        <v>11.2</v>
      </c>
      <c r="H18778" t="n">
        <v>0</v>
      </c>
      <c r="I18778" t="n">
        <v>0</v>
      </c>
      <c r="J18778" t="n">
        <v>0</v>
      </c>
      <c r="K18778" t="n">
        <v>0</v>
      </c>
      <c r="L18778" t="n">
        <v>0</v>
      </c>
      <c r="M18778" t="n">
        <v>0</v>
      </c>
      <c r="N18778" t="n">
        <v>0</v>
      </c>
      <c r="O18778" t="n">
        <v>0</v>
      </c>
      <c r="P18778" t="n">
        <v>0</v>
      </c>
      <c r="Q18778" t="n">
        <v>0</v>
      </c>
      <c r="R18778" s="2" t="inlineStr"/>
    </row>
    <row r="18779" ht="15" customHeight="1">
      <c r="A18779" t="inlineStr">
        <is>
          <t>A 6856-2025</t>
        </is>
      </c>
      <c r="B18779" s="1" t="n">
        <v>45700</v>
      </c>
      <c r="C18779" s="1" t="n">
        <v>45810</v>
      </c>
      <c r="D18779" t="inlineStr">
        <is>
          <t>VÄRMLANDS LÄN</t>
        </is>
      </c>
      <c r="E18779" t="inlineStr">
        <is>
          <t>STORFORS</t>
        </is>
      </c>
      <c r="F18779" t="inlineStr">
        <is>
          <t>Kyrkan</t>
        </is>
      </c>
      <c r="G18779" t="n">
        <v>1.2</v>
      </c>
      <c r="H18779" t="n">
        <v>0</v>
      </c>
      <c r="I18779" t="n">
        <v>0</v>
      </c>
      <c r="J18779" t="n">
        <v>0</v>
      </c>
      <c r="K18779" t="n">
        <v>0</v>
      </c>
      <c r="L18779" t="n">
        <v>0</v>
      </c>
      <c r="M18779" t="n">
        <v>0</v>
      </c>
      <c r="N18779" t="n">
        <v>0</v>
      </c>
      <c r="O18779" t="n">
        <v>0</v>
      </c>
      <c r="P18779" t="n">
        <v>0</v>
      </c>
      <c r="Q18779" t="n">
        <v>0</v>
      </c>
      <c r="R18779" s="2" t="inlineStr"/>
    </row>
    <row r="18780" ht="15" customHeight="1">
      <c r="A18780" t="inlineStr">
        <is>
          <t>A 6936-2025</t>
        </is>
      </c>
      <c r="B18780" s="1" t="n">
        <v>45701</v>
      </c>
      <c r="C18780" s="1" t="n">
        <v>45810</v>
      </c>
      <c r="D18780" t="inlineStr">
        <is>
          <t>VÄRMLANDS LÄN</t>
        </is>
      </c>
      <c r="E18780" t="inlineStr">
        <is>
          <t>KRISTINEHAMN</t>
        </is>
      </c>
      <c r="F18780" t="inlineStr">
        <is>
          <t>Naturvårdsverket</t>
        </is>
      </c>
      <c r="G18780" t="n">
        <v>0.3</v>
      </c>
      <c r="H18780" t="n">
        <v>0</v>
      </c>
      <c r="I18780" t="n">
        <v>0</v>
      </c>
      <c r="J18780" t="n">
        <v>0</v>
      </c>
      <c r="K18780" t="n">
        <v>0</v>
      </c>
      <c r="L18780" t="n">
        <v>0</v>
      </c>
      <c r="M18780" t="n">
        <v>0</v>
      </c>
      <c r="N18780" t="n">
        <v>0</v>
      </c>
      <c r="O18780" t="n">
        <v>0</v>
      </c>
      <c r="P18780" t="n">
        <v>0</v>
      </c>
      <c r="Q18780" t="n">
        <v>0</v>
      </c>
      <c r="R18780" s="2" t="inlineStr"/>
    </row>
    <row r="18781" ht="15" customHeight="1">
      <c r="A18781" t="inlineStr">
        <is>
          <t>A 6944-2025</t>
        </is>
      </c>
      <c r="B18781" s="1" t="n">
        <v>45701</v>
      </c>
      <c r="C18781" s="1" t="n">
        <v>45810</v>
      </c>
      <c r="D18781" t="inlineStr">
        <is>
          <t>VÄRMLANDS LÄN</t>
        </is>
      </c>
      <c r="E18781" t="inlineStr">
        <is>
          <t>SUNNE</t>
        </is>
      </c>
      <c r="F18781" t="inlineStr">
        <is>
          <t>Bergvik skog väst AB</t>
        </is>
      </c>
      <c r="G18781" t="n">
        <v>2.8</v>
      </c>
      <c r="H18781" t="n">
        <v>0</v>
      </c>
      <c r="I18781" t="n">
        <v>0</v>
      </c>
      <c r="J18781" t="n">
        <v>0</v>
      </c>
      <c r="K18781" t="n">
        <v>0</v>
      </c>
      <c r="L18781" t="n">
        <v>0</v>
      </c>
      <c r="M18781" t="n">
        <v>0</v>
      </c>
      <c r="N18781" t="n">
        <v>0</v>
      </c>
      <c r="O18781" t="n">
        <v>0</v>
      </c>
      <c r="P18781" t="n">
        <v>0</v>
      </c>
      <c r="Q18781" t="n">
        <v>0</v>
      </c>
      <c r="R18781" s="2" t="inlineStr"/>
    </row>
    <row r="18782" ht="15" customHeight="1">
      <c r="A18782" t="inlineStr">
        <is>
          <t>A 6965-2025</t>
        </is>
      </c>
      <c r="B18782" s="1" t="n">
        <v>45701</v>
      </c>
      <c r="C18782" s="1" t="n">
        <v>45810</v>
      </c>
      <c r="D18782" t="inlineStr">
        <is>
          <t>VÄRMLANDS LÄN</t>
        </is>
      </c>
      <c r="E18782" t="inlineStr">
        <is>
          <t>TORSBY</t>
        </is>
      </c>
      <c r="G18782" t="n">
        <v>1.1</v>
      </c>
      <c r="H18782" t="n">
        <v>0</v>
      </c>
      <c r="I18782" t="n">
        <v>0</v>
      </c>
      <c r="J18782" t="n">
        <v>0</v>
      </c>
      <c r="K18782" t="n">
        <v>0</v>
      </c>
      <c r="L18782" t="n">
        <v>0</v>
      </c>
      <c r="M18782" t="n">
        <v>0</v>
      </c>
      <c r="N18782" t="n">
        <v>0</v>
      </c>
      <c r="O18782" t="n">
        <v>0</v>
      </c>
      <c r="P18782" t="n">
        <v>0</v>
      </c>
      <c r="Q18782" t="n">
        <v>0</v>
      </c>
      <c r="R18782" s="2" t="inlineStr"/>
    </row>
    <row r="18783" ht="15" customHeight="1">
      <c r="A18783" t="inlineStr">
        <is>
          <t>A 7106-2025</t>
        </is>
      </c>
      <c r="B18783" s="1" t="n">
        <v>45701</v>
      </c>
      <c r="C18783" s="1" t="n">
        <v>45810</v>
      </c>
      <c r="D18783" t="inlineStr">
        <is>
          <t>VÄRMLANDS LÄN</t>
        </is>
      </c>
      <c r="E18783" t="inlineStr">
        <is>
          <t>EDA</t>
        </is>
      </c>
      <c r="G18783" t="n">
        <v>0.7</v>
      </c>
      <c r="H18783" t="n">
        <v>0</v>
      </c>
      <c r="I18783" t="n">
        <v>0</v>
      </c>
      <c r="J18783" t="n">
        <v>0</v>
      </c>
      <c r="K18783" t="n">
        <v>0</v>
      </c>
      <c r="L18783" t="n">
        <v>0</v>
      </c>
      <c r="M18783" t="n">
        <v>0</v>
      </c>
      <c r="N18783" t="n">
        <v>0</v>
      </c>
      <c r="O18783" t="n">
        <v>0</v>
      </c>
      <c r="P18783" t="n">
        <v>0</v>
      </c>
      <c r="Q18783" t="n">
        <v>0</v>
      </c>
      <c r="R18783" s="2" t="inlineStr"/>
    </row>
    <row r="18784" ht="15" customHeight="1">
      <c r="A18784" t="inlineStr">
        <is>
          <t>A 7068-2025</t>
        </is>
      </c>
      <c r="B18784" s="1" t="n">
        <v>45701</v>
      </c>
      <c r="C18784" s="1" t="n">
        <v>45810</v>
      </c>
      <c r="D18784" t="inlineStr">
        <is>
          <t>VÄRMLANDS LÄN</t>
        </is>
      </c>
      <c r="E18784" t="inlineStr">
        <is>
          <t>TORSBY</t>
        </is>
      </c>
      <c r="G18784" t="n">
        <v>0.7</v>
      </c>
      <c r="H18784" t="n">
        <v>0</v>
      </c>
      <c r="I18784" t="n">
        <v>0</v>
      </c>
      <c r="J18784" t="n">
        <v>0</v>
      </c>
      <c r="K18784" t="n">
        <v>0</v>
      </c>
      <c r="L18784" t="n">
        <v>0</v>
      </c>
      <c r="M18784" t="n">
        <v>0</v>
      </c>
      <c r="N18784" t="n">
        <v>0</v>
      </c>
      <c r="O18784" t="n">
        <v>0</v>
      </c>
      <c r="P18784" t="n">
        <v>0</v>
      </c>
      <c r="Q18784" t="n">
        <v>0</v>
      </c>
      <c r="R18784" s="2" t="inlineStr"/>
    </row>
    <row r="18785" ht="15" customHeight="1">
      <c r="A18785" t="inlineStr">
        <is>
          <t>A 7096-2025</t>
        </is>
      </c>
      <c r="B18785" s="1" t="n">
        <v>45701</v>
      </c>
      <c r="C18785" s="1" t="n">
        <v>45810</v>
      </c>
      <c r="D18785" t="inlineStr">
        <is>
          <t>VÄRMLANDS LÄN</t>
        </is>
      </c>
      <c r="E18785" t="inlineStr">
        <is>
          <t>SUNNE</t>
        </is>
      </c>
      <c r="G18785" t="n">
        <v>1.6</v>
      </c>
      <c r="H18785" t="n">
        <v>0</v>
      </c>
      <c r="I18785" t="n">
        <v>0</v>
      </c>
      <c r="J18785" t="n">
        <v>0</v>
      </c>
      <c r="K18785" t="n">
        <v>0</v>
      </c>
      <c r="L18785" t="n">
        <v>0</v>
      </c>
      <c r="M18785" t="n">
        <v>0</v>
      </c>
      <c r="N18785" t="n">
        <v>0</v>
      </c>
      <c r="O18785" t="n">
        <v>0</v>
      </c>
      <c r="P18785" t="n">
        <v>0</v>
      </c>
      <c r="Q18785" t="n">
        <v>0</v>
      </c>
      <c r="R18785" s="2" t="inlineStr"/>
    </row>
    <row r="18786" ht="15" customHeight="1">
      <c r="A18786" t="inlineStr">
        <is>
          <t>A 6978-2025</t>
        </is>
      </c>
      <c r="B18786" s="1" t="n">
        <v>45701</v>
      </c>
      <c r="C18786" s="1" t="n">
        <v>45810</v>
      </c>
      <c r="D18786" t="inlineStr">
        <is>
          <t>VÄRMLANDS LÄN</t>
        </is>
      </c>
      <c r="E18786" t="inlineStr">
        <is>
          <t>ARVIKA</t>
        </is>
      </c>
      <c r="G18786" t="n">
        <v>1.5</v>
      </c>
      <c r="H18786" t="n">
        <v>0</v>
      </c>
      <c r="I18786" t="n">
        <v>0</v>
      </c>
      <c r="J18786" t="n">
        <v>0</v>
      </c>
      <c r="K18786" t="n">
        <v>0</v>
      </c>
      <c r="L18786" t="n">
        <v>0</v>
      </c>
      <c r="M18786" t="n">
        <v>0</v>
      </c>
      <c r="N18786" t="n">
        <v>0</v>
      </c>
      <c r="O18786" t="n">
        <v>0</v>
      </c>
      <c r="P18786" t="n">
        <v>0</v>
      </c>
      <c r="Q18786" t="n">
        <v>0</v>
      </c>
      <c r="R18786" s="2" t="inlineStr"/>
    </row>
    <row r="18787" ht="15" customHeight="1">
      <c r="A18787" t="inlineStr">
        <is>
          <t>A 6930-2025</t>
        </is>
      </c>
      <c r="B18787" s="1" t="n">
        <v>45701</v>
      </c>
      <c r="C18787" s="1" t="n">
        <v>45810</v>
      </c>
      <c r="D18787" t="inlineStr">
        <is>
          <t>VÄRMLANDS LÄN</t>
        </is>
      </c>
      <c r="E18787" t="inlineStr">
        <is>
          <t>SUNNE</t>
        </is>
      </c>
      <c r="G18787" t="n">
        <v>1.6</v>
      </c>
      <c r="H18787" t="n">
        <v>0</v>
      </c>
      <c r="I18787" t="n">
        <v>0</v>
      </c>
      <c r="J18787" t="n">
        <v>0</v>
      </c>
      <c r="K18787" t="n">
        <v>0</v>
      </c>
      <c r="L18787" t="n">
        <v>0</v>
      </c>
      <c r="M18787" t="n">
        <v>0</v>
      </c>
      <c r="N18787" t="n">
        <v>0</v>
      </c>
      <c r="O18787" t="n">
        <v>0</v>
      </c>
      <c r="P18787" t="n">
        <v>0</v>
      </c>
      <c r="Q18787" t="n">
        <v>0</v>
      </c>
      <c r="R18787" s="2" t="inlineStr"/>
    </row>
    <row r="18788" ht="15" customHeight="1">
      <c r="A18788" t="inlineStr">
        <is>
          <t>A 6918-2025</t>
        </is>
      </c>
      <c r="B18788" s="1" t="n">
        <v>45701</v>
      </c>
      <c r="C18788" s="1" t="n">
        <v>45810</v>
      </c>
      <c r="D18788" t="inlineStr">
        <is>
          <t>VÄRMLANDS LÄN</t>
        </is>
      </c>
      <c r="E18788" t="inlineStr">
        <is>
          <t>FORSHAGA</t>
        </is>
      </c>
      <c r="F18788" t="inlineStr">
        <is>
          <t>Bergvik skog väst AB</t>
        </is>
      </c>
      <c r="G18788" t="n">
        <v>2</v>
      </c>
      <c r="H18788" t="n">
        <v>0</v>
      </c>
      <c r="I18788" t="n">
        <v>0</v>
      </c>
      <c r="J18788" t="n">
        <v>0</v>
      </c>
      <c r="K18788" t="n">
        <v>0</v>
      </c>
      <c r="L18788" t="n">
        <v>0</v>
      </c>
      <c r="M18788" t="n">
        <v>0</v>
      </c>
      <c r="N18788" t="n">
        <v>0</v>
      </c>
      <c r="O18788" t="n">
        <v>0</v>
      </c>
      <c r="P18788" t="n">
        <v>0</v>
      </c>
      <c r="Q18788" t="n">
        <v>0</v>
      </c>
      <c r="R18788" s="2" t="inlineStr"/>
    </row>
    <row r="18789" ht="15" customHeight="1">
      <c r="A18789" t="inlineStr">
        <is>
          <t>A 6968-2025</t>
        </is>
      </c>
      <c r="B18789" s="1" t="n">
        <v>45701</v>
      </c>
      <c r="C18789" s="1" t="n">
        <v>45810</v>
      </c>
      <c r="D18789" t="inlineStr">
        <is>
          <t>VÄRMLANDS LÄN</t>
        </is>
      </c>
      <c r="E18789" t="inlineStr">
        <is>
          <t>TORSBY</t>
        </is>
      </c>
      <c r="G18789" t="n">
        <v>0.9</v>
      </c>
      <c r="H18789" t="n">
        <v>0</v>
      </c>
      <c r="I18789" t="n">
        <v>0</v>
      </c>
      <c r="J18789" t="n">
        <v>0</v>
      </c>
      <c r="K18789" t="n">
        <v>0</v>
      </c>
      <c r="L18789" t="n">
        <v>0</v>
      </c>
      <c r="M18789" t="n">
        <v>0</v>
      </c>
      <c r="N18789" t="n">
        <v>0</v>
      </c>
      <c r="O18789" t="n">
        <v>0</v>
      </c>
      <c r="P18789" t="n">
        <v>0</v>
      </c>
      <c r="Q18789" t="n">
        <v>0</v>
      </c>
      <c r="R18789" s="2" t="inlineStr"/>
    </row>
    <row r="18790" ht="15" customHeight="1">
      <c r="A18790" t="inlineStr">
        <is>
          <t>A 6947-2025</t>
        </is>
      </c>
      <c r="B18790" s="1" t="n">
        <v>45701</v>
      </c>
      <c r="C18790" s="1" t="n">
        <v>45810</v>
      </c>
      <c r="D18790" t="inlineStr">
        <is>
          <t>VÄRMLANDS LÄN</t>
        </is>
      </c>
      <c r="E18790" t="inlineStr">
        <is>
          <t>FORSHAGA</t>
        </is>
      </c>
      <c r="F18790" t="inlineStr">
        <is>
          <t>Bergvik skog väst AB</t>
        </is>
      </c>
      <c r="G18790" t="n">
        <v>2.4</v>
      </c>
      <c r="H18790" t="n">
        <v>0</v>
      </c>
      <c r="I18790" t="n">
        <v>0</v>
      </c>
      <c r="J18790" t="n">
        <v>0</v>
      </c>
      <c r="K18790" t="n">
        <v>0</v>
      </c>
      <c r="L18790" t="n">
        <v>0</v>
      </c>
      <c r="M18790" t="n">
        <v>0</v>
      </c>
      <c r="N18790" t="n">
        <v>0</v>
      </c>
      <c r="O18790" t="n">
        <v>0</v>
      </c>
      <c r="P18790" t="n">
        <v>0</v>
      </c>
      <c r="Q18790" t="n">
        <v>0</v>
      </c>
      <c r="R18790" s="2" t="inlineStr"/>
    </row>
    <row r="18791" ht="15" customHeight="1">
      <c r="A18791" t="inlineStr">
        <is>
          <t>A 6939-2025</t>
        </is>
      </c>
      <c r="B18791" s="1" t="n">
        <v>45701</v>
      </c>
      <c r="C18791" s="1" t="n">
        <v>45810</v>
      </c>
      <c r="D18791" t="inlineStr">
        <is>
          <t>VÄRMLANDS LÄN</t>
        </is>
      </c>
      <c r="E18791" t="inlineStr">
        <is>
          <t>SUNNE</t>
        </is>
      </c>
      <c r="G18791" t="n">
        <v>2.3</v>
      </c>
      <c r="H18791" t="n">
        <v>0</v>
      </c>
      <c r="I18791" t="n">
        <v>0</v>
      </c>
      <c r="J18791" t="n">
        <v>0</v>
      </c>
      <c r="K18791" t="n">
        <v>0</v>
      </c>
      <c r="L18791" t="n">
        <v>0</v>
      </c>
      <c r="M18791" t="n">
        <v>0</v>
      </c>
      <c r="N18791" t="n">
        <v>0</v>
      </c>
      <c r="O18791" t="n">
        <v>0</v>
      </c>
      <c r="P18791" t="n">
        <v>0</v>
      </c>
      <c r="Q18791" t="n">
        <v>0</v>
      </c>
      <c r="R18791" s="2" t="inlineStr"/>
    </row>
    <row r="18792" ht="15" customHeight="1">
      <c r="A18792" t="inlineStr">
        <is>
          <t>A 6927-2025</t>
        </is>
      </c>
      <c r="B18792" s="1" t="n">
        <v>45701</v>
      </c>
      <c r="C18792" s="1" t="n">
        <v>45810</v>
      </c>
      <c r="D18792" t="inlineStr">
        <is>
          <t>VÄRMLANDS LÄN</t>
        </is>
      </c>
      <c r="E18792" t="inlineStr">
        <is>
          <t>KRISTINEHAMN</t>
        </is>
      </c>
      <c r="F18792" t="inlineStr">
        <is>
          <t>Naturvårdsverket</t>
        </is>
      </c>
      <c r="G18792" t="n">
        <v>1.7</v>
      </c>
      <c r="H18792" t="n">
        <v>0</v>
      </c>
      <c r="I18792" t="n">
        <v>0</v>
      </c>
      <c r="J18792" t="n">
        <v>0</v>
      </c>
      <c r="K18792" t="n">
        <v>0</v>
      </c>
      <c r="L18792" t="n">
        <v>0</v>
      </c>
      <c r="M18792" t="n">
        <v>0</v>
      </c>
      <c r="N18792" t="n">
        <v>0</v>
      </c>
      <c r="O18792" t="n">
        <v>0</v>
      </c>
      <c r="P18792" t="n">
        <v>0</v>
      </c>
      <c r="Q18792" t="n">
        <v>0</v>
      </c>
      <c r="R18792" s="2" t="inlineStr"/>
    </row>
    <row r="18793" ht="15" customHeight="1">
      <c r="A18793" t="inlineStr">
        <is>
          <t>A 6887-2025</t>
        </is>
      </c>
      <c r="B18793" s="1" t="n">
        <v>45701</v>
      </c>
      <c r="C18793" s="1" t="n">
        <v>45810</v>
      </c>
      <c r="D18793" t="inlineStr">
        <is>
          <t>VÄRMLANDS LÄN</t>
        </is>
      </c>
      <c r="E18793" t="inlineStr">
        <is>
          <t>FORSHAGA</t>
        </is>
      </c>
      <c r="F18793" t="inlineStr">
        <is>
          <t>Bergvik skog väst AB</t>
        </is>
      </c>
      <c r="G18793" t="n">
        <v>5.3</v>
      </c>
      <c r="H18793" t="n">
        <v>0</v>
      </c>
      <c r="I18793" t="n">
        <v>0</v>
      </c>
      <c r="J18793" t="n">
        <v>0</v>
      </c>
      <c r="K18793" t="n">
        <v>0</v>
      </c>
      <c r="L18793" t="n">
        <v>0</v>
      </c>
      <c r="M18793" t="n">
        <v>0</v>
      </c>
      <c r="N18793" t="n">
        <v>0</v>
      </c>
      <c r="O18793" t="n">
        <v>0</v>
      </c>
      <c r="P18793" t="n">
        <v>0</v>
      </c>
      <c r="Q18793" t="n">
        <v>0</v>
      </c>
      <c r="R18793" s="2" t="inlineStr"/>
    </row>
    <row r="18794" ht="15" customHeight="1">
      <c r="A18794" t="inlineStr">
        <is>
          <t>A 7101-2025</t>
        </is>
      </c>
      <c r="B18794" s="1" t="n">
        <v>45701</v>
      </c>
      <c r="C18794" s="1" t="n">
        <v>45810</v>
      </c>
      <c r="D18794" t="inlineStr">
        <is>
          <t>VÄRMLANDS LÄN</t>
        </is>
      </c>
      <c r="E18794" t="inlineStr">
        <is>
          <t>TORSBY</t>
        </is>
      </c>
      <c r="G18794" t="n">
        <v>4.2</v>
      </c>
      <c r="H18794" t="n">
        <v>0</v>
      </c>
      <c r="I18794" t="n">
        <v>0</v>
      </c>
      <c r="J18794" t="n">
        <v>0</v>
      </c>
      <c r="K18794" t="n">
        <v>0</v>
      </c>
      <c r="L18794" t="n">
        <v>0</v>
      </c>
      <c r="M18794" t="n">
        <v>0</v>
      </c>
      <c r="N18794" t="n">
        <v>0</v>
      </c>
      <c r="O18794" t="n">
        <v>0</v>
      </c>
      <c r="P18794" t="n">
        <v>0</v>
      </c>
      <c r="Q18794" t="n">
        <v>0</v>
      </c>
      <c r="R18794" s="2" t="inlineStr"/>
    </row>
    <row r="18795" ht="15" customHeight="1">
      <c r="A18795" t="inlineStr">
        <is>
          <t>A 7065-2025</t>
        </is>
      </c>
      <c r="B18795" s="1" t="n">
        <v>45701</v>
      </c>
      <c r="C18795" s="1" t="n">
        <v>45810</v>
      </c>
      <c r="D18795" t="inlineStr">
        <is>
          <t>VÄRMLANDS LÄN</t>
        </is>
      </c>
      <c r="E18795" t="inlineStr">
        <is>
          <t>TORSBY</t>
        </is>
      </c>
      <c r="G18795" t="n">
        <v>2</v>
      </c>
      <c r="H18795" t="n">
        <v>0</v>
      </c>
      <c r="I18795" t="n">
        <v>0</v>
      </c>
      <c r="J18795" t="n">
        <v>0</v>
      </c>
      <c r="K18795" t="n">
        <v>0</v>
      </c>
      <c r="L18795" t="n">
        <v>0</v>
      </c>
      <c r="M18795" t="n">
        <v>0</v>
      </c>
      <c r="N18795" t="n">
        <v>0</v>
      </c>
      <c r="O18795" t="n">
        <v>0</v>
      </c>
      <c r="P18795" t="n">
        <v>0</v>
      </c>
      <c r="Q18795" t="n">
        <v>0</v>
      </c>
      <c r="R18795" s="2" t="inlineStr"/>
    </row>
    <row r="18796" ht="15" customHeight="1">
      <c r="A18796" t="inlineStr">
        <is>
          <t>A 6962-2025</t>
        </is>
      </c>
      <c r="B18796" s="1" t="n">
        <v>45701</v>
      </c>
      <c r="C18796" s="1" t="n">
        <v>45810</v>
      </c>
      <c r="D18796" t="inlineStr">
        <is>
          <t>VÄRMLANDS LÄN</t>
        </is>
      </c>
      <c r="E18796" t="inlineStr">
        <is>
          <t>ÅRJÄNG</t>
        </is>
      </c>
      <c r="G18796" t="n">
        <v>2.6</v>
      </c>
      <c r="H18796" t="n">
        <v>0</v>
      </c>
      <c r="I18796" t="n">
        <v>0</v>
      </c>
      <c r="J18796" t="n">
        <v>0</v>
      </c>
      <c r="K18796" t="n">
        <v>0</v>
      </c>
      <c r="L18796" t="n">
        <v>0</v>
      </c>
      <c r="M18796" t="n">
        <v>0</v>
      </c>
      <c r="N18796" t="n">
        <v>0</v>
      </c>
      <c r="O18796" t="n">
        <v>0</v>
      </c>
      <c r="P18796" t="n">
        <v>0</v>
      </c>
      <c r="Q18796" t="n">
        <v>0</v>
      </c>
      <c r="R18796" s="2" t="inlineStr"/>
    </row>
    <row r="18797" ht="15" customHeight="1">
      <c r="A18797" t="inlineStr">
        <is>
          <t>A 6945-2025</t>
        </is>
      </c>
      <c r="B18797" s="1" t="n">
        <v>45701</v>
      </c>
      <c r="C18797" s="1" t="n">
        <v>45810</v>
      </c>
      <c r="D18797" t="inlineStr">
        <is>
          <t>VÄRMLANDS LÄN</t>
        </is>
      </c>
      <c r="E18797" t="inlineStr">
        <is>
          <t>FORSHAGA</t>
        </is>
      </c>
      <c r="F18797" t="inlineStr">
        <is>
          <t>Bergvik skog väst AB</t>
        </is>
      </c>
      <c r="G18797" t="n">
        <v>3.9</v>
      </c>
      <c r="H18797" t="n">
        <v>0</v>
      </c>
      <c r="I18797" t="n">
        <v>0</v>
      </c>
      <c r="J18797" t="n">
        <v>0</v>
      </c>
      <c r="K18797" t="n">
        <v>0</v>
      </c>
      <c r="L18797" t="n">
        <v>0</v>
      </c>
      <c r="M18797" t="n">
        <v>0</v>
      </c>
      <c r="N18797" t="n">
        <v>0</v>
      </c>
      <c r="O18797" t="n">
        <v>0</v>
      </c>
      <c r="P18797" t="n">
        <v>0</v>
      </c>
      <c r="Q18797" t="n">
        <v>0</v>
      </c>
      <c r="R18797" s="2" t="inlineStr"/>
    </row>
    <row r="18798" ht="15" customHeight="1">
      <c r="A18798" t="inlineStr">
        <is>
          <t>A 6933-2025</t>
        </is>
      </c>
      <c r="B18798" s="1" t="n">
        <v>45701</v>
      </c>
      <c r="C18798" s="1" t="n">
        <v>45810</v>
      </c>
      <c r="D18798" t="inlineStr">
        <is>
          <t>VÄRMLANDS LÄN</t>
        </is>
      </c>
      <c r="E18798" t="inlineStr">
        <is>
          <t>KRISTINEHAMN</t>
        </is>
      </c>
      <c r="F18798" t="inlineStr">
        <is>
          <t>Naturvårdsverket</t>
        </is>
      </c>
      <c r="G18798" t="n">
        <v>1.6</v>
      </c>
      <c r="H18798" t="n">
        <v>0</v>
      </c>
      <c r="I18798" t="n">
        <v>0</v>
      </c>
      <c r="J18798" t="n">
        <v>0</v>
      </c>
      <c r="K18798" t="n">
        <v>0</v>
      </c>
      <c r="L18798" t="n">
        <v>0</v>
      </c>
      <c r="M18798" t="n">
        <v>0</v>
      </c>
      <c r="N18798" t="n">
        <v>0</v>
      </c>
      <c r="O18798" t="n">
        <v>0</v>
      </c>
      <c r="P18798" t="n">
        <v>0</v>
      </c>
      <c r="Q18798" t="n">
        <v>0</v>
      </c>
      <c r="R18798" s="2" t="inlineStr"/>
    </row>
    <row r="18799" ht="15" customHeight="1">
      <c r="A18799" t="inlineStr">
        <is>
          <t>A 6909-2025</t>
        </is>
      </c>
      <c r="B18799" s="1" t="n">
        <v>45701</v>
      </c>
      <c r="C18799" s="1" t="n">
        <v>45810</v>
      </c>
      <c r="D18799" t="inlineStr">
        <is>
          <t>VÄRMLANDS LÄN</t>
        </is>
      </c>
      <c r="E18799" t="inlineStr">
        <is>
          <t>FORSHAGA</t>
        </is>
      </c>
      <c r="F18799" t="inlineStr">
        <is>
          <t>Bergvik skog väst AB</t>
        </is>
      </c>
      <c r="G18799" t="n">
        <v>2</v>
      </c>
      <c r="H18799" t="n">
        <v>0</v>
      </c>
      <c r="I18799" t="n">
        <v>0</v>
      </c>
      <c r="J18799" t="n">
        <v>0</v>
      </c>
      <c r="K18799" t="n">
        <v>0</v>
      </c>
      <c r="L18799" t="n">
        <v>0</v>
      </c>
      <c r="M18799" t="n">
        <v>0</v>
      </c>
      <c r="N18799" t="n">
        <v>0</v>
      </c>
      <c r="O18799" t="n">
        <v>0</v>
      </c>
      <c r="P18799" t="n">
        <v>0</v>
      </c>
      <c r="Q18799" t="n">
        <v>0</v>
      </c>
      <c r="R18799" s="2" t="inlineStr"/>
    </row>
    <row r="18800" ht="15" customHeight="1">
      <c r="A18800" t="inlineStr">
        <is>
          <t>A 6873-2025</t>
        </is>
      </c>
      <c r="B18800" s="1" t="n">
        <v>45701</v>
      </c>
      <c r="C18800" s="1" t="n">
        <v>45810</v>
      </c>
      <c r="D18800" t="inlineStr">
        <is>
          <t>VÄRMLANDS LÄN</t>
        </is>
      </c>
      <c r="E18800" t="inlineStr">
        <is>
          <t>FORSHAGA</t>
        </is>
      </c>
      <c r="F18800" t="inlineStr">
        <is>
          <t>Bergvik skog väst AB</t>
        </is>
      </c>
      <c r="G18800" t="n">
        <v>11.7</v>
      </c>
      <c r="H18800" t="n">
        <v>0</v>
      </c>
      <c r="I18800" t="n">
        <v>0</v>
      </c>
      <c r="J18800" t="n">
        <v>0</v>
      </c>
      <c r="K18800" t="n">
        <v>0</v>
      </c>
      <c r="L18800" t="n">
        <v>0</v>
      </c>
      <c r="M18800" t="n">
        <v>0</v>
      </c>
      <c r="N18800" t="n">
        <v>0</v>
      </c>
      <c r="O18800" t="n">
        <v>0</v>
      </c>
      <c r="P18800" t="n">
        <v>0</v>
      </c>
      <c r="Q18800" t="n">
        <v>0</v>
      </c>
      <c r="R18800" s="2" t="inlineStr"/>
    </row>
    <row r="18801" ht="15" customHeight="1">
      <c r="A18801" t="inlineStr">
        <is>
          <t>A 7133-2025</t>
        </is>
      </c>
      <c r="B18801" s="1" t="n">
        <v>45702</v>
      </c>
      <c r="C18801" s="1" t="n">
        <v>45810</v>
      </c>
      <c r="D18801" t="inlineStr">
        <is>
          <t>VÄRMLANDS LÄN</t>
        </is>
      </c>
      <c r="E18801" t="inlineStr">
        <is>
          <t>KARLSTAD</t>
        </is>
      </c>
      <c r="G18801" t="n">
        <v>2.5</v>
      </c>
      <c r="H18801" t="n">
        <v>0</v>
      </c>
      <c r="I18801" t="n">
        <v>0</v>
      </c>
      <c r="J18801" t="n">
        <v>0</v>
      </c>
      <c r="K18801" t="n">
        <v>0</v>
      </c>
      <c r="L18801" t="n">
        <v>0</v>
      </c>
      <c r="M18801" t="n">
        <v>0</v>
      </c>
      <c r="N18801" t="n">
        <v>0</v>
      </c>
      <c r="O18801" t="n">
        <v>0</v>
      </c>
      <c r="P18801" t="n">
        <v>0</v>
      </c>
      <c r="Q18801" t="n">
        <v>0</v>
      </c>
      <c r="R18801" s="2" t="inlineStr"/>
    </row>
    <row r="18802" ht="15" customHeight="1">
      <c r="A18802" t="inlineStr">
        <is>
          <t>A 7137-2025</t>
        </is>
      </c>
      <c r="B18802" s="1" t="n">
        <v>45702</v>
      </c>
      <c r="C18802" s="1" t="n">
        <v>45810</v>
      </c>
      <c r="D18802" t="inlineStr">
        <is>
          <t>VÄRMLANDS LÄN</t>
        </is>
      </c>
      <c r="E18802" t="inlineStr">
        <is>
          <t>SÄFFLE</t>
        </is>
      </c>
      <c r="G18802" t="n">
        <v>0.6</v>
      </c>
      <c r="H18802" t="n">
        <v>0</v>
      </c>
      <c r="I18802" t="n">
        <v>0</v>
      </c>
      <c r="J18802" t="n">
        <v>0</v>
      </c>
      <c r="K18802" t="n">
        <v>0</v>
      </c>
      <c r="L18802" t="n">
        <v>0</v>
      </c>
      <c r="M18802" t="n">
        <v>0</v>
      </c>
      <c r="N18802" t="n">
        <v>0</v>
      </c>
      <c r="O18802" t="n">
        <v>0</v>
      </c>
      <c r="P18802" t="n">
        <v>0</v>
      </c>
      <c r="Q18802" t="n">
        <v>0</v>
      </c>
      <c r="R18802" s="2" t="inlineStr"/>
    </row>
    <row r="18803" ht="15" customHeight="1">
      <c r="A18803" t="inlineStr">
        <is>
          <t>A 7209-2025</t>
        </is>
      </c>
      <c r="B18803" s="1" t="n">
        <v>45702</v>
      </c>
      <c r="C18803" s="1" t="n">
        <v>45810</v>
      </c>
      <c r="D18803" t="inlineStr">
        <is>
          <t>VÄRMLANDS LÄN</t>
        </is>
      </c>
      <c r="E18803" t="inlineStr">
        <is>
          <t>HAGFORS</t>
        </is>
      </c>
      <c r="G18803" t="n">
        <v>1.1</v>
      </c>
      <c r="H18803" t="n">
        <v>0</v>
      </c>
      <c r="I18803" t="n">
        <v>0</v>
      </c>
      <c r="J18803" t="n">
        <v>0</v>
      </c>
      <c r="K18803" t="n">
        <v>0</v>
      </c>
      <c r="L18803" t="n">
        <v>0</v>
      </c>
      <c r="M18803" t="n">
        <v>0</v>
      </c>
      <c r="N18803" t="n">
        <v>0</v>
      </c>
      <c r="O18803" t="n">
        <v>0</v>
      </c>
      <c r="P18803" t="n">
        <v>0</v>
      </c>
      <c r="Q18803" t="n">
        <v>0</v>
      </c>
      <c r="R18803" s="2" t="inlineStr"/>
    </row>
    <row r="18804" ht="15" customHeight="1">
      <c r="A18804" t="inlineStr">
        <is>
          <t>A 7214-2025</t>
        </is>
      </c>
      <c r="B18804" s="1" t="n">
        <v>45702</v>
      </c>
      <c r="C18804" s="1" t="n">
        <v>45810</v>
      </c>
      <c r="D18804" t="inlineStr">
        <is>
          <t>VÄRMLANDS LÄN</t>
        </is>
      </c>
      <c r="E18804" t="inlineStr">
        <is>
          <t>TORSBY</t>
        </is>
      </c>
      <c r="G18804" t="n">
        <v>1.1</v>
      </c>
      <c r="H18804" t="n">
        <v>0</v>
      </c>
      <c r="I18804" t="n">
        <v>0</v>
      </c>
      <c r="J18804" t="n">
        <v>0</v>
      </c>
      <c r="K18804" t="n">
        <v>0</v>
      </c>
      <c r="L18804" t="n">
        <v>0</v>
      </c>
      <c r="M18804" t="n">
        <v>0</v>
      </c>
      <c r="N18804" t="n">
        <v>0</v>
      </c>
      <c r="O18804" t="n">
        <v>0</v>
      </c>
      <c r="P18804" t="n">
        <v>0</v>
      </c>
      <c r="Q18804" t="n">
        <v>0</v>
      </c>
      <c r="R18804" s="2" t="inlineStr"/>
    </row>
    <row r="18805" ht="15" customHeight="1">
      <c r="A18805" t="inlineStr">
        <is>
          <t>A 7244-2025</t>
        </is>
      </c>
      <c r="B18805" s="1" t="n">
        <v>45702</v>
      </c>
      <c r="C18805" s="1" t="n">
        <v>45810</v>
      </c>
      <c r="D18805" t="inlineStr">
        <is>
          <t>VÄRMLANDS LÄN</t>
        </is>
      </c>
      <c r="E18805" t="inlineStr">
        <is>
          <t>SUNNE</t>
        </is>
      </c>
      <c r="G18805" t="n">
        <v>2.5</v>
      </c>
      <c r="H18805" t="n">
        <v>0</v>
      </c>
      <c r="I18805" t="n">
        <v>0</v>
      </c>
      <c r="J18805" t="n">
        <v>0</v>
      </c>
      <c r="K18805" t="n">
        <v>0</v>
      </c>
      <c r="L18805" t="n">
        <v>0</v>
      </c>
      <c r="M18805" t="n">
        <v>0</v>
      </c>
      <c r="N18805" t="n">
        <v>0</v>
      </c>
      <c r="O18805" t="n">
        <v>0</v>
      </c>
      <c r="P18805" t="n">
        <v>0</v>
      </c>
      <c r="Q18805" t="n">
        <v>0</v>
      </c>
      <c r="R18805" s="2" t="inlineStr"/>
    </row>
    <row r="18806" ht="15" customHeight="1">
      <c r="A18806" t="inlineStr">
        <is>
          <t>A 7287-2025</t>
        </is>
      </c>
      <c r="B18806" s="1" t="n">
        <v>45702</v>
      </c>
      <c r="C18806" s="1" t="n">
        <v>45810</v>
      </c>
      <c r="D18806" t="inlineStr">
        <is>
          <t>VÄRMLANDS LÄN</t>
        </is>
      </c>
      <c r="E18806" t="inlineStr">
        <is>
          <t>SUNNE</t>
        </is>
      </c>
      <c r="F18806" t="inlineStr">
        <is>
          <t>Bergvik skog väst AB</t>
        </is>
      </c>
      <c r="G18806" t="n">
        <v>0.7</v>
      </c>
      <c r="H18806" t="n">
        <v>0</v>
      </c>
      <c r="I18806" t="n">
        <v>0</v>
      </c>
      <c r="J18806" t="n">
        <v>0</v>
      </c>
      <c r="K18806" t="n">
        <v>0</v>
      </c>
      <c r="L18806" t="n">
        <v>0</v>
      </c>
      <c r="M18806" t="n">
        <v>0</v>
      </c>
      <c r="N18806" t="n">
        <v>0</v>
      </c>
      <c r="O18806" t="n">
        <v>0</v>
      </c>
      <c r="P18806" t="n">
        <v>0</v>
      </c>
      <c r="Q18806" t="n">
        <v>0</v>
      </c>
      <c r="R18806" s="2" t="inlineStr"/>
    </row>
    <row r="18807" ht="15" customHeight="1">
      <c r="A18807" t="inlineStr">
        <is>
          <t>A 7407-2025</t>
        </is>
      </c>
      <c r="B18807" s="1" t="n">
        <v>45702</v>
      </c>
      <c r="C18807" s="1" t="n">
        <v>45810</v>
      </c>
      <c r="D18807" t="inlineStr">
        <is>
          <t>VÄRMLANDS LÄN</t>
        </is>
      </c>
      <c r="E18807" t="inlineStr">
        <is>
          <t>KRISTINEHAMN</t>
        </is>
      </c>
      <c r="F18807" t="inlineStr">
        <is>
          <t>Sveaskog</t>
        </is>
      </c>
      <c r="G18807" t="n">
        <v>2.8</v>
      </c>
      <c r="H18807" t="n">
        <v>0</v>
      </c>
      <c r="I18807" t="n">
        <v>0</v>
      </c>
      <c r="J18807" t="n">
        <v>0</v>
      </c>
      <c r="K18807" t="n">
        <v>0</v>
      </c>
      <c r="L18807" t="n">
        <v>0</v>
      </c>
      <c r="M18807" t="n">
        <v>0</v>
      </c>
      <c r="N18807" t="n">
        <v>0</v>
      </c>
      <c r="O18807" t="n">
        <v>0</v>
      </c>
      <c r="P18807" t="n">
        <v>0</v>
      </c>
      <c r="Q18807" t="n">
        <v>0</v>
      </c>
      <c r="R18807" s="2" t="inlineStr"/>
    </row>
    <row r="18808" ht="15" customHeight="1">
      <c r="A18808" t="inlineStr">
        <is>
          <t>A 7314-2025</t>
        </is>
      </c>
      <c r="B18808" s="1" t="n">
        <v>45702</v>
      </c>
      <c r="C18808" s="1" t="n">
        <v>45810</v>
      </c>
      <c r="D18808" t="inlineStr">
        <is>
          <t>VÄRMLANDS LÄN</t>
        </is>
      </c>
      <c r="E18808" t="inlineStr">
        <is>
          <t>ARVIKA</t>
        </is>
      </c>
      <c r="G18808" t="n">
        <v>2.2</v>
      </c>
      <c r="H18808" t="n">
        <v>0</v>
      </c>
      <c r="I18808" t="n">
        <v>0</v>
      </c>
      <c r="J18808" t="n">
        <v>0</v>
      </c>
      <c r="K18808" t="n">
        <v>0</v>
      </c>
      <c r="L18808" t="n">
        <v>0</v>
      </c>
      <c r="M18808" t="n">
        <v>0</v>
      </c>
      <c r="N18808" t="n">
        <v>0</v>
      </c>
      <c r="O18808" t="n">
        <v>0</v>
      </c>
      <c r="P18808" t="n">
        <v>0</v>
      </c>
      <c r="Q18808" t="n">
        <v>0</v>
      </c>
      <c r="R18808" s="2" t="inlineStr"/>
    </row>
    <row r="18809" ht="15" customHeight="1">
      <c r="A18809" t="inlineStr">
        <is>
          <t>A 7257-2025</t>
        </is>
      </c>
      <c r="B18809" s="1" t="n">
        <v>45702</v>
      </c>
      <c r="C18809" s="1" t="n">
        <v>45810</v>
      </c>
      <c r="D18809" t="inlineStr">
        <is>
          <t>VÄRMLANDS LÄN</t>
        </is>
      </c>
      <c r="E18809" t="inlineStr">
        <is>
          <t>SUNNE</t>
        </is>
      </c>
      <c r="G18809" t="n">
        <v>4.2</v>
      </c>
      <c r="H18809" t="n">
        <v>0</v>
      </c>
      <c r="I18809" t="n">
        <v>0</v>
      </c>
      <c r="J18809" t="n">
        <v>0</v>
      </c>
      <c r="K18809" t="n">
        <v>0</v>
      </c>
      <c r="L18809" t="n">
        <v>0</v>
      </c>
      <c r="M18809" t="n">
        <v>0</v>
      </c>
      <c r="N18809" t="n">
        <v>0</v>
      </c>
      <c r="O18809" t="n">
        <v>0</v>
      </c>
      <c r="P18809" t="n">
        <v>0</v>
      </c>
      <c r="Q18809" t="n">
        <v>0</v>
      </c>
      <c r="R18809" s="2" t="inlineStr"/>
    </row>
    <row r="18810" ht="15" customHeight="1">
      <c r="A18810" t="inlineStr">
        <is>
          <t>A 7156-2025</t>
        </is>
      </c>
      <c r="B18810" s="1" t="n">
        <v>45702</v>
      </c>
      <c r="C18810" s="1" t="n">
        <v>45810</v>
      </c>
      <c r="D18810" t="inlineStr">
        <is>
          <t>VÄRMLANDS LÄN</t>
        </is>
      </c>
      <c r="E18810" t="inlineStr">
        <is>
          <t>HAGFORS</t>
        </is>
      </c>
      <c r="G18810" t="n">
        <v>1.6</v>
      </c>
      <c r="H18810" t="n">
        <v>0</v>
      </c>
      <c r="I18810" t="n">
        <v>0</v>
      </c>
      <c r="J18810" t="n">
        <v>0</v>
      </c>
      <c r="K18810" t="n">
        <v>0</v>
      </c>
      <c r="L18810" t="n">
        <v>0</v>
      </c>
      <c r="M18810" t="n">
        <v>0</v>
      </c>
      <c r="N18810" t="n">
        <v>0</v>
      </c>
      <c r="O18810" t="n">
        <v>0</v>
      </c>
      <c r="P18810" t="n">
        <v>0</v>
      </c>
      <c r="Q18810" t="n">
        <v>0</v>
      </c>
      <c r="R18810" s="2" t="inlineStr"/>
    </row>
    <row r="18811" ht="15" customHeight="1">
      <c r="A18811" t="inlineStr">
        <is>
          <t>A 7148-2025</t>
        </is>
      </c>
      <c r="B18811" s="1" t="n">
        <v>45702</v>
      </c>
      <c r="C18811" s="1" t="n">
        <v>45810</v>
      </c>
      <c r="D18811" t="inlineStr">
        <is>
          <t>VÄRMLANDS LÄN</t>
        </is>
      </c>
      <c r="E18811" t="inlineStr">
        <is>
          <t>HAGFORS</t>
        </is>
      </c>
      <c r="G18811" t="n">
        <v>2.4</v>
      </c>
      <c r="H18811" t="n">
        <v>0</v>
      </c>
      <c r="I18811" t="n">
        <v>0</v>
      </c>
      <c r="J18811" t="n">
        <v>0</v>
      </c>
      <c r="K18811" t="n">
        <v>0</v>
      </c>
      <c r="L18811" t="n">
        <v>0</v>
      </c>
      <c r="M18811" t="n">
        <v>0</v>
      </c>
      <c r="N18811" t="n">
        <v>0</v>
      </c>
      <c r="O18811" t="n">
        <v>0</v>
      </c>
      <c r="P18811" t="n">
        <v>0</v>
      </c>
      <c r="Q18811" t="n">
        <v>0</v>
      </c>
      <c r="R18811" s="2" t="inlineStr"/>
    </row>
    <row r="18812" ht="15" customHeight="1">
      <c r="A18812" t="inlineStr">
        <is>
          <t>A 7132-2025</t>
        </is>
      </c>
      <c r="B18812" s="1" t="n">
        <v>45702</v>
      </c>
      <c r="C18812" s="1" t="n">
        <v>45810</v>
      </c>
      <c r="D18812" t="inlineStr">
        <is>
          <t>VÄRMLANDS LÄN</t>
        </is>
      </c>
      <c r="E18812" t="inlineStr">
        <is>
          <t>SÄFFLE</t>
        </is>
      </c>
      <c r="G18812" t="n">
        <v>0.6</v>
      </c>
      <c r="H18812" t="n">
        <v>0</v>
      </c>
      <c r="I18812" t="n">
        <v>0</v>
      </c>
      <c r="J18812" t="n">
        <v>0</v>
      </c>
      <c r="K18812" t="n">
        <v>0</v>
      </c>
      <c r="L18812" t="n">
        <v>0</v>
      </c>
      <c r="M18812" t="n">
        <v>0</v>
      </c>
      <c r="N18812" t="n">
        <v>0</v>
      </c>
      <c r="O18812" t="n">
        <v>0</v>
      </c>
      <c r="P18812" t="n">
        <v>0</v>
      </c>
      <c r="Q18812" t="n">
        <v>0</v>
      </c>
      <c r="R18812" s="2" t="inlineStr"/>
    </row>
    <row r="18813" ht="15" customHeight="1">
      <c r="A18813" t="inlineStr">
        <is>
          <t>A 7215-2025</t>
        </is>
      </c>
      <c r="B18813" s="1" t="n">
        <v>45702</v>
      </c>
      <c r="C18813" s="1" t="n">
        <v>45810</v>
      </c>
      <c r="D18813" t="inlineStr">
        <is>
          <t>VÄRMLANDS LÄN</t>
        </is>
      </c>
      <c r="E18813" t="inlineStr">
        <is>
          <t>TORSBY</t>
        </is>
      </c>
      <c r="G18813" t="n">
        <v>1</v>
      </c>
      <c r="H18813" t="n">
        <v>0</v>
      </c>
      <c r="I18813" t="n">
        <v>0</v>
      </c>
      <c r="J18813" t="n">
        <v>0</v>
      </c>
      <c r="K18813" t="n">
        <v>0</v>
      </c>
      <c r="L18813" t="n">
        <v>0</v>
      </c>
      <c r="M18813" t="n">
        <v>0</v>
      </c>
      <c r="N18813" t="n">
        <v>0</v>
      </c>
      <c r="O18813" t="n">
        <v>0</v>
      </c>
      <c r="P18813" t="n">
        <v>0</v>
      </c>
      <c r="Q18813" t="n">
        <v>0</v>
      </c>
      <c r="R18813" s="2" t="inlineStr"/>
    </row>
    <row r="18814" ht="15" customHeight="1">
      <c r="A18814" t="inlineStr">
        <is>
          <t>A 7178-2025</t>
        </is>
      </c>
      <c r="B18814" s="1" t="n">
        <v>45702</v>
      </c>
      <c r="C18814" s="1" t="n">
        <v>45810</v>
      </c>
      <c r="D18814" t="inlineStr">
        <is>
          <t>VÄRMLANDS LÄN</t>
        </is>
      </c>
      <c r="E18814" t="inlineStr">
        <is>
          <t>TORSBY</t>
        </is>
      </c>
      <c r="G18814" t="n">
        <v>2.4</v>
      </c>
      <c r="H18814" t="n">
        <v>0</v>
      </c>
      <c r="I18814" t="n">
        <v>0</v>
      </c>
      <c r="J18814" t="n">
        <v>0</v>
      </c>
      <c r="K18814" t="n">
        <v>0</v>
      </c>
      <c r="L18814" t="n">
        <v>0</v>
      </c>
      <c r="M18814" t="n">
        <v>0</v>
      </c>
      <c r="N18814" t="n">
        <v>0</v>
      </c>
      <c r="O18814" t="n">
        <v>0</v>
      </c>
      <c r="P18814" t="n">
        <v>0</v>
      </c>
      <c r="Q18814" t="n">
        <v>0</v>
      </c>
      <c r="R18814" s="2" t="inlineStr"/>
    </row>
    <row r="18815" ht="15" customHeight="1">
      <c r="A18815" t="inlineStr">
        <is>
          <t>A 7122-2025</t>
        </is>
      </c>
      <c r="B18815" s="1" t="n">
        <v>45702</v>
      </c>
      <c r="C18815" s="1" t="n">
        <v>45810</v>
      </c>
      <c r="D18815" t="inlineStr">
        <is>
          <t>VÄRMLANDS LÄN</t>
        </is>
      </c>
      <c r="E18815" t="inlineStr">
        <is>
          <t>SÄFFLE</t>
        </is>
      </c>
      <c r="G18815" t="n">
        <v>1.6</v>
      </c>
      <c r="H18815" t="n">
        <v>0</v>
      </c>
      <c r="I18815" t="n">
        <v>0</v>
      </c>
      <c r="J18815" t="n">
        <v>0</v>
      </c>
      <c r="K18815" t="n">
        <v>0</v>
      </c>
      <c r="L18815" t="n">
        <v>0</v>
      </c>
      <c r="M18815" t="n">
        <v>0</v>
      </c>
      <c r="N18815" t="n">
        <v>0</v>
      </c>
      <c r="O18815" t="n">
        <v>0</v>
      </c>
      <c r="P18815" t="n">
        <v>0</v>
      </c>
      <c r="Q18815" t="n">
        <v>0</v>
      </c>
      <c r="R18815" s="2" t="inlineStr"/>
    </row>
    <row r="18816" ht="15" customHeight="1">
      <c r="A18816" t="inlineStr">
        <is>
          <t>A 7258-2025</t>
        </is>
      </c>
      <c r="B18816" s="1" t="n">
        <v>45702</v>
      </c>
      <c r="C18816" s="1" t="n">
        <v>45810</v>
      </c>
      <c r="D18816" t="inlineStr">
        <is>
          <t>VÄRMLANDS LÄN</t>
        </is>
      </c>
      <c r="E18816" t="inlineStr">
        <is>
          <t>SUNNE</t>
        </is>
      </c>
      <c r="G18816" t="n">
        <v>4.7</v>
      </c>
      <c r="H18816" t="n">
        <v>0</v>
      </c>
      <c r="I18816" t="n">
        <v>0</v>
      </c>
      <c r="J18816" t="n">
        <v>0</v>
      </c>
      <c r="K18816" t="n">
        <v>0</v>
      </c>
      <c r="L18816" t="n">
        <v>0</v>
      </c>
      <c r="M18816" t="n">
        <v>0</v>
      </c>
      <c r="N18816" t="n">
        <v>0</v>
      </c>
      <c r="O18816" t="n">
        <v>0</v>
      </c>
      <c r="P18816" t="n">
        <v>0</v>
      </c>
      <c r="Q18816" t="n">
        <v>0</v>
      </c>
      <c r="R18816" s="2" t="inlineStr"/>
    </row>
    <row r="18817" ht="15" customHeight="1">
      <c r="A18817" t="inlineStr">
        <is>
          <t>A 7338-2025</t>
        </is>
      </c>
      <c r="B18817" s="1" t="n">
        <v>45703</v>
      </c>
      <c r="C18817" s="1" t="n">
        <v>45810</v>
      </c>
      <c r="D18817" t="inlineStr">
        <is>
          <t>VÄRMLANDS LÄN</t>
        </is>
      </c>
      <c r="E18817" t="inlineStr">
        <is>
          <t>SUNNE</t>
        </is>
      </c>
      <c r="G18817" t="n">
        <v>2.2</v>
      </c>
      <c r="H18817" t="n">
        <v>0</v>
      </c>
      <c r="I18817" t="n">
        <v>0</v>
      </c>
      <c r="J18817" t="n">
        <v>0</v>
      </c>
      <c r="K18817" t="n">
        <v>0</v>
      </c>
      <c r="L18817" t="n">
        <v>0</v>
      </c>
      <c r="M18817" t="n">
        <v>0</v>
      </c>
      <c r="N18817" t="n">
        <v>0</v>
      </c>
      <c r="O18817" t="n">
        <v>0</v>
      </c>
      <c r="P18817" t="n">
        <v>0</v>
      </c>
      <c r="Q18817" t="n">
        <v>0</v>
      </c>
      <c r="R18817" s="2" t="inlineStr"/>
    </row>
    <row r="18818" ht="15" customHeight="1">
      <c r="A18818" t="inlineStr">
        <is>
          <t>A 7348-2025</t>
        </is>
      </c>
      <c r="B18818" s="1" t="n">
        <v>45703</v>
      </c>
      <c r="C18818" s="1" t="n">
        <v>45810</v>
      </c>
      <c r="D18818" t="inlineStr">
        <is>
          <t>VÄRMLANDS LÄN</t>
        </is>
      </c>
      <c r="E18818" t="inlineStr">
        <is>
          <t>ARVIKA</t>
        </is>
      </c>
      <c r="G18818" t="n">
        <v>0.5</v>
      </c>
      <c r="H18818" t="n">
        <v>0</v>
      </c>
      <c r="I18818" t="n">
        <v>0</v>
      </c>
      <c r="J18818" t="n">
        <v>0</v>
      </c>
      <c r="K18818" t="n">
        <v>0</v>
      </c>
      <c r="L18818" t="n">
        <v>0</v>
      </c>
      <c r="M18818" t="n">
        <v>0</v>
      </c>
      <c r="N18818" t="n">
        <v>0</v>
      </c>
      <c r="O18818" t="n">
        <v>0</v>
      </c>
      <c r="P18818" t="n">
        <v>0</v>
      </c>
      <c r="Q18818" t="n">
        <v>0</v>
      </c>
      <c r="R18818" s="2" t="inlineStr"/>
    </row>
    <row r="18819" ht="15" customHeight="1">
      <c r="A18819" t="inlineStr">
        <is>
          <t>A 7332-2025</t>
        </is>
      </c>
      <c r="B18819" s="1" t="n">
        <v>45703</v>
      </c>
      <c r="C18819" s="1" t="n">
        <v>45810</v>
      </c>
      <c r="D18819" t="inlineStr">
        <is>
          <t>VÄRMLANDS LÄN</t>
        </is>
      </c>
      <c r="E18819" t="inlineStr">
        <is>
          <t>HAGFORS</t>
        </is>
      </c>
      <c r="F18819" t="inlineStr">
        <is>
          <t>Kyrkan</t>
        </is>
      </c>
      <c r="G18819" t="n">
        <v>15.9</v>
      </c>
      <c r="H18819" t="n">
        <v>0</v>
      </c>
      <c r="I18819" t="n">
        <v>0</v>
      </c>
      <c r="J18819" t="n">
        <v>0</v>
      </c>
      <c r="K18819" t="n">
        <v>0</v>
      </c>
      <c r="L18819" t="n">
        <v>0</v>
      </c>
      <c r="M18819" t="n">
        <v>0</v>
      </c>
      <c r="N18819" t="n">
        <v>0</v>
      </c>
      <c r="O18819" t="n">
        <v>0</v>
      </c>
      <c r="P18819" t="n">
        <v>0</v>
      </c>
      <c r="Q18819" t="n">
        <v>0</v>
      </c>
      <c r="R18819" s="2" t="inlineStr"/>
    </row>
    <row r="18820" ht="15" customHeight="1">
      <c r="A18820" t="inlineStr">
        <is>
          <t>A 7347-2025</t>
        </is>
      </c>
      <c r="B18820" s="1" t="n">
        <v>45703</v>
      </c>
      <c r="C18820" s="1" t="n">
        <v>45810</v>
      </c>
      <c r="D18820" t="inlineStr">
        <is>
          <t>VÄRMLANDS LÄN</t>
        </is>
      </c>
      <c r="E18820" t="inlineStr">
        <is>
          <t>ARVIKA</t>
        </is>
      </c>
      <c r="G18820" t="n">
        <v>1.5</v>
      </c>
      <c r="H18820" t="n">
        <v>0</v>
      </c>
      <c r="I18820" t="n">
        <v>0</v>
      </c>
      <c r="J18820" t="n">
        <v>0</v>
      </c>
      <c r="K18820" t="n">
        <v>0</v>
      </c>
      <c r="L18820" t="n">
        <v>0</v>
      </c>
      <c r="M18820" t="n">
        <v>0</v>
      </c>
      <c r="N18820" t="n">
        <v>0</v>
      </c>
      <c r="O18820" t="n">
        <v>0</v>
      </c>
      <c r="P18820" t="n">
        <v>0</v>
      </c>
      <c r="Q18820" t="n">
        <v>0</v>
      </c>
      <c r="R18820" s="2" t="inlineStr"/>
    </row>
    <row r="18821" ht="15" customHeight="1">
      <c r="A18821" t="inlineStr">
        <is>
          <t>A 7368-2025</t>
        </is>
      </c>
      <c r="B18821" s="1" t="n">
        <v>45704</v>
      </c>
      <c r="C18821" s="1" t="n">
        <v>45810</v>
      </c>
      <c r="D18821" t="inlineStr">
        <is>
          <t>VÄRMLANDS LÄN</t>
        </is>
      </c>
      <c r="E18821" t="inlineStr">
        <is>
          <t>KIL</t>
        </is>
      </c>
      <c r="G18821" t="n">
        <v>1.5</v>
      </c>
      <c r="H18821" t="n">
        <v>0</v>
      </c>
      <c r="I18821" t="n">
        <v>0</v>
      </c>
      <c r="J18821" t="n">
        <v>0</v>
      </c>
      <c r="K18821" t="n">
        <v>0</v>
      </c>
      <c r="L18821" t="n">
        <v>0</v>
      </c>
      <c r="M18821" t="n">
        <v>0</v>
      </c>
      <c r="N18821" t="n">
        <v>0</v>
      </c>
      <c r="O18821" t="n">
        <v>0</v>
      </c>
      <c r="P18821" t="n">
        <v>0</v>
      </c>
      <c r="Q18821" t="n">
        <v>0</v>
      </c>
      <c r="R18821" s="2" t="inlineStr"/>
    </row>
    <row r="18822" ht="15" customHeight="1">
      <c r="A18822" t="inlineStr">
        <is>
          <t>A 7360-2025</t>
        </is>
      </c>
      <c r="B18822" s="1" t="n">
        <v>45704</v>
      </c>
      <c r="C18822" s="1" t="n">
        <v>45810</v>
      </c>
      <c r="D18822" t="inlineStr">
        <is>
          <t>VÄRMLANDS LÄN</t>
        </is>
      </c>
      <c r="E18822" t="inlineStr">
        <is>
          <t>SÄFFLE</t>
        </is>
      </c>
      <c r="G18822" t="n">
        <v>3.5</v>
      </c>
      <c r="H18822" t="n">
        <v>0</v>
      </c>
      <c r="I18822" t="n">
        <v>0</v>
      </c>
      <c r="J18822" t="n">
        <v>0</v>
      </c>
      <c r="K18822" t="n">
        <v>0</v>
      </c>
      <c r="L18822" t="n">
        <v>0</v>
      </c>
      <c r="M18822" t="n">
        <v>0</v>
      </c>
      <c r="N18822" t="n">
        <v>0</v>
      </c>
      <c r="O18822" t="n">
        <v>0</v>
      </c>
      <c r="P18822" t="n">
        <v>0</v>
      </c>
      <c r="Q18822" t="n">
        <v>0</v>
      </c>
      <c r="R18822" s="2" t="inlineStr"/>
    </row>
    <row r="18823" ht="15" customHeight="1">
      <c r="A18823" t="inlineStr">
        <is>
          <t>A 7370-2025</t>
        </is>
      </c>
      <c r="B18823" s="1" t="n">
        <v>45704</v>
      </c>
      <c r="C18823" s="1" t="n">
        <v>45810</v>
      </c>
      <c r="D18823" t="inlineStr">
        <is>
          <t>VÄRMLANDS LÄN</t>
        </is>
      </c>
      <c r="E18823" t="inlineStr">
        <is>
          <t>KARLSTAD</t>
        </is>
      </c>
      <c r="G18823" t="n">
        <v>0.8</v>
      </c>
      <c r="H18823" t="n">
        <v>0</v>
      </c>
      <c r="I18823" t="n">
        <v>0</v>
      </c>
      <c r="J18823" t="n">
        <v>0</v>
      </c>
      <c r="K18823" t="n">
        <v>0</v>
      </c>
      <c r="L18823" t="n">
        <v>0</v>
      </c>
      <c r="M18823" t="n">
        <v>0</v>
      </c>
      <c r="N18823" t="n">
        <v>0</v>
      </c>
      <c r="O18823" t="n">
        <v>0</v>
      </c>
      <c r="P18823" t="n">
        <v>0</v>
      </c>
      <c r="Q18823" t="n">
        <v>0</v>
      </c>
      <c r="R18823" s="2" t="inlineStr"/>
    </row>
    <row r="18824" ht="15" customHeight="1">
      <c r="A18824" t="inlineStr">
        <is>
          <t>A 7367-2025</t>
        </is>
      </c>
      <c r="B18824" s="1" t="n">
        <v>45704</v>
      </c>
      <c r="C18824" s="1" t="n">
        <v>45810</v>
      </c>
      <c r="D18824" t="inlineStr">
        <is>
          <t>VÄRMLANDS LÄN</t>
        </is>
      </c>
      <c r="E18824" t="inlineStr">
        <is>
          <t>EDA</t>
        </is>
      </c>
      <c r="G18824" t="n">
        <v>1.7</v>
      </c>
      <c r="H18824" t="n">
        <v>0</v>
      </c>
      <c r="I18824" t="n">
        <v>0</v>
      </c>
      <c r="J18824" t="n">
        <v>0</v>
      </c>
      <c r="K18824" t="n">
        <v>0</v>
      </c>
      <c r="L18824" t="n">
        <v>0</v>
      </c>
      <c r="M18824" t="n">
        <v>0</v>
      </c>
      <c r="N18824" t="n">
        <v>0</v>
      </c>
      <c r="O18824" t="n">
        <v>0</v>
      </c>
      <c r="P18824" t="n">
        <v>0</v>
      </c>
      <c r="Q18824" t="n">
        <v>0</v>
      </c>
      <c r="R18824" s="2" t="inlineStr"/>
    </row>
    <row r="18825" ht="15" customHeight="1">
      <c r="A18825" t="inlineStr">
        <is>
          <t>A 7361-2025</t>
        </is>
      </c>
      <c r="B18825" s="1" t="n">
        <v>45704</v>
      </c>
      <c r="C18825" s="1" t="n">
        <v>45810</v>
      </c>
      <c r="D18825" t="inlineStr">
        <is>
          <t>VÄRMLANDS LÄN</t>
        </is>
      </c>
      <c r="E18825" t="inlineStr">
        <is>
          <t>SÄFFLE</t>
        </is>
      </c>
      <c r="G18825" t="n">
        <v>0.2</v>
      </c>
      <c r="H18825" t="n">
        <v>0</v>
      </c>
      <c r="I18825" t="n">
        <v>0</v>
      </c>
      <c r="J18825" t="n">
        <v>0</v>
      </c>
      <c r="K18825" t="n">
        <v>0</v>
      </c>
      <c r="L18825" t="n">
        <v>0</v>
      </c>
      <c r="M18825" t="n">
        <v>0</v>
      </c>
      <c r="N18825" t="n">
        <v>0</v>
      </c>
      <c r="O18825" t="n">
        <v>0</v>
      </c>
      <c r="P18825" t="n">
        <v>0</v>
      </c>
      <c r="Q18825" t="n">
        <v>0</v>
      </c>
      <c r="R18825" s="2" t="inlineStr"/>
    </row>
    <row r="18826" ht="15" customHeight="1">
      <c r="A18826" t="inlineStr">
        <is>
          <t>A 7698-2025</t>
        </is>
      </c>
      <c r="B18826" s="1" t="n">
        <v>45705</v>
      </c>
      <c r="C18826" s="1" t="n">
        <v>45810</v>
      </c>
      <c r="D18826" t="inlineStr">
        <is>
          <t>VÄRMLANDS LÄN</t>
        </is>
      </c>
      <c r="E18826" t="inlineStr">
        <is>
          <t>KRISTINEHAMN</t>
        </is>
      </c>
      <c r="G18826" t="n">
        <v>1.8</v>
      </c>
      <c r="H18826" t="n">
        <v>0</v>
      </c>
      <c r="I18826" t="n">
        <v>0</v>
      </c>
      <c r="J18826" t="n">
        <v>0</v>
      </c>
      <c r="K18826" t="n">
        <v>0</v>
      </c>
      <c r="L18826" t="n">
        <v>0</v>
      </c>
      <c r="M18826" t="n">
        <v>0</v>
      </c>
      <c r="N18826" t="n">
        <v>0</v>
      </c>
      <c r="O18826" t="n">
        <v>0</v>
      </c>
      <c r="P18826" t="n">
        <v>0</v>
      </c>
      <c r="Q18826" t="n">
        <v>0</v>
      </c>
      <c r="R18826" s="2" t="inlineStr"/>
    </row>
    <row r="18827" ht="15" customHeight="1">
      <c r="A18827" t="inlineStr">
        <is>
          <t>A 7584-2025</t>
        </is>
      </c>
      <c r="B18827" s="1" t="n">
        <v>45705</v>
      </c>
      <c r="C18827" s="1" t="n">
        <v>45810</v>
      </c>
      <c r="D18827" t="inlineStr">
        <is>
          <t>VÄRMLANDS LÄN</t>
        </is>
      </c>
      <c r="E18827" t="inlineStr">
        <is>
          <t>KARLSTAD</t>
        </is>
      </c>
      <c r="G18827" t="n">
        <v>0.9</v>
      </c>
      <c r="H18827" t="n">
        <v>0</v>
      </c>
      <c r="I18827" t="n">
        <v>0</v>
      </c>
      <c r="J18827" t="n">
        <v>0</v>
      </c>
      <c r="K18827" t="n">
        <v>0</v>
      </c>
      <c r="L18827" t="n">
        <v>0</v>
      </c>
      <c r="M18827" t="n">
        <v>0</v>
      </c>
      <c r="N18827" t="n">
        <v>0</v>
      </c>
      <c r="O18827" t="n">
        <v>0</v>
      </c>
      <c r="P18827" t="n">
        <v>0</v>
      </c>
      <c r="Q18827" t="n">
        <v>0</v>
      </c>
      <c r="R18827" s="2" t="inlineStr"/>
    </row>
    <row r="18828" ht="15" customHeight="1">
      <c r="A18828" t="inlineStr">
        <is>
          <t>A 7695-2025</t>
        </is>
      </c>
      <c r="B18828" s="1" t="n">
        <v>45705</v>
      </c>
      <c r="C18828" s="1" t="n">
        <v>45810</v>
      </c>
      <c r="D18828" t="inlineStr">
        <is>
          <t>VÄRMLANDS LÄN</t>
        </is>
      </c>
      <c r="E18828" t="inlineStr">
        <is>
          <t>KRISTINEHAMN</t>
        </is>
      </c>
      <c r="G18828" t="n">
        <v>0.5</v>
      </c>
      <c r="H18828" t="n">
        <v>0</v>
      </c>
      <c r="I18828" t="n">
        <v>0</v>
      </c>
      <c r="J18828" t="n">
        <v>0</v>
      </c>
      <c r="K18828" t="n">
        <v>0</v>
      </c>
      <c r="L18828" t="n">
        <v>0</v>
      </c>
      <c r="M18828" t="n">
        <v>0</v>
      </c>
      <c r="N18828" t="n">
        <v>0</v>
      </c>
      <c r="O18828" t="n">
        <v>0</v>
      </c>
      <c r="P18828" t="n">
        <v>0</v>
      </c>
      <c r="Q18828" t="n">
        <v>0</v>
      </c>
      <c r="R18828" s="2" t="inlineStr"/>
    </row>
    <row r="18829" ht="15" customHeight="1">
      <c r="A18829" t="inlineStr">
        <is>
          <t>A 7643-2025</t>
        </is>
      </c>
      <c r="B18829" s="1" t="n">
        <v>45705</v>
      </c>
      <c r="C18829" s="1" t="n">
        <v>45810</v>
      </c>
      <c r="D18829" t="inlineStr">
        <is>
          <t>VÄRMLANDS LÄN</t>
        </is>
      </c>
      <c r="E18829" t="inlineStr">
        <is>
          <t>TORSBY</t>
        </is>
      </c>
      <c r="G18829" t="n">
        <v>1.4</v>
      </c>
      <c r="H18829" t="n">
        <v>0</v>
      </c>
      <c r="I18829" t="n">
        <v>0</v>
      </c>
      <c r="J18829" t="n">
        <v>0</v>
      </c>
      <c r="K18829" t="n">
        <v>0</v>
      </c>
      <c r="L18829" t="n">
        <v>0</v>
      </c>
      <c r="M18829" t="n">
        <v>0</v>
      </c>
      <c r="N18829" t="n">
        <v>0</v>
      </c>
      <c r="O18829" t="n">
        <v>0</v>
      </c>
      <c r="P18829" t="n">
        <v>0</v>
      </c>
      <c r="Q18829" t="n">
        <v>0</v>
      </c>
      <c r="R18829" s="2" t="inlineStr"/>
    </row>
    <row r="18830" ht="15" customHeight="1">
      <c r="A18830" t="inlineStr">
        <is>
          <t>A 7688-2025</t>
        </is>
      </c>
      <c r="B18830" s="1" t="n">
        <v>45705</v>
      </c>
      <c r="C18830" s="1" t="n">
        <v>45810</v>
      </c>
      <c r="D18830" t="inlineStr">
        <is>
          <t>VÄRMLANDS LÄN</t>
        </is>
      </c>
      <c r="E18830" t="inlineStr">
        <is>
          <t>KRISTINEHAMN</t>
        </is>
      </c>
      <c r="G18830" t="n">
        <v>0.7</v>
      </c>
      <c r="H18830" t="n">
        <v>0</v>
      </c>
      <c r="I18830" t="n">
        <v>0</v>
      </c>
      <c r="J18830" t="n">
        <v>0</v>
      </c>
      <c r="K18830" t="n">
        <v>0</v>
      </c>
      <c r="L18830" t="n">
        <v>0</v>
      </c>
      <c r="M18830" t="n">
        <v>0</v>
      </c>
      <c r="N18830" t="n">
        <v>0</v>
      </c>
      <c r="O18830" t="n">
        <v>0</v>
      </c>
      <c r="P18830" t="n">
        <v>0</v>
      </c>
      <c r="Q18830" t="n">
        <v>0</v>
      </c>
      <c r="R18830" s="2" t="inlineStr"/>
    </row>
    <row r="18831" ht="15" customHeight="1">
      <c r="A18831" t="inlineStr">
        <is>
          <t>A 7701-2025</t>
        </is>
      </c>
      <c r="B18831" s="1" t="n">
        <v>45705</v>
      </c>
      <c r="C18831" s="1" t="n">
        <v>45810</v>
      </c>
      <c r="D18831" t="inlineStr">
        <is>
          <t>VÄRMLANDS LÄN</t>
        </is>
      </c>
      <c r="E18831" t="inlineStr">
        <is>
          <t>KRISTINEHAMN</t>
        </is>
      </c>
      <c r="G18831" t="n">
        <v>1.1</v>
      </c>
      <c r="H18831" t="n">
        <v>0</v>
      </c>
      <c r="I18831" t="n">
        <v>0</v>
      </c>
      <c r="J18831" t="n">
        <v>0</v>
      </c>
      <c r="K18831" t="n">
        <v>0</v>
      </c>
      <c r="L18831" t="n">
        <v>0</v>
      </c>
      <c r="M18831" t="n">
        <v>0</v>
      </c>
      <c r="N18831" t="n">
        <v>0</v>
      </c>
      <c r="O18831" t="n">
        <v>0</v>
      </c>
      <c r="P18831" t="n">
        <v>0</v>
      </c>
      <c r="Q18831" t="n">
        <v>0</v>
      </c>
      <c r="R18831" s="2" t="inlineStr"/>
    </row>
    <row r="18832" ht="15" customHeight="1">
      <c r="A18832" t="inlineStr">
        <is>
          <t>A 7555-2025</t>
        </is>
      </c>
      <c r="B18832" s="1" t="n">
        <v>45705</v>
      </c>
      <c r="C18832" s="1" t="n">
        <v>45810</v>
      </c>
      <c r="D18832" t="inlineStr">
        <is>
          <t>VÄRMLANDS LÄN</t>
        </is>
      </c>
      <c r="E18832" t="inlineStr">
        <is>
          <t>FILIPSTAD</t>
        </is>
      </c>
      <c r="G18832" t="n">
        <v>1.6</v>
      </c>
      <c r="H18832" t="n">
        <v>0</v>
      </c>
      <c r="I18832" t="n">
        <v>0</v>
      </c>
      <c r="J18832" t="n">
        <v>0</v>
      </c>
      <c r="K18832" t="n">
        <v>0</v>
      </c>
      <c r="L18832" t="n">
        <v>0</v>
      </c>
      <c r="M18832" t="n">
        <v>0</v>
      </c>
      <c r="N18832" t="n">
        <v>0</v>
      </c>
      <c r="O18832" t="n">
        <v>0</v>
      </c>
      <c r="P18832" t="n">
        <v>0</v>
      </c>
      <c r="Q18832" t="n">
        <v>0</v>
      </c>
      <c r="R18832" s="2" t="inlineStr"/>
    </row>
    <row r="18833" ht="15" customHeight="1">
      <c r="A18833" t="inlineStr">
        <is>
          <t>A 7586-2025</t>
        </is>
      </c>
      <c r="B18833" s="1" t="n">
        <v>45705</v>
      </c>
      <c r="C18833" s="1" t="n">
        <v>45810</v>
      </c>
      <c r="D18833" t="inlineStr">
        <is>
          <t>VÄRMLANDS LÄN</t>
        </is>
      </c>
      <c r="E18833" t="inlineStr">
        <is>
          <t>KIL</t>
        </is>
      </c>
      <c r="G18833" t="n">
        <v>0.7</v>
      </c>
      <c r="H18833" t="n">
        <v>0</v>
      </c>
      <c r="I18833" t="n">
        <v>0</v>
      </c>
      <c r="J18833" t="n">
        <v>0</v>
      </c>
      <c r="K18833" t="n">
        <v>0</v>
      </c>
      <c r="L18833" t="n">
        <v>0</v>
      </c>
      <c r="M18833" t="n">
        <v>0</v>
      </c>
      <c r="N18833" t="n">
        <v>0</v>
      </c>
      <c r="O18833" t="n">
        <v>0</v>
      </c>
      <c r="P18833" t="n">
        <v>0</v>
      </c>
      <c r="Q18833" t="n">
        <v>0</v>
      </c>
      <c r="R18833" s="2" t="inlineStr"/>
    </row>
    <row r="18834" ht="15" customHeight="1">
      <c r="A18834" t="inlineStr">
        <is>
          <t>A 7378-2025</t>
        </is>
      </c>
      <c r="B18834" s="1" t="n">
        <v>45705</v>
      </c>
      <c r="C18834" s="1" t="n">
        <v>45810</v>
      </c>
      <c r="D18834" t="inlineStr">
        <is>
          <t>VÄRMLANDS LÄN</t>
        </is>
      </c>
      <c r="E18834" t="inlineStr">
        <is>
          <t>TORSBY</t>
        </is>
      </c>
      <c r="G18834" t="n">
        <v>3.7</v>
      </c>
      <c r="H18834" t="n">
        <v>0</v>
      </c>
      <c r="I18834" t="n">
        <v>0</v>
      </c>
      <c r="J18834" t="n">
        <v>0</v>
      </c>
      <c r="K18834" t="n">
        <v>0</v>
      </c>
      <c r="L18834" t="n">
        <v>0</v>
      </c>
      <c r="M18834" t="n">
        <v>0</v>
      </c>
      <c r="N18834" t="n">
        <v>0</v>
      </c>
      <c r="O18834" t="n">
        <v>0</v>
      </c>
      <c r="P18834" t="n">
        <v>0</v>
      </c>
      <c r="Q18834" t="n">
        <v>0</v>
      </c>
      <c r="R18834" s="2" t="inlineStr"/>
    </row>
    <row r="18835" ht="15" customHeight="1">
      <c r="A18835" t="inlineStr">
        <is>
          <t>A 7654-2025</t>
        </is>
      </c>
      <c r="B18835" s="1" t="n">
        <v>45705</v>
      </c>
      <c r="C18835" s="1" t="n">
        <v>45810</v>
      </c>
      <c r="D18835" t="inlineStr">
        <is>
          <t>VÄRMLANDS LÄN</t>
        </is>
      </c>
      <c r="E18835" t="inlineStr">
        <is>
          <t>SUNNE</t>
        </is>
      </c>
      <c r="G18835" t="n">
        <v>11.7</v>
      </c>
      <c r="H18835" t="n">
        <v>0</v>
      </c>
      <c r="I18835" t="n">
        <v>0</v>
      </c>
      <c r="J18835" t="n">
        <v>0</v>
      </c>
      <c r="K18835" t="n">
        <v>0</v>
      </c>
      <c r="L18835" t="n">
        <v>0</v>
      </c>
      <c r="M18835" t="n">
        <v>0</v>
      </c>
      <c r="N18835" t="n">
        <v>0</v>
      </c>
      <c r="O18835" t="n">
        <v>0</v>
      </c>
      <c r="P18835" t="n">
        <v>0</v>
      </c>
      <c r="Q18835" t="n">
        <v>0</v>
      </c>
      <c r="R18835" s="2" t="inlineStr"/>
    </row>
    <row r="18836" ht="15" customHeight="1">
      <c r="A18836" t="inlineStr">
        <is>
          <t>A 7420-2025</t>
        </is>
      </c>
      <c r="B18836" s="1" t="n">
        <v>45705</v>
      </c>
      <c r="C18836" s="1" t="n">
        <v>45810</v>
      </c>
      <c r="D18836" t="inlineStr">
        <is>
          <t>VÄRMLANDS LÄN</t>
        </is>
      </c>
      <c r="E18836" t="inlineStr">
        <is>
          <t>TORSBY</t>
        </is>
      </c>
      <c r="G18836" t="n">
        <v>2</v>
      </c>
      <c r="H18836" t="n">
        <v>0</v>
      </c>
      <c r="I18836" t="n">
        <v>0</v>
      </c>
      <c r="J18836" t="n">
        <v>0</v>
      </c>
      <c r="K18836" t="n">
        <v>0</v>
      </c>
      <c r="L18836" t="n">
        <v>0</v>
      </c>
      <c r="M18836" t="n">
        <v>0</v>
      </c>
      <c r="N18836" t="n">
        <v>0</v>
      </c>
      <c r="O18836" t="n">
        <v>0</v>
      </c>
      <c r="P18836" t="n">
        <v>0</v>
      </c>
      <c r="Q18836" t="n">
        <v>0</v>
      </c>
      <c r="R18836" s="2" t="inlineStr"/>
    </row>
    <row r="18837" ht="15" customHeight="1">
      <c r="A18837" t="inlineStr">
        <is>
          <t>A 7406-2025</t>
        </is>
      </c>
      <c r="B18837" s="1" t="n">
        <v>45705</v>
      </c>
      <c r="C18837" s="1" t="n">
        <v>45810</v>
      </c>
      <c r="D18837" t="inlineStr">
        <is>
          <t>VÄRMLANDS LÄN</t>
        </is>
      </c>
      <c r="E18837" t="inlineStr">
        <is>
          <t>HAGFORS</t>
        </is>
      </c>
      <c r="G18837" t="n">
        <v>1.8</v>
      </c>
      <c r="H18837" t="n">
        <v>0</v>
      </c>
      <c r="I18837" t="n">
        <v>0</v>
      </c>
      <c r="J18837" t="n">
        <v>0</v>
      </c>
      <c r="K18837" t="n">
        <v>0</v>
      </c>
      <c r="L18837" t="n">
        <v>0</v>
      </c>
      <c r="M18837" t="n">
        <v>0</v>
      </c>
      <c r="N18837" t="n">
        <v>0</v>
      </c>
      <c r="O18837" t="n">
        <v>0</v>
      </c>
      <c r="P18837" t="n">
        <v>0</v>
      </c>
      <c r="Q18837" t="n">
        <v>0</v>
      </c>
      <c r="R18837" s="2" t="inlineStr"/>
    </row>
    <row r="18838" ht="15" customHeight="1">
      <c r="A18838" t="inlineStr">
        <is>
          <t>A 7749-2025</t>
        </is>
      </c>
      <c r="B18838" s="1" t="n">
        <v>45706</v>
      </c>
      <c r="C18838" s="1" t="n">
        <v>45810</v>
      </c>
      <c r="D18838" t="inlineStr">
        <is>
          <t>VÄRMLANDS LÄN</t>
        </is>
      </c>
      <c r="E18838" t="inlineStr">
        <is>
          <t>SUNNE</t>
        </is>
      </c>
      <c r="G18838" t="n">
        <v>0.6</v>
      </c>
      <c r="H18838" t="n">
        <v>0</v>
      </c>
      <c r="I18838" t="n">
        <v>0</v>
      </c>
      <c r="J18838" t="n">
        <v>0</v>
      </c>
      <c r="K18838" t="n">
        <v>0</v>
      </c>
      <c r="L18838" t="n">
        <v>0</v>
      </c>
      <c r="M18838" t="n">
        <v>0</v>
      </c>
      <c r="N18838" t="n">
        <v>0</v>
      </c>
      <c r="O18838" t="n">
        <v>0</v>
      </c>
      <c r="P18838" t="n">
        <v>0</v>
      </c>
      <c r="Q18838" t="n">
        <v>0</v>
      </c>
      <c r="R18838" s="2" t="inlineStr"/>
    </row>
    <row r="18839" ht="15" customHeight="1">
      <c r="A18839" t="inlineStr">
        <is>
          <t>A 7660-2025</t>
        </is>
      </c>
      <c r="B18839" s="1" t="n">
        <v>45706</v>
      </c>
      <c r="C18839" s="1" t="n">
        <v>45810</v>
      </c>
      <c r="D18839" t="inlineStr">
        <is>
          <t>VÄRMLANDS LÄN</t>
        </is>
      </c>
      <c r="E18839" t="inlineStr">
        <is>
          <t>ÅRJÄNG</t>
        </is>
      </c>
      <c r="G18839" t="n">
        <v>2</v>
      </c>
      <c r="H18839" t="n">
        <v>0</v>
      </c>
      <c r="I18839" t="n">
        <v>0</v>
      </c>
      <c r="J18839" t="n">
        <v>0</v>
      </c>
      <c r="K18839" t="n">
        <v>0</v>
      </c>
      <c r="L18839" t="n">
        <v>0</v>
      </c>
      <c r="M18839" t="n">
        <v>0</v>
      </c>
      <c r="N18839" t="n">
        <v>0</v>
      </c>
      <c r="O18839" t="n">
        <v>0</v>
      </c>
      <c r="P18839" t="n">
        <v>0</v>
      </c>
      <c r="Q18839" t="n">
        <v>0</v>
      </c>
      <c r="R18839" s="2" t="inlineStr"/>
    </row>
    <row r="18840" ht="15" customHeight="1">
      <c r="A18840" t="inlineStr">
        <is>
          <t>A 7842-2025</t>
        </is>
      </c>
      <c r="B18840" s="1" t="n">
        <v>45706</v>
      </c>
      <c r="C18840" s="1" t="n">
        <v>45810</v>
      </c>
      <c r="D18840" t="inlineStr">
        <is>
          <t>VÄRMLANDS LÄN</t>
        </is>
      </c>
      <c r="E18840" t="inlineStr">
        <is>
          <t>ARVIKA</t>
        </is>
      </c>
      <c r="G18840" t="n">
        <v>5</v>
      </c>
      <c r="H18840" t="n">
        <v>0</v>
      </c>
      <c r="I18840" t="n">
        <v>0</v>
      </c>
      <c r="J18840" t="n">
        <v>0</v>
      </c>
      <c r="K18840" t="n">
        <v>0</v>
      </c>
      <c r="L18840" t="n">
        <v>0</v>
      </c>
      <c r="M18840" t="n">
        <v>0</v>
      </c>
      <c r="N18840" t="n">
        <v>0</v>
      </c>
      <c r="O18840" t="n">
        <v>0</v>
      </c>
      <c r="P18840" t="n">
        <v>0</v>
      </c>
      <c r="Q18840" t="n">
        <v>0</v>
      </c>
      <c r="R18840" s="2" t="inlineStr"/>
    </row>
    <row r="18841" ht="15" customHeight="1">
      <c r="A18841" t="inlineStr">
        <is>
          <t>A 7797-2025</t>
        </is>
      </c>
      <c r="B18841" s="1" t="n">
        <v>45706</v>
      </c>
      <c r="C18841" s="1" t="n">
        <v>45810</v>
      </c>
      <c r="D18841" t="inlineStr">
        <is>
          <t>VÄRMLANDS LÄN</t>
        </is>
      </c>
      <c r="E18841" t="inlineStr">
        <is>
          <t>SÄFFLE</t>
        </is>
      </c>
      <c r="G18841" t="n">
        <v>2</v>
      </c>
      <c r="H18841" t="n">
        <v>0</v>
      </c>
      <c r="I18841" t="n">
        <v>0</v>
      </c>
      <c r="J18841" t="n">
        <v>0</v>
      </c>
      <c r="K18841" t="n">
        <v>0</v>
      </c>
      <c r="L18841" t="n">
        <v>0</v>
      </c>
      <c r="M18841" t="n">
        <v>0</v>
      </c>
      <c r="N18841" t="n">
        <v>0</v>
      </c>
      <c r="O18841" t="n">
        <v>0</v>
      </c>
      <c r="P18841" t="n">
        <v>0</v>
      </c>
      <c r="Q18841" t="n">
        <v>0</v>
      </c>
      <c r="R18841" s="2" t="inlineStr"/>
    </row>
    <row r="18842" ht="15" customHeight="1">
      <c r="A18842" t="inlineStr">
        <is>
          <t>A 7829-2025</t>
        </is>
      </c>
      <c r="B18842" s="1" t="n">
        <v>45706</v>
      </c>
      <c r="C18842" s="1" t="n">
        <v>45810</v>
      </c>
      <c r="D18842" t="inlineStr">
        <is>
          <t>VÄRMLANDS LÄN</t>
        </is>
      </c>
      <c r="E18842" t="inlineStr">
        <is>
          <t>TORSBY</t>
        </is>
      </c>
      <c r="G18842" t="n">
        <v>6</v>
      </c>
      <c r="H18842" t="n">
        <v>0</v>
      </c>
      <c r="I18842" t="n">
        <v>0</v>
      </c>
      <c r="J18842" t="n">
        <v>0</v>
      </c>
      <c r="K18842" t="n">
        <v>0</v>
      </c>
      <c r="L18842" t="n">
        <v>0</v>
      </c>
      <c r="M18842" t="n">
        <v>0</v>
      </c>
      <c r="N18842" t="n">
        <v>0</v>
      </c>
      <c r="O18842" t="n">
        <v>0</v>
      </c>
      <c r="P18842" t="n">
        <v>0</v>
      </c>
      <c r="Q18842" t="n">
        <v>0</v>
      </c>
      <c r="R18842" s="2" t="inlineStr"/>
    </row>
    <row r="18843" ht="15" customHeight="1">
      <c r="A18843" t="inlineStr">
        <is>
          <t>A 7931-2025</t>
        </is>
      </c>
      <c r="B18843" s="1" t="n">
        <v>45706</v>
      </c>
      <c r="C18843" s="1" t="n">
        <v>45810</v>
      </c>
      <c r="D18843" t="inlineStr">
        <is>
          <t>VÄRMLANDS LÄN</t>
        </is>
      </c>
      <c r="E18843" t="inlineStr">
        <is>
          <t>GRUMS</t>
        </is>
      </c>
      <c r="F18843" t="inlineStr">
        <is>
          <t>Bergvik skog väst AB</t>
        </is>
      </c>
      <c r="G18843" t="n">
        <v>13.8</v>
      </c>
      <c r="H18843" t="n">
        <v>0</v>
      </c>
      <c r="I18843" t="n">
        <v>0</v>
      </c>
      <c r="J18843" t="n">
        <v>0</v>
      </c>
      <c r="K18843" t="n">
        <v>0</v>
      </c>
      <c r="L18843" t="n">
        <v>0</v>
      </c>
      <c r="M18843" t="n">
        <v>0</v>
      </c>
      <c r="N18843" t="n">
        <v>0</v>
      </c>
      <c r="O18843" t="n">
        <v>0</v>
      </c>
      <c r="P18843" t="n">
        <v>0</v>
      </c>
      <c r="Q18843" t="n">
        <v>0</v>
      </c>
      <c r="R18843" s="2" t="inlineStr"/>
    </row>
    <row r="18844" ht="15" customHeight="1">
      <c r="A18844" t="inlineStr">
        <is>
          <t>A 7877-2025</t>
        </is>
      </c>
      <c r="B18844" s="1" t="n">
        <v>45706</v>
      </c>
      <c r="C18844" s="1" t="n">
        <v>45810</v>
      </c>
      <c r="D18844" t="inlineStr">
        <is>
          <t>VÄRMLANDS LÄN</t>
        </is>
      </c>
      <c r="E18844" t="inlineStr">
        <is>
          <t>ÅRJÄNG</t>
        </is>
      </c>
      <c r="G18844" t="n">
        <v>2.8</v>
      </c>
      <c r="H18844" t="n">
        <v>0</v>
      </c>
      <c r="I18844" t="n">
        <v>0</v>
      </c>
      <c r="J18844" t="n">
        <v>0</v>
      </c>
      <c r="K18844" t="n">
        <v>0</v>
      </c>
      <c r="L18844" t="n">
        <v>0</v>
      </c>
      <c r="M18844" t="n">
        <v>0</v>
      </c>
      <c r="N18844" t="n">
        <v>0</v>
      </c>
      <c r="O18844" t="n">
        <v>0</v>
      </c>
      <c r="P18844" t="n">
        <v>0</v>
      </c>
      <c r="Q18844" t="n">
        <v>0</v>
      </c>
      <c r="R18844" s="2" t="inlineStr"/>
    </row>
    <row r="18845" ht="15" customHeight="1">
      <c r="A18845" t="inlineStr">
        <is>
          <t>A 7738-2025</t>
        </is>
      </c>
      <c r="B18845" s="1" t="n">
        <v>45706</v>
      </c>
      <c r="C18845" s="1" t="n">
        <v>45810</v>
      </c>
      <c r="D18845" t="inlineStr">
        <is>
          <t>VÄRMLANDS LÄN</t>
        </is>
      </c>
      <c r="E18845" t="inlineStr">
        <is>
          <t>SUNNE</t>
        </is>
      </c>
      <c r="G18845" t="n">
        <v>0.7</v>
      </c>
      <c r="H18845" t="n">
        <v>0</v>
      </c>
      <c r="I18845" t="n">
        <v>0</v>
      </c>
      <c r="J18845" t="n">
        <v>0</v>
      </c>
      <c r="K18845" t="n">
        <v>0</v>
      </c>
      <c r="L18845" t="n">
        <v>0</v>
      </c>
      <c r="M18845" t="n">
        <v>0</v>
      </c>
      <c r="N18845" t="n">
        <v>0</v>
      </c>
      <c r="O18845" t="n">
        <v>0</v>
      </c>
      <c r="P18845" t="n">
        <v>0</v>
      </c>
      <c r="Q18845" t="n">
        <v>0</v>
      </c>
      <c r="R18845" s="2" t="inlineStr"/>
    </row>
    <row r="18846" ht="15" customHeight="1">
      <c r="A18846" t="inlineStr">
        <is>
          <t>A 7717-2025</t>
        </is>
      </c>
      <c r="B18846" s="1" t="n">
        <v>45706</v>
      </c>
      <c r="C18846" s="1" t="n">
        <v>45810</v>
      </c>
      <c r="D18846" t="inlineStr">
        <is>
          <t>VÄRMLANDS LÄN</t>
        </is>
      </c>
      <c r="E18846" t="inlineStr">
        <is>
          <t>ARVIKA</t>
        </is>
      </c>
      <c r="F18846" t="inlineStr">
        <is>
          <t>Bergvik skog väst AB</t>
        </is>
      </c>
      <c r="G18846" t="n">
        <v>9.300000000000001</v>
      </c>
      <c r="H18846" t="n">
        <v>0</v>
      </c>
      <c r="I18846" t="n">
        <v>0</v>
      </c>
      <c r="J18846" t="n">
        <v>0</v>
      </c>
      <c r="K18846" t="n">
        <v>0</v>
      </c>
      <c r="L18846" t="n">
        <v>0</v>
      </c>
      <c r="M18846" t="n">
        <v>0</v>
      </c>
      <c r="N18846" t="n">
        <v>0</v>
      </c>
      <c r="O18846" t="n">
        <v>0</v>
      </c>
      <c r="P18846" t="n">
        <v>0</v>
      </c>
      <c r="Q18846" t="n">
        <v>0</v>
      </c>
      <c r="R18846" s="2" t="inlineStr"/>
    </row>
    <row r="18847" ht="15" customHeight="1">
      <c r="A18847" t="inlineStr">
        <is>
          <t>A 7683-2025</t>
        </is>
      </c>
      <c r="B18847" s="1" t="n">
        <v>45706</v>
      </c>
      <c r="C18847" s="1" t="n">
        <v>45810</v>
      </c>
      <c r="D18847" t="inlineStr">
        <is>
          <t>VÄRMLANDS LÄN</t>
        </is>
      </c>
      <c r="E18847" t="inlineStr">
        <is>
          <t>SUNNE</t>
        </is>
      </c>
      <c r="G18847" t="n">
        <v>1</v>
      </c>
      <c r="H18847" t="n">
        <v>0</v>
      </c>
      <c r="I18847" t="n">
        <v>0</v>
      </c>
      <c r="J18847" t="n">
        <v>0</v>
      </c>
      <c r="K18847" t="n">
        <v>0</v>
      </c>
      <c r="L18847" t="n">
        <v>0</v>
      </c>
      <c r="M18847" t="n">
        <v>0</v>
      </c>
      <c r="N18847" t="n">
        <v>0</v>
      </c>
      <c r="O18847" t="n">
        <v>0</v>
      </c>
      <c r="P18847" t="n">
        <v>0</v>
      </c>
      <c r="Q18847" t="n">
        <v>0</v>
      </c>
      <c r="R18847" s="2" t="inlineStr"/>
    </row>
    <row r="18848" ht="15" customHeight="1">
      <c r="A18848" t="inlineStr">
        <is>
          <t>A 7792-2025</t>
        </is>
      </c>
      <c r="B18848" s="1" t="n">
        <v>45706</v>
      </c>
      <c r="C18848" s="1" t="n">
        <v>45810</v>
      </c>
      <c r="D18848" t="inlineStr">
        <is>
          <t>VÄRMLANDS LÄN</t>
        </is>
      </c>
      <c r="E18848" t="inlineStr">
        <is>
          <t>ARVIKA</t>
        </is>
      </c>
      <c r="F18848" t="inlineStr">
        <is>
          <t>Bergvik skog väst AB</t>
        </is>
      </c>
      <c r="G18848" t="n">
        <v>4.1</v>
      </c>
      <c r="H18848" t="n">
        <v>0</v>
      </c>
      <c r="I18848" t="n">
        <v>0</v>
      </c>
      <c r="J18848" t="n">
        <v>0</v>
      </c>
      <c r="K18848" t="n">
        <v>0</v>
      </c>
      <c r="L18848" t="n">
        <v>0</v>
      </c>
      <c r="M18848" t="n">
        <v>0</v>
      </c>
      <c r="N18848" t="n">
        <v>0</v>
      </c>
      <c r="O18848" t="n">
        <v>0</v>
      </c>
      <c r="P18848" t="n">
        <v>0</v>
      </c>
      <c r="Q18848" t="n">
        <v>0</v>
      </c>
      <c r="R18848" s="2" t="inlineStr"/>
    </row>
    <row r="18849" ht="15" customHeight="1">
      <c r="A18849" t="inlineStr">
        <is>
          <t>A 7800-2025</t>
        </is>
      </c>
      <c r="B18849" s="1" t="n">
        <v>45706</v>
      </c>
      <c r="C18849" s="1" t="n">
        <v>45810</v>
      </c>
      <c r="D18849" t="inlineStr">
        <is>
          <t>VÄRMLANDS LÄN</t>
        </is>
      </c>
      <c r="E18849" t="inlineStr">
        <is>
          <t>ARVIKA</t>
        </is>
      </c>
      <c r="G18849" t="n">
        <v>3.8</v>
      </c>
      <c r="H18849" t="n">
        <v>0</v>
      </c>
      <c r="I18849" t="n">
        <v>0</v>
      </c>
      <c r="J18849" t="n">
        <v>0</v>
      </c>
      <c r="K18849" t="n">
        <v>0</v>
      </c>
      <c r="L18849" t="n">
        <v>0</v>
      </c>
      <c r="M18849" t="n">
        <v>0</v>
      </c>
      <c r="N18849" t="n">
        <v>0</v>
      </c>
      <c r="O18849" t="n">
        <v>0</v>
      </c>
      <c r="P18849" t="n">
        <v>0</v>
      </c>
      <c r="Q18849" t="n">
        <v>0</v>
      </c>
      <c r="R18849" s="2" t="inlineStr"/>
    </row>
    <row r="18850" ht="15" customHeight="1">
      <c r="A18850" t="inlineStr">
        <is>
          <t>A 7685-2025</t>
        </is>
      </c>
      <c r="B18850" s="1" t="n">
        <v>45706</v>
      </c>
      <c r="C18850" s="1" t="n">
        <v>45810</v>
      </c>
      <c r="D18850" t="inlineStr">
        <is>
          <t>VÄRMLANDS LÄN</t>
        </is>
      </c>
      <c r="E18850" t="inlineStr">
        <is>
          <t>ARVIKA</t>
        </is>
      </c>
      <c r="F18850" t="inlineStr">
        <is>
          <t>Bergvik skog väst AB</t>
        </is>
      </c>
      <c r="G18850" t="n">
        <v>2.2</v>
      </c>
      <c r="H18850" t="n">
        <v>0</v>
      </c>
      <c r="I18850" t="n">
        <v>0</v>
      </c>
      <c r="J18850" t="n">
        <v>0</v>
      </c>
      <c r="K18850" t="n">
        <v>0</v>
      </c>
      <c r="L18850" t="n">
        <v>0</v>
      </c>
      <c r="M18850" t="n">
        <v>0</v>
      </c>
      <c r="N18850" t="n">
        <v>0</v>
      </c>
      <c r="O18850" t="n">
        <v>0</v>
      </c>
      <c r="P18850" t="n">
        <v>0</v>
      </c>
      <c r="Q18850" t="n">
        <v>0</v>
      </c>
      <c r="R18850" s="2" t="inlineStr"/>
    </row>
    <row r="18851" ht="15" customHeight="1">
      <c r="A18851" t="inlineStr">
        <is>
          <t>A 7741-2025</t>
        </is>
      </c>
      <c r="B18851" s="1" t="n">
        <v>45706</v>
      </c>
      <c r="C18851" s="1" t="n">
        <v>45810</v>
      </c>
      <c r="D18851" t="inlineStr">
        <is>
          <t>VÄRMLANDS LÄN</t>
        </is>
      </c>
      <c r="E18851" t="inlineStr">
        <is>
          <t>ARVIKA</t>
        </is>
      </c>
      <c r="F18851" t="inlineStr">
        <is>
          <t>Bergvik skog väst AB</t>
        </is>
      </c>
      <c r="G18851" t="n">
        <v>9.199999999999999</v>
      </c>
      <c r="H18851" t="n">
        <v>0</v>
      </c>
      <c r="I18851" t="n">
        <v>0</v>
      </c>
      <c r="J18851" t="n">
        <v>0</v>
      </c>
      <c r="K18851" t="n">
        <v>0</v>
      </c>
      <c r="L18851" t="n">
        <v>0</v>
      </c>
      <c r="M18851" t="n">
        <v>0</v>
      </c>
      <c r="N18851" t="n">
        <v>0</v>
      </c>
      <c r="O18851" t="n">
        <v>0</v>
      </c>
      <c r="P18851" t="n">
        <v>0</v>
      </c>
      <c r="Q18851" t="n">
        <v>0</v>
      </c>
      <c r="R18851" s="2" t="inlineStr"/>
    </row>
    <row r="18852" ht="15" customHeight="1">
      <c r="A18852" t="inlineStr">
        <is>
          <t>A 8070-2025</t>
        </is>
      </c>
      <c r="B18852" s="1" t="n">
        <v>45707</v>
      </c>
      <c r="C18852" s="1" t="n">
        <v>45810</v>
      </c>
      <c r="D18852" t="inlineStr">
        <is>
          <t>VÄRMLANDS LÄN</t>
        </is>
      </c>
      <c r="E18852" t="inlineStr">
        <is>
          <t>TORSBY</t>
        </is>
      </c>
      <c r="G18852" t="n">
        <v>4.5</v>
      </c>
      <c r="H18852" t="n">
        <v>0</v>
      </c>
      <c r="I18852" t="n">
        <v>0</v>
      </c>
      <c r="J18852" t="n">
        <v>0</v>
      </c>
      <c r="K18852" t="n">
        <v>0</v>
      </c>
      <c r="L18852" t="n">
        <v>0</v>
      </c>
      <c r="M18852" t="n">
        <v>0</v>
      </c>
      <c r="N18852" t="n">
        <v>0</v>
      </c>
      <c r="O18852" t="n">
        <v>0</v>
      </c>
      <c r="P18852" t="n">
        <v>0</v>
      </c>
      <c r="Q18852" t="n">
        <v>0</v>
      </c>
      <c r="R18852" s="2" t="inlineStr"/>
    </row>
    <row r="18853" ht="15" customHeight="1">
      <c r="A18853" t="inlineStr">
        <is>
          <t>A 8094-2025</t>
        </is>
      </c>
      <c r="B18853" s="1" t="n">
        <v>45707</v>
      </c>
      <c r="C18853" s="1" t="n">
        <v>45810</v>
      </c>
      <c r="D18853" t="inlineStr">
        <is>
          <t>VÄRMLANDS LÄN</t>
        </is>
      </c>
      <c r="E18853" t="inlineStr">
        <is>
          <t>ÅRJÄNG</t>
        </is>
      </c>
      <c r="G18853" t="n">
        <v>12.6</v>
      </c>
      <c r="H18853" t="n">
        <v>0</v>
      </c>
      <c r="I18853" t="n">
        <v>0</v>
      </c>
      <c r="J18853" t="n">
        <v>0</v>
      </c>
      <c r="K18853" t="n">
        <v>0</v>
      </c>
      <c r="L18853" t="n">
        <v>0</v>
      </c>
      <c r="M18853" t="n">
        <v>0</v>
      </c>
      <c r="N18853" t="n">
        <v>0</v>
      </c>
      <c r="O18853" t="n">
        <v>0</v>
      </c>
      <c r="P18853" t="n">
        <v>0</v>
      </c>
      <c r="Q18853" t="n">
        <v>0</v>
      </c>
      <c r="R18853" s="2" t="inlineStr"/>
    </row>
    <row r="18854" ht="15" customHeight="1">
      <c r="A18854" t="inlineStr">
        <is>
          <t>A 8057-2025</t>
        </is>
      </c>
      <c r="B18854" s="1" t="n">
        <v>45707</v>
      </c>
      <c r="C18854" s="1" t="n">
        <v>45810</v>
      </c>
      <c r="D18854" t="inlineStr">
        <is>
          <t>VÄRMLANDS LÄN</t>
        </is>
      </c>
      <c r="E18854" t="inlineStr">
        <is>
          <t>SUNNE</t>
        </is>
      </c>
      <c r="G18854" t="n">
        <v>2.3</v>
      </c>
      <c r="H18854" t="n">
        <v>0</v>
      </c>
      <c r="I18854" t="n">
        <v>0</v>
      </c>
      <c r="J18854" t="n">
        <v>0</v>
      </c>
      <c r="K18854" t="n">
        <v>0</v>
      </c>
      <c r="L18854" t="n">
        <v>0</v>
      </c>
      <c r="M18854" t="n">
        <v>0</v>
      </c>
      <c r="N18854" t="n">
        <v>0</v>
      </c>
      <c r="O18854" t="n">
        <v>0</v>
      </c>
      <c r="P18854" t="n">
        <v>0</v>
      </c>
      <c r="Q18854" t="n">
        <v>0</v>
      </c>
      <c r="R18854" s="2" t="inlineStr"/>
    </row>
    <row r="18855" ht="15" customHeight="1">
      <c r="A18855" t="inlineStr">
        <is>
          <t>A 8061-2025</t>
        </is>
      </c>
      <c r="B18855" s="1" t="n">
        <v>45707</v>
      </c>
      <c r="C18855" s="1" t="n">
        <v>45810</v>
      </c>
      <c r="D18855" t="inlineStr">
        <is>
          <t>VÄRMLANDS LÄN</t>
        </is>
      </c>
      <c r="E18855" t="inlineStr">
        <is>
          <t>ARVIKA</t>
        </is>
      </c>
      <c r="G18855" t="n">
        <v>3.4</v>
      </c>
      <c r="H18855" t="n">
        <v>0</v>
      </c>
      <c r="I18855" t="n">
        <v>0</v>
      </c>
      <c r="J18855" t="n">
        <v>0</v>
      </c>
      <c r="K18855" t="n">
        <v>0</v>
      </c>
      <c r="L18855" t="n">
        <v>0</v>
      </c>
      <c r="M18855" t="n">
        <v>0</v>
      </c>
      <c r="N18855" t="n">
        <v>0</v>
      </c>
      <c r="O18855" t="n">
        <v>0</v>
      </c>
      <c r="P18855" t="n">
        <v>0</v>
      </c>
      <c r="Q18855" t="n">
        <v>0</v>
      </c>
      <c r="R18855" s="2" t="inlineStr"/>
    </row>
    <row r="18856" ht="15" customHeight="1">
      <c r="A18856" t="inlineStr">
        <is>
          <t>A 7966-2025</t>
        </is>
      </c>
      <c r="B18856" s="1" t="n">
        <v>45707</v>
      </c>
      <c r="C18856" s="1" t="n">
        <v>45810</v>
      </c>
      <c r="D18856" t="inlineStr">
        <is>
          <t>VÄRMLANDS LÄN</t>
        </is>
      </c>
      <c r="E18856" t="inlineStr">
        <is>
          <t>SÄFFLE</t>
        </is>
      </c>
      <c r="G18856" t="n">
        <v>3.4</v>
      </c>
      <c r="H18856" t="n">
        <v>0</v>
      </c>
      <c r="I18856" t="n">
        <v>0</v>
      </c>
      <c r="J18856" t="n">
        <v>0</v>
      </c>
      <c r="K18856" t="n">
        <v>0</v>
      </c>
      <c r="L18856" t="n">
        <v>0</v>
      </c>
      <c r="M18856" t="n">
        <v>0</v>
      </c>
      <c r="N18856" t="n">
        <v>0</v>
      </c>
      <c r="O18856" t="n">
        <v>0</v>
      </c>
      <c r="P18856" t="n">
        <v>0</v>
      </c>
      <c r="Q18856" t="n">
        <v>0</v>
      </c>
      <c r="R18856" s="2" t="inlineStr"/>
    </row>
    <row r="18857" ht="15" customHeight="1">
      <c r="A18857" t="inlineStr">
        <is>
          <t>A 7995-2025</t>
        </is>
      </c>
      <c r="B18857" s="1" t="n">
        <v>45707</v>
      </c>
      <c r="C18857" s="1" t="n">
        <v>45810</v>
      </c>
      <c r="D18857" t="inlineStr">
        <is>
          <t>VÄRMLANDS LÄN</t>
        </is>
      </c>
      <c r="E18857" t="inlineStr">
        <is>
          <t>ÅRJÄNG</t>
        </is>
      </c>
      <c r="G18857" t="n">
        <v>1.4</v>
      </c>
      <c r="H18857" t="n">
        <v>0</v>
      </c>
      <c r="I18857" t="n">
        <v>0</v>
      </c>
      <c r="J18857" t="n">
        <v>0</v>
      </c>
      <c r="K18857" t="n">
        <v>0</v>
      </c>
      <c r="L18857" t="n">
        <v>0</v>
      </c>
      <c r="M18857" t="n">
        <v>0</v>
      </c>
      <c r="N18857" t="n">
        <v>0</v>
      </c>
      <c r="O18857" t="n">
        <v>0</v>
      </c>
      <c r="P18857" t="n">
        <v>0</v>
      </c>
      <c r="Q18857" t="n">
        <v>0</v>
      </c>
      <c r="R18857" s="2" t="inlineStr"/>
    </row>
    <row r="18858" ht="15" customHeight="1">
      <c r="A18858" t="inlineStr">
        <is>
          <t>A 8005-2025</t>
        </is>
      </c>
      <c r="B18858" s="1" t="n">
        <v>45707</v>
      </c>
      <c r="C18858" s="1" t="n">
        <v>45810</v>
      </c>
      <c r="D18858" t="inlineStr">
        <is>
          <t>VÄRMLANDS LÄN</t>
        </is>
      </c>
      <c r="E18858" t="inlineStr">
        <is>
          <t>HAGFORS</t>
        </is>
      </c>
      <c r="G18858" t="n">
        <v>1.2</v>
      </c>
      <c r="H18858" t="n">
        <v>0</v>
      </c>
      <c r="I18858" t="n">
        <v>0</v>
      </c>
      <c r="J18858" t="n">
        <v>0</v>
      </c>
      <c r="K18858" t="n">
        <v>0</v>
      </c>
      <c r="L18858" t="n">
        <v>0</v>
      </c>
      <c r="M18858" t="n">
        <v>0</v>
      </c>
      <c r="N18858" t="n">
        <v>0</v>
      </c>
      <c r="O18858" t="n">
        <v>0</v>
      </c>
      <c r="P18858" t="n">
        <v>0</v>
      </c>
      <c r="Q18858" t="n">
        <v>0</v>
      </c>
      <c r="R18858" s="2" t="inlineStr"/>
    </row>
    <row r="18859" ht="15" customHeight="1">
      <c r="A18859" t="inlineStr">
        <is>
          <t>A 8018-2025</t>
        </is>
      </c>
      <c r="B18859" s="1" t="n">
        <v>45707</v>
      </c>
      <c r="C18859" s="1" t="n">
        <v>45810</v>
      </c>
      <c r="D18859" t="inlineStr">
        <is>
          <t>VÄRMLANDS LÄN</t>
        </is>
      </c>
      <c r="E18859" t="inlineStr">
        <is>
          <t>TORSBY</t>
        </is>
      </c>
      <c r="G18859" t="n">
        <v>22.6</v>
      </c>
      <c r="H18859" t="n">
        <v>0</v>
      </c>
      <c r="I18859" t="n">
        <v>0</v>
      </c>
      <c r="J18859" t="n">
        <v>0</v>
      </c>
      <c r="K18859" t="n">
        <v>0</v>
      </c>
      <c r="L18859" t="n">
        <v>0</v>
      </c>
      <c r="M18859" t="n">
        <v>0</v>
      </c>
      <c r="N18859" t="n">
        <v>0</v>
      </c>
      <c r="O18859" t="n">
        <v>0</v>
      </c>
      <c r="P18859" t="n">
        <v>0</v>
      </c>
      <c r="Q18859" t="n">
        <v>0</v>
      </c>
      <c r="R18859" s="2" t="inlineStr"/>
    </row>
    <row r="18860" ht="15" customHeight="1">
      <c r="A18860" t="inlineStr">
        <is>
          <t>A 8022-2025</t>
        </is>
      </c>
      <c r="B18860" s="1" t="n">
        <v>45707</v>
      </c>
      <c r="C18860" s="1" t="n">
        <v>45810</v>
      </c>
      <c r="D18860" t="inlineStr">
        <is>
          <t>VÄRMLANDS LÄN</t>
        </is>
      </c>
      <c r="E18860" t="inlineStr">
        <is>
          <t>TORSBY</t>
        </is>
      </c>
      <c r="G18860" t="n">
        <v>5</v>
      </c>
      <c r="H18860" t="n">
        <v>0</v>
      </c>
      <c r="I18860" t="n">
        <v>0</v>
      </c>
      <c r="J18860" t="n">
        <v>0</v>
      </c>
      <c r="K18860" t="n">
        <v>0</v>
      </c>
      <c r="L18860" t="n">
        <v>0</v>
      </c>
      <c r="M18860" t="n">
        <v>0</v>
      </c>
      <c r="N18860" t="n">
        <v>0</v>
      </c>
      <c r="O18860" t="n">
        <v>0</v>
      </c>
      <c r="P18860" t="n">
        <v>0</v>
      </c>
      <c r="Q18860" t="n">
        <v>0</v>
      </c>
      <c r="R18860" s="2" t="inlineStr"/>
    </row>
    <row r="18861" ht="15" customHeight="1">
      <c r="A18861" t="inlineStr">
        <is>
          <t>A 8129-2025</t>
        </is>
      </c>
      <c r="B18861" s="1" t="n">
        <v>45707</v>
      </c>
      <c r="C18861" s="1" t="n">
        <v>45810</v>
      </c>
      <c r="D18861" t="inlineStr">
        <is>
          <t>VÄRMLANDS LÄN</t>
        </is>
      </c>
      <c r="E18861" t="inlineStr">
        <is>
          <t>SÄFFLE</t>
        </is>
      </c>
      <c r="G18861" t="n">
        <v>2.2</v>
      </c>
      <c r="H18861" t="n">
        <v>0</v>
      </c>
      <c r="I18861" t="n">
        <v>0</v>
      </c>
      <c r="J18861" t="n">
        <v>0</v>
      </c>
      <c r="K18861" t="n">
        <v>0</v>
      </c>
      <c r="L18861" t="n">
        <v>0</v>
      </c>
      <c r="M18861" t="n">
        <v>0</v>
      </c>
      <c r="N18861" t="n">
        <v>0</v>
      </c>
      <c r="O18861" t="n">
        <v>0</v>
      </c>
      <c r="P18861" t="n">
        <v>0</v>
      </c>
      <c r="Q18861" t="n">
        <v>0</v>
      </c>
      <c r="R18861" s="2" t="inlineStr"/>
    </row>
    <row r="18862" ht="15" customHeight="1">
      <c r="A18862" t="inlineStr">
        <is>
          <t>A 8025-2025</t>
        </is>
      </c>
      <c r="B18862" s="1" t="n">
        <v>45707</v>
      </c>
      <c r="C18862" s="1" t="n">
        <v>45810</v>
      </c>
      <c r="D18862" t="inlineStr">
        <is>
          <t>VÄRMLANDS LÄN</t>
        </is>
      </c>
      <c r="E18862" t="inlineStr">
        <is>
          <t>TORSBY</t>
        </is>
      </c>
      <c r="G18862" t="n">
        <v>1.1</v>
      </c>
      <c r="H18862" t="n">
        <v>0</v>
      </c>
      <c r="I18862" t="n">
        <v>0</v>
      </c>
      <c r="J18862" t="n">
        <v>0</v>
      </c>
      <c r="K18862" t="n">
        <v>0</v>
      </c>
      <c r="L18862" t="n">
        <v>0</v>
      </c>
      <c r="M18862" t="n">
        <v>0</v>
      </c>
      <c r="N18862" t="n">
        <v>0</v>
      </c>
      <c r="O18862" t="n">
        <v>0</v>
      </c>
      <c r="P18862" t="n">
        <v>0</v>
      </c>
      <c r="Q18862" t="n">
        <v>0</v>
      </c>
      <c r="R18862" s="2" t="inlineStr"/>
    </row>
    <row r="18863" ht="15" customHeight="1">
      <c r="A18863" t="inlineStr">
        <is>
          <t>A 7998-2025</t>
        </is>
      </c>
      <c r="B18863" s="1" t="n">
        <v>45707</v>
      </c>
      <c r="C18863" s="1" t="n">
        <v>45810</v>
      </c>
      <c r="D18863" t="inlineStr">
        <is>
          <t>VÄRMLANDS LÄN</t>
        </is>
      </c>
      <c r="E18863" t="inlineStr">
        <is>
          <t>ÅRJÄNG</t>
        </is>
      </c>
      <c r="G18863" t="n">
        <v>1</v>
      </c>
      <c r="H18863" t="n">
        <v>0</v>
      </c>
      <c r="I18863" t="n">
        <v>0</v>
      </c>
      <c r="J18863" t="n">
        <v>0</v>
      </c>
      <c r="K18863" t="n">
        <v>0</v>
      </c>
      <c r="L18863" t="n">
        <v>0</v>
      </c>
      <c r="M18863" t="n">
        <v>0</v>
      </c>
      <c r="N18863" t="n">
        <v>0</v>
      </c>
      <c r="O18863" t="n">
        <v>0</v>
      </c>
      <c r="P18863" t="n">
        <v>0</v>
      </c>
      <c r="Q18863" t="n">
        <v>0</v>
      </c>
      <c r="R18863" s="2" t="inlineStr"/>
    </row>
    <row r="18864" ht="15" customHeight="1">
      <c r="A18864" t="inlineStr">
        <is>
          <t>A 7985-2025</t>
        </is>
      </c>
      <c r="B18864" s="1" t="n">
        <v>45707</v>
      </c>
      <c r="C18864" s="1" t="n">
        <v>45810</v>
      </c>
      <c r="D18864" t="inlineStr">
        <is>
          <t>VÄRMLANDS LÄN</t>
        </is>
      </c>
      <c r="E18864" t="inlineStr">
        <is>
          <t>ARVIKA</t>
        </is>
      </c>
      <c r="G18864" t="n">
        <v>3.4</v>
      </c>
      <c r="H18864" t="n">
        <v>0</v>
      </c>
      <c r="I18864" t="n">
        <v>0</v>
      </c>
      <c r="J18864" t="n">
        <v>0</v>
      </c>
      <c r="K18864" t="n">
        <v>0</v>
      </c>
      <c r="L18864" t="n">
        <v>0</v>
      </c>
      <c r="M18864" t="n">
        <v>0</v>
      </c>
      <c r="N18864" t="n">
        <v>0</v>
      </c>
      <c r="O18864" t="n">
        <v>0</v>
      </c>
      <c r="P18864" t="n">
        <v>0</v>
      </c>
      <c r="Q18864" t="n">
        <v>0</v>
      </c>
      <c r="R18864" s="2" t="inlineStr"/>
    </row>
    <row r="18865" ht="15" customHeight="1">
      <c r="A18865" t="inlineStr">
        <is>
          <t>A 8002-2025</t>
        </is>
      </c>
      <c r="B18865" s="1" t="n">
        <v>45707</v>
      </c>
      <c r="C18865" s="1" t="n">
        <v>45810</v>
      </c>
      <c r="D18865" t="inlineStr">
        <is>
          <t>VÄRMLANDS LÄN</t>
        </is>
      </c>
      <c r="E18865" t="inlineStr">
        <is>
          <t>ÅRJÄNG</t>
        </is>
      </c>
      <c r="G18865" t="n">
        <v>1.7</v>
      </c>
      <c r="H18865" t="n">
        <v>0</v>
      </c>
      <c r="I18865" t="n">
        <v>0</v>
      </c>
      <c r="J18865" t="n">
        <v>0</v>
      </c>
      <c r="K18865" t="n">
        <v>0</v>
      </c>
      <c r="L18865" t="n">
        <v>0</v>
      </c>
      <c r="M18865" t="n">
        <v>0</v>
      </c>
      <c r="N18865" t="n">
        <v>0</v>
      </c>
      <c r="O18865" t="n">
        <v>0</v>
      </c>
      <c r="P18865" t="n">
        <v>0</v>
      </c>
      <c r="Q18865" t="n">
        <v>0</v>
      </c>
      <c r="R18865" s="2" t="inlineStr"/>
    </row>
    <row r="18866" ht="15" customHeight="1">
      <c r="A18866" t="inlineStr">
        <is>
          <t>A 7996-2025</t>
        </is>
      </c>
      <c r="B18866" s="1" t="n">
        <v>45707</v>
      </c>
      <c r="C18866" s="1" t="n">
        <v>45810</v>
      </c>
      <c r="D18866" t="inlineStr">
        <is>
          <t>VÄRMLANDS LÄN</t>
        </is>
      </c>
      <c r="E18866" t="inlineStr">
        <is>
          <t>ÅRJÄNG</t>
        </is>
      </c>
      <c r="G18866" t="n">
        <v>7.3</v>
      </c>
      <c r="H18866" t="n">
        <v>0</v>
      </c>
      <c r="I18866" t="n">
        <v>0</v>
      </c>
      <c r="J18866" t="n">
        <v>0</v>
      </c>
      <c r="K18866" t="n">
        <v>0</v>
      </c>
      <c r="L18866" t="n">
        <v>0</v>
      </c>
      <c r="M18866" t="n">
        <v>0</v>
      </c>
      <c r="N18866" t="n">
        <v>0</v>
      </c>
      <c r="O18866" t="n">
        <v>0</v>
      </c>
      <c r="P18866" t="n">
        <v>0</v>
      </c>
      <c r="Q18866" t="n">
        <v>0</v>
      </c>
      <c r="R18866" s="2" t="inlineStr"/>
    </row>
    <row r="18867" ht="15" customHeight="1">
      <c r="A18867" t="inlineStr">
        <is>
          <t>A 7933-2025</t>
        </is>
      </c>
      <c r="B18867" s="1" t="n">
        <v>45707</v>
      </c>
      <c r="C18867" s="1" t="n">
        <v>45810</v>
      </c>
      <c r="D18867" t="inlineStr">
        <is>
          <t>VÄRMLANDS LÄN</t>
        </is>
      </c>
      <c r="E18867" t="inlineStr">
        <is>
          <t>SÄFFLE</t>
        </is>
      </c>
      <c r="G18867" t="n">
        <v>2.7</v>
      </c>
      <c r="H18867" t="n">
        <v>0</v>
      </c>
      <c r="I18867" t="n">
        <v>0</v>
      </c>
      <c r="J18867" t="n">
        <v>0</v>
      </c>
      <c r="K18867" t="n">
        <v>0</v>
      </c>
      <c r="L18867" t="n">
        <v>0</v>
      </c>
      <c r="M18867" t="n">
        <v>0</v>
      </c>
      <c r="N18867" t="n">
        <v>0</v>
      </c>
      <c r="O18867" t="n">
        <v>0</v>
      </c>
      <c r="P18867" t="n">
        <v>0</v>
      </c>
      <c r="Q18867" t="n">
        <v>0</v>
      </c>
      <c r="R18867" s="2" t="inlineStr"/>
    </row>
    <row r="18868" ht="15" customHeight="1">
      <c r="A18868" t="inlineStr">
        <is>
          <t>A 7928-2025</t>
        </is>
      </c>
      <c r="B18868" s="1" t="n">
        <v>45707</v>
      </c>
      <c r="C18868" s="1" t="n">
        <v>45810</v>
      </c>
      <c r="D18868" t="inlineStr">
        <is>
          <t>VÄRMLANDS LÄN</t>
        </is>
      </c>
      <c r="E18868" t="inlineStr">
        <is>
          <t>SUNNE</t>
        </is>
      </c>
      <c r="G18868" t="n">
        <v>1.3</v>
      </c>
      <c r="H18868" t="n">
        <v>0</v>
      </c>
      <c r="I18868" t="n">
        <v>0</v>
      </c>
      <c r="J18868" t="n">
        <v>0</v>
      </c>
      <c r="K18868" t="n">
        <v>0</v>
      </c>
      <c r="L18868" t="n">
        <v>0</v>
      </c>
      <c r="M18868" t="n">
        <v>0</v>
      </c>
      <c r="N18868" t="n">
        <v>0</v>
      </c>
      <c r="O18868" t="n">
        <v>0</v>
      </c>
      <c r="P18868" t="n">
        <v>0</v>
      </c>
      <c r="Q18868" t="n">
        <v>0</v>
      </c>
      <c r="R18868" s="2" t="inlineStr"/>
    </row>
    <row r="18869" ht="15" customHeight="1">
      <c r="A18869" t="inlineStr">
        <is>
          <t>A 7907-2025</t>
        </is>
      </c>
      <c r="B18869" s="1" t="n">
        <v>45707</v>
      </c>
      <c r="C18869" s="1" t="n">
        <v>45810</v>
      </c>
      <c r="D18869" t="inlineStr">
        <is>
          <t>VÄRMLANDS LÄN</t>
        </is>
      </c>
      <c r="E18869" t="inlineStr">
        <is>
          <t>TORSBY</t>
        </is>
      </c>
      <c r="G18869" t="n">
        <v>0.8</v>
      </c>
      <c r="H18869" t="n">
        <v>0</v>
      </c>
      <c r="I18869" t="n">
        <v>0</v>
      </c>
      <c r="J18869" t="n">
        <v>0</v>
      </c>
      <c r="K18869" t="n">
        <v>0</v>
      </c>
      <c r="L18869" t="n">
        <v>0</v>
      </c>
      <c r="M18869" t="n">
        <v>0</v>
      </c>
      <c r="N18869" t="n">
        <v>0</v>
      </c>
      <c r="O18869" t="n">
        <v>0</v>
      </c>
      <c r="P18869" t="n">
        <v>0</v>
      </c>
      <c r="Q18869" t="n">
        <v>0</v>
      </c>
      <c r="R18869" s="2" t="inlineStr"/>
    </row>
    <row r="18870" ht="15" customHeight="1">
      <c r="A18870" t="inlineStr">
        <is>
          <t>A 8212-2025</t>
        </is>
      </c>
      <c r="B18870" s="1" t="n">
        <v>45707</v>
      </c>
      <c r="C18870" s="1" t="n">
        <v>45810</v>
      </c>
      <c r="D18870" t="inlineStr">
        <is>
          <t>VÄRMLANDS LÄN</t>
        </is>
      </c>
      <c r="E18870" t="inlineStr">
        <is>
          <t>KARLSTAD</t>
        </is>
      </c>
      <c r="G18870" t="n">
        <v>1.3</v>
      </c>
      <c r="H18870" t="n">
        <v>0</v>
      </c>
      <c r="I18870" t="n">
        <v>0</v>
      </c>
      <c r="J18870" t="n">
        <v>0</v>
      </c>
      <c r="K18870" t="n">
        <v>0</v>
      </c>
      <c r="L18870" t="n">
        <v>0</v>
      </c>
      <c r="M18870" t="n">
        <v>0</v>
      </c>
      <c r="N18870" t="n">
        <v>0</v>
      </c>
      <c r="O18870" t="n">
        <v>0</v>
      </c>
      <c r="P18870" t="n">
        <v>0</v>
      </c>
      <c r="Q18870" t="n">
        <v>0</v>
      </c>
      <c r="R18870" s="2" t="inlineStr"/>
    </row>
    <row r="18871" ht="15" customHeight="1">
      <c r="A18871" t="inlineStr">
        <is>
          <t>A 8138-2025</t>
        </is>
      </c>
      <c r="B18871" s="1" t="n">
        <v>45707</v>
      </c>
      <c r="C18871" s="1" t="n">
        <v>45810</v>
      </c>
      <c r="D18871" t="inlineStr">
        <is>
          <t>VÄRMLANDS LÄN</t>
        </is>
      </c>
      <c r="E18871" t="inlineStr">
        <is>
          <t>SÄFFLE</t>
        </is>
      </c>
      <c r="G18871" t="n">
        <v>1.1</v>
      </c>
      <c r="H18871" t="n">
        <v>0</v>
      </c>
      <c r="I18871" t="n">
        <v>0</v>
      </c>
      <c r="J18871" t="n">
        <v>0</v>
      </c>
      <c r="K18871" t="n">
        <v>0</v>
      </c>
      <c r="L18871" t="n">
        <v>0</v>
      </c>
      <c r="M18871" t="n">
        <v>0</v>
      </c>
      <c r="N18871" t="n">
        <v>0</v>
      </c>
      <c r="O18871" t="n">
        <v>0</v>
      </c>
      <c r="P18871" t="n">
        <v>0</v>
      </c>
      <c r="Q18871" t="n">
        <v>0</v>
      </c>
      <c r="R18871" s="2" t="inlineStr"/>
    </row>
    <row r="18872" ht="15" customHeight="1">
      <c r="A18872" t="inlineStr">
        <is>
          <t>A 8206-2025</t>
        </is>
      </c>
      <c r="B18872" s="1" t="n">
        <v>45707</v>
      </c>
      <c r="C18872" s="1" t="n">
        <v>45810</v>
      </c>
      <c r="D18872" t="inlineStr">
        <is>
          <t>VÄRMLANDS LÄN</t>
        </is>
      </c>
      <c r="E18872" t="inlineStr">
        <is>
          <t>SÄFFLE</t>
        </is>
      </c>
      <c r="G18872" t="n">
        <v>2.6</v>
      </c>
      <c r="H18872" t="n">
        <v>0</v>
      </c>
      <c r="I18872" t="n">
        <v>0</v>
      </c>
      <c r="J18872" t="n">
        <v>0</v>
      </c>
      <c r="K18872" t="n">
        <v>0</v>
      </c>
      <c r="L18872" t="n">
        <v>0</v>
      </c>
      <c r="M18872" t="n">
        <v>0</v>
      </c>
      <c r="N18872" t="n">
        <v>0</v>
      </c>
      <c r="O18872" t="n">
        <v>0</v>
      </c>
      <c r="P18872" t="n">
        <v>0</v>
      </c>
      <c r="Q18872" t="n">
        <v>0</v>
      </c>
      <c r="R18872" s="2" t="inlineStr"/>
    </row>
    <row r="18873" ht="15" customHeight="1">
      <c r="A18873" t="inlineStr">
        <is>
          <t>A 8205-2025</t>
        </is>
      </c>
      <c r="B18873" s="1" t="n">
        <v>45707</v>
      </c>
      <c r="C18873" s="1" t="n">
        <v>45810</v>
      </c>
      <c r="D18873" t="inlineStr">
        <is>
          <t>VÄRMLANDS LÄN</t>
        </is>
      </c>
      <c r="E18873" t="inlineStr">
        <is>
          <t>SÄFFLE</t>
        </is>
      </c>
      <c r="G18873" t="n">
        <v>1.2</v>
      </c>
      <c r="H18873" t="n">
        <v>0</v>
      </c>
      <c r="I18873" t="n">
        <v>0</v>
      </c>
      <c r="J18873" t="n">
        <v>0</v>
      </c>
      <c r="K18873" t="n">
        <v>0</v>
      </c>
      <c r="L18873" t="n">
        <v>0</v>
      </c>
      <c r="M18873" t="n">
        <v>0</v>
      </c>
      <c r="N18873" t="n">
        <v>0</v>
      </c>
      <c r="O18873" t="n">
        <v>0</v>
      </c>
      <c r="P18873" t="n">
        <v>0</v>
      </c>
      <c r="Q18873" t="n">
        <v>0</v>
      </c>
      <c r="R18873" s="2" t="inlineStr"/>
    </row>
    <row r="18874" ht="15" customHeight="1">
      <c r="A18874" t="inlineStr">
        <is>
          <t>A 8156-2025</t>
        </is>
      </c>
      <c r="B18874" s="1" t="n">
        <v>45707</v>
      </c>
      <c r="C18874" s="1" t="n">
        <v>45810</v>
      </c>
      <c r="D18874" t="inlineStr">
        <is>
          <t>VÄRMLANDS LÄN</t>
        </is>
      </c>
      <c r="E18874" t="inlineStr">
        <is>
          <t>ARVIKA</t>
        </is>
      </c>
      <c r="G18874" t="n">
        <v>1.7</v>
      </c>
      <c r="H18874" t="n">
        <v>0</v>
      </c>
      <c r="I18874" t="n">
        <v>0</v>
      </c>
      <c r="J18874" t="n">
        <v>0</v>
      </c>
      <c r="K18874" t="n">
        <v>0</v>
      </c>
      <c r="L18874" t="n">
        <v>0</v>
      </c>
      <c r="M18874" t="n">
        <v>0</v>
      </c>
      <c r="N18874" t="n">
        <v>0</v>
      </c>
      <c r="O18874" t="n">
        <v>0</v>
      </c>
      <c r="P18874" t="n">
        <v>0</v>
      </c>
      <c r="Q18874" t="n">
        <v>0</v>
      </c>
      <c r="R18874" s="2" t="inlineStr"/>
    </row>
    <row r="18875" ht="15" customHeight="1">
      <c r="A18875" t="inlineStr">
        <is>
          <t>A 7980-2025</t>
        </is>
      </c>
      <c r="B18875" s="1" t="n">
        <v>45707</v>
      </c>
      <c r="C18875" s="1" t="n">
        <v>45810</v>
      </c>
      <c r="D18875" t="inlineStr">
        <is>
          <t>VÄRMLANDS LÄN</t>
        </is>
      </c>
      <c r="E18875" t="inlineStr">
        <is>
          <t>ARVIKA</t>
        </is>
      </c>
      <c r="G18875" t="n">
        <v>0.3</v>
      </c>
      <c r="H18875" t="n">
        <v>0</v>
      </c>
      <c r="I18875" t="n">
        <v>0</v>
      </c>
      <c r="J18875" t="n">
        <v>0</v>
      </c>
      <c r="K18875" t="n">
        <v>0</v>
      </c>
      <c r="L18875" t="n">
        <v>0</v>
      </c>
      <c r="M18875" t="n">
        <v>0</v>
      </c>
      <c r="N18875" t="n">
        <v>0</v>
      </c>
      <c r="O18875" t="n">
        <v>0</v>
      </c>
      <c r="P18875" t="n">
        <v>0</v>
      </c>
      <c r="Q18875" t="n">
        <v>0</v>
      </c>
      <c r="R18875" s="2" t="inlineStr"/>
    </row>
    <row r="18876" ht="15" customHeight="1">
      <c r="A18876" t="inlineStr">
        <is>
          <t>A 7914-2025</t>
        </is>
      </c>
      <c r="B18876" s="1" t="n">
        <v>45707</v>
      </c>
      <c r="C18876" s="1" t="n">
        <v>45810</v>
      </c>
      <c r="D18876" t="inlineStr">
        <is>
          <t>VÄRMLANDS LÄN</t>
        </is>
      </c>
      <c r="E18876" t="inlineStr">
        <is>
          <t>FORSHAGA</t>
        </is>
      </c>
      <c r="F18876" t="inlineStr">
        <is>
          <t>Bergvik skog väst AB</t>
        </is>
      </c>
      <c r="G18876" t="n">
        <v>3.7</v>
      </c>
      <c r="H18876" t="n">
        <v>0</v>
      </c>
      <c r="I18876" t="n">
        <v>0</v>
      </c>
      <c r="J18876" t="n">
        <v>0</v>
      </c>
      <c r="K18876" t="n">
        <v>0</v>
      </c>
      <c r="L18876" t="n">
        <v>0</v>
      </c>
      <c r="M18876" t="n">
        <v>0</v>
      </c>
      <c r="N18876" t="n">
        <v>0</v>
      </c>
      <c r="O18876" t="n">
        <v>0</v>
      </c>
      <c r="P18876" t="n">
        <v>0</v>
      </c>
      <c r="Q18876" t="n">
        <v>0</v>
      </c>
      <c r="R18876" s="2" t="inlineStr"/>
    </row>
    <row r="18877" ht="15" customHeight="1">
      <c r="A18877" t="inlineStr">
        <is>
          <t>A 8232-2025</t>
        </is>
      </c>
      <c r="B18877" s="1" t="n">
        <v>45708</v>
      </c>
      <c r="C18877" s="1" t="n">
        <v>45810</v>
      </c>
      <c r="D18877" t="inlineStr">
        <is>
          <t>VÄRMLANDS LÄN</t>
        </is>
      </c>
      <c r="E18877" t="inlineStr">
        <is>
          <t>ÅRJÄNG</t>
        </is>
      </c>
      <c r="G18877" t="n">
        <v>1.5</v>
      </c>
      <c r="H18877" t="n">
        <v>0</v>
      </c>
      <c r="I18877" t="n">
        <v>0</v>
      </c>
      <c r="J18877" t="n">
        <v>0</v>
      </c>
      <c r="K18877" t="n">
        <v>0</v>
      </c>
      <c r="L18877" t="n">
        <v>0</v>
      </c>
      <c r="M18877" t="n">
        <v>0</v>
      </c>
      <c r="N18877" t="n">
        <v>0</v>
      </c>
      <c r="O18877" t="n">
        <v>0</v>
      </c>
      <c r="P18877" t="n">
        <v>0</v>
      </c>
      <c r="Q18877" t="n">
        <v>0</v>
      </c>
      <c r="R18877" s="2" t="inlineStr"/>
    </row>
    <row r="18878" ht="15" customHeight="1">
      <c r="A18878" t="inlineStr">
        <is>
          <t>A 8215-2025</t>
        </is>
      </c>
      <c r="B18878" s="1" t="n">
        <v>45708</v>
      </c>
      <c r="C18878" s="1" t="n">
        <v>45810</v>
      </c>
      <c r="D18878" t="inlineStr">
        <is>
          <t>VÄRMLANDS LÄN</t>
        </is>
      </c>
      <c r="E18878" t="inlineStr">
        <is>
          <t>ÅRJÄNG</t>
        </is>
      </c>
      <c r="G18878" t="n">
        <v>1.9</v>
      </c>
      <c r="H18878" t="n">
        <v>0</v>
      </c>
      <c r="I18878" t="n">
        <v>0</v>
      </c>
      <c r="J18878" t="n">
        <v>0</v>
      </c>
      <c r="K18878" t="n">
        <v>0</v>
      </c>
      <c r="L18878" t="n">
        <v>0</v>
      </c>
      <c r="M18878" t="n">
        <v>0</v>
      </c>
      <c r="N18878" t="n">
        <v>0</v>
      </c>
      <c r="O18878" t="n">
        <v>0</v>
      </c>
      <c r="P18878" t="n">
        <v>0</v>
      </c>
      <c r="Q18878" t="n">
        <v>0</v>
      </c>
      <c r="R18878" s="2" t="inlineStr"/>
    </row>
    <row r="18879" ht="15" customHeight="1">
      <c r="A18879" t="inlineStr">
        <is>
          <t>A 8197-2025</t>
        </is>
      </c>
      <c r="B18879" s="1" t="n">
        <v>45708</v>
      </c>
      <c r="C18879" s="1" t="n">
        <v>45810</v>
      </c>
      <c r="D18879" t="inlineStr">
        <is>
          <t>VÄRMLANDS LÄN</t>
        </is>
      </c>
      <c r="E18879" t="inlineStr">
        <is>
          <t>TORSBY</t>
        </is>
      </c>
      <c r="G18879" t="n">
        <v>9.6</v>
      </c>
      <c r="H18879" t="n">
        <v>0</v>
      </c>
      <c r="I18879" t="n">
        <v>0</v>
      </c>
      <c r="J18879" t="n">
        <v>0</v>
      </c>
      <c r="K18879" t="n">
        <v>0</v>
      </c>
      <c r="L18879" t="n">
        <v>0</v>
      </c>
      <c r="M18879" t="n">
        <v>0</v>
      </c>
      <c r="N18879" t="n">
        <v>0</v>
      </c>
      <c r="O18879" t="n">
        <v>0</v>
      </c>
      <c r="P18879" t="n">
        <v>0</v>
      </c>
      <c r="Q18879" t="n">
        <v>0</v>
      </c>
      <c r="R18879" s="2" t="inlineStr"/>
    </row>
    <row r="18880" ht="15" customHeight="1">
      <c r="A18880" t="inlineStr">
        <is>
          <t>A 8188-2025</t>
        </is>
      </c>
      <c r="B18880" s="1" t="n">
        <v>45708</v>
      </c>
      <c r="C18880" s="1" t="n">
        <v>45810</v>
      </c>
      <c r="D18880" t="inlineStr">
        <is>
          <t>VÄRMLANDS LÄN</t>
        </is>
      </c>
      <c r="E18880" t="inlineStr">
        <is>
          <t>TORSBY</t>
        </is>
      </c>
      <c r="G18880" t="n">
        <v>9.6</v>
      </c>
      <c r="H18880" t="n">
        <v>0</v>
      </c>
      <c r="I18880" t="n">
        <v>0</v>
      </c>
      <c r="J18880" t="n">
        <v>0</v>
      </c>
      <c r="K18880" t="n">
        <v>0</v>
      </c>
      <c r="L18880" t="n">
        <v>0</v>
      </c>
      <c r="M18880" t="n">
        <v>0</v>
      </c>
      <c r="N18880" t="n">
        <v>0</v>
      </c>
      <c r="O18880" t="n">
        <v>0</v>
      </c>
      <c r="P18880" t="n">
        <v>0</v>
      </c>
      <c r="Q18880" t="n">
        <v>0</v>
      </c>
      <c r="R18880" s="2" t="inlineStr"/>
    </row>
    <row r="18881" ht="15" customHeight="1">
      <c r="A18881" t="inlineStr">
        <is>
          <t>A 8269-2025</t>
        </is>
      </c>
      <c r="B18881" s="1" t="n">
        <v>45708</v>
      </c>
      <c r="C18881" s="1" t="n">
        <v>45810</v>
      </c>
      <c r="D18881" t="inlineStr">
        <is>
          <t>VÄRMLANDS LÄN</t>
        </is>
      </c>
      <c r="E18881" t="inlineStr">
        <is>
          <t>STORFORS</t>
        </is>
      </c>
      <c r="G18881" t="n">
        <v>0.6</v>
      </c>
      <c r="H18881" t="n">
        <v>0</v>
      </c>
      <c r="I18881" t="n">
        <v>0</v>
      </c>
      <c r="J18881" t="n">
        <v>0</v>
      </c>
      <c r="K18881" t="n">
        <v>0</v>
      </c>
      <c r="L18881" t="n">
        <v>0</v>
      </c>
      <c r="M18881" t="n">
        <v>0</v>
      </c>
      <c r="N18881" t="n">
        <v>0</v>
      </c>
      <c r="O18881" t="n">
        <v>0</v>
      </c>
      <c r="P18881" t="n">
        <v>0</v>
      </c>
      <c r="Q18881" t="n">
        <v>0</v>
      </c>
      <c r="R18881" s="2" t="inlineStr"/>
    </row>
    <row r="18882" ht="15" customHeight="1">
      <c r="A18882" t="inlineStr">
        <is>
          <t>A 8246-2025</t>
        </is>
      </c>
      <c r="B18882" s="1" t="n">
        <v>45708</v>
      </c>
      <c r="C18882" s="1" t="n">
        <v>45810</v>
      </c>
      <c r="D18882" t="inlineStr">
        <is>
          <t>VÄRMLANDS LÄN</t>
        </is>
      </c>
      <c r="E18882" t="inlineStr">
        <is>
          <t>ÅRJÄNG</t>
        </is>
      </c>
      <c r="G18882" t="n">
        <v>1.1</v>
      </c>
      <c r="H18882" t="n">
        <v>0</v>
      </c>
      <c r="I18882" t="n">
        <v>0</v>
      </c>
      <c r="J18882" t="n">
        <v>0</v>
      </c>
      <c r="K18882" t="n">
        <v>0</v>
      </c>
      <c r="L18882" t="n">
        <v>0</v>
      </c>
      <c r="M18882" t="n">
        <v>0</v>
      </c>
      <c r="N18882" t="n">
        <v>0</v>
      </c>
      <c r="O18882" t="n">
        <v>0</v>
      </c>
      <c r="P18882" t="n">
        <v>0</v>
      </c>
      <c r="Q18882" t="n">
        <v>0</v>
      </c>
      <c r="R18882" s="2" t="inlineStr"/>
    </row>
    <row r="18883" ht="15" customHeight="1">
      <c r="A18883" t="inlineStr">
        <is>
          <t>A 8296-2025</t>
        </is>
      </c>
      <c r="B18883" s="1" t="n">
        <v>45708</v>
      </c>
      <c r="C18883" s="1" t="n">
        <v>45810</v>
      </c>
      <c r="D18883" t="inlineStr">
        <is>
          <t>VÄRMLANDS LÄN</t>
        </is>
      </c>
      <c r="E18883" t="inlineStr">
        <is>
          <t>SUNNE</t>
        </is>
      </c>
      <c r="G18883" t="n">
        <v>5.1</v>
      </c>
      <c r="H18883" t="n">
        <v>0</v>
      </c>
      <c r="I18883" t="n">
        <v>0</v>
      </c>
      <c r="J18883" t="n">
        <v>0</v>
      </c>
      <c r="K18883" t="n">
        <v>0</v>
      </c>
      <c r="L18883" t="n">
        <v>0</v>
      </c>
      <c r="M18883" t="n">
        <v>0</v>
      </c>
      <c r="N18883" t="n">
        <v>0</v>
      </c>
      <c r="O18883" t="n">
        <v>0</v>
      </c>
      <c r="P18883" t="n">
        <v>0</v>
      </c>
      <c r="Q18883" t="n">
        <v>0</v>
      </c>
      <c r="R18883" s="2" t="inlineStr"/>
    </row>
    <row r="18884" ht="15" customHeight="1">
      <c r="A18884" t="inlineStr">
        <is>
          <t>A 8364-2025</t>
        </is>
      </c>
      <c r="B18884" s="1" t="n">
        <v>45708</v>
      </c>
      <c r="C18884" s="1" t="n">
        <v>45810</v>
      </c>
      <c r="D18884" t="inlineStr">
        <is>
          <t>VÄRMLANDS LÄN</t>
        </is>
      </c>
      <c r="E18884" t="inlineStr">
        <is>
          <t>GRUMS</t>
        </is>
      </c>
      <c r="G18884" t="n">
        <v>0.8</v>
      </c>
      <c r="H18884" t="n">
        <v>0</v>
      </c>
      <c r="I18884" t="n">
        <v>0</v>
      </c>
      <c r="J18884" t="n">
        <v>0</v>
      </c>
      <c r="K18884" t="n">
        <v>0</v>
      </c>
      <c r="L18884" t="n">
        <v>0</v>
      </c>
      <c r="M18884" t="n">
        <v>0</v>
      </c>
      <c r="N18884" t="n">
        <v>0</v>
      </c>
      <c r="O18884" t="n">
        <v>0</v>
      </c>
      <c r="P18884" t="n">
        <v>0</v>
      </c>
      <c r="Q18884" t="n">
        <v>0</v>
      </c>
      <c r="R18884" s="2" t="inlineStr"/>
    </row>
    <row r="18885" ht="15" customHeight="1">
      <c r="A18885" t="inlineStr">
        <is>
          <t>A 8356-2025</t>
        </is>
      </c>
      <c r="B18885" s="1" t="n">
        <v>45708</v>
      </c>
      <c r="C18885" s="1" t="n">
        <v>45810</v>
      </c>
      <c r="D18885" t="inlineStr">
        <is>
          <t>VÄRMLANDS LÄN</t>
        </is>
      </c>
      <c r="E18885" t="inlineStr">
        <is>
          <t>ÅRJÄNG</t>
        </is>
      </c>
      <c r="G18885" t="n">
        <v>1.1</v>
      </c>
      <c r="H18885" t="n">
        <v>0</v>
      </c>
      <c r="I18885" t="n">
        <v>0</v>
      </c>
      <c r="J18885" t="n">
        <v>0</v>
      </c>
      <c r="K18885" t="n">
        <v>0</v>
      </c>
      <c r="L18885" t="n">
        <v>0</v>
      </c>
      <c r="M18885" t="n">
        <v>0</v>
      </c>
      <c r="N18885" t="n">
        <v>0</v>
      </c>
      <c r="O18885" t="n">
        <v>0</v>
      </c>
      <c r="P18885" t="n">
        <v>0</v>
      </c>
      <c r="Q18885" t="n">
        <v>0</v>
      </c>
      <c r="R18885" s="2" t="inlineStr"/>
    </row>
    <row r="18886" ht="15" customHeight="1">
      <c r="A18886" t="inlineStr">
        <is>
          <t>A 8294-2025</t>
        </is>
      </c>
      <c r="B18886" s="1" t="n">
        <v>45708</v>
      </c>
      <c r="C18886" s="1" t="n">
        <v>45810</v>
      </c>
      <c r="D18886" t="inlineStr">
        <is>
          <t>VÄRMLANDS LÄN</t>
        </is>
      </c>
      <c r="E18886" t="inlineStr">
        <is>
          <t>ÅRJÄNG</t>
        </is>
      </c>
      <c r="G18886" t="n">
        <v>2.2</v>
      </c>
      <c r="H18886" t="n">
        <v>0</v>
      </c>
      <c r="I18886" t="n">
        <v>0</v>
      </c>
      <c r="J18886" t="n">
        <v>0</v>
      </c>
      <c r="K18886" t="n">
        <v>0</v>
      </c>
      <c r="L18886" t="n">
        <v>0</v>
      </c>
      <c r="M18886" t="n">
        <v>0</v>
      </c>
      <c r="N18886" t="n">
        <v>0</v>
      </c>
      <c r="O18886" t="n">
        <v>0</v>
      </c>
      <c r="P18886" t="n">
        <v>0</v>
      </c>
      <c r="Q18886" t="n">
        <v>0</v>
      </c>
      <c r="R18886" s="2" t="inlineStr"/>
    </row>
    <row r="18887" ht="15" customHeight="1">
      <c r="A18887" t="inlineStr">
        <is>
          <t>A 8361-2025</t>
        </is>
      </c>
      <c r="B18887" s="1" t="n">
        <v>45708</v>
      </c>
      <c r="C18887" s="1" t="n">
        <v>45810</v>
      </c>
      <c r="D18887" t="inlineStr">
        <is>
          <t>VÄRMLANDS LÄN</t>
        </is>
      </c>
      <c r="E18887" t="inlineStr">
        <is>
          <t>GRUMS</t>
        </is>
      </c>
      <c r="G18887" t="n">
        <v>2.3</v>
      </c>
      <c r="H18887" t="n">
        <v>0</v>
      </c>
      <c r="I18887" t="n">
        <v>0</v>
      </c>
      <c r="J18887" t="n">
        <v>0</v>
      </c>
      <c r="K18887" t="n">
        <v>0</v>
      </c>
      <c r="L18887" t="n">
        <v>0</v>
      </c>
      <c r="M18887" t="n">
        <v>0</v>
      </c>
      <c r="N18887" t="n">
        <v>0</v>
      </c>
      <c r="O18887" t="n">
        <v>0</v>
      </c>
      <c r="P18887" t="n">
        <v>0</v>
      </c>
      <c r="Q18887" t="n">
        <v>0</v>
      </c>
      <c r="R18887" s="2" t="inlineStr"/>
    </row>
    <row r="18888" ht="15" customHeight="1">
      <c r="A18888" t="inlineStr">
        <is>
          <t>A 8357-2025</t>
        </is>
      </c>
      <c r="B18888" s="1" t="n">
        <v>45708</v>
      </c>
      <c r="C18888" s="1" t="n">
        <v>45810</v>
      </c>
      <c r="D18888" t="inlineStr">
        <is>
          <t>VÄRMLANDS LÄN</t>
        </is>
      </c>
      <c r="E18888" t="inlineStr">
        <is>
          <t>ÅRJÄNG</t>
        </is>
      </c>
      <c r="G18888" t="n">
        <v>3.4</v>
      </c>
      <c r="H18888" t="n">
        <v>0</v>
      </c>
      <c r="I18888" t="n">
        <v>0</v>
      </c>
      <c r="J18888" t="n">
        <v>0</v>
      </c>
      <c r="K18888" t="n">
        <v>0</v>
      </c>
      <c r="L18888" t="n">
        <v>0</v>
      </c>
      <c r="M18888" t="n">
        <v>0</v>
      </c>
      <c r="N18888" t="n">
        <v>0</v>
      </c>
      <c r="O18888" t="n">
        <v>0</v>
      </c>
      <c r="P18888" t="n">
        <v>0</v>
      </c>
      <c r="Q18888" t="n">
        <v>0</v>
      </c>
      <c r="R18888" s="2" t="inlineStr"/>
    </row>
    <row r="18889" ht="15" customHeight="1">
      <c r="A18889" t="inlineStr">
        <is>
          <t>A 8154-2025</t>
        </is>
      </c>
      <c r="B18889" s="1" t="n">
        <v>45708</v>
      </c>
      <c r="C18889" s="1" t="n">
        <v>45810</v>
      </c>
      <c r="D18889" t="inlineStr">
        <is>
          <t>VÄRMLANDS LÄN</t>
        </is>
      </c>
      <c r="E18889" t="inlineStr">
        <is>
          <t>ARVIKA</t>
        </is>
      </c>
      <c r="G18889" t="n">
        <v>3.1</v>
      </c>
      <c r="H18889" t="n">
        <v>0</v>
      </c>
      <c r="I18889" t="n">
        <v>0</v>
      </c>
      <c r="J18889" t="n">
        <v>0</v>
      </c>
      <c r="K18889" t="n">
        <v>0</v>
      </c>
      <c r="L18889" t="n">
        <v>0</v>
      </c>
      <c r="M18889" t="n">
        <v>0</v>
      </c>
      <c r="N18889" t="n">
        <v>0</v>
      </c>
      <c r="O18889" t="n">
        <v>0</v>
      </c>
      <c r="P18889" t="n">
        <v>0</v>
      </c>
      <c r="Q18889" t="n">
        <v>0</v>
      </c>
      <c r="R18889" s="2" t="inlineStr"/>
    </row>
    <row r="18890" ht="15" customHeight="1">
      <c r="A18890" t="inlineStr">
        <is>
          <t>A 8359-2025</t>
        </is>
      </c>
      <c r="B18890" s="1" t="n">
        <v>45708</v>
      </c>
      <c r="C18890" s="1" t="n">
        <v>45810</v>
      </c>
      <c r="D18890" t="inlineStr">
        <is>
          <t>VÄRMLANDS LÄN</t>
        </is>
      </c>
      <c r="E18890" t="inlineStr">
        <is>
          <t>GRUMS</t>
        </is>
      </c>
      <c r="G18890" t="n">
        <v>4.3</v>
      </c>
      <c r="H18890" t="n">
        <v>0</v>
      </c>
      <c r="I18890" t="n">
        <v>0</v>
      </c>
      <c r="J18890" t="n">
        <v>0</v>
      </c>
      <c r="K18890" t="n">
        <v>0</v>
      </c>
      <c r="L18890" t="n">
        <v>0</v>
      </c>
      <c r="M18890" t="n">
        <v>0</v>
      </c>
      <c r="N18890" t="n">
        <v>0</v>
      </c>
      <c r="O18890" t="n">
        <v>0</v>
      </c>
      <c r="P18890" t="n">
        <v>0</v>
      </c>
      <c r="Q18890" t="n">
        <v>0</v>
      </c>
      <c r="R18890" s="2" t="inlineStr"/>
    </row>
    <row r="18891" ht="15" customHeight="1">
      <c r="A18891" t="inlineStr">
        <is>
          <t>A 8328-2025</t>
        </is>
      </c>
      <c r="B18891" s="1" t="n">
        <v>45708</v>
      </c>
      <c r="C18891" s="1" t="n">
        <v>45810</v>
      </c>
      <c r="D18891" t="inlineStr">
        <is>
          <t>VÄRMLANDS LÄN</t>
        </is>
      </c>
      <c r="E18891" t="inlineStr">
        <is>
          <t>ÅRJÄNG</t>
        </is>
      </c>
      <c r="G18891" t="n">
        <v>1.9</v>
      </c>
      <c r="H18891" t="n">
        <v>0</v>
      </c>
      <c r="I18891" t="n">
        <v>0</v>
      </c>
      <c r="J18891" t="n">
        <v>0</v>
      </c>
      <c r="K18891" t="n">
        <v>0</v>
      </c>
      <c r="L18891" t="n">
        <v>0</v>
      </c>
      <c r="M18891" t="n">
        <v>0</v>
      </c>
      <c r="N18891" t="n">
        <v>0</v>
      </c>
      <c r="O18891" t="n">
        <v>0</v>
      </c>
      <c r="P18891" t="n">
        <v>0</v>
      </c>
      <c r="Q18891" t="n">
        <v>0</v>
      </c>
      <c r="R18891" s="2" t="inlineStr"/>
    </row>
    <row r="18892" ht="15" customHeight="1">
      <c r="A18892" t="inlineStr">
        <is>
          <t>A 8362-2025</t>
        </is>
      </c>
      <c r="B18892" s="1" t="n">
        <v>45708</v>
      </c>
      <c r="C18892" s="1" t="n">
        <v>45810</v>
      </c>
      <c r="D18892" t="inlineStr">
        <is>
          <t>VÄRMLANDS LÄN</t>
        </is>
      </c>
      <c r="E18892" t="inlineStr">
        <is>
          <t>GRUMS</t>
        </is>
      </c>
      <c r="G18892" t="n">
        <v>7.7</v>
      </c>
      <c r="H18892" t="n">
        <v>0</v>
      </c>
      <c r="I18892" t="n">
        <v>0</v>
      </c>
      <c r="J18892" t="n">
        <v>0</v>
      </c>
      <c r="K18892" t="n">
        <v>0</v>
      </c>
      <c r="L18892" t="n">
        <v>0</v>
      </c>
      <c r="M18892" t="n">
        <v>0</v>
      </c>
      <c r="N18892" t="n">
        <v>0</v>
      </c>
      <c r="O18892" t="n">
        <v>0</v>
      </c>
      <c r="P18892" t="n">
        <v>0</v>
      </c>
      <c r="Q18892" t="n">
        <v>0</v>
      </c>
      <c r="R18892" s="2" t="inlineStr"/>
    </row>
    <row r="18893" ht="15" customHeight="1">
      <c r="A18893" t="inlineStr">
        <is>
          <t>A 8255-2025</t>
        </is>
      </c>
      <c r="B18893" s="1" t="n">
        <v>45708</v>
      </c>
      <c r="C18893" s="1" t="n">
        <v>45810</v>
      </c>
      <c r="D18893" t="inlineStr">
        <is>
          <t>VÄRMLANDS LÄN</t>
        </is>
      </c>
      <c r="E18893" t="inlineStr">
        <is>
          <t>ÅRJÄNG</t>
        </is>
      </c>
      <c r="G18893" t="n">
        <v>4</v>
      </c>
      <c r="H18893" t="n">
        <v>0</v>
      </c>
      <c r="I18893" t="n">
        <v>0</v>
      </c>
      <c r="J18893" t="n">
        <v>0</v>
      </c>
      <c r="K18893" t="n">
        <v>0</v>
      </c>
      <c r="L18893" t="n">
        <v>0</v>
      </c>
      <c r="M18893" t="n">
        <v>0</v>
      </c>
      <c r="N18893" t="n">
        <v>0</v>
      </c>
      <c r="O18893" t="n">
        <v>0</v>
      </c>
      <c r="P18893" t="n">
        <v>0</v>
      </c>
      <c r="Q18893" t="n">
        <v>0</v>
      </c>
      <c r="R18893" s="2" t="inlineStr"/>
    </row>
    <row r="18894" ht="15" customHeight="1">
      <c r="A18894" t="inlineStr">
        <is>
          <t>A 8230-2025</t>
        </is>
      </c>
      <c r="B18894" s="1" t="n">
        <v>45708</v>
      </c>
      <c r="C18894" s="1" t="n">
        <v>45810</v>
      </c>
      <c r="D18894" t="inlineStr">
        <is>
          <t>VÄRMLANDS LÄN</t>
        </is>
      </c>
      <c r="E18894" t="inlineStr">
        <is>
          <t>ÅRJÄNG</t>
        </is>
      </c>
      <c r="G18894" t="n">
        <v>2.5</v>
      </c>
      <c r="H18894" t="n">
        <v>0</v>
      </c>
      <c r="I18894" t="n">
        <v>0</v>
      </c>
      <c r="J18894" t="n">
        <v>0</v>
      </c>
      <c r="K18894" t="n">
        <v>0</v>
      </c>
      <c r="L18894" t="n">
        <v>0</v>
      </c>
      <c r="M18894" t="n">
        <v>0</v>
      </c>
      <c r="N18894" t="n">
        <v>0</v>
      </c>
      <c r="O18894" t="n">
        <v>0</v>
      </c>
      <c r="P18894" t="n">
        <v>0</v>
      </c>
      <c r="Q18894" t="n">
        <v>0</v>
      </c>
      <c r="R18894" s="2" t="inlineStr"/>
    </row>
    <row r="18895" ht="15" customHeight="1">
      <c r="A18895" t="inlineStr">
        <is>
          <t>A 8303-2025</t>
        </is>
      </c>
      <c r="B18895" s="1" t="n">
        <v>45708</v>
      </c>
      <c r="C18895" s="1" t="n">
        <v>45810</v>
      </c>
      <c r="D18895" t="inlineStr">
        <is>
          <t>VÄRMLANDS LÄN</t>
        </is>
      </c>
      <c r="E18895" t="inlineStr">
        <is>
          <t>ÅRJÄNG</t>
        </is>
      </c>
      <c r="G18895" t="n">
        <v>4.3</v>
      </c>
      <c r="H18895" t="n">
        <v>0</v>
      </c>
      <c r="I18895" t="n">
        <v>0</v>
      </c>
      <c r="J18895" t="n">
        <v>0</v>
      </c>
      <c r="K18895" t="n">
        <v>0</v>
      </c>
      <c r="L18895" t="n">
        <v>0</v>
      </c>
      <c r="M18895" t="n">
        <v>0</v>
      </c>
      <c r="N18895" t="n">
        <v>0</v>
      </c>
      <c r="O18895" t="n">
        <v>0</v>
      </c>
      <c r="P18895" t="n">
        <v>0</v>
      </c>
      <c r="Q18895" t="n">
        <v>0</v>
      </c>
      <c r="R18895" s="2" t="inlineStr"/>
    </row>
    <row r="18896" ht="15" customHeight="1">
      <c r="A18896" t="inlineStr">
        <is>
          <t>A 8387-2025</t>
        </is>
      </c>
      <c r="B18896" s="1" t="n">
        <v>45709</v>
      </c>
      <c r="C18896" s="1" t="n">
        <v>45810</v>
      </c>
      <c r="D18896" t="inlineStr">
        <is>
          <t>VÄRMLANDS LÄN</t>
        </is>
      </c>
      <c r="E18896" t="inlineStr">
        <is>
          <t>FORSHAGA</t>
        </is>
      </c>
      <c r="F18896" t="inlineStr">
        <is>
          <t>Bergvik skog väst AB</t>
        </is>
      </c>
      <c r="G18896" t="n">
        <v>0.9</v>
      </c>
      <c r="H18896" t="n">
        <v>0</v>
      </c>
      <c r="I18896" t="n">
        <v>0</v>
      </c>
      <c r="J18896" t="n">
        <v>0</v>
      </c>
      <c r="K18896" t="n">
        <v>0</v>
      </c>
      <c r="L18896" t="n">
        <v>0</v>
      </c>
      <c r="M18896" t="n">
        <v>0</v>
      </c>
      <c r="N18896" t="n">
        <v>0</v>
      </c>
      <c r="O18896" t="n">
        <v>0</v>
      </c>
      <c r="P18896" t="n">
        <v>0</v>
      </c>
      <c r="Q18896" t="n">
        <v>0</v>
      </c>
      <c r="R18896" s="2" t="inlineStr"/>
    </row>
    <row r="18897" ht="15" customHeight="1">
      <c r="A18897" t="inlineStr">
        <is>
          <t>A 8399-2025</t>
        </is>
      </c>
      <c r="B18897" s="1" t="n">
        <v>45709</v>
      </c>
      <c r="C18897" s="1" t="n">
        <v>45810</v>
      </c>
      <c r="D18897" t="inlineStr">
        <is>
          <t>VÄRMLANDS LÄN</t>
        </is>
      </c>
      <c r="E18897" t="inlineStr">
        <is>
          <t>FORSHAGA</t>
        </is>
      </c>
      <c r="F18897" t="inlineStr">
        <is>
          <t>Bergvik skog väst AB</t>
        </is>
      </c>
      <c r="G18897" t="n">
        <v>1.3</v>
      </c>
      <c r="H18897" t="n">
        <v>0</v>
      </c>
      <c r="I18897" t="n">
        <v>0</v>
      </c>
      <c r="J18897" t="n">
        <v>0</v>
      </c>
      <c r="K18897" t="n">
        <v>0</v>
      </c>
      <c r="L18897" t="n">
        <v>0</v>
      </c>
      <c r="M18897" t="n">
        <v>0</v>
      </c>
      <c r="N18897" t="n">
        <v>0</v>
      </c>
      <c r="O18897" t="n">
        <v>0</v>
      </c>
      <c r="P18897" t="n">
        <v>0</v>
      </c>
      <c r="Q18897" t="n">
        <v>0</v>
      </c>
      <c r="R18897" s="2" t="inlineStr"/>
    </row>
    <row r="18898" ht="15" customHeight="1">
      <c r="A18898" t="inlineStr">
        <is>
          <t>A 8431-2025</t>
        </is>
      </c>
      <c r="B18898" s="1" t="n">
        <v>45709</v>
      </c>
      <c r="C18898" s="1" t="n">
        <v>45810</v>
      </c>
      <c r="D18898" t="inlineStr">
        <is>
          <t>VÄRMLANDS LÄN</t>
        </is>
      </c>
      <c r="E18898" t="inlineStr">
        <is>
          <t>FORSHAGA</t>
        </is>
      </c>
      <c r="F18898" t="inlineStr">
        <is>
          <t>Bergvik skog väst AB</t>
        </is>
      </c>
      <c r="G18898" t="n">
        <v>5.4</v>
      </c>
      <c r="H18898" t="n">
        <v>0</v>
      </c>
      <c r="I18898" t="n">
        <v>0</v>
      </c>
      <c r="J18898" t="n">
        <v>0</v>
      </c>
      <c r="K18898" t="n">
        <v>0</v>
      </c>
      <c r="L18898" t="n">
        <v>0</v>
      </c>
      <c r="M18898" t="n">
        <v>0</v>
      </c>
      <c r="N18898" t="n">
        <v>0</v>
      </c>
      <c r="O18898" t="n">
        <v>0</v>
      </c>
      <c r="P18898" t="n">
        <v>0</v>
      </c>
      <c r="Q18898" t="n">
        <v>0</v>
      </c>
      <c r="R18898" s="2" t="inlineStr"/>
    </row>
    <row r="18899" ht="15" customHeight="1">
      <c r="A18899" t="inlineStr">
        <is>
          <t>A 8534-2025</t>
        </is>
      </c>
      <c r="B18899" s="1" t="n">
        <v>45709</v>
      </c>
      <c r="C18899" s="1" t="n">
        <v>45810</v>
      </c>
      <c r="D18899" t="inlineStr">
        <is>
          <t>VÄRMLANDS LÄN</t>
        </is>
      </c>
      <c r="E18899" t="inlineStr">
        <is>
          <t>KIL</t>
        </is>
      </c>
      <c r="G18899" t="n">
        <v>2.4</v>
      </c>
      <c r="H18899" t="n">
        <v>0</v>
      </c>
      <c r="I18899" t="n">
        <v>0</v>
      </c>
      <c r="J18899" t="n">
        <v>0</v>
      </c>
      <c r="K18899" t="n">
        <v>0</v>
      </c>
      <c r="L18899" t="n">
        <v>0</v>
      </c>
      <c r="M18899" t="n">
        <v>0</v>
      </c>
      <c r="N18899" t="n">
        <v>0</v>
      </c>
      <c r="O18899" t="n">
        <v>0</v>
      </c>
      <c r="P18899" t="n">
        <v>0</v>
      </c>
      <c r="Q18899" t="n">
        <v>0</v>
      </c>
      <c r="R18899" s="2" t="inlineStr"/>
    </row>
    <row r="18900" ht="15" customHeight="1">
      <c r="A18900" t="inlineStr">
        <is>
          <t>A 8541-2025</t>
        </is>
      </c>
      <c r="B18900" s="1" t="n">
        <v>45709</v>
      </c>
      <c r="C18900" s="1" t="n">
        <v>45810</v>
      </c>
      <c r="D18900" t="inlineStr">
        <is>
          <t>VÄRMLANDS LÄN</t>
        </is>
      </c>
      <c r="E18900" t="inlineStr">
        <is>
          <t>KIL</t>
        </is>
      </c>
      <c r="G18900" t="n">
        <v>1</v>
      </c>
      <c r="H18900" t="n">
        <v>0</v>
      </c>
      <c r="I18900" t="n">
        <v>0</v>
      </c>
      <c r="J18900" t="n">
        <v>0</v>
      </c>
      <c r="K18900" t="n">
        <v>0</v>
      </c>
      <c r="L18900" t="n">
        <v>0</v>
      </c>
      <c r="M18900" t="n">
        <v>0</v>
      </c>
      <c r="N18900" t="n">
        <v>0</v>
      </c>
      <c r="O18900" t="n">
        <v>0</v>
      </c>
      <c r="P18900" t="n">
        <v>0</v>
      </c>
      <c r="Q18900" t="n">
        <v>0</v>
      </c>
      <c r="R18900" s="2" t="inlineStr"/>
    </row>
    <row r="18901" ht="15" customHeight="1">
      <c r="A18901" t="inlineStr">
        <is>
          <t>A 8548-2025</t>
        </is>
      </c>
      <c r="B18901" s="1" t="n">
        <v>45709</v>
      </c>
      <c r="C18901" s="1" t="n">
        <v>45810</v>
      </c>
      <c r="D18901" t="inlineStr">
        <is>
          <t>VÄRMLANDS LÄN</t>
        </is>
      </c>
      <c r="E18901" t="inlineStr">
        <is>
          <t>SÄFFLE</t>
        </is>
      </c>
      <c r="G18901" t="n">
        <v>1.8</v>
      </c>
      <c r="H18901" t="n">
        <v>0</v>
      </c>
      <c r="I18901" t="n">
        <v>0</v>
      </c>
      <c r="J18901" t="n">
        <v>0</v>
      </c>
      <c r="K18901" t="n">
        <v>0</v>
      </c>
      <c r="L18901" t="n">
        <v>0</v>
      </c>
      <c r="M18901" t="n">
        <v>0</v>
      </c>
      <c r="N18901" t="n">
        <v>0</v>
      </c>
      <c r="O18901" t="n">
        <v>0</v>
      </c>
      <c r="P18901" t="n">
        <v>0</v>
      </c>
      <c r="Q18901" t="n">
        <v>0</v>
      </c>
      <c r="R18901" s="2" t="inlineStr"/>
    </row>
    <row r="18902" ht="15" customHeight="1">
      <c r="A18902" t="inlineStr">
        <is>
          <t>A 8555-2025</t>
        </is>
      </c>
      <c r="B18902" s="1" t="n">
        <v>45709</v>
      </c>
      <c r="C18902" s="1" t="n">
        <v>45810</v>
      </c>
      <c r="D18902" t="inlineStr">
        <is>
          <t>VÄRMLANDS LÄN</t>
        </is>
      </c>
      <c r="E18902" t="inlineStr">
        <is>
          <t>KIL</t>
        </is>
      </c>
      <c r="G18902" t="n">
        <v>4.8</v>
      </c>
      <c r="H18902" t="n">
        <v>0</v>
      </c>
      <c r="I18902" t="n">
        <v>0</v>
      </c>
      <c r="J18902" t="n">
        <v>0</v>
      </c>
      <c r="K18902" t="n">
        <v>0</v>
      </c>
      <c r="L18902" t="n">
        <v>0</v>
      </c>
      <c r="M18902" t="n">
        <v>0</v>
      </c>
      <c r="N18902" t="n">
        <v>0</v>
      </c>
      <c r="O18902" t="n">
        <v>0</v>
      </c>
      <c r="P18902" t="n">
        <v>0</v>
      </c>
      <c r="Q18902" t="n">
        <v>0</v>
      </c>
      <c r="R18902" s="2" t="inlineStr"/>
    </row>
    <row r="18903" ht="15" customHeight="1">
      <c r="A18903" t="inlineStr">
        <is>
          <t>A 8567-2025</t>
        </is>
      </c>
      <c r="B18903" s="1" t="n">
        <v>45709</v>
      </c>
      <c r="C18903" s="1" t="n">
        <v>45810</v>
      </c>
      <c r="D18903" t="inlineStr">
        <is>
          <t>VÄRMLANDS LÄN</t>
        </is>
      </c>
      <c r="E18903" t="inlineStr">
        <is>
          <t>ARVIKA</t>
        </is>
      </c>
      <c r="G18903" t="n">
        <v>0.7</v>
      </c>
      <c r="H18903" t="n">
        <v>0</v>
      </c>
      <c r="I18903" t="n">
        <v>0</v>
      </c>
      <c r="J18903" t="n">
        <v>0</v>
      </c>
      <c r="K18903" t="n">
        <v>0</v>
      </c>
      <c r="L18903" t="n">
        <v>0</v>
      </c>
      <c r="M18903" t="n">
        <v>0</v>
      </c>
      <c r="N18903" t="n">
        <v>0</v>
      </c>
      <c r="O18903" t="n">
        <v>0</v>
      </c>
      <c r="P18903" t="n">
        <v>0</v>
      </c>
      <c r="Q18903" t="n">
        <v>0</v>
      </c>
      <c r="R18903" s="2" t="inlineStr"/>
    </row>
    <row r="18904" ht="15" customHeight="1">
      <c r="A18904" t="inlineStr">
        <is>
          <t>A 8592-2025</t>
        </is>
      </c>
      <c r="B18904" s="1" t="n">
        <v>45709</v>
      </c>
      <c r="C18904" s="1" t="n">
        <v>45810</v>
      </c>
      <c r="D18904" t="inlineStr">
        <is>
          <t>VÄRMLANDS LÄN</t>
        </is>
      </c>
      <c r="E18904" t="inlineStr">
        <is>
          <t>KRISTINEHAMN</t>
        </is>
      </c>
      <c r="G18904" t="n">
        <v>1.4</v>
      </c>
      <c r="H18904" t="n">
        <v>0</v>
      </c>
      <c r="I18904" t="n">
        <v>0</v>
      </c>
      <c r="J18904" t="n">
        <v>0</v>
      </c>
      <c r="K18904" t="n">
        <v>0</v>
      </c>
      <c r="L18904" t="n">
        <v>0</v>
      </c>
      <c r="M18904" t="n">
        <v>0</v>
      </c>
      <c r="N18904" t="n">
        <v>0</v>
      </c>
      <c r="O18904" t="n">
        <v>0</v>
      </c>
      <c r="P18904" t="n">
        <v>0</v>
      </c>
      <c r="Q18904" t="n">
        <v>0</v>
      </c>
      <c r="R18904" s="2" t="inlineStr"/>
    </row>
    <row r="18905" ht="15" customHeight="1">
      <c r="A18905" t="inlineStr">
        <is>
          <t>A 8598-2025</t>
        </is>
      </c>
      <c r="B18905" s="1" t="n">
        <v>45709</v>
      </c>
      <c r="C18905" s="1" t="n">
        <v>45810</v>
      </c>
      <c r="D18905" t="inlineStr">
        <is>
          <t>VÄRMLANDS LÄN</t>
        </is>
      </c>
      <c r="E18905" t="inlineStr">
        <is>
          <t>ARVIKA</t>
        </is>
      </c>
      <c r="G18905" t="n">
        <v>14.1</v>
      </c>
      <c r="H18905" t="n">
        <v>0</v>
      </c>
      <c r="I18905" t="n">
        <v>0</v>
      </c>
      <c r="J18905" t="n">
        <v>0</v>
      </c>
      <c r="K18905" t="n">
        <v>0</v>
      </c>
      <c r="L18905" t="n">
        <v>0</v>
      </c>
      <c r="M18905" t="n">
        <v>0</v>
      </c>
      <c r="N18905" t="n">
        <v>0</v>
      </c>
      <c r="O18905" t="n">
        <v>0</v>
      </c>
      <c r="P18905" t="n">
        <v>0</v>
      </c>
      <c r="Q18905" t="n">
        <v>0</v>
      </c>
      <c r="R18905" s="2" t="inlineStr"/>
    </row>
    <row r="18906" ht="15" customHeight="1">
      <c r="A18906" t="inlineStr">
        <is>
          <t>A 8428-2025</t>
        </is>
      </c>
      <c r="B18906" s="1" t="n">
        <v>45709</v>
      </c>
      <c r="C18906" s="1" t="n">
        <v>45810</v>
      </c>
      <c r="D18906" t="inlineStr">
        <is>
          <t>VÄRMLANDS LÄN</t>
        </is>
      </c>
      <c r="E18906" t="inlineStr">
        <is>
          <t>TORSBY</t>
        </is>
      </c>
      <c r="G18906" t="n">
        <v>1.1</v>
      </c>
      <c r="H18906" t="n">
        <v>0</v>
      </c>
      <c r="I18906" t="n">
        <v>0</v>
      </c>
      <c r="J18906" t="n">
        <v>0</v>
      </c>
      <c r="K18906" t="n">
        <v>0</v>
      </c>
      <c r="L18906" t="n">
        <v>0</v>
      </c>
      <c r="M18906" t="n">
        <v>0</v>
      </c>
      <c r="N18906" t="n">
        <v>0</v>
      </c>
      <c r="O18906" t="n">
        <v>0</v>
      </c>
      <c r="P18906" t="n">
        <v>0</v>
      </c>
      <c r="Q18906" t="n">
        <v>0</v>
      </c>
      <c r="R18906" s="2" t="inlineStr"/>
    </row>
    <row r="18907" ht="15" customHeight="1">
      <c r="A18907" t="inlineStr">
        <is>
          <t>A 8514-2025</t>
        </is>
      </c>
      <c r="B18907" s="1" t="n">
        <v>45709</v>
      </c>
      <c r="C18907" s="1" t="n">
        <v>45810</v>
      </c>
      <c r="D18907" t="inlineStr">
        <is>
          <t>VÄRMLANDS LÄN</t>
        </is>
      </c>
      <c r="E18907" t="inlineStr">
        <is>
          <t>SÄFFLE</t>
        </is>
      </c>
      <c r="G18907" t="n">
        <v>2.1</v>
      </c>
      <c r="H18907" t="n">
        <v>0</v>
      </c>
      <c r="I18907" t="n">
        <v>0</v>
      </c>
      <c r="J18907" t="n">
        <v>0</v>
      </c>
      <c r="K18907" t="n">
        <v>0</v>
      </c>
      <c r="L18907" t="n">
        <v>0</v>
      </c>
      <c r="M18907" t="n">
        <v>0</v>
      </c>
      <c r="N18907" t="n">
        <v>0</v>
      </c>
      <c r="O18907" t="n">
        <v>0</v>
      </c>
      <c r="P18907" t="n">
        <v>0</v>
      </c>
      <c r="Q18907" t="n">
        <v>0</v>
      </c>
      <c r="R18907" s="2" t="inlineStr"/>
    </row>
    <row r="18908" ht="15" customHeight="1">
      <c r="A18908" t="inlineStr">
        <is>
          <t>A 8529-2025</t>
        </is>
      </c>
      <c r="B18908" s="1" t="n">
        <v>45709</v>
      </c>
      <c r="C18908" s="1" t="n">
        <v>45810</v>
      </c>
      <c r="D18908" t="inlineStr">
        <is>
          <t>VÄRMLANDS LÄN</t>
        </is>
      </c>
      <c r="E18908" t="inlineStr">
        <is>
          <t>KARLSTAD</t>
        </is>
      </c>
      <c r="G18908" t="n">
        <v>4</v>
      </c>
      <c r="H18908" t="n">
        <v>0</v>
      </c>
      <c r="I18908" t="n">
        <v>0</v>
      </c>
      <c r="J18908" t="n">
        <v>0</v>
      </c>
      <c r="K18908" t="n">
        <v>0</v>
      </c>
      <c r="L18908" t="n">
        <v>0</v>
      </c>
      <c r="M18908" t="n">
        <v>0</v>
      </c>
      <c r="N18908" t="n">
        <v>0</v>
      </c>
      <c r="O18908" t="n">
        <v>0</v>
      </c>
      <c r="P18908" t="n">
        <v>0</v>
      </c>
      <c r="Q18908" t="n">
        <v>0</v>
      </c>
      <c r="R18908" s="2" t="inlineStr"/>
    </row>
    <row r="18909" ht="15" customHeight="1">
      <c r="A18909" t="inlineStr">
        <is>
          <t>A 8398-2025</t>
        </is>
      </c>
      <c r="B18909" s="1" t="n">
        <v>45709</v>
      </c>
      <c r="C18909" s="1" t="n">
        <v>45810</v>
      </c>
      <c r="D18909" t="inlineStr">
        <is>
          <t>VÄRMLANDS LÄN</t>
        </is>
      </c>
      <c r="E18909" t="inlineStr">
        <is>
          <t>TORSBY</t>
        </is>
      </c>
      <c r="G18909" t="n">
        <v>2.8</v>
      </c>
      <c r="H18909" t="n">
        <v>0</v>
      </c>
      <c r="I18909" t="n">
        <v>0</v>
      </c>
      <c r="J18909" t="n">
        <v>0</v>
      </c>
      <c r="K18909" t="n">
        <v>0</v>
      </c>
      <c r="L18909" t="n">
        <v>0</v>
      </c>
      <c r="M18909" t="n">
        <v>0</v>
      </c>
      <c r="N18909" t="n">
        <v>0</v>
      </c>
      <c r="O18909" t="n">
        <v>0</v>
      </c>
      <c r="P18909" t="n">
        <v>0</v>
      </c>
      <c r="Q18909" t="n">
        <v>0</v>
      </c>
      <c r="R18909" s="2" t="inlineStr"/>
    </row>
    <row r="18910" ht="15" customHeight="1">
      <c r="A18910" t="inlineStr">
        <is>
          <t>A 8390-2025</t>
        </is>
      </c>
      <c r="B18910" s="1" t="n">
        <v>45709</v>
      </c>
      <c r="C18910" s="1" t="n">
        <v>45810</v>
      </c>
      <c r="D18910" t="inlineStr">
        <is>
          <t>VÄRMLANDS LÄN</t>
        </is>
      </c>
      <c r="E18910" t="inlineStr">
        <is>
          <t>SUNNE</t>
        </is>
      </c>
      <c r="G18910" t="n">
        <v>2.3</v>
      </c>
      <c r="H18910" t="n">
        <v>0</v>
      </c>
      <c r="I18910" t="n">
        <v>0</v>
      </c>
      <c r="J18910" t="n">
        <v>0</v>
      </c>
      <c r="K18910" t="n">
        <v>0</v>
      </c>
      <c r="L18910" t="n">
        <v>0</v>
      </c>
      <c r="M18910" t="n">
        <v>0</v>
      </c>
      <c r="N18910" t="n">
        <v>0</v>
      </c>
      <c r="O18910" t="n">
        <v>0</v>
      </c>
      <c r="P18910" t="n">
        <v>0</v>
      </c>
      <c r="Q18910" t="n">
        <v>0</v>
      </c>
      <c r="R18910" s="2" t="inlineStr"/>
    </row>
    <row r="18911" ht="15" customHeight="1">
      <c r="A18911" t="inlineStr">
        <is>
          <t>A 8591-2025</t>
        </is>
      </c>
      <c r="B18911" s="1" t="n">
        <v>45709</v>
      </c>
      <c r="C18911" s="1" t="n">
        <v>45810</v>
      </c>
      <c r="D18911" t="inlineStr">
        <is>
          <t>VÄRMLANDS LÄN</t>
        </is>
      </c>
      <c r="E18911" t="inlineStr">
        <is>
          <t>KRISTINEHAMN</t>
        </is>
      </c>
      <c r="G18911" t="n">
        <v>1.2</v>
      </c>
      <c r="H18911" t="n">
        <v>0</v>
      </c>
      <c r="I18911" t="n">
        <v>0</v>
      </c>
      <c r="J18911" t="n">
        <v>0</v>
      </c>
      <c r="K18911" t="n">
        <v>0</v>
      </c>
      <c r="L18911" t="n">
        <v>0</v>
      </c>
      <c r="M18911" t="n">
        <v>0</v>
      </c>
      <c r="N18911" t="n">
        <v>0</v>
      </c>
      <c r="O18911" t="n">
        <v>0</v>
      </c>
      <c r="P18911" t="n">
        <v>0</v>
      </c>
      <c r="Q18911" t="n">
        <v>0</v>
      </c>
      <c r="R18911" s="2" t="inlineStr"/>
    </row>
    <row r="18912" ht="15" customHeight="1">
      <c r="A18912" t="inlineStr">
        <is>
          <t>A 8597-2025</t>
        </is>
      </c>
      <c r="B18912" s="1" t="n">
        <v>45709</v>
      </c>
      <c r="C18912" s="1" t="n">
        <v>45810</v>
      </c>
      <c r="D18912" t="inlineStr">
        <is>
          <t>VÄRMLANDS LÄN</t>
        </is>
      </c>
      <c r="E18912" t="inlineStr">
        <is>
          <t>KRISTINEHAMN</t>
        </is>
      </c>
      <c r="G18912" t="n">
        <v>8</v>
      </c>
      <c r="H18912" t="n">
        <v>0</v>
      </c>
      <c r="I18912" t="n">
        <v>0</v>
      </c>
      <c r="J18912" t="n">
        <v>0</v>
      </c>
      <c r="K18912" t="n">
        <v>0</v>
      </c>
      <c r="L18912" t="n">
        <v>0</v>
      </c>
      <c r="M18912" t="n">
        <v>0</v>
      </c>
      <c r="N18912" t="n">
        <v>0</v>
      </c>
      <c r="O18912" t="n">
        <v>0</v>
      </c>
      <c r="P18912" t="n">
        <v>0</v>
      </c>
      <c r="Q18912" t="n">
        <v>0</v>
      </c>
      <c r="R18912" s="2" t="inlineStr"/>
    </row>
    <row r="18913" ht="15" customHeight="1">
      <c r="A18913" t="inlineStr">
        <is>
          <t>A 8528-2025</t>
        </is>
      </c>
      <c r="B18913" s="1" t="n">
        <v>45709</v>
      </c>
      <c r="C18913" s="1" t="n">
        <v>45810</v>
      </c>
      <c r="D18913" t="inlineStr">
        <is>
          <t>VÄRMLANDS LÄN</t>
        </is>
      </c>
      <c r="E18913" t="inlineStr">
        <is>
          <t>KIL</t>
        </is>
      </c>
      <c r="G18913" t="n">
        <v>2</v>
      </c>
      <c r="H18913" t="n">
        <v>0</v>
      </c>
      <c r="I18913" t="n">
        <v>0</v>
      </c>
      <c r="J18913" t="n">
        <v>0</v>
      </c>
      <c r="K18913" t="n">
        <v>0</v>
      </c>
      <c r="L18913" t="n">
        <v>0</v>
      </c>
      <c r="M18913" t="n">
        <v>0</v>
      </c>
      <c r="N18913" t="n">
        <v>0</v>
      </c>
      <c r="O18913" t="n">
        <v>0</v>
      </c>
      <c r="P18913" t="n">
        <v>0</v>
      </c>
      <c r="Q18913" t="n">
        <v>0</v>
      </c>
      <c r="R18913" s="2" t="inlineStr"/>
    </row>
    <row r="18914" ht="15" customHeight="1">
      <c r="A18914" t="inlineStr">
        <is>
          <t>A 8633-2025</t>
        </is>
      </c>
      <c r="B18914" s="1" t="n">
        <v>45711</v>
      </c>
      <c r="C18914" s="1" t="n">
        <v>45810</v>
      </c>
      <c r="D18914" t="inlineStr">
        <is>
          <t>VÄRMLANDS LÄN</t>
        </is>
      </c>
      <c r="E18914" t="inlineStr">
        <is>
          <t>ARVIKA</t>
        </is>
      </c>
      <c r="F18914" t="inlineStr">
        <is>
          <t>Bergvik skog väst AB</t>
        </is>
      </c>
      <c r="G18914" t="n">
        <v>1</v>
      </c>
      <c r="H18914" t="n">
        <v>0</v>
      </c>
      <c r="I18914" t="n">
        <v>0</v>
      </c>
      <c r="J18914" t="n">
        <v>0</v>
      </c>
      <c r="K18914" t="n">
        <v>0</v>
      </c>
      <c r="L18914" t="n">
        <v>0</v>
      </c>
      <c r="M18914" t="n">
        <v>0</v>
      </c>
      <c r="N18914" t="n">
        <v>0</v>
      </c>
      <c r="O18914" t="n">
        <v>0</v>
      </c>
      <c r="P18914" t="n">
        <v>0</v>
      </c>
      <c r="Q18914" t="n">
        <v>0</v>
      </c>
      <c r="R18914" s="2" t="inlineStr"/>
    </row>
    <row r="18915" ht="15" customHeight="1">
      <c r="A18915" t="inlineStr">
        <is>
          <t>A 8621-2025</t>
        </is>
      </c>
      <c r="B18915" s="1" t="n">
        <v>45711</v>
      </c>
      <c r="C18915" s="1" t="n">
        <v>45810</v>
      </c>
      <c r="D18915" t="inlineStr">
        <is>
          <t>VÄRMLANDS LÄN</t>
        </is>
      </c>
      <c r="E18915" t="inlineStr">
        <is>
          <t>SÄFFLE</t>
        </is>
      </c>
      <c r="G18915" t="n">
        <v>0.7</v>
      </c>
      <c r="H18915" t="n">
        <v>0</v>
      </c>
      <c r="I18915" t="n">
        <v>0</v>
      </c>
      <c r="J18915" t="n">
        <v>0</v>
      </c>
      <c r="K18915" t="n">
        <v>0</v>
      </c>
      <c r="L18915" t="n">
        <v>0</v>
      </c>
      <c r="M18915" t="n">
        <v>0</v>
      </c>
      <c r="N18915" t="n">
        <v>0</v>
      </c>
      <c r="O18915" t="n">
        <v>0</v>
      </c>
      <c r="P18915" t="n">
        <v>0</v>
      </c>
      <c r="Q18915" t="n">
        <v>0</v>
      </c>
      <c r="R18915" s="2" t="inlineStr"/>
    </row>
    <row r="18916" ht="15" customHeight="1">
      <c r="A18916" t="inlineStr">
        <is>
          <t>A 8634-2025</t>
        </is>
      </c>
      <c r="B18916" s="1" t="n">
        <v>45711</v>
      </c>
      <c r="C18916" s="1" t="n">
        <v>45810</v>
      </c>
      <c r="D18916" t="inlineStr">
        <is>
          <t>VÄRMLANDS LÄN</t>
        </is>
      </c>
      <c r="E18916" t="inlineStr">
        <is>
          <t>KARLSTAD</t>
        </is>
      </c>
      <c r="G18916" t="n">
        <v>7.7</v>
      </c>
      <c r="H18916" t="n">
        <v>0</v>
      </c>
      <c r="I18916" t="n">
        <v>0</v>
      </c>
      <c r="J18916" t="n">
        <v>0</v>
      </c>
      <c r="K18916" t="n">
        <v>0</v>
      </c>
      <c r="L18916" t="n">
        <v>0</v>
      </c>
      <c r="M18916" t="n">
        <v>0</v>
      </c>
      <c r="N18916" t="n">
        <v>0</v>
      </c>
      <c r="O18916" t="n">
        <v>0</v>
      </c>
      <c r="P18916" t="n">
        <v>0</v>
      </c>
      <c r="Q18916" t="n">
        <v>0</v>
      </c>
      <c r="R18916" s="2" t="inlineStr"/>
    </row>
    <row r="18917" ht="15" customHeight="1">
      <c r="A18917" t="inlineStr">
        <is>
          <t>A 8620-2025</t>
        </is>
      </c>
      <c r="B18917" s="1" t="n">
        <v>45711</v>
      </c>
      <c r="C18917" s="1" t="n">
        <v>45810</v>
      </c>
      <c r="D18917" t="inlineStr">
        <is>
          <t>VÄRMLANDS LÄN</t>
        </is>
      </c>
      <c r="E18917" t="inlineStr">
        <is>
          <t>SÄFFLE</t>
        </is>
      </c>
      <c r="G18917" t="n">
        <v>4.4</v>
      </c>
      <c r="H18917" t="n">
        <v>0</v>
      </c>
      <c r="I18917" t="n">
        <v>0</v>
      </c>
      <c r="J18917" t="n">
        <v>0</v>
      </c>
      <c r="K18917" t="n">
        <v>0</v>
      </c>
      <c r="L18917" t="n">
        <v>0</v>
      </c>
      <c r="M18917" t="n">
        <v>0</v>
      </c>
      <c r="N18917" t="n">
        <v>0</v>
      </c>
      <c r="O18917" t="n">
        <v>0</v>
      </c>
      <c r="P18917" t="n">
        <v>0</v>
      </c>
      <c r="Q18917" t="n">
        <v>0</v>
      </c>
      <c r="R18917" s="2" t="inlineStr"/>
    </row>
    <row r="18918" ht="15" customHeight="1">
      <c r="A18918" t="inlineStr">
        <is>
          <t>A 8631-2025</t>
        </is>
      </c>
      <c r="B18918" s="1" t="n">
        <v>45711</v>
      </c>
      <c r="C18918" s="1" t="n">
        <v>45810</v>
      </c>
      <c r="D18918" t="inlineStr">
        <is>
          <t>VÄRMLANDS LÄN</t>
        </is>
      </c>
      <c r="E18918" t="inlineStr">
        <is>
          <t>ARVIKA</t>
        </is>
      </c>
      <c r="F18918" t="inlineStr">
        <is>
          <t>Bergvik skog väst AB</t>
        </is>
      </c>
      <c r="G18918" t="n">
        <v>2.4</v>
      </c>
      <c r="H18918" t="n">
        <v>0</v>
      </c>
      <c r="I18918" t="n">
        <v>0</v>
      </c>
      <c r="J18918" t="n">
        <v>0</v>
      </c>
      <c r="K18918" t="n">
        <v>0</v>
      </c>
      <c r="L18918" t="n">
        <v>0</v>
      </c>
      <c r="M18918" t="n">
        <v>0</v>
      </c>
      <c r="N18918" t="n">
        <v>0</v>
      </c>
      <c r="O18918" t="n">
        <v>0</v>
      </c>
      <c r="P18918" t="n">
        <v>0</v>
      </c>
      <c r="Q18918" t="n">
        <v>0</v>
      </c>
      <c r="R18918" s="2" t="inlineStr"/>
    </row>
    <row r="18919" ht="15" customHeight="1">
      <c r="A18919" t="inlineStr">
        <is>
          <t>A 8639-2025</t>
        </is>
      </c>
      <c r="B18919" s="1" t="n">
        <v>45711</v>
      </c>
      <c r="C18919" s="1" t="n">
        <v>45810</v>
      </c>
      <c r="D18919" t="inlineStr">
        <is>
          <t>VÄRMLANDS LÄN</t>
        </is>
      </c>
      <c r="E18919" t="inlineStr">
        <is>
          <t>STORFORS</t>
        </is>
      </c>
      <c r="G18919" t="n">
        <v>4.1</v>
      </c>
      <c r="H18919" t="n">
        <v>0</v>
      </c>
      <c r="I18919" t="n">
        <v>0</v>
      </c>
      <c r="J18919" t="n">
        <v>0</v>
      </c>
      <c r="K18919" t="n">
        <v>0</v>
      </c>
      <c r="L18919" t="n">
        <v>0</v>
      </c>
      <c r="M18919" t="n">
        <v>0</v>
      </c>
      <c r="N18919" t="n">
        <v>0</v>
      </c>
      <c r="O18919" t="n">
        <v>0</v>
      </c>
      <c r="P18919" t="n">
        <v>0</v>
      </c>
      <c r="Q18919" t="n">
        <v>0</v>
      </c>
      <c r="R18919" s="2" t="inlineStr"/>
    </row>
    <row r="18920" ht="15" customHeight="1">
      <c r="A18920" t="inlineStr">
        <is>
          <t>A 8668-2025</t>
        </is>
      </c>
      <c r="B18920" s="1" t="n">
        <v>45712</v>
      </c>
      <c r="C18920" s="1" t="n">
        <v>45810</v>
      </c>
      <c r="D18920" t="inlineStr">
        <is>
          <t>VÄRMLANDS LÄN</t>
        </is>
      </c>
      <c r="E18920" t="inlineStr">
        <is>
          <t>SÄFFLE</t>
        </is>
      </c>
      <c r="G18920" t="n">
        <v>0.7</v>
      </c>
      <c r="H18920" t="n">
        <v>0</v>
      </c>
      <c r="I18920" t="n">
        <v>0</v>
      </c>
      <c r="J18920" t="n">
        <v>0</v>
      </c>
      <c r="K18920" t="n">
        <v>0</v>
      </c>
      <c r="L18920" t="n">
        <v>0</v>
      </c>
      <c r="M18920" t="n">
        <v>0</v>
      </c>
      <c r="N18920" t="n">
        <v>0</v>
      </c>
      <c r="O18920" t="n">
        <v>0</v>
      </c>
      <c r="P18920" t="n">
        <v>0</v>
      </c>
      <c r="Q18920" t="n">
        <v>0</v>
      </c>
      <c r="R18920" s="2" t="inlineStr"/>
    </row>
    <row r="18921" ht="15" customHeight="1">
      <c r="A18921" t="inlineStr">
        <is>
          <t>A 8765-2025</t>
        </is>
      </c>
      <c r="B18921" s="1" t="n">
        <v>45712</v>
      </c>
      <c r="C18921" s="1" t="n">
        <v>45810</v>
      </c>
      <c r="D18921" t="inlineStr">
        <is>
          <t>VÄRMLANDS LÄN</t>
        </is>
      </c>
      <c r="E18921" t="inlineStr">
        <is>
          <t>KRISTINEHAMN</t>
        </is>
      </c>
      <c r="F18921" t="inlineStr">
        <is>
          <t>Naturvårdsverket</t>
        </is>
      </c>
      <c r="G18921" t="n">
        <v>7.3</v>
      </c>
      <c r="H18921" t="n">
        <v>0</v>
      </c>
      <c r="I18921" t="n">
        <v>0</v>
      </c>
      <c r="J18921" t="n">
        <v>0</v>
      </c>
      <c r="K18921" t="n">
        <v>0</v>
      </c>
      <c r="L18921" t="n">
        <v>0</v>
      </c>
      <c r="M18921" t="n">
        <v>0</v>
      </c>
      <c r="N18921" t="n">
        <v>0</v>
      </c>
      <c r="O18921" t="n">
        <v>0</v>
      </c>
      <c r="P18921" t="n">
        <v>0</v>
      </c>
      <c r="Q18921" t="n">
        <v>0</v>
      </c>
      <c r="R18921" s="2" t="inlineStr"/>
    </row>
    <row r="18922" ht="15" customHeight="1">
      <c r="A18922" t="inlineStr">
        <is>
          <t>A 8715-2025</t>
        </is>
      </c>
      <c r="B18922" s="1" t="n">
        <v>45712</v>
      </c>
      <c r="C18922" s="1" t="n">
        <v>45810</v>
      </c>
      <c r="D18922" t="inlineStr">
        <is>
          <t>VÄRMLANDS LÄN</t>
        </is>
      </c>
      <c r="E18922" t="inlineStr">
        <is>
          <t>KRISTINEHAMN</t>
        </is>
      </c>
      <c r="F18922" t="inlineStr">
        <is>
          <t>Naturvårdsverket</t>
        </is>
      </c>
      <c r="G18922" t="n">
        <v>3.8</v>
      </c>
      <c r="H18922" t="n">
        <v>0</v>
      </c>
      <c r="I18922" t="n">
        <v>0</v>
      </c>
      <c r="J18922" t="n">
        <v>0</v>
      </c>
      <c r="K18922" t="n">
        <v>0</v>
      </c>
      <c r="L18922" t="n">
        <v>0</v>
      </c>
      <c r="M18922" t="n">
        <v>0</v>
      </c>
      <c r="N18922" t="n">
        <v>0</v>
      </c>
      <c r="O18922" t="n">
        <v>0</v>
      </c>
      <c r="P18922" t="n">
        <v>0</v>
      </c>
      <c r="Q18922" t="n">
        <v>0</v>
      </c>
      <c r="R18922" s="2" t="inlineStr"/>
    </row>
    <row r="18923" ht="15" customHeight="1">
      <c r="A18923" t="inlineStr">
        <is>
          <t>A 8717-2025</t>
        </is>
      </c>
      <c r="B18923" s="1" t="n">
        <v>45712</v>
      </c>
      <c r="C18923" s="1" t="n">
        <v>45810</v>
      </c>
      <c r="D18923" t="inlineStr">
        <is>
          <t>VÄRMLANDS LÄN</t>
        </is>
      </c>
      <c r="E18923" t="inlineStr">
        <is>
          <t>KRISTINEHAMN</t>
        </is>
      </c>
      <c r="F18923" t="inlineStr">
        <is>
          <t>Naturvårdsverket</t>
        </is>
      </c>
      <c r="G18923" t="n">
        <v>0.9</v>
      </c>
      <c r="H18923" t="n">
        <v>0</v>
      </c>
      <c r="I18923" t="n">
        <v>0</v>
      </c>
      <c r="J18923" t="n">
        <v>0</v>
      </c>
      <c r="K18923" t="n">
        <v>0</v>
      </c>
      <c r="L18923" t="n">
        <v>0</v>
      </c>
      <c r="M18923" t="n">
        <v>0</v>
      </c>
      <c r="N18923" t="n">
        <v>0</v>
      </c>
      <c r="O18923" t="n">
        <v>0</v>
      </c>
      <c r="P18923" t="n">
        <v>0</v>
      </c>
      <c r="Q18923" t="n">
        <v>0</v>
      </c>
      <c r="R18923" s="2" t="inlineStr"/>
    </row>
    <row r="18924" ht="15" customHeight="1">
      <c r="A18924" t="inlineStr">
        <is>
          <t>A 8692-2025</t>
        </is>
      </c>
      <c r="B18924" s="1" t="n">
        <v>45712</v>
      </c>
      <c r="C18924" s="1" t="n">
        <v>45810</v>
      </c>
      <c r="D18924" t="inlineStr">
        <is>
          <t>VÄRMLANDS LÄN</t>
        </is>
      </c>
      <c r="E18924" t="inlineStr">
        <is>
          <t>FILIPSTAD</t>
        </is>
      </c>
      <c r="G18924" t="n">
        <v>2.3</v>
      </c>
      <c r="H18924" t="n">
        <v>0</v>
      </c>
      <c r="I18924" t="n">
        <v>0</v>
      </c>
      <c r="J18924" t="n">
        <v>0</v>
      </c>
      <c r="K18924" t="n">
        <v>0</v>
      </c>
      <c r="L18924" t="n">
        <v>0</v>
      </c>
      <c r="M18924" t="n">
        <v>0</v>
      </c>
      <c r="N18924" t="n">
        <v>0</v>
      </c>
      <c r="O18924" t="n">
        <v>0</v>
      </c>
      <c r="P18924" t="n">
        <v>0</v>
      </c>
      <c r="Q18924" t="n">
        <v>0</v>
      </c>
      <c r="R18924" s="2" t="inlineStr"/>
    </row>
    <row r="18925" ht="15" customHeight="1">
      <c r="A18925" t="inlineStr">
        <is>
          <t>A 8835-2025</t>
        </is>
      </c>
      <c r="B18925" s="1" t="n">
        <v>45712</v>
      </c>
      <c r="C18925" s="1" t="n">
        <v>45810</v>
      </c>
      <c r="D18925" t="inlineStr">
        <is>
          <t>VÄRMLANDS LÄN</t>
        </is>
      </c>
      <c r="E18925" t="inlineStr">
        <is>
          <t>ÅRJÄNG</t>
        </is>
      </c>
      <c r="G18925" t="n">
        <v>7.3</v>
      </c>
      <c r="H18925" t="n">
        <v>0</v>
      </c>
      <c r="I18925" t="n">
        <v>0</v>
      </c>
      <c r="J18925" t="n">
        <v>0</v>
      </c>
      <c r="K18925" t="n">
        <v>0</v>
      </c>
      <c r="L18925" t="n">
        <v>0</v>
      </c>
      <c r="M18925" t="n">
        <v>0</v>
      </c>
      <c r="N18925" t="n">
        <v>0</v>
      </c>
      <c r="O18925" t="n">
        <v>0</v>
      </c>
      <c r="P18925" t="n">
        <v>0</v>
      </c>
      <c r="Q18925" t="n">
        <v>0</v>
      </c>
      <c r="R18925" s="2" t="inlineStr"/>
    </row>
    <row r="18926" ht="15" customHeight="1">
      <c r="A18926" t="inlineStr">
        <is>
          <t>A 8831-2025</t>
        </is>
      </c>
      <c r="B18926" s="1" t="n">
        <v>45712</v>
      </c>
      <c r="C18926" s="1" t="n">
        <v>45810</v>
      </c>
      <c r="D18926" t="inlineStr">
        <is>
          <t>VÄRMLANDS LÄN</t>
        </is>
      </c>
      <c r="E18926" t="inlineStr">
        <is>
          <t>ÅRJÄNG</t>
        </is>
      </c>
      <c r="G18926" t="n">
        <v>32.9</v>
      </c>
      <c r="H18926" t="n">
        <v>0</v>
      </c>
      <c r="I18926" t="n">
        <v>0</v>
      </c>
      <c r="J18926" t="n">
        <v>0</v>
      </c>
      <c r="K18926" t="n">
        <v>0</v>
      </c>
      <c r="L18926" t="n">
        <v>0</v>
      </c>
      <c r="M18926" t="n">
        <v>0</v>
      </c>
      <c r="N18926" t="n">
        <v>0</v>
      </c>
      <c r="O18926" t="n">
        <v>0</v>
      </c>
      <c r="P18926" t="n">
        <v>0</v>
      </c>
      <c r="Q18926" t="n">
        <v>0</v>
      </c>
      <c r="R18926" s="2" t="inlineStr"/>
    </row>
    <row r="18927" ht="15" customHeight="1">
      <c r="A18927" t="inlineStr">
        <is>
          <t>A 8825-2025</t>
        </is>
      </c>
      <c r="B18927" s="1" t="n">
        <v>45712</v>
      </c>
      <c r="C18927" s="1" t="n">
        <v>45810</v>
      </c>
      <c r="D18927" t="inlineStr">
        <is>
          <t>VÄRMLANDS LÄN</t>
        </is>
      </c>
      <c r="E18927" t="inlineStr">
        <is>
          <t>ARVIKA</t>
        </is>
      </c>
      <c r="G18927" t="n">
        <v>8.1</v>
      </c>
      <c r="H18927" t="n">
        <v>0</v>
      </c>
      <c r="I18927" t="n">
        <v>0</v>
      </c>
      <c r="J18927" t="n">
        <v>0</v>
      </c>
      <c r="K18927" t="n">
        <v>0</v>
      </c>
      <c r="L18927" t="n">
        <v>0</v>
      </c>
      <c r="M18927" t="n">
        <v>0</v>
      </c>
      <c r="N18927" t="n">
        <v>0</v>
      </c>
      <c r="O18927" t="n">
        <v>0</v>
      </c>
      <c r="P18927" t="n">
        <v>0</v>
      </c>
      <c r="Q18927" t="n">
        <v>0</v>
      </c>
      <c r="R18927" s="2" t="inlineStr"/>
    </row>
    <row r="18928" ht="15" customHeight="1">
      <c r="A18928" t="inlineStr">
        <is>
          <t>A 8833-2025</t>
        </is>
      </c>
      <c r="B18928" s="1" t="n">
        <v>45712</v>
      </c>
      <c r="C18928" s="1" t="n">
        <v>45810</v>
      </c>
      <c r="D18928" t="inlineStr">
        <is>
          <t>VÄRMLANDS LÄN</t>
        </is>
      </c>
      <c r="E18928" t="inlineStr">
        <is>
          <t>ÅRJÄNG</t>
        </is>
      </c>
      <c r="G18928" t="n">
        <v>2.2</v>
      </c>
      <c r="H18928" t="n">
        <v>0</v>
      </c>
      <c r="I18928" t="n">
        <v>0</v>
      </c>
      <c r="J18928" t="n">
        <v>0</v>
      </c>
      <c r="K18928" t="n">
        <v>0</v>
      </c>
      <c r="L18928" t="n">
        <v>0</v>
      </c>
      <c r="M18928" t="n">
        <v>0</v>
      </c>
      <c r="N18928" t="n">
        <v>0</v>
      </c>
      <c r="O18928" t="n">
        <v>0</v>
      </c>
      <c r="P18928" t="n">
        <v>0</v>
      </c>
      <c r="Q18928" t="n">
        <v>0</v>
      </c>
      <c r="R18928" s="2" t="inlineStr"/>
    </row>
    <row r="18929" ht="15" customHeight="1">
      <c r="A18929" t="inlineStr">
        <is>
          <t>A 8832-2025</t>
        </is>
      </c>
      <c r="B18929" s="1" t="n">
        <v>45712</v>
      </c>
      <c r="C18929" s="1" t="n">
        <v>45810</v>
      </c>
      <c r="D18929" t="inlineStr">
        <is>
          <t>VÄRMLANDS LÄN</t>
        </is>
      </c>
      <c r="E18929" t="inlineStr">
        <is>
          <t>ÅRJÄNG</t>
        </is>
      </c>
      <c r="G18929" t="n">
        <v>3.8</v>
      </c>
      <c r="H18929" t="n">
        <v>0</v>
      </c>
      <c r="I18929" t="n">
        <v>0</v>
      </c>
      <c r="J18929" t="n">
        <v>0</v>
      </c>
      <c r="K18929" t="n">
        <v>0</v>
      </c>
      <c r="L18929" t="n">
        <v>0</v>
      </c>
      <c r="M18929" t="n">
        <v>0</v>
      </c>
      <c r="N18929" t="n">
        <v>0</v>
      </c>
      <c r="O18929" t="n">
        <v>0</v>
      </c>
      <c r="P18929" t="n">
        <v>0</v>
      </c>
      <c r="Q18929" t="n">
        <v>0</v>
      </c>
      <c r="R18929" s="2" t="inlineStr"/>
    </row>
    <row r="18930" ht="15" customHeight="1">
      <c r="A18930" t="inlineStr">
        <is>
          <t>A 8766-2025</t>
        </is>
      </c>
      <c r="B18930" s="1" t="n">
        <v>45712</v>
      </c>
      <c r="C18930" s="1" t="n">
        <v>45810</v>
      </c>
      <c r="D18930" t="inlineStr">
        <is>
          <t>VÄRMLANDS LÄN</t>
        </is>
      </c>
      <c r="E18930" t="inlineStr">
        <is>
          <t>KRISTINEHAMN</t>
        </is>
      </c>
      <c r="F18930" t="inlineStr">
        <is>
          <t>Naturvårdsverket</t>
        </is>
      </c>
      <c r="G18930" t="n">
        <v>2</v>
      </c>
      <c r="H18930" t="n">
        <v>0</v>
      </c>
      <c r="I18930" t="n">
        <v>0</v>
      </c>
      <c r="J18930" t="n">
        <v>0</v>
      </c>
      <c r="K18930" t="n">
        <v>0</v>
      </c>
      <c r="L18930" t="n">
        <v>0</v>
      </c>
      <c r="M18930" t="n">
        <v>0</v>
      </c>
      <c r="N18930" t="n">
        <v>0</v>
      </c>
      <c r="O18930" t="n">
        <v>0</v>
      </c>
      <c r="P18930" t="n">
        <v>0</v>
      </c>
      <c r="Q18930" t="n">
        <v>0</v>
      </c>
      <c r="R18930" s="2" t="inlineStr"/>
    </row>
    <row r="18931" ht="15" customHeight="1">
      <c r="A18931" t="inlineStr">
        <is>
          <t>A 8714-2025</t>
        </is>
      </c>
      <c r="B18931" s="1" t="n">
        <v>45712</v>
      </c>
      <c r="C18931" s="1" t="n">
        <v>45810</v>
      </c>
      <c r="D18931" t="inlineStr">
        <is>
          <t>VÄRMLANDS LÄN</t>
        </is>
      </c>
      <c r="E18931" t="inlineStr">
        <is>
          <t>SUNNE</t>
        </is>
      </c>
      <c r="G18931" t="n">
        <v>0.5</v>
      </c>
      <c r="H18931" t="n">
        <v>0</v>
      </c>
      <c r="I18931" t="n">
        <v>0</v>
      </c>
      <c r="J18931" t="n">
        <v>0</v>
      </c>
      <c r="K18931" t="n">
        <v>0</v>
      </c>
      <c r="L18931" t="n">
        <v>0</v>
      </c>
      <c r="M18931" t="n">
        <v>0</v>
      </c>
      <c r="N18931" t="n">
        <v>0</v>
      </c>
      <c r="O18931" t="n">
        <v>0</v>
      </c>
      <c r="P18931" t="n">
        <v>0</v>
      </c>
      <c r="Q18931" t="n">
        <v>0</v>
      </c>
      <c r="R18931" s="2" t="inlineStr"/>
    </row>
    <row r="18932" ht="15" customHeight="1">
      <c r="A18932" t="inlineStr">
        <is>
          <t>A 8685-2025</t>
        </is>
      </c>
      <c r="B18932" s="1" t="n">
        <v>45712</v>
      </c>
      <c r="C18932" s="1" t="n">
        <v>45810</v>
      </c>
      <c r="D18932" t="inlineStr">
        <is>
          <t>VÄRMLANDS LÄN</t>
        </is>
      </c>
      <c r="E18932" t="inlineStr">
        <is>
          <t>TORSBY</t>
        </is>
      </c>
      <c r="G18932" t="n">
        <v>1.1</v>
      </c>
      <c r="H18932" t="n">
        <v>0</v>
      </c>
      <c r="I18932" t="n">
        <v>0</v>
      </c>
      <c r="J18932" t="n">
        <v>0</v>
      </c>
      <c r="K18932" t="n">
        <v>0</v>
      </c>
      <c r="L18932" t="n">
        <v>0</v>
      </c>
      <c r="M18932" t="n">
        <v>0</v>
      </c>
      <c r="N18932" t="n">
        <v>0</v>
      </c>
      <c r="O18932" t="n">
        <v>0</v>
      </c>
      <c r="P18932" t="n">
        <v>0</v>
      </c>
      <c r="Q18932" t="n">
        <v>0</v>
      </c>
      <c r="R18932" s="2" t="inlineStr"/>
    </row>
    <row r="18933" ht="15" customHeight="1">
      <c r="A18933" t="inlineStr">
        <is>
          <t>A 8826-2025</t>
        </is>
      </c>
      <c r="B18933" s="1" t="n">
        <v>45712</v>
      </c>
      <c r="C18933" s="1" t="n">
        <v>45810</v>
      </c>
      <c r="D18933" t="inlineStr">
        <is>
          <t>VÄRMLANDS LÄN</t>
        </is>
      </c>
      <c r="E18933" t="inlineStr">
        <is>
          <t>SÄFFLE</t>
        </is>
      </c>
      <c r="F18933" t="inlineStr">
        <is>
          <t>Kommuner</t>
        </is>
      </c>
      <c r="G18933" t="n">
        <v>1.6</v>
      </c>
      <c r="H18933" t="n">
        <v>0</v>
      </c>
      <c r="I18933" t="n">
        <v>0</v>
      </c>
      <c r="J18933" t="n">
        <v>0</v>
      </c>
      <c r="K18933" t="n">
        <v>0</v>
      </c>
      <c r="L18933" t="n">
        <v>0</v>
      </c>
      <c r="M18933" t="n">
        <v>0</v>
      </c>
      <c r="N18933" t="n">
        <v>0</v>
      </c>
      <c r="O18933" t="n">
        <v>0</v>
      </c>
      <c r="P18933" t="n">
        <v>0</v>
      </c>
      <c r="Q18933" t="n">
        <v>0</v>
      </c>
      <c r="R18933" s="2" t="inlineStr"/>
    </row>
    <row r="18934" ht="15" customHeight="1">
      <c r="A18934" t="inlineStr">
        <is>
          <t>A 8834-2025</t>
        </is>
      </c>
      <c r="B18934" s="1" t="n">
        <v>45712</v>
      </c>
      <c r="C18934" s="1" t="n">
        <v>45810</v>
      </c>
      <c r="D18934" t="inlineStr">
        <is>
          <t>VÄRMLANDS LÄN</t>
        </is>
      </c>
      <c r="E18934" t="inlineStr">
        <is>
          <t>ÅRJÄNG</t>
        </is>
      </c>
      <c r="G18934" t="n">
        <v>2.2</v>
      </c>
      <c r="H18934" t="n">
        <v>0</v>
      </c>
      <c r="I18934" t="n">
        <v>0</v>
      </c>
      <c r="J18934" t="n">
        <v>0</v>
      </c>
      <c r="K18934" t="n">
        <v>0</v>
      </c>
      <c r="L18934" t="n">
        <v>0</v>
      </c>
      <c r="M18934" t="n">
        <v>0</v>
      </c>
      <c r="N18934" t="n">
        <v>0</v>
      </c>
      <c r="O18934" t="n">
        <v>0</v>
      </c>
      <c r="P18934" t="n">
        <v>0</v>
      </c>
      <c r="Q18934" t="n">
        <v>0</v>
      </c>
      <c r="R18934" s="2" t="inlineStr"/>
    </row>
    <row r="18935" ht="15" customHeight="1">
      <c r="A18935" t="inlineStr">
        <is>
          <t>A 8790-2025</t>
        </is>
      </c>
      <c r="B18935" s="1" t="n">
        <v>45712</v>
      </c>
      <c r="C18935" s="1" t="n">
        <v>45810</v>
      </c>
      <c r="D18935" t="inlineStr">
        <is>
          <t>VÄRMLANDS LÄN</t>
        </is>
      </c>
      <c r="E18935" t="inlineStr">
        <is>
          <t>SÄFFLE</t>
        </is>
      </c>
      <c r="G18935" t="n">
        <v>2.2</v>
      </c>
      <c r="H18935" t="n">
        <v>0</v>
      </c>
      <c r="I18935" t="n">
        <v>0</v>
      </c>
      <c r="J18935" t="n">
        <v>0</v>
      </c>
      <c r="K18935" t="n">
        <v>0</v>
      </c>
      <c r="L18935" t="n">
        <v>0</v>
      </c>
      <c r="M18935" t="n">
        <v>0</v>
      </c>
      <c r="N18935" t="n">
        <v>0</v>
      </c>
      <c r="O18935" t="n">
        <v>0</v>
      </c>
      <c r="P18935" t="n">
        <v>0</v>
      </c>
      <c r="Q18935" t="n">
        <v>0</v>
      </c>
      <c r="R18935" s="2" t="inlineStr"/>
    </row>
    <row r="18936" ht="15" customHeight="1">
      <c r="A18936" t="inlineStr">
        <is>
          <t>A 8847-2025</t>
        </is>
      </c>
      <c r="B18936" s="1" t="n">
        <v>45713</v>
      </c>
      <c r="C18936" s="1" t="n">
        <v>45810</v>
      </c>
      <c r="D18936" t="inlineStr">
        <is>
          <t>VÄRMLANDS LÄN</t>
        </is>
      </c>
      <c r="E18936" t="inlineStr">
        <is>
          <t>SUNNE</t>
        </is>
      </c>
      <c r="G18936" t="n">
        <v>2.6</v>
      </c>
      <c r="H18936" t="n">
        <v>0</v>
      </c>
      <c r="I18936" t="n">
        <v>0</v>
      </c>
      <c r="J18936" t="n">
        <v>0</v>
      </c>
      <c r="K18936" t="n">
        <v>0</v>
      </c>
      <c r="L18936" t="n">
        <v>0</v>
      </c>
      <c r="M18936" t="n">
        <v>0</v>
      </c>
      <c r="N18936" t="n">
        <v>0</v>
      </c>
      <c r="O18936" t="n">
        <v>0</v>
      </c>
      <c r="P18936" t="n">
        <v>0</v>
      </c>
      <c r="Q18936" t="n">
        <v>0</v>
      </c>
      <c r="R18936" s="2" t="inlineStr"/>
    </row>
    <row r="18937" ht="15" customHeight="1">
      <c r="A18937" t="inlineStr">
        <is>
          <t>A 8844-2025</t>
        </is>
      </c>
      <c r="B18937" s="1" t="n">
        <v>45713</v>
      </c>
      <c r="C18937" s="1" t="n">
        <v>45810</v>
      </c>
      <c r="D18937" t="inlineStr">
        <is>
          <t>VÄRMLANDS LÄN</t>
        </is>
      </c>
      <c r="E18937" t="inlineStr">
        <is>
          <t>MUNKFORS</t>
        </is>
      </c>
      <c r="G18937" t="n">
        <v>2.2</v>
      </c>
      <c r="H18937" t="n">
        <v>0</v>
      </c>
      <c r="I18937" t="n">
        <v>0</v>
      </c>
      <c r="J18937" t="n">
        <v>0</v>
      </c>
      <c r="K18937" t="n">
        <v>0</v>
      </c>
      <c r="L18937" t="n">
        <v>0</v>
      </c>
      <c r="M18937" t="n">
        <v>0</v>
      </c>
      <c r="N18937" t="n">
        <v>0</v>
      </c>
      <c r="O18937" t="n">
        <v>0</v>
      </c>
      <c r="P18937" t="n">
        <v>0</v>
      </c>
      <c r="Q18937" t="n">
        <v>0</v>
      </c>
      <c r="R18937" s="2" t="inlineStr"/>
    </row>
    <row r="18938" ht="15" customHeight="1">
      <c r="A18938" t="inlineStr">
        <is>
          <t>A 8892-2025</t>
        </is>
      </c>
      <c r="B18938" s="1" t="n">
        <v>45713</v>
      </c>
      <c r="C18938" s="1" t="n">
        <v>45810</v>
      </c>
      <c r="D18938" t="inlineStr">
        <is>
          <t>VÄRMLANDS LÄN</t>
        </is>
      </c>
      <c r="E18938" t="inlineStr">
        <is>
          <t>KARLSTAD</t>
        </is>
      </c>
      <c r="G18938" t="n">
        <v>4.8</v>
      </c>
      <c r="H18938" t="n">
        <v>0</v>
      </c>
      <c r="I18938" t="n">
        <v>0</v>
      </c>
      <c r="J18938" t="n">
        <v>0</v>
      </c>
      <c r="K18938" t="n">
        <v>0</v>
      </c>
      <c r="L18938" t="n">
        <v>0</v>
      </c>
      <c r="M18938" t="n">
        <v>0</v>
      </c>
      <c r="N18938" t="n">
        <v>0</v>
      </c>
      <c r="O18938" t="n">
        <v>0</v>
      </c>
      <c r="P18938" t="n">
        <v>0</v>
      </c>
      <c r="Q18938" t="n">
        <v>0</v>
      </c>
      <c r="R18938" s="2" t="inlineStr"/>
    </row>
    <row r="18939" ht="15" customHeight="1">
      <c r="A18939" t="inlineStr">
        <is>
          <t>A 8897-2025</t>
        </is>
      </c>
      <c r="B18939" s="1" t="n">
        <v>45713</v>
      </c>
      <c r="C18939" s="1" t="n">
        <v>45810</v>
      </c>
      <c r="D18939" t="inlineStr">
        <is>
          <t>VÄRMLANDS LÄN</t>
        </is>
      </c>
      <c r="E18939" t="inlineStr">
        <is>
          <t>KARLSTAD</t>
        </is>
      </c>
      <c r="G18939" t="n">
        <v>1.1</v>
      </c>
      <c r="H18939" t="n">
        <v>0</v>
      </c>
      <c r="I18939" t="n">
        <v>0</v>
      </c>
      <c r="J18939" t="n">
        <v>0</v>
      </c>
      <c r="K18939" t="n">
        <v>0</v>
      </c>
      <c r="L18939" t="n">
        <v>0</v>
      </c>
      <c r="M18939" t="n">
        <v>0</v>
      </c>
      <c r="N18939" t="n">
        <v>0</v>
      </c>
      <c r="O18939" t="n">
        <v>0</v>
      </c>
      <c r="P18939" t="n">
        <v>0</v>
      </c>
      <c r="Q18939" t="n">
        <v>0</v>
      </c>
      <c r="R18939" s="2" t="inlineStr"/>
    </row>
    <row r="18940" ht="15" customHeight="1">
      <c r="A18940" t="inlineStr">
        <is>
          <t>A 8911-2025</t>
        </is>
      </c>
      <c r="B18940" s="1" t="n">
        <v>45713</v>
      </c>
      <c r="C18940" s="1" t="n">
        <v>45810</v>
      </c>
      <c r="D18940" t="inlineStr">
        <is>
          <t>VÄRMLANDS LÄN</t>
        </is>
      </c>
      <c r="E18940" t="inlineStr">
        <is>
          <t>KIL</t>
        </is>
      </c>
      <c r="G18940" t="n">
        <v>2.4</v>
      </c>
      <c r="H18940" t="n">
        <v>0</v>
      </c>
      <c r="I18940" t="n">
        <v>0</v>
      </c>
      <c r="J18940" t="n">
        <v>0</v>
      </c>
      <c r="K18940" t="n">
        <v>0</v>
      </c>
      <c r="L18940" t="n">
        <v>0</v>
      </c>
      <c r="M18940" t="n">
        <v>0</v>
      </c>
      <c r="N18940" t="n">
        <v>0</v>
      </c>
      <c r="O18940" t="n">
        <v>0</v>
      </c>
      <c r="P18940" t="n">
        <v>0</v>
      </c>
      <c r="Q18940" t="n">
        <v>0</v>
      </c>
      <c r="R18940" s="2" t="inlineStr"/>
    </row>
    <row r="18941" ht="15" customHeight="1">
      <c r="A18941" t="inlineStr">
        <is>
          <t>A 8944-2025</t>
        </is>
      </c>
      <c r="B18941" s="1" t="n">
        <v>45713</v>
      </c>
      <c r="C18941" s="1" t="n">
        <v>45810</v>
      </c>
      <c r="D18941" t="inlineStr">
        <is>
          <t>VÄRMLANDS LÄN</t>
        </is>
      </c>
      <c r="E18941" t="inlineStr">
        <is>
          <t>KARLSTAD</t>
        </is>
      </c>
      <c r="G18941" t="n">
        <v>12</v>
      </c>
      <c r="H18941" t="n">
        <v>0</v>
      </c>
      <c r="I18941" t="n">
        <v>0</v>
      </c>
      <c r="J18941" t="n">
        <v>0</v>
      </c>
      <c r="K18941" t="n">
        <v>0</v>
      </c>
      <c r="L18941" t="n">
        <v>0</v>
      </c>
      <c r="M18941" t="n">
        <v>0</v>
      </c>
      <c r="N18941" t="n">
        <v>0</v>
      </c>
      <c r="O18941" t="n">
        <v>0</v>
      </c>
      <c r="P18941" t="n">
        <v>0</v>
      </c>
      <c r="Q18941" t="n">
        <v>0</v>
      </c>
      <c r="R18941" s="2" t="inlineStr"/>
    </row>
    <row r="18942" ht="15" customHeight="1">
      <c r="A18942" t="inlineStr">
        <is>
          <t>A 8979-2025</t>
        </is>
      </c>
      <c r="B18942" s="1" t="n">
        <v>45713</v>
      </c>
      <c r="C18942" s="1" t="n">
        <v>45810</v>
      </c>
      <c r="D18942" t="inlineStr">
        <is>
          <t>VÄRMLANDS LÄN</t>
        </is>
      </c>
      <c r="E18942" t="inlineStr">
        <is>
          <t>TORSBY</t>
        </is>
      </c>
      <c r="G18942" t="n">
        <v>6.5</v>
      </c>
      <c r="H18942" t="n">
        <v>0</v>
      </c>
      <c r="I18942" t="n">
        <v>0</v>
      </c>
      <c r="J18942" t="n">
        <v>0</v>
      </c>
      <c r="K18942" t="n">
        <v>0</v>
      </c>
      <c r="L18942" t="n">
        <v>0</v>
      </c>
      <c r="M18942" t="n">
        <v>0</v>
      </c>
      <c r="N18942" t="n">
        <v>0</v>
      </c>
      <c r="O18942" t="n">
        <v>0</v>
      </c>
      <c r="P18942" t="n">
        <v>0</v>
      </c>
      <c r="Q18942" t="n">
        <v>0</v>
      </c>
      <c r="R18942" s="2" t="inlineStr"/>
    </row>
    <row r="18943" ht="15" customHeight="1">
      <c r="A18943" t="inlineStr">
        <is>
          <t>A 8842-2025</t>
        </is>
      </c>
      <c r="B18943" s="1" t="n">
        <v>45713</v>
      </c>
      <c r="C18943" s="1" t="n">
        <v>45810</v>
      </c>
      <c r="D18943" t="inlineStr">
        <is>
          <t>VÄRMLANDS LÄN</t>
        </is>
      </c>
      <c r="E18943" t="inlineStr">
        <is>
          <t>HAGFORS</t>
        </is>
      </c>
      <c r="F18943" t="inlineStr">
        <is>
          <t>Bergvik skog väst AB</t>
        </is>
      </c>
      <c r="G18943" t="n">
        <v>1.1</v>
      </c>
      <c r="H18943" t="n">
        <v>0</v>
      </c>
      <c r="I18943" t="n">
        <v>0</v>
      </c>
      <c r="J18943" t="n">
        <v>0</v>
      </c>
      <c r="K18943" t="n">
        <v>0</v>
      </c>
      <c r="L18943" t="n">
        <v>0</v>
      </c>
      <c r="M18943" t="n">
        <v>0</v>
      </c>
      <c r="N18943" t="n">
        <v>0</v>
      </c>
      <c r="O18943" t="n">
        <v>0</v>
      </c>
      <c r="P18943" t="n">
        <v>0</v>
      </c>
      <c r="Q18943" t="n">
        <v>0</v>
      </c>
      <c r="R18943" s="2" t="inlineStr"/>
    </row>
    <row r="18944" ht="15" customHeight="1">
      <c r="A18944" t="inlineStr">
        <is>
          <t>A 9031-2025</t>
        </is>
      </c>
      <c r="B18944" s="1" t="n">
        <v>45713</v>
      </c>
      <c r="C18944" s="1" t="n">
        <v>45810</v>
      </c>
      <c r="D18944" t="inlineStr">
        <is>
          <t>VÄRMLANDS LÄN</t>
        </is>
      </c>
      <c r="E18944" t="inlineStr">
        <is>
          <t>SÄFFLE</t>
        </is>
      </c>
      <c r="G18944" t="n">
        <v>3.9</v>
      </c>
      <c r="H18944" t="n">
        <v>0</v>
      </c>
      <c r="I18944" t="n">
        <v>0</v>
      </c>
      <c r="J18944" t="n">
        <v>0</v>
      </c>
      <c r="K18944" t="n">
        <v>0</v>
      </c>
      <c r="L18944" t="n">
        <v>0</v>
      </c>
      <c r="M18944" t="n">
        <v>0</v>
      </c>
      <c r="N18944" t="n">
        <v>0</v>
      </c>
      <c r="O18944" t="n">
        <v>0</v>
      </c>
      <c r="P18944" t="n">
        <v>0</v>
      </c>
      <c r="Q18944" t="n">
        <v>0</v>
      </c>
      <c r="R18944" s="2" t="inlineStr"/>
    </row>
    <row r="18945" ht="15" customHeight="1">
      <c r="A18945" t="inlineStr">
        <is>
          <t>A 8918-2025</t>
        </is>
      </c>
      <c r="B18945" s="1" t="n">
        <v>45713</v>
      </c>
      <c r="C18945" s="1" t="n">
        <v>45810</v>
      </c>
      <c r="D18945" t="inlineStr">
        <is>
          <t>VÄRMLANDS LÄN</t>
        </is>
      </c>
      <c r="E18945" t="inlineStr">
        <is>
          <t>ÅRJÄNG</t>
        </is>
      </c>
      <c r="G18945" t="n">
        <v>1.7</v>
      </c>
      <c r="H18945" t="n">
        <v>0</v>
      </c>
      <c r="I18945" t="n">
        <v>0</v>
      </c>
      <c r="J18945" t="n">
        <v>0</v>
      </c>
      <c r="K18945" t="n">
        <v>0</v>
      </c>
      <c r="L18945" t="n">
        <v>0</v>
      </c>
      <c r="M18945" t="n">
        <v>0</v>
      </c>
      <c r="N18945" t="n">
        <v>0</v>
      </c>
      <c r="O18945" t="n">
        <v>0</v>
      </c>
      <c r="P18945" t="n">
        <v>0</v>
      </c>
      <c r="Q18945" t="n">
        <v>0</v>
      </c>
      <c r="R18945" s="2" t="inlineStr"/>
    </row>
    <row r="18946" ht="15" customHeight="1">
      <c r="A18946" t="inlineStr">
        <is>
          <t>A 8922-2025</t>
        </is>
      </c>
      <c r="B18946" s="1" t="n">
        <v>45713</v>
      </c>
      <c r="C18946" s="1" t="n">
        <v>45810</v>
      </c>
      <c r="D18946" t="inlineStr">
        <is>
          <t>VÄRMLANDS LÄN</t>
        </is>
      </c>
      <c r="E18946" t="inlineStr">
        <is>
          <t>HAGFORS</t>
        </is>
      </c>
      <c r="F18946" t="inlineStr">
        <is>
          <t>Bergvik skog väst AB</t>
        </is>
      </c>
      <c r="G18946" t="n">
        <v>1.5</v>
      </c>
      <c r="H18946" t="n">
        <v>0</v>
      </c>
      <c r="I18946" t="n">
        <v>0</v>
      </c>
      <c r="J18946" t="n">
        <v>0</v>
      </c>
      <c r="K18946" t="n">
        <v>0</v>
      </c>
      <c r="L18946" t="n">
        <v>0</v>
      </c>
      <c r="M18946" t="n">
        <v>0</v>
      </c>
      <c r="N18946" t="n">
        <v>0</v>
      </c>
      <c r="O18946" t="n">
        <v>0</v>
      </c>
      <c r="P18946" t="n">
        <v>0</v>
      </c>
      <c r="Q18946" t="n">
        <v>0</v>
      </c>
      <c r="R18946" s="2" t="inlineStr"/>
    </row>
    <row r="18947" ht="15" customHeight="1">
      <c r="A18947" t="inlineStr">
        <is>
          <t>A 8951-2025</t>
        </is>
      </c>
      <c r="B18947" s="1" t="n">
        <v>45713</v>
      </c>
      <c r="C18947" s="1" t="n">
        <v>45810</v>
      </c>
      <c r="D18947" t="inlineStr">
        <is>
          <t>VÄRMLANDS LÄN</t>
        </is>
      </c>
      <c r="E18947" t="inlineStr">
        <is>
          <t>STORFORS</t>
        </is>
      </c>
      <c r="G18947" t="n">
        <v>1.8</v>
      </c>
      <c r="H18947" t="n">
        <v>0</v>
      </c>
      <c r="I18947" t="n">
        <v>0</v>
      </c>
      <c r="J18947" t="n">
        <v>0</v>
      </c>
      <c r="K18947" t="n">
        <v>0</v>
      </c>
      <c r="L18947" t="n">
        <v>0</v>
      </c>
      <c r="M18947" t="n">
        <v>0</v>
      </c>
      <c r="N18947" t="n">
        <v>0</v>
      </c>
      <c r="O18947" t="n">
        <v>0</v>
      </c>
      <c r="P18947" t="n">
        <v>0</v>
      </c>
      <c r="Q18947" t="n">
        <v>0</v>
      </c>
      <c r="R18947" s="2" t="inlineStr"/>
    </row>
    <row r="18948" ht="15" customHeight="1">
      <c r="A18948" t="inlineStr">
        <is>
          <t>A 9062-2025</t>
        </is>
      </c>
      <c r="B18948" s="1" t="n">
        <v>45713</v>
      </c>
      <c r="C18948" s="1" t="n">
        <v>45810</v>
      </c>
      <c r="D18948" t="inlineStr">
        <is>
          <t>VÄRMLANDS LÄN</t>
        </is>
      </c>
      <c r="E18948" t="inlineStr">
        <is>
          <t>FILIPSTAD</t>
        </is>
      </c>
      <c r="F18948" t="inlineStr">
        <is>
          <t>Bergvik skog väst AB</t>
        </is>
      </c>
      <c r="G18948" t="n">
        <v>6.8</v>
      </c>
      <c r="H18948" t="n">
        <v>0</v>
      </c>
      <c r="I18948" t="n">
        <v>0</v>
      </c>
      <c r="J18948" t="n">
        <v>0</v>
      </c>
      <c r="K18948" t="n">
        <v>0</v>
      </c>
      <c r="L18948" t="n">
        <v>0</v>
      </c>
      <c r="M18948" t="n">
        <v>0</v>
      </c>
      <c r="N18948" t="n">
        <v>0</v>
      </c>
      <c r="O18948" t="n">
        <v>0</v>
      </c>
      <c r="P18948" t="n">
        <v>0</v>
      </c>
      <c r="Q18948" t="n">
        <v>0</v>
      </c>
      <c r="R18948" s="2" t="inlineStr"/>
    </row>
    <row r="18949" ht="15" customHeight="1">
      <c r="A18949" t="inlineStr">
        <is>
          <t>A 8910-2025</t>
        </is>
      </c>
      <c r="B18949" s="1" t="n">
        <v>45713</v>
      </c>
      <c r="C18949" s="1" t="n">
        <v>45810</v>
      </c>
      <c r="D18949" t="inlineStr">
        <is>
          <t>VÄRMLANDS LÄN</t>
        </is>
      </c>
      <c r="E18949" t="inlineStr">
        <is>
          <t>KIL</t>
        </is>
      </c>
      <c r="G18949" t="n">
        <v>1.9</v>
      </c>
      <c r="H18949" t="n">
        <v>0</v>
      </c>
      <c r="I18949" t="n">
        <v>0</v>
      </c>
      <c r="J18949" t="n">
        <v>0</v>
      </c>
      <c r="K18949" t="n">
        <v>0</v>
      </c>
      <c r="L18949" t="n">
        <v>0</v>
      </c>
      <c r="M18949" t="n">
        <v>0</v>
      </c>
      <c r="N18949" t="n">
        <v>0</v>
      </c>
      <c r="O18949" t="n">
        <v>0</v>
      </c>
      <c r="P18949" t="n">
        <v>0</v>
      </c>
      <c r="Q18949" t="n">
        <v>0</v>
      </c>
      <c r="R18949" s="2" t="inlineStr"/>
    </row>
    <row r="18950" ht="15" customHeight="1">
      <c r="A18950" t="inlineStr">
        <is>
          <t>A 9059-2025</t>
        </is>
      </c>
      <c r="B18950" s="1" t="n">
        <v>45713</v>
      </c>
      <c r="C18950" s="1" t="n">
        <v>45810</v>
      </c>
      <c r="D18950" t="inlineStr">
        <is>
          <t>VÄRMLANDS LÄN</t>
        </is>
      </c>
      <c r="E18950" t="inlineStr">
        <is>
          <t>ARVIKA</t>
        </is>
      </c>
      <c r="G18950" t="n">
        <v>1.2</v>
      </c>
      <c r="H18950" t="n">
        <v>0</v>
      </c>
      <c r="I18950" t="n">
        <v>0</v>
      </c>
      <c r="J18950" t="n">
        <v>0</v>
      </c>
      <c r="K18950" t="n">
        <v>0</v>
      </c>
      <c r="L18950" t="n">
        <v>0</v>
      </c>
      <c r="M18950" t="n">
        <v>0</v>
      </c>
      <c r="N18950" t="n">
        <v>0</v>
      </c>
      <c r="O18950" t="n">
        <v>0</v>
      </c>
      <c r="P18950" t="n">
        <v>0</v>
      </c>
      <c r="Q18950" t="n">
        <v>0</v>
      </c>
      <c r="R18950" s="2" t="inlineStr"/>
    </row>
    <row r="18951" ht="15" customHeight="1">
      <c r="A18951" t="inlineStr">
        <is>
          <t>A 9171-2025</t>
        </is>
      </c>
      <c r="B18951" s="1" t="n">
        <v>45713</v>
      </c>
      <c r="C18951" s="1" t="n">
        <v>45810</v>
      </c>
      <c r="D18951" t="inlineStr">
        <is>
          <t>VÄRMLANDS LÄN</t>
        </is>
      </c>
      <c r="E18951" t="inlineStr">
        <is>
          <t>TORSBY</t>
        </is>
      </c>
      <c r="G18951" t="n">
        <v>5.1</v>
      </c>
      <c r="H18951" t="n">
        <v>0</v>
      </c>
      <c r="I18951" t="n">
        <v>0</v>
      </c>
      <c r="J18951" t="n">
        <v>0</v>
      </c>
      <c r="K18951" t="n">
        <v>0</v>
      </c>
      <c r="L18951" t="n">
        <v>0</v>
      </c>
      <c r="M18951" t="n">
        <v>0</v>
      </c>
      <c r="N18951" t="n">
        <v>0</v>
      </c>
      <c r="O18951" t="n">
        <v>0</v>
      </c>
      <c r="P18951" t="n">
        <v>0</v>
      </c>
      <c r="Q18951" t="n">
        <v>0</v>
      </c>
      <c r="R18951" s="2" t="inlineStr"/>
    </row>
    <row r="18952" ht="15" customHeight="1">
      <c r="A18952" t="inlineStr">
        <is>
          <t>A 9131-2025</t>
        </is>
      </c>
      <c r="B18952" s="1" t="n">
        <v>45714</v>
      </c>
      <c r="C18952" s="1" t="n">
        <v>45810</v>
      </c>
      <c r="D18952" t="inlineStr">
        <is>
          <t>VÄRMLANDS LÄN</t>
        </is>
      </c>
      <c r="E18952" t="inlineStr">
        <is>
          <t>ÅRJÄNG</t>
        </is>
      </c>
      <c r="G18952" t="n">
        <v>0.5</v>
      </c>
      <c r="H18952" t="n">
        <v>0</v>
      </c>
      <c r="I18952" t="n">
        <v>0</v>
      </c>
      <c r="J18952" t="n">
        <v>0</v>
      </c>
      <c r="K18952" t="n">
        <v>0</v>
      </c>
      <c r="L18952" t="n">
        <v>0</v>
      </c>
      <c r="M18952" t="n">
        <v>0</v>
      </c>
      <c r="N18952" t="n">
        <v>0</v>
      </c>
      <c r="O18952" t="n">
        <v>0</v>
      </c>
      <c r="P18952" t="n">
        <v>0</v>
      </c>
      <c r="Q18952" t="n">
        <v>0</v>
      </c>
      <c r="R18952" s="2" t="inlineStr"/>
    </row>
    <row r="18953" ht="15" customHeight="1">
      <c r="A18953" t="inlineStr">
        <is>
          <t>A 9179-2025</t>
        </is>
      </c>
      <c r="B18953" s="1" t="n">
        <v>45714</v>
      </c>
      <c r="C18953" s="1" t="n">
        <v>45810</v>
      </c>
      <c r="D18953" t="inlineStr">
        <is>
          <t>VÄRMLANDS LÄN</t>
        </is>
      </c>
      <c r="E18953" t="inlineStr">
        <is>
          <t>EDA</t>
        </is>
      </c>
      <c r="G18953" t="n">
        <v>1.2</v>
      </c>
      <c r="H18953" t="n">
        <v>0</v>
      </c>
      <c r="I18953" t="n">
        <v>0</v>
      </c>
      <c r="J18953" t="n">
        <v>0</v>
      </c>
      <c r="K18953" t="n">
        <v>0</v>
      </c>
      <c r="L18953" t="n">
        <v>0</v>
      </c>
      <c r="M18953" t="n">
        <v>0</v>
      </c>
      <c r="N18953" t="n">
        <v>0</v>
      </c>
      <c r="O18953" t="n">
        <v>0</v>
      </c>
      <c r="P18953" t="n">
        <v>0</v>
      </c>
      <c r="Q18953" t="n">
        <v>0</v>
      </c>
      <c r="R18953" s="2" t="inlineStr"/>
    </row>
    <row r="18954" ht="15" customHeight="1">
      <c r="A18954" t="inlineStr">
        <is>
          <t>A 9213-2025</t>
        </is>
      </c>
      <c r="B18954" s="1" t="n">
        <v>45714</v>
      </c>
      <c r="C18954" s="1" t="n">
        <v>45810</v>
      </c>
      <c r="D18954" t="inlineStr">
        <is>
          <t>VÄRMLANDS LÄN</t>
        </is>
      </c>
      <c r="E18954" t="inlineStr">
        <is>
          <t>ARVIKA</t>
        </is>
      </c>
      <c r="G18954" t="n">
        <v>0.9</v>
      </c>
      <c r="H18954" t="n">
        <v>0</v>
      </c>
      <c r="I18954" t="n">
        <v>0</v>
      </c>
      <c r="J18954" t="n">
        <v>0</v>
      </c>
      <c r="K18954" t="n">
        <v>0</v>
      </c>
      <c r="L18954" t="n">
        <v>0</v>
      </c>
      <c r="M18954" t="n">
        <v>0</v>
      </c>
      <c r="N18954" t="n">
        <v>0</v>
      </c>
      <c r="O18954" t="n">
        <v>0</v>
      </c>
      <c r="P18954" t="n">
        <v>0</v>
      </c>
      <c r="Q18954" t="n">
        <v>0</v>
      </c>
      <c r="R18954" s="2" t="inlineStr"/>
    </row>
    <row r="18955" ht="15" customHeight="1">
      <c r="A18955" t="inlineStr">
        <is>
          <t>A 9221-2025</t>
        </is>
      </c>
      <c r="B18955" s="1" t="n">
        <v>45714</v>
      </c>
      <c r="C18955" s="1" t="n">
        <v>45810</v>
      </c>
      <c r="D18955" t="inlineStr">
        <is>
          <t>VÄRMLANDS LÄN</t>
        </is>
      </c>
      <c r="E18955" t="inlineStr">
        <is>
          <t>EDA</t>
        </is>
      </c>
      <c r="G18955" t="n">
        <v>0.7</v>
      </c>
      <c r="H18955" t="n">
        <v>0</v>
      </c>
      <c r="I18955" t="n">
        <v>0</v>
      </c>
      <c r="J18955" t="n">
        <v>0</v>
      </c>
      <c r="K18955" t="n">
        <v>0</v>
      </c>
      <c r="L18955" t="n">
        <v>0</v>
      </c>
      <c r="M18955" t="n">
        <v>0</v>
      </c>
      <c r="N18955" t="n">
        <v>0</v>
      </c>
      <c r="O18955" t="n">
        <v>0</v>
      </c>
      <c r="P18955" t="n">
        <v>0</v>
      </c>
      <c r="Q18955" t="n">
        <v>0</v>
      </c>
      <c r="R18955" s="2" t="inlineStr"/>
    </row>
    <row r="18956" ht="15" customHeight="1">
      <c r="A18956" t="inlineStr">
        <is>
          <t>A 9214-2025</t>
        </is>
      </c>
      <c r="B18956" s="1" t="n">
        <v>45714</v>
      </c>
      <c r="C18956" s="1" t="n">
        <v>45810</v>
      </c>
      <c r="D18956" t="inlineStr">
        <is>
          <t>VÄRMLANDS LÄN</t>
        </is>
      </c>
      <c r="E18956" t="inlineStr">
        <is>
          <t>ARVIKA</t>
        </is>
      </c>
      <c r="G18956" t="n">
        <v>1.8</v>
      </c>
      <c r="H18956" t="n">
        <v>0</v>
      </c>
      <c r="I18956" t="n">
        <v>0</v>
      </c>
      <c r="J18956" t="n">
        <v>0</v>
      </c>
      <c r="K18956" t="n">
        <v>0</v>
      </c>
      <c r="L18956" t="n">
        <v>0</v>
      </c>
      <c r="M18956" t="n">
        <v>0</v>
      </c>
      <c r="N18956" t="n">
        <v>0</v>
      </c>
      <c r="O18956" t="n">
        <v>0</v>
      </c>
      <c r="P18956" t="n">
        <v>0</v>
      </c>
      <c r="Q18956" t="n">
        <v>0</v>
      </c>
      <c r="R18956" s="2" t="inlineStr"/>
    </row>
    <row r="18957" ht="15" customHeight="1">
      <c r="A18957" t="inlineStr">
        <is>
          <t>A 9226-2025</t>
        </is>
      </c>
      <c r="B18957" s="1" t="n">
        <v>45714</v>
      </c>
      <c r="C18957" s="1" t="n">
        <v>45810</v>
      </c>
      <c r="D18957" t="inlineStr">
        <is>
          <t>VÄRMLANDS LÄN</t>
        </is>
      </c>
      <c r="E18957" t="inlineStr">
        <is>
          <t>TORSBY</t>
        </is>
      </c>
      <c r="G18957" t="n">
        <v>0.8</v>
      </c>
      <c r="H18957" t="n">
        <v>0</v>
      </c>
      <c r="I18957" t="n">
        <v>0</v>
      </c>
      <c r="J18957" t="n">
        <v>0</v>
      </c>
      <c r="K18957" t="n">
        <v>0</v>
      </c>
      <c r="L18957" t="n">
        <v>0</v>
      </c>
      <c r="M18957" t="n">
        <v>0</v>
      </c>
      <c r="N18957" t="n">
        <v>0</v>
      </c>
      <c r="O18957" t="n">
        <v>0</v>
      </c>
      <c r="P18957" t="n">
        <v>0</v>
      </c>
      <c r="Q18957" t="n">
        <v>0</v>
      </c>
      <c r="R18957" s="2" t="inlineStr"/>
    </row>
    <row r="18958" ht="15" customHeight="1">
      <c r="A18958" t="inlineStr">
        <is>
          <t>A 9231-2025</t>
        </is>
      </c>
      <c r="B18958" s="1" t="n">
        <v>45714</v>
      </c>
      <c r="C18958" s="1" t="n">
        <v>45810</v>
      </c>
      <c r="D18958" t="inlineStr">
        <is>
          <t>VÄRMLANDS LÄN</t>
        </is>
      </c>
      <c r="E18958" t="inlineStr">
        <is>
          <t>FILIPSTAD</t>
        </is>
      </c>
      <c r="F18958" t="inlineStr">
        <is>
          <t>Bergvik skog väst AB</t>
        </is>
      </c>
      <c r="G18958" t="n">
        <v>2.1</v>
      </c>
      <c r="H18958" t="n">
        <v>0</v>
      </c>
      <c r="I18958" t="n">
        <v>0</v>
      </c>
      <c r="J18958" t="n">
        <v>0</v>
      </c>
      <c r="K18958" t="n">
        <v>0</v>
      </c>
      <c r="L18958" t="n">
        <v>0</v>
      </c>
      <c r="M18958" t="n">
        <v>0</v>
      </c>
      <c r="N18958" t="n">
        <v>0</v>
      </c>
      <c r="O18958" t="n">
        <v>0</v>
      </c>
      <c r="P18958" t="n">
        <v>0</v>
      </c>
      <c r="Q18958" t="n">
        <v>0</v>
      </c>
      <c r="R18958" s="2" t="inlineStr"/>
    </row>
    <row r="18959" ht="15" customHeight="1">
      <c r="A18959" t="inlineStr">
        <is>
          <t>A 9286-2025</t>
        </is>
      </c>
      <c r="B18959" s="1" t="n">
        <v>45714</v>
      </c>
      <c r="C18959" s="1" t="n">
        <v>45810</v>
      </c>
      <c r="D18959" t="inlineStr">
        <is>
          <t>VÄRMLANDS LÄN</t>
        </is>
      </c>
      <c r="E18959" t="inlineStr">
        <is>
          <t>TORSBY</t>
        </is>
      </c>
      <c r="F18959" t="inlineStr">
        <is>
          <t>Kommuner</t>
        </is>
      </c>
      <c r="G18959" t="n">
        <v>1</v>
      </c>
      <c r="H18959" t="n">
        <v>0</v>
      </c>
      <c r="I18959" t="n">
        <v>0</v>
      </c>
      <c r="J18959" t="n">
        <v>0</v>
      </c>
      <c r="K18959" t="n">
        <v>0</v>
      </c>
      <c r="L18959" t="n">
        <v>0</v>
      </c>
      <c r="M18959" t="n">
        <v>0</v>
      </c>
      <c r="N18959" t="n">
        <v>0</v>
      </c>
      <c r="O18959" t="n">
        <v>0</v>
      </c>
      <c r="P18959" t="n">
        <v>0</v>
      </c>
      <c r="Q18959" t="n">
        <v>0</v>
      </c>
      <c r="R18959" s="2" t="inlineStr"/>
    </row>
    <row r="18960" ht="15" customHeight="1">
      <c r="A18960" t="inlineStr">
        <is>
          <t>A 9288-2025</t>
        </is>
      </c>
      <c r="B18960" s="1" t="n">
        <v>45714</v>
      </c>
      <c r="C18960" s="1" t="n">
        <v>45810</v>
      </c>
      <c r="D18960" t="inlineStr">
        <is>
          <t>VÄRMLANDS LÄN</t>
        </is>
      </c>
      <c r="E18960" t="inlineStr">
        <is>
          <t>HAGFORS</t>
        </is>
      </c>
      <c r="F18960" t="inlineStr">
        <is>
          <t>Bergvik skog väst AB</t>
        </is>
      </c>
      <c r="G18960" t="n">
        <v>9.800000000000001</v>
      </c>
      <c r="H18960" t="n">
        <v>0</v>
      </c>
      <c r="I18960" t="n">
        <v>0</v>
      </c>
      <c r="J18960" t="n">
        <v>0</v>
      </c>
      <c r="K18960" t="n">
        <v>0</v>
      </c>
      <c r="L18960" t="n">
        <v>0</v>
      </c>
      <c r="M18960" t="n">
        <v>0</v>
      </c>
      <c r="N18960" t="n">
        <v>0</v>
      </c>
      <c r="O18960" t="n">
        <v>0</v>
      </c>
      <c r="P18960" t="n">
        <v>0</v>
      </c>
      <c r="Q18960" t="n">
        <v>0</v>
      </c>
      <c r="R18960" s="2" t="inlineStr"/>
    </row>
    <row r="18961" ht="15" customHeight="1">
      <c r="A18961" t="inlineStr">
        <is>
          <t>A 9498-2025</t>
        </is>
      </c>
      <c r="B18961" s="1" t="n">
        <v>45714</v>
      </c>
      <c r="C18961" s="1" t="n">
        <v>45810</v>
      </c>
      <c r="D18961" t="inlineStr">
        <is>
          <t>VÄRMLANDS LÄN</t>
        </is>
      </c>
      <c r="E18961" t="inlineStr">
        <is>
          <t>SÄFFLE</t>
        </is>
      </c>
      <c r="G18961" t="n">
        <v>2.1</v>
      </c>
      <c r="H18961" t="n">
        <v>0</v>
      </c>
      <c r="I18961" t="n">
        <v>0</v>
      </c>
      <c r="J18961" t="n">
        <v>0</v>
      </c>
      <c r="K18961" t="n">
        <v>0</v>
      </c>
      <c r="L18961" t="n">
        <v>0</v>
      </c>
      <c r="M18961" t="n">
        <v>0</v>
      </c>
      <c r="N18961" t="n">
        <v>0</v>
      </c>
      <c r="O18961" t="n">
        <v>0</v>
      </c>
      <c r="P18961" t="n">
        <v>0</v>
      </c>
      <c r="Q18961" t="n">
        <v>0</v>
      </c>
      <c r="R18961" s="2" t="inlineStr"/>
    </row>
    <row r="18962" ht="15" customHeight="1">
      <c r="A18962" t="inlineStr">
        <is>
          <t>A 9500-2025</t>
        </is>
      </c>
      <c r="B18962" s="1" t="n">
        <v>45714</v>
      </c>
      <c r="C18962" s="1" t="n">
        <v>45810</v>
      </c>
      <c r="D18962" t="inlineStr">
        <is>
          <t>VÄRMLANDS LÄN</t>
        </is>
      </c>
      <c r="E18962" t="inlineStr">
        <is>
          <t>SÄFFLE</t>
        </is>
      </c>
      <c r="G18962" t="n">
        <v>4</v>
      </c>
      <c r="H18962" t="n">
        <v>0</v>
      </c>
      <c r="I18962" t="n">
        <v>0</v>
      </c>
      <c r="J18962" t="n">
        <v>0</v>
      </c>
      <c r="K18962" t="n">
        <v>0</v>
      </c>
      <c r="L18962" t="n">
        <v>0</v>
      </c>
      <c r="M18962" t="n">
        <v>0</v>
      </c>
      <c r="N18962" t="n">
        <v>0</v>
      </c>
      <c r="O18962" t="n">
        <v>0</v>
      </c>
      <c r="P18962" t="n">
        <v>0</v>
      </c>
      <c r="Q18962" t="n">
        <v>0</v>
      </c>
      <c r="R18962" s="2" t="inlineStr"/>
    </row>
    <row r="18963" ht="15" customHeight="1">
      <c r="A18963" t="inlineStr">
        <is>
          <t>A 9588-2025</t>
        </is>
      </c>
      <c r="B18963" s="1" t="n">
        <v>45714</v>
      </c>
      <c r="C18963" s="1" t="n">
        <v>45810</v>
      </c>
      <c r="D18963" t="inlineStr">
        <is>
          <t>VÄRMLANDS LÄN</t>
        </is>
      </c>
      <c r="E18963" t="inlineStr">
        <is>
          <t>SUNNE</t>
        </is>
      </c>
      <c r="G18963" t="n">
        <v>1</v>
      </c>
      <c r="H18963" t="n">
        <v>0</v>
      </c>
      <c r="I18963" t="n">
        <v>0</v>
      </c>
      <c r="J18963" t="n">
        <v>0</v>
      </c>
      <c r="K18963" t="n">
        <v>0</v>
      </c>
      <c r="L18963" t="n">
        <v>0</v>
      </c>
      <c r="M18963" t="n">
        <v>0</v>
      </c>
      <c r="N18963" t="n">
        <v>0</v>
      </c>
      <c r="O18963" t="n">
        <v>0</v>
      </c>
      <c r="P18963" t="n">
        <v>0</v>
      </c>
      <c r="Q18963" t="n">
        <v>0</v>
      </c>
      <c r="R18963" s="2" t="inlineStr"/>
    </row>
    <row r="18964" ht="15" customHeight="1">
      <c r="A18964" t="inlineStr">
        <is>
          <t>A 9628-2025</t>
        </is>
      </c>
      <c r="B18964" s="1" t="n">
        <v>45714</v>
      </c>
      <c r="C18964" s="1" t="n">
        <v>45810</v>
      </c>
      <c r="D18964" t="inlineStr">
        <is>
          <t>VÄRMLANDS LÄN</t>
        </is>
      </c>
      <c r="E18964" t="inlineStr">
        <is>
          <t>TORSBY</t>
        </is>
      </c>
      <c r="G18964" t="n">
        <v>5.6</v>
      </c>
      <c r="H18964" t="n">
        <v>0</v>
      </c>
      <c r="I18964" t="n">
        <v>0</v>
      </c>
      <c r="J18964" t="n">
        <v>0</v>
      </c>
      <c r="K18964" t="n">
        <v>0</v>
      </c>
      <c r="L18964" t="n">
        <v>0</v>
      </c>
      <c r="M18964" t="n">
        <v>0</v>
      </c>
      <c r="N18964" t="n">
        <v>0</v>
      </c>
      <c r="O18964" t="n">
        <v>0</v>
      </c>
      <c r="P18964" t="n">
        <v>0</v>
      </c>
      <c r="Q18964" t="n">
        <v>0</v>
      </c>
      <c r="R18964" s="2" t="inlineStr"/>
    </row>
    <row r="18965" ht="15" customHeight="1">
      <c r="A18965" t="inlineStr">
        <is>
          <t>A 9557-2025</t>
        </is>
      </c>
      <c r="B18965" s="1" t="n">
        <v>45714</v>
      </c>
      <c r="C18965" s="1" t="n">
        <v>45810</v>
      </c>
      <c r="D18965" t="inlineStr">
        <is>
          <t>VÄRMLANDS LÄN</t>
        </is>
      </c>
      <c r="E18965" t="inlineStr">
        <is>
          <t>SUNNE</t>
        </is>
      </c>
      <c r="G18965" t="n">
        <v>6</v>
      </c>
      <c r="H18965" t="n">
        <v>0</v>
      </c>
      <c r="I18965" t="n">
        <v>0</v>
      </c>
      <c r="J18965" t="n">
        <v>0</v>
      </c>
      <c r="K18965" t="n">
        <v>0</v>
      </c>
      <c r="L18965" t="n">
        <v>0</v>
      </c>
      <c r="M18965" t="n">
        <v>0</v>
      </c>
      <c r="N18965" t="n">
        <v>0</v>
      </c>
      <c r="O18965" t="n">
        <v>0</v>
      </c>
      <c r="P18965" t="n">
        <v>0</v>
      </c>
      <c r="Q18965" t="n">
        <v>0</v>
      </c>
      <c r="R18965" s="2" t="inlineStr"/>
    </row>
    <row r="18966" ht="15" customHeight="1">
      <c r="A18966" t="inlineStr">
        <is>
          <t>A 9593-2025</t>
        </is>
      </c>
      <c r="B18966" s="1" t="n">
        <v>45714</v>
      </c>
      <c r="C18966" s="1" t="n">
        <v>45810</v>
      </c>
      <c r="D18966" t="inlineStr">
        <is>
          <t>VÄRMLANDS LÄN</t>
        </is>
      </c>
      <c r="E18966" t="inlineStr">
        <is>
          <t>SUNNE</t>
        </is>
      </c>
      <c r="G18966" t="n">
        <v>1.7</v>
      </c>
      <c r="H18966" t="n">
        <v>0</v>
      </c>
      <c r="I18966" t="n">
        <v>0</v>
      </c>
      <c r="J18966" t="n">
        <v>0</v>
      </c>
      <c r="K18966" t="n">
        <v>0</v>
      </c>
      <c r="L18966" t="n">
        <v>0</v>
      </c>
      <c r="M18966" t="n">
        <v>0</v>
      </c>
      <c r="N18966" t="n">
        <v>0</v>
      </c>
      <c r="O18966" t="n">
        <v>0</v>
      </c>
      <c r="P18966" t="n">
        <v>0</v>
      </c>
      <c r="Q18966" t="n">
        <v>0</v>
      </c>
      <c r="R18966" s="2" t="inlineStr"/>
    </row>
    <row r="18967" ht="15" customHeight="1">
      <c r="A18967" t="inlineStr">
        <is>
          <t>A 9489-2025</t>
        </is>
      </c>
      <c r="B18967" s="1" t="n">
        <v>45715</v>
      </c>
      <c r="C18967" s="1" t="n">
        <v>45810</v>
      </c>
      <c r="D18967" t="inlineStr">
        <is>
          <t>VÄRMLANDS LÄN</t>
        </is>
      </c>
      <c r="E18967" t="inlineStr">
        <is>
          <t>ÅRJÄNG</t>
        </is>
      </c>
      <c r="G18967" t="n">
        <v>2.1</v>
      </c>
      <c r="H18967" t="n">
        <v>0</v>
      </c>
      <c r="I18967" t="n">
        <v>0</v>
      </c>
      <c r="J18967" t="n">
        <v>0</v>
      </c>
      <c r="K18967" t="n">
        <v>0</v>
      </c>
      <c r="L18967" t="n">
        <v>0</v>
      </c>
      <c r="M18967" t="n">
        <v>0</v>
      </c>
      <c r="N18967" t="n">
        <v>0</v>
      </c>
      <c r="O18967" t="n">
        <v>0</v>
      </c>
      <c r="P18967" t="n">
        <v>0</v>
      </c>
      <c r="Q18967" t="n">
        <v>0</v>
      </c>
      <c r="R18967" s="2" t="inlineStr"/>
    </row>
    <row r="18968" ht="15" customHeight="1">
      <c r="A18968" t="inlineStr">
        <is>
          <t>A 9513-2025</t>
        </is>
      </c>
      <c r="B18968" s="1" t="n">
        <v>45715</v>
      </c>
      <c r="C18968" s="1" t="n">
        <v>45810</v>
      </c>
      <c r="D18968" t="inlineStr">
        <is>
          <t>VÄRMLANDS LÄN</t>
        </is>
      </c>
      <c r="E18968" t="inlineStr">
        <is>
          <t>EDA</t>
        </is>
      </c>
      <c r="G18968" t="n">
        <v>3</v>
      </c>
      <c r="H18968" t="n">
        <v>0</v>
      </c>
      <c r="I18968" t="n">
        <v>0</v>
      </c>
      <c r="J18968" t="n">
        <v>0</v>
      </c>
      <c r="K18968" t="n">
        <v>0</v>
      </c>
      <c r="L18968" t="n">
        <v>0</v>
      </c>
      <c r="M18968" t="n">
        <v>0</v>
      </c>
      <c r="N18968" t="n">
        <v>0</v>
      </c>
      <c r="O18968" t="n">
        <v>0</v>
      </c>
      <c r="P18968" t="n">
        <v>0</v>
      </c>
      <c r="Q18968" t="n">
        <v>0</v>
      </c>
      <c r="R18968" s="2" t="inlineStr"/>
    </row>
    <row r="18969" ht="15" customHeight="1">
      <c r="A18969" t="inlineStr">
        <is>
          <t>A 9474-2025</t>
        </is>
      </c>
      <c r="B18969" s="1" t="n">
        <v>45715</v>
      </c>
      <c r="C18969" s="1" t="n">
        <v>45810</v>
      </c>
      <c r="D18969" t="inlineStr">
        <is>
          <t>VÄRMLANDS LÄN</t>
        </is>
      </c>
      <c r="E18969" t="inlineStr">
        <is>
          <t>HAGFORS</t>
        </is>
      </c>
      <c r="G18969" t="n">
        <v>0.8</v>
      </c>
      <c r="H18969" t="n">
        <v>0</v>
      </c>
      <c r="I18969" t="n">
        <v>0</v>
      </c>
      <c r="J18969" t="n">
        <v>0</v>
      </c>
      <c r="K18969" t="n">
        <v>0</v>
      </c>
      <c r="L18969" t="n">
        <v>0</v>
      </c>
      <c r="M18969" t="n">
        <v>0</v>
      </c>
      <c r="N18969" t="n">
        <v>0</v>
      </c>
      <c r="O18969" t="n">
        <v>0</v>
      </c>
      <c r="P18969" t="n">
        <v>0</v>
      </c>
      <c r="Q18969" t="n">
        <v>0</v>
      </c>
      <c r="R18969" s="2" t="inlineStr"/>
    </row>
    <row r="18970" ht="15" customHeight="1">
      <c r="A18970" t="inlineStr">
        <is>
          <t>A 9506-2025</t>
        </is>
      </c>
      <c r="B18970" s="1" t="n">
        <v>45715</v>
      </c>
      <c r="C18970" s="1" t="n">
        <v>45810</v>
      </c>
      <c r="D18970" t="inlineStr">
        <is>
          <t>VÄRMLANDS LÄN</t>
        </is>
      </c>
      <c r="E18970" t="inlineStr">
        <is>
          <t>EDA</t>
        </is>
      </c>
      <c r="G18970" t="n">
        <v>3.9</v>
      </c>
      <c r="H18970" t="n">
        <v>0</v>
      </c>
      <c r="I18970" t="n">
        <v>0</v>
      </c>
      <c r="J18970" t="n">
        <v>0</v>
      </c>
      <c r="K18970" t="n">
        <v>0</v>
      </c>
      <c r="L18970" t="n">
        <v>0</v>
      </c>
      <c r="M18970" t="n">
        <v>0</v>
      </c>
      <c r="N18970" t="n">
        <v>0</v>
      </c>
      <c r="O18970" t="n">
        <v>0</v>
      </c>
      <c r="P18970" t="n">
        <v>0</v>
      </c>
      <c r="Q18970" t="n">
        <v>0</v>
      </c>
      <c r="R18970" s="2" t="inlineStr"/>
    </row>
    <row r="18971" ht="15" customHeight="1">
      <c r="A18971" t="inlineStr">
        <is>
          <t>A 9575-2025</t>
        </is>
      </c>
      <c r="B18971" s="1" t="n">
        <v>45715</v>
      </c>
      <c r="C18971" s="1" t="n">
        <v>45810</v>
      </c>
      <c r="D18971" t="inlineStr">
        <is>
          <t>VÄRMLANDS LÄN</t>
        </is>
      </c>
      <c r="E18971" t="inlineStr">
        <is>
          <t>KRISTINEHAMN</t>
        </is>
      </c>
      <c r="F18971" t="inlineStr">
        <is>
          <t>Naturvårdsverket</t>
        </is>
      </c>
      <c r="G18971" t="n">
        <v>6.2</v>
      </c>
      <c r="H18971" t="n">
        <v>0</v>
      </c>
      <c r="I18971" t="n">
        <v>0</v>
      </c>
      <c r="J18971" t="n">
        <v>0</v>
      </c>
      <c r="K18971" t="n">
        <v>0</v>
      </c>
      <c r="L18971" t="n">
        <v>0</v>
      </c>
      <c r="M18971" t="n">
        <v>0</v>
      </c>
      <c r="N18971" t="n">
        <v>0</v>
      </c>
      <c r="O18971" t="n">
        <v>0</v>
      </c>
      <c r="P18971" t="n">
        <v>0</v>
      </c>
      <c r="Q18971" t="n">
        <v>0</v>
      </c>
      <c r="R18971" s="2" t="inlineStr"/>
    </row>
    <row r="18972" ht="15" customHeight="1">
      <c r="A18972" t="inlineStr">
        <is>
          <t>A 9569-2025</t>
        </is>
      </c>
      <c r="B18972" s="1" t="n">
        <v>45715</v>
      </c>
      <c r="C18972" s="1" t="n">
        <v>45810</v>
      </c>
      <c r="D18972" t="inlineStr">
        <is>
          <t>VÄRMLANDS LÄN</t>
        </is>
      </c>
      <c r="E18972" t="inlineStr">
        <is>
          <t>KRISTINEHAMN</t>
        </is>
      </c>
      <c r="F18972" t="inlineStr">
        <is>
          <t>Naturvårdsverket</t>
        </is>
      </c>
      <c r="G18972" t="n">
        <v>18.4</v>
      </c>
      <c r="H18972" t="n">
        <v>0</v>
      </c>
      <c r="I18972" t="n">
        <v>0</v>
      </c>
      <c r="J18972" t="n">
        <v>0</v>
      </c>
      <c r="K18972" t="n">
        <v>0</v>
      </c>
      <c r="L18972" t="n">
        <v>0</v>
      </c>
      <c r="M18972" t="n">
        <v>0</v>
      </c>
      <c r="N18972" t="n">
        <v>0</v>
      </c>
      <c r="O18972" t="n">
        <v>0</v>
      </c>
      <c r="P18972" t="n">
        <v>0</v>
      </c>
      <c r="Q18972" t="n">
        <v>0</v>
      </c>
      <c r="R18972" s="2" t="inlineStr"/>
    </row>
    <row r="18973" ht="15" customHeight="1">
      <c r="A18973" t="inlineStr">
        <is>
          <t>A 9597-2025</t>
        </is>
      </c>
      <c r="B18973" s="1" t="n">
        <v>45715</v>
      </c>
      <c r="C18973" s="1" t="n">
        <v>45810</v>
      </c>
      <c r="D18973" t="inlineStr">
        <is>
          <t>VÄRMLANDS LÄN</t>
        </is>
      </c>
      <c r="E18973" t="inlineStr">
        <is>
          <t>HAGFORS</t>
        </is>
      </c>
      <c r="G18973" t="n">
        <v>1.9</v>
      </c>
      <c r="H18973" t="n">
        <v>0</v>
      </c>
      <c r="I18973" t="n">
        <v>0</v>
      </c>
      <c r="J18973" t="n">
        <v>0</v>
      </c>
      <c r="K18973" t="n">
        <v>0</v>
      </c>
      <c r="L18973" t="n">
        <v>0</v>
      </c>
      <c r="M18973" t="n">
        <v>0</v>
      </c>
      <c r="N18973" t="n">
        <v>0</v>
      </c>
      <c r="O18973" t="n">
        <v>0</v>
      </c>
      <c r="P18973" t="n">
        <v>0</v>
      </c>
      <c r="Q18973" t="n">
        <v>0</v>
      </c>
      <c r="R18973" s="2" t="inlineStr"/>
    </row>
    <row r="18974" ht="15" customHeight="1">
      <c r="A18974" t="inlineStr">
        <is>
          <t>A 9672-2025</t>
        </is>
      </c>
      <c r="B18974" s="1" t="n">
        <v>45715</v>
      </c>
      <c r="C18974" s="1" t="n">
        <v>45810</v>
      </c>
      <c r="D18974" t="inlineStr">
        <is>
          <t>VÄRMLANDS LÄN</t>
        </is>
      </c>
      <c r="E18974" t="inlineStr">
        <is>
          <t>SÄFFLE</t>
        </is>
      </c>
      <c r="G18974" t="n">
        <v>2.3</v>
      </c>
      <c r="H18974" t="n">
        <v>0</v>
      </c>
      <c r="I18974" t="n">
        <v>0</v>
      </c>
      <c r="J18974" t="n">
        <v>0</v>
      </c>
      <c r="K18974" t="n">
        <v>0</v>
      </c>
      <c r="L18974" t="n">
        <v>0</v>
      </c>
      <c r="M18974" t="n">
        <v>0</v>
      </c>
      <c r="N18974" t="n">
        <v>0</v>
      </c>
      <c r="O18974" t="n">
        <v>0</v>
      </c>
      <c r="P18974" t="n">
        <v>0</v>
      </c>
      <c r="Q18974" t="n">
        <v>0</v>
      </c>
      <c r="R18974" s="2" t="inlineStr"/>
    </row>
    <row r="18975" ht="15" customHeight="1">
      <c r="A18975" t="inlineStr">
        <is>
          <t>A 9729-2025</t>
        </is>
      </c>
      <c r="B18975" s="1" t="n">
        <v>45715</v>
      </c>
      <c r="C18975" s="1" t="n">
        <v>45810</v>
      </c>
      <c r="D18975" t="inlineStr">
        <is>
          <t>VÄRMLANDS LÄN</t>
        </is>
      </c>
      <c r="E18975" t="inlineStr">
        <is>
          <t>TORSBY</t>
        </is>
      </c>
      <c r="G18975" t="n">
        <v>3.4</v>
      </c>
      <c r="H18975" t="n">
        <v>0</v>
      </c>
      <c r="I18975" t="n">
        <v>0</v>
      </c>
      <c r="J18975" t="n">
        <v>0</v>
      </c>
      <c r="K18975" t="n">
        <v>0</v>
      </c>
      <c r="L18975" t="n">
        <v>0</v>
      </c>
      <c r="M18975" t="n">
        <v>0</v>
      </c>
      <c r="N18975" t="n">
        <v>0</v>
      </c>
      <c r="O18975" t="n">
        <v>0</v>
      </c>
      <c r="P18975" t="n">
        <v>0</v>
      </c>
      <c r="Q18975" t="n">
        <v>0</v>
      </c>
      <c r="R18975" s="2" t="inlineStr"/>
    </row>
    <row r="18976" ht="15" customHeight="1">
      <c r="A18976" t="inlineStr">
        <is>
          <t>A 9538-2025</t>
        </is>
      </c>
      <c r="B18976" s="1" t="n">
        <v>45715</v>
      </c>
      <c r="C18976" s="1" t="n">
        <v>45810</v>
      </c>
      <c r="D18976" t="inlineStr">
        <is>
          <t>VÄRMLANDS LÄN</t>
        </is>
      </c>
      <c r="E18976" t="inlineStr">
        <is>
          <t>FORSHAGA</t>
        </is>
      </c>
      <c r="G18976" t="n">
        <v>7.1</v>
      </c>
      <c r="H18976" t="n">
        <v>0</v>
      </c>
      <c r="I18976" t="n">
        <v>0</v>
      </c>
      <c r="J18976" t="n">
        <v>0</v>
      </c>
      <c r="K18976" t="n">
        <v>0</v>
      </c>
      <c r="L18976" t="n">
        <v>0</v>
      </c>
      <c r="M18976" t="n">
        <v>0</v>
      </c>
      <c r="N18976" t="n">
        <v>0</v>
      </c>
      <c r="O18976" t="n">
        <v>0</v>
      </c>
      <c r="P18976" t="n">
        <v>0</v>
      </c>
      <c r="Q18976" t="n">
        <v>0</v>
      </c>
      <c r="R18976" s="2" t="inlineStr"/>
    </row>
    <row r="18977" ht="15" customHeight="1">
      <c r="A18977" t="inlineStr">
        <is>
          <t>A 9425-2025</t>
        </is>
      </c>
      <c r="B18977" s="1" t="n">
        <v>45715</v>
      </c>
      <c r="C18977" s="1" t="n">
        <v>45810</v>
      </c>
      <c r="D18977" t="inlineStr">
        <is>
          <t>VÄRMLANDS LÄN</t>
        </is>
      </c>
      <c r="E18977" t="inlineStr">
        <is>
          <t>ÅRJÄNG</t>
        </is>
      </c>
      <c r="G18977" t="n">
        <v>1.3</v>
      </c>
      <c r="H18977" t="n">
        <v>0</v>
      </c>
      <c r="I18977" t="n">
        <v>0</v>
      </c>
      <c r="J18977" t="n">
        <v>0</v>
      </c>
      <c r="K18977" t="n">
        <v>0</v>
      </c>
      <c r="L18977" t="n">
        <v>0</v>
      </c>
      <c r="M18977" t="n">
        <v>0</v>
      </c>
      <c r="N18977" t="n">
        <v>0</v>
      </c>
      <c r="O18977" t="n">
        <v>0</v>
      </c>
      <c r="P18977" t="n">
        <v>0</v>
      </c>
      <c r="Q18977" t="n">
        <v>0</v>
      </c>
      <c r="R18977" s="2" t="inlineStr"/>
    </row>
    <row r="18978" ht="15" customHeight="1">
      <c r="A18978" t="inlineStr">
        <is>
          <t>A 9427-2025</t>
        </is>
      </c>
      <c r="B18978" s="1" t="n">
        <v>45715</v>
      </c>
      <c r="C18978" s="1" t="n">
        <v>45810</v>
      </c>
      <c r="D18978" t="inlineStr">
        <is>
          <t>VÄRMLANDS LÄN</t>
        </is>
      </c>
      <c r="E18978" t="inlineStr">
        <is>
          <t>ÅRJÄNG</t>
        </is>
      </c>
      <c r="G18978" t="n">
        <v>4.5</v>
      </c>
      <c r="H18978" t="n">
        <v>0</v>
      </c>
      <c r="I18978" t="n">
        <v>0</v>
      </c>
      <c r="J18978" t="n">
        <v>0</v>
      </c>
      <c r="K18978" t="n">
        <v>0</v>
      </c>
      <c r="L18978" t="n">
        <v>0</v>
      </c>
      <c r="M18978" t="n">
        <v>0</v>
      </c>
      <c r="N18978" t="n">
        <v>0</v>
      </c>
      <c r="O18978" t="n">
        <v>0</v>
      </c>
      <c r="P18978" t="n">
        <v>0</v>
      </c>
      <c r="Q18978" t="n">
        <v>0</v>
      </c>
      <c r="R18978" s="2" t="inlineStr"/>
    </row>
    <row r="18979" ht="15" customHeight="1">
      <c r="A18979" t="inlineStr">
        <is>
          <t>A 9428-2025</t>
        </is>
      </c>
      <c r="B18979" s="1" t="n">
        <v>45715</v>
      </c>
      <c r="C18979" s="1" t="n">
        <v>45810</v>
      </c>
      <c r="D18979" t="inlineStr">
        <is>
          <t>VÄRMLANDS LÄN</t>
        </is>
      </c>
      <c r="E18979" t="inlineStr">
        <is>
          <t>SUNNE</t>
        </is>
      </c>
      <c r="G18979" t="n">
        <v>3</v>
      </c>
      <c r="H18979" t="n">
        <v>0</v>
      </c>
      <c r="I18979" t="n">
        <v>0</v>
      </c>
      <c r="J18979" t="n">
        <v>0</v>
      </c>
      <c r="K18979" t="n">
        <v>0</v>
      </c>
      <c r="L18979" t="n">
        <v>0</v>
      </c>
      <c r="M18979" t="n">
        <v>0</v>
      </c>
      <c r="N18979" t="n">
        <v>0</v>
      </c>
      <c r="O18979" t="n">
        <v>0</v>
      </c>
      <c r="P18979" t="n">
        <v>0</v>
      </c>
      <c r="Q18979" t="n">
        <v>0</v>
      </c>
      <c r="R18979" s="2" t="inlineStr"/>
    </row>
    <row r="18980" ht="15" customHeight="1">
      <c r="A18980" t="inlineStr">
        <is>
          <t>A 9723-2025</t>
        </is>
      </c>
      <c r="B18980" s="1" t="n">
        <v>45715</v>
      </c>
      <c r="C18980" s="1" t="n">
        <v>45810</v>
      </c>
      <c r="D18980" t="inlineStr">
        <is>
          <t>VÄRMLANDS LÄN</t>
        </is>
      </c>
      <c r="E18980" t="inlineStr">
        <is>
          <t>TORSBY</t>
        </is>
      </c>
      <c r="G18980" t="n">
        <v>8.199999999999999</v>
      </c>
      <c r="H18980" t="n">
        <v>0</v>
      </c>
      <c r="I18980" t="n">
        <v>0</v>
      </c>
      <c r="J18980" t="n">
        <v>0</v>
      </c>
      <c r="K18980" t="n">
        <v>0</v>
      </c>
      <c r="L18980" t="n">
        <v>0</v>
      </c>
      <c r="M18980" t="n">
        <v>0</v>
      </c>
      <c r="N18980" t="n">
        <v>0</v>
      </c>
      <c r="O18980" t="n">
        <v>0</v>
      </c>
      <c r="P18980" t="n">
        <v>0</v>
      </c>
      <c r="Q18980" t="n">
        <v>0</v>
      </c>
      <c r="R18980" s="2" t="inlineStr"/>
    </row>
    <row r="18981" ht="15" customHeight="1">
      <c r="A18981" t="inlineStr">
        <is>
          <t>A 9807-2025</t>
        </is>
      </c>
      <c r="B18981" s="1" t="n">
        <v>45715</v>
      </c>
      <c r="C18981" s="1" t="n">
        <v>45810</v>
      </c>
      <c r="D18981" t="inlineStr">
        <is>
          <t>VÄRMLANDS LÄN</t>
        </is>
      </c>
      <c r="E18981" t="inlineStr">
        <is>
          <t>SUNNE</t>
        </is>
      </c>
      <c r="G18981" t="n">
        <v>13.4</v>
      </c>
      <c r="H18981" t="n">
        <v>0</v>
      </c>
      <c r="I18981" t="n">
        <v>0</v>
      </c>
      <c r="J18981" t="n">
        <v>0</v>
      </c>
      <c r="K18981" t="n">
        <v>0</v>
      </c>
      <c r="L18981" t="n">
        <v>0</v>
      </c>
      <c r="M18981" t="n">
        <v>0</v>
      </c>
      <c r="N18981" t="n">
        <v>0</v>
      </c>
      <c r="O18981" t="n">
        <v>0</v>
      </c>
      <c r="P18981" t="n">
        <v>0</v>
      </c>
      <c r="Q18981" t="n">
        <v>0</v>
      </c>
      <c r="R18981" s="2" t="inlineStr"/>
    </row>
    <row r="18982" ht="15" customHeight="1">
      <c r="A18982" t="inlineStr">
        <is>
          <t>A 9405-2025</t>
        </is>
      </c>
      <c r="B18982" s="1" t="n">
        <v>45715</v>
      </c>
      <c r="C18982" s="1" t="n">
        <v>45810</v>
      </c>
      <c r="D18982" t="inlineStr">
        <is>
          <t>VÄRMLANDS LÄN</t>
        </is>
      </c>
      <c r="E18982" t="inlineStr">
        <is>
          <t>KARLSTAD</t>
        </is>
      </c>
      <c r="G18982" t="n">
        <v>0.6</v>
      </c>
      <c r="H18982" t="n">
        <v>0</v>
      </c>
      <c r="I18982" t="n">
        <v>0</v>
      </c>
      <c r="J18982" t="n">
        <v>0</v>
      </c>
      <c r="K18982" t="n">
        <v>0</v>
      </c>
      <c r="L18982" t="n">
        <v>0</v>
      </c>
      <c r="M18982" t="n">
        <v>0</v>
      </c>
      <c r="N18982" t="n">
        <v>0</v>
      </c>
      <c r="O18982" t="n">
        <v>0</v>
      </c>
      <c r="P18982" t="n">
        <v>0</v>
      </c>
      <c r="Q18982" t="n">
        <v>0</v>
      </c>
      <c r="R18982" s="2" t="inlineStr"/>
    </row>
    <row r="18983" ht="15" customHeight="1">
      <c r="A18983" t="inlineStr">
        <is>
          <t>A 9630-2025</t>
        </is>
      </c>
      <c r="B18983" s="1" t="n">
        <v>45715</v>
      </c>
      <c r="C18983" s="1" t="n">
        <v>45810</v>
      </c>
      <c r="D18983" t="inlineStr">
        <is>
          <t>VÄRMLANDS LÄN</t>
        </is>
      </c>
      <c r="E18983" t="inlineStr">
        <is>
          <t>ÅRJÄNG</t>
        </is>
      </c>
      <c r="G18983" t="n">
        <v>0.4</v>
      </c>
      <c r="H18983" t="n">
        <v>0</v>
      </c>
      <c r="I18983" t="n">
        <v>0</v>
      </c>
      <c r="J18983" t="n">
        <v>0</v>
      </c>
      <c r="K18983" t="n">
        <v>0</v>
      </c>
      <c r="L18983" t="n">
        <v>0</v>
      </c>
      <c r="M18983" t="n">
        <v>0</v>
      </c>
      <c r="N18983" t="n">
        <v>0</v>
      </c>
      <c r="O18983" t="n">
        <v>0</v>
      </c>
      <c r="P18983" t="n">
        <v>0</v>
      </c>
      <c r="Q18983" t="n">
        <v>0</v>
      </c>
      <c r="R18983" s="2" t="inlineStr"/>
    </row>
    <row r="18984" ht="15" customHeight="1">
      <c r="A18984" t="inlineStr">
        <is>
          <t>A 9749-2025</t>
        </is>
      </c>
      <c r="B18984" s="1" t="n">
        <v>45716</v>
      </c>
      <c r="C18984" s="1" t="n">
        <v>45810</v>
      </c>
      <c r="D18984" t="inlineStr">
        <is>
          <t>VÄRMLANDS LÄN</t>
        </is>
      </c>
      <c r="E18984" t="inlineStr">
        <is>
          <t>ARVIKA</t>
        </is>
      </c>
      <c r="F18984" t="inlineStr">
        <is>
          <t>Bergvik skog väst AB</t>
        </is>
      </c>
      <c r="G18984" t="n">
        <v>5.1</v>
      </c>
      <c r="H18984" t="n">
        <v>0</v>
      </c>
      <c r="I18984" t="n">
        <v>0</v>
      </c>
      <c r="J18984" t="n">
        <v>0</v>
      </c>
      <c r="K18984" t="n">
        <v>0</v>
      </c>
      <c r="L18984" t="n">
        <v>0</v>
      </c>
      <c r="M18984" t="n">
        <v>0</v>
      </c>
      <c r="N18984" t="n">
        <v>0</v>
      </c>
      <c r="O18984" t="n">
        <v>0</v>
      </c>
      <c r="P18984" t="n">
        <v>0</v>
      </c>
      <c r="Q18984" t="n">
        <v>0</v>
      </c>
      <c r="R18984" s="2" t="inlineStr"/>
    </row>
    <row r="18985" ht="15" customHeight="1">
      <c r="A18985" t="inlineStr">
        <is>
          <t>A 9781-2025</t>
        </is>
      </c>
      <c r="B18985" s="1" t="n">
        <v>45716</v>
      </c>
      <c r="C18985" s="1" t="n">
        <v>45810</v>
      </c>
      <c r="D18985" t="inlineStr">
        <is>
          <t>VÄRMLANDS LÄN</t>
        </is>
      </c>
      <c r="E18985" t="inlineStr">
        <is>
          <t>SUNNE</t>
        </is>
      </c>
      <c r="G18985" t="n">
        <v>4.4</v>
      </c>
      <c r="H18985" t="n">
        <v>0</v>
      </c>
      <c r="I18985" t="n">
        <v>0</v>
      </c>
      <c r="J18985" t="n">
        <v>0</v>
      </c>
      <c r="K18985" t="n">
        <v>0</v>
      </c>
      <c r="L18985" t="n">
        <v>0</v>
      </c>
      <c r="M18985" t="n">
        <v>0</v>
      </c>
      <c r="N18985" t="n">
        <v>0</v>
      </c>
      <c r="O18985" t="n">
        <v>0</v>
      </c>
      <c r="P18985" t="n">
        <v>0</v>
      </c>
      <c r="Q18985" t="n">
        <v>0</v>
      </c>
      <c r="R18985" s="2" t="inlineStr"/>
    </row>
    <row r="18986" ht="15" customHeight="1">
      <c r="A18986" t="inlineStr">
        <is>
          <t>A 9792-2025</t>
        </is>
      </c>
      <c r="B18986" s="1" t="n">
        <v>45716</v>
      </c>
      <c r="C18986" s="1" t="n">
        <v>45810</v>
      </c>
      <c r="D18986" t="inlineStr">
        <is>
          <t>VÄRMLANDS LÄN</t>
        </is>
      </c>
      <c r="E18986" t="inlineStr">
        <is>
          <t>KARLSTAD</t>
        </is>
      </c>
      <c r="G18986" t="n">
        <v>1.4</v>
      </c>
      <c r="H18986" t="n">
        <v>0</v>
      </c>
      <c r="I18986" t="n">
        <v>0</v>
      </c>
      <c r="J18986" t="n">
        <v>0</v>
      </c>
      <c r="K18986" t="n">
        <v>0</v>
      </c>
      <c r="L18986" t="n">
        <v>0</v>
      </c>
      <c r="M18986" t="n">
        <v>0</v>
      </c>
      <c r="N18986" t="n">
        <v>0</v>
      </c>
      <c r="O18986" t="n">
        <v>0</v>
      </c>
      <c r="P18986" t="n">
        <v>0</v>
      </c>
      <c r="Q18986" t="n">
        <v>0</v>
      </c>
      <c r="R18986" s="2" t="inlineStr"/>
    </row>
    <row r="18987" ht="15" customHeight="1">
      <c r="A18987" t="inlineStr">
        <is>
          <t>A 9693-2025</t>
        </is>
      </c>
      <c r="B18987" s="1" t="n">
        <v>45716</v>
      </c>
      <c r="C18987" s="1" t="n">
        <v>45810</v>
      </c>
      <c r="D18987" t="inlineStr">
        <is>
          <t>VÄRMLANDS LÄN</t>
        </is>
      </c>
      <c r="E18987" t="inlineStr">
        <is>
          <t>FORSHAGA</t>
        </is>
      </c>
      <c r="F18987" t="inlineStr">
        <is>
          <t>Bergvik skog väst AB</t>
        </is>
      </c>
      <c r="G18987" t="n">
        <v>2.2</v>
      </c>
      <c r="H18987" t="n">
        <v>0</v>
      </c>
      <c r="I18987" t="n">
        <v>0</v>
      </c>
      <c r="J18987" t="n">
        <v>0</v>
      </c>
      <c r="K18987" t="n">
        <v>0</v>
      </c>
      <c r="L18987" t="n">
        <v>0</v>
      </c>
      <c r="M18987" t="n">
        <v>0</v>
      </c>
      <c r="N18987" t="n">
        <v>0</v>
      </c>
      <c r="O18987" t="n">
        <v>0</v>
      </c>
      <c r="P18987" t="n">
        <v>0</v>
      </c>
      <c r="Q18987" t="n">
        <v>0</v>
      </c>
      <c r="R18987" s="2" t="inlineStr"/>
    </row>
    <row r="18988" ht="15" customHeight="1">
      <c r="A18988" t="inlineStr">
        <is>
          <t>A 9690-2025</t>
        </is>
      </c>
      <c r="B18988" s="1" t="n">
        <v>45716</v>
      </c>
      <c r="C18988" s="1" t="n">
        <v>45810</v>
      </c>
      <c r="D18988" t="inlineStr">
        <is>
          <t>VÄRMLANDS LÄN</t>
        </is>
      </c>
      <c r="E18988" t="inlineStr">
        <is>
          <t>ARVIKA</t>
        </is>
      </c>
      <c r="F18988" t="inlineStr">
        <is>
          <t>Bergvik skog väst AB</t>
        </is>
      </c>
      <c r="G18988" t="n">
        <v>1.7</v>
      </c>
      <c r="H18988" t="n">
        <v>0</v>
      </c>
      <c r="I18988" t="n">
        <v>0</v>
      </c>
      <c r="J18988" t="n">
        <v>0</v>
      </c>
      <c r="K18988" t="n">
        <v>0</v>
      </c>
      <c r="L18988" t="n">
        <v>0</v>
      </c>
      <c r="M18988" t="n">
        <v>0</v>
      </c>
      <c r="N18988" t="n">
        <v>0</v>
      </c>
      <c r="O18988" t="n">
        <v>0</v>
      </c>
      <c r="P18988" t="n">
        <v>0</v>
      </c>
      <c r="Q18988" t="n">
        <v>0</v>
      </c>
      <c r="R18988" s="2" t="inlineStr"/>
    </row>
    <row r="18989" ht="15" customHeight="1">
      <c r="A18989" t="inlineStr">
        <is>
          <t>A 9888-2025</t>
        </is>
      </c>
      <c r="B18989" s="1" t="n">
        <v>45716</v>
      </c>
      <c r="C18989" s="1" t="n">
        <v>45810</v>
      </c>
      <c r="D18989" t="inlineStr">
        <is>
          <t>VÄRMLANDS LÄN</t>
        </is>
      </c>
      <c r="E18989" t="inlineStr">
        <is>
          <t>SÄFFLE</t>
        </is>
      </c>
      <c r="G18989" t="n">
        <v>5.1</v>
      </c>
      <c r="H18989" t="n">
        <v>0</v>
      </c>
      <c r="I18989" t="n">
        <v>0</v>
      </c>
      <c r="J18989" t="n">
        <v>0</v>
      </c>
      <c r="K18989" t="n">
        <v>0</v>
      </c>
      <c r="L18989" t="n">
        <v>0</v>
      </c>
      <c r="M18989" t="n">
        <v>0</v>
      </c>
      <c r="N18989" t="n">
        <v>0</v>
      </c>
      <c r="O18989" t="n">
        <v>0</v>
      </c>
      <c r="P18989" t="n">
        <v>0</v>
      </c>
      <c r="Q18989" t="n">
        <v>0</v>
      </c>
      <c r="R18989" s="2" t="inlineStr"/>
    </row>
    <row r="18990" ht="15" customHeight="1">
      <c r="A18990" t="inlineStr">
        <is>
          <t>A 9691-2025</t>
        </is>
      </c>
      <c r="B18990" s="1" t="n">
        <v>45716</v>
      </c>
      <c r="C18990" s="1" t="n">
        <v>45810</v>
      </c>
      <c r="D18990" t="inlineStr">
        <is>
          <t>VÄRMLANDS LÄN</t>
        </is>
      </c>
      <c r="E18990" t="inlineStr">
        <is>
          <t>ARVIKA</t>
        </is>
      </c>
      <c r="F18990" t="inlineStr">
        <is>
          <t>Bergvik skog väst AB</t>
        </is>
      </c>
      <c r="G18990" t="n">
        <v>0.4</v>
      </c>
      <c r="H18990" t="n">
        <v>0</v>
      </c>
      <c r="I18990" t="n">
        <v>0</v>
      </c>
      <c r="J18990" t="n">
        <v>0</v>
      </c>
      <c r="K18990" t="n">
        <v>0</v>
      </c>
      <c r="L18990" t="n">
        <v>0</v>
      </c>
      <c r="M18990" t="n">
        <v>0</v>
      </c>
      <c r="N18990" t="n">
        <v>0</v>
      </c>
      <c r="O18990" t="n">
        <v>0</v>
      </c>
      <c r="P18990" t="n">
        <v>0</v>
      </c>
      <c r="Q18990" t="n">
        <v>0</v>
      </c>
      <c r="R18990" s="2" t="inlineStr"/>
    </row>
    <row r="18991" ht="15" customHeight="1">
      <c r="A18991" t="inlineStr">
        <is>
          <t>A 9742-2025</t>
        </is>
      </c>
      <c r="B18991" s="1" t="n">
        <v>45716</v>
      </c>
      <c r="C18991" s="1" t="n">
        <v>45810</v>
      </c>
      <c r="D18991" t="inlineStr">
        <is>
          <t>VÄRMLANDS LÄN</t>
        </is>
      </c>
      <c r="E18991" t="inlineStr">
        <is>
          <t>SUNNE</t>
        </is>
      </c>
      <c r="G18991" t="n">
        <v>6.2</v>
      </c>
      <c r="H18991" t="n">
        <v>0</v>
      </c>
      <c r="I18991" t="n">
        <v>0</v>
      </c>
      <c r="J18991" t="n">
        <v>0</v>
      </c>
      <c r="K18991" t="n">
        <v>0</v>
      </c>
      <c r="L18991" t="n">
        <v>0</v>
      </c>
      <c r="M18991" t="n">
        <v>0</v>
      </c>
      <c r="N18991" t="n">
        <v>0</v>
      </c>
      <c r="O18991" t="n">
        <v>0</v>
      </c>
      <c r="P18991" t="n">
        <v>0</v>
      </c>
      <c r="Q18991" t="n">
        <v>0</v>
      </c>
      <c r="R18991" s="2" t="inlineStr"/>
    </row>
    <row r="18992" ht="15" customHeight="1">
      <c r="A18992" t="inlineStr">
        <is>
          <t>A 9763-2025</t>
        </is>
      </c>
      <c r="B18992" s="1" t="n">
        <v>45716</v>
      </c>
      <c r="C18992" s="1" t="n">
        <v>45810</v>
      </c>
      <c r="D18992" t="inlineStr">
        <is>
          <t>VÄRMLANDS LÄN</t>
        </is>
      </c>
      <c r="E18992" t="inlineStr">
        <is>
          <t>HAGFORS</t>
        </is>
      </c>
      <c r="G18992" t="n">
        <v>2</v>
      </c>
      <c r="H18992" t="n">
        <v>0</v>
      </c>
      <c r="I18992" t="n">
        <v>0</v>
      </c>
      <c r="J18992" t="n">
        <v>0</v>
      </c>
      <c r="K18992" t="n">
        <v>0</v>
      </c>
      <c r="L18992" t="n">
        <v>0</v>
      </c>
      <c r="M18992" t="n">
        <v>0</v>
      </c>
      <c r="N18992" t="n">
        <v>0</v>
      </c>
      <c r="O18992" t="n">
        <v>0</v>
      </c>
      <c r="P18992" t="n">
        <v>0</v>
      </c>
      <c r="Q18992" t="n">
        <v>0</v>
      </c>
      <c r="R18992" s="2" t="inlineStr"/>
    </row>
    <row r="18993" ht="15" customHeight="1">
      <c r="A18993" t="inlineStr">
        <is>
          <t>A 9766-2025</t>
        </is>
      </c>
      <c r="B18993" s="1" t="n">
        <v>45716</v>
      </c>
      <c r="C18993" s="1" t="n">
        <v>45810</v>
      </c>
      <c r="D18993" t="inlineStr">
        <is>
          <t>VÄRMLANDS LÄN</t>
        </is>
      </c>
      <c r="E18993" t="inlineStr">
        <is>
          <t>MUNKFORS</t>
        </is>
      </c>
      <c r="G18993" t="n">
        <v>4.1</v>
      </c>
      <c r="H18993" t="n">
        <v>0</v>
      </c>
      <c r="I18993" t="n">
        <v>0</v>
      </c>
      <c r="J18993" t="n">
        <v>0</v>
      </c>
      <c r="K18993" t="n">
        <v>0</v>
      </c>
      <c r="L18993" t="n">
        <v>0</v>
      </c>
      <c r="M18993" t="n">
        <v>0</v>
      </c>
      <c r="N18993" t="n">
        <v>0</v>
      </c>
      <c r="O18993" t="n">
        <v>0</v>
      </c>
      <c r="P18993" t="n">
        <v>0</v>
      </c>
      <c r="Q18993" t="n">
        <v>0</v>
      </c>
      <c r="R18993" s="2" t="inlineStr"/>
    </row>
    <row r="18994" ht="15" customHeight="1">
      <c r="A18994" t="inlineStr">
        <is>
          <t>A 9704-2025</t>
        </is>
      </c>
      <c r="B18994" s="1" t="n">
        <v>45716</v>
      </c>
      <c r="C18994" s="1" t="n">
        <v>45810</v>
      </c>
      <c r="D18994" t="inlineStr">
        <is>
          <t>VÄRMLANDS LÄN</t>
        </is>
      </c>
      <c r="E18994" t="inlineStr">
        <is>
          <t>TORSBY</t>
        </is>
      </c>
      <c r="G18994" t="n">
        <v>1.7</v>
      </c>
      <c r="H18994" t="n">
        <v>0</v>
      </c>
      <c r="I18994" t="n">
        <v>0</v>
      </c>
      <c r="J18994" t="n">
        <v>0</v>
      </c>
      <c r="K18994" t="n">
        <v>0</v>
      </c>
      <c r="L18994" t="n">
        <v>0</v>
      </c>
      <c r="M18994" t="n">
        <v>0</v>
      </c>
      <c r="N18994" t="n">
        <v>0</v>
      </c>
      <c r="O18994" t="n">
        <v>0</v>
      </c>
      <c r="P18994" t="n">
        <v>0</v>
      </c>
      <c r="Q18994" t="n">
        <v>0</v>
      </c>
      <c r="R18994" s="2" t="inlineStr"/>
    </row>
    <row r="18995" ht="15" customHeight="1">
      <c r="A18995" t="inlineStr">
        <is>
          <t>A 9721-2025</t>
        </is>
      </c>
      <c r="B18995" s="1" t="n">
        <v>45716</v>
      </c>
      <c r="C18995" s="1" t="n">
        <v>45810</v>
      </c>
      <c r="D18995" t="inlineStr">
        <is>
          <t>VÄRMLANDS LÄN</t>
        </is>
      </c>
      <c r="E18995" t="inlineStr">
        <is>
          <t>ARVIKA</t>
        </is>
      </c>
      <c r="F18995" t="inlineStr">
        <is>
          <t>Bergvik skog väst AB</t>
        </is>
      </c>
      <c r="G18995" t="n">
        <v>0.9</v>
      </c>
      <c r="H18995" t="n">
        <v>0</v>
      </c>
      <c r="I18995" t="n">
        <v>0</v>
      </c>
      <c r="J18995" t="n">
        <v>0</v>
      </c>
      <c r="K18995" t="n">
        <v>0</v>
      </c>
      <c r="L18995" t="n">
        <v>0</v>
      </c>
      <c r="M18995" t="n">
        <v>0</v>
      </c>
      <c r="N18995" t="n">
        <v>0</v>
      </c>
      <c r="O18995" t="n">
        <v>0</v>
      </c>
      <c r="P18995" t="n">
        <v>0</v>
      </c>
      <c r="Q18995" t="n">
        <v>0</v>
      </c>
      <c r="R18995" s="2" t="inlineStr"/>
    </row>
    <row r="18996" ht="15" customHeight="1">
      <c r="A18996" t="inlineStr">
        <is>
          <t>A 9839-2025</t>
        </is>
      </c>
      <c r="B18996" s="1" t="n">
        <v>45716</v>
      </c>
      <c r="C18996" s="1" t="n">
        <v>45810</v>
      </c>
      <c r="D18996" t="inlineStr">
        <is>
          <t>VÄRMLANDS LÄN</t>
        </is>
      </c>
      <c r="E18996" t="inlineStr">
        <is>
          <t>FILIPSTAD</t>
        </is>
      </c>
      <c r="F18996" t="inlineStr">
        <is>
          <t>Kommuner</t>
        </is>
      </c>
      <c r="G18996" t="n">
        <v>29.5</v>
      </c>
      <c r="H18996" t="n">
        <v>0</v>
      </c>
      <c r="I18996" t="n">
        <v>0</v>
      </c>
      <c r="J18996" t="n">
        <v>0</v>
      </c>
      <c r="K18996" t="n">
        <v>0</v>
      </c>
      <c r="L18996" t="n">
        <v>0</v>
      </c>
      <c r="M18996" t="n">
        <v>0</v>
      </c>
      <c r="N18996" t="n">
        <v>0</v>
      </c>
      <c r="O18996" t="n">
        <v>0</v>
      </c>
      <c r="P18996" t="n">
        <v>0</v>
      </c>
      <c r="Q18996" t="n">
        <v>0</v>
      </c>
      <c r="R18996" s="2" t="inlineStr"/>
    </row>
    <row r="18997" ht="15" customHeight="1">
      <c r="A18997" t="inlineStr">
        <is>
          <t>A 9753-2025</t>
        </is>
      </c>
      <c r="B18997" s="1" t="n">
        <v>45716</v>
      </c>
      <c r="C18997" s="1" t="n">
        <v>45810</v>
      </c>
      <c r="D18997" t="inlineStr">
        <is>
          <t>VÄRMLANDS LÄN</t>
        </is>
      </c>
      <c r="E18997" t="inlineStr">
        <is>
          <t>SUNNE</t>
        </is>
      </c>
      <c r="G18997" t="n">
        <v>13</v>
      </c>
      <c r="H18997" t="n">
        <v>0</v>
      </c>
      <c r="I18997" t="n">
        <v>0</v>
      </c>
      <c r="J18997" t="n">
        <v>0</v>
      </c>
      <c r="K18997" t="n">
        <v>0</v>
      </c>
      <c r="L18997" t="n">
        <v>0</v>
      </c>
      <c r="M18997" t="n">
        <v>0</v>
      </c>
      <c r="N18997" t="n">
        <v>0</v>
      </c>
      <c r="O18997" t="n">
        <v>0</v>
      </c>
      <c r="P18997" t="n">
        <v>0</v>
      </c>
      <c r="Q18997" t="n">
        <v>0</v>
      </c>
      <c r="R18997" s="2" t="inlineStr"/>
    </row>
    <row r="18998" ht="15" customHeight="1">
      <c r="A18998" t="inlineStr">
        <is>
          <t>A 9757-2025</t>
        </is>
      </c>
      <c r="B18998" s="1" t="n">
        <v>45716</v>
      </c>
      <c r="C18998" s="1" t="n">
        <v>45810</v>
      </c>
      <c r="D18998" t="inlineStr">
        <is>
          <t>VÄRMLANDS LÄN</t>
        </is>
      </c>
      <c r="E18998" t="inlineStr">
        <is>
          <t>KRISTINEHAMN</t>
        </is>
      </c>
      <c r="G18998" t="n">
        <v>2.2</v>
      </c>
      <c r="H18998" t="n">
        <v>0</v>
      </c>
      <c r="I18998" t="n">
        <v>0</v>
      </c>
      <c r="J18998" t="n">
        <v>0</v>
      </c>
      <c r="K18998" t="n">
        <v>0</v>
      </c>
      <c r="L18998" t="n">
        <v>0</v>
      </c>
      <c r="M18998" t="n">
        <v>0</v>
      </c>
      <c r="N18998" t="n">
        <v>0</v>
      </c>
      <c r="O18998" t="n">
        <v>0</v>
      </c>
      <c r="P18998" t="n">
        <v>0</v>
      </c>
      <c r="Q18998" t="n">
        <v>0</v>
      </c>
      <c r="R18998" s="2" t="inlineStr"/>
    </row>
    <row r="18999" ht="15" customHeight="1">
      <c r="A18999" t="inlineStr">
        <is>
          <t>A 9777-2025</t>
        </is>
      </c>
      <c r="B18999" s="1" t="n">
        <v>45716</v>
      </c>
      <c r="C18999" s="1" t="n">
        <v>45810</v>
      </c>
      <c r="D18999" t="inlineStr">
        <is>
          <t>VÄRMLANDS LÄN</t>
        </is>
      </c>
      <c r="E18999" t="inlineStr">
        <is>
          <t>KARLSTAD</t>
        </is>
      </c>
      <c r="G18999" t="n">
        <v>2</v>
      </c>
      <c r="H18999" t="n">
        <v>0</v>
      </c>
      <c r="I18999" t="n">
        <v>0</v>
      </c>
      <c r="J18999" t="n">
        <v>0</v>
      </c>
      <c r="K18999" t="n">
        <v>0</v>
      </c>
      <c r="L18999" t="n">
        <v>0</v>
      </c>
      <c r="M18999" t="n">
        <v>0</v>
      </c>
      <c r="N18999" t="n">
        <v>0</v>
      </c>
      <c r="O18999" t="n">
        <v>0</v>
      </c>
      <c r="P18999" t="n">
        <v>0</v>
      </c>
      <c r="Q18999" t="n">
        <v>0</v>
      </c>
      <c r="R18999" s="2" t="inlineStr"/>
    </row>
    <row r="19000" ht="15" customHeight="1">
      <c r="A19000" t="inlineStr">
        <is>
          <t>A 9779-2025</t>
        </is>
      </c>
      <c r="B19000" s="1" t="n">
        <v>45716</v>
      </c>
      <c r="C19000" s="1" t="n">
        <v>45810</v>
      </c>
      <c r="D19000" t="inlineStr">
        <is>
          <t>VÄRMLANDS LÄN</t>
        </is>
      </c>
      <c r="E19000" t="inlineStr">
        <is>
          <t>MUNKFORS</t>
        </is>
      </c>
      <c r="G19000" t="n">
        <v>3.7</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10154-2025</t>
        </is>
      </c>
      <c r="B19001" s="1" t="n">
        <v>45719</v>
      </c>
      <c r="C19001" s="1" t="n">
        <v>45810</v>
      </c>
      <c r="D19001" t="inlineStr">
        <is>
          <t>VÄRMLANDS LÄN</t>
        </is>
      </c>
      <c r="E19001" t="inlineStr">
        <is>
          <t>EDA</t>
        </is>
      </c>
      <c r="G19001" t="n">
        <v>2.7</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10087-2025</t>
        </is>
      </c>
      <c r="B19002" s="1" t="n">
        <v>45719</v>
      </c>
      <c r="C19002" s="1" t="n">
        <v>45810</v>
      </c>
      <c r="D19002" t="inlineStr">
        <is>
          <t>VÄRMLANDS LÄN</t>
        </is>
      </c>
      <c r="E19002" t="inlineStr">
        <is>
          <t>SÄFFLE</t>
        </is>
      </c>
      <c r="G19002" t="n">
        <v>11.9</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10129-2025</t>
        </is>
      </c>
      <c r="B19003" s="1" t="n">
        <v>45719</v>
      </c>
      <c r="C19003" s="1" t="n">
        <v>45810</v>
      </c>
      <c r="D19003" t="inlineStr">
        <is>
          <t>VÄRMLANDS LÄN</t>
        </is>
      </c>
      <c r="E19003" t="inlineStr">
        <is>
          <t>ARVIKA</t>
        </is>
      </c>
      <c r="G19003" t="n">
        <v>6.1</v>
      </c>
      <c r="H19003" t="n">
        <v>0</v>
      </c>
      <c r="I19003" t="n">
        <v>0</v>
      </c>
      <c r="J19003" t="n">
        <v>0</v>
      </c>
      <c r="K19003" t="n">
        <v>0</v>
      </c>
      <c r="L19003" t="n">
        <v>0</v>
      </c>
      <c r="M19003" t="n">
        <v>0</v>
      </c>
      <c r="N19003" t="n">
        <v>0</v>
      </c>
      <c r="O19003" t="n">
        <v>0</v>
      </c>
      <c r="P19003" t="n">
        <v>0</v>
      </c>
      <c r="Q19003" t="n">
        <v>0</v>
      </c>
      <c r="R19003" s="2" t="inlineStr"/>
    </row>
    <row r="19004" ht="15" customHeight="1">
      <c r="A19004" t="inlineStr">
        <is>
          <t>A 9942-2025</t>
        </is>
      </c>
      <c r="B19004" s="1" t="n">
        <v>45719</v>
      </c>
      <c r="C19004" s="1" t="n">
        <v>45810</v>
      </c>
      <c r="D19004" t="inlineStr">
        <is>
          <t>VÄRMLANDS LÄN</t>
        </is>
      </c>
      <c r="E19004" t="inlineStr">
        <is>
          <t>TORSBY</t>
        </is>
      </c>
      <c r="G19004" t="n">
        <v>2.6</v>
      </c>
      <c r="H19004" t="n">
        <v>0</v>
      </c>
      <c r="I19004" t="n">
        <v>0</v>
      </c>
      <c r="J19004" t="n">
        <v>0</v>
      </c>
      <c r="K19004" t="n">
        <v>0</v>
      </c>
      <c r="L19004" t="n">
        <v>0</v>
      </c>
      <c r="M19004" t="n">
        <v>0</v>
      </c>
      <c r="N19004" t="n">
        <v>0</v>
      </c>
      <c r="O19004" t="n">
        <v>0</v>
      </c>
      <c r="P19004" t="n">
        <v>0</v>
      </c>
      <c r="Q19004" t="n">
        <v>0</v>
      </c>
      <c r="R19004" s="2" t="inlineStr"/>
    </row>
    <row r="19005" ht="15" customHeight="1">
      <c r="A19005" t="inlineStr">
        <is>
          <t>A 9990-2025</t>
        </is>
      </c>
      <c r="B19005" s="1" t="n">
        <v>45719</v>
      </c>
      <c r="C19005" s="1" t="n">
        <v>45810</v>
      </c>
      <c r="D19005" t="inlineStr">
        <is>
          <t>VÄRMLANDS LÄN</t>
        </is>
      </c>
      <c r="E19005" t="inlineStr">
        <is>
          <t>ÅRJÄNG</t>
        </is>
      </c>
      <c r="G19005" t="n">
        <v>1.2</v>
      </c>
      <c r="H19005" t="n">
        <v>0</v>
      </c>
      <c r="I19005" t="n">
        <v>0</v>
      </c>
      <c r="J19005" t="n">
        <v>0</v>
      </c>
      <c r="K19005" t="n">
        <v>0</v>
      </c>
      <c r="L19005" t="n">
        <v>0</v>
      </c>
      <c r="M19005" t="n">
        <v>0</v>
      </c>
      <c r="N19005" t="n">
        <v>0</v>
      </c>
      <c r="O19005" t="n">
        <v>0</v>
      </c>
      <c r="P19005" t="n">
        <v>0</v>
      </c>
      <c r="Q19005" t="n">
        <v>0</v>
      </c>
      <c r="R19005" s="2" t="inlineStr"/>
    </row>
    <row r="19006" ht="15" customHeight="1">
      <c r="A19006" t="inlineStr">
        <is>
          <t>A 9992-2025</t>
        </is>
      </c>
      <c r="B19006" s="1" t="n">
        <v>45719</v>
      </c>
      <c r="C19006" s="1" t="n">
        <v>45810</v>
      </c>
      <c r="D19006" t="inlineStr">
        <is>
          <t>VÄRMLANDS LÄN</t>
        </is>
      </c>
      <c r="E19006" t="inlineStr">
        <is>
          <t>ÅRJÄNG</t>
        </is>
      </c>
      <c r="G19006" t="n">
        <v>1.5</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10102-2025</t>
        </is>
      </c>
      <c r="B19007" s="1" t="n">
        <v>45719</v>
      </c>
      <c r="C19007" s="1" t="n">
        <v>45810</v>
      </c>
      <c r="D19007" t="inlineStr">
        <is>
          <t>VÄRMLANDS LÄN</t>
        </is>
      </c>
      <c r="E19007" t="inlineStr">
        <is>
          <t>SÄFFLE</t>
        </is>
      </c>
      <c r="G19007" t="n">
        <v>5.5</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10006-2025</t>
        </is>
      </c>
      <c r="B19008" s="1" t="n">
        <v>45719</v>
      </c>
      <c r="C19008" s="1" t="n">
        <v>45810</v>
      </c>
      <c r="D19008" t="inlineStr">
        <is>
          <t>VÄRMLANDS LÄN</t>
        </is>
      </c>
      <c r="E19008" t="inlineStr">
        <is>
          <t>TORSBY</t>
        </is>
      </c>
      <c r="G19008" t="n">
        <v>2</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10023-2025</t>
        </is>
      </c>
      <c r="B19009" s="1" t="n">
        <v>45719</v>
      </c>
      <c r="C19009" s="1" t="n">
        <v>45810</v>
      </c>
      <c r="D19009" t="inlineStr">
        <is>
          <t>VÄRMLANDS LÄN</t>
        </is>
      </c>
      <c r="E19009" t="inlineStr">
        <is>
          <t>TORSBY</t>
        </is>
      </c>
      <c r="F19009" t="inlineStr">
        <is>
          <t>Bergvik skog väst AB</t>
        </is>
      </c>
      <c r="G19009" t="n">
        <v>14.3</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10108-2025</t>
        </is>
      </c>
      <c r="B19010" s="1" t="n">
        <v>45719</v>
      </c>
      <c r="C19010" s="1" t="n">
        <v>45810</v>
      </c>
      <c r="D19010" t="inlineStr">
        <is>
          <t>VÄRMLANDS LÄN</t>
        </is>
      </c>
      <c r="E19010" t="inlineStr">
        <is>
          <t>TORSBY</t>
        </is>
      </c>
      <c r="F19010" t="inlineStr">
        <is>
          <t>Bergvik skog väst AB</t>
        </is>
      </c>
      <c r="G19010" t="n">
        <v>17.9</v>
      </c>
      <c r="H19010" t="n">
        <v>0</v>
      </c>
      <c r="I19010" t="n">
        <v>0</v>
      </c>
      <c r="J19010" t="n">
        <v>0</v>
      </c>
      <c r="K19010" t="n">
        <v>0</v>
      </c>
      <c r="L19010" t="n">
        <v>0</v>
      </c>
      <c r="M19010" t="n">
        <v>0</v>
      </c>
      <c r="N19010" t="n">
        <v>0</v>
      </c>
      <c r="O19010" t="n">
        <v>0</v>
      </c>
      <c r="P19010" t="n">
        <v>0</v>
      </c>
      <c r="Q19010" t="n">
        <v>0</v>
      </c>
      <c r="R19010" s="2" t="inlineStr"/>
    </row>
    <row r="19011" ht="15" customHeight="1">
      <c r="A19011" t="inlineStr">
        <is>
          <t>A 9998-2025</t>
        </is>
      </c>
      <c r="B19011" s="1" t="n">
        <v>45719</v>
      </c>
      <c r="C19011" s="1" t="n">
        <v>45810</v>
      </c>
      <c r="D19011" t="inlineStr">
        <is>
          <t>VÄRMLANDS LÄN</t>
        </is>
      </c>
      <c r="E19011" t="inlineStr">
        <is>
          <t>ARVIKA</t>
        </is>
      </c>
      <c r="G19011" t="n">
        <v>2</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10115-2025</t>
        </is>
      </c>
      <c r="B19012" s="1" t="n">
        <v>45719</v>
      </c>
      <c r="C19012" s="1" t="n">
        <v>45810</v>
      </c>
      <c r="D19012" t="inlineStr">
        <is>
          <t>VÄRMLANDS LÄN</t>
        </is>
      </c>
      <c r="E19012" t="inlineStr">
        <is>
          <t>SÄFFLE</t>
        </is>
      </c>
      <c r="G19012" t="n">
        <v>2</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10292-2025</t>
        </is>
      </c>
      <c r="B19013" s="1" t="n">
        <v>45720</v>
      </c>
      <c r="C19013" s="1" t="n">
        <v>45810</v>
      </c>
      <c r="D19013" t="inlineStr">
        <is>
          <t>VÄRMLANDS LÄN</t>
        </is>
      </c>
      <c r="E19013" t="inlineStr">
        <is>
          <t>TORSBY</t>
        </is>
      </c>
      <c r="G19013" t="n">
        <v>3.3</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10354-2025</t>
        </is>
      </c>
      <c r="B19014" s="1" t="n">
        <v>45720</v>
      </c>
      <c r="C19014" s="1" t="n">
        <v>45810</v>
      </c>
      <c r="D19014" t="inlineStr">
        <is>
          <t>VÄRMLANDS LÄN</t>
        </is>
      </c>
      <c r="E19014" t="inlineStr">
        <is>
          <t>SÄFFLE</t>
        </is>
      </c>
      <c r="F19014" t="inlineStr">
        <is>
          <t>Kyrkan</t>
        </is>
      </c>
      <c r="G19014" t="n">
        <v>1.5</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10382-2025</t>
        </is>
      </c>
      <c r="B19015" s="1" t="n">
        <v>45720</v>
      </c>
      <c r="C19015" s="1" t="n">
        <v>45810</v>
      </c>
      <c r="D19015" t="inlineStr">
        <is>
          <t>VÄRMLANDS LÄN</t>
        </is>
      </c>
      <c r="E19015" t="inlineStr">
        <is>
          <t>HAGFORS</t>
        </is>
      </c>
      <c r="G19015" t="n">
        <v>4.7</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10325-2025</t>
        </is>
      </c>
      <c r="B19016" s="1" t="n">
        <v>45720</v>
      </c>
      <c r="C19016" s="1" t="n">
        <v>45810</v>
      </c>
      <c r="D19016" t="inlineStr">
        <is>
          <t>VÄRMLANDS LÄN</t>
        </is>
      </c>
      <c r="E19016" t="inlineStr">
        <is>
          <t>FILIPSTAD</t>
        </is>
      </c>
      <c r="G19016" t="n">
        <v>2.2</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10342-2025</t>
        </is>
      </c>
      <c r="B19017" s="1" t="n">
        <v>45720</v>
      </c>
      <c r="C19017" s="1" t="n">
        <v>45810</v>
      </c>
      <c r="D19017" t="inlineStr">
        <is>
          <t>VÄRMLANDS LÄN</t>
        </is>
      </c>
      <c r="E19017" t="inlineStr">
        <is>
          <t>TORSBY</t>
        </is>
      </c>
      <c r="G19017" t="n">
        <v>2.3</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10256-2025</t>
        </is>
      </c>
      <c r="B19018" s="1" t="n">
        <v>45720</v>
      </c>
      <c r="C19018" s="1" t="n">
        <v>45810</v>
      </c>
      <c r="D19018" t="inlineStr">
        <is>
          <t>VÄRMLANDS LÄN</t>
        </is>
      </c>
      <c r="E19018" t="inlineStr">
        <is>
          <t>ARVIKA</t>
        </is>
      </c>
      <c r="G19018" t="n">
        <v>6.5</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10257-2025</t>
        </is>
      </c>
      <c r="B19019" s="1" t="n">
        <v>45720</v>
      </c>
      <c r="C19019" s="1" t="n">
        <v>45810</v>
      </c>
      <c r="D19019" t="inlineStr">
        <is>
          <t>VÄRMLANDS LÄN</t>
        </is>
      </c>
      <c r="E19019" t="inlineStr">
        <is>
          <t>SUNNE</t>
        </is>
      </c>
      <c r="G19019" t="n">
        <v>10.1</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10260-2025</t>
        </is>
      </c>
      <c r="B19020" s="1" t="n">
        <v>45720</v>
      </c>
      <c r="C19020" s="1" t="n">
        <v>45810</v>
      </c>
      <c r="D19020" t="inlineStr">
        <is>
          <t>VÄRMLANDS LÄN</t>
        </is>
      </c>
      <c r="E19020" t="inlineStr">
        <is>
          <t>KARLSTAD</t>
        </is>
      </c>
      <c r="G19020" t="n">
        <v>1.9</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10329-2025</t>
        </is>
      </c>
      <c r="B19021" s="1" t="n">
        <v>45720</v>
      </c>
      <c r="C19021" s="1" t="n">
        <v>45810</v>
      </c>
      <c r="D19021" t="inlineStr">
        <is>
          <t>VÄRMLANDS LÄN</t>
        </is>
      </c>
      <c r="E19021" t="inlineStr">
        <is>
          <t>TORSBY</t>
        </is>
      </c>
      <c r="G19021" t="n">
        <v>2.4</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10347-2025</t>
        </is>
      </c>
      <c r="B19022" s="1" t="n">
        <v>45720</v>
      </c>
      <c r="C19022" s="1" t="n">
        <v>45810</v>
      </c>
      <c r="D19022" t="inlineStr">
        <is>
          <t>VÄRMLANDS LÄN</t>
        </is>
      </c>
      <c r="E19022" t="inlineStr">
        <is>
          <t>SUNNE</t>
        </is>
      </c>
      <c r="G19022" t="n">
        <v>2.1</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10411-2025</t>
        </is>
      </c>
      <c r="B19023" s="1" t="n">
        <v>45720</v>
      </c>
      <c r="C19023" s="1" t="n">
        <v>45810</v>
      </c>
      <c r="D19023" t="inlineStr">
        <is>
          <t>VÄRMLANDS LÄN</t>
        </is>
      </c>
      <c r="E19023" t="inlineStr">
        <is>
          <t>ARVIKA</t>
        </is>
      </c>
      <c r="F19023" t="inlineStr">
        <is>
          <t>Bergvik skog väst AB</t>
        </is>
      </c>
      <c r="G19023" t="n">
        <v>0.8</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10338-2025</t>
        </is>
      </c>
      <c r="B19024" s="1" t="n">
        <v>45720</v>
      </c>
      <c r="C19024" s="1" t="n">
        <v>45810</v>
      </c>
      <c r="D19024" t="inlineStr">
        <is>
          <t>VÄRMLANDS LÄN</t>
        </is>
      </c>
      <c r="E19024" t="inlineStr">
        <is>
          <t>FILIPSTAD</t>
        </is>
      </c>
      <c r="F19024" t="inlineStr">
        <is>
          <t>Bergvik skog väst AB</t>
        </is>
      </c>
      <c r="G19024" t="n">
        <v>2.3</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10346-2025</t>
        </is>
      </c>
      <c r="B19025" s="1" t="n">
        <v>45720</v>
      </c>
      <c r="C19025" s="1" t="n">
        <v>45810</v>
      </c>
      <c r="D19025" t="inlineStr">
        <is>
          <t>VÄRMLANDS LÄN</t>
        </is>
      </c>
      <c r="E19025" t="inlineStr">
        <is>
          <t>SUNNE</t>
        </is>
      </c>
      <c r="G19025" t="n">
        <v>1.2</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10349-2025</t>
        </is>
      </c>
      <c r="B19026" s="1" t="n">
        <v>45720</v>
      </c>
      <c r="C19026" s="1" t="n">
        <v>45810</v>
      </c>
      <c r="D19026" t="inlineStr">
        <is>
          <t>VÄRMLANDS LÄN</t>
        </is>
      </c>
      <c r="E19026" t="inlineStr">
        <is>
          <t>SUNNE</t>
        </is>
      </c>
      <c r="G19026" t="n">
        <v>2.2</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10398-2025</t>
        </is>
      </c>
      <c r="B19027" s="1" t="n">
        <v>45720</v>
      </c>
      <c r="C19027" s="1" t="n">
        <v>45810</v>
      </c>
      <c r="D19027" t="inlineStr">
        <is>
          <t>VÄRMLANDS LÄN</t>
        </is>
      </c>
      <c r="E19027" t="inlineStr">
        <is>
          <t>KIL</t>
        </is>
      </c>
      <c r="G19027" t="n">
        <v>4.9</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10276-2025</t>
        </is>
      </c>
      <c r="B19028" s="1" t="n">
        <v>45720</v>
      </c>
      <c r="C19028" s="1" t="n">
        <v>45810</v>
      </c>
      <c r="D19028" t="inlineStr">
        <is>
          <t>VÄRMLANDS LÄN</t>
        </is>
      </c>
      <c r="E19028" t="inlineStr">
        <is>
          <t>ARVIKA</t>
        </is>
      </c>
      <c r="G19028" t="n">
        <v>2.9</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10259-2025</t>
        </is>
      </c>
      <c r="B19029" s="1" t="n">
        <v>45720</v>
      </c>
      <c r="C19029" s="1" t="n">
        <v>45810</v>
      </c>
      <c r="D19029" t="inlineStr">
        <is>
          <t>VÄRMLANDS LÄN</t>
        </is>
      </c>
      <c r="E19029" t="inlineStr">
        <is>
          <t>KARLSTAD</t>
        </is>
      </c>
      <c r="G19029" t="n">
        <v>1.4</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10261-2025</t>
        </is>
      </c>
      <c r="B19030" s="1" t="n">
        <v>45720</v>
      </c>
      <c r="C19030" s="1" t="n">
        <v>45810</v>
      </c>
      <c r="D19030" t="inlineStr">
        <is>
          <t>VÄRMLANDS LÄN</t>
        </is>
      </c>
      <c r="E19030" t="inlineStr">
        <is>
          <t>SUNNE</t>
        </is>
      </c>
      <c r="G19030" t="n">
        <v>5.1</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10321-2025</t>
        </is>
      </c>
      <c r="B19031" s="1" t="n">
        <v>45720</v>
      </c>
      <c r="C19031" s="1" t="n">
        <v>45810</v>
      </c>
      <c r="D19031" t="inlineStr">
        <is>
          <t>VÄRMLANDS LÄN</t>
        </is>
      </c>
      <c r="E19031" t="inlineStr">
        <is>
          <t>ÅRJÄNG</t>
        </is>
      </c>
      <c r="G19031" t="n">
        <v>3.4</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10348-2025</t>
        </is>
      </c>
      <c r="B19032" s="1" t="n">
        <v>45720</v>
      </c>
      <c r="C19032" s="1" t="n">
        <v>45810</v>
      </c>
      <c r="D19032" t="inlineStr">
        <is>
          <t>VÄRMLANDS LÄN</t>
        </is>
      </c>
      <c r="E19032" t="inlineStr">
        <is>
          <t>HAGFORS</t>
        </is>
      </c>
      <c r="G19032" t="n">
        <v>2.5</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10350-2025</t>
        </is>
      </c>
      <c r="B19033" s="1" t="n">
        <v>45720</v>
      </c>
      <c r="C19033" s="1" t="n">
        <v>45810</v>
      </c>
      <c r="D19033" t="inlineStr">
        <is>
          <t>VÄRMLANDS LÄN</t>
        </is>
      </c>
      <c r="E19033" t="inlineStr">
        <is>
          <t>SÄFFLE</t>
        </is>
      </c>
      <c r="F19033" t="inlineStr">
        <is>
          <t>Kyrkan</t>
        </is>
      </c>
      <c r="G19033" t="n">
        <v>1</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10264-2025</t>
        </is>
      </c>
      <c r="B19034" s="1" t="n">
        <v>45720</v>
      </c>
      <c r="C19034" s="1" t="n">
        <v>45810</v>
      </c>
      <c r="D19034" t="inlineStr">
        <is>
          <t>VÄRMLANDS LÄN</t>
        </is>
      </c>
      <c r="E19034" t="inlineStr">
        <is>
          <t>KARLSTAD</t>
        </is>
      </c>
      <c r="G19034" t="n">
        <v>0.8</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10404-2025</t>
        </is>
      </c>
      <c r="B19035" s="1" t="n">
        <v>45720</v>
      </c>
      <c r="C19035" s="1" t="n">
        <v>45810</v>
      </c>
      <c r="D19035" t="inlineStr">
        <is>
          <t>VÄRMLANDS LÄN</t>
        </is>
      </c>
      <c r="E19035" t="inlineStr">
        <is>
          <t>ARVIKA</t>
        </is>
      </c>
      <c r="F19035" t="inlineStr">
        <is>
          <t>Bergvik skog väst AB</t>
        </is>
      </c>
      <c r="G19035" t="n">
        <v>1.3</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10316-2025</t>
        </is>
      </c>
      <c r="B19036" s="1" t="n">
        <v>45720</v>
      </c>
      <c r="C19036" s="1" t="n">
        <v>45810</v>
      </c>
      <c r="D19036" t="inlineStr">
        <is>
          <t>VÄRMLANDS LÄN</t>
        </is>
      </c>
      <c r="E19036" t="inlineStr">
        <is>
          <t>ARVIKA</t>
        </is>
      </c>
      <c r="G19036" t="n">
        <v>7.5</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10288-2025</t>
        </is>
      </c>
      <c r="B19037" s="1" t="n">
        <v>45720</v>
      </c>
      <c r="C19037" s="1" t="n">
        <v>45810</v>
      </c>
      <c r="D19037" t="inlineStr">
        <is>
          <t>VÄRMLANDS LÄN</t>
        </is>
      </c>
      <c r="E19037" t="inlineStr">
        <is>
          <t>TORSBY</t>
        </is>
      </c>
      <c r="G19037" t="n">
        <v>3</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10456-2025</t>
        </is>
      </c>
      <c r="B19038" s="1" t="n">
        <v>45720</v>
      </c>
      <c r="C19038" s="1" t="n">
        <v>45810</v>
      </c>
      <c r="D19038" t="inlineStr">
        <is>
          <t>VÄRMLANDS LÄN</t>
        </is>
      </c>
      <c r="E19038" t="inlineStr">
        <is>
          <t>TORSBY</t>
        </is>
      </c>
      <c r="G19038" t="n">
        <v>3.6</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10249-2025</t>
        </is>
      </c>
      <c r="B19039" s="1" t="n">
        <v>45720</v>
      </c>
      <c r="C19039" s="1" t="n">
        <v>45810</v>
      </c>
      <c r="D19039" t="inlineStr">
        <is>
          <t>VÄRMLANDS LÄN</t>
        </is>
      </c>
      <c r="E19039" t="inlineStr">
        <is>
          <t>ARVIKA</t>
        </is>
      </c>
      <c r="G19039" t="n">
        <v>8.800000000000001</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10473-2025</t>
        </is>
      </c>
      <c r="B19040" s="1" t="n">
        <v>45720</v>
      </c>
      <c r="C19040" s="1" t="n">
        <v>45810</v>
      </c>
      <c r="D19040" t="inlineStr">
        <is>
          <t>VÄRMLANDS LÄN</t>
        </is>
      </c>
      <c r="E19040" t="inlineStr">
        <is>
          <t>SÄFFLE</t>
        </is>
      </c>
      <c r="F19040" t="inlineStr">
        <is>
          <t>Kyrkan</t>
        </is>
      </c>
      <c r="G19040" t="n">
        <v>2.8</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10475-2025</t>
        </is>
      </c>
      <c r="B19041" s="1" t="n">
        <v>45720</v>
      </c>
      <c r="C19041" s="1" t="n">
        <v>45810</v>
      </c>
      <c r="D19041" t="inlineStr">
        <is>
          <t>VÄRMLANDS LÄN</t>
        </is>
      </c>
      <c r="E19041" t="inlineStr">
        <is>
          <t>ARVIKA</t>
        </is>
      </c>
      <c r="F19041" t="inlineStr">
        <is>
          <t>Kyrkan</t>
        </is>
      </c>
      <c r="G19041" t="n">
        <v>4.1</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10476-2025</t>
        </is>
      </c>
      <c r="B19042" s="1" t="n">
        <v>45720</v>
      </c>
      <c r="C19042" s="1" t="n">
        <v>45810</v>
      </c>
      <c r="D19042" t="inlineStr">
        <is>
          <t>VÄRMLANDS LÄN</t>
        </is>
      </c>
      <c r="E19042" t="inlineStr">
        <is>
          <t>KIL</t>
        </is>
      </c>
      <c r="F19042" t="inlineStr">
        <is>
          <t>Kyrkan</t>
        </is>
      </c>
      <c r="G19042" t="n">
        <v>1.6</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10297-2025</t>
        </is>
      </c>
      <c r="B19043" s="1" t="n">
        <v>45720</v>
      </c>
      <c r="C19043" s="1" t="n">
        <v>45810</v>
      </c>
      <c r="D19043" t="inlineStr">
        <is>
          <t>VÄRMLANDS LÄN</t>
        </is>
      </c>
      <c r="E19043" t="inlineStr">
        <is>
          <t>HAGFORS</t>
        </is>
      </c>
      <c r="G19043" t="n">
        <v>4</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10306-2025</t>
        </is>
      </c>
      <c r="B19044" s="1" t="n">
        <v>45720</v>
      </c>
      <c r="C19044" s="1" t="n">
        <v>45810</v>
      </c>
      <c r="D19044" t="inlineStr">
        <is>
          <t>VÄRMLANDS LÄN</t>
        </is>
      </c>
      <c r="E19044" t="inlineStr">
        <is>
          <t>FILIPSTAD</t>
        </is>
      </c>
      <c r="F19044" t="inlineStr">
        <is>
          <t>Bergvik skog väst AB</t>
        </is>
      </c>
      <c r="G19044" t="n">
        <v>3.1</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10343-2025</t>
        </is>
      </c>
      <c r="B19045" s="1" t="n">
        <v>45720</v>
      </c>
      <c r="C19045" s="1" t="n">
        <v>45810</v>
      </c>
      <c r="D19045" t="inlineStr">
        <is>
          <t>VÄRMLANDS LÄN</t>
        </is>
      </c>
      <c r="E19045" t="inlineStr">
        <is>
          <t>TORSBY</t>
        </is>
      </c>
      <c r="G19045" t="n">
        <v>3.1</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10481-2025</t>
        </is>
      </c>
      <c r="B19046" s="1" t="n">
        <v>45721</v>
      </c>
      <c r="C19046" s="1" t="n">
        <v>45810</v>
      </c>
      <c r="D19046" t="inlineStr">
        <is>
          <t>VÄRMLANDS LÄN</t>
        </is>
      </c>
      <c r="E19046" t="inlineStr">
        <is>
          <t>SUNNE</t>
        </is>
      </c>
      <c r="G19046" t="n">
        <v>0.6</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10625-2025</t>
        </is>
      </c>
      <c r="B19047" s="1" t="n">
        <v>45721</v>
      </c>
      <c r="C19047" s="1" t="n">
        <v>45810</v>
      </c>
      <c r="D19047" t="inlineStr">
        <is>
          <t>VÄRMLANDS LÄN</t>
        </is>
      </c>
      <c r="E19047" t="inlineStr">
        <is>
          <t>ÅRJÄNG</t>
        </is>
      </c>
      <c r="G19047" t="n">
        <v>1.1</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10627-2025</t>
        </is>
      </c>
      <c r="B19048" s="1" t="n">
        <v>45721</v>
      </c>
      <c r="C19048" s="1" t="n">
        <v>45810</v>
      </c>
      <c r="D19048" t="inlineStr">
        <is>
          <t>VÄRMLANDS LÄN</t>
        </is>
      </c>
      <c r="E19048" t="inlineStr">
        <is>
          <t>ÅRJÄNG</t>
        </is>
      </c>
      <c r="G19048" t="n">
        <v>1.3</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10484-2025</t>
        </is>
      </c>
      <c r="B19049" s="1" t="n">
        <v>45721</v>
      </c>
      <c r="C19049" s="1" t="n">
        <v>45810</v>
      </c>
      <c r="D19049" t="inlineStr">
        <is>
          <t>VÄRMLANDS LÄN</t>
        </is>
      </c>
      <c r="E19049" t="inlineStr">
        <is>
          <t>ARVIKA</t>
        </is>
      </c>
      <c r="G19049" t="n">
        <v>0.7</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10597-2025</t>
        </is>
      </c>
      <c r="B19050" s="1" t="n">
        <v>45721</v>
      </c>
      <c r="C19050" s="1" t="n">
        <v>45810</v>
      </c>
      <c r="D19050" t="inlineStr">
        <is>
          <t>VÄRMLANDS LÄN</t>
        </is>
      </c>
      <c r="E19050" t="inlineStr">
        <is>
          <t>SÄFFLE</t>
        </is>
      </c>
      <c r="G19050" t="n">
        <v>1.8</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10650-2025</t>
        </is>
      </c>
      <c r="B19051" s="1" t="n">
        <v>45721</v>
      </c>
      <c r="C19051" s="1" t="n">
        <v>45810</v>
      </c>
      <c r="D19051" t="inlineStr">
        <is>
          <t>VÄRMLANDS LÄN</t>
        </is>
      </c>
      <c r="E19051" t="inlineStr">
        <is>
          <t>KARLSTAD</t>
        </is>
      </c>
      <c r="G19051" t="n">
        <v>1.1</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10651-2025</t>
        </is>
      </c>
      <c r="B19052" s="1" t="n">
        <v>45721</v>
      </c>
      <c r="C19052" s="1" t="n">
        <v>45810</v>
      </c>
      <c r="D19052" t="inlineStr">
        <is>
          <t>VÄRMLANDS LÄN</t>
        </is>
      </c>
      <c r="E19052" t="inlineStr">
        <is>
          <t>KARLSTAD</t>
        </is>
      </c>
      <c r="G19052" t="n">
        <v>1.1</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10675-2025</t>
        </is>
      </c>
      <c r="B19053" s="1" t="n">
        <v>45721</v>
      </c>
      <c r="C19053" s="1" t="n">
        <v>45810</v>
      </c>
      <c r="D19053" t="inlineStr">
        <is>
          <t>VÄRMLANDS LÄN</t>
        </is>
      </c>
      <c r="E19053" t="inlineStr">
        <is>
          <t>SUNNE</t>
        </is>
      </c>
      <c r="G19053" t="n">
        <v>0.7</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10572-2025</t>
        </is>
      </c>
      <c r="B19054" s="1" t="n">
        <v>45721</v>
      </c>
      <c r="C19054" s="1" t="n">
        <v>45810</v>
      </c>
      <c r="D19054" t="inlineStr">
        <is>
          <t>VÄRMLANDS LÄN</t>
        </is>
      </c>
      <c r="E19054" t="inlineStr">
        <is>
          <t>ARVIKA</t>
        </is>
      </c>
      <c r="F19054" t="inlineStr">
        <is>
          <t>Bergvik skog väst AB</t>
        </is>
      </c>
      <c r="G19054" t="n">
        <v>3.7</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10512-2025</t>
        </is>
      </c>
      <c r="B19055" s="1" t="n">
        <v>45721</v>
      </c>
      <c r="C19055" s="1" t="n">
        <v>45810</v>
      </c>
      <c r="D19055" t="inlineStr">
        <is>
          <t>VÄRMLANDS LÄN</t>
        </is>
      </c>
      <c r="E19055" t="inlineStr">
        <is>
          <t>KARLSTAD</t>
        </is>
      </c>
      <c r="G19055" t="n">
        <v>1.8</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10589-2025</t>
        </is>
      </c>
      <c r="B19056" s="1" t="n">
        <v>45721</v>
      </c>
      <c r="C19056" s="1" t="n">
        <v>45810</v>
      </c>
      <c r="D19056" t="inlineStr">
        <is>
          <t>VÄRMLANDS LÄN</t>
        </is>
      </c>
      <c r="E19056" t="inlineStr">
        <is>
          <t>EDA</t>
        </is>
      </c>
      <c r="G19056" t="n">
        <v>4.4</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10599-2025</t>
        </is>
      </c>
      <c r="B19057" s="1" t="n">
        <v>45721</v>
      </c>
      <c r="C19057" s="1" t="n">
        <v>45810</v>
      </c>
      <c r="D19057" t="inlineStr">
        <is>
          <t>VÄRMLANDS LÄN</t>
        </is>
      </c>
      <c r="E19057" t="inlineStr">
        <is>
          <t>ARVIKA</t>
        </is>
      </c>
      <c r="F19057" t="inlineStr">
        <is>
          <t>Bergvik skog väst AB</t>
        </is>
      </c>
      <c r="G19057" t="n">
        <v>4</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10574-2025</t>
        </is>
      </c>
      <c r="B19058" s="1" t="n">
        <v>45721</v>
      </c>
      <c r="C19058" s="1" t="n">
        <v>45810</v>
      </c>
      <c r="D19058" t="inlineStr">
        <is>
          <t>VÄRMLANDS LÄN</t>
        </is>
      </c>
      <c r="E19058" t="inlineStr">
        <is>
          <t>ARVIKA</t>
        </is>
      </c>
      <c r="F19058" t="inlineStr">
        <is>
          <t>Bergvik skog väst AB</t>
        </is>
      </c>
      <c r="G19058" t="n">
        <v>0.6</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10615-2025</t>
        </is>
      </c>
      <c r="B19059" s="1" t="n">
        <v>45721</v>
      </c>
      <c r="C19059" s="1" t="n">
        <v>45810</v>
      </c>
      <c r="D19059" t="inlineStr">
        <is>
          <t>VÄRMLANDS LÄN</t>
        </is>
      </c>
      <c r="E19059" t="inlineStr">
        <is>
          <t>SUNNE</t>
        </is>
      </c>
      <c r="G19059" t="n">
        <v>4.4</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10648-2025</t>
        </is>
      </c>
      <c r="B19060" s="1" t="n">
        <v>45721</v>
      </c>
      <c r="C19060" s="1" t="n">
        <v>45810</v>
      </c>
      <c r="D19060" t="inlineStr">
        <is>
          <t>VÄRMLANDS LÄN</t>
        </is>
      </c>
      <c r="E19060" t="inlineStr">
        <is>
          <t>ARVIKA</t>
        </is>
      </c>
      <c r="G19060" t="n">
        <v>2.1</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10602-2025</t>
        </is>
      </c>
      <c r="B19061" s="1" t="n">
        <v>45721</v>
      </c>
      <c r="C19061" s="1" t="n">
        <v>45810</v>
      </c>
      <c r="D19061" t="inlineStr">
        <is>
          <t>VÄRMLANDS LÄN</t>
        </is>
      </c>
      <c r="E19061" t="inlineStr">
        <is>
          <t>EDA</t>
        </is>
      </c>
      <c r="G19061" t="n">
        <v>1.8</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10548-2025</t>
        </is>
      </c>
      <c r="B19062" s="1" t="n">
        <v>45721</v>
      </c>
      <c r="C19062" s="1" t="n">
        <v>45810</v>
      </c>
      <c r="D19062" t="inlineStr">
        <is>
          <t>VÄRMLANDS LÄN</t>
        </is>
      </c>
      <c r="E19062" t="inlineStr">
        <is>
          <t>SUNNE</t>
        </is>
      </c>
      <c r="G19062" t="n">
        <v>0.9</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10631-2025</t>
        </is>
      </c>
      <c r="B19063" s="1" t="n">
        <v>45721</v>
      </c>
      <c r="C19063" s="1" t="n">
        <v>45810</v>
      </c>
      <c r="D19063" t="inlineStr">
        <is>
          <t>VÄRMLANDS LÄN</t>
        </is>
      </c>
      <c r="E19063" t="inlineStr">
        <is>
          <t>EDA</t>
        </is>
      </c>
      <c r="G19063" t="n">
        <v>1.5</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10816-2025</t>
        </is>
      </c>
      <c r="B19064" s="1" t="n">
        <v>45722</v>
      </c>
      <c r="C19064" s="1" t="n">
        <v>45810</v>
      </c>
      <c r="D19064" t="inlineStr">
        <is>
          <t>VÄRMLANDS LÄN</t>
        </is>
      </c>
      <c r="E19064" t="inlineStr">
        <is>
          <t>TORSBY</t>
        </is>
      </c>
      <c r="G19064" t="n">
        <v>1.8</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10759-2025</t>
        </is>
      </c>
      <c r="B19065" s="1" t="n">
        <v>45722</v>
      </c>
      <c r="C19065" s="1" t="n">
        <v>45810</v>
      </c>
      <c r="D19065" t="inlineStr">
        <is>
          <t>VÄRMLANDS LÄN</t>
        </is>
      </c>
      <c r="E19065" t="inlineStr">
        <is>
          <t>HAGFORS</t>
        </is>
      </c>
      <c r="G19065" t="n">
        <v>1.5</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10915-2025</t>
        </is>
      </c>
      <c r="B19066" s="1" t="n">
        <v>45722</v>
      </c>
      <c r="C19066" s="1" t="n">
        <v>45810</v>
      </c>
      <c r="D19066" t="inlineStr">
        <is>
          <t>VÄRMLANDS LÄN</t>
        </is>
      </c>
      <c r="E19066" t="inlineStr">
        <is>
          <t>SÄFFLE</t>
        </is>
      </c>
      <c r="G19066" t="n">
        <v>1.6</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10917-2025</t>
        </is>
      </c>
      <c r="B19067" s="1" t="n">
        <v>45722</v>
      </c>
      <c r="C19067" s="1" t="n">
        <v>45810</v>
      </c>
      <c r="D19067" t="inlineStr">
        <is>
          <t>VÄRMLANDS LÄN</t>
        </is>
      </c>
      <c r="E19067" t="inlineStr">
        <is>
          <t>TORSBY</t>
        </is>
      </c>
      <c r="G19067" t="n">
        <v>2.1</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10793-2025</t>
        </is>
      </c>
      <c r="B19068" s="1" t="n">
        <v>45722</v>
      </c>
      <c r="C19068" s="1" t="n">
        <v>45810</v>
      </c>
      <c r="D19068" t="inlineStr">
        <is>
          <t>VÄRMLANDS LÄN</t>
        </is>
      </c>
      <c r="E19068" t="inlineStr">
        <is>
          <t>HAMMARÖ</t>
        </is>
      </c>
      <c r="G19068" t="n">
        <v>0.5</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10733-2025</t>
        </is>
      </c>
      <c r="B19069" s="1" t="n">
        <v>45722</v>
      </c>
      <c r="C19069" s="1" t="n">
        <v>45810</v>
      </c>
      <c r="D19069" t="inlineStr">
        <is>
          <t>VÄRMLANDS LÄN</t>
        </is>
      </c>
      <c r="E19069" t="inlineStr">
        <is>
          <t>EDA</t>
        </is>
      </c>
      <c r="G19069" t="n">
        <v>2</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10757-2025</t>
        </is>
      </c>
      <c r="B19070" s="1" t="n">
        <v>45722</v>
      </c>
      <c r="C19070" s="1" t="n">
        <v>45810</v>
      </c>
      <c r="D19070" t="inlineStr">
        <is>
          <t>VÄRMLANDS LÄN</t>
        </is>
      </c>
      <c r="E19070" t="inlineStr">
        <is>
          <t>FILIPSTAD</t>
        </is>
      </c>
      <c r="G19070" t="n">
        <v>10.6</v>
      </c>
      <c r="H19070" t="n">
        <v>0</v>
      </c>
      <c r="I19070" t="n">
        <v>0</v>
      </c>
      <c r="J19070" t="n">
        <v>0</v>
      </c>
      <c r="K19070" t="n">
        <v>0</v>
      </c>
      <c r="L19070" t="n">
        <v>0</v>
      </c>
      <c r="M19070" t="n">
        <v>0</v>
      </c>
      <c r="N19070" t="n">
        <v>0</v>
      </c>
      <c r="O19070" t="n">
        <v>0</v>
      </c>
      <c r="P19070" t="n">
        <v>0</v>
      </c>
      <c r="Q19070" t="n">
        <v>0</v>
      </c>
      <c r="R19070" s="2" t="inlineStr"/>
      <c r="U19070">
        <f>HYPERLINK("https://klasma.github.io/Logging_171782/knärot/A 10757-2025 karta knärot.png", "A 10757-2025")</f>
        <v/>
      </c>
      <c r="V19070">
        <f>HYPERLINK("https://klasma.github.io/Logging_171782/klagomål/A 10757-2025 FSC-klagomål.docx", "A 10757-2025")</f>
        <v/>
      </c>
      <c r="W19070">
        <f>HYPERLINK("https://klasma.github.io/Logging_171782/klagomålsmail/A 10757-2025 FSC-klagomål mail.docx", "A 10757-2025")</f>
        <v/>
      </c>
      <c r="X19070">
        <f>HYPERLINK("https://klasma.github.io/Logging_171782/tillsyn/A 10757-2025 tillsynsbegäran.docx", "A 10757-2025")</f>
        <v/>
      </c>
      <c r="Y19070">
        <f>HYPERLINK("https://klasma.github.io/Logging_171782/tillsynsmail/A 10757-2025 tillsynsbegäran mail.docx", "A 10757-2025")</f>
        <v/>
      </c>
    </row>
    <row r="19071" ht="15" customHeight="1">
      <c r="A19071" t="inlineStr">
        <is>
          <t>A 10979-2025</t>
        </is>
      </c>
      <c r="B19071" s="1" t="n">
        <v>45723</v>
      </c>
      <c r="C19071" s="1" t="n">
        <v>45810</v>
      </c>
      <c r="D19071" t="inlineStr">
        <is>
          <t>VÄRMLANDS LÄN</t>
        </is>
      </c>
      <c r="E19071" t="inlineStr">
        <is>
          <t>TORSBY</t>
        </is>
      </c>
      <c r="G19071" t="n">
        <v>5.2</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10939-2025</t>
        </is>
      </c>
      <c r="B19072" s="1" t="n">
        <v>45723</v>
      </c>
      <c r="C19072" s="1" t="n">
        <v>45810</v>
      </c>
      <c r="D19072" t="inlineStr">
        <is>
          <t>VÄRMLANDS LÄN</t>
        </is>
      </c>
      <c r="E19072" t="inlineStr">
        <is>
          <t>KARLSTAD</t>
        </is>
      </c>
      <c r="G19072" t="n">
        <v>1.2</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10990-2025</t>
        </is>
      </c>
      <c r="B19073" s="1" t="n">
        <v>45723</v>
      </c>
      <c r="C19073" s="1" t="n">
        <v>45810</v>
      </c>
      <c r="D19073" t="inlineStr">
        <is>
          <t>VÄRMLANDS LÄN</t>
        </is>
      </c>
      <c r="E19073" t="inlineStr">
        <is>
          <t>SÄFFLE</t>
        </is>
      </c>
      <c r="G19073" t="n">
        <v>1</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11152-2025</t>
        </is>
      </c>
      <c r="B19074" s="1" t="n">
        <v>45723</v>
      </c>
      <c r="C19074" s="1" t="n">
        <v>45810</v>
      </c>
      <c r="D19074" t="inlineStr">
        <is>
          <t>VÄRMLANDS LÄN</t>
        </is>
      </c>
      <c r="E19074" t="inlineStr">
        <is>
          <t>SUNNE</t>
        </is>
      </c>
      <c r="G19074" t="n">
        <v>1.8</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11095-2025</t>
        </is>
      </c>
      <c r="B19075" s="1" t="n">
        <v>45723</v>
      </c>
      <c r="C19075" s="1" t="n">
        <v>45810</v>
      </c>
      <c r="D19075" t="inlineStr">
        <is>
          <t>VÄRMLANDS LÄN</t>
        </is>
      </c>
      <c r="E19075" t="inlineStr">
        <is>
          <t>EDA</t>
        </is>
      </c>
      <c r="G19075" t="n">
        <v>4.8</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11079-2025</t>
        </is>
      </c>
      <c r="B19076" s="1" t="n">
        <v>45723</v>
      </c>
      <c r="C19076" s="1" t="n">
        <v>45810</v>
      </c>
      <c r="D19076" t="inlineStr">
        <is>
          <t>VÄRMLANDS LÄN</t>
        </is>
      </c>
      <c r="E19076" t="inlineStr">
        <is>
          <t>EDA</t>
        </is>
      </c>
      <c r="G19076" t="n">
        <v>4.5</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10931-2025</t>
        </is>
      </c>
      <c r="B19077" s="1" t="n">
        <v>45723</v>
      </c>
      <c r="C19077" s="1" t="n">
        <v>45810</v>
      </c>
      <c r="D19077" t="inlineStr">
        <is>
          <t>VÄRMLANDS LÄN</t>
        </is>
      </c>
      <c r="E19077" t="inlineStr">
        <is>
          <t>KARLSTAD</t>
        </is>
      </c>
      <c r="G19077" t="n">
        <v>0.3</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11137-2025</t>
        </is>
      </c>
      <c r="B19078" s="1" t="n">
        <v>45723</v>
      </c>
      <c r="C19078" s="1" t="n">
        <v>45810</v>
      </c>
      <c r="D19078" t="inlineStr">
        <is>
          <t>VÄRMLANDS LÄN</t>
        </is>
      </c>
      <c r="E19078" t="inlineStr">
        <is>
          <t>FILIPSTAD</t>
        </is>
      </c>
      <c r="F19078" t="inlineStr">
        <is>
          <t>Bergvik skog väst AB</t>
        </is>
      </c>
      <c r="G19078" t="n">
        <v>5.2</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10932-2025</t>
        </is>
      </c>
      <c r="B19079" s="1" t="n">
        <v>45723</v>
      </c>
      <c r="C19079" s="1" t="n">
        <v>45810</v>
      </c>
      <c r="D19079" t="inlineStr">
        <is>
          <t>VÄRMLANDS LÄN</t>
        </is>
      </c>
      <c r="E19079" t="inlineStr">
        <is>
          <t>KARLSTAD</t>
        </is>
      </c>
      <c r="G19079" t="n">
        <v>0.6</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11068-2025</t>
        </is>
      </c>
      <c r="B19080" s="1" t="n">
        <v>45723</v>
      </c>
      <c r="C19080" s="1" t="n">
        <v>45810</v>
      </c>
      <c r="D19080" t="inlineStr">
        <is>
          <t>VÄRMLANDS LÄN</t>
        </is>
      </c>
      <c r="E19080" t="inlineStr">
        <is>
          <t>FILIPSTAD</t>
        </is>
      </c>
      <c r="F19080" t="inlineStr">
        <is>
          <t>Bergvik skog väst AB</t>
        </is>
      </c>
      <c r="G19080" t="n">
        <v>2</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11102-2025</t>
        </is>
      </c>
      <c r="B19081" s="1" t="n">
        <v>45723</v>
      </c>
      <c r="C19081" s="1" t="n">
        <v>45810</v>
      </c>
      <c r="D19081" t="inlineStr">
        <is>
          <t>VÄRMLANDS LÄN</t>
        </is>
      </c>
      <c r="E19081" t="inlineStr">
        <is>
          <t>EDA</t>
        </is>
      </c>
      <c r="G19081" t="n">
        <v>16.5</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11160-2025</t>
        </is>
      </c>
      <c r="B19082" s="1" t="n">
        <v>45723</v>
      </c>
      <c r="C19082" s="1" t="n">
        <v>45810</v>
      </c>
      <c r="D19082" t="inlineStr">
        <is>
          <t>VÄRMLANDS LÄN</t>
        </is>
      </c>
      <c r="E19082" t="inlineStr">
        <is>
          <t>HAGFORS</t>
        </is>
      </c>
      <c r="G19082" t="n">
        <v>1.2</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11162-2025</t>
        </is>
      </c>
      <c r="B19083" s="1" t="n">
        <v>45723</v>
      </c>
      <c r="C19083" s="1" t="n">
        <v>45810</v>
      </c>
      <c r="D19083" t="inlineStr">
        <is>
          <t>VÄRMLANDS LÄN</t>
        </is>
      </c>
      <c r="E19083" t="inlineStr">
        <is>
          <t>SÄFFLE</t>
        </is>
      </c>
      <c r="G19083" t="n">
        <v>2.2</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11020-2025</t>
        </is>
      </c>
      <c r="B19084" s="1" t="n">
        <v>45723</v>
      </c>
      <c r="C19084" s="1" t="n">
        <v>45810</v>
      </c>
      <c r="D19084" t="inlineStr">
        <is>
          <t>VÄRMLANDS LÄN</t>
        </is>
      </c>
      <c r="E19084" t="inlineStr">
        <is>
          <t>SÄFFLE</t>
        </is>
      </c>
      <c r="G19084" t="n">
        <v>1.6</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10996-2025</t>
        </is>
      </c>
      <c r="B19085" s="1" t="n">
        <v>45723</v>
      </c>
      <c r="C19085" s="1" t="n">
        <v>45810</v>
      </c>
      <c r="D19085" t="inlineStr">
        <is>
          <t>VÄRMLANDS LÄN</t>
        </is>
      </c>
      <c r="E19085" t="inlineStr">
        <is>
          <t>FORSHAGA</t>
        </is>
      </c>
      <c r="G19085" t="n">
        <v>0.5</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10989-2025</t>
        </is>
      </c>
      <c r="B19086" s="1" t="n">
        <v>45723</v>
      </c>
      <c r="C19086" s="1" t="n">
        <v>45810</v>
      </c>
      <c r="D19086" t="inlineStr">
        <is>
          <t>VÄRMLANDS LÄN</t>
        </is>
      </c>
      <c r="E19086" t="inlineStr">
        <is>
          <t>FORSHAGA</t>
        </is>
      </c>
      <c r="G19086" t="n">
        <v>0.8</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10942-2025</t>
        </is>
      </c>
      <c r="B19087" s="1" t="n">
        <v>45723</v>
      </c>
      <c r="C19087" s="1" t="n">
        <v>45810</v>
      </c>
      <c r="D19087" t="inlineStr">
        <is>
          <t>VÄRMLANDS LÄN</t>
        </is>
      </c>
      <c r="E19087" t="inlineStr">
        <is>
          <t>KARLSTAD</t>
        </is>
      </c>
      <c r="G19087" t="n">
        <v>1.1</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11183-2025</t>
        </is>
      </c>
      <c r="B19088" s="1" t="n">
        <v>45725</v>
      </c>
      <c r="C19088" s="1" t="n">
        <v>45810</v>
      </c>
      <c r="D19088" t="inlineStr">
        <is>
          <t>VÄRMLANDS LÄN</t>
        </is>
      </c>
      <c r="E19088" t="inlineStr">
        <is>
          <t>MUNKFORS</t>
        </is>
      </c>
      <c r="G19088" t="n">
        <v>1.2</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11194-2025</t>
        </is>
      </c>
      <c r="B19089" s="1" t="n">
        <v>45725</v>
      </c>
      <c r="C19089" s="1" t="n">
        <v>45810</v>
      </c>
      <c r="D19089" t="inlineStr">
        <is>
          <t>VÄRMLANDS LÄN</t>
        </is>
      </c>
      <c r="E19089" t="inlineStr">
        <is>
          <t>KARLSTAD</t>
        </is>
      </c>
      <c r="G19089" t="n">
        <v>5.3</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11392-2025</t>
        </is>
      </c>
      <c r="B19090" s="1" t="n">
        <v>45725</v>
      </c>
      <c r="C19090" s="1" t="n">
        <v>45810</v>
      </c>
      <c r="D19090" t="inlineStr">
        <is>
          <t>VÄRMLANDS LÄN</t>
        </is>
      </c>
      <c r="E19090" t="inlineStr">
        <is>
          <t>SÄFFLE</t>
        </is>
      </c>
      <c r="G19090" t="n">
        <v>3.1</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11195-2025</t>
        </is>
      </c>
      <c r="B19091" s="1" t="n">
        <v>45725</v>
      </c>
      <c r="C19091" s="1" t="n">
        <v>45810</v>
      </c>
      <c r="D19091" t="inlineStr">
        <is>
          <t>VÄRMLANDS LÄN</t>
        </is>
      </c>
      <c r="E19091" t="inlineStr">
        <is>
          <t>TORSBY</t>
        </is>
      </c>
      <c r="G19091" t="n">
        <v>0.9</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11191-2025</t>
        </is>
      </c>
      <c r="B19092" s="1" t="n">
        <v>45725</v>
      </c>
      <c r="C19092" s="1" t="n">
        <v>45810</v>
      </c>
      <c r="D19092" t="inlineStr">
        <is>
          <t>VÄRMLANDS LÄN</t>
        </is>
      </c>
      <c r="E19092" t="inlineStr">
        <is>
          <t>KARLSTAD</t>
        </is>
      </c>
      <c r="G19092" t="n">
        <v>6.8</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11192-2025</t>
        </is>
      </c>
      <c r="B19093" s="1" t="n">
        <v>45725</v>
      </c>
      <c r="C19093" s="1" t="n">
        <v>45810</v>
      </c>
      <c r="D19093" t="inlineStr">
        <is>
          <t>VÄRMLANDS LÄN</t>
        </is>
      </c>
      <c r="E19093" t="inlineStr">
        <is>
          <t>KARLSTAD</t>
        </is>
      </c>
      <c r="G19093" t="n">
        <v>1.6</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11180-2025</t>
        </is>
      </c>
      <c r="B19094" s="1" t="n">
        <v>45725</v>
      </c>
      <c r="C19094" s="1" t="n">
        <v>45810</v>
      </c>
      <c r="D19094" t="inlineStr">
        <is>
          <t>VÄRMLANDS LÄN</t>
        </is>
      </c>
      <c r="E19094" t="inlineStr">
        <is>
          <t>HAGFORS</t>
        </is>
      </c>
      <c r="G19094" t="n">
        <v>0.6</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11198-2025</t>
        </is>
      </c>
      <c r="B19095" s="1" t="n">
        <v>45725</v>
      </c>
      <c r="C19095" s="1" t="n">
        <v>45810</v>
      </c>
      <c r="D19095" t="inlineStr">
        <is>
          <t>VÄRMLANDS LÄN</t>
        </is>
      </c>
      <c r="E19095" t="inlineStr">
        <is>
          <t>ÅRJÄNG</t>
        </is>
      </c>
      <c r="G19095" t="n">
        <v>3.5</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11695-2025</t>
        </is>
      </c>
      <c r="B19096" s="1" t="n">
        <v>45726</v>
      </c>
      <c r="C19096" s="1" t="n">
        <v>45810</v>
      </c>
      <c r="D19096" t="inlineStr">
        <is>
          <t>VÄRMLANDS LÄN</t>
        </is>
      </c>
      <c r="E19096" t="inlineStr">
        <is>
          <t>SUNNE</t>
        </is>
      </c>
      <c r="G19096" t="n">
        <v>1.9</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11453-2025</t>
        </is>
      </c>
      <c r="B19097" s="1" t="n">
        <v>45726</v>
      </c>
      <c r="C19097" s="1" t="n">
        <v>45810</v>
      </c>
      <c r="D19097" t="inlineStr">
        <is>
          <t>VÄRMLANDS LÄN</t>
        </is>
      </c>
      <c r="E19097" t="inlineStr">
        <is>
          <t>FILIPSTAD</t>
        </is>
      </c>
      <c r="G19097" t="n">
        <v>7</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11448-2025</t>
        </is>
      </c>
      <c r="B19098" s="1" t="n">
        <v>45726</v>
      </c>
      <c r="C19098" s="1" t="n">
        <v>45810</v>
      </c>
      <c r="D19098" t="inlineStr">
        <is>
          <t>VÄRMLANDS LÄN</t>
        </is>
      </c>
      <c r="E19098" t="inlineStr">
        <is>
          <t>HAGFORS</t>
        </is>
      </c>
      <c r="F19098" t="inlineStr">
        <is>
          <t>Bergvik skog väst AB</t>
        </is>
      </c>
      <c r="G19098" t="n">
        <v>3.4</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11241-2025</t>
        </is>
      </c>
      <c r="B19099" s="1" t="n">
        <v>45726</v>
      </c>
      <c r="C19099" s="1" t="n">
        <v>45810</v>
      </c>
      <c r="D19099" t="inlineStr">
        <is>
          <t>VÄRMLANDS LÄN</t>
        </is>
      </c>
      <c r="E19099" t="inlineStr">
        <is>
          <t>FILIPSTAD</t>
        </is>
      </c>
      <c r="F19099" t="inlineStr">
        <is>
          <t>Bergvik skog väst AB</t>
        </is>
      </c>
      <c r="G19099" t="n">
        <v>3.4</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11395-2025</t>
        </is>
      </c>
      <c r="B19100" s="1" t="n">
        <v>45726</v>
      </c>
      <c r="C19100" s="1" t="n">
        <v>45810</v>
      </c>
      <c r="D19100" t="inlineStr">
        <is>
          <t>VÄRMLANDS LÄN</t>
        </is>
      </c>
      <c r="E19100" t="inlineStr">
        <is>
          <t>TORSBY</t>
        </is>
      </c>
      <c r="G19100" t="n">
        <v>25.3</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11401-2025</t>
        </is>
      </c>
      <c r="B19101" s="1" t="n">
        <v>45726</v>
      </c>
      <c r="C19101" s="1" t="n">
        <v>45810</v>
      </c>
      <c r="D19101" t="inlineStr">
        <is>
          <t>VÄRMLANDS LÄN</t>
        </is>
      </c>
      <c r="E19101" t="inlineStr">
        <is>
          <t>ÅRJÄNG</t>
        </is>
      </c>
      <c r="G19101" t="n">
        <v>0.4</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11687-2025</t>
        </is>
      </c>
      <c r="B19102" s="1" t="n">
        <v>45726</v>
      </c>
      <c r="C19102" s="1" t="n">
        <v>45810</v>
      </c>
      <c r="D19102" t="inlineStr">
        <is>
          <t>VÄRMLANDS LÄN</t>
        </is>
      </c>
      <c r="E19102" t="inlineStr">
        <is>
          <t>SUNNE</t>
        </is>
      </c>
      <c r="G19102" t="n">
        <v>0.8</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11419-2025</t>
        </is>
      </c>
      <c r="B19103" s="1" t="n">
        <v>45726</v>
      </c>
      <c r="C19103" s="1" t="n">
        <v>45810</v>
      </c>
      <c r="D19103" t="inlineStr">
        <is>
          <t>VÄRMLANDS LÄN</t>
        </is>
      </c>
      <c r="E19103" t="inlineStr">
        <is>
          <t>HAGFORS</t>
        </is>
      </c>
      <c r="F19103" t="inlineStr">
        <is>
          <t>Bergvik skog väst AB</t>
        </is>
      </c>
      <c r="G19103" t="n">
        <v>9.800000000000001</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11290-2025</t>
        </is>
      </c>
      <c r="B19104" s="1" t="n">
        <v>45726</v>
      </c>
      <c r="C19104" s="1" t="n">
        <v>45810</v>
      </c>
      <c r="D19104" t="inlineStr">
        <is>
          <t>VÄRMLANDS LÄN</t>
        </is>
      </c>
      <c r="E19104" t="inlineStr">
        <is>
          <t>STORFORS</t>
        </is>
      </c>
      <c r="G19104" t="n">
        <v>4.1</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11342-2025</t>
        </is>
      </c>
      <c r="B19105" s="1" t="n">
        <v>45726</v>
      </c>
      <c r="C19105" s="1" t="n">
        <v>45810</v>
      </c>
      <c r="D19105" t="inlineStr">
        <is>
          <t>VÄRMLANDS LÄN</t>
        </is>
      </c>
      <c r="E19105" t="inlineStr">
        <is>
          <t>ARVIKA</t>
        </is>
      </c>
      <c r="G19105" t="n">
        <v>0.9</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11360-2025</t>
        </is>
      </c>
      <c r="B19106" s="1" t="n">
        <v>45726</v>
      </c>
      <c r="C19106" s="1" t="n">
        <v>45810</v>
      </c>
      <c r="D19106" t="inlineStr">
        <is>
          <t>VÄRMLANDS LÄN</t>
        </is>
      </c>
      <c r="E19106" t="inlineStr">
        <is>
          <t>HAGFORS</t>
        </is>
      </c>
      <c r="F19106" t="inlineStr">
        <is>
          <t>Bergvik skog väst AB</t>
        </is>
      </c>
      <c r="G19106" t="n">
        <v>13.3</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11400-2025</t>
        </is>
      </c>
      <c r="B19107" s="1" t="n">
        <v>45726</v>
      </c>
      <c r="C19107" s="1" t="n">
        <v>45810</v>
      </c>
      <c r="D19107" t="inlineStr">
        <is>
          <t>VÄRMLANDS LÄN</t>
        </is>
      </c>
      <c r="E19107" t="inlineStr">
        <is>
          <t>EDA</t>
        </is>
      </c>
      <c r="G19107" t="n">
        <v>2.3</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11402-2025</t>
        </is>
      </c>
      <c r="B19108" s="1" t="n">
        <v>45726</v>
      </c>
      <c r="C19108" s="1" t="n">
        <v>45810</v>
      </c>
      <c r="D19108" t="inlineStr">
        <is>
          <t>VÄRMLANDS LÄN</t>
        </is>
      </c>
      <c r="E19108" t="inlineStr">
        <is>
          <t>FORSHAGA</t>
        </is>
      </c>
      <c r="F19108" t="inlineStr">
        <is>
          <t>Bergvik skog väst AB</t>
        </is>
      </c>
      <c r="G19108" t="n">
        <v>28.1</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11659-2025</t>
        </is>
      </c>
      <c r="B19109" s="1" t="n">
        <v>45726</v>
      </c>
      <c r="C19109" s="1" t="n">
        <v>45810</v>
      </c>
      <c r="D19109" t="inlineStr">
        <is>
          <t>VÄRMLANDS LÄN</t>
        </is>
      </c>
      <c r="E19109" t="inlineStr">
        <is>
          <t>SUNNE</t>
        </is>
      </c>
      <c r="G19109" t="n">
        <v>2</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11514-2025</t>
        </is>
      </c>
      <c r="B19110" s="1" t="n">
        <v>45726</v>
      </c>
      <c r="C19110" s="1" t="n">
        <v>45810</v>
      </c>
      <c r="D19110" t="inlineStr">
        <is>
          <t>VÄRMLANDS LÄN</t>
        </is>
      </c>
      <c r="E19110" t="inlineStr">
        <is>
          <t>FILIPSTAD</t>
        </is>
      </c>
      <c r="G19110" t="n">
        <v>8.199999999999999</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11321-2025</t>
        </is>
      </c>
      <c r="B19111" s="1" t="n">
        <v>45726</v>
      </c>
      <c r="C19111" s="1" t="n">
        <v>45810</v>
      </c>
      <c r="D19111" t="inlineStr">
        <is>
          <t>VÄRMLANDS LÄN</t>
        </is>
      </c>
      <c r="E19111" t="inlineStr">
        <is>
          <t>ARVIKA</t>
        </is>
      </c>
      <c r="G19111" t="n">
        <v>0.5</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11323-2025</t>
        </is>
      </c>
      <c r="B19112" s="1" t="n">
        <v>45726</v>
      </c>
      <c r="C19112" s="1" t="n">
        <v>45810</v>
      </c>
      <c r="D19112" t="inlineStr">
        <is>
          <t>VÄRMLANDS LÄN</t>
        </is>
      </c>
      <c r="E19112" t="inlineStr">
        <is>
          <t>ARVIKA</t>
        </is>
      </c>
      <c r="G19112" t="n">
        <v>0.6</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11242-2025</t>
        </is>
      </c>
      <c r="B19113" s="1" t="n">
        <v>45726</v>
      </c>
      <c r="C19113" s="1" t="n">
        <v>45810</v>
      </c>
      <c r="D19113" t="inlineStr">
        <is>
          <t>VÄRMLANDS LÄN</t>
        </is>
      </c>
      <c r="E19113" t="inlineStr">
        <is>
          <t>SUNNE</t>
        </is>
      </c>
      <c r="G19113" t="n">
        <v>0.7</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11326-2025</t>
        </is>
      </c>
      <c r="B19114" s="1" t="n">
        <v>45726</v>
      </c>
      <c r="C19114" s="1" t="n">
        <v>45810</v>
      </c>
      <c r="D19114" t="inlineStr">
        <is>
          <t>VÄRMLANDS LÄN</t>
        </is>
      </c>
      <c r="E19114" t="inlineStr">
        <is>
          <t>HAGFORS</t>
        </is>
      </c>
      <c r="F19114" t="inlineStr">
        <is>
          <t>Bergvik skog väst AB</t>
        </is>
      </c>
      <c r="G19114" t="n">
        <v>2.2</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11367-2025</t>
        </is>
      </c>
      <c r="B19115" s="1" t="n">
        <v>45726</v>
      </c>
      <c r="C19115" s="1" t="n">
        <v>45810</v>
      </c>
      <c r="D19115" t="inlineStr">
        <is>
          <t>VÄRMLANDS LÄN</t>
        </is>
      </c>
      <c r="E19115" t="inlineStr">
        <is>
          <t>HAGFORS</t>
        </is>
      </c>
      <c r="F19115" t="inlineStr">
        <is>
          <t>Bergvik skog väst AB</t>
        </is>
      </c>
      <c r="G19115" t="n">
        <v>3.1</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11230-2025</t>
        </is>
      </c>
      <c r="B19116" s="1" t="n">
        <v>45726</v>
      </c>
      <c r="C19116" s="1" t="n">
        <v>45810</v>
      </c>
      <c r="D19116" t="inlineStr">
        <is>
          <t>VÄRMLANDS LÄN</t>
        </is>
      </c>
      <c r="E19116" t="inlineStr">
        <is>
          <t>ARVIKA</t>
        </is>
      </c>
      <c r="F19116" t="inlineStr">
        <is>
          <t>Bergvik skog väst AB</t>
        </is>
      </c>
      <c r="G19116" t="n">
        <v>2</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11406-2025</t>
        </is>
      </c>
      <c r="B19117" s="1" t="n">
        <v>45726</v>
      </c>
      <c r="C19117" s="1" t="n">
        <v>45810</v>
      </c>
      <c r="D19117" t="inlineStr">
        <is>
          <t>VÄRMLANDS LÄN</t>
        </is>
      </c>
      <c r="E19117" t="inlineStr">
        <is>
          <t>TORSBY</t>
        </is>
      </c>
      <c r="G19117" t="n">
        <v>29.3</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11427-2025</t>
        </is>
      </c>
      <c r="B19118" s="1" t="n">
        <v>45726</v>
      </c>
      <c r="C19118" s="1" t="n">
        <v>45810</v>
      </c>
      <c r="D19118" t="inlineStr">
        <is>
          <t>VÄRMLANDS LÄN</t>
        </is>
      </c>
      <c r="E19118" t="inlineStr">
        <is>
          <t>TORSBY</t>
        </is>
      </c>
      <c r="G19118" t="n">
        <v>2.8</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11327-2025</t>
        </is>
      </c>
      <c r="B19119" s="1" t="n">
        <v>45726</v>
      </c>
      <c r="C19119" s="1" t="n">
        <v>45810</v>
      </c>
      <c r="D19119" t="inlineStr">
        <is>
          <t>VÄRMLANDS LÄN</t>
        </is>
      </c>
      <c r="E19119" t="inlineStr">
        <is>
          <t>EDA</t>
        </is>
      </c>
      <c r="G19119" t="n">
        <v>0.6</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11330-2025</t>
        </is>
      </c>
      <c r="B19120" s="1" t="n">
        <v>45726</v>
      </c>
      <c r="C19120" s="1" t="n">
        <v>45810</v>
      </c>
      <c r="D19120" t="inlineStr">
        <is>
          <t>VÄRMLANDS LÄN</t>
        </is>
      </c>
      <c r="E19120" t="inlineStr">
        <is>
          <t>EDA</t>
        </is>
      </c>
      <c r="G19120" t="n">
        <v>1.1</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11431-2025</t>
        </is>
      </c>
      <c r="B19121" s="1" t="n">
        <v>45726</v>
      </c>
      <c r="C19121" s="1" t="n">
        <v>45810</v>
      </c>
      <c r="D19121" t="inlineStr">
        <is>
          <t>VÄRMLANDS LÄN</t>
        </is>
      </c>
      <c r="E19121" t="inlineStr">
        <is>
          <t>TORSBY</t>
        </is>
      </c>
      <c r="G19121" t="n">
        <v>10.2</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11776-2025</t>
        </is>
      </c>
      <c r="B19122" s="1" t="n">
        <v>45727</v>
      </c>
      <c r="C19122" s="1" t="n">
        <v>45810</v>
      </c>
      <c r="D19122" t="inlineStr">
        <is>
          <t>VÄRMLANDS LÄN</t>
        </is>
      </c>
      <c r="E19122" t="inlineStr">
        <is>
          <t>ÅRJÄNG</t>
        </is>
      </c>
      <c r="G19122" t="n">
        <v>7.2</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11647-2025</t>
        </is>
      </c>
      <c r="B19123" s="1" t="n">
        <v>45727</v>
      </c>
      <c r="C19123" s="1" t="n">
        <v>45810</v>
      </c>
      <c r="D19123" t="inlineStr">
        <is>
          <t>VÄRMLANDS LÄN</t>
        </is>
      </c>
      <c r="E19123" t="inlineStr">
        <is>
          <t>ARVIKA</t>
        </is>
      </c>
      <c r="G19123" t="n">
        <v>9.9</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11658-2025</t>
        </is>
      </c>
      <c r="B19124" s="1" t="n">
        <v>45727</v>
      </c>
      <c r="C19124" s="1" t="n">
        <v>45810</v>
      </c>
      <c r="D19124" t="inlineStr">
        <is>
          <t>VÄRMLANDS LÄN</t>
        </is>
      </c>
      <c r="E19124" t="inlineStr">
        <is>
          <t>ARVIKA</t>
        </is>
      </c>
      <c r="G19124" t="n">
        <v>1.6</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11670-2025</t>
        </is>
      </c>
      <c r="B19125" s="1" t="n">
        <v>45727</v>
      </c>
      <c r="C19125" s="1" t="n">
        <v>45810</v>
      </c>
      <c r="D19125" t="inlineStr">
        <is>
          <t>VÄRMLANDS LÄN</t>
        </is>
      </c>
      <c r="E19125" t="inlineStr">
        <is>
          <t>TORSBY</t>
        </is>
      </c>
      <c r="G19125" t="n">
        <v>10.9</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11679-2025</t>
        </is>
      </c>
      <c r="B19126" s="1" t="n">
        <v>45727</v>
      </c>
      <c r="C19126" s="1" t="n">
        <v>45810</v>
      </c>
      <c r="D19126" t="inlineStr">
        <is>
          <t>VÄRMLANDS LÄN</t>
        </is>
      </c>
      <c r="E19126" t="inlineStr">
        <is>
          <t>ARVIKA</t>
        </is>
      </c>
      <c r="F19126" t="inlineStr">
        <is>
          <t>Bergvik skog väst AB</t>
        </is>
      </c>
      <c r="G19126" t="n">
        <v>2.8</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11682-2025</t>
        </is>
      </c>
      <c r="B19127" s="1" t="n">
        <v>45727</v>
      </c>
      <c r="C19127" s="1" t="n">
        <v>45810</v>
      </c>
      <c r="D19127" t="inlineStr">
        <is>
          <t>VÄRMLANDS LÄN</t>
        </is>
      </c>
      <c r="E19127" t="inlineStr">
        <is>
          <t>KARLSTAD</t>
        </is>
      </c>
      <c r="F19127" t="inlineStr">
        <is>
          <t>Bergvik skog väst AB</t>
        </is>
      </c>
      <c r="G19127" t="n">
        <v>8.800000000000001</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11686-2025</t>
        </is>
      </c>
      <c r="B19128" s="1" t="n">
        <v>45727</v>
      </c>
      <c r="C19128" s="1" t="n">
        <v>45810</v>
      </c>
      <c r="D19128" t="inlineStr">
        <is>
          <t>VÄRMLANDS LÄN</t>
        </is>
      </c>
      <c r="E19128" t="inlineStr">
        <is>
          <t>KARLSTAD</t>
        </is>
      </c>
      <c r="F19128" t="inlineStr">
        <is>
          <t>Naturvårdsverket</t>
        </is>
      </c>
      <c r="G19128" t="n">
        <v>0.6</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11744-2025</t>
        </is>
      </c>
      <c r="B19129" s="1" t="n">
        <v>45727</v>
      </c>
      <c r="C19129" s="1" t="n">
        <v>45810</v>
      </c>
      <c r="D19129" t="inlineStr">
        <is>
          <t>VÄRMLANDS LÄN</t>
        </is>
      </c>
      <c r="E19129" t="inlineStr">
        <is>
          <t>SÄFFLE</t>
        </is>
      </c>
      <c r="G19129" t="n">
        <v>5.8</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11601-2025</t>
        </is>
      </c>
      <c r="B19130" s="1" t="n">
        <v>45727</v>
      </c>
      <c r="C19130" s="1" t="n">
        <v>45810</v>
      </c>
      <c r="D19130" t="inlineStr">
        <is>
          <t>VÄRMLANDS LÄN</t>
        </is>
      </c>
      <c r="E19130" t="inlineStr">
        <is>
          <t>GRUMS</t>
        </is>
      </c>
      <c r="G19130" t="n">
        <v>1.8</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11704-2025</t>
        </is>
      </c>
      <c r="B19131" s="1" t="n">
        <v>45727</v>
      </c>
      <c r="C19131" s="1" t="n">
        <v>45810</v>
      </c>
      <c r="D19131" t="inlineStr">
        <is>
          <t>VÄRMLANDS LÄN</t>
        </is>
      </c>
      <c r="E19131" t="inlineStr">
        <is>
          <t>ÅRJÄNG</t>
        </is>
      </c>
      <c r="G19131" t="n">
        <v>1.8</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11709-2025</t>
        </is>
      </c>
      <c r="B19132" s="1" t="n">
        <v>45727</v>
      </c>
      <c r="C19132" s="1" t="n">
        <v>45810</v>
      </c>
      <c r="D19132" t="inlineStr">
        <is>
          <t>VÄRMLANDS LÄN</t>
        </is>
      </c>
      <c r="E19132" t="inlineStr">
        <is>
          <t>SUNNE</t>
        </is>
      </c>
      <c r="G19132" t="n">
        <v>11.6</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11737-2025</t>
        </is>
      </c>
      <c r="B19133" s="1" t="n">
        <v>45727</v>
      </c>
      <c r="C19133" s="1" t="n">
        <v>45810</v>
      </c>
      <c r="D19133" t="inlineStr">
        <is>
          <t>VÄRMLANDS LÄN</t>
        </is>
      </c>
      <c r="E19133" t="inlineStr">
        <is>
          <t>SÄFFLE</t>
        </is>
      </c>
      <c r="G19133" t="n">
        <v>11.4</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11569-2025</t>
        </is>
      </c>
      <c r="B19134" s="1" t="n">
        <v>45727</v>
      </c>
      <c r="C19134" s="1" t="n">
        <v>45810</v>
      </c>
      <c r="D19134" t="inlineStr">
        <is>
          <t>VÄRMLANDS LÄN</t>
        </is>
      </c>
      <c r="E19134" t="inlineStr">
        <is>
          <t>TORSBY</t>
        </is>
      </c>
      <c r="G19134" t="n">
        <v>0.7</v>
      </c>
      <c r="H19134" t="n">
        <v>0</v>
      </c>
      <c r="I19134" t="n">
        <v>0</v>
      </c>
      <c r="J19134" t="n">
        <v>0</v>
      </c>
      <c r="K19134" t="n">
        <v>0</v>
      </c>
      <c r="L19134" t="n">
        <v>0</v>
      </c>
      <c r="M19134" t="n">
        <v>0</v>
      </c>
      <c r="N19134" t="n">
        <v>0</v>
      </c>
      <c r="O19134" t="n">
        <v>0</v>
      </c>
      <c r="P19134" t="n">
        <v>0</v>
      </c>
      <c r="Q19134" t="n">
        <v>0</v>
      </c>
      <c r="R19134" s="2" t="inlineStr"/>
    </row>
    <row r="19135" ht="15" customHeight="1">
      <c r="A19135" t="inlineStr">
        <is>
          <t>A 11581-2025</t>
        </is>
      </c>
      <c r="B19135" s="1" t="n">
        <v>45727</v>
      </c>
      <c r="C19135" s="1" t="n">
        <v>45810</v>
      </c>
      <c r="D19135" t="inlineStr">
        <is>
          <t>VÄRMLANDS LÄN</t>
        </is>
      </c>
      <c r="E19135" t="inlineStr">
        <is>
          <t>TORSBY</t>
        </is>
      </c>
      <c r="G19135" t="n">
        <v>0.7</v>
      </c>
      <c r="H19135" t="n">
        <v>0</v>
      </c>
      <c r="I19135" t="n">
        <v>0</v>
      </c>
      <c r="J19135" t="n">
        <v>0</v>
      </c>
      <c r="K19135" t="n">
        <v>0</v>
      </c>
      <c r="L19135" t="n">
        <v>0</v>
      </c>
      <c r="M19135" t="n">
        <v>0</v>
      </c>
      <c r="N19135" t="n">
        <v>0</v>
      </c>
      <c r="O19135" t="n">
        <v>0</v>
      </c>
      <c r="P19135" t="n">
        <v>0</v>
      </c>
      <c r="Q19135" t="n">
        <v>0</v>
      </c>
      <c r="R19135" s="2" t="inlineStr"/>
    </row>
    <row r="19136" ht="15" customHeight="1">
      <c r="A19136" t="inlineStr">
        <is>
          <t>A 11558-2025</t>
        </is>
      </c>
      <c r="B19136" s="1" t="n">
        <v>45727</v>
      </c>
      <c r="C19136" s="1" t="n">
        <v>45810</v>
      </c>
      <c r="D19136" t="inlineStr">
        <is>
          <t>VÄRMLANDS LÄN</t>
        </is>
      </c>
      <c r="E19136" t="inlineStr">
        <is>
          <t>KIL</t>
        </is>
      </c>
      <c r="G19136" t="n">
        <v>1</v>
      </c>
      <c r="H19136" t="n">
        <v>0</v>
      </c>
      <c r="I19136" t="n">
        <v>0</v>
      </c>
      <c r="J19136" t="n">
        <v>0</v>
      </c>
      <c r="K19136" t="n">
        <v>0</v>
      </c>
      <c r="L19136" t="n">
        <v>0</v>
      </c>
      <c r="M19136" t="n">
        <v>0</v>
      </c>
      <c r="N19136" t="n">
        <v>0</v>
      </c>
      <c r="O19136" t="n">
        <v>0</v>
      </c>
      <c r="P19136" t="n">
        <v>0</v>
      </c>
      <c r="Q19136" t="n">
        <v>0</v>
      </c>
      <c r="R19136" s="2" t="inlineStr"/>
    </row>
    <row r="19137" ht="15" customHeight="1">
      <c r="A19137" t="inlineStr">
        <is>
          <t>A 11672-2025</t>
        </is>
      </c>
      <c r="B19137" s="1" t="n">
        <v>45727</v>
      </c>
      <c r="C19137" s="1" t="n">
        <v>45810</v>
      </c>
      <c r="D19137" t="inlineStr">
        <is>
          <t>VÄRMLANDS LÄN</t>
        </is>
      </c>
      <c r="E19137" t="inlineStr">
        <is>
          <t>TORSBY</t>
        </is>
      </c>
      <c r="G19137" t="n">
        <v>4.3</v>
      </c>
      <c r="H19137" t="n">
        <v>0</v>
      </c>
      <c r="I19137" t="n">
        <v>0</v>
      </c>
      <c r="J19137" t="n">
        <v>0</v>
      </c>
      <c r="K19137" t="n">
        <v>0</v>
      </c>
      <c r="L19137" t="n">
        <v>0</v>
      </c>
      <c r="M19137" t="n">
        <v>0</v>
      </c>
      <c r="N19137" t="n">
        <v>0</v>
      </c>
      <c r="O19137" t="n">
        <v>0</v>
      </c>
      <c r="P19137" t="n">
        <v>0</v>
      </c>
      <c r="Q19137" t="n">
        <v>0</v>
      </c>
      <c r="R19137" s="2" t="inlineStr"/>
    </row>
    <row r="19138" ht="15" customHeight="1">
      <c r="A19138" t="inlineStr">
        <is>
          <t>A 11597-2025</t>
        </is>
      </c>
      <c r="B19138" s="1" t="n">
        <v>45727</v>
      </c>
      <c r="C19138" s="1" t="n">
        <v>45810</v>
      </c>
      <c r="D19138" t="inlineStr">
        <is>
          <t>VÄRMLANDS LÄN</t>
        </is>
      </c>
      <c r="E19138" t="inlineStr">
        <is>
          <t>GRUMS</t>
        </is>
      </c>
      <c r="G19138" t="n">
        <v>1.2</v>
      </c>
      <c r="H19138" t="n">
        <v>0</v>
      </c>
      <c r="I19138" t="n">
        <v>0</v>
      </c>
      <c r="J19138" t="n">
        <v>0</v>
      </c>
      <c r="K19138" t="n">
        <v>0</v>
      </c>
      <c r="L19138" t="n">
        <v>0</v>
      </c>
      <c r="M19138" t="n">
        <v>0</v>
      </c>
      <c r="N19138" t="n">
        <v>0</v>
      </c>
      <c r="O19138" t="n">
        <v>0</v>
      </c>
      <c r="P19138" t="n">
        <v>0</v>
      </c>
      <c r="Q19138" t="n">
        <v>0</v>
      </c>
      <c r="R19138" s="2" t="inlineStr"/>
    </row>
    <row r="19139" ht="15" customHeight="1">
      <c r="A19139" t="inlineStr">
        <is>
          <t>A 11562-2025</t>
        </is>
      </c>
      <c r="B19139" s="1" t="n">
        <v>45727</v>
      </c>
      <c r="C19139" s="1" t="n">
        <v>45810</v>
      </c>
      <c r="D19139" t="inlineStr">
        <is>
          <t>VÄRMLANDS LÄN</t>
        </is>
      </c>
      <c r="E19139" t="inlineStr">
        <is>
          <t>ARVIKA</t>
        </is>
      </c>
      <c r="G19139" t="n">
        <v>3.4</v>
      </c>
      <c r="H19139" t="n">
        <v>0</v>
      </c>
      <c r="I19139" t="n">
        <v>0</v>
      </c>
      <c r="J19139" t="n">
        <v>0</v>
      </c>
      <c r="K19139" t="n">
        <v>0</v>
      </c>
      <c r="L19139" t="n">
        <v>0</v>
      </c>
      <c r="M19139" t="n">
        <v>0</v>
      </c>
      <c r="N19139" t="n">
        <v>0</v>
      </c>
      <c r="O19139" t="n">
        <v>0</v>
      </c>
      <c r="P19139" t="n">
        <v>0</v>
      </c>
      <c r="Q19139" t="n">
        <v>0</v>
      </c>
      <c r="R19139" s="2" t="inlineStr"/>
    </row>
    <row r="19140" ht="15" customHeight="1">
      <c r="A19140" t="inlineStr">
        <is>
          <t>A 11765-2025</t>
        </is>
      </c>
      <c r="B19140" s="1" t="n">
        <v>45727</v>
      </c>
      <c r="C19140" s="1" t="n">
        <v>45810</v>
      </c>
      <c r="D19140" t="inlineStr">
        <is>
          <t>VÄRMLANDS LÄN</t>
        </is>
      </c>
      <c r="E19140" t="inlineStr">
        <is>
          <t>FORSHAGA</t>
        </is>
      </c>
      <c r="F19140" t="inlineStr">
        <is>
          <t>Bergvik skog väst AB</t>
        </is>
      </c>
      <c r="G19140" t="n">
        <v>1.3</v>
      </c>
      <c r="H19140" t="n">
        <v>0</v>
      </c>
      <c r="I19140" t="n">
        <v>0</v>
      </c>
      <c r="J19140" t="n">
        <v>0</v>
      </c>
      <c r="K19140" t="n">
        <v>0</v>
      </c>
      <c r="L19140" t="n">
        <v>0</v>
      </c>
      <c r="M19140" t="n">
        <v>0</v>
      </c>
      <c r="N19140" t="n">
        <v>0</v>
      </c>
      <c r="O19140" t="n">
        <v>0</v>
      </c>
      <c r="P19140" t="n">
        <v>0</v>
      </c>
      <c r="Q19140" t="n">
        <v>0</v>
      </c>
      <c r="R19140" s="2" t="inlineStr"/>
    </row>
    <row r="19141" ht="15" customHeight="1">
      <c r="A19141" t="inlineStr">
        <is>
          <t>A 11671-2025</t>
        </is>
      </c>
      <c r="B19141" s="1" t="n">
        <v>45727</v>
      </c>
      <c r="C19141" s="1" t="n">
        <v>45810</v>
      </c>
      <c r="D19141" t="inlineStr">
        <is>
          <t>VÄRMLANDS LÄN</t>
        </is>
      </c>
      <c r="E19141" t="inlineStr">
        <is>
          <t>ARVIKA</t>
        </is>
      </c>
      <c r="F19141" t="inlineStr">
        <is>
          <t>Bergvik skog väst AB</t>
        </is>
      </c>
      <c r="G19141" t="n">
        <v>6.7</v>
      </c>
      <c r="H19141" t="n">
        <v>0</v>
      </c>
      <c r="I19141" t="n">
        <v>0</v>
      </c>
      <c r="J19141" t="n">
        <v>0</v>
      </c>
      <c r="K19141" t="n">
        <v>0</v>
      </c>
      <c r="L19141" t="n">
        <v>0</v>
      </c>
      <c r="M19141" t="n">
        <v>0</v>
      </c>
      <c r="N19141" t="n">
        <v>0</v>
      </c>
      <c r="O19141" t="n">
        <v>0</v>
      </c>
      <c r="P19141" t="n">
        <v>0</v>
      </c>
      <c r="Q19141" t="n">
        <v>0</v>
      </c>
      <c r="R19141" s="2" t="inlineStr"/>
    </row>
    <row r="19142" ht="15" customHeight="1">
      <c r="A19142" t="inlineStr">
        <is>
          <t>A 11677-2025</t>
        </is>
      </c>
      <c r="B19142" s="1" t="n">
        <v>45727</v>
      </c>
      <c r="C19142" s="1" t="n">
        <v>45810</v>
      </c>
      <c r="D19142" t="inlineStr">
        <is>
          <t>VÄRMLANDS LÄN</t>
        </is>
      </c>
      <c r="E19142" t="inlineStr">
        <is>
          <t>TORSBY</t>
        </is>
      </c>
      <c r="G19142" t="n">
        <v>1.1</v>
      </c>
      <c r="H19142" t="n">
        <v>0</v>
      </c>
      <c r="I19142" t="n">
        <v>0</v>
      </c>
      <c r="J19142" t="n">
        <v>0</v>
      </c>
      <c r="K19142" t="n">
        <v>0</v>
      </c>
      <c r="L19142" t="n">
        <v>0</v>
      </c>
      <c r="M19142" t="n">
        <v>0</v>
      </c>
      <c r="N19142" t="n">
        <v>0</v>
      </c>
      <c r="O19142" t="n">
        <v>0</v>
      </c>
      <c r="P19142" t="n">
        <v>0</v>
      </c>
      <c r="Q19142" t="n">
        <v>0</v>
      </c>
      <c r="R19142" s="2" t="inlineStr"/>
    </row>
    <row r="19143" ht="15" customHeight="1">
      <c r="A19143" t="inlineStr">
        <is>
          <t>A 11652-2025</t>
        </is>
      </c>
      <c r="B19143" s="1" t="n">
        <v>45727</v>
      </c>
      <c r="C19143" s="1" t="n">
        <v>45810</v>
      </c>
      <c r="D19143" t="inlineStr">
        <is>
          <t>VÄRMLANDS LÄN</t>
        </is>
      </c>
      <c r="E19143" t="inlineStr">
        <is>
          <t>EDA</t>
        </is>
      </c>
      <c r="G19143" t="n">
        <v>0.9</v>
      </c>
      <c r="H19143" t="n">
        <v>0</v>
      </c>
      <c r="I19143" t="n">
        <v>0</v>
      </c>
      <c r="J19143" t="n">
        <v>0</v>
      </c>
      <c r="K19143" t="n">
        <v>0</v>
      </c>
      <c r="L19143" t="n">
        <v>0</v>
      </c>
      <c r="M19143" t="n">
        <v>0</v>
      </c>
      <c r="N19143" t="n">
        <v>0</v>
      </c>
      <c r="O19143" t="n">
        <v>0</v>
      </c>
      <c r="P19143" t="n">
        <v>0</v>
      </c>
      <c r="Q19143" t="n">
        <v>0</v>
      </c>
      <c r="R19143" s="2" t="inlineStr"/>
    </row>
    <row r="19144" ht="15" customHeight="1">
      <c r="A19144" t="inlineStr">
        <is>
          <t>A 11649-2025</t>
        </is>
      </c>
      <c r="B19144" s="1" t="n">
        <v>45727</v>
      </c>
      <c r="C19144" s="1" t="n">
        <v>45810</v>
      </c>
      <c r="D19144" t="inlineStr">
        <is>
          <t>VÄRMLANDS LÄN</t>
        </is>
      </c>
      <c r="E19144" t="inlineStr">
        <is>
          <t>EDA</t>
        </is>
      </c>
      <c r="G19144" t="n">
        <v>0.5</v>
      </c>
      <c r="H19144" t="n">
        <v>0</v>
      </c>
      <c r="I19144" t="n">
        <v>0</v>
      </c>
      <c r="J19144" t="n">
        <v>0</v>
      </c>
      <c r="K19144" t="n">
        <v>0</v>
      </c>
      <c r="L19144" t="n">
        <v>0</v>
      </c>
      <c r="M19144" t="n">
        <v>0</v>
      </c>
      <c r="N19144" t="n">
        <v>0</v>
      </c>
      <c r="O19144" t="n">
        <v>0</v>
      </c>
      <c r="P19144" t="n">
        <v>0</v>
      </c>
      <c r="Q19144" t="n">
        <v>0</v>
      </c>
      <c r="R19144" s="2" t="inlineStr"/>
    </row>
    <row r="19145" ht="15" customHeight="1">
      <c r="A19145" t="inlineStr">
        <is>
          <t>A 11842-2025</t>
        </is>
      </c>
      <c r="B19145" s="1" t="n">
        <v>45728</v>
      </c>
      <c r="C19145" s="1" t="n">
        <v>45810</v>
      </c>
      <c r="D19145" t="inlineStr">
        <is>
          <t>VÄRMLANDS LÄN</t>
        </is>
      </c>
      <c r="E19145" t="inlineStr">
        <is>
          <t>TORSBY</t>
        </is>
      </c>
      <c r="F19145" t="inlineStr">
        <is>
          <t>Bergvik skog väst AB</t>
        </is>
      </c>
      <c r="G19145" t="n">
        <v>32.1</v>
      </c>
      <c r="H19145" t="n">
        <v>0</v>
      </c>
      <c r="I19145" t="n">
        <v>0</v>
      </c>
      <c r="J19145" t="n">
        <v>0</v>
      </c>
      <c r="K19145" t="n">
        <v>0</v>
      </c>
      <c r="L19145" t="n">
        <v>0</v>
      </c>
      <c r="M19145" t="n">
        <v>0</v>
      </c>
      <c r="N19145" t="n">
        <v>0</v>
      </c>
      <c r="O19145" t="n">
        <v>0</v>
      </c>
      <c r="P19145" t="n">
        <v>0</v>
      </c>
      <c r="Q19145" t="n">
        <v>0</v>
      </c>
      <c r="R19145" s="2" t="inlineStr"/>
    </row>
    <row r="19146" ht="15" customHeight="1">
      <c r="A19146" t="inlineStr">
        <is>
          <t>A 11872-2025</t>
        </is>
      </c>
      <c r="B19146" s="1" t="n">
        <v>45728</v>
      </c>
      <c r="C19146" s="1" t="n">
        <v>45810</v>
      </c>
      <c r="D19146" t="inlineStr">
        <is>
          <t>VÄRMLANDS LÄN</t>
        </is>
      </c>
      <c r="E19146" t="inlineStr">
        <is>
          <t>TORSBY</t>
        </is>
      </c>
      <c r="G19146" t="n">
        <v>7.4</v>
      </c>
      <c r="H19146" t="n">
        <v>0</v>
      </c>
      <c r="I19146" t="n">
        <v>0</v>
      </c>
      <c r="J19146" t="n">
        <v>0</v>
      </c>
      <c r="K19146" t="n">
        <v>0</v>
      </c>
      <c r="L19146" t="n">
        <v>0</v>
      </c>
      <c r="M19146" t="n">
        <v>0</v>
      </c>
      <c r="N19146" t="n">
        <v>0</v>
      </c>
      <c r="O19146" t="n">
        <v>0</v>
      </c>
      <c r="P19146" t="n">
        <v>0</v>
      </c>
      <c r="Q19146" t="n">
        <v>0</v>
      </c>
      <c r="R19146" s="2" t="inlineStr"/>
    </row>
    <row r="19147" ht="15" customHeight="1">
      <c r="A19147" t="inlineStr">
        <is>
          <t>A 11898-2025</t>
        </is>
      </c>
      <c r="B19147" s="1" t="n">
        <v>45728</v>
      </c>
      <c r="C19147" s="1" t="n">
        <v>45810</v>
      </c>
      <c r="D19147" t="inlineStr">
        <is>
          <t>VÄRMLANDS LÄN</t>
        </is>
      </c>
      <c r="E19147" t="inlineStr">
        <is>
          <t>ARVIKA</t>
        </is>
      </c>
      <c r="G19147" t="n">
        <v>0.7</v>
      </c>
      <c r="H19147" t="n">
        <v>0</v>
      </c>
      <c r="I19147" t="n">
        <v>0</v>
      </c>
      <c r="J19147" t="n">
        <v>0</v>
      </c>
      <c r="K19147" t="n">
        <v>0</v>
      </c>
      <c r="L19147" t="n">
        <v>0</v>
      </c>
      <c r="M19147" t="n">
        <v>0</v>
      </c>
      <c r="N19147" t="n">
        <v>0</v>
      </c>
      <c r="O19147" t="n">
        <v>0</v>
      </c>
      <c r="P19147" t="n">
        <v>0</v>
      </c>
      <c r="Q19147" t="n">
        <v>0</v>
      </c>
      <c r="R19147" s="2" t="inlineStr"/>
    </row>
    <row r="19148" ht="15" customHeight="1">
      <c r="A19148" t="inlineStr">
        <is>
          <t>A 11870-2025</t>
        </is>
      </c>
      <c r="B19148" s="1" t="n">
        <v>45728</v>
      </c>
      <c r="C19148" s="1" t="n">
        <v>45810</v>
      </c>
      <c r="D19148" t="inlineStr">
        <is>
          <t>VÄRMLANDS LÄN</t>
        </is>
      </c>
      <c r="E19148" t="inlineStr">
        <is>
          <t>GRUMS</t>
        </is>
      </c>
      <c r="G19148" t="n">
        <v>3.1</v>
      </c>
      <c r="H19148" t="n">
        <v>0</v>
      </c>
      <c r="I19148" t="n">
        <v>0</v>
      </c>
      <c r="J19148" t="n">
        <v>0</v>
      </c>
      <c r="K19148" t="n">
        <v>0</v>
      </c>
      <c r="L19148" t="n">
        <v>0</v>
      </c>
      <c r="M19148" t="n">
        <v>0</v>
      </c>
      <c r="N19148" t="n">
        <v>0</v>
      </c>
      <c r="O19148" t="n">
        <v>0</v>
      </c>
      <c r="P19148" t="n">
        <v>0</v>
      </c>
      <c r="Q19148" t="n">
        <v>0</v>
      </c>
      <c r="R19148" s="2" t="inlineStr"/>
    </row>
    <row r="19149" ht="15" customHeight="1">
      <c r="A19149" t="inlineStr">
        <is>
          <t>A 11892-2025</t>
        </is>
      </c>
      <c r="B19149" s="1" t="n">
        <v>45728</v>
      </c>
      <c r="C19149" s="1" t="n">
        <v>45810</v>
      </c>
      <c r="D19149" t="inlineStr">
        <is>
          <t>VÄRMLANDS LÄN</t>
        </is>
      </c>
      <c r="E19149" t="inlineStr">
        <is>
          <t>ARVIKA</t>
        </is>
      </c>
      <c r="G19149" t="n">
        <v>0.3</v>
      </c>
      <c r="H19149" t="n">
        <v>0</v>
      </c>
      <c r="I19149" t="n">
        <v>0</v>
      </c>
      <c r="J19149" t="n">
        <v>0</v>
      </c>
      <c r="K19149" t="n">
        <v>0</v>
      </c>
      <c r="L19149" t="n">
        <v>0</v>
      </c>
      <c r="M19149" t="n">
        <v>0</v>
      </c>
      <c r="N19149" t="n">
        <v>0</v>
      </c>
      <c r="O19149" t="n">
        <v>0</v>
      </c>
      <c r="P19149" t="n">
        <v>0</v>
      </c>
      <c r="Q19149" t="n">
        <v>0</v>
      </c>
      <c r="R19149" s="2" t="inlineStr"/>
    </row>
    <row r="19150" ht="15" customHeight="1">
      <c r="A19150" t="inlineStr">
        <is>
          <t>A 11900-2025</t>
        </is>
      </c>
      <c r="B19150" s="1" t="n">
        <v>45728</v>
      </c>
      <c r="C19150" s="1" t="n">
        <v>45810</v>
      </c>
      <c r="D19150" t="inlineStr">
        <is>
          <t>VÄRMLANDS LÄN</t>
        </is>
      </c>
      <c r="E19150" t="inlineStr">
        <is>
          <t>HAGFORS</t>
        </is>
      </c>
      <c r="G19150" t="n">
        <v>11.7</v>
      </c>
      <c r="H19150" t="n">
        <v>0</v>
      </c>
      <c r="I19150" t="n">
        <v>0</v>
      </c>
      <c r="J19150" t="n">
        <v>0</v>
      </c>
      <c r="K19150" t="n">
        <v>0</v>
      </c>
      <c r="L19150" t="n">
        <v>0</v>
      </c>
      <c r="M19150" t="n">
        <v>0</v>
      </c>
      <c r="N19150" t="n">
        <v>0</v>
      </c>
      <c r="O19150" t="n">
        <v>0</v>
      </c>
      <c r="P19150" t="n">
        <v>0</v>
      </c>
      <c r="Q19150" t="n">
        <v>0</v>
      </c>
      <c r="R19150" s="2" t="inlineStr"/>
    </row>
    <row r="19151" ht="15" customHeight="1">
      <c r="A19151" t="inlineStr">
        <is>
          <t>A 11914-2025</t>
        </is>
      </c>
      <c r="B19151" s="1" t="n">
        <v>45728</v>
      </c>
      <c r="C19151" s="1" t="n">
        <v>45810</v>
      </c>
      <c r="D19151" t="inlineStr">
        <is>
          <t>VÄRMLANDS LÄN</t>
        </is>
      </c>
      <c r="E19151" t="inlineStr">
        <is>
          <t>SÄFFLE</t>
        </is>
      </c>
      <c r="G19151" t="n">
        <v>3.5</v>
      </c>
      <c r="H19151" t="n">
        <v>0</v>
      </c>
      <c r="I19151" t="n">
        <v>0</v>
      </c>
      <c r="J19151" t="n">
        <v>0</v>
      </c>
      <c r="K19151" t="n">
        <v>0</v>
      </c>
      <c r="L19151" t="n">
        <v>0</v>
      </c>
      <c r="M19151" t="n">
        <v>0</v>
      </c>
      <c r="N19151" t="n">
        <v>0</v>
      </c>
      <c r="O19151" t="n">
        <v>0</v>
      </c>
      <c r="P19151" t="n">
        <v>0</v>
      </c>
      <c r="Q19151" t="n">
        <v>0</v>
      </c>
      <c r="R19151" s="2" t="inlineStr"/>
    </row>
    <row r="19152" ht="15" customHeight="1">
      <c r="A19152" t="inlineStr">
        <is>
          <t>A 11868-2025</t>
        </is>
      </c>
      <c r="B19152" s="1" t="n">
        <v>45728</v>
      </c>
      <c r="C19152" s="1" t="n">
        <v>45810</v>
      </c>
      <c r="D19152" t="inlineStr">
        <is>
          <t>VÄRMLANDS LÄN</t>
        </is>
      </c>
      <c r="E19152" t="inlineStr">
        <is>
          <t>TORSBY</t>
        </is>
      </c>
      <c r="G19152" t="n">
        <v>1</v>
      </c>
      <c r="H19152" t="n">
        <v>0</v>
      </c>
      <c r="I19152" t="n">
        <v>0</v>
      </c>
      <c r="J19152" t="n">
        <v>0</v>
      </c>
      <c r="K19152" t="n">
        <v>0</v>
      </c>
      <c r="L19152" t="n">
        <v>0</v>
      </c>
      <c r="M19152" t="n">
        <v>0</v>
      </c>
      <c r="N19152" t="n">
        <v>0</v>
      </c>
      <c r="O19152" t="n">
        <v>0</v>
      </c>
      <c r="P19152" t="n">
        <v>0</v>
      </c>
      <c r="Q19152" t="n">
        <v>0</v>
      </c>
      <c r="R19152" s="2" t="inlineStr"/>
    </row>
    <row r="19153" ht="15" customHeight="1">
      <c r="A19153" t="inlineStr">
        <is>
          <t>A 11813-2025</t>
        </is>
      </c>
      <c r="B19153" s="1" t="n">
        <v>45728</v>
      </c>
      <c r="C19153" s="1" t="n">
        <v>45810</v>
      </c>
      <c r="D19153" t="inlineStr">
        <is>
          <t>VÄRMLANDS LÄN</t>
        </is>
      </c>
      <c r="E19153" t="inlineStr">
        <is>
          <t>ÅRJÄNG</t>
        </is>
      </c>
      <c r="G19153" t="n">
        <v>2</v>
      </c>
      <c r="H19153" t="n">
        <v>0</v>
      </c>
      <c r="I19153" t="n">
        <v>0</v>
      </c>
      <c r="J19153" t="n">
        <v>0</v>
      </c>
      <c r="K19153" t="n">
        <v>0</v>
      </c>
      <c r="L19153" t="n">
        <v>0</v>
      </c>
      <c r="M19153" t="n">
        <v>0</v>
      </c>
      <c r="N19153" t="n">
        <v>0</v>
      </c>
      <c r="O19153" t="n">
        <v>0</v>
      </c>
      <c r="P19153" t="n">
        <v>0</v>
      </c>
      <c r="Q19153" t="n">
        <v>0</v>
      </c>
      <c r="R19153" s="2" t="inlineStr"/>
    </row>
    <row r="19154" ht="15" customHeight="1">
      <c r="A19154" t="inlineStr">
        <is>
          <t>A 11919-2025</t>
        </is>
      </c>
      <c r="B19154" s="1" t="n">
        <v>45728</v>
      </c>
      <c r="C19154" s="1" t="n">
        <v>45810</v>
      </c>
      <c r="D19154" t="inlineStr">
        <is>
          <t>VÄRMLANDS LÄN</t>
        </is>
      </c>
      <c r="E19154" t="inlineStr">
        <is>
          <t>SÄFFLE</t>
        </is>
      </c>
      <c r="G19154" t="n">
        <v>6.5</v>
      </c>
      <c r="H19154" t="n">
        <v>0</v>
      </c>
      <c r="I19154" t="n">
        <v>0</v>
      </c>
      <c r="J19154" t="n">
        <v>0</v>
      </c>
      <c r="K19154" t="n">
        <v>0</v>
      </c>
      <c r="L19154" t="n">
        <v>0</v>
      </c>
      <c r="M19154" t="n">
        <v>0</v>
      </c>
      <c r="N19154" t="n">
        <v>0</v>
      </c>
      <c r="O19154" t="n">
        <v>0</v>
      </c>
      <c r="P19154" t="n">
        <v>0</v>
      </c>
      <c r="Q19154" t="n">
        <v>0</v>
      </c>
      <c r="R19154" s="2" t="inlineStr"/>
    </row>
    <row r="19155" ht="15" customHeight="1">
      <c r="A19155" t="inlineStr">
        <is>
          <t>A 11999-2025</t>
        </is>
      </c>
      <c r="B19155" s="1" t="n">
        <v>45728</v>
      </c>
      <c r="C19155" s="1" t="n">
        <v>45810</v>
      </c>
      <c r="D19155" t="inlineStr">
        <is>
          <t>VÄRMLANDS LÄN</t>
        </is>
      </c>
      <c r="E19155" t="inlineStr">
        <is>
          <t>KRISTINEHAMN</t>
        </is>
      </c>
      <c r="G19155" t="n">
        <v>0.7</v>
      </c>
      <c r="H19155" t="n">
        <v>0</v>
      </c>
      <c r="I19155" t="n">
        <v>0</v>
      </c>
      <c r="J19155" t="n">
        <v>0</v>
      </c>
      <c r="K19155" t="n">
        <v>0</v>
      </c>
      <c r="L19155" t="n">
        <v>0</v>
      </c>
      <c r="M19155" t="n">
        <v>0</v>
      </c>
      <c r="N19155" t="n">
        <v>0</v>
      </c>
      <c r="O19155" t="n">
        <v>0</v>
      </c>
      <c r="P19155" t="n">
        <v>0</v>
      </c>
      <c r="Q19155" t="n">
        <v>0</v>
      </c>
      <c r="R19155" s="2" t="inlineStr"/>
    </row>
    <row r="19156" ht="15" customHeight="1">
      <c r="A19156" t="inlineStr">
        <is>
          <t>A 11899-2025</t>
        </is>
      </c>
      <c r="B19156" s="1" t="n">
        <v>45728</v>
      </c>
      <c r="C19156" s="1" t="n">
        <v>45810</v>
      </c>
      <c r="D19156" t="inlineStr">
        <is>
          <t>VÄRMLANDS LÄN</t>
        </is>
      </c>
      <c r="E19156" t="inlineStr">
        <is>
          <t>ÅRJÄNG</t>
        </is>
      </c>
      <c r="G19156" t="n">
        <v>3.9</v>
      </c>
      <c r="H19156" t="n">
        <v>0</v>
      </c>
      <c r="I19156" t="n">
        <v>0</v>
      </c>
      <c r="J19156" t="n">
        <v>0</v>
      </c>
      <c r="K19156" t="n">
        <v>0</v>
      </c>
      <c r="L19156" t="n">
        <v>0</v>
      </c>
      <c r="M19156" t="n">
        <v>0</v>
      </c>
      <c r="N19156" t="n">
        <v>0</v>
      </c>
      <c r="O19156" t="n">
        <v>0</v>
      </c>
      <c r="P19156" t="n">
        <v>0</v>
      </c>
      <c r="Q19156" t="n">
        <v>0</v>
      </c>
      <c r="R19156" s="2" t="inlineStr"/>
    </row>
    <row r="19157" ht="15" customHeight="1">
      <c r="A19157" t="inlineStr">
        <is>
          <t>A 11935-2025</t>
        </is>
      </c>
      <c r="B19157" s="1" t="n">
        <v>45728</v>
      </c>
      <c r="C19157" s="1" t="n">
        <v>45810</v>
      </c>
      <c r="D19157" t="inlineStr">
        <is>
          <t>VÄRMLANDS LÄN</t>
        </is>
      </c>
      <c r="E19157" t="inlineStr">
        <is>
          <t>SÄFFLE</t>
        </is>
      </c>
      <c r="G19157" t="n">
        <v>0.6</v>
      </c>
      <c r="H19157" t="n">
        <v>0</v>
      </c>
      <c r="I19157" t="n">
        <v>0</v>
      </c>
      <c r="J19157" t="n">
        <v>0</v>
      </c>
      <c r="K19157" t="n">
        <v>0</v>
      </c>
      <c r="L19157" t="n">
        <v>0</v>
      </c>
      <c r="M19157" t="n">
        <v>0</v>
      </c>
      <c r="N19157" t="n">
        <v>0</v>
      </c>
      <c r="O19157" t="n">
        <v>0</v>
      </c>
      <c r="P19157" t="n">
        <v>0</v>
      </c>
      <c r="Q19157" t="n">
        <v>0</v>
      </c>
      <c r="R19157" s="2" t="inlineStr"/>
    </row>
    <row r="19158" ht="15" customHeight="1">
      <c r="A19158" t="inlineStr">
        <is>
          <t>A 11895-2025</t>
        </is>
      </c>
      <c r="B19158" s="1" t="n">
        <v>45728</v>
      </c>
      <c r="C19158" s="1" t="n">
        <v>45810</v>
      </c>
      <c r="D19158" t="inlineStr">
        <is>
          <t>VÄRMLANDS LÄN</t>
        </is>
      </c>
      <c r="E19158" t="inlineStr">
        <is>
          <t>KARLSTAD</t>
        </is>
      </c>
      <c r="G19158" t="n">
        <v>0.9</v>
      </c>
      <c r="H19158" t="n">
        <v>0</v>
      </c>
      <c r="I19158" t="n">
        <v>0</v>
      </c>
      <c r="J19158" t="n">
        <v>0</v>
      </c>
      <c r="K19158" t="n">
        <v>0</v>
      </c>
      <c r="L19158" t="n">
        <v>0</v>
      </c>
      <c r="M19158" t="n">
        <v>0</v>
      </c>
      <c r="N19158" t="n">
        <v>0</v>
      </c>
      <c r="O19158" t="n">
        <v>0</v>
      </c>
      <c r="P19158" t="n">
        <v>0</v>
      </c>
      <c r="Q19158" t="n">
        <v>0</v>
      </c>
      <c r="R19158" s="2" t="inlineStr"/>
    </row>
    <row r="19159" ht="15" customHeight="1">
      <c r="A19159" t="inlineStr">
        <is>
          <t>A 11910-2025</t>
        </is>
      </c>
      <c r="B19159" s="1" t="n">
        <v>45728</v>
      </c>
      <c r="C19159" s="1" t="n">
        <v>45810</v>
      </c>
      <c r="D19159" t="inlineStr">
        <is>
          <t>VÄRMLANDS LÄN</t>
        </is>
      </c>
      <c r="E19159" t="inlineStr">
        <is>
          <t>SÄFFLE</t>
        </is>
      </c>
      <c r="G19159" t="n">
        <v>6.5</v>
      </c>
      <c r="H19159" t="n">
        <v>0</v>
      </c>
      <c r="I19159" t="n">
        <v>0</v>
      </c>
      <c r="J19159" t="n">
        <v>0</v>
      </c>
      <c r="K19159" t="n">
        <v>0</v>
      </c>
      <c r="L19159" t="n">
        <v>0</v>
      </c>
      <c r="M19159" t="n">
        <v>0</v>
      </c>
      <c r="N19159" t="n">
        <v>0</v>
      </c>
      <c r="O19159" t="n">
        <v>0</v>
      </c>
      <c r="P19159" t="n">
        <v>0</v>
      </c>
      <c r="Q19159" t="n">
        <v>0</v>
      </c>
      <c r="R19159" s="2" t="inlineStr"/>
    </row>
    <row r="19160" ht="15" customHeight="1">
      <c r="A19160" t="inlineStr">
        <is>
          <t>A 11913-2025</t>
        </is>
      </c>
      <c r="B19160" s="1" t="n">
        <v>45728</v>
      </c>
      <c r="C19160" s="1" t="n">
        <v>45810</v>
      </c>
      <c r="D19160" t="inlineStr">
        <is>
          <t>VÄRMLANDS LÄN</t>
        </is>
      </c>
      <c r="E19160" t="inlineStr">
        <is>
          <t>ARVIKA</t>
        </is>
      </c>
      <c r="G19160" t="n">
        <v>1.1</v>
      </c>
      <c r="H19160" t="n">
        <v>0</v>
      </c>
      <c r="I19160" t="n">
        <v>0</v>
      </c>
      <c r="J19160" t="n">
        <v>0</v>
      </c>
      <c r="K19160" t="n">
        <v>0</v>
      </c>
      <c r="L19160" t="n">
        <v>0</v>
      </c>
      <c r="M19160" t="n">
        <v>0</v>
      </c>
      <c r="N19160" t="n">
        <v>0</v>
      </c>
      <c r="O19160" t="n">
        <v>0</v>
      </c>
      <c r="P19160" t="n">
        <v>0</v>
      </c>
      <c r="Q19160" t="n">
        <v>0</v>
      </c>
      <c r="R19160" s="2" t="inlineStr"/>
    </row>
    <row r="19161" ht="15" customHeight="1">
      <c r="A19161" t="inlineStr">
        <is>
          <t>A 11969-2025</t>
        </is>
      </c>
      <c r="B19161" s="1" t="n">
        <v>45728</v>
      </c>
      <c r="C19161" s="1" t="n">
        <v>45810</v>
      </c>
      <c r="D19161" t="inlineStr">
        <is>
          <t>VÄRMLANDS LÄN</t>
        </is>
      </c>
      <c r="E19161" t="inlineStr">
        <is>
          <t>ARVIKA</t>
        </is>
      </c>
      <c r="G19161" t="n">
        <v>4</v>
      </c>
      <c r="H19161" t="n">
        <v>0</v>
      </c>
      <c r="I19161" t="n">
        <v>0</v>
      </c>
      <c r="J19161" t="n">
        <v>0</v>
      </c>
      <c r="K19161" t="n">
        <v>0</v>
      </c>
      <c r="L19161" t="n">
        <v>0</v>
      </c>
      <c r="M19161" t="n">
        <v>0</v>
      </c>
      <c r="N19161" t="n">
        <v>0</v>
      </c>
      <c r="O19161" t="n">
        <v>0</v>
      </c>
      <c r="P19161" t="n">
        <v>0</v>
      </c>
      <c r="Q19161" t="n">
        <v>0</v>
      </c>
      <c r="R19161" s="2" t="inlineStr"/>
    </row>
    <row r="19162" ht="15" customHeight="1">
      <c r="A19162" t="inlineStr">
        <is>
          <t>A 11904-2025</t>
        </is>
      </c>
      <c r="B19162" s="1" t="n">
        <v>45728</v>
      </c>
      <c r="C19162" s="1" t="n">
        <v>45810</v>
      </c>
      <c r="D19162" t="inlineStr">
        <is>
          <t>VÄRMLANDS LÄN</t>
        </is>
      </c>
      <c r="E19162" t="inlineStr">
        <is>
          <t>SÄFFLE</t>
        </is>
      </c>
      <c r="G19162" t="n">
        <v>9</v>
      </c>
      <c r="H19162" t="n">
        <v>0</v>
      </c>
      <c r="I19162" t="n">
        <v>0</v>
      </c>
      <c r="J19162" t="n">
        <v>0</v>
      </c>
      <c r="K19162" t="n">
        <v>0</v>
      </c>
      <c r="L19162" t="n">
        <v>0</v>
      </c>
      <c r="M19162" t="n">
        <v>0</v>
      </c>
      <c r="N19162" t="n">
        <v>0</v>
      </c>
      <c r="O19162" t="n">
        <v>0</v>
      </c>
      <c r="P19162" t="n">
        <v>0</v>
      </c>
      <c r="Q19162" t="n">
        <v>0</v>
      </c>
      <c r="R19162" s="2" t="inlineStr"/>
    </row>
    <row r="19163" ht="15" customHeight="1">
      <c r="A19163" t="inlineStr">
        <is>
          <t>A 11815-2025</t>
        </is>
      </c>
      <c r="B19163" s="1" t="n">
        <v>45728</v>
      </c>
      <c r="C19163" s="1" t="n">
        <v>45810</v>
      </c>
      <c r="D19163" t="inlineStr">
        <is>
          <t>VÄRMLANDS LÄN</t>
        </is>
      </c>
      <c r="E19163" t="inlineStr">
        <is>
          <t>ÅRJÄNG</t>
        </is>
      </c>
      <c r="G19163" t="n">
        <v>2.2</v>
      </c>
      <c r="H19163" t="n">
        <v>0</v>
      </c>
      <c r="I19163" t="n">
        <v>0</v>
      </c>
      <c r="J19163" t="n">
        <v>0</v>
      </c>
      <c r="K19163" t="n">
        <v>0</v>
      </c>
      <c r="L19163" t="n">
        <v>0</v>
      </c>
      <c r="M19163" t="n">
        <v>0</v>
      </c>
      <c r="N19163" t="n">
        <v>0</v>
      </c>
      <c r="O19163" t="n">
        <v>0</v>
      </c>
      <c r="P19163" t="n">
        <v>0</v>
      </c>
      <c r="Q19163" t="n">
        <v>0</v>
      </c>
      <c r="R19163" s="2" t="inlineStr"/>
    </row>
    <row r="19164" ht="15" customHeight="1">
      <c r="A19164" t="inlineStr">
        <is>
          <t>A 11885-2025</t>
        </is>
      </c>
      <c r="B19164" s="1" t="n">
        <v>45728</v>
      </c>
      <c r="C19164" s="1" t="n">
        <v>45810</v>
      </c>
      <c r="D19164" t="inlineStr">
        <is>
          <t>VÄRMLANDS LÄN</t>
        </is>
      </c>
      <c r="E19164" t="inlineStr">
        <is>
          <t>GRUMS</t>
        </is>
      </c>
      <c r="G19164" t="n">
        <v>2</v>
      </c>
      <c r="H19164" t="n">
        <v>0</v>
      </c>
      <c r="I19164" t="n">
        <v>0</v>
      </c>
      <c r="J19164" t="n">
        <v>0</v>
      </c>
      <c r="K19164" t="n">
        <v>0</v>
      </c>
      <c r="L19164" t="n">
        <v>0</v>
      </c>
      <c r="M19164" t="n">
        <v>0</v>
      </c>
      <c r="N19164" t="n">
        <v>0</v>
      </c>
      <c r="O19164" t="n">
        <v>0</v>
      </c>
      <c r="P19164" t="n">
        <v>0</v>
      </c>
      <c r="Q19164" t="n">
        <v>0</v>
      </c>
      <c r="R19164" s="2" t="inlineStr"/>
    </row>
    <row r="19165" ht="15" customHeight="1">
      <c r="A19165" t="inlineStr">
        <is>
          <t>A 11965-2025</t>
        </is>
      </c>
      <c r="B19165" s="1" t="n">
        <v>45728</v>
      </c>
      <c r="C19165" s="1" t="n">
        <v>45810</v>
      </c>
      <c r="D19165" t="inlineStr">
        <is>
          <t>VÄRMLANDS LÄN</t>
        </is>
      </c>
      <c r="E19165" t="inlineStr">
        <is>
          <t>SÄFFLE</t>
        </is>
      </c>
      <c r="G19165" t="n">
        <v>3</v>
      </c>
      <c r="H19165" t="n">
        <v>0</v>
      </c>
      <c r="I19165" t="n">
        <v>0</v>
      </c>
      <c r="J19165" t="n">
        <v>0</v>
      </c>
      <c r="K19165" t="n">
        <v>0</v>
      </c>
      <c r="L19165" t="n">
        <v>0</v>
      </c>
      <c r="M19165" t="n">
        <v>0</v>
      </c>
      <c r="N19165" t="n">
        <v>0</v>
      </c>
      <c r="O19165" t="n">
        <v>0</v>
      </c>
      <c r="P19165" t="n">
        <v>0</v>
      </c>
      <c r="Q19165" t="n">
        <v>0</v>
      </c>
      <c r="R19165" s="2" t="inlineStr"/>
    </row>
    <row r="19166" ht="15" customHeight="1">
      <c r="A19166" t="inlineStr">
        <is>
          <t>A 11862-2025</t>
        </is>
      </c>
      <c r="B19166" s="1" t="n">
        <v>45728</v>
      </c>
      <c r="C19166" s="1" t="n">
        <v>45810</v>
      </c>
      <c r="D19166" t="inlineStr">
        <is>
          <t>VÄRMLANDS LÄN</t>
        </is>
      </c>
      <c r="E19166" t="inlineStr">
        <is>
          <t>KIL</t>
        </is>
      </c>
      <c r="G19166" t="n">
        <v>0.9</v>
      </c>
      <c r="H19166" t="n">
        <v>0</v>
      </c>
      <c r="I19166" t="n">
        <v>0</v>
      </c>
      <c r="J19166" t="n">
        <v>0</v>
      </c>
      <c r="K19166" t="n">
        <v>0</v>
      </c>
      <c r="L19166" t="n">
        <v>0</v>
      </c>
      <c r="M19166" t="n">
        <v>0</v>
      </c>
      <c r="N19166" t="n">
        <v>0</v>
      </c>
      <c r="O19166" t="n">
        <v>0</v>
      </c>
      <c r="P19166" t="n">
        <v>0</v>
      </c>
      <c r="Q19166" t="n">
        <v>0</v>
      </c>
      <c r="R19166" s="2" t="inlineStr"/>
    </row>
    <row r="19167" ht="15" customHeight="1">
      <c r="A19167" t="inlineStr">
        <is>
          <t>A 11874-2025</t>
        </is>
      </c>
      <c r="B19167" s="1" t="n">
        <v>45728</v>
      </c>
      <c r="C19167" s="1" t="n">
        <v>45810</v>
      </c>
      <c r="D19167" t="inlineStr">
        <is>
          <t>VÄRMLANDS LÄN</t>
        </is>
      </c>
      <c r="E19167" t="inlineStr">
        <is>
          <t>ÅRJÄNG</t>
        </is>
      </c>
      <c r="F19167" t="inlineStr">
        <is>
          <t>Övriga Aktiebolag</t>
        </is>
      </c>
      <c r="G19167" t="n">
        <v>3.5</v>
      </c>
      <c r="H19167" t="n">
        <v>0</v>
      </c>
      <c r="I19167" t="n">
        <v>0</v>
      </c>
      <c r="J19167" t="n">
        <v>0</v>
      </c>
      <c r="K19167" t="n">
        <v>0</v>
      </c>
      <c r="L19167" t="n">
        <v>0</v>
      </c>
      <c r="M19167" t="n">
        <v>0</v>
      </c>
      <c r="N19167" t="n">
        <v>0</v>
      </c>
      <c r="O19167" t="n">
        <v>0</v>
      </c>
      <c r="P19167" t="n">
        <v>0</v>
      </c>
      <c r="Q19167" t="n">
        <v>0</v>
      </c>
      <c r="R19167" s="2" t="inlineStr"/>
    </row>
    <row r="19168" ht="15" customHeight="1">
      <c r="A19168" t="inlineStr">
        <is>
          <t>A 11890-2025</t>
        </is>
      </c>
      <c r="B19168" s="1" t="n">
        <v>45728</v>
      </c>
      <c r="C19168" s="1" t="n">
        <v>45810</v>
      </c>
      <c r="D19168" t="inlineStr">
        <is>
          <t>VÄRMLANDS LÄN</t>
        </is>
      </c>
      <c r="E19168" t="inlineStr">
        <is>
          <t>ARVIKA</t>
        </is>
      </c>
      <c r="G19168" t="n">
        <v>1.5</v>
      </c>
      <c r="H19168" t="n">
        <v>0</v>
      </c>
      <c r="I19168" t="n">
        <v>0</v>
      </c>
      <c r="J19168" t="n">
        <v>0</v>
      </c>
      <c r="K19168" t="n">
        <v>0</v>
      </c>
      <c r="L19168" t="n">
        <v>0</v>
      </c>
      <c r="M19168" t="n">
        <v>0</v>
      </c>
      <c r="N19168" t="n">
        <v>0</v>
      </c>
      <c r="O19168" t="n">
        <v>0</v>
      </c>
      <c r="P19168" t="n">
        <v>0</v>
      </c>
      <c r="Q19168" t="n">
        <v>0</v>
      </c>
      <c r="R19168" s="2" t="inlineStr"/>
    </row>
    <row r="19169" ht="15" customHeight="1">
      <c r="A19169" t="inlineStr">
        <is>
          <t>A 11963-2025</t>
        </is>
      </c>
      <c r="B19169" s="1" t="n">
        <v>45728</v>
      </c>
      <c r="C19169" s="1" t="n">
        <v>45810</v>
      </c>
      <c r="D19169" t="inlineStr">
        <is>
          <t>VÄRMLANDS LÄN</t>
        </is>
      </c>
      <c r="E19169" t="inlineStr">
        <is>
          <t>TORSBY</t>
        </is>
      </c>
      <c r="G19169" t="n">
        <v>23.4</v>
      </c>
      <c r="H19169" t="n">
        <v>0</v>
      </c>
      <c r="I19169" t="n">
        <v>0</v>
      </c>
      <c r="J19169" t="n">
        <v>0</v>
      </c>
      <c r="K19169" t="n">
        <v>0</v>
      </c>
      <c r="L19169" t="n">
        <v>0</v>
      </c>
      <c r="M19169" t="n">
        <v>0</v>
      </c>
      <c r="N19169" t="n">
        <v>0</v>
      </c>
      <c r="O19169" t="n">
        <v>0</v>
      </c>
      <c r="P19169" t="n">
        <v>0</v>
      </c>
      <c r="Q19169" t="n">
        <v>0</v>
      </c>
      <c r="R19169" s="2" t="inlineStr"/>
    </row>
    <row r="19170" ht="15" customHeight="1">
      <c r="A19170" t="inlineStr">
        <is>
          <t>A 12091-2025</t>
        </is>
      </c>
      <c r="B19170" s="1" t="n">
        <v>45728</v>
      </c>
      <c r="C19170" s="1" t="n">
        <v>45810</v>
      </c>
      <c r="D19170" t="inlineStr">
        <is>
          <t>VÄRMLANDS LÄN</t>
        </is>
      </c>
      <c r="E19170" t="inlineStr">
        <is>
          <t>EDA</t>
        </is>
      </c>
      <c r="G19170" t="n">
        <v>1.9</v>
      </c>
      <c r="H19170" t="n">
        <v>0</v>
      </c>
      <c r="I19170" t="n">
        <v>0</v>
      </c>
      <c r="J19170" t="n">
        <v>0</v>
      </c>
      <c r="K19170" t="n">
        <v>0</v>
      </c>
      <c r="L19170" t="n">
        <v>0</v>
      </c>
      <c r="M19170" t="n">
        <v>0</v>
      </c>
      <c r="N19170" t="n">
        <v>0</v>
      </c>
      <c r="O19170" t="n">
        <v>0</v>
      </c>
      <c r="P19170" t="n">
        <v>0</v>
      </c>
      <c r="Q19170" t="n">
        <v>0</v>
      </c>
      <c r="R19170" s="2" t="inlineStr"/>
    </row>
    <row r="19171" ht="15" customHeight="1">
      <c r="A19171" t="inlineStr">
        <is>
          <t>A 12271-2025</t>
        </is>
      </c>
      <c r="B19171" s="1" t="n">
        <v>45729</v>
      </c>
      <c r="C19171" s="1" t="n">
        <v>45810</v>
      </c>
      <c r="D19171" t="inlineStr">
        <is>
          <t>VÄRMLANDS LÄN</t>
        </is>
      </c>
      <c r="E19171" t="inlineStr">
        <is>
          <t>SUNNE</t>
        </is>
      </c>
      <c r="G19171" t="n">
        <v>2</v>
      </c>
      <c r="H19171" t="n">
        <v>0</v>
      </c>
      <c r="I19171" t="n">
        <v>0</v>
      </c>
      <c r="J19171" t="n">
        <v>0</v>
      </c>
      <c r="K19171" t="n">
        <v>0</v>
      </c>
      <c r="L19171" t="n">
        <v>0</v>
      </c>
      <c r="M19171" t="n">
        <v>0</v>
      </c>
      <c r="N19171" t="n">
        <v>0</v>
      </c>
      <c r="O19171" t="n">
        <v>0</v>
      </c>
      <c r="P19171" t="n">
        <v>0</v>
      </c>
      <c r="Q19171" t="n">
        <v>0</v>
      </c>
      <c r="R19171" s="2" t="inlineStr"/>
    </row>
    <row r="19172" ht="15" customHeight="1">
      <c r="A19172" t="inlineStr">
        <is>
          <t>A 12197-2025</t>
        </is>
      </c>
      <c r="B19172" s="1" t="n">
        <v>45729</v>
      </c>
      <c r="C19172" s="1" t="n">
        <v>45810</v>
      </c>
      <c r="D19172" t="inlineStr">
        <is>
          <t>VÄRMLANDS LÄN</t>
        </is>
      </c>
      <c r="E19172" t="inlineStr">
        <is>
          <t>HAGFORS</t>
        </is>
      </c>
      <c r="F19172" t="inlineStr">
        <is>
          <t>Bergvik skog väst AB</t>
        </is>
      </c>
      <c r="G19172" t="n">
        <v>0.7</v>
      </c>
      <c r="H19172" t="n">
        <v>0</v>
      </c>
      <c r="I19172" t="n">
        <v>0</v>
      </c>
      <c r="J19172" t="n">
        <v>0</v>
      </c>
      <c r="K19172" t="n">
        <v>0</v>
      </c>
      <c r="L19172" t="n">
        <v>0</v>
      </c>
      <c r="M19172" t="n">
        <v>0</v>
      </c>
      <c r="N19172" t="n">
        <v>0</v>
      </c>
      <c r="O19172" t="n">
        <v>0</v>
      </c>
      <c r="P19172" t="n">
        <v>0</v>
      </c>
      <c r="Q19172" t="n">
        <v>0</v>
      </c>
      <c r="R19172" s="2" t="inlineStr"/>
    </row>
    <row r="19173" ht="15" customHeight="1">
      <c r="A19173" t="inlineStr">
        <is>
          <t>A 12125-2025</t>
        </is>
      </c>
      <c r="B19173" s="1" t="n">
        <v>45729</v>
      </c>
      <c r="C19173" s="1" t="n">
        <v>45810</v>
      </c>
      <c r="D19173" t="inlineStr">
        <is>
          <t>VÄRMLANDS LÄN</t>
        </is>
      </c>
      <c r="E19173" t="inlineStr">
        <is>
          <t>STORFORS</t>
        </is>
      </c>
      <c r="F19173" t="inlineStr">
        <is>
          <t>Bergvik skog väst AB</t>
        </is>
      </c>
      <c r="G19173" t="n">
        <v>2.2</v>
      </c>
      <c r="H19173" t="n">
        <v>0</v>
      </c>
      <c r="I19173" t="n">
        <v>0</v>
      </c>
      <c r="J19173" t="n">
        <v>0</v>
      </c>
      <c r="K19173" t="n">
        <v>0</v>
      </c>
      <c r="L19173" t="n">
        <v>0</v>
      </c>
      <c r="M19173" t="n">
        <v>0</v>
      </c>
      <c r="N19173" t="n">
        <v>0</v>
      </c>
      <c r="O19173" t="n">
        <v>0</v>
      </c>
      <c r="P19173" t="n">
        <v>0</v>
      </c>
      <c r="Q19173" t="n">
        <v>0</v>
      </c>
      <c r="R19173" s="2" t="inlineStr"/>
    </row>
    <row r="19174" ht="15" customHeight="1">
      <c r="A19174" t="inlineStr">
        <is>
          <t>A 12128-2025</t>
        </is>
      </c>
      <c r="B19174" s="1" t="n">
        <v>45729</v>
      </c>
      <c r="C19174" s="1" t="n">
        <v>45810</v>
      </c>
      <c r="D19174" t="inlineStr">
        <is>
          <t>VÄRMLANDS LÄN</t>
        </is>
      </c>
      <c r="E19174" t="inlineStr">
        <is>
          <t>STORFORS</t>
        </is>
      </c>
      <c r="F19174" t="inlineStr">
        <is>
          <t>Bergvik skog väst AB</t>
        </is>
      </c>
      <c r="G19174" t="n">
        <v>2</v>
      </c>
      <c r="H19174" t="n">
        <v>0</v>
      </c>
      <c r="I19174" t="n">
        <v>0</v>
      </c>
      <c r="J19174" t="n">
        <v>0</v>
      </c>
      <c r="K19174" t="n">
        <v>0</v>
      </c>
      <c r="L19174" t="n">
        <v>0</v>
      </c>
      <c r="M19174" t="n">
        <v>0</v>
      </c>
      <c r="N19174" t="n">
        <v>0</v>
      </c>
      <c r="O19174" t="n">
        <v>0</v>
      </c>
      <c r="P19174" t="n">
        <v>0</v>
      </c>
      <c r="Q19174" t="n">
        <v>0</v>
      </c>
      <c r="R19174" s="2" t="inlineStr"/>
    </row>
    <row r="19175" ht="15" customHeight="1">
      <c r="A19175" t="inlineStr">
        <is>
          <t>A 12126-2025</t>
        </is>
      </c>
      <c r="B19175" s="1" t="n">
        <v>45729</v>
      </c>
      <c r="C19175" s="1" t="n">
        <v>45810</v>
      </c>
      <c r="D19175" t="inlineStr">
        <is>
          <t>VÄRMLANDS LÄN</t>
        </is>
      </c>
      <c r="E19175" t="inlineStr">
        <is>
          <t>STORFORS</t>
        </is>
      </c>
      <c r="F19175" t="inlineStr">
        <is>
          <t>Bergvik skog väst AB</t>
        </is>
      </c>
      <c r="G19175" t="n">
        <v>5.1</v>
      </c>
      <c r="H19175" t="n">
        <v>0</v>
      </c>
      <c r="I19175" t="n">
        <v>0</v>
      </c>
      <c r="J19175" t="n">
        <v>0</v>
      </c>
      <c r="K19175" t="n">
        <v>0</v>
      </c>
      <c r="L19175" t="n">
        <v>0</v>
      </c>
      <c r="M19175" t="n">
        <v>0</v>
      </c>
      <c r="N19175" t="n">
        <v>0</v>
      </c>
      <c r="O19175" t="n">
        <v>0</v>
      </c>
      <c r="P19175" t="n">
        <v>0</v>
      </c>
      <c r="Q19175" t="n">
        <v>0</v>
      </c>
      <c r="R19175" s="2" t="inlineStr"/>
    </row>
    <row r="19176" ht="15" customHeight="1">
      <c r="A19176" t="inlineStr">
        <is>
          <t>A 12132-2025</t>
        </is>
      </c>
      <c r="B19176" s="1" t="n">
        <v>45729</v>
      </c>
      <c r="C19176" s="1" t="n">
        <v>45810</v>
      </c>
      <c r="D19176" t="inlineStr">
        <is>
          <t>VÄRMLANDS LÄN</t>
        </is>
      </c>
      <c r="E19176" t="inlineStr">
        <is>
          <t>STORFORS</t>
        </is>
      </c>
      <c r="F19176" t="inlineStr">
        <is>
          <t>Bergvik skog väst AB</t>
        </is>
      </c>
      <c r="G19176" t="n">
        <v>24.9</v>
      </c>
      <c r="H19176" t="n">
        <v>0</v>
      </c>
      <c r="I19176" t="n">
        <v>0</v>
      </c>
      <c r="J19176" t="n">
        <v>0</v>
      </c>
      <c r="K19176" t="n">
        <v>0</v>
      </c>
      <c r="L19176" t="n">
        <v>0</v>
      </c>
      <c r="M19176" t="n">
        <v>0</v>
      </c>
      <c r="N19176" t="n">
        <v>0</v>
      </c>
      <c r="O19176" t="n">
        <v>0</v>
      </c>
      <c r="P19176" t="n">
        <v>0</v>
      </c>
      <c r="Q19176" t="n">
        <v>0</v>
      </c>
      <c r="R19176" s="2" t="inlineStr"/>
    </row>
    <row r="19177" ht="15" customHeight="1">
      <c r="A19177" t="inlineStr">
        <is>
          <t>A 12164-2025</t>
        </is>
      </c>
      <c r="B19177" s="1" t="n">
        <v>45729</v>
      </c>
      <c r="C19177" s="1" t="n">
        <v>45810</v>
      </c>
      <c r="D19177" t="inlineStr">
        <is>
          <t>VÄRMLANDS LÄN</t>
        </is>
      </c>
      <c r="E19177" t="inlineStr">
        <is>
          <t>ARVIKA</t>
        </is>
      </c>
      <c r="F19177" t="inlineStr">
        <is>
          <t>Bergvik skog väst AB</t>
        </is>
      </c>
      <c r="G19177" t="n">
        <v>1.6</v>
      </c>
      <c r="H19177" t="n">
        <v>0</v>
      </c>
      <c r="I19177" t="n">
        <v>0</v>
      </c>
      <c r="J19177" t="n">
        <v>0</v>
      </c>
      <c r="K19177" t="n">
        <v>0</v>
      </c>
      <c r="L19177" t="n">
        <v>0</v>
      </c>
      <c r="M19177" t="n">
        <v>0</v>
      </c>
      <c r="N19177" t="n">
        <v>0</v>
      </c>
      <c r="O19177" t="n">
        <v>0</v>
      </c>
      <c r="P19177" t="n">
        <v>0</v>
      </c>
      <c r="Q19177" t="n">
        <v>0</v>
      </c>
      <c r="R19177" s="2" t="inlineStr"/>
    </row>
    <row r="19178" ht="15" customHeight="1">
      <c r="A19178" t="inlineStr">
        <is>
          <t>A 12167-2025</t>
        </is>
      </c>
      <c r="B19178" s="1" t="n">
        <v>45729</v>
      </c>
      <c r="C19178" s="1" t="n">
        <v>45810</v>
      </c>
      <c r="D19178" t="inlineStr">
        <is>
          <t>VÄRMLANDS LÄN</t>
        </is>
      </c>
      <c r="E19178" t="inlineStr">
        <is>
          <t>ARVIKA</t>
        </is>
      </c>
      <c r="F19178" t="inlineStr">
        <is>
          <t>Bergvik skog väst AB</t>
        </is>
      </c>
      <c r="G19178" t="n">
        <v>0.7</v>
      </c>
      <c r="H19178" t="n">
        <v>0</v>
      </c>
      <c r="I19178" t="n">
        <v>0</v>
      </c>
      <c r="J19178" t="n">
        <v>0</v>
      </c>
      <c r="K19178" t="n">
        <v>0</v>
      </c>
      <c r="L19178" t="n">
        <v>0</v>
      </c>
      <c r="M19178" t="n">
        <v>0</v>
      </c>
      <c r="N19178" t="n">
        <v>0</v>
      </c>
      <c r="O19178" t="n">
        <v>0</v>
      </c>
      <c r="P19178" t="n">
        <v>0</v>
      </c>
      <c r="Q19178" t="n">
        <v>0</v>
      </c>
      <c r="R19178" s="2" t="inlineStr"/>
    </row>
    <row r="19179" ht="15" customHeight="1">
      <c r="A19179" t="inlineStr">
        <is>
          <t>A 12273-2025</t>
        </is>
      </c>
      <c r="B19179" s="1" t="n">
        <v>45729</v>
      </c>
      <c r="C19179" s="1" t="n">
        <v>45810</v>
      </c>
      <c r="D19179" t="inlineStr">
        <is>
          <t>VÄRMLANDS LÄN</t>
        </is>
      </c>
      <c r="E19179" t="inlineStr">
        <is>
          <t>SUNNE</t>
        </is>
      </c>
      <c r="G19179" t="n">
        <v>1.7</v>
      </c>
      <c r="H19179" t="n">
        <v>0</v>
      </c>
      <c r="I19179" t="n">
        <v>0</v>
      </c>
      <c r="J19179" t="n">
        <v>0</v>
      </c>
      <c r="K19179" t="n">
        <v>0</v>
      </c>
      <c r="L19179" t="n">
        <v>0</v>
      </c>
      <c r="M19179" t="n">
        <v>0</v>
      </c>
      <c r="N19179" t="n">
        <v>0</v>
      </c>
      <c r="O19179" t="n">
        <v>0</v>
      </c>
      <c r="P19179" t="n">
        <v>0</v>
      </c>
      <c r="Q19179" t="n">
        <v>0</v>
      </c>
      <c r="R19179" s="2" t="inlineStr"/>
    </row>
    <row r="19180" ht="15" customHeight="1">
      <c r="A19180" t="inlineStr">
        <is>
          <t>A 12286-2025</t>
        </is>
      </c>
      <c r="B19180" s="1" t="n">
        <v>45729</v>
      </c>
      <c r="C19180" s="1" t="n">
        <v>45810</v>
      </c>
      <c r="D19180" t="inlineStr">
        <is>
          <t>VÄRMLANDS LÄN</t>
        </is>
      </c>
      <c r="E19180" t="inlineStr">
        <is>
          <t>EDA</t>
        </is>
      </c>
      <c r="G19180" t="n">
        <v>2.7</v>
      </c>
      <c r="H19180" t="n">
        <v>0</v>
      </c>
      <c r="I19180" t="n">
        <v>0</v>
      </c>
      <c r="J19180" t="n">
        <v>0</v>
      </c>
      <c r="K19180" t="n">
        <v>0</v>
      </c>
      <c r="L19180" t="n">
        <v>0</v>
      </c>
      <c r="M19180" t="n">
        <v>0</v>
      </c>
      <c r="N19180" t="n">
        <v>0</v>
      </c>
      <c r="O19180" t="n">
        <v>0</v>
      </c>
      <c r="P19180" t="n">
        <v>0</v>
      </c>
      <c r="Q19180" t="n">
        <v>0</v>
      </c>
      <c r="R19180" s="2" t="inlineStr"/>
    </row>
    <row r="19181" ht="15" customHeight="1">
      <c r="A19181" t="inlineStr">
        <is>
          <t>A 12281-2025</t>
        </is>
      </c>
      <c r="B19181" s="1" t="n">
        <v>45729</v>
      </c>
      <c r="C19181" s="1" t="n">
        <v>45810</v>
      </c>
      <c r="D19181" t="inlineStr">
        <is>
          <t>VÄRMLANDS LÄN</t>
        </is>
      </c>
      <c r="E19181" t="inlineStr">
        <is>
          <t>EDA</t>
        </is>
      </c>
      <c r="G19181" t="n">
        <v>2.2</v>
      </c>
      <c r="H19181" t="n">
        <v>0</v>
      </c>
      <c r="I19181" t="n">
        <v>0</v>
      </c>
      <c r="J19181" t="n">
        <v>0</v>
      </c>
      <c r="K19181" t="n">
        <v>0</v>
      </c>
      <c r="L19181" t="n">
        <v>0</v>
      </c>
      <c r="M19181" t="n">
        <v>0</v>
      </c>
      <c r="N19181" t="n">
        <v>0</v>
      </c>
      <c r="O19181" t="n">
        <v>0</v>
      </c>
      <c r="P19181" t="n">
        <v>0</v>
      </c>
      <c r="Q19181" t="n">
        <v>0</v>
      </c>
      <c r="R19181" s="2" t="inlineStr"/>
    </row>
    <row r="19182" ht="15" customHeight="1">
      <c r="A19182" t="inlineStr">
        <is>
          <t>A 12162-2025</t>
        </is>
      </c>
      <c r="B19182" s="1" t="n">
        <v>45729</v>
      </c>
      <c r="C19182" s="1" t="n">
        <v>45810</v>
      </c>
      <c r="D19182" t="inlineStr">
        <is>
          <t>VÄRMLANDS LÄN</t>
        </is>
      </c>
      <c r="E19182" t="inlineStr">
        <is>
          <t>ARVIKA</t>
        </is>
      </c>
      <c r="F19182" t="inlineStr">
        <is>
          <t>Bergvik skog väst AB</t>
        </is>
      </c>
      <c r="G19182" t="n">
        <v>0.8</v>
      </c>
      <c r="H19182" t="n">
        <v>0</v>
      </c>
      <c r="I19182" t="n">
        <v>0</v>
      </c>
      <c r="J19182" t="n">
        <v>0</v>
      </c>
      <c r="K19182" t="n">
        <v>0</v>
      </c>
      <c r="L19182" t="n">
        <v>0</v>
      </c>
      <c r="M19182" t="n">
        <v>0</v>
      </c>
      <c r="N19182" t="n">
        <v>0</v>
      </c>
      <c r="O19182" t="n">
        <v>0</v>
      </c>
      <c r="P19182" t="n">
        <v>0</v>
      </c>
      <c r="Q19182" t="n">
        <v>0</v>
      </c>
      <c r="R19182" s="2" t="inlineStr"/>
    </row>
    <row r="19183" ht="15" customHeight="1">
      <c r="A19183" t="inlineStr">
        <is>
          <t>A 12166-2025</t>
        </is>
      </c>
      <c r="B19183" s="1" t="n">
        <v>45729</v>
      </c>
      <c r="C19183" s="1" t="n">
        <v>45810</v>
      </c>
      <c r="D19183" t="inlineStr">
        <is>
          <t>VÄRMLANDS LÄN</t>
        </is>
      </c>
      <c r="E19183" t="inlineStr">
        <is>
          <t>ARVIKA</t>
        </is>
      </c>
      <c r="F19183" t="inlineStr">
        <is>
          <t>Bergvik skog väst AB</t>
        </is>
      </c>
      <c r="G19183" t="n">
        <v>1.4</v>
      </c>
      <c r="H19183" t="n">
        <v>0</v>
      </c>
      <c r="I19183" t="n">
        <v>0</v>
      </c>
      <c r="J19183" t="n">
        <v>0</v>
      </c>
      <c r="K19183" t="n">
        <v>0</v>
      </c>
      <c r="L19183" t="n">
        <v>0</v>
      </c>
      <c r="M19183" t="n">
        <v>0</v>
      </c>
      <c r="N19183" t="n">
        <v>0</v>
      </c>
      <c r="O19183" t="n">
        <v>0</v>
      </c>
      <c r="P19183" t="n">
        <v>0</v>
      </c>
      <c r="Q19183" t="n">
        <v>0</v>
      </c>
      <c r="R19183" s="2" t="inlineStr"/>
    </row>
    <row r="19184" ht="15" customHeight="1">
      <c r="A19184" t="inlineStr">
        <is>
          <t>A 12252-2025</t>
        </is>
      </c>
      <c r="B19184" s="1" t="n">
        <v>45729</v>
      </c>
      <c r="C19184" s="1" t="n">
        <v>45810</v>
      </c>
      <c r="D19184" t="inlineStr">
        <is>
          <t>VÄRMLANDS LÄN</t>
        </is>
      </c>
      <c r="E19184" t="inlineStr">
        <is>
          <t>STORFORS</t>
        </is>
      </c>
      <c r="F19184" t="inlineStr">
        <is>
          <t>Bergvik skog väst AB</t>
        </is>
      </c>
      <c r="G19184" t="n">
        <v>14.5</v>
      </c>
      <c r="H19184" t="n">
        <v>0</v>
      </c>
      <c r="I19184" t="n">
        <v>0</v>
      </c>
      <c r="J19184" t="n">
        <v>0</v>
      </c>
      <c r="K19184" t="n">
        <v>0</v>
      </c>
      <c r="L19184" t="n">
        <v>0</v>
      </c>
      <c r="M19184" t="n">
        <v>0</v>
      </c>
      <c r="N19184" t="n">
        <v>0</v>
      </c>
      <c r="O19184" t="n">
        <v>0</v>
      </c>
      <c r="P19184" t="n">
        <v>0</v>
      </c>
      <c r="Q19184" t="n">
        <v>0</v>
      </c>
      <c r="R19184" s="2" t="inlineStr"/>
    </row>
    <row r="19185" ht="15" customHeight="1">
      <c r="A19185" t="inlineStr">
        <is>
          <t>A 12214-2025</t>
        </is>
      </c>
      <c r="B19185" s="1" t="n">
        <v>45729</v>
      </c>
      <c r="C19185" s="1" t="n">
        <v>45810</v>
      </c>
      <c r="D19185" t="inlineStr">
        <is>
          <t>VÄRMLANDS LÄN</t>
        </is>
      </c>
      <c r="E19185" t="inlineStr">
        <is>
          <t>KARLSTAD</t>
        </is>
      </c>
      <c r="G19185" t="n">
        <v>6.6</v>
      </c>
      <c r="H19185" t="n">
        <v>0</v>
      </c>
      <c r="I19185" t="n">
        <v>0</v>
      </c>
      <c r="J19185" t="n">
        <v>0</v>
      </c>
      <c r="K19185" t="n">
        <v>0</v>
      </c>
      <c r="L19185" t="n">
        <v>0</v>
      </c>
      <c r="M19185" t="n">
        <v>0</v>
      </c>
      <c r="N19185" t="n">
        <v>0</v>
      </c>
      <c r="O19185" t="n">
        <v>0</v>
      </c>
      <c r="P19185" t="n">
        <v>0</v>
      </c>
      <c r="Q19185" t="n">
        <v>0</v>
      </c>
      <c r="R19185" s="2" t="inlineStr"/>
    </row>
    <row r="19186" ht="15" customHeight="1">
      <c r="A19186" t="inlineStr">
        <is>
          <t>A 12158-2025</t>
        </is>
      </c>
      <c r="B19186" s="1" t="n">
        <v>45729</v>
      </c>
      <c r="C19186" s="1" t="n">
        <v>45810</v>
      </c>
      <c r="D19186" t="inlineStr">
        <is>
          <t>VÄRMLANDS LÄN</t>
        </is>
      </c>
      <c r="E19186" t="inlineStr">
        <is>
          <t>TORSBY</t>
        </is>
      </c>
      <c r="F19186" t="inlineStr">
        <is>
          <t>Övriga statliga verk och myndigheter</t>
        </is>
      </c>
      <c r="G19186" t="n">
        <v>0.6</v>
      </c>
      <c r="H19186" t="n">
        <v>0</v>
      </c>
      <c r="I19186" t="n">
        <v>0</v>
      </c>
      <c r="J19186" t="n">
        <v>0</v>
      </c>
      <c r="K19186" t="n">
        <v>0</v>
      </c>
      <c r="L19186" t="n">
        <v>0</v>
      </c>
      <c r="M19186" t="n">
        <v>0</v>
      </c>
      <c r="N19186" t="n">
        <v>0</v>
      </c>
      <c r="O19186" t="n">
        <v>0</v>
      </c>
      <c r="P19186" t="n">
        <v>0</v>
      </c>
      <c r="Q19186" t="n">
        <v>0</v>
      </c>
      <c r="R19186" s="2" t="inlineStr"/>
    </row>
    <row r="19187" ht="15" customHeight="1">
      <c r="A19187" t="inlineStr">
        <is>
          <t>A 12161-2025</t>
        </is>
      </c>
      <c r="B19187" s="1" t="n">
        <v>45729</v>
      </c>
      <c r="C19187" s="1" t="n">
        <v>45810</v>
      </c>
      <c r="D19187" t="inlineStr">
        <is>
          <t>VÄRMLANDS LÄN</t>
        </is>
      </c>
      <c r="E19187" t="inlineStr">
        <is>
          <t>ARVIKA</t>
        </is>
      </c>
      <c r="F19187" t="inlineStr">
        <is>
          <t>Bergvik skog väst AB</t>
        </is>
      </c>
      <c r="G19187" t="n">
        <v>1.8</v>
      </c>
      <c r="H19187" t="n">
        <v>0</v>
      </c>
      <c r="I19187" t="n">
        <v>0</v>
      </c>
      <c r="J19187" t="n">
        <v>0</v>
      </c>
      <c r="K19187" t="n">
        <v>0</v>
      </c>
      <c r="L19187" t="n">
        <v>0</v>
      </c>
      <c r="M19187" t="n">
        <v>0</v>
      </c>
      <c r="N19187" t="n">
        <v>0</v>
      </c>
      <c r="O19187" t="n">
        <v>0</v>
      </c>
      <c r="P19187" t="n">
        <v>0</v>
      </c>
      <c r="Q19187" t="n">
        <v>0</v>
      </c>
      <c r="R19187" s="2" t="inlineStr"/>
    </row>
    <row r="19188" ht="15" customHeight="1">
      <c r="A19188" t="inlineStr">
        <is>
          <t>A 12170-2025</t>
        </is>
      </c>
      <c r="B19188" s="1" t="n">
        <v>45729</v>
      </c>
      <c r="C19188" s="1" t="n">
        <v>45810</v>
      </c>
      <c r="D19188" t="inlineStr">
        <is>
          <t>VÄRMLANDS LÄN</t>
        </is>
      </c>
      <c r="E19188" t="inlineStr">
        <is>
          <t>ARVIKA</t>
        </is>
      </c>
      <c r="F19188" t="inlineStr">
        <is>
          <t>Bergvik skog väst AB</t>
        </is>
      </c>
      <c r="G19188" t="n">
        <v>1.2</v>
      </c>
      <c r="H19188" t="n">
        <v>0</v>
      </c>
      <c r="I19188" t="n">
        <v>0</v>
      </c>
      <c r="J19188" t="n">
        <v>0</v>
      </c>
      <c r="K19188" t="n">
        <v>0</v>
      </c>
      <c r="L19188" t="n">
        <v>0</v>
      </c>
      <c r="M19188" t="n">
        <v>0</v>
      </c>
      <c r="N19188" t="n">
        <v>0</v>
      </c>
      <c r="O19188" t="n">
        <v>0</v>
      </c>
      <c r="P19188" t="n">
        <v>0</v>
      </c>
      <c r="Q19188" t="n">
        <v>0</v>
      </c>
      <c r="R19188" s="2" t="inlineStr"/>
    </row>
    <row r="19189" ht="15" customHeight="1">
      <c r="A19189" t="inlineStr">
        <is>
          <t>A 12316-2025</t>
        </is>
      </c>
      <c r="B19189" s="1" t="n">
        <v>45729</v>
      </c>
      <c r="C19189" s="1" t="n">
        <v>45810</v>
      </c>
      <c r="D19189" t="inlineStr">
        <is>
          <t>VÄRMLANDS LÄN</t>
        </is>
      </c>
      <c r="E19189" t="inlineStr">
        <is>
          <t>KARLSTAD</t>
        </is>
      </c>
      <c r="G19189" t="n">
        <v>4.1</v>
      </c>
      <c r="H19189" t="n">
        <v>0</v>
      </c>
      <c r="I19189" t="n">
        <v>0</v>
      </c>
      <c r="J19189" t="n">
        <v>0</v>
      </c>
      <c r="K19189" t="n">
        <v>0</v>
      </c>
      <c r="L19189" t="n">
        <v>0</v>
      </c>
      <c r="M19189" t="n">
        <v>0</v>
      </c>
      <c r="N19189" t="n">
        <v>0</v>
      </c>
      <c r="O19189" t="n">
        <v>0</v>
      </c>
      <c r="P19189" t="n">
        <v>0</v>
      </c>
      <c r="Q19189" t="n">
        <v>0</v>
      </c>
      <c r="R19189" s="2" t="inlineStr"/>
    </row>
    <row r="19190" ht="15" customHeight="1">
      <c r="A19190" t="inlineStr">
        <is>
          <t>A 12217-2025</t>
        </is>
      </c>
      <c r="B19190" s="1" t="n">
        <v>45729</v>
      </c>
      <c r="C19190" s="1" t="n">
        <v>45810</v>
      </c>
      <c r="D19190" t="inlineStr">
        <is>
          <t>VÄRMLANDS LÄN</t>
        </is>
      </c>
      <c r="E19190" t="inlineStr">
        <is>
          <t>GRUMS</t>
        </is>
      </c>
      <c r="G19190" t="n">
        <v>4.6</v>
      </c>
      <c r="H19190" t="n">
        <v>0</v>
      </c>
      <c r="I19190" t="n">
        <v>0</v>
      </c>
      <c r="J19190" t="n">
        <v>0</v>
      </c>
      <c r="K19190" t="n">
        <v>0</v>
      </c>
      <c r="L19190" t="n">
        <v>0</v>
      </c>
      <c r="M19190" t="n">
        <v>0</v>
      </c>
      <c r="N19190" t="n">
        <v>0</v>
      </c>
      <c r="O19190" t="n">
        <v>0</v>
      </c>
      <c r="P19190" t="n">
        <v>0</v>
      </c>
      <c r="Q19190" t="n">
        <v>0</v>
      </c>
      <c r="R19190" s="2" t="inlineStr"/>
    </row>
    <row r="19191" ht="15" customHeight="1">
      <c r="A19191" t="inlineStr">
        <is>
          <t>A 12306-2025</t>
        </is>
      </c>
      <c r="B19191" s="1" t="n">
        <v>45729</v>
      </c>
      <c r="C19191" s="1" t="n">
        <v>45810</v>
      </c>
      <c r="D19191" t="inlineStr">
        <is>
          <t>VÄRMLANDS LÄN</t>
        </is>
      </c>
      <c r="E19191" t="inlineStr">
        <is>
          <t>HAGFORS</t>
        </is>
      </c>
      <c r="F19191" t="inlineStr">
        <is>
          <t>Bergvik skog väst AB</t>
        </is>
      </c>
      <c r="G19191" t="n">
        <v>11.8</v>
      </c>
      <c r="H19191" t="n">
        <v>0</v>
      </c>
      <c r="I19191" t="n">
        <v>0</v>
      </c>
      <c r="J19191" t="n">
        <v>0</v>
      </c>
      <c r="K19191" t="n">
        <v>0</v>
      </c>
      <c r="L19191" t="n">
        <v>0</v>
      </c>
      <c r="M19191" t="n">
        <v>0</v>
      </c>
      <c r="N19191" t="n">
        <v>0</v>
      </c>
      <c r="O19191" t="n">
        <v>0</v>
      </c>
      <c r="P19191" t="n">
        <v>0</v>
      </c>
      <c r="Q19191" t="n">
        <v>0</v>
      </c>
      <c r="R19191" s="2" t="inlineStr"/>
    </row>
    <row r="19192" ht="15" customHeight="1">
      <c r="A19192" t="inlineStr">
        <is>
          <t>A 12291-2025</t>
        </is>
      </c>
      <c r="B19192" s="1" t="n">
        <v>45729</v>
      </c>
      <c r="C19192" s="1" t="n">
        <v>45810</v>
      </c>
      <c r="D19192" t="inlineStr">
        <is>
          <t>VÄRMLANDS LÄN</t>
        </is>
      </c>
      <c r="E19192" t="inlineStr">
        <is>
          <t>HAGFORS</t>
        </is>
      </c>
      <c r="F19192" t="inlineStr">
        <is>
          <t>Bergvik skog väst AB</t>
        </is>
      </c>
      <c r="G19192" t="n">
        <v>2.1</v>
      </c>
      <c r="H19192" t="n">
        <v>0</v>
      </c>
      <c r="I19192" t="n">
        <v>0</v>
      </c>
      <c r="J19192" t="n">
        <v>0</v>
      </c>
      <c r="K19192" t="n">
        <v>0</v>
      </c>
      <c r="L19192" t="n">
        <v>0</v>
      </c>
      <c r="M19192" t="n">
        <v>0</v>
      </c>
      <c r="N19192" t="n">
        <v>0</v>
      </c>
      <c r="O19192" t="n">
        <v>0</v>
      </c>
      <c r="P19192" t="n">
        <v>0</v>
      </c>
      <c r="Q19192" t="n">
        <v>0</v>
      </c>
      <c r="R19192" s="2" t="inlineStr"/>
    </row>
    <row r="19193" ht="15" customHeight="1">
      <c r="A19193" t="inlineStr">
        <is>
          <t>A 12228-2025</t>
        </is>
      </c>
      <c r="B19193" s="1" t="n">
        <v>45729</v>
      </c>
      <c r="C19193" s="1" t="n">
        <v>45810</v>
      </c>
      <c r="D19193" t="inlineStr">
        <is>
          <t>VÄRMLANDS LÄN</t>
        </is>
      </c>
      <c r="E19193" t="inlineStr">
        <is>
          <t>SÄFFLE</t>
        </is>
      </c>
      <c r="F19193" t="inlineStr">
        <is>
          <t>Bergvik skog väst AB</t>
        </is>
      </c>
      <c r="G19193" t="n">
        <v>2.3</v>
      </c>
      <c r="H19193" t="n">
        <v>0</v>
      </c>
      <c r="I19193" t="n">
        <v>0</v>
      </c>
      <c r="J19193" t="n">
        <v>0</v>
      </c>
      <c r="K19193" t="n">
        <v>0</v>
      </c>
      <c r="L19193" t="n">
        <v>0</v>
      </c>
      <c r="M19193" t="n">
        <v>0</v>
      </c>
      <c r="N19193" t="n">
        <v>0</v>
      </c>
      <c r="O19193" t="n">
        <v>0</v>
      </c>
      <c r="P19193" t="n">
        <v>0</v>
      </c>
      <c r="Q19193" t="n">
        <v>0</v>
      </c>
      <c r="R19193" s="2" t="inlineStr"/>
    </row>
    <row r="19194" ht="15" customHeight="1">
      <c r="A19194" t="inlineStr">
        <is>
          <t>A 12232-2025</t>
        </is>
      </c>
      <c r="B19194" s="1" t="n">
        <v>45729</v>
      </c>
      <c r="C19194" s="1" t="n">
        <v>45810</v>
      </c>
      <c r="D19194" t="inlineStr">
        <is>
          <t>VÄRMLANDS LÄN</t>
        </is>
      </c>
      <c r="E19194" t="inlineStr">
        <is>
          <t>SÄFFLE</t>
        </is>
      </c>
      <c r="F19194" t="inlineStr">
        <is>
          <t>Bergvik skog väst AB</t>
        </is>
      </c>
      <c r="G19194" t="n">
        <v>1.1</v>
      </c>
      <c r="H19194" t="n">
        <v>0</v>
      </c>
      <c r="I19194" t="n">
        <v>0</v>
      </c>
      <c r="J19194" t="n">
        <v>0</v>
      </c>
      <c r="K19194" t="n">
        <v>0</v>
      </c>
      <c r="L19194" t="n">
        <v>0</v>
      </c>
      <c r="M19194" t="n">
        <v>0</v>
      </c>
      <c r="N19194" t="n">
        <v>0</v>
      </c>
      <c r="O19194" t="n">
        <v>0</v>
      </c>
      <c r="P19194" t="n">
        <v>0</v>
      </c>
      <c r="Q19194" t="n">
        <v>0</v>
      </c>
      <c r="R19194" s="2" t="inlineStr"/>
    </row>
    <row r="19195" ht="15" customHeight="1">
      <c r="A19195" t="inlineStr">
        <is>
          <t>A 12241-2025</t>
        </is>
      </c>
      <c r="B19195" s="1" t="n">
        <v>45729</v>
      </c>
      <c r="C19195" s="1" t="n">
        <v>45810</v>
      </c>
      <c r="D19195" t="inlineStr">
        <is>
          <t>VÄRMLANDS LÄN</t>
        </is>
      </c>
      <c r="E19195" t="inlineStr">
        <is>
          <t>SUNNE</t>
        </is>
      </c>
      <c r="G19195" t="n">
        <v>1.5</v>
      </c>
      <c r="H19195" t="n">
        <v>0</v>
      </c>
      <c r="I19195" t="n">
        <v>0</v>
      </c>
      <c r="J19195" t="n">
        <v>0</v>
      </c>
      <c r="K19195" t="n">
        <v>0</v>
      </c>
      <c r="L19195" t="n">
        <v>0</v>
      </c>
      <c r="M19195" t="n">
        <v>0</v>
      </c>
      <c r="N19195" t="n">
        <v>0</v>
      </c>
      <c r="O19195" t="n">
        <v>0</v>
      </c>
      <c r="P19195" t="n">
        <v>0</v>
      </c>
      <c r="Q19195" t="n">
        <v>0</v>
      </c>
      <c r="R19195" s="2" t="inlineStr"/>
    </row>
    <row r="19196" ht="15" customHeight="1">
      <c r="A19196" t="inlineStr">
        <is>
          <t>A 12137-2025</t>
        </is>
      </c>
      <c r="B19196" s="1" t="n">
        <v>45729</v>
      </c>
      <c r="C19196" s="1" t="n">
        <v>45810</v>
      </c>
      <c r="D19196" t="inlineStr">
        <is>
          <t>VÄRMLANDS LÄN</t>
        </is>
      </c>
      <c r="E19196" t="inlineStr">
        <is>
          <t>ÅRJÄNG</t>
        </is>
      </c>
      <c r="G19196" t="n">
        <v>12.6</v>
      </c>
      <c r="H19196" t="n">
        <v>0</v>
      </c>
      <c r="I19196" t="n">
        <v>0</v>
      </c>
      <c r="J19196" t="n">
        <v>0</v>
      </c>
      <c r="K19196" t="n">
        <v>0</v>
      </c>
      <c r="L19196" t="n">
        <v>0</v>
      </c>
      <c r="M19196" t="n">
        <v>0</v>
      </c>
      <c r="N19196" t="n">
        <v>0</v>
      </c>
      <c r="O19196" t="n">
        <v>0</v>
      </c>
      <c r="P19196" t="n">
        <v>0</v>
      </c>
      <c r="Q19196" t="n">
        <v>0</v>
      </c>
      <c r="R19196" s="2" t="inlineStr"/>
    </row>
    <row r="19197" ht="15" customHeight="1">
      <c r="A19197" t="inlineStr">
        <is>
          <t>A 12163-2025</t>
        </is>
      </c>
      <c r="B19197" s="1" t="n">
        <v>45729</v>
      </c>
      <c r="C19197" s="1" t="n">
        <v>45810</v>
      </c>
      <c r="D19197" t="inlineStr">
        <is>
          <t>VÄRMLANDS LÄN</t>
        </is>
      </c>
      <c r="E19197" t="inlineStr">
        <is>
          <t>TORSBY</t>
        </is>
      </c>
      <c r="F19197" t="inlineStr">
        <is>
          <t>Övriga statliga verk och myndigheter</t>
        </is>
      </c>
      <c r="G19197" t="n">
        <v>0.9</v>
      </c>
      <c r="H19197" t="n">
        <v>0</v>
      </c>
      <c r="I19197" t="n">
        <v>0</v>
      </c>
      <c r="J19197" t="n">
        <v>0</v>
      </c>
      <c r="K19197" t="n">
        <v>0</v>
      </c>
      <c r="L19197" t="n">
        <v>0</v>
      </c>
      <c r="M19197" t="n">
        <v>0</v>
      </c>
      <c r="N19197" t="n">
        <v>0</v>
      </c>
      <c r="O19197" t="n">
        <v>0</v>
      </c>
      <c r="P19197" t="n">
        <v>0</v>
      </c>
      <c r="Q19197" t="n">
        <v>0</v>
      </c>
      <c r="R19197" s="2" t="inlineStr"/>
    </row>
    <row r="19198" ht="15" customHeight="1">
      <c r="A19198" t="inlineStr">
        <is>
          <t>A 12195-2025</t>
        </is>
      </c>
      <c r="B19198" s="1" t="n">
        <v>45729</v>
      </c>
      <c r="C19198" s="1" t="n">
        <v>45810</v>
      </c>
      <c r="D19198" t="inlineStr">
        <is>
          <t>VÄRMLANDS LÄN</t>
        </is>
      </c>
      <c r="E19198" t="inlineStr">
        <is>
          <t>KIL</t>
        </is>
      </c>
      <c r="G19198" t="n">
        <v>2.1</v>
      </c>
      <c r="H19198" t="n">
        <v>0</v>
      </c>
      <c r="I19198" t="n">
        <v>0</v>
      </c>
      <c r="J19198" t="n">
        <v>0</v>
      </c>
      <c r="K19198" t="n">
        <v>0</v>
      </c>
      <c r="L19198" t="n">
        <v>0</v>
      </c>
      <c r="M19198" t="n">
        <v>0</v>
      </c>
      <c r="N19198" t="n">
        <v>0</v>
      </c>
      <c r="O19198" t="n">
        <v>0</v>
      </c>
      <c r="P19198" t="n">
        <v>0</v>
      </c>
      <c r="Q19198" t="n">
        <v>0</v>
      </c>
      <c r="R19198" s="2" t="inlineStr"/>
    </row>
    <row r="19199" ht="15" customHeight="1">
      <c r="A19199" t="inlineStr">
        <is>
          <t>A 12369-2025</t>
        </is>
      </c>
      <c r="B19199" s="1" t="n">
        <v>45730</v>
      </c>
      <c r="C19199" s="1" t="n">
        <v>45810</v>
      </c>
      <c r="D19199" t="inlineStr">
        <is>
          <t>VÄRMLANDS LÄN</t>
        </is>
      </c>
      <c r="E19199" t="inlineStr">
        <is>
          <t>EDA</t>
        </is>
      </c>
      <c r="G19199" t="n">
        <v>2.5</v>
      </c>
      <c r="H19199" t="n">
        <v>0</v>
      </c>
      <c r="I19199" t="n">
        <v>0</v>
      </c>
      <c r="J19199" t="n">
        <v>0</v>
      </c>
      <c r="K19199" t="n">
        <v>0</v>
      </c>
      <c r="L19199" t="n">
        <v>0</v>
      </c>
      <c r="M19199" t="n">
        <v>0</v>
      </c>
      <c r="N19199" t="n">
        <v>0</v>
      </c>
      <c r="O19199" t="n">
        <v>0</v>
      </c>
      <c r="P19199" t="n">
        <v>0</v>
      </c>
      <c r="Q19199" t="n">
        <v>0</v>
      </c>
      <c r="R19199" s="2" t="inlineStr"/>
    </row>
    <row r="19200" ht="15" customHeight="1">
      <c r="A19200" t="inlineStr">
        <is>
          <t>A 12482-2025</t>
        </is>
      </c>
      <c r="B19200" s="1" t="n">
        <v>45730</v>
      </c>
      <c r="C19200" s="1" t="n">
        <v>45810</v>
      </c>
      <c r="D19200" t="inlineStr">
        <is>
          <t>VÄRMLANDS LÄN</t>
        </is>
      </c>
      <c r="E19200" t="inlineStr">
        <is>
          <t>STORFORS</t>
        </is>
      </c>
      <c r="F19200" t="inlineStr">
        <is>
          <t>Bergvik skog väst AB</t>
        </is>
      </c>
      <c r="G19200" t="n">
        <v>1.9</v>
      </c>
      <c r="H19200" t="n">
        <v>0</v>
      </c>
      <c r="I19200" t="n">
        <v>0</v>
      </c>
      <c r="J19200" t="n">
        <v>0</v>
      </c>
      <c r="K19200" t="n">
        <v>0</v>
      </c>
      <c r="L19200" t="n">
        <v>0</v>
      </c>
      <c r="M19200" t="n">
        <v>0</v>
      </c>
      <c r="N19200" t="n">
        <v>0</v>
      </c>
      <c r="O19200" t="n">
        <v>0</v>
      </c>
      <c r="P19200" t="n">
        <v>0</v>
      </c>
      <c r="Q19200" t="n">
        <v>0</v>
      </c>
      <c r="R19200" s="2" t="inlineStr"/>
    </row>
    <row r="19201" ht="15" customHeight="1">
      <c r="A19201" t="inlineStr">
        <is>
          <t>A 12486-2025</t>
        </is>
      </c>
      <c r="B19201" s="1" t="n">
        <v>45730</v>
      </c>
      <c r="C19201" s="1" t="n">
        <v>45810</v>
      </c>
      <c r="D19201" t="inlineStr">
        <is>
          <t>VÄRMLANDS LÄN</t>
        </is>
      </c>
      <c r="E19201" t="inlineStr">
        <is>
          <t>KRISTINEHAMN</t>
        </is>
      </c>
      <c r="G19201" t="n">
        <v>2</v>
      </c>
      <c r="H19201" t="n">
        <v>0</v>
      </c>
      <c r="I19201" t="n">
        <v>0</v>
      </c>
      <c r="J19201" t="n">
        <v>0</v>
      </c>
      <c r="K19201" t="n">
        <v>0</v>
      </c>
      <c r="L19201" t="n">
        <v>0</v>
      </c>
      <c r="M19201" t="n">
        <v>0</v>
      </c>
      <c r="N19201" t="n">
        <v>0</v>
      </c>
      <c r="O19201" t="n">
        <v>0</v>
      </c>
      <c r="P19201" t="n">
        <v>0</v>
      </c>
      <c r="Q19201" t="n">
        <v>0</v>
      </c>
      <c r="R19201" s="2" t="inlineStr"/>
    </row>
    <row r="19202" ht="15" customHeight="1">
      <c r="A19202" t="inlineStr">
        <is>
          <t>A 12531-2025</t>
        </is>
      </c>
      <c r="B19202" s="1" t="n">
        <v>45730</v>
      </c>
      <c r="C19202" s="1" t="n">
        <v>45810</v>
      </c>
      <c r="D19202" t="inlineStr">
        <is>
          <t>VÄRMLANDS LÄN</t>
        </is>
      </c>
      <c r="E19202" t="inlineStr">
        <is>
          <t>ARVIKA</t>
        </is>
      </c>
      <c r="F19202" t="inlineStr">
        <is>
          <t>Bergvik skog väst AB</t>
        </is>
      </c>
      <c r="G19202" t="n">
        <v>2.5</v>
      </c>
      <c r="H19202" t="n">
        <v>0</v>
      </c>
      <c r="I19202" t="n">
        <v>0</v>
      </c>
      <c r="J19202" t="n">
        <v>0</v>
      </c>
      <c r="K19202" t="n">
        <v>0</v>
      </c>
      <c r="L19202" t="n">
        <v>0</v>
      </c>
      <c r="M19202" t="n">
        <v>0</v>
      </c>
      <c r="N19202" t="n">
        <v>0</v>
      </c>
      <c r="O19202" t="n">
        <v>0</v>
      </c>
      <c r="P19202" t="n">
        <v>0</v>
      </c>
      <c r="Q19202" t="n">
        <v>0</v>
      </c>
      <c r="R19202" s="2" t="inlineStr"/>
    </row>
    <row r="19203" ht="15" customHeight="1">
      <c r="A19203" t="inlineStr">
        <is>
          <t>A 12539-2025</t>
        </is>
      </c>
      <c r="B19203" s="1" t="n">
        <v>45730</v>
      </c>
      <c r="C19203" s="1" t="n">
        <v>45810</v>
      </c>
      <c r="D19203" t="inlineStr">
        <is>
          <t>VÄRMLANDS LÄN</t>
        </is>
      </c>
      <c r="E19203" t="inlineStr">
        <is>
          <t>ARVIKA</t>
        </is>
      </c>
      <c r="G19203" t="n">
        <v>2.1</v>
      </c>
      <c r="H19203" t="n">
        <v>0</v>
      </c>
      <c r="I19203" t="n">
        <v>0</v>
      </c>
      <c r="J19203" t="n">
        <v>0</v>
      </c>
      <c r="K19203" t="n">
        <v>0</v>
      </c>
      <c r="L19203" t="n">
        <v>0</v>
      </c>
      <c r="M19203" t="n">
        <v>0</v>
      </c>
      <c r="N19203" t="n">
        <v>0</v>
      </c>
      <c r="O19203" t="n">
        <v>0</v>
      </c>
      <c r="P19203" t="n">
        <v>0</v>
      </c>
      <c r="Q19203" t="n">
        <v>0</v>
      </c>
      <c r="R19203" s="2" t="inlineStr"/>
    </row>
    <row r="19204" ht="15" customHeight="1">
      <c r="A19204" t="inlineStr">
        <is>
          <t>A 12349-2025</t>
        </is>
      </c>
      <c r="B19204" s="1" t="n">
        <v>45730</v>
      </c>
      <c r="C19204" s="1" t="n">
        <v>45810</v>
      </c>
      <c r="D19204" t="inlineStr">
        <is>
          <t>VÄRMLANDS LÄN</t>
        </is>
      </c>
      <c r="E19204" t="inlineStr">
        <is>
          <t>KIL</t>
        </is>
      </c>
      <c r="G19204" t="n">
        <v>1</v>
      </c>
      <c r="H19204" t="n">
        <v>0</v>
      </c>
      <c r="I19204" t="n">
        <v>0</v>
      </c>
      <c r="J19204" t="n">
        <v>0</v>
      </c>
      <c r="K19204" t="n">
        <v>0</v>
      </c>
      <c r="L19204" t="n">
        <v>0</v>
      </c>
      <c r="M19204" t="n">
        <v>0</v>
      </c>
      <c r="N19204" t="n">
        <v>0</v>
      </c>
      <c r="O19204" t="n">
        <v>0</v>
      </c>
      <c r="P19204" t="n">
        <v>0</v>
      </c>
      <c r="Q19204" t="n">
        <v>0</v>
      </c>
      <c r="R19204" s="2" t="inlineStr"/>
    </row>
    <row r="19205" ht="15" customHeight="1">
      <c r="A19205" t="inlineStr">
        <is>
          <t>A 12521-2025</t>
        </is>
      </c>
      <c r="B19205" s="1" t="n">
        <v>45730</v>
      </c>
      <c r="C19205" s="1" t="n">
        <v>45810</v>
      </c>
      <c r="D19205" t="inlineStr">
        <is>
          <t>VÄRMLANDS LÄN</t>
        </is>
      </c>
      <c r="E19205" t="inlineStr">
        <is>
          <t>FILIPSTAD</t>
        </is>
      </c>
      <c r="F19205" t="inlineStr">
        <is>
          <t>Kommuner</t>
        </is>
      </c>
      <c r="G19205" t="n">
        <v>2.6</v>
      </c>
      <c r="H19205" t="n">
        <v>0</v>
      </c>
      <c r="I19205" t="n">
        <v>0</v>
      </c>
      <c r="J19205" t="n">
        <v>0</v>
      </c>
      <c r="K19205" t="n">
        <v>0</v>
      </c>
      <c r="L19205" t="n">
        <v>0</v>
      </c>
      <c r="M19205" t="n">
        <v>0</v>
      </c>
      <c r="N19205" t="n">
        <v>0</v>
      </c>
      <c r="O19205" t="n">
        <v>0</v>
      </c>
      <c r="P19205" t="n">
        <v>0</v>
      </c>
      <c r="Q19205" t="n">
        <v>0</v>
      </c>
      <c r="R19205" s="2" t="inlineStr"/>
    </row>
    <row r="19206" ht="15" customHeight="1">
      <c r="A19206" t="inlineStr">
        <is>
          <t>A 12528-2025</t>
        </is>
      </c>
      <c r="B19206" s="1" t="n">
        <v>45730</v>
      </c>
      <c r="C19206" s="1" t="n">
        <v>45810</v>
      </c>
      <c r="D19206" t="inlineStr">
        <is>
          <t>VÄRMLANDS LÄN</t>
        </is>
      </c>
      <c r="E19206" t="inlineStr">
        <is>
          <t>TORSBY</t>
        </is>
      </c>
      <c r="G19206" t="n">
        <v>5.2</v>
      </c>
      <c r="H19206" t="n">
        <v>0</v>
      </c>
      <c r="I19206" t="n">
        <v>0</v>
      </c>
      <c r="J19206" t="n">
        <v>0</v>
      </c>
      <c r="K19206" t="n">
        <v>0</v>
      </c>
      <c r="L19206" t="n">
        <v>0</v>
      </c>
      <c r="M19206" t="n">
        <v>0</v>
      </c>
      <c r="N19206" t="n">
        <v>0</v>
      </c>
      <c r="O19206" t="n">
        <v>0</v>
      </c>
      <c r="P19206" t="n">
        <v>0</v>
      </c>
      <c r="Q19206" t="n">
        <v>0</v>
      </c>
      <c r="R19206" s="2" t="inlineStr"/>
    </row>
    <row r="19207" ht="15" customHeight="1">
      <c r="A19207" t="inlineStr">
        <is>
          <t>A 12440-2025</t>
        </is>
      </c>
      <c r="B19207" s="1" t="n">
        <v>45730</v>
      </c>
      <c r="C19207" s="1" t="n">
        <v>45810</v>
      </c>
      <c r="D19207" t="inlineStr">
        <is>
          <t>VÄRMLANDS LÄN</t>
        </is>
      </c>
      <c r="E19207" t="inlineStr">
        <is>
          <t>TORSBY</t>
        </is>
      </c>
      <c r="G19207" t="n">
        <v>4.7</v>
      </c>
      <c r="H19207" t="n">
        <v>0</v>
      </c>
      <c r="I19207" t="n">
        <v>0</v>
      </c>
      <c r="J19207" t="n">
        <v>0</v>
      </c>
      <c r="K19207" t="n">
        <v>0</v>
      </c>
      <c r="L19207" t="n">
        <v>0</v>
      </c>
      <c r="M19207" t="n">
        <v>0</v>
      </c>
      <c r="N19207" t="n">
        <v>0</v>
      </c>
      <c r="O19207" t="n">
        <v>0</v>
      </c>
      <c r="P19207" t="n">
        <v>0</v>
      </c>
      <c r="Q19207" t="n">
        <v>0</v>
      </c>
      <c r="R19207" s="2" t="inlineStr"/>
    </row>
    <row r="19208" ht="15" customHeight="1">
      <c r="A19208" t="inlineStr">
        <is>
          <t>A 12402-2025</t>
        </is>
      </c>
      <c r="B19208" s="1" t="n">
        <v>45730</v>
      </c>
      <c r="C19208" s="1" t="n">
        <v>45810</v>
      </c>
      <c r="D19208" t="inlineStr">
        <is>
          <t>VÄRMLANDS LÄN</t>
        </is>
      </c>
      <c r="E19208" t="inlineStr">
        <is>
          <t>TORSBY</t>
        </is>
      </c>
      <c r="G19208" t="n">
        <v>1.5</v>
      </c>
      <c r="H19208" t="n">
        <v>0</v>
      </c>
      <c r="I19208" t="n">
        <v>0</v>
      </c>
      <c r="J19208" t="n">
        <v>0</v>
      </c>
      <c r="K19208" t="n">
        <v>0</v>
      </c>
      <c r="L19208" t="n">
        <v>0</v>
      </c>
      <c r="M19208" t="n">
        <v>0</v>
      </c>
      <c r="N19208" t="n">
        <v>0</v>
      </c>
      <c r="O19208" t="n">
        <v>0</v>
      </c>
      <c r="P19208" t="n">
        <v>0</v>
      </c>
      <c r="Q19208" t="n">
        <v>0</v>
      </c>
      <c r="R19208" s="2" t="inlineStr"/>
    </row>
    <row r="19209" ht="15" customHeight="1">
      <c r="A19209" t="inlineStr">
        <is>
          <t>A 12350-2025</t>
        </is>
      </c>
      <c r="B19209" s="1" t="n">
        <v>45730</v>
      </c>
      <c r="C19209" s="1" t="n">
        <v>45810</v>
      </c>
      <c r="D19209" t="inlineStr">
        <is>
          <t>VÄRMLANDS LÄN</t>
        </is>
      </c>
      <c r="E19209" t="inlineStr">
        <is>
          <t>EDA</t>
        </is>
      </c>
      <c r="G19209" t="n">
        <v>7.4</v>
      </c>
      <c r="H19209" t="n">
        <v>0</v>
      </c>
      <c r="I19209" t="n">
        <v>0</v>
      </c>
      <c r="J19209" t="n">
        <v>0</v>
      </c>
      <c r="K19209" t="n">
        <v>0</v>
      </c>
      <c r="L19209" t="n">
        <v>0</v>
      </c>
      <c r="M19209" t="n">
        <v>0</v>
      </c>
      <c r="N19209" t="n">
        <v>0</v>
      </c>
      <c r="O19209" t="n">
        <v>0</v>
      </c>
      <c r="P19209" t="n">
        <v>0</v>
      </c>
      <c r="Q19209" t="n">
        <v>0</v>
      </c>
      <c r="R19209" s="2" t="inlineStr"/>
    </row>
    <row r="19210" ht="15" customHeight="1">
      <c r="A19210" t="inlineStr">
        <is>
          <t>A 12341-2025</t>
        </is>
      </c>
      <c r="B19210" s="1" t="n">
        <v>45730</v>
      </c>
      <c r="C19210" s="1" t="n">
        <v>45810</v>
      </c>
      <c r="D19210" t="inlineStr">
        <is>
          <t>VÄRMLANDS LÄN</t>
        </is>
      </c>
      <c r="E19210" t="inlineStr">
        <is>
          <t>EDA</t>
        </is>
      </c>
      <c r="G19210" t="n">
        <v>1.9</v>
      </c>
      <c r="H19210" t="n">
        <v>0</v>
      </c>
      <c r="I19210" t="n">
        <v>0</v>
      </c>
      <c r="J19210" t="n">
        <v>0</v>
      </c>
      <c r="K19210" t="n">
        <v>0</v>
      </c>
      <c r="L19210" t="n">
        <v>0</v>
      </c>
      <c r="M19210" t="n">
        <v>0</v>
      </c>
      <c r="N19210" t="n">
        <v>0</v>
      </c>
      <c r="O19210" t="n">
        <v>0</v>
      </c>
      <c r="P19210" t="n">
        <v>0</v>
      </c>
      <c r="Q19210" t="n">
        <v>0</v>
      </c>
      <c r="R19210" s="2" t="inlineStr"/>
    </row>
    <row r="19211" ht="15" customHeight="1">
      <c r="A19211" t="inlineStr">
        <is>
          <t>A 12400-2025</t>
        </is>
      </c>
      <c r="B19211" s="1" t="n">
        <v>45730</v>
      </c>
      <c r="C19211" s="1" t="n">
        <v>45810</v>
      </c>
      <c r="D19211" t="inlineStr">
        <is>
          <t>VÄRMLANDS LÄN</t>
        </is>
      </c>
      <c r="E19211" t="inlineStr">
        <is>
          <t>ARVIKA</t>
        </is>
      </c>
      <c r="G19211" t="n">
        <v>1.3</v>
      </c>
      <c r="H19211" t="n">
        <v>0</v>
      </c>
      <c r="I19211" t="n">
        <v>0</v>
      </c>
      <c r="J19211" t="n">
        <v>0</v>
      </c>
      <c r="K19211" t="n">
        <v>0</v>
      </c>
      <c r="L19211" t="n">
        <v>0</v>
      </c>
      <c r="M19211" t="n">
        <v>0</v>
      </c>
      <c r="N19211" t="n">
        <v>0</v>
      </c>
      <c r="O19211" t="n">
        <v>0</v>
      </c>
      <c r="P19211" t="n">
        <v>0</v>
      </c>
      <c r="Q19211" t="n">
        <v>0</v>
      </c>
      <c r="R19211" s="2" t="inlineStr"/>
    </row>
    <row r="19212" ht="15" customHeight="1">
      <c r="A19212" t="inlineStr">
        <is>
          <t>A 12321-2025</t>
        </is>
      </c>
      <c r="B19212" s="1" t="n">
        <v>45730</v>
      </c>
      <c r="C19212" s="1" t="n">
        <v>45810</v>
      </c>
      <c r="D19212" t="inlineStr">
        <is>
          <t>VÄRMLANDS LÄN</t>
        </is>
      </c>
      <c r="E19212" t="inlineStr">
        <is>
          <t>HAGFORS</t>
        </is>
      </c>
      <c r="F19212" t="inlineStr">
        <is>
          <t>Bergvik skog väst AB</t>
        </is>
      </c>
      <c r="G19212" t="n">
        <v>6.8</v>
      </c>
      <c r="H19212" t="n">
        <v>0</v>
      </c>
      <c r="I19212" t="n">
        <v>0</v>
      </c>
      <c r="J19212" t="n">
        <v>0</v>
      </c>
      <c r="K19212" t="n">
        <v>0</v>
      </c>
      <c r="L19212" t="n">
        <v>0</v>
      </c>
      <c r="M19212" t="n">
        <v>0</v>
      </c>
      <c r="N19212" t="n">
        <v>0</v>
      </c>
      <c r="O19212" t="n">
        <v>0</v>
      </c>
      <c r="P19212" t="n">
        <v>0</v>
      </c>
      <c r="Q19212" t="n">
        <v>0</v>
      </c>
      <c r="R19212" s="2" t="inlineStr"/>
    </row>
    <row r="19213" ht="15" customHeight="1">
      <c r="A19213" t="inlineStr">
        <is>
          <t>A 12406-2025</t>
        </is>
      </c>
      <c r="B19213" s="1" t="n">
        <v>45730</v>
      </c>
      <c r="C19213" s="1" t="n">
        <v>45810</v>
      </c>
      <c r="D19213" t="inlineStr">
        <is>
          <t>VÄRMLANDS LÄN</t>
        </is>
      </c>
      <c r="E19213" t="inlineStr">
        <is>
          <t>EDA</t>
        </is>
      </c>
      <c r="G19213" t="n">
        <v>12.7</v>
      </c>
      <c r="H19213" t="n">
        <v>0</v>
      </c>
      <c r="I19213" t="n">
        <v>0</v>
      </c>
      <c r="J19213" t="n">
        <v>0</v>
      </c>
      <c r="K19213" t="n">
        <v>0</v>
      </c>
      <c r="L19213" t="n">
        <v>0</v>
      </c>
      <c r="M19213" t="n">
        <v>0</v>
      </c>
      <c r="N19213" t="n">
        <v>0</v>
      </c>
      <c r="O19213" t="n">
        <v>0</v>
      </c>
      <c r="P19213" t="n">
        <v>0</v>
      </c>
      <c r="Q19213" t="n">
        <v>0</v>
      </c>
      <c r="R19213" s="2" t="inlineStr"/>
    </row>
    <row r="19214" ht="15" customHeight="1">
      <c r="A19214" t="inlineStr">
        <is>
          <t>A 12554-2025</t>
        </is>
      </c>
      <c r="B19214" s="1" t="n">
        <v>45731</v>
      </c>
      <c r="C19214" s="1" t="n">
        <v>45810</v>
      </c>
      <c r="D19214" t="inlineStr">
        <is>
          <t>VÄRMLANDS LÄN</t>
        </is>
      </c>
      <c r="E19214" t="inlineStr">
        <is>
          <t>TORSBY</t>
        </is>
      </c>
      <c r="G19214" t="n">
        <v>7.5</v>
      </c>
      <c r="H19214" t="n">
        <v>0</v>
      </c>
      <c r="I19214" t="n">
        <v>0</v>
      </c>
      <c r="J19214" t="n">
        <v>0</v>
      </c>
      <c r="K19214" t="n">
        <v>0</v>
      </c>
      <c r="L19214" t="n">
        <v>0</v>
      </c>
      <c r="M19214" t="n">
        <v>0</v>
      </c>
      <c r="N19214" t="n">
        <v>0</v>
      </c>
      <c r="O19214" t="n">
        <v>0</v>
      </c>
      <c r="P19214" t="n">
        <v>0</v>
      </c>
      <c r="Q19214" t="n">
        <v>0</v>
      </c>
      <c r="R19214" s="2" t="inlineStr"/>
    </row>
    <row r="19215" ht="15" customHeight="1">
      <c r="A19215" t="inlineStr">
        <is>
          <t>A 12556-2025</t>
        </is>
      </c>
      <c r="B19215" s="1" t="n">
        <v>45731</v>
      </c>
      <c r="C19215" s="1" t="n">
        <v>45810</v>
      </c>
      <c r="D19215" t="inlineStr">
        <is>
          <t>VÄRMLANDS LÄN</t>
        </is>
      </c>
      <c r="E19215" t="inlineStr">
        <is>
          <t>TORSBY</t>
        </is>
      </c>
      <c r="G19215" t="n">
        <v>1.3</v>
      </c>
      <c r="H19215" t="n">
        <v>0</v>
      </c>
      <c r="I19215" t="n">
        <v>0</v>
      </c>
      <c r="J19215" t="n">
        <v>0</v>
      </c>
      <c r="K19215" t="n">
        <v>0</v>
      </c>
      <c r="L19215" t="n">
        <v>0</v>
      </c>
      <c r="M19215" t="n">
        <v>0</v>
      </c>
      <c r="N19215" t="n">
        <v>0</v>
      </c>
      <c r="O19215" t="n">
        <v>0</v>
      </c>
      <c r="P19215" t="n">
        <v>0</v>
      </c>
      <c r="Q19215" t="n">
        <v>0</v>
      </c>
      <c r="R19215" s="2" t="inlineStr"/>
    </row>
    <row r="19216" ht="15" customHeight="1">
      <c r="A19216" t="inlineStr">
        <is>
          <t>A 12594-2025</t>
        </is>
      </c>
      <c r="B19216" s="1" t="n">
        <v>45732</v>
      </c>
      <c r="C19216" s="1" t="n">
        <v>45810</v>
      </c>
      <c r="D19216" t="inlineStr">
        <is>
          <t>VÄRMLANDS LÄN</t>
        </is>
      </c>
      <c r="E19216" t="inlineStr">
        <is>
          <t>FILIPSTAD</t>
        </is>
      </c>
      <c r="G19216" t="n">
        <v>2.5</v>
      </c>
      <c r="H19216" t="n">
        <v>0</v>
      </c>
      <c r="I19216" t="n">
        <v>0</v>
      </c>
      <c r="J19216" t="n">
        <v>0</v>
      </c>
      <c r="K19216" t="n">
        <v>0</v>
      </c>
      <c r="L19216" t="n">
        <v>0</v>
      </c>
      <c r="M19216" t="n">
        <v>0</v>
      </c>
      <c r="N19216" t="n">
        <v>0</v>
      </c>
      <c r="O19216" t="n">
        <v>0</v>
      </c>
      <c r="P19216" t="n">
        <v>0</v>
      </c>
      <c r="Q19216" t="n">
        <v>0</v>
      </c>
      <c r="R19216" s="2" t="inlineStr"/>
    </row>
    <row r="19217" ht="15" customHeight="1">
      <c r="A19217" t="inlineStr">
        <is>
          <t>A 12574-2025</t>
        </is>
      </c>
      <c r="B19217" s="1" t="n">
        <v>45732</v>
      </c>
      <c r="C19217" s="1" t="n">
        <v>45810</v>
      </c>
      <c r="D19217" t="inlineStr">
        <is>
          <t>VÄRMLANDS LÄN</t>
        </is>
      </c>
      <c r="E19217" t="inlineStr">
        <is>
          <t>TORSBY</t>
        </is>
      </c>
      <c r="G19217" t="n">
        <v>9.800000000000001</v>
      </c>
      <c r="H19217" t="n">
        <v>0</v>
      </c>
      <c r="I19217" t="n">
        <v>0</v>
      </c>
      <c r="J19217" t="n">
        <v>0</v>
      </c>
      <c r="K19217" t="n">
        <v>0</v>
      </c>
      <c r="L19217" t="n">
        <v>0</v>
      </c>
      <c r="M19217" t="n">
        <v>0</v>
      </c>
      <c r="N19217" t="n">
        <v>0</v>
      </c>
      <c r="O19217" t="n">
        <v>0</v>
      </c>
      <c r="P19217" t="n">
        <v>0</v>
      </c>
      <c r="Q19217" t="n">
        <v>0</v>
      </c>
      <c r="R19217" s="2" t="inlineStr"/>
    </row>
    <row r="19218" ht="15" customHeight="1">
      <c r="A19218" t="inlineStr">
        <is>
          <t>A 12687-2025</t>
        </is>
      </c>
      <c r="B19218" s="1" t="n">
        <v>45733</v>
      </c>
      <c r="C19218" s="1" t="n">
        <v>45810</v>
      </c>
      <c r="D19218" t="inlineStr">
        <is>
          <t>VÄRMLANDS LÄN</t>
        </is>
      </c>
      <c r="E19218" t="inlineStr">
        <is>
          <t>ÅRJÄNG</t>
        </is>
      </c>
      <c r="G19218" t="n">
        <v>3.2</v>
      </c>
      <c r="H19218" t="n">
        <v>0</v>
      </c>
      <c r="I19218" t="n">
        <v>0</v>
      </c>
      <c r="J19218" t="n">
        <v>0</v>
      </c>
      <c r="K19218" t="n">
        <v>0</v>
      </c>
      <c r="L19218" t="n">
        <v>0</v>
      </c>
      <c r="M19218" t="n">
        <v>0</v>
      </c>
      <c r="N19218" t="n">
        <v>0</v>
      </c>
      <c r="O19218" t="n">
        <v>0</v>
      </c>
      <c r="P19218" t="n">
        <v>0</v>
      </c>
      <c r="Q19218" t="n">
        <v>0</v>
      </c>
      <c r="R19218" s="2" t="inlineStr"/>
    </row>
    <row r="19219" ht="15" customHeight="1">
      <c r="A19219" t="inlineStr">
        <is>
          <t>A 12689-2025</t>
        </is>
      </c>
      <c r="B19219" s="1" t="n">
        <v>45733</v>
      </c>
      <c r="C19219" s="1" t="n">
        <v>45810</v>
      </c>
      <c r="D19219" t="inlineStr">
        <is>
          <t>VÄRMLANDS LÄN</t>
        </is>
      </c>
      <c r="E19219" t="inlineStr">
        <is>
          <t>EDA</t>
        </is>
      </c>
      <c r="F19219" t="inlineStr">
        <is>
          <t>Bergvik skog väst AB</t>
        </is>
      </c>
      <c r="G19219" t="n">
        <v>3.2</v>
      </c>
      <c r="H19219" t="n">
        <v>0</v>
      </c>
      <c r="I19219" t="n">
        <v>0</v>
      </c>
      <c r="J19219" t="n">
        <v>0</v>
      </c>
      <c r="K19219" t="n">
        <v>0</v>
      </c>
      <c r="L19219" t="n">
        <v>0</v>
      </c>
      <c r="M19219" t="n">
        <v>0</v>
      </c>
      <c r="N19219" t="n">
        <v>0</v>
      </c>
      <c r="O19219" t="n">
        <v>0</v>
      </c>
      <c r="P19219" t="n">
        <v>0</v>
      </c>
      <c r="Q19219" t="n">
        <v>0</v>
      </c>
      <c r="R19219" s="2" t="inlineStr"/>
    </row>
    <row r="19220" ht="15" customHeight="1">
      <c r="A19220" t="inlineStr">
        <is>
          <t>A 12691-2025</t>
        </is>
      </c>
      <c r="B19220" s="1" t="n">
        <v>45733</v>
      </c>
      <c r="C19220" s="1" t="n">
        <v>45810</v>
      </c>
      <c r="D19220" t="inlineStr">
        <is>
          <t>VÄRMLANDS LÄN</t>
        </is>
      </c>
      <c r="E19220" t="inlineStr">
        <is>
          <t>ARVIKA</t>
        </is>
      </c>
      <c r="G19220" t="n">
        <v>4</v>
      </c>
      <c r="H19220" t="n">
        <v>0</v>
      </c>
      <c r="I19220" t="n">
        <v>0</v>
      </c>
      <c r="J19220" t="n">
        <v>0</v>
      </c>
      <c r="K19220" t="n">
        <v>0</v>
      </c>
      <c r="L19220" t="n">
        <v>0</v>
      </c>
      <c r="M19220" t="n">
        <v>0</v>
      </c>
      <c r="N19220" t="n">
        <v>0</v>
      </c>
      <c r="O19220" t="n">
        <v>0</v>
      </c>
      <c r="P19220" t="n">
        <v>0</v>
      </c>
      <c r="Q19220" t="n">
        <v>0</v>
      </c>
      <c r="R19220" s="2" t="inlineStr"/>
    </row>
    <row r="19221" ht="15" customHeight="1">
      <c r="A19221" t="inlineStr">
        <is>
          <t>A 12811-2025</t>
        </is>
      </c>
      <c r="B19221" s="1" t="n">
        <v>45733</v>
      </c>
      <c r="C19221" s="1" t="n">
        <v>45810</v>
      </c>
      <c r="D19221" t="inlineStr">
        <is>
          <t>VÄRMLANDS LÄN</t>
        </is>
      </c>
      <c r="E19221" t="inlineStr">
        <is>
          <t>ARVIKA</t>
        </is>
      </c>
      <c r="F19221" t="inlineStr">
        <is>
          <t>Bergvik skog väst AB</t>
        </is>
      </c>
      <c r="G19221" t="n">
        <v>9.699999999999999</v>
      </c>
      <c r="H19221" t="n">
        <v>0</v>
      </c>
      <c r="I19221" t="n">
        <v>0</v>
      </c>
      <c r="J19221" t="n">
        <v>0</v>
      </c>
      <c r="K19221" t="n">
        <v>0</v>
      </c>
      <c r="L19221" t="n">
        <v>0</v>
      </c>
      <c r="M19221" t="n">
        <v>0</v>
      </c>
      <c r="N19221" t="n">
        <v>0</v>
      </c>
      <c r="O19221" t="n">
        <v>0</v>
      </c>
      <c r="P19221" t="n">
        <v>0</v>
      </c>
      <c r="Q19221" t="n">
        <v>0</v>
      </c>
      <c r="R19221" s="2" t="inlineStr"/>
    </row>
    <row r="19222" ht="15" customHeight="1">
      <c r="A19222" t="inlineStr">
        <is>
          <t>A 12826-2025</t>
        </is>
      </c>
      <c r="B19222" s="1" t="n">
        <v>45733</v>
      </c>
      <c r="C19222" s="1" t="n">
        <v>45810</v>
      </c>
      <c r="D19222" t="inlineStr">
        <is>
          <t>VÄRMLANDS LÄN</t>
        </is>
      </c>
      <c r="E19222" t="inlineStr">
        <is>
          <t>EDA</t>
        </is>
      </c>
      <c r="G19222" t="n">
        <v>1.2</v>
      </c>
      <c r="H19222" t="n">
        <v>0</v>
      </c>
      <c r="I19222" t="n">
        <v>0</v>
      </c>
      <c r="J19222" t="n">
        <v>0</v>
      </c>
      <c r="K19222" t="n">
        <v>0</v>
      </c>
      <c r="L19222" t="n">
        <v>0</v>
      </c>
      <c r="M19222" t="n">
        <v>0</v>
      </c>
      <c r="N19222" t="n">
        <v>0</v>
      </c>
      <c r="O19222" t="n">
        <v>0</v>
      </c>
      <c r="P19222" t="n">
        <v>0</v>
      </c>
      <c r="Q19222" t="n">
        <v>0</v>
      </c>
      <c r="R19222" s="2" t="inlineStr"/>
    </row>
    <row r="19223" ht="15" customHeight="1">
      <c r="A19223" t="inlineStr">
        <is>
          <t>A 12769-2025</t>
        </is>
      </c>
      <c r="B19223" s="1" t="n">
        <v>45733</v>
      </c>
      <c r="C19223" s="1" t="n">
        <v>45810</v>
      </c>
      <c r="D19223" t="inlineStr">
        <is>
          <t>VÄRMLANDS LÄN</t>
        </is>
      </c>
      <c r="E19223" t="inlineStr">
        <is>
          <t>EDA</t>
        </is>
      </c>
      <c r="G19223" t="n">
        <v>0.3</v>
      </c>
      <c r="H19223" t="n">
        <v>0</v>
      </c>
      <c r="I19223" t="n">
        <v>0</v>
      </c>
      <c r="J19223" t="n">
        <v>0</v>
      </c>
      <c r="K19223" t="n">
        <v>0</v>
      </c>
      <c r="L19223" t="n">
        <v>0</v>
      </c>
      <c r="M19223" t="n">
        <v>0</v>
      </c>
      <c r="N19223" t="n">
        <v>0</v>
      </c>
      <c r="O19223" t="n">
        <v>0</v>
      </c>
      <c r="P19223" t="n">
        <v>0</v>
      </c>
      <c r="Q19223" t="n">
        <v>0</v>
      </c>
      <c r="R19223" s="2" t="inlineStr"/>
    </row>
    <row r="19224" ht="15" customHeight="1">
      <c r="A19224" t="inlineStr">
        <is>
          <t>A 12775-2025</t>
        </is>
      </c>
      <c r="B19224" s="1" t="n">
        <v>45733</v>
      </c>
      <c r="C19224" s="1" t="n">
        <v>45810</v>
      </c>
      <c r="D19224" t="inlineStr">
        <is>
          <t>VÄRMLANDS LÄN</t>
        </is>
      </c>
      <c r="E19224" t="inlineStr">
        <is>
          <t>SÄFFLE</t>
        </is>
      </c>
      <c r="G19224" t="n">
        <v>2.2</v>
      </c>
      <c r="H19224" t="n">
        <v>0</v>
      </c>
      <c r="I19224" t="n">
        <v>0</v>
      </c>
      <c r="J19224" t="n">
        <v>0</v>
      </c>
      <c r="K19224" t="n">
        <v>0</v>
      </c>
      <c r="L19224" t="n">
        <v>0</v>
      </c>
      <c r="M19224" t="n">
        <v>0</v>
      </c>
      <c r="N19224" t="n">
        <v>0</v>
      </c>
      <c r="O19224" t="n">
        <v>0</v>
      </c>
      <c r="P19224" t="n">
        <v>0</v>
      </c>
      <c r="Q19224" t="n">
        <v>0</v>
      </c>
      <c r="R19224" s="2" t="inlineStr"/>
    </row>
    <row r="19225" ht="15" customHeight="1">
      <c r="A19225" t="inlineStr">
        <is>
          <t>A 12777-2025</t>
        </is>
      </c>
      <c r="B19225" s="1" t="n">
        <v>45733</v>
      </c>
      <c r="C19225" s="1" t="n">
        <v>45810</v>
      </c>
      <c r="D19225" t="inlineStr">
        <is>
          <t>VÄRMLANDS LÄN</t>
        </is>
      </c>
      <c r="E19225" t="inlineStr">
        <is>
          <t>SÄFFLE</t>
        </is>
      </c>
      <c r="G19225" t="n">
        <v>3</v>
      </c>
      <c r="H19225" t="n">
        <v>0</v>
      </c>
      <c r="I19225" t="n">
        <v>0</v>
      </c>
      <c r="J19225" t="n">
        <v>0</v>
      </c>
      <c r="K19225" t="n">
        <v>0</v>
      </c>
      <c r="L19225" t="n">
        <v>0</v>
      </c>
      <c r="M19225" t="n">
        <v>0</v>
      </c>
      <c r="N19225" t="n">
        <v>0</v>
      </c>
      <c r="O19225" t="n">
        <v>0</v>
      </c>
      <c r="P19225" t="n">
        <v>0</v>
      </c>
      <c r="Q19225" t="n">
        <v>0</v>
      </c>
      <c r="R19225" s="2" t="inlineStr"/>
    </row>
    <row r="19226" ht="15" customHeight="1">
      <c r="A19226" t="inlineStr">
        <is>
          <t>A 12772-2025</t>
        </is>
      </c>
      <c r="B19226" s="1" t="n">
        <v>45733</v>
      </c>
      <c r="C19226" s="1" t="n">
        <v>45810</v>
      </c>
      <c r="D19226" t="inlineStr">
        <is>
          <t>VÄRMLANDS LÄN</t>
        </is>
      </c>
      <c r="E19226" t="inlineStr">
        <is>
          <t>SÄFFLE</t>
        </is>
      </c>
      <c r="G19226" t="n">
        <v>3</v>
      </c>
      <c r="H19226" t="n">
        <v>0</v>
      </c>
      <c r="I19226" t="n">
        <v>0</v>
      </c>
      <c r="J19226" t="n">
        <v>0</v>
      </c>
      <c r="K19226" t="n">
        <v>0</v>
      </c>
      <c r="L19226" t="n">
        <v>0</v>
      </c>
      <c r="M19226" t="n">
        <v>0</v>
      </c>
      <c r="N19226" t="n">
        <v>0</v>
      </c>
      <c r="O19226" t="n">
        <v>0</v>
      </c>
      <c r="P19226" t="n">
        <v>0</v>
      </c>
      <c r="Q19226" t="n">
        <v>0</v>
      </c>
      <c r="R19226" s="2" t="inlineStr"/>
    </row>
    <row r="19227" ht="15" customHeight="1">
      <c r="A19227" t="inlineStr">
        <is>
          <t>A 12725-2025</t>
        </is>
      </c>
      <c r="B19227" s="1" t="n">
        <v>45733</v>
      </c>
      <c r="C19227" s="1" t="n">
        <v>45810</v>
      </c>
      <c r="D19227" t="inlineStr">
        <is>
          <t>VÄRMLANDS LÄN</t>
        </is>
      </c>
      <c r="E19227" t="inlineStr">
        <is>
          <t>EDA</t>
        </is>
      </c>
      <c r="G19227" t="n">
        <v>3.3</v>
      </c>
      <c r="H19227" t="n">
        <v>0</v>
      </c>
      <c r="I19227" t="n">
        <v>0</v>
      </c>
      <c r="J19227" t="n">
        <v>0</v>
      </c>
      <c r="K19227" t="n">
        <v>0</v>
      </c>
      <c r="L19227" t="n">
        <v>0</v>
      </c>
      <c r="M19227" t="n">
        <v>0</v>
      </c>
      <c r="N19227" t="n">
        <v>0</v>
      </c>
      <c r="O19227" t="n">
        <v>0</v>
      </c>
      <c r="P19227" t="n">
        <v>0</v>
      </c>
      <c r="Q19227" t="n">
        <v>0</v>
      </c>
      <c r="R19227" s="2" t="inlineStr"/>
    </row>
    <row r="19228" ht="15" customHeight="1">
      <c r="A19228" t="inlineStr">
        <is>
          <t>A 12639-2025</t>
        </is>
      </c>
      <c r="B19228" s="1" t="n">
        <v>45733</v>
      </c>
      <c r="C19228" s="1" t="n">
        <v>45810</v>
      </c>
      <c r="D19228" t="inlineStr">
        <is>
          <t>VÄRMLANDS LÄN</t>
        </is>
      </c>
      <c r="E19228" t="inlineStr">
        <is>
          <t>SÄFFLE</t>
        </is>
      </c>
      <c r="F19228" t="inlineStr">
        <is>
          <t>Kommuner</t>
        </is>
      </c>
      <c r="G19228" t="n">
        <v>1.6</v>
      </c>
      <c r="H19228" t="n">
        <v>0</v>
      </c>
      <c r="I19228" t="n">
        <v>0</v>
      </c>
      <c r="J19228" t="n">
        <v>0</v>
      </c>
      <c r="K19228" t="n">
        <v>0</v>
      </c>
      <c r="L19228" t="n">
        <v>0</v>
      </c>
      <c r="M19228" t="n">
        <v>0</v>
      </c>
      <c r="N19228" t="n">
        <v>0</v>
      </c>
      <c r="O19228" t="n">
        <v>0</v>
      </c>
      <c r="P19228" t="n">
        <v>0</v>
      </c>
      <c r="Q19228" t="n">
        <v>0</v>
      </c>
      <c r="R19228" s="2" t="inlineStr"/>
    </row>
    <row r="19229" ht="15" customHeight="1">
      <c r="A19229" t="inlineStr">
        <is>
          <t>A 12716-2025</t>
        </is>
      </c>
      <c r="B19229" s="1" t="n">
        <v>45733</v>
      </c>
      <c r="C19229" s="1" t="n">
        <v>45810</v>
      </c>
      <c r="D19229" t="inlineStr">
        <is>
          <t>VÄRMLANDS LÄN</t>
        </is>
      </c>
      <c r="E19229" t="inlineStr">
        <is>
          <t>EDA</t>
        </is>
      </c>
      <c r="G19229" t="n">
        <v>0.8</v>
      </c>
      <c r="H19229" t="n">
        <v>0</v>
      </c>
      <c r="I19229" t="n">
        <v>0</v>
      </c>
      <c r="J19229" t="n">
        <v>0</v>
      </c>
      <c r="K19229" t="n">
        <v>0</v>
      </c>
      <c r="L19229" t="n">
        <v>0</v>
      </c>
      <c r="M19229" t="n">
        <v>0</v>
      </c>
      <c r="N19229" t="n">
        <v>0</v>
      </c>
      <c r="O19229" t="n">
        <v>0</v>
      </c>
      <c r="P19229" t="n">
        <v>0</v>
      </c>
      <c r="Q19229" t="n">
        <v>0</v>
      </c>
      <c r="R19229" s="2" t="inlineStr"/>
    </row>
    <row r="19230" ht="15" customHeight="1">
      <c r="A19230" t="inlineStr">
        <is>
          <t>A 12778-2025</t>
        </is>
      </c>
      <c r="B19230" s="1" t="n">
        <v>45733</v>
      </c>
      <c r="C19230" s="1" t="n">
        <v>45810</v>
      </c>
      <c r="D19230" t="inlineStr">
        <is>
          <t>VÄRMLANDS LÄN</t>
        </is>
      </c>
      <c r="E19230" t="inlineStr">
        <is>
          <t>HAGFORS</t>
        </is>
      </c>
      <c r="G19230" t="n">
        <v>1.7</v>
      </c>
      <c r="H19230" t="n">
        <v>0</v>
      </c>
      <c r="I19230" t="n">
        <v>0</v>
      </c>
      <c r="J19230" t="n">
        <v>0</v>
      </c>
      <c r="K19230" t="n">
        <v>0</v>
      </c>
      <c r="L19230" t="n">
        <v>0</v>
      </c>
      <c r="M19230" t="n">
        <v>0</v>
      </c>
      <c r="N19230" t="n">
        <v>0</v>
      </c>
      <c r="O19230" t="n">
        <v>0</v>
      </c>
      <c r="P19230" t="n">
        <v>0</v>
      </c>
      <c r="Q19230" t="n">
        <v>0</v>
      </c>
      <c r="R19230" s="2" t="inlineStr"/>
    </row>
    <row r="19231" ht="15" customHeight="1">
      <c r="A19231" t="inlineStr">
        <is>
          <t>A 12802-2025</t>
        </is>
      </c>
      <c r="B19231" s="1" t="n">
        <v>45733</v>
      </c>
      <c r="C19231" s="1" t="n">
        <v>45810</v>
      </c>
      <c r="D19231" t="inlineStr">
        <is>
          <t>VÄRMLANDS LÄN</t>
        </is>
      </c>
      <c r="E19231" t="inlineStr">
        <is>
          <t>SÄFFLE</t>
        </is>
      </c>
      <c r="G19231" t="n">
        <v>4.3</v>
      </c>
      <c r="H19231" t="n">
        <v>0</v>
      </c>
      <c r="I19231" t="n">
        <v>0</v>
      </c>
      <c r="J19231" t="n">
        <v>0</v>
      </c>
      <c r="K19231" t="n">
        <v>0</v>
      </c>
      <c r="L19231" t="n">
        <v>0</v>
      </c>
      <c r="M19231" t="n">
        <v>0</v>
      </c>
      <c r="N19231" t="n">
        <v>0</v>
      </c>
      <c r="O19231" t="n">
        <v>0</v>
      </c>
      <c r="P19231" t="n">
        <v>0</v>
      </c>
      <c r="Q19231" t="n">
        <v>0</v>
      </c>
      <c r="R19231" s="2" t="inlineStr"/>
    </row>
    <row r="19232" ht="15" customHeight="1">
      <c r="A19232" t="inlineStr">
        <is>
          <t>A 12813-2025</t>
        </is>
      </c>
      <c r="B19232" s="1" t="n">
        <v>45733</v>
      </c>
      <c r="C19232" s="1" t="n">
        <v>45810</v>
      </c>
      <c r="D19232" t="inlineStr">
        <is>
          <t>VÄRMLANDS LÄN</t>
        </is>
      </c>
      <c r="E19232" t="inlineStr">
        <is>
          <t>SUNNE</t>
        </is>
      </c>
      <c r="G19232" t="n">
        <v>1.7</v>
      </c>
      <c r="H19232" t="n">
        <v>0</v>
      </c>
      <c r="I19232" t="n">
        <v>0</v>
      </c>
      <c r="J19232" t="n">
        <v>0</v>
      </c>
      <c r="K19232" t="n">
        <v>0</v>
      </c>
      <c r="L19232" t="n">
        <v>0</v>
      </c>
      <c r="M19232" t="n">
        <v>0</v>
      </c>
      <c r="N19232" t="n">
        <v>0</v>
      </c>
      <c r="O19232" t="n">
        <v>0</v>
      </c>
      <c r="P19232" t="n">
        <v>0</v>
      </c>
      <c r="Q19232" t="n">
        <v>0</v>
      </c>
      <c r="R19232" s="2" t="inlineStr"/>
    </row>
    <row r="19233" ht="15" customHeight="1">
      <c r="A19233" t="inlineStr">
        <is>
          <t>A 12833-2025</t>
        </is>
      </c>
      <c r="B19233" s="1" t="n">
        <v>45733</v>
      </c>
      <c r="C19233" s="1" t="n">
        <v>45810</v>
      </c>
      <c r="D19233" t="inlineStr">
        <is>
          <t>VÄRMLANDS LÄN</t>
        </is>
      </c>
      <c r="E19233" t="inlineStr">
        <is>
          <t>KARLSTAD</t>
        </is>
      </c>
      <c r="G19233" t="n">
        <v>1.7</v>
      </c>
      <c r="H19233" t="n">
        <v>0</v>
      </c>
      <c r="I19233" t="n">
        <v>0</v>
      </c>
      <c r="J19233" t="n">
        <v>0</v>
      </c>
      <c r="K19233" t="n">
        <v>0</v>
      </c>
      <c r="L19233" t="n">
        <v>0</v>
      </c>
      <c r="M19233" t="n">
        <v>0</v>
      </c>
      <c r="N19233" t="n">
        <v>0</v>
      </c>
      <c r="O19233" t="n">
        <v>0</v>
      </c>
      <c r="P19233" t="n">
        <v>0</v>
      </c>
      <c r="Q19233" t="n">
        <v>0</v>
      </c>
      <c r="R19233" s="2" t="inlineStr"/>
    </row>
    <row r="19234" ht="15" customHeight="1">
      <c r="A19234" t="inlineStr">
        <is>
          <t>A 12837-2025</t>
        </is>
      </c>
      <c r="B19234" s="1" t="n">
        <v>45733</v>
      </c>
      <c r="C19234" s="1" t="n">
        <v>45810</v>
      </c>
      <c r="D19234" t="inlineStr">
        <is>
          <t>VÄRMLANDS LÄN</t>
        </is>
      </c>
      <c r="E19234" t="inlineStr">
        <is>
          <t>EDA</t>
        </is>
      </c>
      <c r="G19234" t="n">
        <v>4.1</v>
      </c>
      <c r="H19234" t="n">
        <v>0</v>
      </c>
      <c r="I19234" t="n">
        <v>0</v>
      </c>
      <c r="J19234" t="n">
        <v>0</v>
      </c>
      <c r="K19234" t="n">
        <v>0</v>
      </c>
      <c r="L19234" t="n">
        <v>0</v>
      </c>
      <c r="M19234" t="n">
        <v>0</v>
      </c>
      <c r="N19234" t="n">
        <v>0</v>
      </c>
      <c r="O19234" t="n">
        <v>0</v>
      </c>
      <c r="P19234" t="n">
        <v>0</v>
      </c>
      <c r="Q19234" t="n">
        <v>0</v>
      </c>
      <c r="R19234" s="2" t="inlineStr"/>
    </row>
    <row r="19235" ht="15" customHeight="1">
      <c r="A19235" t="inlineStr">
        <is>
          <t>A 12839-2025</t>
        </is>
      </c>
      <c r="B19235" s="1" t="n">
        <v>45733</v>
      </c>
      <c r="C19235" s="1" t="n">
        <v>45810</v>
      </c>
      <c r="D19235" t="inlineStr">
        <is>
          <t>VÄRMLANDS LÄN</t>
        </is>
      </c>
      <c r="E19235" t="inlineStr">
        <is>
          <t>STORFORS</t>
        </is>
      </c>
      <c r="F19235" t="inlineStr">
        <is>
          <t>Bergvik skog väst AB</t>
        </is>
      </c>
      <c r="G19235" t="n">
        <v>18.2</v>
      </c>
      <c r="H19235" t="n">
        <v>0</v>
      </c>
      <c r="I19235" t="n">
        <v>0</v>
      </c>
      <c r="J19235" t="n">
        <v>0</v>
      </c>
      <c r="K19235" t="n">
        <v>0</v>
      </c>
      <c r="L19235" t="n">
        <v>0</v>
      </c>
      <c r="M19235" t="n">
        <v>0</v>
      </c>
      <c r="N19235" t="n">
        <v>0</v>
      </c>
      <c r="O19235" t="n">
        <v>0</v>
      </c>
      <c r="P19235" t="n">
        <v>0</v>
      </c>
      <c r="Q19235" t="n">
        <v>0</v>
      </c>
      <c r="R19235" s="2" t="inlineStr"/>
    </row>
    <row r="19236" ht="15" customHeight="1">
      <c r="A19236" t="inlineStr">
        <is>
          <t>A 12843-2025</t>
        </is>
      </c>
      <c r="B19236" s="1" t="n">
        <v>45733</v>
      </c>
      <c r="C19236" s="1" t="n">
        <v>45810</v>
      </c>
      <c r="D19236" t="inlineStr">
        <is>
          <t>VÄRMLANDS LÄN</t>
        </is>
      </c>
      <c r="E19236" t="inlineStr">
        <is>
          <t>EDA</t>
        </is>
      </c>
      <c r="G19236" t="n">
        <v>4.8</v>
      </c>
      <c r="H19236" t="n">
        <v>0</v>
      </c>
      <c r="I19236" t="n">
        <v>0</v>
      </c>
      <c r="J19236" t="n">
        <v>0</v>
      </c>
      <c r="K19236" t="n">
        <v>0</v>
      </c>
      <c r="L19236" t="n">
        <v>0</v>
      </c>
      <c r="M19236" t="n">
        <v>0</v>
      </c>
      <c r="N19236" t="n">
        <v>0</v>
      </c>
      <c r="O19236" t="n">
        <v>0</v>
      </c>
      <c r="P19236" t="n">
        <v>0</v>
      </c>
      <c r="Q19236" t="n">
        <v>0</v>
      </c>
      <c r="R19236" s="2" t="inlineStr"/>
    </row>
    <row r="19237" ht="15" customHeight="1">
      <c r="A19237" t="inlineStr">
        <is>
          <t>A 12859-2025</t>
        </is>
      </c>
      <c r="B19237" s="1" t="n">
        <v>45733</v>
      </c>
      <c r="C19237" s="1" t="n">
        <v>45810</v>
      </c>
      <c r="D19237" t="inlineStr">
        <is>
          <t>VÄRMLANDS LÄN</t>
        </is>
      </c>
      <c r="E19237" t="inlineStr">
        <is>
          <t>FILIPSTAD</t>
        </is>
      </c>
      <c r="F19237" t="inlineStr">
        <is>
          <t>Bergvik skog väst AB</t>
        </is>
      </c>
      <c r="G19237" t="n">
        <v>1.1</v>
      </c>
      <c r="H19237" t="n">
        <v>0</v>
      </c>
      <c r="I19237" t="n">
        <v>0</v>
      </c>
      <c r="J19237" t="n">
        <v>0</v>
      </c>
      <c r="K19237" t="n">
        <v>0</v>
      </c>
      <c r="L19237" t="n">
        <v>0</v>
      </c>
      <c r="M19237" t="n">
        <v>0</v>
      </c>
      <c r="N19237" t="n">
        <v>0</v>
      </c>
      <c r="O19237" t="n">
        <v>0</v>
      </c>
      <c r="P19237" t="n">
        <v>0</v>
      </c>
      <c r="Q19237" t="n">
        <v>0</v>
      </c>
      <c r="R19237" s="2" t="inlineStr"/>
    </row>
    <row r="19238" ht="15" customHeight="1">
      <c r="A19238" t="inlineStr">
        <is>
          <t>A 12840-2025</t>
        </is>
      </c>
      <c r="B19238" s="1" t="n">
        <v>45733</v>
      </c>
      <c r="C19238" s="1" t="n">
        <v>45810</v>
      </c>
      <c r="D19238" t="inlineStr">
        <is>
          <t>VÄRMLANDS LÄN</t>
        </is>
      </c>
      <c r="E19238" t="inlineStr">
        <is>
          <t>ÅRJÄNG</t>
        </is>
      </c>
      <c r="G19238" t="n">
        <v>2.2</v>
      </c>
      <c r="H19238" t="n">
        <v>0</v>
      </c>
      <c r="I19238" t="n">
        <v>0</v>
      </c>
      <c r="J19238" t="n">
        <v>0</v>
      </c>
      <c r="K19238" t="n">
        <v>0</v>
      </c>
      <c r="L19238" t="n">
        <v>0</v>
      </c>
      <c r="M19238" t="n">
        <v>0</v>
      </c>
      <c r="N19238" t="n">
        <v>0</v>
      </c>
      <c r="O19238" t="n">
        <v>0</v>
      </c>
      <c r="P19238" t="n">
        <v>0</v>
      </c>
      <c r="Q19238" t="n">
        <v>0</v>
      </c>
      <c r="R19238" s="2" t="inlineStr"/>
    </row>
    <row r="19239" ht="15" customHeight="1">
      <c r="A19239" t="inlineStr">
        <is>
          <t>A 12822-2025</t>
        </is>
      </c>
      <c r="B19239" s="1" t="n">
        <v>45733</v>
      </c>
      <c r="C19239" s="1" t="n">
        <v>45810</v>
      </c>
      <c r="D19239" t="inlineStr">
        <is>
          <t>VÄRMLANDS LÄN</t>
        </is>
      </c>
      <c r="E19239" t="inlineStr">
        <is>
          <t>EDA</t>
        </is>
      </c>
      <c r="G19239" t="n">
        <v>3.6</v>
      </c>
      <c r="H19239" t="n">
        <v>0</v>
      </c>
      <c r="I19239" t="n">
        <v>0</v>
      </c>
      <c r="J19239" t="n">
        <v>0</v>
      </c>
      <c r="K19239" t="n">
        <v>0</v>
      </c>
      <c r="L19239" t="n">
        <v>0</v>
      </c>
      <c r="M19239" t="n">
        <v>0</v>
      </c>
      <c r="N19239" t="n">
        <v>0</v>
      </c>
      <c r="O19239" t="n">
        <v>0</v>
      </c>
      <c r="P19239" t="n">
        <v>0</v>
      </c>
      <c r="Q19239" t="n">
        <v>0</v>
      </c>
      <c r="R19239" s="2" t="inlineStr"/>
    </row>
    <row r="19240" ht="15" customHeight="1">
      <c r="A19240" t="inlineStr">
        <is>
          <t>A 12630-2025</t>
        </is>
      </c>
      <c r="B19240" s="1" t="n">
        <v>45733</v>
      </c>
      <c r="C19240" s="1" t="n">
        <v>45810</v>
      </c>
      <c r="D19240" t="inlineStr">
        <is>
          <t>VÄRMLANDS LÄN</t>
        </is>
      </c>
      <c r="E19240" t="inlineStr">
        <is>
          <t>SÄFFLE</t>
        </is>
      </c>
      <c r="G19240" t="n">
        <v>1.4</v>
      </c>
      <c r="H19240" t="n">
        <v>0</v>
      </c>
      <c r="I19240" t="n">
        <v>0</v>
      </c>
      <c r="J19240" t="n">
        <v>0</v>
      </c>
      <c r="K19240" t="n">
        <v>0</v>
      </c>
      <c r="L19240" t="n">
        <v>0</v>
      </c>
      <c r="M19240" t="n">
        <v>0</v>
      </c>
      <c r="N19240" t="n">
        <v>0</v>
      </c>
      <c r="O19240" t="n">
        <v>0</v>
      </c>
      <c r="P19240" t="n">
        <v>0</v>
      </c>
      <c r="Q19240" t="n">
        <v>0</v>
      </c>
      <c r="R19240" s="2" t="inlineStr"/>
    </row>
    <row r="19241" ht="15" customHeight="1">
      <c r="A19241" t="inlineStr">
        <is>
          <t>A 12659-2025</t>
        </is>
      </c>
      <c r="B19241" s="1" t="n">
        <v>45733</v>
      </c>
      <c r="C19241" s="1" t="n">
        <v>45810</v>
      </c>
      <c r="D19241" t="inlineStr">
        <is>
          <t>VÄRMLANDS LÄN</t>
        </is>
      </c>
      <c r="E19241" t="inlineStr">
        <is>
          <t>ÅRJÄNG</t>
        </is>
      </c>
      <c r="G19241" t="n">
        <v>1.1</v>
      </c>
      <c r="H19241" t="n">
        <v>0</v>
      </c>
      <c r="I19241" t="n">
        <v>0</v>
      </c>
      <c r="J19241" t="n">
        <v>0</v>
      </c>
      <c r="K19241" t="n">
        <v>0</v>
      </c>
      <c r="L19241" t="n">
        <v>0</v>
      </c>
      <c r="M19241" t="n">
        <v>0</v>
      </c>
      <c r="N19241" t="n">
        <v>0</v>
      </c>
      <c r="O19241" t="n">
        <v>0</v>
      </c>
      <c r="P19241" t="n">
        <v>0</v>
      </c>
      <c r="Q19241" t="n">
        <v>0</v>
      </c>
      <c r="R19241" s="2" t="inlineStr"/>
    </row>
    <row r="19242" ht="15" customHeight="1">
      <c r="A19242" t="inlineStr">
        <is>
          <t>A 12824-2025</t>
        </is>
      </c>
      <c r="B19242" s="1" t="n">
        <v>45733</v>
      </c>
      <c r="C19242" s="1" t="n">
        <v>45810</v>
      </c>
      <c r="D19242" t="inlineStr">
        <is>
          <t>VÄRMLANDS LÄN</t>
        </is>
      </c>
      <c r="E19242" t="inlineStr">
        <is>
          <t>STORFORS</t>
        </is>
      </c>
      <c r="G19242" t="n">
        <v>1.6</v>
      </c>
      <c r="H19242" t="n">
        <v>0</v>
      </c>
      <c r="I19242" t="n">
        <v>0</v>
      </c>
      <c r="J19242" t="n">
        <v>0</v>
      </c>
      <c r="K19242" t="n">
        <v>0</v>
      </c>
      <c r="L19242" t="n">
        <v>0</v>
      </c>
      <c r="M19242" t="n">
        <v>0</v>
      </c>
      <c r="N19242" t="n">
        <v>0</v>
      </c>
      <c r="O19242" t="n">
        <v>0</v>
      </c>
      <c r="P19242" t="n">
        <v>0</v>
      </c>
      <c r="Q19242" t="n">
        <v>0</v>
      </c>
      <c r="R19242" s="2" t="inlineStr"/>
    </row>
    <row r="19243" ht="15" customHeight="1">
      <c r="A19243" t="inlineStr">
        <is>
          <t>A 12819-2025</t>
        </is>
      </c>
      <c r="B19243" s="1" t="n">
        <v>45733</v>
      </c>
      <c r="C19243" s="1" t="n">
        <v>45810</v>
      </c>
      <c r="D19243" t="inlineStr">
        <is>
          <t>VÄRMLANDS LÄN</t>
        </is>
      </c>
      <c r="E19243" t="inlineStr">
        <is>
          <t>STORFORS</t>
        </is>
      </c>
      <c r="G19243" t="n">
        <v>1.4</v>
      </c>
      <c r="H19243" t="n">
        <v>0</v>
      </c>
      <c r="I19243" t="n">
        <v>0</v>
      </c>
      <c r="J19243" t="n">
        <v>0</v>
      </c>
      <c r="K19243" t="n">
        <v>0</v>
      </c>
      <c r="L19243" t="n">
        <v>0</v>
      </c>
      <c r="M19243" t="n">
        <v>0</v>
      </c>
      <c r="N19243" t="n">
        <v>0</v>
      </c>
      <c r="O19243" t="n">
        <v>0</v>
      </c>
      <c r="P19243" t="n">
        <v>0</v>
      </c>
      <c r="Q19243" t="n">
        <v>0</v>
      </c>
      <c r="R19243" s="2" t="inlineStr"/>
    </row>
    <row r="19244" ht="15" customHeight="1">
      <c r="A19244" t="inlineStr">
        <is>
          <t>A 12740-2025</t>
        </is>
      </c>
      <c r="B19244" s="1" t="n">
        <v>45733</v>
      </c>
      <c r="C19244" s="1" t="n">
        <v>45810</v>
      </c>
      <c r="D19244" t="inlineStr">
        <is>
          <t>VÄRMLANDS LÄN</t>
        </is>
      </c>
      <c r="E19244" t="inlineStr">
        <is>
          <t>ÅRJÄNG</t>
        </is>
      </c>
      <c r="G19244" t="n">
        <v>2.9</v>
      </c>
      <c r="H19244" t="n">
        <v>0</v>
      </c>
      <c r="I19244" t="n">
        <v>0</v>
      </c>
      <c r="J19244" t="n">
        <v>0</v>
      </c>
      <c r="K19244" t="n">
        <v>0</v>
      </c>
      <c r="L19244" t="n">
        <v>0</v>
      </c>
      <c r="M19244" t="n">
        <v>0</v>
      </c>
      <c r="N19244" t="n">
        <v>0</v>
      </c>
      <c r="O19244" t="n">
        <v>0</v>
      </c>
      <c r="P19244" t="n">
        <v>0</v>
      </c>
      <c r="Q19244" t="n">
        <v>0</v>
      </c>
      <c r="R19244" s="2" t="inlineStr"/>
    </row>
    <row r="19245" ht="15" customHeight="1">
      <c r="A19245" t="inlineStr">
        <is>
          <t>A 12930-2025</t>
        </is>
      </c>
      <c r="B19245" s="1" t="n">
        <v>45734</v>
      </c>
      <c r="C19245" s="1" t="n">
        <v>45810</v>
      </c>
      <c r="D19245" t="inlineStr">
        <is>
          <t>VÄRMLANDS LÄN</t>
        </is>
      </c>
      <c r="E19245" t="inlineStr">
        <is>
          <t>KIL</t>
        </is>
      </c>
      <c r="G19245" t="n">
        <v>1</v>
      </c>
      <c r="H19245" t="n">
        <v>0</v>
      </c>
      <c r="I19245" t="n">
        <v>0</v>
      </c>
      <c r="J19245" t="n">
        <v>0</v>
      </c>
      <c r="K19245" t="n">
        <v>0</v>
      </c>
      <c r="L19245" t="n">
        <v>0</v>
      </c>
      <c r="M19245" t="n">
        <v>0</v>
      </c>
      <c r="N19245" t="n">
        <v>0</v>
      </c>
      <c r="O19245" t="n">
        <v>0</v>
      </c>
      <c r="P19245" t="n">
        <v>0</v>
      </c>
      <c r="Q19245" t="n">
        <v>0</v>
      </c>
      <c r="R19245" s="2" t="inlineStr"/>
    </row>
    <row r="19246" ht="15" customHeight="1">
      <c r="A19246" t="inlineStr">
        <is>
          <t>A 13002-2025</t>
        </is>
      </c>
      <c r="B19246" s="1" t="n">
        <v>45734</v>
      </c>
      <c r="C19246" s="1" t="n">
        <v>45810</v>
      </c>
      <c r="D19246" t="inlineStr">
        <is>
          <t>VÄRMLANDS LÄN</t>
        </is>
      </c>
      <c r="E19246" t="inlineStr">
        <is>
          <t>ÅRJÄNG</t>
        </is>
      </c>
      <c r="G19246" t="n">
        <v>2.4</v>
      </c>
      <c r="H19246" t="n">
        <v>0</v>
      </c>
      <c r="I19246" t="n">
        <v>0</v>
      </c>
      <c r="J19246" t="n">
        <v>0</v>
      </c>
      <c r="K19246" t="n">
        <v>0</v>
      </c>
      <c r="L19246" t="n">
        <v>0</v>
      </c>
      <c r="M19246" t="n">
        <v>0</v>
      </c>
      <c r="N19246" t="n">
        <v>0</v>
      </c>
      <c r="O19246" t="n">
        <v>0</v>
      </c>
      <c r="P19246" t="n">
        <v>0</v>
      </c>
      <c r="Q19246" t="n">
        <v>0</v>
      </c>
      <c r="R19246" s="2" t="inlineStr"/>
    </row>
    <row r="19247" ht="15" customHeight="1">
      <c r="A19247" t="inlineStr">
        <is>
          <t>A 13006-2025</t>
        </is>
      </c>
      <c r="B19247" s="1" t="n">
        <v>45734</v>
      </c>
      <c r="C19247" s="1" t="n">
        <v>45810</v>
      </c>
      <c r="D19247" t="inlineStr">
        <is>
          <t>VÄRMLANDS LÄN</t>
        </is>
      </c>
      <c r="E19247" t="inlineStr">
        <is>
          <t>TORSBY</t>
        </is>
      </c>
      <c r="G19247" t="n">
        <v>1.6</v>
      </c>
      <c r="H19247" t="n">
        <v>0</v>
      </c>
      <c r="I19247" t="n">
        <v>0</v>
      </c>
      <c r="J19247" t="n">
        <v>0</v>
      </c>
      <c r="K19247" t="n">
        <v>0</v>
      </c>
      <c r="L19247" t="n">
        <v>0</v>
      </c>
      <c r="M19247" t="n">
        <v>0</v>
      </c>
      <c r="N19247" t="n">
        <v>0</v>
      </c>
      <c r="O19247" t="n">
        <v>0</v>
      </c>
      <c r="P19247" t="n">
        <v>0</v>
      </c>
      <c r="Q19247" t="n">
        <v>0</v>
      </c>
      <c r="R19247" s="2" t="inlineStr"/>
    </row>
    <row r="19248" ht="15" customHeight="1">
      <c r="A19248" t="inlineStr">
        <is>
          <t>A 13029-2025</t>
        </is>
      </c>
      <c r="B19248" s="1" t="n">
        <v>45734</v>
      </c>
      <c r="C19248" s="1" t="n">
        <v>45810</v>
      </c>
      <c r="D19248" t="inlineStr">
        <is>
          <t>VÄRMLANDS LÄN</t>
        </is>
      </c>
      <c r="E19248" t="inlineStr">
        <is>
          <t>ÅRJÄNG</t>
        </is>
      </c>
      <c r="G19248" t="n">
        <v>4.1</v>
      </c>
      <c r="H19248" t="n">
        <v>0</v>
      </c>
      <c r="I19248" t="n">
        <v>0</v>
      </c>
      <c r="J19248" t="n">
        <v>0</v>
      </c>
      <c r="K19248" t="n">
        <v>0</v>
      </c>
      <c r="L19248" t="n">
        <v>0</v>
      </c>
      <c r="M19248" t="n">
        <v>0</v>
      </c>
      <c r="N19248" t="n">
        <v>0</v>
      </c>
      <c r="O19248" t="n">
        <v>0</v>
      </c>
      <c r="P19248" t="n">
        <v>0</v>
      </c>
      <c r="Q19248" t="n">
        <v>0</v>
      </c>
      <c r="R19248" s="2" t="inlineStr"/>
    </row>
    <row r="19249" ht="15" customHeight="1">
      <c r="A19249" t="inlineStr">
        <is>
          <t>A 13118-2025</t>
        </is>
      </c>
      <c r="B19249" s="1" t="n">
        <v>45734</v>
      </c>
      <c r="C19249" s="1" t="n">
        <v>45810</v>
      </c>
      <c r="D19249" t="inlineStr">
        <is>
          <t>VÄRMLANDS LÄN</t>
        </is>
      </c>
      <c r="E19249" t="inlineStr">
        <is>
          <t>KRISTINEHAMN</t>
        </is>
      </c>
      <c r="G19249" t="n">
        <v>1.7</v>
      </c>
      <c r="H19249" t="n">
        <v>0</v>
      </c>
      <c r="I19249" t="n">
        <v>0</v>
      </c>
      <c r="J19249" t="n">
        <v>0</v>
      </c>
      <c r="K19249" t="n">
        <v>0</v>
      </c>
      <c r="L19249" t="n">
        <v>0</v>
      </c>
      <c r="M19249" t="n">
        <v>0</v>
      </c>
      <c r="N19249" t="n">
        <v>0</v>
      </c>
      <c r="O19249" t="n">
        <v>0</v>
      </c>
      <c r="P19249" t="n">
        <v>0</v>
      </c>
      <c r="Q19249" t="n">
        <v>0</v>
      </c>
      <c r="R19249" s="2" t="inlineStr"/>
    </row>
    <row r="19250" ht="15" customHeight="1">
      <c r="A19250" t="inlineStr">
        <is>
          <t>A 13098-2025</t>
        </is>
      </c>
      <c r="B19250" s="1" t="n">
        <v>45734</v>
      </c>
      <c r="C19250" s="1" t="n">
        <v>45810</v>
      </c>
      <c r="D19250" t="inlineStr">
        <is>
          <t>VÄRMLANDS LÄN</t>
        </is>
      </c>
      <c r="E19250" t="inlineStr">
        <is>
          <t>KIL</t>
        </is>
      </c>
      <c r="G19250" t="n">
        <v>0.5</v>
      </c>
      <c r="H19250" t="n">
        <v>0</v>
      </c>
      <c r="I19250" t="n">
        <v>0</v>
      </c>
      <c r="J19250" t="n">
        <v>0</v>
      </c>
      <c r="K19250" t="n">
        <v>0</v>
      </c>
      <c r="L19250" t="n">
        <v>0</v>
      </c>
      <c r="M19250" t="n">
        <v>0</v>
      </c>
      <c r="N19250" t="n">
        <v>0</v>
      </c>
      <c r="O19250" t="n">
        <v>0</v>
      </c>
      <c r="P19250" t="n">
        <v>0</v>
      </c>
      <c r="Q19250" t="n">
        <v>0</v>
      </c>
      <c r="R19250" s="2" t="inlineStr"/>
    </row>
    <row r="19251" ht="15" customHeight="1">
      <c r="A19251" t="inlineStr">
        <is>
          <t>A 13099-2025</t>
        </is>
      </c>
      <c r="B19251" s="1" t="n">
        <v>45734</v>
      </c>
      <c r="C19251" s="1" t="n">
        <v>45810</v>
      </c>
      <c r="D19251" t="inlineStr">
        <is>
          <t>VÄRMLANDS LÄN</t>
        </is>
      </c>
      <c r="E19251" t="inlineStr">
        <is>
          <t>SUNNE</t>
        </is>
      </c>
      <c r="G19251" t="n">
        <v>1</v>
      </c>
      <c r="H19251" t="n">
        <v>0</v>
      </c>
      <c r="I19251" t="n">
        <v>0</v>
      </c>
      <c r="J19251" t="n">
        <v>0</v>
      </c>
      <c r="K19251" t="n">
        <v>0</v>
      </c>
      <c r="L19251" t="n">
        <v>0</v>
      </c>
      <c r="M19251" t="n">
        <v>0</v>
      </c>
      <c r="N19251" t="n">
        <v>0</v>
      </c>
      <c r="O19251" t="n">
        <v>0</v>
      </c>
      <c r="P19251" t="n">
        <v>0</v>
      </c>
      <c r="Q19251" t="n">
        <v>0</v>
      </c>
      <c r="R19251" s="2" t="inlineStr"/>
    </row>
    <row r="19252" ht="15" customHeight="1">
      <c r="A19252" t="inlineStr">
        <is>
          <t>A 13015-2025</t>
        </is>
      </c>
      <c r="B19252" s="1" t="n">
        <v>45734</v>
      </c>
      <c r="C19252" s="1" t="n">
        <v>45810</v>
      </c>
      <c r="D19252" t="inlineStr">
        <is>
          <t>VÄRMLANDS LÄN</t>
        </is>
      </c>
      <c r="E19252" t="inlineStr">
        <is>
          <t>STORFORS</t>
        </is>
      </c>
      <c r="G19252" t="n">
        <v>1.1</v>
      </c>
      <c r="H19252" t="n">
        <v>0</v>
      </c>
      <c r="I19252" t="n">
        <v>0</v>
      </c>
      <c r="J19252" t="n">
        <v>0</v>
      </c>
      <c r="K19252" t="n">
        <v>0</v>
      </c>
      <c r="L19252" t="n">
        <v>0</v>
      </c>
      <c r="M19252" t="n">
        <v>0</v>
      </c>
      <c r="N19252" t="n">
        <v>0</v>
      </c>
      <c r="O19252" t="n">
        <v>0</v>
      </c>
      <c r="P19252" t="n">
        <v>0</v>
      </c>
      <c r="Q19252" t="n">
        <v>0</v>
      </c>
      <c r="R19252" s="2" t="inlineStr"/>
    </row>
    <row r="19253" ht="15" customHeight="1">
      <c r="A19253" t="inlineStr">
        <is>
          <t>A 13001-2025</t>
        </is>
      </c>
      <c r="B19253" s="1" t="n">
        <v>45734</v>
      </c>
      <c r="C19253" s="1" t="n">
        <v>45810</v>
      </c>
      <c r="D19253" t="inlineStr">
        <is>
          <t>VÄRMLANDS LÄN</t>
        </is>
      </c>
      <c r="E19253" t="inlineStr">
        <is>
          <t>ÅRJÄNG</t>
        </is>
      </c>
      <c r="G19253" t="n">
        <v>15.8</v>
      </c>
      <c r="H19253" t="n">
        <v>0</v>
      </c>
      <c r="I19253" t="n">
        <v>0</v>
      </c>
      <c r="J19253" t="n">
        <v>0</v>
      </c>
      <c r="K19253" t="n">
        <v>0</v>
      </c>
      <c r="L19253" t="n">
        <v>0</v>
      </c>
      <c r="M19253" t="n">
        <v>0</v>
      </c>
      <c r="N19253" t="n">
        <v>0</v>
      </c>
      <c r="O19253" t="n">
        <v>0</v>
      </c>
      <c r="P19253" t="n">
        <v>0</v>
      </c>
      <c r="Q19253" t="n">
        <v>0</v>
      </c>
      <c r="R19253" s="2" t="inlineStr"/>
    </row>
    <row r="19254" ht="15" customHeight="1">
      <c r="A19254" t="inlineStr">
        <is>
          <t>A 12959-2025</t>
        </is>
      </c>
      <c r="B19254" s="1" t="n">
        <v>45734</v>
      </c>
      <c r="C19254" s="1" t="n">
        <v>45810</v>
      </c>
      <c r="D19254" t="inlineStr">
        <is>
          <t>VÄRMLANDS LÄN</t>
        </is>
      </c>
      <c r="E19254" t="inlineStr">
        <is>
          <t>TORSBY</t>
        </is>
      </c>
      <c r="G19254" t="n">
        <v>3.8</v>
      </c>
      <c r="H19254" t="n">
        <v>0</v>
      </c>
      <c r="I19254" t="n">
        <v>0</v>
      </c>
      <c r="J19254" t="n">
        <v>0</v>
      </c>
      <c r="K19254" t="n">
        <v>0</v>
      </c>
      <c r="L19254" t="n">
        <v>0</v>
      </c>
      <c r="M19254" t="n">
        <v>0</v>
      </c>
      <c r="N19254" t="n">
        <v>0</v>
      </c>
      <c r="O19254" t="n">
        <v>0</v>
      </c>
      <c r="P19254" t="n">
        <v>0</v>
      </c>
      <c r="Q19254" t="n">
        <v>0</v>
      </c>
      <c r="R19254" s="2" t="inlineStr"/>
    </row>
    <row r="19255" ht="15" customHeight="1">
      <c r="A19255" t="inlineStr">
        <is>
          <t>A 13012-2025</t>
        </is>
      </c>
      <c r="B19255" s="1" t="n">
        <v>45734</v>
      </c>
      <c r="C19255" s="1" t="n">
        <v>45810</v>
      </c>
      <c r="D19255" t="inlineStr">
        <is>
          <t>VÄRMLANDS LÄN</t>
        </is>
      </c>
      <c r="E19255" t="inlineStr">
        <is>
          <t>KARLSTAD</t>
        </is>
      </c>
      <c r="G19255" t="n">
        <v>2.1</v>
      </c>
      <c r="H19255" t="n">
        <v>0</v>
      </c>
      <c r="I19255" t="n">
        <v>0</v>
      </c>
      <c r="J19255" t="n">
        <v>0</v>
      </c>
      <c r="K19255" t="n">
        <v>0</v>
      </c>
      <c r="L19255" t="n">
        <v>0</v>
      </c>
      <c r="M19255" t="n">
        <v>0</v>
      </c>
      <c r="N19255" t="n">
        <v>0</v>
      </c>
      <c r="O19255" t="n">
        <v>0</v>
      </c>
      <c r="P19255" t="n">
        <v>0</v>
      </c>
      <c r="Q19255" t="n">
        <v>0</v>
      </c>
      <c r="R19255" s="2" t="inlineStr"/>
    </row>
    <row r="19256" ht="15" customHeight="1">
      <c r="A19256" t="inlineStr">
        <is>
          <t>A 12949-2025</t>
        </is>
      </c>
      <c r="B19256" s="1" t="n">
        <v>45734</v>
      </c>
      <c r="C19256" s="1" t="n">
        <v>45810</v>
      </c>
      <c r="D19256" t="inlineStr">
        <is>
          <t>VÄRMLANDS LÄN</t>
        </is>
      </c>
      <c r="E19256" t="inlineStr">
        <is>
          <t>KRISTINEHAMN</t>
        </is>
      </c>
      <c r="G19256" t="n">
        <v>3.3</v>
      </c>
      <c r="H19256" t="n">
        <v>0</v>
      </c>
      <c r="I19256" t="n">
        <v>0</v>
      </c>
      <c r="J19256" t="n">
        <v>0</v>
      </c>
      <c r="K19256" t="n">
        <v>0</v>
      </c>
      <c r="L19256" t="n">
        <v>0</v>
      </c>
      <c r="M19256" t="n">
        <v>0</v>
      </c>
      <c r="N19256" t="n">
        <v>0</v>
      </c>
      <c r="O19256" t="n">
        <v>0</v>
      </c>
      <c r="P19256" t="n">
        <v>0</v>
      </c>
      <c r="Q19256" t="n">
        <v>0</v>
      </c>
      <c r="R19256" s="2" t="inlineStr"/>
    </row>
    <row r="19257" ht="15" customHeight="1">
      <c r="A19257" t="inlineStr">
        <is>
          <t>A 12982-2025</t>
        </is>
      </c>
      <c r="B19257" s="1" t="n">
        <v>45734</v>
      </c>
      <c r="C19257" s="1" t="n">
        <v>45810</v>
      </c>
      <c r="D19257" t="inlineStr">
        <is>
          <t>VÄRMLANDS LÄN</t>
        </is>
      </c>
      <c r="E19257" t="inlineStr">
        <is>
          <t>ÅRJÄNG</t>
        </is>
      </c>
      <c r="G19257" t="n">
        <v>3.3</v>
      </c>
      <c r="H19257" t="n">
        <v>0</v>
      </c>
      <c r="I19257" t="n">
        <v>0</v>
      </c>
      <c r="J19257" t="n">
        <v>0</v>
      </c>
      <c r="K19257" t="n">
        <v>0</v>
      </c>
      <c r="L19257" t="n">
        <v>0</v>
      </c>
      <c r="M19257" t="n">
        <v>0</v>
      </c>
      <c r="N19257" t="n">
        <v>0</v>
      </c>
      <c r="O19257" t="n">
        <v>0</v>
      </c>
      <c r="P19257" t="n">
        <v>0</v>
      </c>
      <c r="Q19257" t="n">
        <v>0</v>
      </c>
      <c r="R19257" s="2" t="inlineStr"/>
    </row>
    <row r="19258" ht="15" customHeight="1">
      <c r="A19258" t="inlineStr">
        <is>
          <t>A 13068-2025</t>
        </is>
      </c>
      <c r="B19258" s="1" t="n">
        <v>45734</v>
      </c>
      <c r="C19258" s="1" t="n">
        <v>45810</v>
      </c>
      <c r="D19258" t="inlineStr">
        <is>
          <t>VÄRMLANDS LÄN</t>
        </is>
      </c>
      <c r="E19258" t="inlineStr">
        <is>
          <t>KARLSTAD</t>
        </is>
      </c>
      <c r="G19258" t="n">
        <v>1</v>
      </c>
      <c r="H19258" t="n">
        <v>0</v>
      </c>
      <c r="I19258" t="n">
        <v>0</v>
      </c>
      <c r="J19258" t="n">
        <v>0</v>
      </c>
      <c r="K19258" t="n">
        <v>0</v>
      </c>
      <c r="L19258" t="n">
        <v>0</v>
      </c>
      <c r="M19258" t="n">
        <v>0</v>
      </c>
      <c r="N19258" t="n">
        <v>0</v>
      </c>
      <c r="O19258" t="n">
        <v>0</v>
      </c>
      <c r="P19258" t="n">
        <v>0</v>
      </c>
      <c r="Q19258" t="n">
        <v>0</v>
      </c>
      <c r="R19258" s="2" t="inlineStr"/>
    </row>
    <row r="19259" ht="15" customHeight="1">
      <c r="A19259" t="inlineStr">
        <is>
          <t>A 12993-2025</t>
        </is>
      </c>
      <c r="B19259" s="1" t="n">
        <v>45734</v>
      </c>
      <c r="C19259" s="1" t="n">
        <v>45810</v>
      </c>
      <c r="D19259" t="inlineStr">
        <is>
          <t>VÄRMLANDS LÄN</t>
        </is>
      </c>
      <c r="E19259" t="inlineStr">
        <is>
          <t>ÅRJÄNG</t>
        </is>
      </c>
      <c r="G19259" t="n">
        <v>1.1</v>
      </c>
      <c r="H19259" t="n">
        <v>0</v>
      </c>
      <c r="I19259" t="n">
        <v>0</v>
      </c>
      <c r="J19259" t="n">
        <v>0</v>
      </c>
      <c r="K19259" t="n">
        <v>0</v>
      </c>
      <c r="L19259" t="n">
        <v>0</v>
      </c>
      <c r="M19259" t="n">
        <v>0</v>
      </c>
      <c r="N19259" t="n">
        <v>0</v>
      </c>
      <c r="O19259" t="n">
        <v>0</v>
      </c>
      <c r="P19259" t="n">
        <v>0</v>
      </c>
      <c r="Q19259" t="n">
        <v>0</v>
      </c>
      <c r="R19259" s="2" t="inlineStr"/>
    </row>
    <row r="19260" ht="15" customHeight="1">
      <c r="A19260" t="inlineStr">
        <is>
          <t>A 12928-2025</t>
        </is>
      </c>
      <c r="B19260" s="1" t="n">
        <v>45734</v>
      </c>
      <c r="C19260" s="1" t="n">
        <v>45810</v>
      </c>
      <c r="D19260" t="inlineStr">
        <is>
          <t>VÄRMLANDS LÄN</t>
        </is>
      </c>
      <c r="E19260" t="inlineStr">
        <is>
          <t>KIL</t>
        </is>
      </c>
      <c r="G19260" t="n">
        <v>3.1</v>
      </c>
      <c r="H19260" t="n">
        <v>0</v>
      </c>
      <c r="I19260" t="n">
        <v>0</v>
      </c>
      <c r="J19260" t="n">
        <v>0</v>
      </c>
      <c r="K19260" t="n">
        <v>0</v>
      </c>
      <c r="L19260" t="n">
        <v>0</v>
      </c>
      <c r="M19260" t="n">
        <v>0</v>
      </c>
      <c r="N19260" t="n">
        <v>0</v>
      </c>
      <c r="O19260" t="n">
        <v>0</v>
      </c>
      <c r="P19260" t="n">
        <v>0</v>
      </c>
      <c r="Q19260" t="n">
        <v>0</v>
      </c>
      <c r="R19260" s="2" t="inlineStr"/>
    </row>
    <row r="19261" ht="15" customHeight="1">
      <c r="A19261" t="inlineStr">
        <is>
          <t>A 13059-2025</t>
        </is>
      </c>
      <c r="B19261" s="1" t="n">
        <v>45734</v>
      </c>
      <c r="C19261" s="1" t="n">
        <v>45810</v>
      </c>
      <c r="D19261" t="inlineStr">
        <is>
          <t>VÄRMLANDS LÄN</t>
        </is>
      </c>
      <c r="E19261" t="inlineStr">
        <is>
          <t>KARLSTAD</t>
        </is>
      </c>
      <c r="G19261" t="n">
        <v>4.1</v>
      </c>
      <c r="H19261" t="n">
        <v>0</v>
      </c>
      <c r="I19261" t="n">
        <v>0</v>
      </c>
      <c r="J19261" t="n">
        <v>0</v>
      </c>
      <c r="K19261" t="n">
        <v>0</v>
      </c>
      <c r="L19261" t="n">
        <v>0</v>
      </c>
      <c r="M19261" t="n">
        <v>0</v>
      </c>
      <c r="N19261" t="n">
        <v>0</v>
      </c>
      <c r="O19261" t="n">
        <v>0</v>
      </c>
      <c r="P19261" t="n">
        <v>0</v>
      </c>
      <c r="Q19261" t="n">
        <v>0</v>
      </c>
      <c r="R19261" s="2" t="inlineStr"/>
    </row>
    <row r="19262" ht="15" customHeight="1">
      <c r="A19262" t="inlineStr">
        <is>
          <t>A 13035-2025</t>
        </is>
      </c>
      <c r="B19262" s="1" t="n">
        <v>45734</v>
      </c>
      <c r="C19262" s="1" t="n">
        <v>45810</v>
      </c>
      <c r="D19262" t="inlineStr">
        <is>
          <t>VÄRMLANDS LÄN</t>
        </is>
      </c>
      <c r="E19262" t="inlineStr">
        <is>
          <t>SUNNE</t>
        </is>
      </c>
      <c r="G19262" t="n">
        <v>2.1</v>
      </c>
      <c r="H19262" t="n">
        <v>0</v>
      </c>
      <c r="I19262" t="n">
        <v>0</v>
      </c>
      <c r="J19262" t="n">
        <v>0</v>
      </c>
      <c r="K19262" t="n">
        <v>0</v>
      </c>
      <c r="L19262" t="n">
        <v>0</v>
      </c>
      <c r="M19262" t="n">
        <v>0</v>
      </c>
      <c r="N19262" t="n">
        <v>0</v>
      </c>
      <c r="O19262" t="n">
        <v>0</v>
      </c>
      <c r="P19262" t="n">
        <v>0</v>
      </c>
      <c r="Q19262" t="n">
        <v>0</v>
      </c>
      <c r="R19262" s="2" t="inlineStr"/>
    </row>
    <row r="19263" ht="15" customHeight="1">
      <c r="A19263" t="inlineStr">
        <is>
          <t>A 13036-2025</t>
        </is>
      </c>
      <c r="B19263" s="1" t="n">
        <v>45734</v>
      </c>
      <c r="C19263" s="1" t="n">
        <v>45810</v>
      </c>
      <c r="D19263" t="inlineStr">
        <is>
          <t>VÄRMLANDS LÄN</t>
        </is>
      </c>
      <c r="E19263" t="inlineStr">
        <is>
          <t>ÅRJÄNG</t>
        </is>
      </c>
      <c r="G19263" t="n">
        <v>5.6</v>
      </c>
      <c r="H19263" t="n">
        <v>0</v>
      </c>
      <c r="I19263" t="n">
        <v>0</v>
      </c>
      <c r="J19263" t="n">
        <v>0</v>
      </c>
      <c r="K19263" t="n">
        <v>0</v>
      </c>
      <c r="L19263" t="n">
        <v>0</v>
      </c>
      <c r="M19263" t="n">
        <v>0</v>
      </c>
      <c r="N19263" t="n">
        <v>0</v>
      </c>
      <c r="O19263" t="n">
        <v>0</v>
      </c>
      <c r="P19263" t="n">
        <v>0</v>
      </c>
      <c r="Q19263" t="n">
        <v>0</v>
      </c>
      <c r="R19263" s="2" t="inlineStr"/>
    </row>
    <row r="19264" ht="15" customHeight="1">
      <c r="A19264" t="inlineStr">
        <is>
          <t>A 13016-2025</t>
        </is>
      </c>
      <c r="B19264" s="1" t="n">
        <v>45734</v>
      </c>
      <c r="C19264" s="1" t="n">
        <v>45810</v>
      </c>
      <c r="D19264" t="inlineStr">
        <is>
          <t>VÄRMLANDS LÄN</t>
        </is>
      </c>
      <c r="E19264" t="inlineStr">
        <is>
          <t>FORSHAGA</t>
        </is>
      </c>
      <c r="G19264" t="n">
        <v>3</v>
      </c>
      <c r="H19264" t="n">
        <v>0</v>
      </c>
      <c r="I19264" t="n">
        <v>0</v>
      </c>
      <c r="J19264" t="n">
        <v>0</v>
      </c>
      <c r="K19264" t="n">
        <v>0</v>
      </c>
      <c r="L19264" t="n">
        <v>0</v>
      </c>
      <c r="M19264" t="n">
        <v>0</v>
      </c>
      <c r="N19264" t="n">
        <v>0</v>
      </c>
      <c r="O19264" t="n">
        <v>0</v>
      </c>
      <c r="P19264" t="n">
        <v>0</v>
      </c>
      <c r="Q19264" t="n">
        <v>0</v>
      </c>
      <c r="R19264" s="2" t="inlineStr"/>
    </row>
    <row r="19265" ht="15" customHeight="1">
      <c r="A19265" t="inlineStr">
        <is>
          <t>A 13094-2025</t>
        </is>
      </c>
      <c r="B19265" s="1" t="n">
        <v>45734</v>
      </c>
      <c r="C19265" s="1" t="n">
        <v>45810</v>
      </c>
      <c r="D19265" t="inlineStr">
        <is>
          <t>VÄRMLANDS LÄN</t>
        </is>
      </c>
      <c r="E19265" t="inlineStr">
        <is>
          <t>KIL</t>
        </is>
      </c>
      <c r="G19265" t="n">
        <v>3.9</v>
      </c>
      <c r="H19265" t="n">
        <v>0</v>
      </c>
      <c r="I19265" t="n">
        <v>0</v>
      </c>
      <c r="J19265" t="n">
        <v>0</v>
      </c>
      <c r="K19265" t="n">
        <v>0</v>
      </c>
      <c r="L19265" t="n">
        <v>0</v>
      </c>
      <c r="M19265" t="n">
        <v>0</v>
      </c>
      <c r="N19265" t="n">
        <v>0</v>
      </c>
      <c r="O19265" t="n">
        <v>0</v>
      </c>
      <c r="P19265" t="n">
        <v>0</v>
      </c>
      <c r="Q19265" t="n">
        <v>0</v>
      </c>
      <c r="R19265" s="2" t="inlineStr"/>
    </row>
    <row r="19266" ht="15" customHeight="1">
      <c r="A19266" t="inlineStr">
        <is>
          <t>A 13062-2025</t>
        </is>
      </c>
      <c r="B19266" s="1" t="n">
        <v>45734</v>
      </c>
      <c r="C19266" s="1" t="n">
        <v>45810</v>
      </c>
      <c r="D19266" t="inlineStr">
        <is>
          <t>VÄRMLANDS LÄN</t>
        </is>
      </c>
      <c r="E19266" t="inlineStr">
        <is>
          <t>ARVIKA</t>
        </is>
      </c>
      <c r="G19266" t="n">
        <v>3.8</v>
      </c>
      <c r="H19266" t="n">
        <v>0</v>
      </c>
      <c r="I19266" t="n">
        <v>0</v>
      </c>
      <c r="J19266" t="n">
        <v>0</v>
      </c>
      <c r="K19266" t="n">
        <v>0</v>
      </c>
      <c r="L19266" t="n">
        <v>0</v>
      </c>
      <c r="M19266" t="n">
        <v>0</v>
      </c>
      <c r="N19266" t="n">
        <v>0</v>
      </c>
      <c r="O19266" t="n">
        <v>0</v>
      </c>
      <c r="P19266" t="n">
        <v>0</v>
      </c>
      <c r="Q19266" t="n">
        <v>0</v>
      </c>
      <c r="R19266" s="2" t="inlineStr"/>
    </row>
    <row r="19267" ht="15" customHeight="1">
      <c r="A19267" t="inlineStr">
        <is>
          <t>A 13045-2025</t>
        </is>
      </c>
      <c r="B19267" s="1" t="n">
        <v>45734</v>
      </c>
      <c r="C19267" s="1" t="n">
        <v>45810</v>
      </c>
      <c r="D19267" t="inlineStr">
        <is>
          <t>VÄRMLANDS LÄN</t>
        </is>
      </c>
      <c r="E19267" t="inlineStr">
        <is>
          <t>ARVIKA</t>
        </is>
      </c>
      <c r="G19267" t="n">
        <v>9.1</v>
      </c>
      <c r="H19267" t="n">
        <v>0</v>
      </c>
      <c r="I19267" t="n">
        <v>0</v>
      </c>
      <c r="J19267" t="n">
        <v>0</v>
      </c>
      <c r="K19267" t="n">
        <v>0</v>
      </c>
      <c r="L19267" t="n">
        <v>0</v>
      </c>
      <c r="M19267" t="n">
        <v>0</v>
      </c>
      <c r="N19267" t="n">
        <v>0</v>
      </c>
      <c r="O19267" t="n">
        <v>0</v>
      </c>
      <c r="P19267" t="n">
        <v>0</v>
      </c>
      <c r="Q19267" t="n">
        <v>0</v>
      </c>
      <c r="R19267" s="2" t="inlineStr"/>
    </row>
    <row r="19268" ht="15" customHeight="1">
      <c r="A19268" t="inlineStr">
        <is>
          <t>A 13063-2025</t>
        </is>
      </c>
      <c r="B19268" s="1" t="n">
        <v>45734</v>
      </c>
      <c r="C19268" s="1" t="n">
        <v>45810</v>
      </c>
      <c r="D19268" t="inlineStr">
        <is>
          <t>VÄRMLANDS LÄN</t>
        </is>
      </c>
      <c r="E19268" t="inlineStr">
        <is>
          <t>KARLSTAD</t>
        </is>
      </c>
      <c r="G19268" t="n">
        <v>1.2</v>
      </c>
      <c r="H19268" t="n">
        <v>0</v>
      </c>
      <c r="I19268" t="n">
        <v>0</v>
      </c>
      <c r="J19268" t="n">
        <v>0</v>
      </c>
      <c r="K19268" t="n">
        <v>0</v>
      </c>
      <c r="L19268" t="n">
        <v>0</v>
      </c>
      <c r="M19268" t="n">
        <v>0</v>
      </c>
      <c r="N19268" t="n">
        <v>0</v>
      </c>
      <c r="O19268" t="n">
        <v>0</v>
      </c>
      <c r="P19268" t="n">
        <v>0</v>
      </c>
      <c r="Q19268" t="n">
        <v>0</v>
      </c>
      <c r="R19268" s="2" t="inlineStr"/>
    </row>
    <row r="19269" ht="15" customHeight="1">
      <c r="A19269" t="inlineStr">
        <is>
          <t>A 13064-2025</t>
        </is>
      </c>
      <c r="B19269" s="1" t="n">
        <v>45734</v>
      </c>
      <c r="C19269" s="1" t="n">
        <v>45810</v>
      </c>
      <c r="D19269" t="inlineStr">
        <is>
          <t>VÄRMLANDS LÄN</t>
        </is>
      </c>
      <c r="E19269" t="inlineStr">
        <is>
          <t>ARVIKA</t>
        </is>
      </c>
      <c r="G19269" t="n">
        <v>7.3</v>
      </c>
      <c r="H19269" t="n">
        <v>0</v>
      </c>
      <c r="I19269" t="n">
        <v>0</v>
      </c>
      <c r="J19269" t="n">
        <v>0</v>
      </c>
      <c r="K19269" t="n">
        <v>0</v>
      </c>
      <c r="L19269" t="n">
        <v>0</v>
      </c>
      <c r="M19269" t="n">
        <v>0</v>
      </c>
      <c r="N19269" t="n">
        <v>0</v>
      </c>
      <c r="O19269" t="n">
        <v>0</v>
      </c>
      <c r="P19269" t="n">
        <v>0</v>
      </c>
      <c r="Q19269" t="n">
        <v>0</v>
      </c>
      <c r="R19269" s="2" t="inlineStr"/>
    </row>
    <row r="19270" ht="15" customHeight="1">
      <c r="A19270" t="inlineStr">
        <is>
          <t>A 12948-2025</t>
        </is>
      </c>
      <c r="B19270" s="1" t="n">
        <v>45734</v>
      </c>
      <c r="C19270" s="1" t="n">
        <v>45810</v>
      </c>
      <c r="D19270" t="inlineStr">
        <is>
          <t>VÄRMLANDS LÄN</t>
        </is>
      </c>
      <c r="E19270" t="inlineStr">
        <is>
          <t>TORSBY</t>
        </is>
      </c>
      <c r="G19270" t="n">
        <v>2</v>
      </c>
      <c r="H19270" t="n">
        <v>0</v>
      </c>
      <c r="I19270" t="n">
        <v>0</v>
      </c>
      <c r="J19270" t="n">
        <v>0</v>
      </c>
      <c r="K19270" t="n">
        <v>0</v>
      </c>
      <c r="L19270" t="n">
        <v>0</v>
      </c>
      <c r="M19270" t="n">
        <v>0</v>
      </c>
      <c r="N19270" t="n">
        <v>0</v>
      </c>
      <c r="O19270" t="n">
        <v>0</v>
      </c>
      <c r="P19270" t="n">
        <v>0</v>
      </c>
      <c r="Q19270" t="n">
        <v>0</v>
      </c>
      <c r="R19270" s="2" t="inlineStr"/>
    </row>
    <row r="19271" ht="15" customHeight="1">
      <c r="A19271" t="inlineStr">
        <is>
          <t>A 13187-2025</t>
        </is>
      </c>
      <c r="B19271" s="1" t="n">
        <v>45735</v>
      </c>
      <c r="C19271" s="1" t="n">
        <v>45810</v>
      </c>
      <c r="D19271" t="inlineStr">
        <is>
          <t>VÄRMLANDS LÄN</t>
        </is>
      </c>
      <c r="E19271" t="inlineStr">
        <is>
          <t>ARVIKA</t>
        </is>
      </c>
      <c r="F19271" t="inlineStr">
        <is>
          <t>Bergvik skog väst AB</t>
        </is>
      </c>
      <c r="G19271" t="n">
        <v>0.6</v>
      </c>
      <c r="H19271" t="n">
        <v>0</v>
      </c>
      <c r="I19271" t="n">
        <v>0</v>
      </c>
      <c r="J19271" t="n">
        <v>0</v>
      </c>
      <c r="K19271" t="n">
        <v>0</v>
      </c>
      <c r="L19271" t="n">
        <v>0</v>
      </c>
      <c r="M19271" t="n">
        <v>0</v>
      </c>
      <c r="N19271" t="n">
        <v>0</v>
      </c>
      <c r="O19271" t="n">
        <v>0</v>
      </c>
      <c r="P19271" t="n">
        <v>0</v>
      </c>
      <c r="Q19271" t="n">
        <v>0</v>
      </c>
      <c r="R19271" s="2" t="inlineStr"/>
    </row>
    <row r="19272" ht="15" customHeight="1">
      <c r="A19272" t="inlineStr">
        <is>
          <t>A 13233-2025</t>
        </is>
      </c>
      <c r="B19272" s="1" t="n">
        <v>45735</v>
      </c>
      <c r="C19272" s="1" t="n">
        <v>45810</v>
      </c>
      <c r="D19272" t="inlineStr">
        <is>
          <t>VÄRMLANDS LÄN</t>
        </is>
      </c>
      <c r="E19272" t="inlineStr">
        <is>
          <t>ARVIKA</t>
        </is>
      </c>
      <c r="F19272" t="inlineStr">
        <is>
          <t>Bergvik skog väst AB</t>
        </is>
      </c>
      <c r="G19272" t="n">
        <v>4.3</v>
      </c>
      <c r="H19272" t="n">
        <v>0</v>
      </c>
      <c r="I19272" t="n">
        <v>0</v>
      </c>
      <c r="J19272" t="n">
        <v>0</v>
      </c>
      <c r="K19272" t="n">
        <v>0</v>
      </c>
      <c r="L19272" t="n">
        <v>0</v>
      </c>
      <c r="M19272" t="n">
        <v>0</v>
      </c>
      <c r="N19272" t="n">
        <v>0</v>
      </c>
      <c r="O19272" t="n">
        <v>0</v>
      </c>
      <c r="P19272" t="n">
        <v>0</v>
      </c>
      <c r="Q19272" t="n">
        <v>0</v>
      </c>
      <c r="R19272" s="2" t="inlineStr"/>
    </row>
    <row r="19273" ht="15" customHeight="1">
      <c r="A19273" t="inlineStr">
        <is>
          <t>A 13158-2025</t>
        </is>
      </c>
      <c r="B19273" s="1" t="n">
        <v>45735</v>
      </c>
      <c r="C19273" s="1" t="n">
        <v>45810</v>
      </c>
      <c r="D19273" t="inlineStr">
        <is>
          <t>VÄRMLANDS LÄN</t>
        </is>
      </c>
      <c r="E19273" t="inlineStr">
        <is>
          <t>KARLSTAD</t>
        </is>
      </c>
      <c r="F19273" t="inlineStr">
        <is>
          <t>Bergvik skog väst AB</t>
        </is>
      </c>
      <c r="G19273" t="n">
        <v>1.8</v>
      </c>
      <c r="H19273" t="n">
        <v>0</v>
      </c>
      <c r="I19273" t="n">
        <v>0</v>
      </c>
      <c r="J19273" t="n">
        <v>0</v>
      </c>
      <c r="K19273" t="n">
        <v>0</v>
      </c>
      <c r="L19273" t="n">
        <v>0</v>
      </c>
      <c r="M19273" t="n">
        <v>0</v>
      </c>
      <c r="N19273" t="n">
        <v>0</v>
      </c>
      <c r="O19273" t="n">
        <v>0</v>
      </c>
      <c r="P19273" t="n">
        <v>0</v>
      </c>
      <c r="Q19273" t="n">
        <v>0</v>
      </c>
      <c r="R19273" s="2" t="inlineStr"/>
    </row>
    <row r="19274" ht="15" customHeight="1">
      <c r="A19274" t="inlineStr">
        <is>
          <t>A 13166-2025</t>
        </is>
      </c>
      <c r="B19274" s="1" t="n">
        <v>45735</v>
      </c>
      <c r="C19274" s="1" t="n">
        <v>45810</v>
      </c>
      <c r="D19274" t="inlineStr">
        <is>
          <t>VÄRMLANDS LÄN</t>
        </is>
      </c>
      <c r="E19274" t="inlineStr">
        <is>
          <t>TORSBY</t>
        </is>
      </c>
      <c r="F19274" t="inlineStr">
        <is>
          <t>Bergvik skog väst AB</t>
        </is>
      </c>
      <c r="G19274" t="n">
        <v>0.9</v>
      </c>
      <c r="H19274" t="n">
        <v>0</v>
      </c>
      <c r="I19274" t="n">
        <v>0</v>
      </c>
      <c r="J19274" t="n">
        <v>0</v>
      </c>
      <c r="K19274" t="n">
        <v>0</v>
      </c>
      <c r="L19274" t="n">
        <v>0</v>
      </c>
      <c r="M19274" t="n">
        <v>0</v>
      </c>
      <c r="N19274" t="n">
        <v>0</v>
      </c>
      <c r="O19274" t="n">
        <v>0</v>
      </c>
      <c r="P19274" t="n">
        <v>0</v>
      </c>
      <c r="Q19274" t="n">
        <v>0</v>
      </c>
      <c r="R19274" s="2" t="inlineStr"/>
    </row>
    <row r="19275" ht="15" customHeight="1">
      <c r="A19275" t="inlineStr">
        <is>
          <t>A 13189-2025</t>
        </is>
      </c>
      <c r="B19275" s="1" t="n">
        <v>45735</v>
      </c>
      <c r="C19275" s="1" t="n">
        <v>45810</v>
      </c>
      <c r="D19275" t="inlineStr">
        <is>
          <t>VÄRMLANDS LÄN</t>
        </is>
      </c>
      <c r="E19275" t="inlineStr">
        <is>
          <t>TORSBY</t>
        </is>
      </c>
      <c r="G19275" t="n">
        <v>15.4</v>
      </c>
      <c r="H19275" t="n">
        <v>0</v>
      </c>
      <c r="I19275" t="n">
        <v>0</v>
      </c>
      <c r="J19275" t="n">
        <v>0</v>
      </c>
      <c r="K19275" t="n">
        <v>0</v>
      </c>
      <c r="L19275" t="n">
        <v>0</v>
      </c>
      <c r="M19275" t="n">
        <v>0</v>
      </c>
      <c r="N19275" t="n">
        <v>0</v>
      </c>
      <c r="O19275" t="n">
        <v>0</v>
      </c>
      <c r="P19275" t="n">
        <v>0</v>
      </c>
      <c r="Q19275" t="n">
        <v>0</v>
      </c>
      <c r="R19275" s="2" t="inlineStr"/>
    </row>
    <row r="19276" ht="15" customHeight="1">
      <c r="A19276" t="inlineStr">
        <is>
          <t>A 13191-2025</t>
        </is>
      </c>
      <c r="B19276" s="1" t="n">
        <v>45735</v>
      </c>
      <c r="C19276" s="1" t="n">
        <v>45810</v>
      </c>
      <c r="D19276" t="inlineStr">
        <is>
          <t>VÄRMLANDS LÄN</t>
        </is>
      </c>
      <c r="E19276" t="inlineStr">
        <is>
          <t>TORSBY</t>
        </is>
      </c>
      <c r="G19276" t="n">
        <v>10.6</v>
      </c>
      <c r="H19276" t="n">
        <v>0</v>
      </c>
      <c r="I19276" t="n">
        <v>0</v>
      </c>
      <c r="J19276" t="n">
        <v>0</v>
      </c>
      <c r="K19276" t="n">
        <v>0</v>
      </c>
      <c r="L19276" t="n">
        <v>0</v>
      </c>
      <c r="M19276" t="n">
        <v>0</v>
      </c>
      <c r="N19276" t="n">
        <v>0</v>
      </c>
      <c r="O19276" t="n">
        <v>0</v>
      </c>
      <c r="P19276" t="n">
        <v>0</v>
      </c>
      <c r="Q19276" t="n">
        <v>0</v>
      </c>
      <c r="R19276" s="2" t="inlineStr"/>
    </row>
    <row r="19277" ht="15" customHeight="1">
      <c r="A19277" t="inlineStr">
        <is>
          <t>A 13208-2025</t>
        </is>
      </c>
      <c r="B19277" s="1" t="n">
        <v>45735</v>
      </c>
      <c r="C19277" s="1" t="n">
        <v>45810</v>
      </c>
      <c r="D19277" t="inlineStr">
        <is>
          <t>VÄRMLANDS LÄN</t>
        </is>
      </c>
      <c r="E19277" t="inlineStr">
        <is>
          <t>SUNNE</t>
        </is>
      </c>
      <c r="G19277" t="n">
        <v>1.5</v>
      </c>
      <c r="H19277" t="n">
        <v>0</v>
      </c>
      <c r="I19277" t="n">
        <v>0</v>
      </c>
      <c r="J19277" t="n">
        <v>0</v>
      </c>
      <c r="K19277" t="n">
        <v>0</v>
      </c>
      <c r="L19277" t="n">
        <v>0</v>
      </c>
      <c r="M19277" t="n">
        <v>0</v>
      </c>
      <c r="N19277" t="n">
        <v>0</v>
      </c>
      <c r="O19277" t="n">
        <v>0</v>
      </c>
      <c r="P19277" t="n">
        <v>0</v>
      </c>
      <c r="Q19277" t="n">
        <v>0</v>
      </c>
      <c r="R19277" s="2" t="inlineStr"/>
    </row>
    <row r="19278" ht="15" customHeight="1">
      <c r="A19278" t="inlineStr">
        <is>
          <t>A 13306-2025</t>
        </is>
      </c>
      <c r="B19278" s="1" t="n">
        <v>45735</v>
      </c>
      <c r="C19278" s="1" t="n">
        <v>45810</v>
      </c>
      <c r="D19278" t="inlineStr">
        <is>
          <t>VÄRMLANDS LÄN</t>
        </is>
      </c>
      <c r="E19278" t="inlineStr">
        <is>
          <t>SUNNE</t>
        </is>
      </c>
      <c r="G19278" t="n">
        <v>0.6</v>
      </c>
      <c r="H19278" t="n">
        <v>0</v>
      </c>
      <c r="I19278" t="n">
        <v>0</v>
      </c>
      <c r="J19278" t="n">
        <v>0</v>
      </c>
      <c r="K19278" t="n">
        <v>0</v>
      </c>
      <c r="L19278" t="n">
        <v>0</v>
      </c>
      <c r="M19278" t="n">
        <v>0</v>
      </c>
      <c r="N19278" t="n">
        <v>0</v>
      </c>
      <c r="O19278" t="n">
        <v>0</v>
      </c>
      <c r="P19278" t="n">
        <v>0</v>
      </c>
      <c r="Q19278" t="n">
        <v>0</v>
      </c>
      <c r="R19278" s="2" t="inlineStr"/>
    </row>
    <row r="19279" ht="15" customHeight="1">
      <c r="A19279" t="inlineStr">
        <is>
          <t>A 13285-2025</t>
        </is>
      </c>
      <c r="B19279" s="1" t="n">
        <v>45735</v>
      </c>
      <c r="C19279" s="1" t="n">
        <v>45810</v>
      </c>
      <c r="D19279" t="inlineStr">
        <is>
          <t>VÄRMLANDS LÄN</t>
        </is>
      </c>
      <c r="E19279" t="inlineStr">
        <is>
          <t>TORSBY</t>
        </is>
      </c>
      <c r="G19279" t="n">
        <v>0.7</v>
      </c>
      <c r="H19279" t="n">
        <v>0</v>
      </c>
      <c r="I19279" t="n">
        <v>0</v>
      </c>
      <c r="J19279" t="n">
        <v>0</v>
      </c>
      <c r="K19279" t="n">
        <v>0</v>
      </c>
      <c r="L19279" t="n">
        <v>0</v>
      </c>
      <c r="M19279" t="n">
        <v>0</v>
      </c>
      <c r="N19279" t="n">
        <v>0</v>
      </c>
      <c r="O19279" t="n">
        <v>0</v>
      </c>
      <c r="P19279" t="n">
        <v>0</v>
      </c>
      <c r="Q19279" t="n">
        <v>0</v>
      </c>
      <c r="R19279" s="2" t="inlineStr"/>
    </row>
    <row r="19280" ht="15" customHeight="1">
      <c r="A19280" t="inlineStr">
        <is>
          <t>A 13289-2025</t>
        </is>
      </c>
      <c r="B19280" s="1" t="n">
        <v>45735</v>
      </c>
      <c r="C19280" s="1" t="n">
        <v>45810</v>
      </c>
      <c r="D19280" t="inlineStr">
        <is>
          <t>VÄRMLANDS LÄN</t>
        </is>
      </c>
      <c r="E19280" t="inlineStr">
        <is>
          <t>GRUMS</t>
        </is>
      </c>
      <c r="G19280" t="n">
        <v>2</v>
      </c>
      <c r="H19280" t="n">
        <v>0</v>
      </c>
      <c r="I19280" t="n">
        <v>0</v>
      </c>
      <c r="J19280" t="n">
        <v>0</v>
      </c>
      <c r="K19280" t="n">
        <v>0</v>
      </c>
      <c r="L19280" t="n">
        <v>0</v>
      </c>
      <c r="M19280" t="n">
        <v>0</v>
      </c>
      <c r="N19280" t="n">
        <v>0</v>
      </c>
      <c r="O19280" t="n">
        <v>0</v>
      </c>
      <c r="P19280" t="n">
        <v>0</v>
      </c>
      <c r="Q19280" t="n">
        <v>0</v>
      </c>
      <c r="R19280" s="2" t="inlineStr"/>
    </row>
    <row r="19281" ht="15" customHeight="1">
      <c r="A19281" t="inlineStr">
        <is>
          <t>A 13305-2025</t>
        </is>
      </c>
      <c r="B19281" s="1" t="n">
        <v>45735</v>
      </c>
      <c r="C19281" s="1" t="n">
        <v>45810</v>
      </c>
      <c r="D19281" t="inlineStr">
        <is>
          <t>VÄRMLANDS LÄN</t>
        </is>
      </c>
      <c r="E19281" t="inlineStr">
        <is>
          <t>SUNNE</t>
        </is>
      </c>
      <c r="G19281" t="n">
        <v>1.3</v>
      </c>
      <c r="H19281" t="n">
        <v>0</v>
      </c>
      <c r="I19281" t="n">
        <v>0</v>
      </c>
      <c r="J19281" t="n">
        <v>0</v>
      </c>
      <c r="K19281" t="n">
        <v>0</v>
      </c>
      <c r="L19281" t="n">
        <v>0</v>
      </c>
      <c r="M19281" t="n">
        <v>0</v>
      </c>
      <c r="N19281" t="n">
        <v>0</v>
      </c>
      <c r="O19281" t="n">
        <v>0</v>
      </c>
      <c r="P19281" t="n">
        <v>0</v>
      </c>
      <c r="Q19281" t="n">
        <v>0</v>
      </c>
      <c r="R19281" s="2" t="inlineStr"/>
    </row>
    <row r="19282" ht="15" customHeight="1">
      <c r="A19282" t="inlineStr">
        <is>
          <t>A 13317-2025</t>
        </is>
      </c>
      <c r="B19282" s="1" t="n">
        <v>45735</v>
      </c>
      <c r="C19282" s="1" t="n">
        <v>45810</v>
      </c>
      <c r="D19282" t="inlineStr">
        <is>
          <t>VÄRMLANDS LÄN</t>
        </is>
      </c>
      <c r="E19282" t="inlineStr">
        <is>
          <t>ÅRJÄNG</t>
        </is>
      </c>
      <c r="G19282" t="n">
        <v>3.7</v>
      </c>
      <c r="H19282" t="n">
        <v>0</v>
      </c>
      <c r="I19282" t="n">
        <v>0</v>
      </c>
      <c r="J19282" t="n">
        <v>0</v>
      </c>
      <c r="K19282" t="n">
        <v>0</v>
      </c>
      <c r="L19282" t="n">
        <v>0</v>
      </c>
      <c r="M19282" t="n">
        <v>0</v>
      </c>
      <c r="N19282" t="n">
        <v>0</v>
      </c>
      <c r="O19282" t="n">
        <v>0</v>
      </c>
      <c r="P19282" t="n">
        <v>0</v>
      </c>
      <c r="Q19282" t="n">
        <v>0</v>
      </c>
      <c r="R19282" s="2" t="inlineStr"/>
    </row>
    <row r="19283" ht="15" customHeight="1">
      <c r="A19283" t="inlineStr">
        <is>
          <t>A 13358-2025</t>
        </is>
      </c>
      <c r="B19283" s="1" t="n">
        <v>45735</v>
      </c>
      <c r="C19283" s="1" t="n">
        <v>45810</v>
      </c>
      <c r="D19283" t="inlineStr">
        <is>
          <t>VÄRMLANDS LÄN</t>
        </is>
      </c>
      <c r="E19283" t="inlineStr">
        <is>
          <t>KARLSTAD</t>
        </is>
      </c>
      <c r="F19283" t="inlineStr">
        <is>
          <t>Bergvik skog väst AB</t>
        </is>
      </c>
      <c r="G19283" t="n">
        <v>2</v>
      </c>
      <c r="H19283" t="n">
        <v>0</v>
      </c>
      <c r="I19283" t="n">
        <v>0</v>
      </c>
      <c r="J19283" t="n">
        <v>0</v>
      </c>
      <c r="K19283" t="n">
        <v>0</v>
      </c>
      <c r="L19283" t="n">
        <v>0</v>
      </c>
      <c r="M19283" t="n">
        <v>0</v>
      </c>
      <c r="N19283" t="n">
        <v>0</v>
      </c>
      <c r="O19283" t="n">
        <v>0</v>
      </c>
      <c r="P19283" t="n">
        <v>0</v>
      </c>
      <c r="Q19283" t="n">
        <v>0</v>
      </c>
      <c r="R19283" s="2" t="inlineStr"/>
    </row>
    <row r="19284" ht="15" customHeight="1">
      <c r="A19284" t="inlineStr">
        <is>
          <t>A 13183-2025</t>
        </is>
      </c>
      <c r="B19284" s="1" t="n">
        <v>45735</v>
      </c>
      <c r="C19284" s="1" t="n">
        <v>45810</v>
      </c>
      <c r="D19284" t="inlineStr">
        <is>
          <t>VÄRMLANDS LÄN</t>
        </is>
      </c>
      <c r="E19284" t="inlineStr">
        <is>
          <t>SÄFFLE</t>
        </is>
      </c>
      <c r="G19284" t="n">
        <v>0.6</v>
      </c>
      <c r="H19284" t="n">
        <v>0</v>
      </c>
      <c r="I19284" t="n">
        <v>0</v>
      </c>
      <c r="J19284" t="n">
        <v>0</v>
      </c>
      <c r="K19284" t="n">
        <v>0</v>
      </c>
      <c r="L19284" t="n">
        <v>0</v>
      </c>
      <c r="M19284" t="n">
        <v>0</v>
      </c>
      <c r="N19284" t="n">
        <v>0</v>
      </c>
      <c r="O19284" t="n">
        <v>0</v>
      </c>
      <c r="P19284" t="n">
        <v>0</v>
      </c>
      <c r="Q19284" t="n">
        <v>0</v>
      </c>
      <c r="R19284" s="2" t="inlineStr"/>
    </row>
    <row r="19285" ht="15" customHeight="1">
      <c r="A19285" t="inlineStr">
        <is>
          <t>A 13325-2025</t>
        </is>
      </c>
      <c r="B19285" s="1" t="n">
        <v>45735</v>
      </c>
      <c r="C19285" s="1" t="n">
        <v>45810</v>
      </c>
      <c r="D19285" t="inlineStr">
        <is>
          <t>VÄRMLANDS LÄN</t>
        </is>
      </c>
      <c r="E19285" t="inlineStr">
        <is>
          <t>SUNNE</t>
        </is>
      </c>
      <c r="F19285" t="inlineStr">
        <is>
          <t>Bergvik skog väst AB</t>
        </is>
      </c>
      <c r="G19285" t="n">
        <v>6.2</v>
      </c>
      <c r="H19285" t="n">
        <v>0</v>
      </c>
      <c r="I19285" t="n">
        <v>0</v>
      </c>
      <c r="J19285" t="n">
        <v>0</v>
      </c>
      <c r="K19285" t="n">
        <v>0</v>
      </c>
      <c r="L19285" t="n">
        <v>0</v>
      </c>
      <c r="M19285" t="n">
        <v>0</v>
      </c>
      <c r="N19285" t="n">
        <v>0</v>
      </c>
      <c r="O19285" t="n">
        <v>0</v>
      </c>
      <c r="P19285" t="n">
        <v>0</v>
      </c>
      <c r="Q19285" t="n">
        <v>0</v>
      </c>
      <c r="R19285" s="2" t="inlineStr"/>
    </row>
    <row r="19286" ht="15" customHeight="1">
      <c r="A19286" t="inlineStr">
        <is>
          <t>A 13340-2025</t>
        </is>
      </c>
      <c r="B19286" s="1" t="n">
        <v>45735</v>
      </c>
      <c r="C19286" s="1" t="n">
        <v>45810</v>
      </c>
      <c r="D19286" t="inlineStr">
        <is>
          <t>VÄRMLANDS LÄN</t>
        </is>
      </c>
      <c r="E19286" t="inlineStr">
        <is>
          <t>HAGFORS</t>
        </is>
      </c>
      <c r="G19286" t="n">
        <v>2.4</v>
      </c>
      <c r="H19286" t="n">
        <v>0</v>
      </c>
      <c r="I19286" t="n">
        <v>0</v>
      </c>
      <c r="J19286" t="n">
        <v>0</v>
      </c>
      <c r="K19286" t="n">
        <v>0</v>
      </c>
      <c r="L19286" t="n">
        <v>0</v>
      </c>
      <c r="M19286" t="n">
        <v>0</v>
      </c>
      <c r="N19286" t="n">
        <v>0</v>
      </c>
      <c r="O19286" t="n">
        <v>0</v>
      </c>
      <c r="P19286" t="n">
        <v>0</v>
      </c>
      <c r="Q19286" t="n">
        <v>0</v>
      </c>
      <c r="R19286" s="2" t="inlineStr"/>
    </row>
    <row r="19287" ht="15" customHeight="1">
      <c r="A19287" t="inlineStr">
        <is>
          <t>A 13287-2025</t>
        </is>
      </c>
      <c r="B19287" s="1" t="n">
        <v>45735</v>
      </c>
      <c r="C19287" s="1" t="n">
        <v>45810</v>
      </c>
      <c r="D19287" t="inlineStr">
        <is>
          <t>VÄRMLANDS LÄN</t>
        </is>
      </c>
      <c r="E19287" t="inlineStr">
        <is>
          <t>ÅRJÄNG</t>
        </is>
      </c>
      <c r="G19287" t="n">
        <v>3.4</v>
      </c>
      <c r="H19287" t="n">
        <v>0</v>
      </c>
      <c r="I19287" t="n">
        <v>0</v>
      </c>
      <c r="J19287" t="n">
        <v>0</v>
      </c>
      <c r="K19287" t="n">
        <v>0</v>
      </c>
      <c r="L19287" t="n">
        <v>0</v>
      </c>
      <c r="M19287" t="n">
        <v>0</v>
      </c>
      <c r="N19287" t="n">
        <v>0</v>
      </c>
      <c r="O19287" t="n">
        <v>0</v>
      </c>
      <c r="P19287" t="n">
        <v>0</v>
      </c>
      <c r="Q19287" t="n">
        <v>0</v>
      </c>
      <c r="R19287" s="2" t="inlineStr"/>
    </row>
    <row r="19288" ht="15" customHeight="1">
      <c r="A19288" t="inlineStr">
        <is>
          <t>A 13275-2025</t>
        </is>
      </c>
      <c r="B19288" s="1" t="n">
        <v>45735</v>
      </c>
      <c r="C19288" s="1" t="n">
        <v>45810</v>
      </c>
      <c r="D19288" t="inlineStr">
        <is>
          <t>VÄRMLANDS LÄN</t>
        </is>
      </c>
      <c r="E19288" t="inlineStr">
        <is>
          <t>SUNNE</t>
        </is>
      </c>
      <c r="F19288" t="inlineStr">
        <is>
          <t>Bergvik skog väst AB</t>
        </is>
      </c>
      <c r="G19288" t="n">
        <v>1.3</v>
      </c>
      <c r="H19288" t="n">
        <v>0</v>
      </c>
      <c r="I19288" t="n">
        <v>0</v>
      </c>
      <c r="J19288" t="n">
        <v>0</v>
      </c>
      <c r="K19288" t="n">
        <v>0</v>
      </c>
      <c r="L19288" t="n">
        <v>0</v>
      </c>
      <c r="M19288" t="n">
        <v>0</v>
      </c>
      <c r="N19288" t="n">
        <v>0</v>
      </c>
      <c r="O19288" t="n">
        <v>0</v>
      </c>
      <c r="P19288" t="n">
        <v>0</v>
      </c>
      <c r="Q19288" t="n">
        <v>0</v>
      </c>
      <c r="R19288" s="2" t="inlineStr"/>
    </row>
    <row r="19289" ht="15" customHeight="1">
      <c r="A19289" t="inlineStr">
        <is>
          <t>A 13286-2025</t>
        </is>
      </c>
      <c r="B19289" s="1" t="n">
        <v>45735</v>
      </c>
      <c r="C19289" s="1" t="n">
        <v>45810</v>
      </c>
      <c r="D19289" t="inlineStr">
        <is>
          <t>VÄRMLANDS LÄN</t>
        </is>
      </c>
      <c r="E19289" t="inlineStr">
        <is>
          <t>ARVIKA</t>
        </is>
      </c>
      <c r="F19289" t="inlineStr">
        <is>
          <t>Bergvik skog väst AB</t>
        </is>
      </c>
      <c r="G19289" t="n">
        <v>0.7</v>
      </c>
      <c r="H19289" t="n">
        <v>0</v>
      </c>
      <c r="I19289" t="n">
        <v>0</v>
      </c>
      <c r="J19289" t="n">
        <v>0</v>
      </c>
      <c r="K19289" t="n">
        <v>0</v>
      </c>
      <c r="L19289" t="n">
        <v>0</v>
      </c>
      <c r="M19289" t="n">
        <v>0</v>
      </c>
      <c r="N19289" t="n">
        <v>0</v>
      </c>
      <c r="O19289" t="n">
        <v>0</v>
      </c>
      <c r="P19289" t="n">
        <v>0</v>
      </c>
      <c r="Q19289" t="n">
        <v>0</v>
      </c>
      <c r="R19289" s="2" t="inlineStr"/>
    </row>
    <row r="19290" ht="15" customHeight="1">
      <c r="A19290" t="inlineStr">
        <is>
          <t>A 13274-2025</t>
        </is>
      </c>
      <c r="B19290" s="1" t="n">
        <v>45735</v>
      </c>
      <c r="C19290" s="1" t="n">
        <v>45810</v>
      </c>
      <c r="D19290" t="inlineStr">
        <is>
          <t>VÄRMLANDS LÄN</t>
        </is>
      </c>
      <c r="E19290" t="inlineStr">
        <is>
          <t>SÄFFLE</t>
        </is>
      </c>
      <c r="G19290" t="n">
        <v>1.4</v>
      </c>
      <c r="H19290" t="n">
        <v>0</v>
      </c>
      <c r="I19290" t="n">
        <v>0</v>
      </c>
      <c r="J19290" t="n">
        <v>0</v>
      </c>
      <c r="K19290" t="n">
        <v>0</v>
      </c>
      <c r="L19290" t="n">
        <v>0</v>
      </c>
      <c r="M19290" t="n">
        <v>0</v>
      </c>
      <c r="N19290" t="n">
        <v>0</v>
      </c>
      <c r="O19290" t="n">
        <v>0</v>
      </c>
      <c r="P19290" t="n">
        <v>0</v>
      </c>
      <c r="Q19290" t="n">
        <v>0</v>
      </c>
      <c r="R19290" s="2" t="inlineStr"/>
    </row>
    <row r="19291" ht="15" customHeight="1">
      <c r="A19291" t="inlineStr">
        <is>
          <t>A 13238-2025</t>
        </is>
      </c>
      <c r="B19291" s="1" t="n">
        <v>45735</v>
      </c>
      <c r="C19291" s="1" t="n">
        <v>45810</v>
      </c>
      <c r="D19291" t="inlineStr">
        <is>
          <t>VÄRMLANDS LÄN</t>
        </is>
      </c>
      <c r="E19291" t="inlineStr">
        <is>
          <t>STORFORS</t>
        </is>
      </c>
      <c r="F19291" t="inlineStr">
        <is>
          <t>Bergvik skog väst AB</t>
        </is>
      </c>
      <c r="G19291" t="n">
        <v>7</v>
      </c>
      <c r="H19291" t="n">
        <v>0</v>
      </c>
      <c r="I19291" t="n">
        <v>0</v>
      </c>
      <c r="J19291" t="n">
        <v>0</v>
      </c>
      <c r="K19291" t="n">
        <v>0</v>
      </c>
      <c r="L19291" t="n">
        <v>0</v>
      </c>
      <c r="M19291" t="n">
        <v>0</v>
      </c>
      <c r="N19291" t="n">
        <v>0</v>
      </c>
      <c r="O19291" t="n">
        <v>0</v>
      </c>
      <c r="P19291" t="n">
        <v>0</v>
      </c>
      <c r="Q19291" t="n">
        <v>0</v>
      </c>
      <c r="R19291" s="2" t="inlineStr"/>
    </row>
    <row r="19292" ht="15" customHeight="1">
      <c r="A19292" t="inlineStr">
        <is>
          <t>A 13524-2025</t>
        </is>
      </c>
      <c r="B19292" s="1" t="n">
        <v>45736</v>
      </c>
      <c r="C19292" s="1" t="n">
        <v>45810</v>
      </c>
      <c r="D19292" t="inlineStr">
        <is>
          <t>VÄRMLANDS LÄN</t>
        </is>
      </c>
      <c r="E19292" t="inlineStr">
        <is>
          <t>HAGFORS</t>
        </is>
      </c>
      <c r="G19292" t="n">
        <v>1.9</v>
      </c>
      <c r="H19292" t="n">
        <v>0</v>
      </c>
      <c r="I19292" t="n">
        <v>0</v>
      </c>
      <c r="J19292" t="n">
        <v>0</v>
      </c>
      <c r="K19292" t="n">
        <v>0</v>
      </c>
      <c r="L19292" t="n">
        <v>0</v>
      </c>
      <c r="M19292" t="n">
        <v>0</v>
      </c>
      <c r="N19292" t="n">
        <v>0</v>
      </c>
      <c r="O19292" t="n">
        <v>0</v>
      </c>
      <c r="P19292" t="n">
        <v>0</v>
      </c>
      <c r="Q19292" t="n">
        <v>0</v>
      </c>
      <c r="R19292" s="2" t="inlineStr"/>
    </row>
    <row r="19293" ht="15" customHeight="1">
      <c r="A19293" t="inlineStr">
        <is>
          <t>A 13431-2025</t>
        </is>
      </c>
      <c r="B19293" s="1" t="n">
        <v>45736</v>
      </c>
      <c r="C19293" s="1" t="n">
        <v>45810</v>
      </c>
      <c r="D19293" t="inlineStr">
        <is>
          <t>VÄRMLANDS LÄN</t>
        </is>
      </c>
      <c r="E19293" t="inlineStr">
        <is>
          <t>FILIPSTAD</t>
        </is>
      </c>
      <c r="F19293" t="inlineStr">
        <is>
          <t>Bergvik skog väst AB</t>
        </is>
      </c>
      <c r="G19293" t="n">
        <v>2.5</v>
      </c>
      <c r="H19293" t="n">
        <v>0</v>
      </c>
      <c r="I19293" t="n">
        <v>0</v>
      </c>
      <c r="J19293" t="n">
        <v>0</v>
      </c>
      <c r="K19293" t="n">
        <v>0</v>
      </c>
      <c r="L19293" t="n">
        <v>0</v>
      </c>
      <c r="M19293" t="n">
        <v>0</v>
      </c>
      <c r="N19293" t="n">
        <v>0</v>
      </c>
      <c r="O19293" t="n">
        <v>0</v>
      </c>
      <c r="P19293" t="n">
        <v>0</v>
      </c>
      <c r="Q19293" t="n">
        <v>0</v>
      </c>
      <c r="R19293" s="2" t="inlineStr"/>
    </row>
    <row r="19294" ht="15" customHeight="1">
      <c r="A19294" t="inlineStr">
        <is>
          <t>A 13437-2025</t>
        </is>
      </c>
      <c r="B19294" s="1" t="n">
        <v>45736</v>
      </c>
      <c r="C19294" s="1" t="n">
        <v>45810</v>
      </c>
      <c r="D19294" t="inlineStr">
        <is>
          <t>VÄRMLANDS LÄN</t>
        </is>
      </c>
      <c r="E19294" t="inlineStr">
        <is>
          <t>FILIPSTAD</t>
        </is>
      </c>
      <c r="F19294" t="inlineStr">
        <is>
          <t>Bergvik skog väst AB</t>
        </is>
      </c>
      <c r="G19294" t="n">
        <v>1.5</v>
      </c>
      <c r="H19294" t="n">
        <v>0</v>
      </c>
      <c r="I19294" t="n">
        <v>0</v>
      </c>
      <c r="J19294" t="n">
        <v>0</v>
      </c>
      <c r="K19294" t="n">
        <v>0</v>
      </c>
      <c r="L19294" t="n">
        <v>0</v>
      </c>
      <c r="M19294" t="n">
        <v>0</v>
      </c>
      <c r="N19294" t="n">
        <v>0</v>
      </c>
      <c r="O19294" t="n">
        <v>0</v>
      </c>
      <c r="P19294" t="n">
        <v>0</v>
      </c>
      <c r="Q19294" t="n">
        <v>0</v>
      </c>
      <c r="R19294" s="2" t="inlineStr"/>
    </row>
    <row r="19295" ht="15" customHeight="1">
      <c r="A19295" t="inlineStr">
        <is>
          <t>A 13453-2025</t>
        </is>
      </c>
      <c r="B19295" s="1" t="n">
        <v>45736</v>
      </c>
      <c r="C19295" s="1" t="n">
        <v>45810</v>
      </c>
      <c r="D19295" t="inlineStr">
        <is>
          <t>VÄRMLANDS LÄN</t>
        </is>
      </c>
      <c r="E19295" t="inlineStr">
        <is>
          <t>EDA</t>
        </is>
      </c>
      <c r="G19295" t="n">
        <v>3.9</v>
      </c>
      <c r="H19295" t="n">
        <v>0</v>
      </c>
      <c r="I19295" t="n">
        <v>0</v>
      </c>
      <c r="J19295" t="n">
        <v>0</v>
      </c>
      <c r="K19295" t="n">
        <v>0</v>
      </c>
      <c r="L19295" t="n">
        <v>0</v>
      </c>
      <c r="M19295" t="n">
        <v>0</v>
      </c>
      <c r="N19295" t="n">
        <v>0</v>
      </c>
      <c r="O19295" t="n">
        <v>0</v>
      </c>
      <c r="P19295" t="n">
        <v>0</v>
      </c>
      <c r="Q19295" t="n">
        <v>0</v>
      </c>
      <c r="R19295" s="2" t="inlineStr"/>
    </row>
    <row r="19296" ht="15" customHeight="1">
      <c r="A19296" t="inlineStr">
        <is>
          <t>A 13615-2025</t>
        </is>
      </c>
      <c r="B19296" s="1" t="n">
        <v>45736</v>
      </c>
      <c r="C19296" s="1" t="n">
        <v>45810</v>
      </c>
      <c r="D19296" t="inlineStr">
        <is>
          <t>VÄRMLANDS LÄN</t>
        </is>
      </c>
      <c r="E19296" t="inlineStr">
        <is>
          <t>SÄFFLE</t>
        </is>
      </c>
      <c r="G19296" t="n">
        <v>6</v>
      </c>
      <c r="H19296" t="n">
        <v>0</v>
      </c>
      <c r="I19296" t="n">
        <v>0</v>
      </c>
      <c r="J19296" t="n">
        <v>0</v>
      </c>
      <c r="K19296" t="n">
        <v>0</v>
      </c>
      <c r="L19296" t="n">
        <v>0</v>
      </c>
      <c r="M19296" t="n">
        <v>0</v>
      </c>
      <c r="N19296" t="n">
        <v>0</v>
      </c>
      <c r="O19296" t="n">
        <v>0</v>
      </c>
      <c r="P19296" t="n">
        <v>0</v>
      </c>
      <c r="Q19296" t="n">
        <v>0</v>
      </c>
      <c r="R19296" s="2" t="inlineStr"/>
    </row>
    <row r="19297" ht="15" customHeight="1">
      <c r="A19297" t="inlineStr">
        <is>
          <t>A 13620-2025</t>
        </is>
      </c>
      <c r="B19297" s="1" t="n">
        <v>45736</v>
      </c>
      <c r="C19297" s="1" t="n">
        <v>45810</v>
      </c>
      <c r="D19297" t="inlineStr">
        <is>
          <t>VÄRMLANDS LÄN</t>
        </is>
      </c>
      <c r="E19297" t="inlineStr">
        <is>
          <t>ARVIKA</t>
        </is>
      </c>
      <c r="G19297" t="n">
        <v>2.1</v>
      </c>
      <c r="H19297" t="n">
        <v>0</v>
      </c>
      <c r="I19297" t="n">
        <v>0</v>
      </c>
      <c r="J19297" t="n">
        <v>0</v>
      </c>
      <c r="K19297" t="n">
        <v>0</v>
      </c>
      <c r="L19297" t="n">
        <v>0</v>
      </c>
      <c r="M19297" t="n">
        <v>0</v>
      </c>
      <c r="N19297" t="n">
        <v>0</v>
      </c>
      <c r="O19297" t="n">
        <v>0</v>
      </c>
      <c r="P19297" t="n">
        <v>0</v>
      </c>
      <c r="Q19297" t="n">
        <v>0</v>
      </c>
      <c r="R19297" s="2" t="inlineStr"/>
    </row>
    <row r="19298" ht="15" customHeight="1">
      <c r="A19298" t="inlineStr">
        <is>
          <t>A 13647-2025</t>
        </is>
      </c>
      <c r="B19298" s="1" t="n">
        <v>45736</v>
      </c>
      <c r="C19298" s="1" t="n">
        <v>45810</v>
      </c>
      <c r="D19298" t="inlineStr">
        <is>
          <t>VÄRMLANDS LÄN</t>
        </is>
      </c>
      <c r="E19298" t="inlineStr">
        <is>
          <t>ÅRJÄNG</t>
        </is>
      </c>
      <c r="G19298" t="n">
        <v>1</v>
      </c>
      <c r="H19298" t="n">
        <v>0</v>
      </c>
      <c r="I19298" t="n">
        <v>0</v>
      </c>
      <c r="J19298" t="n">
        <v>0</v>
      </c>
      <c r="K19298" t="n">
        <v>0</v>
      </c>
      <c r="L19298" t="n">
        <v>0</v>
      </c>
      <c r="M19298" t="n">
        <v>0</v>
      </c>
      <c r="N19298" t="n">
        <v>0</v>
      </c>
      <c r="O19298" t="n">
        <v>0</v>
      </c>
      <c r="P19298" t="n">
        <v>0</v>
      </c>
      <c r="Q19298" t="n">
        <v>0</v>
      </c>
      <c r="R19298" s="2" t="inlineStr"/>
    </row>
    <row r="19299" ht="15" customHeight="1">
      <c r="A19299" t="inlineStr">
        <is>
          <t>A 13650-2025</t>
        </is>
      </c>
      <c r="B19299" s="1" t="n">
        <v>45736</v>
      </c>
      <c r="C19299" s="1" t="n">
        <v>45810</v>
      </c>
      <c r="D19299" t="inlineStr">
        <is>
          <t>VÄRMLANDS LÄN</t>
        </is>
      </c>
      <c r="E19299" t="inlineStr">
        <is>
          <t>SUNNE</t>
        </is>
      </c>
      <c r="G19299" t="n">
        <v>7.9</v>
      </c>
      <c r="H19299" t="n">
        <v>0</v>
      </c>
      <c r="I19299" t="n">
        <v>0</v>
      </c>
      <c r="J19299" t="n">
        <v>0</v>
      </c>
      <c r="K19299" t="n">
        <v>0</v>
      </c>
      <c r="L19299" t="n">
        <v>0</v>
      </c>
      <c r="M19299" t="n">
        <v>0</v>
      </c>
      <c r="N19299" t="n">
        <v>0</v>
      </c>
      <c r="O19299" t="n">
        <v>0</v>
      </c>
      <c r="P19299" t="n">
        <v>0</v>
      </c>
      <c r="Q19299" t="n">
        <v>0</v>
      </c>
      <c r="R19299" s="2" t="inlineStr"/>
    </row>
    <row r="19300" ht="15" customHeight="1">
      <c r="A19300" t="inlineStr">
        <is>
          <t>A 13610-2025</t>
        </is>
      </c>
      <c r="B19300" s="1" t="n">
        <v>45736</v>
      </c>
      <c r="C19300" s="1" t="n">
        <v>45810</v>
      </c>
      <c r="D19300" t="inlineStr">
        <is>
          <t>VÄRMLANDS LÄN</t>
        </is>
      </c>
      <c r="E19300" t="inlineStr">
        <is>
          <t>SUNNE</t>
        </is>
      </c>
      <c r="G19300" t="n">
        <v>1.3</v>
      </c>
      <c r="H19300" t="n">
        <v>0</v>
      </c>
      <c r="I19300" t="n">
        <v>0</v>
      </c>
      <c r="J19300" t="n">
        <v>0</v>
      </c>
      <c r="K19300" t="n">
        <v>0</v>
      </c>
      <c r="L19300" t="n">
        <v>0</v>
      </c>
      <c r="M19300" t="n">
        <v>0</v>
      </c>
      <c r="N19300" t="n">
        <v>0</v>
      </c>
      <c r="O19300" t="n">
        <v>0</v>
      </c>
      <c r="P19300" t="n">
        <v>0</v>
      </c>
      <c r="Q19300" t="n">
        <v>0</v>
      </c>
      <c r="R19300" s="2" t="inlineStr"/>
    </row>
    <row r="19301" ht="15" customHeight="1">
      <c r="A19301" t="inlineStr">
        <is>
          <t>A 13494-2025</t>
        </is>
      </c>
      <c r="B19301" s="1" t="n">
        <v>45736</v>
      </c>
      <c r="C19301" s="1" t="n">
        <v>45810</v>
      </c>
      <c r="D19301" t="inlineStr">
        <is>
          <t>VÄRMLANDS LÄN</t>
        </is>
      </c>
      <c r="E19301" t="inlineStr">
        <is>
          <t>EDA</t>
        </is>
      </c>
      <c r="G19301" t="n">
        <v>0.7</v>
      </c>
      <c r="H19301" t="n">
        <v>0</v>
      </c>
      <c r="I19301" t="n">
        <v>0</v>
      </c>
      <c r="J19301" t="n">
        <v>0</v>
      </c>
      <c r="K19301" t="n">
        <v>0</v>
      </c>
      <c r="L19301" t="n">
        <v>0</v>
      </c>
      <c r="M19301" t="n">
        <v>0</v>
      </c>
      <c r="N19301" t="n">
        <v>0</v>
      </c>
      <c r="O19301" t="n">
        <v>0</v>
      </c>
      <c r="P19301" t="n">
        <v>0</v>
      </c>
      <c r="Q19301" t="n">
        <v>0</v>
      </c>
      <c r="R19301" s="2" t="inlineStr"/>
    </row>
    <row r="19302" ht="15" customHeight="1">
      <c r="A19302" t="inlineStr">
        <is>
          <t>A 13500-2025</t>
        </is>
      </c>
      <c r="B19302" s="1" t="n">
        <v>45736</v>
      </c>
      <c r="C19302" s="1" t="n">
        <v>45810</v>
      </c>
      <c r="D19302" t="inlineStr">
        <is>
          <t>VÄRMLANDS LÄN</t>
        </is>
      </c>
      <c r="E19302" t="inlineStr">
        <is>
          <t>EDA</t>
        </is>
      </c>
      <c r="G19302" t="n">
        <v>4</v>
      </c>
      <c r="H19302" t="n">
        <v>0</v>
      </c>
      <c r="I19302" t="n">
        <v>0</v>
      </c>
      <c r="J19302" t="n">
        <v>0</v>
      </c>
      <c r="K19302" t="n">
        <v>0</v>
      </c>
      <c r="L19302" t="n">
        <v>0</v>
      </c>
      <c r="M19302" t="n">
        <v>0</v>
      </c>
      <c r="N19302" t="n">
        <v>0</v>
      </c>
      <c r="O19302" t="n">
        <v>0</v>
      </c>
      <c r="P19302" t="n">
        <v>0</v>
      </c>
      <c r="Q19302" t="n">
        <v>0</v>
      </c>
      <c r="R19302" s="2" t="inlineStr"/>
    </row>
    <row r="19303" ht="15" customHeight="1">
      <c r="A19303" t="inlineStr">
        <is>
          <t>A 13504-2025</t>
        </is>
      </c>
      <c r="B19303" s="1" t="n">
        <v>45736</v>
      </c>
      <c r="C19303" s="1" t="n">
        <v>45810</v>
      </c>
      <c r="D19303" t="inlineStr">
        <is>
          <t>VÄRMLANDS LÄN</t>
        </is>
      </c>
      <c r="E19303" t="inlineStr">
        <is>
          <t>ÅRJÄNG</t>
        </is>
      </c>
      <c r="G19303" t="n">
        <v>7.2</v>
      </c>
      <c r="H19303" t="n">
        <v>0</v>
      </c>
      <c r="I19303" t="n">
        <v>0</v>
      </c>
      <c r="J19303" t="n">
        <v>0</v>
      </c>
      <c r="K19303" t="n">
        <v>0</v>
      </c>
      <c r="L19303" t="n">
        <v>0</v>
      </c>
      <c r="M19303" t="n">
        <v>0</v>
      </c>
      <c r="N19303" t="n">
        <v>0</v>
      </c>
      <c r="O19303" t="n">
        <v>0</v>
      </c>
      <c r="P19303" t="n">
        <v>0</v>
      </c>
      <c r="Q19303" t="n">
        <v>0</v>
      </c>
      <c r="R19303" s="2" t="inlineStr"/>
    </row>
    <row r="19304" ht="15" customHeight="1">
      <c r="A19304" t="inlineStr">
        <is>
          <t>A 13511-2025</t>
        </is>
      </c>
      <c r="B19304" s="1" t="n">
        <v>45736</v>
      </c>
      <c r="C19304" s="1" t="n">
        <v>45810</v>
      </c>
      <c r="D19304" t="inlineStr">
        <is>
          <t>VÄRMLANDS LÄN</t>
        </is>
      </c>
      <c r="E19304" t="inlineStr">
        <is>
          <t>HAGFORS</t>
        </is>
      </c>
      <c r="G19304" t="n">
        <v>4.2</v>
      </c>
      <c r="H19304" t="n">
        <v>0</v>
      </c>
      <c r="I19304" t="n">
        <v>0</v>
      </c>
      <c r="J19304" t="n">
        <v>0</v>
      </c>
      <c r="K19304" t="n">
        <v>0</v>
      </c>
      <c r="L19304" t="n">
        <v>0</v>
      </c>
      <c r="M19304" t="n">
        <v>0</v>
      </c>
      <c r="N19304" t="n">
        <v>0</v>
      </c>
      <c r="O19304" t="n">
        <v>0</v>
      </c>
      <c r="P19304" t="n">
        <v>0</v>
      </c>
      <c r="Q19304" t="n">
        <v>0</v>
      </c>
      <c r="R19304" s="2" t="inlineStr"/>
    </row>
    <row r="19305" ht="15" customHeight="1">
      <c r="A19305" t="inlineStr">
        <is>
          <t>A 13475-2025</t>
        </is>
      </c>
      <c r="B19305" s="1" t="n">
        <v>45736</v>
      </c>
      <c r="C19305" s="1" t="n">
        <v>45810</v>
      </c>
      <c r="D19305" t="inlineStr">
        <is>
          <t>VÄRMLANDS LÄN</t>
        </is>
      </c>
      <c r="E19305" t="inlineStr">
        <is>
          <t>ARVIKA</t>
        </is>
      </c>
      <c r="G19305" t="n">
        <v>2.1</v>
      </c>
      <c r="H19305" t="n">
        <v>0</v>
      </c>
      <c r="I19305" t="n">
        <v>0</v>
      </c>
      <c r="J19305" t="n">
        <v>0</v>
      </c>
      <c r="K19305" t="n">
        <v>0</v>
      </c>
      <c r="L19305" t="n">
        <v>0</v>
      </c>
      <c r="M19305" t="n">
        <v>0</v>
      </c>
      <c r="N19305" t="n">
        <v>0</v>
      </c>
      <c r="O19305" t="n">
        <v>0</v>
      </c>
      <c r="P19305" t="n">
        <v>0</v>
      </c>
      <c r="Q19305" t="n">
        <v>0</v>
      </c>
      <c r="R19305" s="2" t="inlineStr"/>
    </row>
    <row r="19306" ht="15" customHeight="1">
      <c r="A19306" t="inlineStr">
        <is>
          <t>A 13482-2025</t>
        </is>
      </c>
      <c r="B19306" s="1" t="n">
        <v>45736</v>
      </c>
      <c r="C19306" s="1" t="n">
        <v>45810</v>
      </c>
      <c r="D19306" t="inlineStr">
        <is>
          <t>VÄRMLANDS LÄN</t>
        </is>
      </c>
      <c r="E19306" t="inlineStr">
        <is>
          <t>EDA</t>
        </is>
      </c>
      <c r="G19306" t="n">
        <v>0.6</v>
      </c>
      <c r="H19306" t="n">
        <v>0</v>
      </c>
      <c r="I19306" t="n">
        <v>0</v>
      </c>
      <c r="J19306" t="n">
        <v>0</v>
      </c>
      <c r="K19306" t="n">
        <v>0</v>
      </c>
      <c r="L19306" t="n">
        <v>0</v>
      </c>
      <c r="M19306" t="n">
        <v>0</v>
      </c>
      <c r="N19306" t="n">
        <v>0</v>
      </c>
      <c r="O19306" t="n">
        <v>0</v>
      </c>
      <c r="P19306" t="n">
        <v>0</v>
      </c>
      <c r="Q19306" t="n">
        <v>0</v>
      </c>
      <c r="R19306" s="2" t="inlineStr"/>
    </row>
    <row r="19307" ht="15" customHeight="1">
      <c r="A19307" t="inlineStr">
        <is>
          <t>A 13773-2025</t>
        </is>
      </c>
      <c r="B19307" s="1" t="n">
        <v>45736</v>
      </c>
      <c r="C19307" s="1" t="n">
        <v>45810</v>
      </c>
      <c r="D19307" t="inlineStr">
        <is>
          <t>VÄRMLANDS LÄN</t>
        </is>
      </c>
      <c r="E19307" t="inlineStr">
        <is>
          <t>SÄFFLE</t>
        </is>
      </c>
      <c r="G19307" t="n">
        <v>10.7</v>
      </c>
      <c r="H19307" t="n">
        <v>0</v>
      </c>
      <c r="I19307" t="n">
        <v>0</v>
      </c>
      <c r="J19307" t="n">
        <v>0</v>
      </c>
      <c r="K19307" t="n">
        <v>0</v>
      </c>
      <c r="L19307" t="n">
        <v>0</v>
      </c>
      <c r="M19307" t="n">
        <v>0</v>
      </c>
      <c r="N19307" t="n">
        <v>0</v>
      </c>
      <c r="O19307" t="n">
        <v>0</v>
      </c>
      <c r="P19307" t="n">
        <v>0</v>
      </c>
      <c r="Q19307" t="n">
        <v>0</v>
      </c>
      <c r="R19307" s="2" t="inlineStr"/>
    </row>
    <row r="19308" ht="15" customHeight="1">
      <c r="A19308" t="inlineStr">
        <is>
          <t>A 13545-2025</t>
        </is>
      </c>
      <c r="B19308" s="1" t="n">
        <v>45736</v>
      </c>
      <c r="C19308" s="1" t="n">
        <v>45810</v>
      </c>
      <c r="D19308" t="inlineStr">
        <is>
          <t>VÄRMLANDS LÄN</t>
        </is>
      </c>
      <c r="E19308" t="inlineStr">
        <is>
          <t>FORSHAGA</t>
        </is>
      </c>
      <c r="G19308" t="n">
        <v>6.7</v>
      </c>
      <c r="H19308" t="n">
        <v>0</v>
      </c>
      <c r="I19308" t="n">
        <v>0</v>
      </c>
      <c r="J19308" t="n">
        <v>0</v>
      </c>
      <c r="K19308" t="n">
        <v>0</v>
      </c>
      <c r="L19308" t="n">
        <v>0</v>
      </c>
      <c r="M19308" t="n">
        <v>0</v>
      </c>
      <c r="N19308" t="n">
        <v>0</v>
      </c>
      <c r="O19308" t="n">
        <v>0</v>
      </c>
      <c r="P19308" t="n">
        <v>0</v>
      </c>
      <c r="Q19308" t="n">
        <v>0</v>
      </c>
      <c r="R19308" s="2" t="inlineStr"/>
    </row>
    <row r="19309" ht="15" customHeight="1">
      <c r="A19309" t="inlineStr">
        <is>
          <t>A 13643-2025</t>
        </is>
      </c>
      <c r="B19309" s="1" t="n">
        <v>45736</v>
      </c>
      <c r="C19309" s="1" t="n">
        <v>45810</v>
      </c>
      <c r="D19309" t="inlineStr">
        <is>
          <t>VÄRMLANDS LÄN</t>
        </is>
      </c>
      <c r="E19309" t="inlineStr">
        <is>
          <t>SUNNE</t>
        </is>
      </c>
      <c r="G19309" t="n">
        <v>2</v>
      </c>
      <c r="H19309" t="n">
        <v>0</v>
      </c>
      <c r="I19309" t="n">
        <v>0</v>
      </c>
      <c r="J19309" t="n">
        <v>0</v>
      </c>
      <c r="K19309" t="n">
        <v>0</v>
      </c>
      <c r="L19309" t="n">
        <v>0</v>
      </c>
      <c r="M19309" t="n">
        <v>0</v>
      </c>
      <c r="N19309" t="n">
        <v>0</v>
      </c>
      <c r="O19309" t="n">
        <v>0</v>
      </c>
      <c r="P19309" t="n">
        <v>0</v>
      </c>
      <c r="Q19309" t="n">
        <v>0</v>
      </c>
      <c r="R19309" s="2" t="inlineStr"/>
    </row>
    <row r="19310" ht="15" customHeight="1">
      <c r="A19310" t="inlineStr">
        <is>
          <t>A 13646-2025</t>
        </is>
      </c>
      <c r="B19310" s="1" t="n">
        <v>45736</v>
      </c>
      <c r="C19310" s="1" t="n">
        <v>45810</v>
      </c>
      <c r="D19310" t="inlineStr">
        <is>
          <t>VÄRMLANDS LÄN</t>
        </is>
      </c>
      <c r="E19310" t="inlineStr">
        <is>
          <t>SUNNE</t>
        </is>
      </c>
      <c r="G19310" t="n">
        <v>5.5</v>
      </c>
      <c r="H19310" t="n">
        <v>0</v>
      </c>
      <c r="I19310" t="n">
        <v>0</v>
      </c>
      <c r="J19310" t="n">
        <v>0</v>
      </c>
      <c r="K19310" t="n">
        <v>0</v>
      </c>
      <c r="L19310" t="n">
        <v>0</v>
      </c>
      <c r="M19310" t="n">
        <v>0</v>
      </c>
      <c r="N19310" t="n">
        <v>0</v>
      </c>
      <c r="O19310" t="n">
        <v>0</v>
      </c>
      <c r="P19310" t="n">
        <v>0</v>
      </c>
      <c r="Q19310" t="n">
        <v>0</v>
      </c>
      <c r="R19310" s="2" t="inlineStr"/>
    </row>
    <row r="19311" ht="15" customHeight="1">
      <c r="A19311" t="inlineStr">
        <is>
          <t>A 13533-2025</t>
        </is>
      </c>
      <c r="B19311" s="1" t="n">
        <v>45736</v>
      </c>
      <c r="C19311" s="1" t="n">
        <v>45810</v>
      </c>
      <c r="D19311" t="inlineStr">
        <is>
          <t>VÄRMLANDS LÄN</t>
        </is>
      </c>
      <c r="E19311" t="inlineStr">
        <is>
          <t>SÄFFLE</t>
        </is>
      </c>
      <c r="G19311" t="n">
        <v>8.5</v>
      </c>
      <c r="H19311" t="n">
        <v>0</v>
      </c>
      <c r="I19311" t="n">
        <v>0</v>
      </c>
      <c r="J19311" t="n">
        <v>0</v>
      </c>
      <c r="K19311" t="n">
        <v>0</v>
      </c>
      <c r="L19311" t="n">
        <v>0</v>
      </c>
      <c r="M19311" t="n">
        <v>0</v>
      </c>
      <c r="N19311" t="n">
        <v>0</v>
      </c>
      <c r="O19311" t="n">
        <v>0</v>
      </c>
      <c r="P19311" t="n">
        <v>0</v>
      </c>
      <c r="Q19311" t="n">
        <v>0</v>
      </c>
      <c r="R19311" s="2" t="inlineStr"/>
    </row>
    <row r="19312" ht="15" customHeight="1">
      <c r="A19312" t="inlineStr">
        <is>
          <t>A 13434-2025</t>
        </is>
      </c>
      <c r="B19312" s="1" t="n">
        <v>45736</v>
      </c>
      <c r="C19312" s="1" t="n">
        <v>45810</v>
      </c>
      <c r="D19312" t="inlineStr">
        <is>
          <t>VÄRMLANDS LÄN</t>
        </is>
      </c>
      <c r="E19312" t="inlineStr">
        <is>
          <t>FILIPSTAD</t>
        </is>
      </c>
      <c r="F19312" t="inlineStr">
        <is>
          <t>Bergvik skog väst AB</t>
        </is>
      </c>
      <c r="G19312" t="n">
        <v>3.9</v>
      </c>
      <c r="H19312" t="n">
        <v>0</v>
      </c>
      <c r="I19312" t="n">
        <v>0</v>
      </c>
      <c r="J19312" t="n">
        <v>0</v>
      </c>
      <c r="K19312" t="n">
        <v>0</v>
      </c>
      <c r="L19312" t="n">
        <v>0</v>
      </c>
      <c r="M19312" t="n">
        <v>0</v>
      </c>
      <c r="N19312" t="n">
        <v>0</v>
      </c>
      <c r="O19312" t="n">
        <v>0</v>
      </c>
      <c r="P19312" t="n">
        <v>0</v>
      </c>
      <c r="Q19312" t="n">
        <v>0</v>
      </c>
      <c r="R19312" s="2" t="inlineStr"/>
    </row>
    <row r="19313" ht="15" customHeight="1">
      <c r="A19313" t="inlineStr">
        <is>
          <t>A 13512-2025</t>
        </is>
      </c>
      <c r="B19313" s="1" t="n">
        <v>45736</v>
      </c>
      <c r="C19313" s="1" t="n">
        <v>45810</v>
      </c>
      <c r="D19313" t="inlineStr">
        <is>
          <t>VÄRMLANDS LÄN</t>
        </is>
      </c>
      <c r="E19313" t="inlineStr">
        <is>
          <t>HAGFORS</t>
        </is>
      </c>
      <c r="G19313" t="n">
        <v>1.2</v>
      </c>
      <c r="H19313" t="n">
        <v>0</v>
      </c>
      <c r="I19313" t="n">
        <v>0</v>
      </c>
      <c r="J19313" t="n">
        <v>0</v>
      </c>
      <c r="K19313" t="n">
        <v>0</v>
      </c>
      <c r="L19313" t="n">
        <v>0</v>
      </c>
      <c r="M19313" t="n">
        <v>0</v>
      </c>
      <c r="N19313" t="n">
        <v>0</v>
      </c>
      <c r="O19313" t="n">
        <v>0</v>
      </c>
      <c r="P19313" t="n">
        <v>0</v>
      </c>
      <c r="Q19313" t="n">
        <v>0</v>
      </c>
      <c r="R19313" s="2" t="inlineStr"/>
    </row>
    <row r="19314" ht="15" customHeight="1">
      <c r="A19314" t="inlineStr">
        <is>
          <t>A 13671-2025</t>
        </is>
      </c>
      <c r="B19314" s="1" t="n">
        <v>45736</v>
      </c>
      <c r="C19314" s="1" t="n">
        <v>45810</v>
      </c>
      <c r="D19314" t="inlineStr">
        <is>
          <t>VÄRMLANDS LÄN</t>
        </is>
      </c>
      <c r="E19314" t="inlineStr">
        <is>
          <t>ARVIKA</t>
        </is>
      </c>
      <c r="G19314" t="n">
        <v>0.6</v>
      </c>
      <c r="H19314" t="n">
        <v>0</v>
      </c>
      <c r="I19314" t="n">
        <v>0</v>
      </c>
      <c r="J19314" t="n">
        <v>0</v>
      </c>
      <c r="K19314" t="n">
        <v>0</v>
      </c>
      <c r="L19314" t="n">
        <v>0</v>
      </c>
      <c r="M19314" t="n">
        <v>0</v>
      </c>
      <c r="N19314" t="n">
        <v>0</v>
      </c>
      <c r="O19314" t="n">
        <v>0</v>
      </c>
      <c r="P19314" t="n">
        <v>0</v>
      </c>
      <c r="Q19314" t="n">
        <v>0</v>
      </c>
      <c r="R19314" s="2" t="inlineStr"/>
    </row>
    <row r="19315" ht="15" customHeight="1">
      <c r="A19315" t="inlineStr">
        <is>
          <t>A 13635-2025</t>
        </is>
      </c>
      <c r="B19315" s="1" t="n">
        <v>45736</v>
      </c>
      <c r="C19315" s="1" t="n">
        <v>45810</v>
      </c>
      <c r="D19315" t="inlineStr">
        <is>
          <t>VÄRMLANDS LÄN</t>
        </is>
      </c>
      <c r="E19315" t="inlineStr">
        <is>
          <t>FILIPSTAD</t>
        </is>
      </c>
      <c r="F19315" t="inlineStr">
        <is>
          <t>Kommuner</t>
        </is>
      </c>
      <c r="G19315" t="n">
        <v>1</v>
      </c>
      <c r="H19315" t="n">
        <v>0</v>
      </c>
      <c r="I19315" t="n">
        <v>0</v>
      </c>
      <c r="J19315" t="n">
        <v>0</v>
      </c>
      <c r="K19315" t="n">
        <v>0</v>
      </c>
      <c r="L19315" t="n">
        <v>0</v>
      </c>
      <c r="M19315" t="n">
        <v>0</v>
      </c>
      <c r="N19315" t="n">
        <v>0</v>
      </c>
      <c r="O19315" t="n">
        <v>0</v>
      </c>
      <c r="P19315" t="n">
        <v>0</v>
      </c>
      <c r="Q19315" t="n">
        <v>0</v>
      </c>
      <c r="R19315" s="2" t="inlineStr"/>
    </row>
    <row r="19316" ht="15" customHeight="1">
      <c r="A19316" t="inlineStr">
        <is>
          <t>A 13616-2025</t>
        </is>
      </c>
      <c r="B19316" s="1" t="n">
        <v>45736</v>
      </c>
      <c r="C19316" s="1" t="n">
        <v>45810</v>
      </c>
      <c r="D19316" t="inlineStr">
        <is>
          <t>VÄRMLANDS LÄN</t>
        </is>
      </c>
      <c r="E19316" t="inlineStr">
        <is>
          <t>ARVIKA</t>
        </is>
      </c>
      <c r="G19316" t="n">
        <v>1.5</v>
      </c>
      <c r="H19316" t="n">
        <v>0</v>
      </c>
      <c r="I19316" t="n">
        <v>0</v>
      </c>
      <c r="J19316" t="n">
        <v>0</v>
      </c>
      <c r="K19316" t="n">
        <v>0</v>
      </c>
      <c r="L19316" t="n">
        <v>0</v>
      </c>
      <c r="M19316" t="n">
        <v>0</v>
      </c>
      <c r="N19316" t="n">
        <v>0</v>
      </c>
      <c r="O19316" t="n">
        <v>0</v>
      </c>
      <c r="P19316" t="n">
        <v>0</v>
      </c>
      <c r="Q19316" t="n">
        <v>0</v>
      </c>
      <c r="R19316" s="2" t="inlineStr"/>
    </row>
    <row r="19317" ht="15" customHeight="1">
      <c r="A19317" t="inlineStr">
        <is>
          <t>A 13481-2025</t>
        </is>
      </c>
      <c r="B19317" s="1" t="n">
        <v>45736</v>
      </c>
      <c r="C19317" s="1" t="n">
        <v>45810</v>
      </c>
      <c r="D19317" t="inlineStr">
        <is>
          <t>VÄRMLANDS LÄN</t>
        </is>
      </c>
      <c r="E19317" t="inlineStr">
        <is>
          <t>ÅRJÄNG</t>
        </is>
      </c>
      <c r="G19317" t="n">
        <v>5.2</v>
      </c>
      <c r="H19317" t="n">
        <v>0</v>
      </c>
      <c r="I19317" t="n">
        <v>0</v>
      </c>
      <c r="J19317" t="n">
        <v>0</v>
      </c>
      <c r="K19317" t="n">
        <v>0</v>
      </c>
      <c r="L19317" t="n">
        <v>0</v>
      </c>
      <c r="M19317" t="n">
        <v>0</v>
      </c>
      <c r="N19317" t="n">
        <v>0</v>
      </c>
      <c r="O19317" t="n">
        <v>0</v>
      </c>
      <c r="P19317" t="n">
        <v>0</v>
      </c>
      <c r="Q19317" t="n">
        <v>0</v>
      </c>
      <c r="R19317" s="2" t="inlineStr"/>
    </row>
    <row r="19318" ht="15" customHeight="1">
      <c r="A19318" t="inlineStr">
        <is>
          <t>A 13543-2025</t>
        </is>
      </c>
      <c r="B19318" s="1" t="n">
        <v>45736</v>
      </c>
      <c r="C19318" s="1" t="n">
        <v>45810</v>
      </c>
      <c r="D19318" t="inlineStr">
        <is>
          <t>VÄRMLANDS LÄN</t>
        </is>
      </c>
      <c r="E19318" t="inlineStr">
        <is>
          <t>KARLSTAD</t>
        </is>
      </c>
      <c r="G19318" t="n">
        <v>4.7</v>
      </c>
      <c r="H19318" t="n">
        <v>0</v>
      </c>
      <c r="I19318" t="n">
        <v>0</v>
      </c>
      <c r="J19318" t="n">
        <v>0</v>
      </c>
      <c r="K19318" t="n">
        <v>0</v>
      </c>
      <c r="L19318" t="n">
        <v>0</v>
      </c>
      <c r="M19318" t="n">
        <v>0</v>
      </c>
      <c r="N19318" t="n">
        <v>0</v>
      </c>
      <c r="O19318" t="n">
        <v>0</v>
      </c>
      <c r="P19318" t="n">
        <v>0</v>
      </c>
      <c r="Q19318" t="n">
        <v>0</v>
      </c>
      <c r="R19318" s="2" t="inlineStr"/>
    </row>
    <row r="19319" ht="15" customHeight="1">
      <c r="A19319" t="inlineStr">
        <is>
          <t>A 13605-2025</t>
        </is>
      </c>
      <c r="B19319" s="1" t="n">
        <v>45736</v>
      </c>
      <c r="C19319" s="1" t="n">
        <v>45810</v>
      </c>
      <c r="D19319" t="inlineStr">
        <is>
          <t>VÄRMLANDS LÄN</t>
        </is>
      </c>
      <c r="E19319" t="inlineStr">
        <is>
          <t>KARLSTAD</t>
        </is>
      </c>
      <c r="G19319" t="n">
        <v>1.4</v>
      </c>
      <c r="H19319" t="n">
        <v>0</v>
      </c>
      <c r="I19319" t="n">
        <v>0</v>
      </c>
      <c r="J19319" t="n">
        <v>0</v>
      </c>
      <c r="K19319" t="n">
        <v>0</v>
      </c>
      <c r="L19319" t="n">
        <v>0</v>
      </c>
      <c r="M19319" t="n">
        <v>0</v>
      </c>
      <c r="N19319" t="n">
        <v>0</v>
      </c>
      <c r="O19319" t="n">
        <v>0</v>
      </c>
      <c r="P19319" t="n">
        <v>0</v>
      </c>
      <c r="Q19319" t="n">
        <v>0</v>
      </c>
      <c r="R19319" s="2" t="inlineStr"/>
    </row>
    <row r="19320" ht="15" customHeight="1">
      <c r="A19320" t="inlineStr">
        <is>
          <t>A 13924-2025</t>
        </is>
      </c>
      <c r="B19320" s="1" t="n">
        <v>45737</v>
      </c>
      <c r="C19320" s="1" t="n">
        <v>45810</v>
      </c>
      <c r="D19320" t="inlineStr">
        <is>
          <t>VÄRMLANDS LÄN</t>
        </is>
      </c>
      <c r="E19320" t="inlineStr">
        <is>
          <t>TORSBY</t>
        </is>
      </c>
      <c r="G19320" t="n">
        <v>2.6</v>
      </c>
      <c r="H19320" t="n">
        <v>0</v>
      </c>
      <c r="I19320" t="n">
        <v>0</v>
      </c>
      <c r="J19320" t="n">
        <v>0</v>
      </c>
      <c r="K19320" t="n">
        <v>0</v>
      </c>
      <c r="L19320" t="n">
        <v>0</v>
      </c>
      <c r="M19320" t="n">
        <v>0</v>
      </c>
      <c r="N19320" t="n">
        <v>0</v>
      </c>
      <c r="O19320" t="n">
        <v>0</v>
      </c>
      <c r="P19320" t="n">
        <v>0</v>
      </c>
      <c r="Q19320" t="n">
        <v>0</v>
      </c>
      <c r="R19320" s="2" t="inlineStr"/>
    </row>
    <row r="19321" ht="15" customHeight="1">
      <c r="A19321" t="inlineStr">
        <is>
          <t>A 13760-2025</t>
        </is>
      </c>
      <c r="B19321" s="1" t="n">
        <v>45737</v>
      </c>
      <c r="C19321" s="1" t="n">
        <v>45810</v>
      </c>
      <c r="D19321" t="inlineStr">
        <is>
          <t>VÄRMLANDS LÄN</t>
        </is>
      </c>
      <c r="E19321" t="inlineStr">
        <is>
          <t>ARVIKA</t>
        </is>
      </c>
      <c r="G19321" t="n">
        <v>5.8</v>
      </c>
      <c r="H19321" t="n">
        <v>0</v>
      </c>
      <c r="I19321" t="n">
        <v>0</v>
      </c>
      <c r="J19321" t="n">
        <v>0</v>
      </c>
      <c r="K19321" t="n">
        <v>0</v>
      </c>
      <c r="L19321" t="n">
        <v>0</v>
      </c>
      <c r="M19321" t="n">
        <v>0</v>
      </c>
      <c r="N19321" t="n">
        <v>0</v>
      </c>
      <c r="O19321" t="n">
        <v>0</v>
      </c>
      <c r="P19321" t="n">
        <v>0</v>
      </c>
      <c r="Q19321" t="n">
        <v>0</v>
      </c>
      <c r="R19321" s="2" t="inlineStr"/>
    </row>
    <row r="19322" ht="15" customHeight="1">
      <c r="A19322" t="inlineStr">
        <is>
          <t>A 13765-2025</t>
        </is>
      </c>
      <c r="B19322" s="1" t="n">
        <v>45737</v>
      </c>
      <c r="C19322" s="1" t="n">
        <v>45810</v>
      </c>
      <c r="D19322" t="inlineStr">
        <is>
          <t>VÄRMLANDS LÄN</t>
        </is>
      </c>
      <c r="E19322" t="inlineStr">
        <is>
          <t>EDA</t>
        </is>
      </c>
      <c r="G19322" t="n">
        <v>0.6</v>
      </c>
      <c r="H19322" t="n">
        <v>0</v>
      </c>
      <c r="I19322" t="n">
        <v>0</v>
      </c>
      <c r="J19322" t="n">
        <v>0</v>
      </c>
      <c r="K19322" t="n">
        <v>0</v>
      </c>
      <c r="L19322" t="n">
        <v>0</v>
      </c>
      <c r="M19322" t="n">
        <v>0</v>
      </c>
      <c r="N19322" t="n">
        <v>0</v>
      </c>
      <c r="O19322" t="n">
        <v>0</v>
      </c>
      <c r="P19322" t="n">
        <v>0</v>
      </c>
      <c r="Q19322" t="n">
        <v>0</v>
      </c>
      <c r="R19322" s="2" t="inlineStr"/>
    </row>
    <row r="19323" ht="15" customHeight="1">
      <c r="A19323" t="inlineStr">
        <is>
          <t>A 13737-2025</t>
        </is>
      </c>
      <c r="B19323" s="1" t="n">
        <v>45737</v>
      </c>
      <c r="C19323" s="1" t="n">
        <v>45810</v>
      </c>
      <c r="D19323" t="inlineStr">
        <is>
          <t>VÄRMLANDS LÄN</t>
        </is>
      </c>
      <c r="E19323" t="inlineStr">
        <is>
          <t>EDA</t>
        </is>
      </c>
      <c r="G19323" t="n">
        <v>1</v>
      </c>
      <c r="H19323" t="n">
        <v>0</v>
      </c>
      <c r="I19323" t="n">
        <v>0</v>
      </c>
      <c r="J19323" t="n">
        <v>0</v>
      </c>
      <c r="K19323" t="n">
        <v>0</v>
      </c>
      <c r="L19323" t="n">
        <v>0</v>
      </c>
      <c r="M19323" t="n">
        <v>0</v>
      </c>
      <c r="N19323" t="n">
        <v>0</v>
      </c>
      <c r="O19323" t="n">
        <v>0</v>
      </c>
      <c r="P19323" t="n">
        <v>0</v>
      </c>
      <c r="Q19323" t="n">
        <v>0</v>
      </c>
      <c r="R19323" s="2" t="inlineStr"/>
    </row>
    <row r="19324" ht="15" customHeight="1">
      <c r="A19324" t="inlineStr">
        <is>
          <t>A 13807-2025</t>
        </is>
      </c>
      <c r="B19324" s="1" t="n">
        <v>45737</v>
      </c>
      <c r="C19324" s="1" t="n">
        <v>45810</v>
      </c>
      <c r="D19324" t="inlineStr">
        <is>
          <t>VÄRMLANDS LÄN</t>
        </is>
      </c>
      <c r="E19324" t="inlineStr">
        <is>
          <t>SUNNE</t>
        </is>
      </c>
      <c r="G19324" t="n">
        <v>1.2</v>
      </c>
      <c r="H19324" t="n">
        <v>0</v>
      </c>
      <c r="I19324" t="n">
        <v>0</v>
      </c>
      <c r="J19324" t="n">
        <v>0</v>
      </c>
      <c r="K19324" t="n">
        <v>0</v>
      </c>
      <c r="L19324" t="n">
        <v>0</v>
      </c>
      <c r="M19324" t="n">
        <v>0</v>
      </c>
      <c r="N19324" t="n">
        <v>0</v>
      </c>
      <c r="O19324" t="n">
        <v>0</v>
      </c>
      <c r="P19324" t="n">
        <v>0</v>
      </c>
      <c r="Q19324" t="n">
        <v>0</v>
      </c>
      <c r="R19324" s="2" t="inlineStr"/>
    </row>
    <row r="19325" ht="15" customHeight="1">
      <c r="A19325" t="inlineStr">
        <is>
          <t>A 13880-2025</t>
        </is>
      </c>
      <c r="B19325" s="1" t="n">
        <v>45737</v>
      </c>
      <c r="C19325" s="1" t="n">
        <v>45810</v>
      </c>
      <c r="D19325" t="inlineStr">
        <is>
          <t>VÄRMLANDS LÄN</t>
        </is>
      </c>
      <c r="E19325" t="inlineStr">
        <is>
          <t>SUNNE</t>
        </is>
      </c>
      <c r="F19325" t="inlineStr">
        <is>
          <t>Kommuner</t>
        </is>
      </c>
      <c r="G19325" t="n">
        <v>2.2</v>
      </c>
      <c r="H19325" t="n">
        <v>0</v>
      </c>
      <c r="I19325" t="n">
        <v>0</v>
      </c>
      <c r="J19325" t="n">
        <v>0</v>
      </c>
      <c r="K19325" t="n">
        <v>0</v>
      </c>
      <c r="L19325" t="n">
        <v>0</v>
      </c>
      <c r="M19325" t="n">
        <v>0</v>
      </c>
      <c r="N19325" t="n">
        <v>0</v>
      </c>
      <c r="O19325" t="n">
        <v>0</v>
      </c>
      <c r="P19325" t="n">
        <v>0</v>
      </c>
      <c r="Q19325" t="n">
        <v>0</v>
      </c>
      <c r="R19325" s="2" t="inlineStr"/>
    </row>
    <row r="19326" ht="15" customHeight="1">
      <c r="A19326" t="inlineStr">
        <is>
          <t>A 13846-2025</t>
        </is>
      </c>
      <c r="B19326" s="1" t="n">
        <v>45737</v>
      </c>
      <c r="C19326" s="1" t="n">
        <v>45810</v>
      </c>
      <c r="D19326" t="inlineStr">
        <is>
          <t>VÄRMLANDS LÄN</t>
        </is>
      </c>
      <c r="E19326" t="inlineStr">
        <is>
          <t>SUNNE</t>
        </is>
      </c>
      <c r="F19326" t="inlineStr">
        <is>
          <t>Bergvik skog väst AB</t>
        </is>
      </c>
      <c r="G19326" t="n">
        <v>3.2</v>
      </c>
      <c r="H19326" t="n">
        <v>0</v>
      </c>
      <c r="I19326" t="n">
        <v>0</v>
      </c>
      <c r="J19326" t="n">
        <v>0</v>
      </c>
      <c r="K19326" t="n">
        <v>0</v>
      </c>
      <c r="L19326" t="n">
        <v>0</v>
      </c>
      <c r="M19326" t="n">
        <v>0</v>
      </c>
      <c r="N19326" t="n">
        <v>0</v>
      </c>
      <c r="O19326" t="n">
        <v>0</v>
      </c>
      <c r="P19326" t="n">
        <v>0</v>
      </c>
      <c r="Q19326" t="n">
        <v>0</v>
      </c>
      <c r="R19326" s="2" t="inlineStr"/>
    </row>
    <row r="19327" ht="15" customHeight="1">
      <c r="A19327" t="inlineStr">
        <is>
          <t>A 13869-2025</t>
        </is>
      </c>
      <c r="B19327" s="1" t="n">
        <v>45737</v>
      </c>
      <c r="C19327" s="1" t="n">
        <v>45810</v>
      </c>
      <c r="D19327" t="inlineStr">
        <is>
          <t>VÄRMLANDS LÄN</t>
        </is>
      </c>
      <c r="E19327" t="inlineStr">
        <is>
          <t>ÅRJÄNG</t>
        </is>
      </c>
      <c r="G19327" t="n">
        <v>0.5</v>
      </c>
      <c r="H19327" t="n">
        <v>0</v>
      </c>
      <c r="I19327" t="n">
        <v>0</v>
      </c>
      <c r="J19327" t="n">
        <v>0</v>
      </c>
      <c r="K19327" t="n">
        <v>0</v>
      </c>
      <c r="L19327" t="n">
        <v>0</v>
      </c>
      <c r="M19327" t="n">
        <v>0</v>
      </c>
      <c r="N19327" t="n">
        <v>0</v>
      </c>
      <c r="O19327" t="n">
        <v>0</v>
      </c>
      <c r="P19327" t="n">
        <v>0</v>
      </c>
      <c r="Q19327" t="n">
        <v>0</v>
      </c>
      <c r="R19327" s="2" t="inlineStr"/>
    </row>
    <row r="19328" ht="15" customHeight="1">
      <c r="A19328" t="inlineStr">
        <is>
          <t>A 13871-2025</t>
        </is>
      </c>
      <c r="B19328" s="1" t="n">
        <v>45737</v>
      </c>
      <c r="C19328" s="1" t="n">
        <v>45810</v>
      </c>
      <c r="D19328" t="inlineStr">
        <is>
          <t>VÄRMLANDS LÄN</t>
        </is>
      </c>
      <c r="E19328" t="inlineStr">
        <is>
          <t>ÅRJÄNG</t>
        </is>
      </c>
      <c r="G19328" t="n">
        <v>1</v>
      </c>
      <c r="H19328" t="n">
        <v>0</v>
      </c>
      <c r="I19328" t="n">
        <v>0</v>
      </c>
      <c r="J19328" t="n">
        <v>0</v>
      </c>
      <c r="K19328" t="n">
        <v>0</v>
      </c>
      <c r="L19328" t="n">
        <v>0</v>
      </c>
      <c r="M19328" t="n">
        <v>0</v>
      </c>
      <c r="N19328" t="n">
        <v>0</v>
      </c>
      <c r="O19328" t="n">
        <v>0</v>
      </c>
      <c r="P19328" t="n">
        <v>0</v>
      </c>
      <c r="Q19328" t="n">
        <v>0</v>
      </c>
      <c r="R19328" s="2" t="inlineStr"/>
    </row>
    <row r="19329" ht="15" customHeight="1">
      <c r="A19329" t="inlineStr">
        <is>
          <t>A 13709-2025</t>
        </is>
      </c>
      <c r="B19329" s="1" t="n">
        <v>45737</v>
      </c>
      <c r="C19329" s="1" t="n">
        <v>45810</v>
      </c>
      <c r="D19329" t="inlineStr">
        <is>
          <t>VÄRMLANDS LÄN</t>
        </is>
      </c>
      <c r="E19329" t="inlineStr">
        <is>
          <t>TORSBY</t>
        </is>
      </c>
      <c r="F19329" t="inlineStr">
        <is>
          <t>Bergvik skog väst AB</t>
        </is>
      </c>
      <c r="G19329" t="n">
        <v>4.2</v>
      </c>
      <c r="H19329" t="n">
        <v>0</v>
      </c>
      <c r="I19329" t="n">
        <v>0</v>
      </c>
      <c r="J19329" t="n">
        <v>0</v>
      </c>
      <c r="K19329" t="n">
        <v>0</v>
      </c>
      <c r="L19329" t="n">
        <v>0</v>
      </c>
      <c r="M19329" t="n">
        <v>0</v>
      </c>
      <c r="N19329" t="n">
        <v>0</v>
      </c>
      <c r="O19329" t="n">
        <v>0</v>
      </c>
      <c r="P19329" t="n">
        <v>0</v>
      </c>
      <c r="Q19329" t="n">
        <v>0</v>
      </c>
      <c r="R19329" s="2" t="inlineStr"/>
    </row>
    <row r="19330" ht="15" customHeight="1">
      <c r="A19330" t="inlineStr">
        <is>
          <t>A 13747-2025</t>
        </is>
      </c>
      <c r="B19330" s="1" t="n">
        <v>45737</v>
      </c>
      <c r="C19330" s="1" t="n">
        <v>45810</v>
      </c>
      <c r="D19330" t="inlineStr">
        <is>
          <t>VÄRMLANDS LÄN</t>
        </is>
      </c>
      <c r="E19330" t="inlineStr">
        <is>
          <t>EDA</t>
        </is>
      </c>
      <c r="G19330" t="n">
        <v>3.8</v>
      </c>
      <c r="H19330" t="n">
        <v>0</v>
      </c>
      <c r="I19330" t="n">
        <v>0</v>
      </c>
      <c r="J19330" t="n">
        <v>0</v>
      </c>
      <c r="K19330" t="n">
        <v>0</v>
      </c>
      <c r="L19330" t="n">
        <v>0</v>
      </c>
      <c r="M19330" t="n">
        <v>0</v>
      </c>
      <c r="N19330" t="n">
        <v>0</v>
      </c>
      <c r="O19330" t="n">
        <v>0</v>
      </c>
      <c r="P19330" t="n">
        <v>0</v>
      </c>
      <c r="Q19330" t="n">
        <v>0</v>
      </c>
      <c r="R19330" s="2" t="inlineStr"/>
    </row>
    <row r="19331" ht="15" customHeight="1">
      <c r="A19331" t="inlineStr">
        <is>
          <t>A 13761-2025</t>
        </is>
      </c>
      <c r="B19331" s="1" t="n">
        <v>45737</v>
      </c>
      <c r="C19331" s="1" t="n">
        <v>45810</v>
      </c>
      <c r="D19331" t="inlineStr">
        <is>
          <t>VÄRMLANDS LÄN</t>
        </is>
      </c>
      <c r="E19331" t="inlineStr">
        <is>
          <t>ARVIKA</t>
        </is>
      </c>
      <c r="G19331" t="n">
        <v>1.8</v>
      </c>
      <c r="H19331" t="n">
        <v>0</v>
      </c>
      <c r="I19331" t="n">
        <v>0</v>
      </c>
      <c r="J19331" t="n">
        <v>0</v>
      </c>
      <c r="K19331" t="n">
        <v>0</v>
      </c>
      <c r="L19331" t="n">
        <v>0</v>
      </c>
      <c r="M19331" t="n">
        <v>0</v>
      </c>
      <c r="N19331" t="n">
        <v>0</v>
      </c>
      <c r="O19331" t="n">
        <v>0</v>
      </c>
      <c r="P19331" t="n">
        <v>0</v>
      </c>
      <c r="Q19331" t="n">
        <v>0</v>
      </c>
      <c r="R19331" s="2" t="inlineStr"/>
    </row>
    <row r="19332" ht="15" customHeight="1">
      <c r="A19332" t="inlineStr">
        <is>
          <t>A 13771-2025</t>
        </is>
      </c>
      <c r="B19332" s="1" t="n">
        <v>45737</v>
      </c>
      <c r="C19332" s="1" t="n">
        <v>45810</v>
      </c>
      <c r="D19332" t="inlineStr">
        <is>
          <t>VÄRMLANDS LÄN</t>
        </is>
      </c>
      <c r="E19332" t="inlineStr">
        <is>
          <t>TORSBY</t>
        </is>
      </c>
      <c r="G19332" t="n">
        <v>19.7</v>
      </c>
      <c r="H19332" t="n">
        <v>0</v>
      </c>
      <c r="I19332" t="n">
        <v>0</v>
      </c>
      <c r="J19332" t="n">
        <v>0</v>
      </c>
      <c r="K19332" t="n">
        <v>0</v>
      </c>
      <c r="L19332" t="n">
        <v>0</v>
      </c>
      <c r="M19332" t="n">
        <v>0</v>
      </c>
      <c r="N19332" t="n">
        <v>0</v>
      </c>
      <c r="O19332" t="n">
        <v>0</v>
      </c>
      <c r="P19332" t="n">
        <v>0</v>
      </c>
      <c r="Q19332" t="n">
        <v>0</v>
      </c>
      <c r="R19332" s="2" t="inlineStr"/>
    </row>
    <row r="19333" ht="15" customHeight="1">
      <c r="A19333" t="inlineStr">
        <is>
          <t>A 14045-2025</t>
        </is>
      </c>
      <c r="B19333" s="1" t="n">
        <v>45738</v>
      </c>
      <c r="C19333" s="1" t="n">
        <v>45810</v>
      </c>
      <c r="D19333" t="inlineStr">
        <is>
          <t>VÄRMLANDS LÄN</t>
        </is>
      </c>
      <c r="E19333" t="inlineStr">
        <is>
          <t>SUNNE</t>
        </is>
      </c>
      <c r="G19333" t="n">
        <v>1.2</v>
      </c>
      <c r="H19333" t="n">
        <v>0</v>
      </c>
      <c r="I19333" t="n">
        <v>0</v>
      </c>
      <c r="J19333" t="n">
        <v>0</v>
      </c>
      <c r="K19333" t="n">
        <v>0</v>
      </c>
      <c r="L19333" t="n">
        <v>0</v>
      </c>
      <c r="M19333" t="n">
        <v>0</v>
      </c>
      <c r="N19333" t="n">
        <v>0</v>
      </c>
      <c r="O19333" t="n">
        <v>0</v>
      </c>
      <c r="P19333" t="n">
        <v>0</v>
      </c>
      <c r="Q19333" t="n">
        <v>0</v>
      </c>
      <c r="R19333" s="2" t="inlineStr"/>
    </row>
    <row r="19334" ht="15" customHeight="1">
      <c r="A19334" t="inlineStr">
        <is>
          <t>A 14050-2025</t>
        </is>
      </c>
      <c r="B19334" s="1" t="n">
        <v>45738</v>
      </c>
      <c r="C19334" s="1" t="n">
        <v>45810</v>
      </c>
      <c r="D19334" t="inlineStr">
        <is>
          <t>VÄRMLANDS LÄN</t>
        </is>
      </c>
      <c r="E19334" t="inlineStr">
        <is>
          <t>SUNNE</t>
        </is>
      </c>
      <c r="G19334" t="n">
        <v>1.4</v>
      </c>
      <c r="H19334" t="n">
        <v>0</v>
      </c>
      <c r="I19334" t="n">
        <v>0</v>
      </c>
      <c r="J19334" t="n">
        <v>0</v>
      </c>
      <c r="K19334" t="n">
        <v>0</v>
      </c>
      <c r="L19334" t="n">
        <v>0</v>
      </c>
      <c r="M19334" t="n">
        <v>0</v>
      </c>
      <c r="N19334" t="n">
        <v>0</v>
      </c>
      <c r="O19334" t="n">
        <v>0</v>
      </c>
      <c r="P19334" t="n">
        <v>0</v>
      </c>
      <c r="Q19334" t="n">
        <v>0</v>
      </c>
      <c r="R19334" s="2" t="inlineStr"/>
    </row>
    <row r="19335" ht="15" customHeight="1">
      <c r="A19335" t="inlineStr">
        <is>
          <t>A 13992-2025</t>
        </is>
      </c>
      <c r="B19335" s="1" t="n">
        <v>45739</v>
      </c>
      <c r="C19335" s="1" t="n">
        <v>45810</v>
      </c>
      <c r="D19335" t="inlineStr">
        <is>
          <t>VÄRMLANDS LÄN</t>
        </is>
      </c>
      <c r="E19335" t="inlineStr">
        <is>
          <t>HAGFORS</t>
        </is>
      </c>
      <c r="F19335" t="inlineStr">
        <is>
          <t>Bergvik skog väst AB</t>
        </is>
      </c>
      <c r="G19335" t="n">
        <v>9.4</v>
      </c>
      <c r="H19335" t="n">
        <v>0</v>
      </c>
      <c r="I19335" t="n">
        <v>0</v>
      </c>
      <c r="J19335" t="n">
        <v>0</v>
      </c>
      <c r="K19335" t="n">
        <v>0</v>
      </c>
      <c r="L19335" t="n">
        <v>0</v>
      </c>
      <c r="M19335" t="n">
        <v>0</v>
      </c>
      <c r="N19335" t="n">
        <v>0</v>
      </c>
      <c r="O19335" t="n">
        <v>0</v>
      </c>
      <c r="P19335" t="n">
        <v>0</v>
      </c>
      <c r="Q19335" t="n">
        <v>0</v>
      </c>
      <c r="R19335" s="2" t="inlineStr"/>
    </row>
    <row r="19336" ht="15" customHeight="1">
      <c r="A19336" t="inlineStr">
        <is>
          <t>A 13990-2025</t>
        </is>
      </c>
      <c r="B19336" s="1" t="n">
        <v>45739</v>
      </c>
      <c r="C19336" s="1" t="n">
        <v>45810</v>
      </c>
      <c r="D19336" t="inlineStr">
        <is>
          <t>VÄRMLANDS LÄN</t>
        </is>
      </c>
      <c r="E19336" t="inlineStr">
        <is>
          <t>HAGFORS</t>
        </is>
      </c>
      <c r="F19336" t="inlineStr">
        <is>
          <t>Bergvik skog väst AB</t>
        </is>
      </c>
      <c r="G19336" t="n">
        <v>4.9</v>
      </c>
      <c r="H19336" t="n">
        <v>0</v>
      </c>
      <c r="I19336" t="n">
        <v>0</v>
      </c>
      <c r="J19336" t="n">
        <v>0</v>
      </c>
      <c r="K19336" t="n">
        <v>0</v>
      </c>
      <c r="L19336" t="n">
        <v>0</v>
      </c>
      <c r="M19336" t="n">
        <v>0</v>
      </c>
      <c r="N19336" t="n">
        <v>0</v>
      </c>
      <c r="O19336" t="n">
        <v>0</v>
      </c>
      <c r="P19336" t="n">
        <v>0</v>
      </c>
      <c r="Q19336" t="n">
        <v>0</v>
      </c>
      <c r="R19336" s="2" t="inlineStr"/>
    </row>
    <row r="19337" ht="15" customHeight="1">
      <c r="A19337" t="inlineStr">
        <is>
          <t>A 14042-2025</t>
        </is>
      </c>
      <c r="B19337" s="1" t="n">
        <v>45740</v>
      </c>
      <c r="C19337" s="1" t="n">
        <v>45810</v>
      </c>
      <c r="D19337" t="inlineStr">
        <is>
          <t>VÄRMLANDS LÄN</t>
        </is>
      </c>
      <c r="E19337" t="inlineStr">
        <is>
          <t>SUNNE</t>
        </is>
      </c>
      <c r="F19337" t="inlineStr">
        <is>
          <t>Bergvik skog väst AB</t>
        </is>
      </c>
      <c r="G19337" t="n">
        <v>3.4</v>
      </c>
      <c r="H19337" t="n">
        <v>0</v>
      </c>
      <c r="I19337" t="n">
        <v>0</v>
      </c>
      <c r="J19337" t="n">
        <v>0</v>
      </c>
      <c r="K19337" t="n">
        <v>0</v>
      </c>
      <c r="L19337" t="n">
        <v>0</v>
      </c>
      <c r="M19337" t="n">
        <v>0</v>
      </c>
      <c r="N19337" t="n">
        <v>0</v>
      </c>
      <c r="O19337" t="n">
        <v>0</v>
      </c>
      <c r="P19337" t="n">
        <v>0</v>
      </c>
      <c r="Q19337" t="n">
        <v>0</v>
      </c>
      <c r="R19337" s="2" t="inlineStr"/>
    </row>
    <row r="19338" ht="15" customHeight="1">
      <c r="A19338" t="inlineStr">
        <is>
          <t>A 14025-2025</t>
        </is>
      </c>
      <c r="B19338" s="1" t="n">
        <v>45740</v>
      </c>
      <c r="C19338" s="1" t="n">
        <v>45810</v>
      </c>
      <c r="D19338" t="inlineStr">
        <is>
          <t>VÄRMLANDS LÄN</t>
        </is>
      </c>
      <c r="E19338" t="inlineStr">
        <is>
          <t>TORSBY</t>
        </is>
      </c>
      <c r="G19338" t="n">
        <v>1.2</v>
      </c>
      <c r="H19338" t="n">
        <v>0</v>
      </c>
      <c r="I19338" t="n">
        <v>0</v>
      </c>
      <c r="J19338" t="n">
        <v>0</v>
      </c>
      <c r="K19338" t="n">
        <v>0</v>
      </c>
      <c r="L19338" t="n">
        <v>0</v>
      </c>
      <c r="M19338" t="n">
        <v>0</v>
      </c>
      <c r="N19338" t="n">
        <v>0</v>
      </c>
      <c r="O19338" t="n">
        <v>0</v>
      </c>
      <c r="P19338" t="n">
        <v>0</v>
      </c>
      <c r="Q19338" t="n">
        <v>0</v>
      </c>
      <c r="R19338" s="2" t="inlineStr"/>
    </row>
    <row r="19339" ht="15" customHeight="1">
      <c r="A19339" t="inlineStr">
        <is>
          <t>A 14026-2025</t>
        </is>
      </c>
      <c r="B19339" s="1" t="n">
        <v>45740</v>
      </c>
      <c r="C19339" s="1" t="n">
        <v>45810</v>
      </c>
      <c r="D19339" t="inlineStr">
        <is>
          <t>VÄRMLANDS LÄN</t>
        </is>
      </c>
      <c r="E19339" t="inlineStr">
        <is>
          <t>TORSBY</t>
        </is>
      </c>
      <c r="G19339" t="n">
        <v>5.7</v>
      </c>
      <c r="H19339" t="n">
        <v>0</v>
      </c>
      <c r="I19339" t="n">
        <v>0</v>
      </c>
      <c r="J19339" t="n">
        <v>0</v>
      </c>
      <c r="K19339" t="n">
        <v>0</v>
      </c>
      <c r="L19339" t="n">
        <v>0</v>
      </c>
      <c r="M19339" t="n">
        <v>0</v>
      </c>
      <c r="N19339" t="n">
        <v>0</v>
      </c>
      <c r="O19339" t="n">
        <v>0</v>
      </c>
      <c r="P19339" t="n">
        <v>0</v>
      </c>
      <c r="Q19339" t="n">
        <v>0</v>
      </c>
      <c r="R19339" s="2" t="inlineStr"/>
    </row>
    <row r="19340" ht="15" customHeight="1">
      <c r="A19340" t="inlineStr">
        <is>
          <t>A 14275-2025</t>
        </is>
      </c>
      <c r="B19340" s="1" t="n">
        <v>45740</v>
      </c>
      <c r="C19340" s="1" t="n">
        <v>45810</v>
      </c>
      <c r="D19340" t="inlineStr">
        <is>
          <t>VÄRMLANDS LÄN</t>
        </is>
      </c>
      <c r="E19340" t="inlineStr">
        <is>
          <t>ARVIKA</t>
        </is>
      </c>
      <c r="G19340" t="n">
        <v>3.7</v>
      </c>
      <c r="H19340" t="n">
        <v>0</v>
      </c>
      <c r="I19340" t="n">
        <v>0</v>
      </c>
      <c r="J19340" t="n">
        <v>0</v>
      </c>
      <c r="K19340" t="n">
        <v>0</v>
      </c>
      <c r="L19340" t="n">
        <v>0</v>
      </c>
      <c r="M19340" t="n">
        <v>0</v>
      </c>
      <c r="N19340" t="n">
        <v>0</v>
      </c>
      <c r="O19340" t="n">
        <v>0</v>
      </c>
      <c r="P19340" t="n">
        <v>0</v>
      </c>
      <c r="Q19340" t="n">
        <v>0</v>
      </c>
      <c r="R19340" s="2" t="inlineStr"/>
    </row>
    <row r="19341" ht="15" customHeight="1">
      <c r="A19341" t="inlineStr">
        <is>
          <t>A 14285-2025</t>
        </is>
      </c>
      <c r="B19341" s="1" t="n">
        <v>45740</v>
      </c>
      <c r="C19341" s="1" t="n">
        <v>45810</v>
      </c>
      <c r="D19341" t="inlineStr">
        <is>
          <t>VÄRMLANDS LÄN</t>
        </is>
      </c>
      <c r="E19341" t="inlineStr">
        <is>
          <t>SUNNE</t>
        </is>
      </c>
      <c r="F19341" t="inlineStr">
        <is>
          <t>Bergvik skog väst AB</t>
        </is>
      </c>
      <c r="G19341" t="n">
        <v>13.9</v>
      </c>
      <c r="H19341" t="n">
        <v>0</v>
      </c>
      <c r="I19341" t="n">
        <v>0</v>
      </c>
      <c r="J19341" t="n">
        <v>0</v>
      </c>
      <c r="K19341" t="n">
        <v>0</v>
      </c>
      <c r="L19341" t="n">
        <v>0</v>
      </c>
      <c r="M19341" t="n">
        <v>0</v>
      </c>
      <c r="N19341" t="n">
        <v>0</v>
      </c>
      <c r="O19341" t="n">
        <v>0</v>
      </c>
      <c r="P19341" t="n">
        <v>0</v>
      </c>
      <c r="Q19341" t="n">
        <v>0</v>
      </c>
      <c r="R19341" s="2" t="inlineStr"/>
    </row>
    <row r="19342" ht="15" customHeight="1">
      <c r="A19342" t="inlineStr">
        <is>
          <t>A 14099-2025</t>
        </is>
      </c>
      <c r="B19342" s="1" t="n">
        <v>45740</v>
      </c>
      <c r="C19342" s="1" t="n">
        <v>45810</v>
      </c>
      <c r="D19342" t="inlineStr">
        <is>
          <t>VÄRMLANDS LÄN</t>
        </is>
      </c>
      <c r="E19342" t="inlineStr">
        <is>
          <t>SUNNE</t>
        </is>
      </c>
      <c r="F19342" t="inlineStr">
        <is>
          <t>Bergvik skog väst AB</t>
        </is>
      </c>
      <c r="G19342" t="n">
        <v>1</v>
      </c>
      <c r="H19342" t="n">
        <v>0</v>
      </c>
      <c r="I19342" t="n">
        <v>0</v>
      </c>
      <c r="J19342" t="n">
        <v>0</v>
      </c>
      <c r="K19342" t="n">
        <v>0</v>
      </c>
      <c r="L19342" t="n">
        <v>0</v>
      </c>
      <c r="M19342" t="n">
        <v>0</v>
      </c>
      <c r="N19342" t="n">
        <v>0</v>
      </c>
      <c r="O19342" t="n">
        <v>0</v>
      </c>
      <c r="P19342" t="n">
        <v>0</v>
      </c>
      <c r="Q19342" t="n">
        <v>0</v>
      </c>
      <c r="R19342" s="2" t="inlineStr"/>
    </row>
    <row r="19343" ht="15" customHeight="1">
      <c r="A19343" t="inlineStr">
        <is>
          <t>A 14138-2025</t>
        </is>
      </c>
      <c r="B19343" s="1" t="n">
        <v>45740</v>
      </c>
      <c r="C19343" s="1" t="n">
        <v>45810</v>
      </c>
      <c r="D19343" t="inlineStr">
        <is>
          <t>VÄRMLANDS LÄN</t>
        </is>
      </c>
      <c r="E19343" t="inlineStr">
        <is>
          <t>ÅRJÄNG</t>
        </is>
      </c>
      <c r="G19343" t="n">
        <v>0.8</v>
      </c>
      <c r="H19343" t="n">
        <v>0</v>
      </c>
      <c r="I19343" t="n">
        <v>0</v>
      </c>
      <c r="J19343" t="n">
        <v>0</v>
      </c>
      <c r="K19343" t="n">
        <v>0</v>
      </c>
      <c r="L19343" t="n">
        <v>0</v>
      </c>
      <c r="M19343" t="n">
        <v>0</v>
      </c>
      <c r="N19343" t="n">
        <v>0</v>
      </c>
      <c r="O19343" t="n">
        <v>0</v>
      </c>
      <c r="P19343" t="n">
        <v>0</v>
      </c>
      <c r="Q19343" t="n">
        <v>0</v>
      </c>
      <c r="R19343" s="2" t="inlineStr"/>
    </row>
    <row r="19344" ht="15" customHeight="1">
      <c r="A19344" t="inlineStr">
        <is>
          <t>A 14151-2025</t>
        </is>
      </c>
      <c r="B19344" s="1" t="n">
        <v>45740</v>
      </c>
      <c r="C19344" s="1" t="n">
        <v>45810</v>
      </c>
      <c r="D19344" t="inlineStr">
        <is>
          <t>VÄRMLANDS LÄN</t>
        </is>
      </c>
      <c r="E19344" t="inlineStr">
        <is>
          <t>SÄFFLE</t>
        </is>
      </c>
      <c r="F19344" t="inlineStr">
        <is>
          <t>Bergvik skog väst AB</t>
        </is>
      </c>
      <c r="G19344" t="n">
        <v>3.7</v>
      </c>
      <c r="H19344" t="n">
        <v>0</v>
      </c>
      <c r="I19344" t="n">
        <v>0</v>
      </c>
      <c r="J19344" t="n">
        <v>0</v>
      </c>
      <c r="K19344" t="n">
        <v>0</v>
      </c>
      <c r="L19344" t="n">
        <v>0</v>
      </c>
      <c r="M19344" t="n">
        <v>0</v>
      </c>
      <c r="N19344" t="n">
        <v>0</v>
      </c>
      <c r="O19344" t="n">
        <v>0</v>
      </c>
      <c r="P19344" t="n">
        <v>0</v>
      </c>
      <c r="Q19344" t="n">
        <v>0</v>
      </c>
      <c r="R19344" s="2" t="inlineStr"/>
    </row>
    <row r="19345" ht="15" customHeight="1">
      <c r="A19345" t="inlineStr">
        <is>
          <t>A 14188-2025</t>
        </is>
      </c>
      <c r="B19345" s="1" t="n">
        <v>45740</v>
      </c>
      <c r="C19345" s="1" t="n">
        <v>45810</v>
      </c>
      <c r="D19345" t="inlineStr">
        <is>
          <t>VÄRMLANDS LÄN</t>
        </is>
      </c>
      <c r="E19345" t="inlineStr">
        <is>
          <t>SUNNE</t>
        </is>
      </c>
      <c r="G19345" t="n">
        <v>1.3</v>
      </c>
      <c r="H19345" t="n">
        <v>0</v>
      </c>
      <c r="I19345" t="n">
        <v>0</v>
      </c>
      <c r="J19345" t="n">
        <v>0</v>
      </c>
      <c r="K19345" t="n">
        <v>0</v>
      </c>
      <c r="L19345" t="n">
        <v>0</v>
      </c>
      <c r="M19345" t="n">
        <v>0</v>
      </c>
      <c r="N19345" t="n">
        <v>0</v>
      </c>
      <c r="O19345" t="n">
        <v>0</v>
      </c>
      <c r="P19345" t="n">
        <v>0</v>
      </c>
      <c r="Q19345" t="n">
        <v>0</v>
      </c>
      <c r="R19345" s="2" t="inlineStr"/>
    </row>
    <row r="19346" ht="15" customHeight="1">
      <c r="A19346" t="inlineStr">
        <is>
          <t>A 14232-2025</t>
        </is>
      </c>
      <c r="B19346" s="1" t="n">
        <v>45740</v>
      </c>
      <c r="C19346" s="1" t="n">
        <v>45810</v>
      </c>
      <c r="D19346" t="inlineStr">
        <is>
          <t>VÄRMLANDS LÄN</t>
        </is>
      </c>
      <c r="E19346" t="inlineStr">
        <is>
          <t>SÄFFLE</t>
        </is>
      </c>
      <c r="F19346" t="inlineStr">
        <is>
          <t>Bergvik skog väst AB</t>
        </is>
      </c>
      <c r="G19346" t="n">
        <v>6.1</v>
      </c>
      <c r="H19346" t="n">
        <v>0</v>
      </c>
      <c r="I19346" t="n">
        <v>0</v>
      </c>
      <c r="J19346" t="n">
        <v>0</v>
      </c>
      <c r="K19346" t="n">
        <v>0</v>
      </c>
      <c r="L19346" t="n">
        <v>0</v>
      </c>
      <c r="M19346" t="n">
        <v>0</v>
      </c>
      <c r="N19346" t="n">
        <v>0</v>
      </c>
      <c r="O19346" t="n">
        <v>0</v>
      </c>
      <c r="P19346" t="n">
        <v>0</v>
      </c>
      <c r="Q19346" t="n">
        <v>0</v>
      </c>
      <c r="R19346" s="2" t="inlineStr"/>
    </row>
    <row r="19347" ht="15" customHeight="1">
      <c r="A19347" t="inlineStr">
        <is>
          <t>A 14197-2025</t>
        </is>
      </c>
      <c r="B19347" s="1" t="n">
        <v>45740</v>
      </c>
      <c r="C19347" s="1" t="n">
        <v>45810</v>
      </c>
      <c r="D19347" t="inlineStr">
        <is>
          <t>VÄRMLANDS LÄN</t>
        </is>
      </c>
      <c r="E19347" t="inlineStr">
        <is>
          <t>SÄFFLE</t>
        </is>
      </c>
      <c r="F19347" t="inlineStr">
        <is>
          <t>Bergvik skog väst AB</t>
        </is>
      </c>
      <c r="G19347" t="n">
        <v>1.3</v>
      </c>
      <c r="H19347" t="n">
        <v>0</v>
      </c>
      <c r="I19347" t="n">
        <v>0</v>
      </c>
      <c r="J19347" t="n">
        <v>0</v>
      </c>
      <c r="K19347" t="n">
        <v>0</v>
      </c>
      <c r="L19347" t="n">
        <v>0</v>
      </c>
      <c r="M19347" t="n">
        <v>0</v>
      </c>
      <c r="N19347" t="n">
        <v>0</v>
      </c>
      <c r="O19347" t="n">
        <v>0</v>
      </c>
      <c r="P19347" t="n">
        <v>0</v>
      </c>
      <c r="Q19347" t="n">
        <v>0</v>
      </c>
      <c r="R19347" s="2" t="inlineStr"/>
    </row>
    <row r="19348" ht="15" customHeight="1">
      <c r="A19348" t="inlineStr">
        <is>
          <t>A 14061-2025</t>
        </is>
      </c>
      <c r="B19348" s="1" t="n">
        <v>45740</v>
      </c>
      <c r="C19348" s="1" t="n">
        <v>45810</v>
      </c>
      <c r="D19348" t="inlineStr">
        <is>
          <t>VÄRMLANDS LÄN</t>
        </is>
      </c>
      <c r="E19348" t="inlineStr">
        <is>
          <t>SUNNE</t>
        </is>
      </c>
      <c r="G19348" t="n">
        <v>1.2</v>
      </c>
      <c r="H19348" t="n">
        <v>0</v>
      </c>
      <c r="I19348" t="n">
        <v>0</v>
      </c>
      <c r="J19348" t="n">
        <v>0</v>
      </c>
      <c r="K19348" t="n">
        <v>0</v>
      </c>
      <c r="L19348" t="n">
        <v>0</v>
      </c>
      <c r="M19348" t="n">
        <v>0</v>
      </c>
      <c r="N19348" t="n">
        <v>0</v>
      </c>
      <c r="O19348" t="n">
        <v>0</v>
      </c>
      <c r="P19348" t="n">
        <v>0</v>
      </c>
      <c r="Q19348" t="n">
        <v>0</v>
      </c>
      <c r="R19348" s="2" t="inlineStr"/>
    </row>
    <row r="19349" ht="15" customHeight="1">
      <c r="A19349" t="inlineStr">
        <is>
          <t>A 14123-2025</t>
        </is>
      </c>
      <c r="B19349" s="1" t="n">
        <v>45740</v>
      </c>
      <c r="C19349" s="1" t="n">
        <v>45810</v>
      </c>
      <c r="D19349" t="inlineStr">
        <is>
          <t>VÄRMLANDS LÄN</t>
        </is>
      </c>
      <c r="E19349" t="inlineStr">
        <is>
          <t>ARVIKA</t>
        </is>
      </c>
      <c r="G19349" t="n">
        <v>4.3</v>
      </c>
      <c r="H19349" t="n">
        <v>0</v>
      </c>
      <c r="I19349" t="n">
        <v>0</v>
      </c>
      <c r="J19349" t="n">
        <v>0</v>
      </c>
      <c r="K19349" t="n">
        <v>0</v>
      </c>
      <c r="L19349" t="n">
        <v>0</v>
      </c>
      <c r="M19349" t="n">
        <v>0</v>
      </c>
      <c r="N19349" t="n">
        <v>0</v>
      </c>
      <c r="O19349" t="n">
        <v>0</v>
      </c>
      <c r="P19349" t="n">
        <v>0</v>
      </c>
      <c r="Q19349" t="n">
        <v>0</v>
      </c>
      <c r="R19349" s="2" t="inlineStr"/>
    </row>
    <row r="19350" ht="15" customHeight="1">
      <c r="A19350" t="inlineStr">
        <is>
          <t>A 14084-2025</t>
        </is>
      </c>
      <c r="B19350" s="1" t="n">
        <v>45740</v>
      </c>
      <c r="C19350" s="1" t="n">
        <v>45810</v>
      </c>
      <c r="D19350" t="inlineStr">
        <is>
          <t>VÄRMLANDS LÄN</t>
        </is>
      </c>
      <c r="E19350" t="inlineStr">
        <is>
          <t>TORSBY</t>
        </is>
      </c>
      <c r="F19350" t="inlineStr">
        <is>
          <t>Bergvik skog väst AB</t>
        </is>
      </c>
      <c r="G19350" t="n">
        <v>12.2</v>
      </c>
      <c r="H19350" t="n">
        <v>0</v>
      </c>
      <c r="I19350" t="n">
        <v>0</v>
      </c>
      <c r="J19350" t="n">
        <v>0</v>
      </c>
      <c r="K19350" t="n">
        <v>0</v>
      </c>
      <c r="L19350" t="n">
        <v>0</v>
      </c>
      <c r="M19350" t="n">
        <v>0</v>
      </c>
      <c r="N19350" t="n">
        <v>0</v>
      </c>
      <c r="O19350" t="n">
        <v>0</v>
      </c>
      <c r="P19350" t="n">
        <v>0</v>
      </c>
      <c r="Q19350" t="n">
        <v>0</v>
      </c>
      <c r="R19350" s="2" t="inlineStr"/>
    </row>
    <row r="19351" ht="15" customHeight="1">
      <c r="A19351" t="inlineStr">
        <is>
          <t>A 14023-2025</t>
        </is>
      </c>
      <c r="B19351" s="1" t="n">
        <v>45740</v>
      </c>
      <c r="C19351" s="1" t="n">
        <v>45810</v>
      </c>
      <c r="D19351" t="inlineStr">
        <is>
          <t>VÄRMLANDS LÄN</t>
        </is>
      </c>
      <c r="E19351" t="inlineStr">
        <is>
          <t>TORSBY</t>
        </is>
      </c>
      <c r="G19351" t="n">
        <v>2.4</v>
      </c>
      <c r="H19351" t="n">
        <v>0</v>
      </c>
      <c r="I19351" t="n">
        <v>0</v>
      </c>
      <c r="J19351" t="n">
        <v>0</v>
      </c>
      <c r="K19351" t="n">
        <v>0</v>
      </c>
      <c r="L19351" t="n">
        <v>0</v>
      </c>
      <c r="M19351" t="n">
        <v>0</v>
      </c>
      <c r="N19351" t="n">
        <v>0</v>
      </c>
      <c r="O19351" t="n">
        <v>0</v>
      </c>
      <c r="P19351" t="n">
        <v>0</v>
      </c>
      <c r="Q19351" t="n">
        <v>0</v>
      </c>
      <c r="R19351" s="2" t="inlineStr"/>
    </row>
    <row r="19352" ht="15" customHeight="1">
      <c r="A19352" t="inlineStr">
        <is>
          <t>A 14047-2025</t>
        </is>
      </c>
      <c r="B19352" s="1" t="n">
        <v>45740</v>
      </c>
      <c r="C19352" s="1" t="n">
        <v>45810</v>
      </c>
      <c r="D19352" t="inlineStr">
        <is>
          <t>VÄRMLANDS LÄN</t>
        </is>
      </c>
      <c r="E19352" t="inlineStr">
        <is>
          <t>TORSBY</t>
        </is>
      </c>
      <c r="F19352" t="inlineStr">
        <is>
          <t>Bergvik skog väst AB</t>
        </is>
      </c>
      <c r="G19352" t="n">
        <v>3.5</v>
      </c>
      <c r="H19352" t="n">
        <v>0</v>
      </c>
      <c r="I19352" t="n">
        <v>0</v>
      </c>
      <c r="J19352" t="n">
        <v>0</v>
      </c>
      <c r="K19352" t="n">
        <v>0</v>
      </c>
      <c r="L19352" t="n">
        <v>0</v>
      </c>
      <c r="M19352" t="n">
        <v>0</v>
      </c>
      <c r="N19352" t="n">
        <v>0</v>
      </c>
      <c r="O19352" t="n">
        <v>0</v>
      </c>
      <c r="P19352" t="n">
        <v>0</v>
      </c>
      <c r="Q19352" t="n">
        <v>0</v>
      </c>
      <c r="R19352" s="2" t="inlineStr"/>
    </row>
    <row r="19353" ht="15" customHeight="1">
      <c r="A19353" t="inlineStr">
        <is>
          <t>A 14062-2025</t>
        </is>
      </c>
      <c r="B19353" s="1" t="n">
        <v>45740</v>
      </c>
      <c r="C19353" s="1" t="n">
        <v>45810</v>
      </c>
      <c r="D19353" t="inlineStr">
        <is>
          <t>VÄRMLANDS LÄN</t>
        </is>
      </c>
      <c r="E19353" t="inlineStr">
        <is>
          <t>TORSBY</t>
        </is>
      </c>
      <c r="F19353" t="inlineStr">
        <is>
          <t>Bergvik skog väst AB</t>
        </is>
      </c>
      <c r="G19353" t="n">
        <v>41.1</v>
      </c>
      <c r="H19353" t="n">
        <v>0</v>
      </c>
      <c r="I19353" t="n">
        <v>0</v>
      </c>
      <c r="J19353" t="n">
        <v>0</v>
      </c>
      <c r="K19353" t="n">
        <v>0</v>
      </c>
      <c r="L19353" t="n">
        <v>0</v>
      </c>
      <c r="M19353" t="n">
        <v>0</v>
      </c>
      <c r="N19353" t="n">
        <v>0</v>
      </c>
      <c r="O19353" t="n">
        <v>0</v>
      </c>
      <c r="P19353" t="n">
        <v>0</v>
      </c>
      <c r="Q19353" t="n">
        <v>0</v>
      </c>
      <c r="R19353" s="2" t="inlineStr"/>
    </row>
    <row r="19354" ht="15" customHeight="1">
      <c r="A19354" t="inlineStr">
        <is>
          <t>A 14078-2025</t>
        </is>
      </c>
      <c r="B19354" s="1" t="n">
        <v>45740</v>
      </c>
      <c r="C19354" s="1" t="n">
        <v>45810</v>
      </c>
      <c r="D19354" t="inlineStr">
        <is>
          <t>VÄRMLANDS LÄN</t>
        </is>
      </c>
      <c r="E19354" t="inlineStr">
        <is>
          <t>SUNNE</t>
        </is>
      </c>
      <c r="G19354" t="n">
        <v>4.2</v>
      </c>
      <c r="H19354" t="n">
        <v>0</v>
      </c>
      <c r="I19354" t="n">
        <v>0</v>
      </c>
      <c r="J19354" t="n">
        <v>0</v>
      </c>
      <c r="K19354" t="n">
        <v>0</v>
      </c>
      <c r="L19354" t="n">
        <v>0</v>
      </c>
      <c r="M19354" t="n">
        <v>0</v>
      </c>
      <c r="N19354" t="n">
        <v>0</v>
      </c>
      <c r="O19354" t="n">
        <v>0</v>
      </c>
      <c r="P19354" t="n">
        <v>0</v>
      </c>
      <c r="Q19354" t="n">
        <v>0</v>
      </c>
      <c r="R19354" s="2" t="inlineStr"/>
    </row>
    <row r="19355" ht="15" customHeight="1">
      <c r="A19355" t="inlineStr">
        <is>
          <t>A 14146-2025</t>
        </is>
      </c>
      <c r="B19355" s="1" t="n">
        <v>45740</v>
      </c>
      <c r="C19355" s="1" t="n">
        <v>45810</v>
      </c>
      <c r="D19355" t="inlineStr">
        <is>
          <t>VÄRMLANDS LÄN</t>
        </is>
      </c>
      <c r="E19355" t="inlineStr">
        <is>
          <t>SÄFFLE</t>
        </is>
      </c>
      <c r="F19355" t="inlineStr">
        <is>
          <t>Bergvik skog väst AB</t>
        </is>
      </c>
      <c r="G19355" t="n">
        <v>8.6</v>
      </c>
      <c r="H19355" t="n">
        <v>0</v>
      </c>
      <c r="I19355" t="n">
        <v>0</v>
      </c>
      <c r="J19355" t="n">
        <v>0</v>
      </c>
      <c r="K19355" t="n">
        <v>0</v>
      </c>
      <c r="L19355" t="n">
        <v>0</v>
      </c>
      <c r="M19355" t="n">
        <v>0</v>
      </c>
      <c r="N19355" t="n">
        <v>0</v>
      </c>
      <c r="O19355" t="n">
        <v>0</v>
      </c>
      <c r="P19355" t="n">
        <v>0</v>
      </c>
      <c r="Q19355" t="n">
        <v>0</v>
      </c>
      <c r="R19355" s="2" t="inlineStr"/>
    </row>
    <row r="19356" ht="15" customHeight="1">
      <c r="A19356" t="inlineStr">
        <is>
          <t>A 14162-2025</t>
        </is>
      </c>
      <c r="B19356" s="1" t="n">
        <v>45740</v>
      </c>
      <c r="C19356" s="1" t="n">
        <v>45810</v>
      </c>
      <c r="D19356" t="inlineStr">
        <is>
          <t>VÄRMLANDS LÄN</t>
        </is>
      </c>
      <c r="E19356" t="inlineStr">
        <is>
          <t>TORSBY</t>
        </is>
      </c>
      <c r="G19356" t="n">
        <v>2</v>
      </c>
      <c r="H19356" t="n">
        <v>0</v>
      </c>
      <c r="I19356" t="n">
        <v>0</v>
      </c>
      <c r="J19356" t="n">
        <v>0</v>
      </c>
      <c r="K19356" t="n">
        <v>0</v>
      </c>
      <c r="L19356" t="n">
        <v>0</v>
      </c>
      <c r="M19356" t="n">
        <v>0</v>
      </c>
      <c r="N19356" t="n">
        <v>0</v>
      </c>
      <c r="O19356" t="n">
        <v>0</v>
      </c>
      <c r="P19356" t="n">
        <v>0</v>
      </c>
      <c r="Q19356" t="n">
        <v>0</v>
      </c>
      <c r="R19356" s="2" t="inlineStr"/>
    </row>
    <row r="19357" ht="15" customHeight="1">
      <c r="A19357" t="inlineStr">
        <is>
          <t>A 14201-2025</t>
        </is>
      </c>
      <c r="B19357" s="1" t="n">
        <v>45740</v>
      </c>
      <c r="C19357" s="1" t="n">
        <v>45810</v>
      </c>
      <c r="D19357" t="inlineStr">
        <is>
          <t>VÄRMLANDS LÄN</t>
        </is>
      </c>
      <c r="E19357" t="inlineStr">
        <is>
          <t>SÄFFLE</t>
        </is>
      </c>
      <c r="F19357" t="inlineStr">
        <is>
          <t>Bergvik skog väst AB</t>
        </is>
      </c>
      <c r="G19357" t="n">
        <v>1.5</v>
      </c>
      <c r="H19357" t="n">
        <v>0</v>
      </c>
      <c r="I19357" t="n">
        <v>0</v>
      </c>
      <c r="J19357" t="n">
        <v>0</v>
      </c>
      <c r="K19357" t="n">
        <v>0</v>
      </c>
      <c r="L19357" t="n">
        <v>0</v>
      </c>
      <c r="M19357" t="n">
        <v>0</v>
      </c>
      <c r="N19357" t="n">
        <v>0</v>
      </c>
      <c r="O19357" t="n">
        <v>0</v>
      </c>
      <c r="P19357" t="n">
        <v>0</v>
      </c>
      <c r="Q19357" t="n">
        <v>0</v>
      </c>
      <c r="R19357" s="2" t="inlineStr"/>
    </row>
    <row r="19358" ht="15" customHeight="1">
      <c r="A19358" t="inlineStr">
        <is>
          <t>A 14060-2025</t>
        </is>
      </c>
      <c r="B19358" s="1" t="n">
        <v>45740</v>
      </c>
      <c r="C19358" s="1" t="n">
        <v>45810</v>
      </c>
      <c r="D19358" t="inlineStr">
        <is>
          <t>VÄRMLANDS LÄN</t>
        </is>
      </c>
      <c r="E19358" t="inlineStr">
        <is>
          <t>SUNNE</t>
        </is>
      </c>
      <c r="G19358" t="n">
        <v>3.3</v>
      </c>
      <c r="H19358" t="n">
        <v>0</v>
      </c>
      <c r="I19358" t="n">
        <v>0</v>
      </c>
      <c r="J19358" t="n">
        <v>0</v>
      </c>
      <c r="K19358" t="n">
        <v>0</v>
      </c>
      <c r="L19358" t="n">
        <v>0</v>
      </c>
      <c r="M19358" t="n">
        <v>0</v>
      </c>
      <c r="N19358" t="n">
        <v>0</v>
      </c>
      <c r="O19358" t="n">
        <v>0</v>
      </c>
      <c r="P19358" t="n">
        <v>0</v>
      </c>
      <c r="Q19358" t="n">
        <v>0</v>
      </c>
      <c r="R19358" s="2" t="inlineStr"/>
    </row>
    <row r="19359" ht="15" customHeight="1">
      <c r="A19359" t="inlineStr">
        <is>
          <t>A 14200-2025</t>
        </is>
      </c>
      <c r="B19359" s="1" t="n">
        <v>45740</v>
      </c>
      <c r="C19359" s="1" t="n">
        <v>45810</v>
      </c>
      <c r="D19359" t="inlineStr">
        <is>
          <t>VÄRMLANDS LÄN</t>
        </is>
      </c>
      <c r="E19359" t="inlineStr">
        <is>
          <t>SÄFFLE</t>
        </is>
      </c>
      <c r="F19359" t="inlineStr">
        <is>
          <t>Bergvik skog väst AB</t>
        </is>
      </c>
      <c r="G19359" t="n">
        <v>1.8</v>
      </c>
      <c r="H19359" t="n">
        <v>0</v>
      </c>
      <c r="I19359" t="n">
        <v>0</v>
      </c>
      <c r="J19359" t="n">
        <v>0</v>
      </c>
      <c r="K19359" t="n">
        <v>0</v>
      </c>
      <c r="L19359" t="n">
        <v>0</v>
      </c>
      <c r="M19359" t="n">
        <v>0</v>
      </c>
      <c r="N19359" t="n">
        <v>0</v>
      </c>
      <c r="O19359" t="n">
        <v>0</v>
      </c>
      <c r="P19359" t="n">
        <v>0</v>
      </c>
      <c r="Q19359" t="n">
        <v>0</v>
      </c>
      <c r="R19359" s="2" t="inlineStr"/>
    </row>
    <row r="19360" ht="15" customHeight="1">
      <c r="A19360" t="inlineStr">
        <is>
          <t>A 14328-2025</t>
        </is>
      </c>
      <c r="B19360" s="1" t="n">
        <v>45740</v>
      </c>
      <c r="C19360" s="1" t="n">
        <v>45810</v>
      </c>
      <c r="D19360" t="inlineStr">
        <is>
          <t>VÄRMLANDS LÄN</t>
        </is>
      </c>
      <c r="E19360" t="inlineStr">
        <is>
          <t>FILIPSTAD</t>
        </is>
      </c>
      <c r="G19360" t="n">
        <v>4.3</v>
      </c>
      <c r="H19360" t="n">
        <v>0</v>
      </c>
      <c r="I19360" t="n">
        <v>0</v>
      </c>
      <c r="J19360" t="n">
        <v>0</v>
      </c>
      <c r="K19360" t="n">
        <v>0</v>
      </c>
      <c r="L19360" t="n">
        <v>0</v>
      </c>
      <c r="M19360" t="n">
        <v>0</v>
      </c>
      <c r="N19360" t="n">
        <v>0</v>
      </c>
      <c r="O19360" t="n">
        <v>0</v>
      </c>
      <c r="P19360" t="n">
        <v>0</v>
      </c>
      <c r="Q19360" t="n">
        <v>0</v>
      </c>
      <c r="R19360" s="2" t="inlineStr"/>
    </row>
    <row r="19361" ht="15" customHeight="1">
      <c r="A19361" t="inlineStr">
        <is>
          <t>A 14149-2025</t>
        </is>
      </c>
      <c r="B19361" s="1" t="n">
        <v>45740</v>
      </c>
      <c r="C19361" s="1" t="n">
        <v>45810</v>
      </c>
      <c r="D19361" t="inlineStr">
        <is>
          <t>VÄRMLANDS LÄN</t>
        </is>
      </c>
      <c r="E19361" t="inlineStr">
        <is>
          <t>SÄFFLE</t>
        </is>
      </c>
      <c r="F19361" t="inlineStr">
        <is>
          <t>Bergvik skog väst AB</t>
        </is>
      </c>
      <c r="G19361" t="n">
        <v>0.5</v>
      </c>
      <c r="H19361" t="n">
        <v>0</v>
      </c>
      <c r="I19361" t="n">
        <v>0</v>
      </c>
      <c r="J19361" t="n">
        <v>0</v>
      </c>
      <c r="K19361" t="n">
        <v>0</v>
      </c>
      <c r="L19361" t="n">
        <v>0</v>
      </c>
      <c r="M19361" t="n">
        <v>0</v>
      </c>
      <c r="N19361" t="n">
        <v>0</v>
      </c>
      <c r="O19361" t="n">
        <v>0</v>
      </c>
      <c r="P19361" t="n">
        <v>0</v>
      </c>
      <c r="Q19361" t="n">
        <v>0</v>
      </c>
      <c r="R19361" s="2" t="inlineStr"/>
    </row>
    <row r="19362" ht="15" customHeight="1">
      <c r="A19362" t="inlineStr">
        <is>
          <t>A 14120-2025</t>
        </is>
      </c>
      <c r="B19362" s="1" t="n">
        <v>45740</v>
      </c>
      <c r="C19362" s="1" t="n">
        <v>45810</v>
      </c>
      <c r="D19362" t="inlineStr">
        <is>
          <t>VÄRMLANDS LÄN</t>
        </is>
      </c>
      <c r="E19362" t="inlineStr">
        <is>
          <t>TORSBY</t>
        </is>
      </c>
      <c r="G19362" t="n">
        <v>3.3</v>
      </c>
      <c r="H19362" t="n">
        <v>0</v>
      </c>
      <c r="I19362" t="n">
        <v>0</v>
      </c>
      <c r="J19362" t="n">
        <v>0</v>
      </c>
      <c r="K19362" t="n">
        <v>0</v>
      </c>
      <c r="L19362" t="n">
        <v>0</v>
      </c>
      <c r="M19362" t="n">
        <v>0</v>
      </c>
      <c r="N19362" t="n">
        <v>0</v>
      </c>
      <c r="O19362" t="n">
        <v>0</v>
      </c>
      <c r="P19362" t="n">
        <v>0</v>
      </c>
      <c r="Q19362" t="n">
        <v>0</v>
      </c>
      <c r="R19362" s="2" t="inlineStr"/>
    </row>
    <row r="19363" ht="15" customHeight="1">
      <c r="A19363" t="inlineStr">
        <is>
          <t>A 14135-2025</t>
        </is>
      </c>
      <c r="B19363" s="1" t="n">
        <v>45740</v>
      </c>
      <c r="C19363" s="1" t="n">
        <v>45810</v>
      </c>
      <c r="D19363" t="inlineStr">
        <is>
          <t>VÄRMLANDS LÄN</t>
        </is>
      </c>
      <c r="E19363" t="inlineStr">
        <is>
          <t>ARVIKA</t>
        </is>
      </c>
      <c r="G19363" t="n">
        <v>2.2</v>
      </c>
      <c r="H19363" t="n">
        <v>0</v>
      </c>
      <c r="I19363" t="n">
        <v>0</v>
      </c>
      <c r="J19363" t="n">
        <v>0</v>
      </c>
      <c r="K19363" t="n">
        <v>0</v>
      </c>
      <c r="L19363" t="n">
        <v>0</v>
      </c>
      <c r="M19363" t="n">
        <v>0</v>
      </c>
      <c r="N19363" t="n">
        <v>0</v>
      </c>
      <c r="O19363" t="n">
        <v>0</v>
      </c>
      <c r="P19363" t="n">
        <v>0</v>
      </c>
      <c r="Q19363" t="n">
        <v>0</v>
      </c>
      <c r="R19363" s="2" t="inlineStr"/>
    </row>
    <row r="19364" ht="15" customHeight="1">
      <c r="A19364" t="inlineStr">
        <is>
          <t>A 14301-2025</t>
        </is>
      </c>
      <c r="B19364" s="1" t="n">
        <v>45740</v>
      </c>
      <c r="C19364" s="1" t="n">
        <v>45810</v>
      </c>
      <c r="D19364" t="inlineStr">
        <is>
          <t>VÄRMLANDS LÄN</t>
        </is>
      </c>
      <c r="E19364" t="inlineStr">
        <is>
          <t>TORSBY</t>
        </is>
      </c>
      <c r="G19364" t="n">
        <v>7.9</v>
      </c>
      <c r="H19364" t="n">
        <v>0</v>
      </c>
      <c r="I19364" t="n">
        <v>0</v>
      </c>
      <c r="J19364" t="n">
        <v>0</v>
      </c>
      <c r="K19364" t="n">
        <v>0</v>
      </c>
      <c r="L19364" t="n">
        <v>0</v>
      </c>
      <c r="M19364" t="n">
        <v>0</v>
      </c>
      <c r="N19364" t="n">
        <v>0</v>
      </c>
      <c r="O19364" t="n">
        <v>0</v>
      </c>
      <c r="P19364" t="n">
        <v>0</v>
      </c>
      <c r="Q19364" t="n">
        <v>0</v>
      </c>
      <c r="R19364" s="2" t="inlineStr"/>
    </row>
    <row r="19365" ht="15" customHeight="1">
      <c r="A19365" t="inlineStr">
        <is>
          <t>A 14358-2025</t>
        </is>
      </c>
      <c r="B19365" s="1" t="n">
        <v>45741</v>
      </c>
      <c r="C19365" s="1" t="n">
        <v>45810</v>
      </c>
      <c r="D19365" t="inlineStr">
        <is>
          <t>VÄRMLANDS LÄN</t>
        </is>
      </c>
      <c r="E19365" t="inlineStr">
        <is>
          <t>SUNNE</t>
        </is>
      </c>
      <c r="G19365" t="n">
        <v>0.8</v>
      </c>
      <c r="H19365" t="n">
        <v>0</v>
      </c>
      <c r="I19365" t="n">
        <v>0</v>
      </c>
      <c r="J19365" t="n">
        <v>0</v>
      </c>
      <c r="K19365" t="n">
        <v>0</v>
      </c>
      <c r="L19365" t="n">
        <v>0</v>
      </c>
      <c r="M19365" t="n">
        <v>0</v>
      </c>
      <c r="N19365" t="n">
        <v>0</v>
      </c>
      <c r="O19365" t="n">
        <v>0</v>
      </c>
      <c r="P19365" t="n">
        <v>0</v>
      </c>
      <c r="Q19365" t="n">
        <v>0</v>
      </c>
      <c r="R19365" s="2" t="inlineStr"/>
    </row>
    <row r="19366" ht="15" customHeight="1">
      <c r="A19366" t="inlineStr">
        <is>
          <t>A 14360-2025</t>
        </is>
      </c>
      <c r="B19366" s="1" t="n">
        <v>45741</v>
      </c>
      <c r="C19366" s="1" t="n">
        <v>45810</v>
      </c>
      <c r="D19366" t="inlineStr">
        <is>
          <t>VÄRMLANDS LÄN</t>
        </is>
      </c>
      <c r="E19366" t="inlineStr">
        <is>
          <t>SUNNE</t>
        </is>
      </c>
      <c r="G19366" t="n">
        <v>0.5</v>
      </c>
      <c r="H19366" t="n">
        <v>0</v>
      </c>
      <c r="I19366" t="n">
        <v>0</v>
      </c>
      <c r="J19366" t="n">
        <v>0</v>
      </c>
      <c r="K19366" t="n">
        <v>0</v>
      </c>
      <c r="L19366" t="n">
        <v>0</v>
      </c>
      <c r="M19366" t="n">
        <v>0</v>
      </c>
      <c r="N19366" t="n">
        <v>0</v>
      </c>
      <c r="O19366" t="n">
        <v>0</v>
      </c>
      <c r="P19366" t="n">
        <v>0</v>
      </c>
      <c r="Q19366" t="n">
        <v>0</v>
      </c>
      <c r="R19366" s="2" t="inlineStr"/>
    </row>
    <row r="19367" ht="15" customHeight="1">
      <c r="A19367" t="inlineStr">
        <is>
          <t>A 14370-2025</t>
        </is>
      </c>
      <c r="B19367" s="1" t="n">
        <v>45741</v>
      </c>
      <c r="C19367" s="1" t="n">
        <v>45810</v>
      </c>
      <c r="D19367" t="inlineStr">
        <is>
          <t>VÄRMLANDS LÄN</t>
        </is>
      </c>
      <c r="E19367" t="inlineStr">
        <is>
          <t>HAGFORS</t>
        </is>
      </c>
      <c r="F19367" t="inlineStr">
        <is>
          <t>Bergvik skog väst AB</t>
        </is>
      </c>
      <c r="G19367" t="n">
        <v>10.9</v>
      </c>
      <c r="H19367" t="n">
        <v>0</v>
      </c>
      <c r="I19367" t="n">
        <v>0</v>
      </c>
      <c r="J19367" t="n">
        <v>0</v>
      </c>
      <c r="K19367" t="n">
        <v>0</v>
      </c>
      <c r="L19367" t="n">
        <v>0</v>
      </c>
      <c r="M19367" t="n">
        <v>0</v>
      </c>
      <c r="N19367" t="n">
        <v>0</v>
      </c>
      <c r="O19367" t="n">
        <v>0</v>
      </c>
      <c r="P19367" t="n">
        <v>0</v>
      </c>
      <c r="Q19367" t="n">
        <v>0</v>
      </c>
      <c r="R19367" s="2" t="inlineStr"/>
    </row>
    <row r="19368" ht="15" customHeight="1">
      <c r="A19368" t="inlineStr">
        <is>
          <t>A 14413-2025</t>
        </is>
      </c>
      <c r="B19368" s="1" t="n">
        <v>45741</v>
      </c>
      <c r="C19368" s="1" t="n">
        <v>45810</v>
      </c>
      <c r="D19368" t="inlineStr">
        <is>
          <t>VÄRMLANDS LÄN</t>
        </is>
      </c>
      <c r="E19368" t="inlineStr">
        <is>
          <t>TORSBY</t>
        </is>
      </c>
      <c r="G19368" t="n">
        <v>4.1</v>
      </c>
      <c r="H19368" t="n">
        <v>0</v>
      </c>
      <c r="I19368" t="n">
        <v>0</v>
      </c>
      <c r="J19368" t="n">
        <v>0</v>
      </c>
      <c r="K19368" t="n">
        <v>0</v>
      </c>
      <c r="L19368" t="n">
        <v>0</v>
      </c>
      <c r="M19368" t="n">
        <v>0</v>
      </c>
      <c r="N19368" t="n">
        <v>0</v>
      </c>
      <c r="O19368" t="n">
        <v>0</v>
      </c>
      <c r="P19368" t="n">
        <v>0</v>
      </c>
      <c r="Q19368" t="n">
        <v>0</v>
      </c>
      <c r="R19368" s="2" t="inlineStr"/>
    </row>
    <row r="19369" ht="15" customHeight="1">
      <c r="A19369" t="inlineStr">
        <is>
          <t>A 14502-2025</t>
        </is>
      </c>
      <c r="B19369" s="1" t="n">
        <v>45741</v>
      </c>
      <c r="C19369" s="1" t="n">
        <v>45810</v>
      </c>
      <c r="D19369" t="inlineStr">
        <is>
          <t>VÄRMLANDS LÄN</t>
        </is>
      </c>
      <c r="E19369" t="inlineStr">
        <is>
          <t>FILIPSTAD</t>
        </is>
      </c>
      <c r="F19369" t="inlineStr">
        <is>
          <t>Bergvik skog väst AB</t>
        </is>
      </c>
      <c r="G19369" t="n">
        <v>5.5</v>
      </c>
      <c r="H19369" t="n">
        <v>0</v>
      </c>
      <c r="I19369" t="n">
        <v>0</v>
      </c>
      <c r="J19369" t="n">
        <v>0</v>
      </c>
      <c r="K19369" t="n">
        <v>0</v>
      </c>
      <c r="L19369" t="n">
        <v>0</v>
      </c>
      <c r="M19369" t="n">
        <v>0</v>
      </c>
      <c r="N19369" t="n">
        <v>0</v>
      </c>
      <c r="O19369" t="n">
        <v>0</v>
      </c>
      <c r="P19369" t="n">
        <v>0</v>
      </c>
      <c r="Q19369" t="n">
        <v>0</v>
      </c>
      <c r="R19369" s="2" t="inlineStr"/>
    </row>
    <row r="19370" ht="15" customHeight="1">
      <c r="A19370" t="inlineStr">
        <is>
          <t>A 14436-2025</t>
        </is>
      </c>
      <c r="B19370" s="1" t="n">
        <v>45741</v>
      </c>
      <c r="C19370" s="1" t="n">
        <v>45810</v>
      </c>
      <c r="D19370" t="inlineStr">
        <is>
          <t>VÄRMLANDS LÄN</t>
        </is>
      </c>
      <c r="E19370" t="inlineStr">
        <is>
          <t>HAGFORS</t>
        </is>
      </c>
      <c r="F19370" t="inlineStr">
        <is>
          <t>Bergvik skog väst AB</t>
        </is>
      </c>
      <c r="G19370" t="n">
        <v>3.9</v>
      </c>
      <c r="H19370" t="n">
        <v>0</v>
      </c>
      <c r="I19370" t="n">
        <v>0</v>
      </c>
      <c r="J19370" t="n">
        <v>0</v>
      </c>
      <c r="K19370" t="n">
        <v>0</v>
      </c>
      <c r="L19370" t="n">
        <v>0</v>
      </c>
      <c r="M19370" t="n">
        <v>0</v>
      </c>
      <c r="N19370" t="n">
        <v>0</v>
      </c>
      <c r="O19370" t="n">
        <v>0</v>
      </c>
      <c r="P19370" t="n">
        <v>0</v>
      </c>
      <c r="Q19370" t="n">
        <v>0</v>
      </c>
      <c r="R19370" s="2" t="inlineStr"/>
    </row>
    <row r="19371" ht="15" customHeight="1">
      <c r="A19371" t="inlineStr">
        <is>
          <t>A 14444-2025</t>
        </is>
      </c>
      <c r="B19371" s="1" t="n">
        <v>45741</v>
      </c>
      <c r="C19371" s="1" t="n">
        <v>45810</v>
      </c>
      <c r="D19371" t="inlineStr">
        <is>
          <t>VÄRMLANDS LÄN</t>
        </is>
      </c>
      <c r="E19371" t="inlineStr">
        <is>
          <t>SUNNE</t>
        </is>
      </c>
      <c r="G19371" t="n">
        <v>0.8</v>
      </c>
      <c r="H19371" t="n">
        <v>0</v>
      </c>
      <c r="I19371" t="n">
        <v>0</v>
      </c>
      <c r="J19371" t="n">
        <v>0</v>
      </c>
      <c r="K19371" t="n">
        <v>0</v>
      </c>
      <c r="L19371" t="n">
        <v>0</v>
      </c>
      <c r="M19371" t="n">
        <v>0</v>
      </c>
      <c r="N19371" t="n">
        <v>0</v>
      </c>
      <c r="O19371" t="n">
        <v>0</v>
      </c>
      <c r="P19371" t="n">
        <v>0</v>
      </c>
      <c r="Q19371" t="n">
        <v>0</v>
      </c>
      <c r="R19371" s="2" t="inlineStr"/>
    </row>
    <row r="19372" ht="15" customHeight="1">
      <c r="A19372" t="inlineStr">
        <is>
          <t>A 14571-2025</t>
        </is>
      </c>
      <c r="B19372" s="1" t="n">
        <v>45741</v>
      </c>
      <c r="C19372" s="1" t="n">
        <v>45810</v>
      </c>
      <c r="D19372" t="inlineStr">
        <is>
          <t>VÄRMLANDS LÄN</t>
        </is>
      </c>
      <c r="E19372" t="inlineStr">
        <is>
          <t>SUNNE</t>
        </is>
      </c>
      <c r="G19372" t="n">
        <v>6.7</v>
      </c>
      <c r="H19372" t="n">
        <v>0</v>
      </c>
      <c r="I19372" t="n">
        <v>0</v>
      </c>
      <c r="J19372" t="n">
        <v>0</v>
      </c>
      <c r="K19372" t="n">
        <v>0</v>
      </c>
      <c r="L19372" t="n">
        <v>0</v>
      </c>
      <c r="M19372" t="n">
        <v>0</v>
      </c>
      <c r="N19372" t="n">
        <v>0</v>
      </c>
      <c r="O19372" t="n">
        <v>0</v>
      </c>
      <c r="P19372" t="n">
        <v>0</v>
      </c>
      <c r="Q19372" t="n">
        <v>0</v>
      </c>
      <c r="R19372" s="2" t="inlineStr"/>
    </row>
    <row r="19373" ht="15" customHeight="1">
      <c r="A19373" t="inlineStr">
        <is>
          <t>A 14364-2025</t>
        </is>
      </c>
      <c r="B19373" s="1" t="n">
        <v>45741</v>
      </c>
      <c r="C19373" s="1" t="n">
        <v>45810</v>
      </c>
      <c r="D19373" t="inlineStr">
        <is>
          <t>VÄRMLANDS LÄN</t>
        </is>
      </c>
      <c r="E19373" t="inlineStr">
        <is>
          <t>SUNNE</t>
        </is>
      </c>
      <c r="G19373" t="n">
        <v>1.5</v>
      </c>
      <c r="H19373" t="n">
        <v>0</v>
      </c>
      <c r="I19373" t="n">
        <v>0</v>
      </c>
      <c r="J19373" t="n">
        <v>0</v>
      </c>
      <c r="K19373" t="n">
        <v>0</v>
      </c>
      <c r="L19373" t="n">
        <v>0</v>
      </c>
      <c r="M19373" t="n">
        <v>0</v>
      </c>
      <c r="N19373" t="n">
        <v>0</v>
      </c>
      <c r="O19373" t="n">
        <v>0</v>
      </c>
      <c r="P19373" t="n">
        <v>0</v>
      </c>
      <c r="Q19373" t="n">
        <v>0</v>
      </c>
      <c r="R19373" s="2" t="inlineStr"/>
    </row>
    <row r="19374" ht="15" customHeight="1">
      <c r="A19374" t="inlineStr">
        <is>
          <t>A 14367-2025</t>
        </is>
      </c>
      <c r="B19374" s="1" t="n">
        <v>45741</v>
      </c>
      <c r="C19374" s="1" t="n">
        <v>45810</v>
      </c>
      <c r="D19374" t="inlineStr">
        <is>
          <t>VÄRMLANDS LÄN</t>
        </is>
      </c>
      <c r="E19374" t="inlineStr">
        <is>
          <t>TORSBY</t>
        </is>
      </c>
      <c r="G19374" t="n">
        <v>5.4</v>
      </c>
      <c r="H19374" t="n">
        <v>0</v>
      </c>
      <c r="I19374" t="n">
        <v>0</v>
      </c>
      <c r="J19374" t="n">
        <v>0</v>
      </c>
      <c r="K19374" t="n">
        <v>0</v>
      </c>
      <c r="L19374" t="n">
        <v>0</v>
      </c>
      <c r="M19374" t="n">
        <v>0</v>
      </c>
      <c r="N19374" t="n">
        <v>0</v>
      </c>
      <c r="O19374" t="n">
        <v>0</v>
      </c>
      <c r="P19374" t="n">
        <v>0</v>
      </c>
      <c r="Q19374" t="n">
        <v>0</v>
      </c>
      <c r="R19374" s="2" t="inlineStr"/>
    </row>
    <row r="19375" ht="15" customHeight="1">
      <c r="A19375" t="inlineStr">
        <is>
          <t>A 14435-2025</t>
        </is>
      </c>
      <c r="B19375" s="1" t="n">
        <v>45741</v>
      </c>
      <c r="C19375" s="1" t="n">
        <v>45810</v>
      </c>
      <c r="D19375" t="inlineStr">
        <is>
          <t>VÄRMLANDS LÄN</t>
        </is>
      </c>
      <c r="E19375" t="inlineStr">
        <is>
          <t>HAGFORS</t>
        </is>
      </c>
      <c r="F19375" t="inlineStr">
        <is>
          <t>Bergvik skog väst AB</t>
        </is>
      </c>
      <c r="G19375" t="n">
        <v>1.6</v>
      </c>
      <c r="H19375" t="n">
        <v>0</v>
      </c>
      <c r="I19375" t="n">
        <v>0</v>
      </c>
      <c r="J19375" t="n">
        <v>0</v>
      </c>
      <c r="K19375" t="n">
        <v>0</v>
      </c>
      <c r="L19375" t="n">
        <v>0</v>
      </c>
      <c r="M19375" t="n">
        <v>0</v>
      </c>
      <c r="N19375" t="n">
        <v>0</v>
      </c>
      <c r="O19375" t="n">
        <v>0</v>
      </c>
      <c r="P19375" t="n">
        <v>0</v>
      </c>
      <c r="Q19375" t="n">
        <v>0</v>
      </c>
      <c r="R19375" s="2" t="inlineStr"/>
    </row>
    <row r="19376" ht="15" customHeight="1">
      <c r="A19376" t="inlineStr">
        <is>
          <t>A 14453-2025</t>
        </is>
      </c>
      <c r="B19376" s="1" t="n">
        <v>45741</v>
      </c>
      <c r="C19376" s="1" t="n">
        <v>45810</v>
      </c>
      <c r="D19376" t="inlineStr">
        <is>
          <t>VÄRMLANDS LÄN</t>
        </is>
      </c>
      <c r="E19376" t="inlineStr">
        <is>
          <t>FILIPSTAD</t>
        </is>
      </c>
      <c r="F19376" t="inlineStr">
        <is>
          <t>Bergvik skog väst AB</t>
        </is>
      </c>
      <c r="G19376" t="n">
        <v>4.1</v>
      </c>
      <c r="H19376" t="n">
        <v>0</v>
      </c>
      <c r="I19376" t="n">
        <v>0</v>
      </c>
      <c r="J19376" t="n">
        <v>0</v>
      </c>
      <c r="K19376" t="n">
        <v>0</v>
      </c>
      <c r="L19376" t="n">
        <v>0</v>
      </c>
      <c r="M19376" t="n">
        <v>0</v>
      </c>
      <c r="N19376" t="n">
        <v>0</v>
      </c>
      <c r="O19376" t="n">
        <v>0</v>
      </c>
      <c r="P19376" t="n">
        <v>0</v>
      </c>
      <c r="Q19376" t="n">
        <v>0</v>
      </c>
      <c r="R19376" s="2" t="inlineStr"/>
    </row>
    <row r="19377" ht="15" customHeight="1">
      <c r="A19377" t="inlineStr">
        <is>
          <t>A 14456-2025</t>
        </is>
      </c>
      <c r="B19377" s="1" t="n">
        <v>45741</v>
      </c>
      <c r="C19377" s="1" t="n">
        <v>45810</v>
      </c>
      <c r="D19377" t="inlineStr">
        <is>
          <t>VÄRMLANDS LÄN</t>
        </is>
      </c>
      <c r="E19377" t="inlineStr">
        <is>
          <t>FILIPSTAD</t>
        </is>
      </c>
      <c r="F19377" t="inlineStr">
        <is>
          <t>Bergvik skog väst AB</t>
        </is>
      </c>
      <c r="G19377" t="n">
        <v>1.5</v>
      </c>
      <c r="H19377" t="n">
        <v>0</v>
      </c>
      <c r="I19377" t="n">
        <v>0</v>
      </c>
      <c r="J19377" t="n">
        <v>0</v>
      </c>
      <c r="K19377" t="n">
        <v>0</v>
      </c>
      <c r="L19377" t="n">
        <v>0</v>
      </c>
      <c r="M19377" t="n">
        <v>0</v>
      </c>
      <c r="N19377" t="n">
        <v>0</v>
      </c>
      <c r="O19377" t="n">
        <v>0</v>
      </c>
      <c r="P19377" t="n">
        <v>0</v>
      </c>
      <c r="Q19377" t="n">
        <v>0</v>
      </c>
      <c r="R19377" s="2" t="inlineStr"/>
    </row>
    <row r="19378" ht="15" customHeight="1">
      <c r="A19378" t="inlineStr">
        <is>
          <t>A 14506-2025</t>
        </is>
      </c>
      <c r="B19378" s="1" t="n">
        <v>45741</v>
      </c>
      <c r="C19378" s="1" t="n">
        <v>45810</v>
      </c>
      <c r="D19378" t="inlineStr">
        <is>
          <t>VÄRMLANDS LÄN</t>
        </is>
      </c>
      <c r="E19378" t="inlineStr">
        <is>
          <t>SUNNE</t>
        </is>
      </c>
      <c r="F19378" t="inlineStr">
        <is>
          <t>Bergvik skog väst AB</t>
        </is>
      </c>
      <c r="G19378" t="n">
        <v>1.9</v>
      </c>
      <c r="H19378" t="n">
        <v>0</v>
      </c>
      <c r="I19378" t="n">
        <v>0</v>
      </c>
      <c r="J19378" t="n">
        <v>0</v>
      </c>
      <c r="K19378" t="n">
        <v>0</v>
      </c>
      <c r="L19378" t="n">
        <v>0</v>
      </c>
      <c r="M19378" t="n">
        <v>0</v>
      </c>
      <c r="N19378" t="n">
        <v>0</v>
      </c>
      <c r="O19378" t="n">
        <v>0</v>
      </c>
      <c r="P19378" t="n">
        <v>0</v>
      </c>
      <c r="Q19378" t="n">
        <v>0</v>
      </c>
      <c r="R19378" s="2" t="inlineStr"/>
    </row>
    <row r="19379" ht="15" customHeight="1">
      <c r="A19379" t="inlineStr">
        <is>
          <t>A 14419-2025</t>
        </is>
      </c>
      <c r="B19379" s="1" t="n">
        <v>45741</v>
      </c>
      <c r="C19379" s="1" t="n">
        <v>45810</v>
      </c>
      <c r="D19379" t="inlineStr">
        <is>
          <t>VÄRMLANDS LÄN</t>
        </is>
      </c>
      <c r="E19379" t="inlineStr">
        <is>
          <t>TORSBY</t>
        </is>
      </c>
      <c r="G19379" t="n">
        <v>1.6</v>
      </c>
      <c r="H19379" t="n">
        <v>0</v>
      </c>
      <c r="I19379" t="n">
        <v>0</v>
      </c>
      <c r="J19379" t="n">
        <v>0</v>
      </c>
      <c r="K19379" t="n">
        <v>0</v>
      </c>
      <c r="L19379" t="n">
        <v>0</v>
      </c>
      <c r="M19379" t="n">
        <v>0</v>
      </c>
      <c r="N19379" t="n">
        <v>0</v>
      </c>
      <c r="O19379" t="n">
        <v>0</v>
      </c>
      <c r="P19379" t="n">
        <v>0</v>
      </c>
      <c r="Q19379" t="n">
        <v>0</v>
      </c>
      <c r="R19379" s="2" t="inlineStr"/>
    </row>
    <row r="19380" ht="15" customHeight="1">
      <c r="A19380" t="inlineStr">
        <is>
          <t>A 14466-2025</t>
        </is>
      </c>
      <c r="B19380" s="1" t="n">
        <v>45741</v>
      </c>
      <c r="C19380" s="1" t="n">
        <v>45810</v>
      </c>
      <c r="D19380" t="inlineStr">
        <is>
          <t>VÄRMLANDS LÄN</t>
        </is>
      </c>
      <c r="E19380" t="inlineStr">
        <is>
          <t>ÅRJÄNG</t>
        </is>
      </c>
      <c r="G19380" t="n">
        <v>12.2</v>
      </c>
      <c r="H19380" t="n">
        <v>0</v>
      </c>
      <c r="I19380" t="n">
        <v>0</v>
      </c>
      <c r="J19380" t="n">
        <v>0</v>
      </c>
      <c r="K19380" t="n">
        <v>0</v>
      </c>
      <c r="L19380" t="n">
        <v>0</v>
      </c>
      <c r="M19380" t="n">
        <v>0</v>
      </c>
      <c r="N19380" t="n">
        <v>0</v>
      </c>
      <c r="O19380" t="n">
        <v>0</v>
      </c>
      <c r="P19380" t="n">
        <v>0</v>
      </c>
      <c r="Q19380" t="n">
        <v>0</v>
      </c>
      <c r="R19380" s="2" t="inlineStr"/>
    </row>
    <row r="19381" ht="15" customHeight="1">
      <c r="A19381" t="inlineStr">
        <is>
          <t>A 14446-2025</t>
        </is>
      </c>
      <c r="B19381" s="1" t="n">
        <v>45741</v>
      </c>
      <c r="C19381" s="1" t="n">
        <v>45810</v>
      </c>
      <c r="D19381" t="inlineStr">
        <is>
          <t>VÄRMLANDS LÄN</t>
        </is>
      </c>
      <c r="E19381" t="inlineStr">
        <is>
          <t>ÅRJÄNG</t>
        </is>
      </c>
      <c r="G19381" t="n">
        <v>4.3</v>
      </c>
      <c r="H19381" t="n">
        <v>0</v>
      </c>
      <c r="I19381" t="n">
        <v>0</v>
      </c>
      <c r="J19381" t="n">
        <v>0</v>
      </c>
      <c r="K19381" t="n">
        <v>0</v>
      </c>
      <c r="L19381" t="n">
        <v>0</v>
      </c>
      <c r="M19381" t="n">
        <v>0</v>
      </c>
      <c r="N19381" t="n">
        <v>0</v>
      </c>
      <c r="O19381" t="n">
        <v>0</v>
      </c>
      <c r="P19381" t="n">
        <v>0</v>
      </c>
      <c r="Q19381" t="n">
        <v>0</v>
      </c>
      <c r="R19381" s="2" t="inlineStr"/>
    </row>
    <row r="19382" ht="15" customHeight="1">
      <c r="A19382" t="inlineStr">
        <is>
          <t>A 14464-2025</t>
        </is>
      </c>
      <c r="B19382" s="1" t="n">
        <v>45741</v>
      </c>
      <c r="C19382" s="1" t="n">
        <v>45810</v>
      </c>
      <c r="D19382" t="inlineStr">
        <is>
          <t>VÄRMLANDS LÄN</t>
        </is>
      </c>
      <c r="E19382" t="inlineStr">
        <is>
          <t>HAGFORS</t>
        </is>
      </c>
      <c r="F19382" t="inlineStr">
        <is>
          <t>Bergvik skog väst AB</t>
        </is>
      </c>
      <c r="G19382" t="n">
        <v>3.2</v>
      </c>
      <c r="H19382" t="n">
        <v>0</v>
      </c>
      <c r="I19382" t="n">
        <v>0</v>
      </c>
      <c r="J19382" t="n">
        <v>0</v>
      </c>
      <c r="K19382" t="n">
        <v>0</v>
      </c>
      <c r="L19382" t="n">
        <v>0</v>
      </c>
      <c r="M19382" t="n">
        <v>0</v>
      </c>
      <c r="N19382" t="n">
        <v>0</v>
      </c>
      <c r="O19382" t="n">
        <v>0</v>
      </c>
      <c r="P19382" t="n">
        <v>0</v>
      </c>
      <c r="Q19382" t="n">
        <v>0</v>
      </c>
      <c r="R19382" s="2" t="inlineStr"/>
    </row>
    <row r="19383" ht="15" customHeight="1">
      <c r="A19383" t="inlineStr">
        <is>
          <t>A 14484-2025</t>
        </is>
      </c>
      <c r="B19383" s="1" t="n">
        <v>45741</v>
      </c>
      <c r="C19383" s="1" t="n">
        <v>45810</v>
      </c>
      <c r="D19383" t="inlineStr">
        <is>
          <t>VÄRMLANDS LÄN</t>
        </is>
      </c>
      <c r="E19383" t="inlineStr">
        <is>
          <t>KARLSTAD</t>
        </is>
      </c>
      <c r="F19383" t="inlineStr">
        <is>
          <t>Bergvik skog väst AB</t>
        </is>
      </c>
      <c r="G19383" t="n">
        <v>3.2</v>
      </c>
      <c r="H19383" t="n">
        <v>0</v>
      </c>
      <c r="I19383" t="n">
        <v>0</v>
      </c>
      <c r="J19383" t="n">
        <v>0</v>
      </c>
      <c r="K19383" t="n">
        <v>0</v>
      </c>
      <c r="L19383" t="n">
        <v>0</v>
      </c>
      <c r="M19383" t="n">
        <v>0</v>
      </c>
      <c r="N19383" t="n">
        <v>0</v>
      </c>
      <c r="O19383" t="n">
        <v>0</v>
      </c>
      <c r="P19383" t="n">
        <v>0</v>
      </c>
      <c r="Q19383" t="n">
        <v>0</v>
      </c>
      <c r="R19383" s="2" t="inlineStr"/>
    </row>
    <row r="19384" ht="15" customHeight="1">
      <c r="A19384" t="inlineStr">
        <is>
          <t>A 14499-2025</t>
        </is>
      </c>
      <c r="B19384" s="1" t="n">
        <v>45741</v>
      </c>
      <c r="C19384" s="1" t="n">
        <v>45810</v>
      </c>
      <c r="D19384" t="inlineStr">
        <is>
          <t>VÄRMLANDS LÄN</t>
        </is>
      </c>
      <c r="E19384" t="inlineStr">
        <is>
          <t>SUNNE</t>
        </is>
      </c>
      <c r="F19384" t="inlineStr">
        <is>
          <t>Bergvik skog väst AB</t>
        </is>
      </c>
      <c r="G19384" t="n">
        <v>2</v>
      </c>
      <c r="H19384" t="n">
        <v>0</v>
      </c>
      <c r="I19384" t="n">
        <v>0</v>
      </c>
      <c r="J19384" t="n">
        <v>0</v>
      </c>
      <c r="K19384" t="n">
        <v>0</v>
      </c>
      <c r="L19384" t="n">
        <v>0</v>
      </c>
      <c r="M19384" t="n">
        <v>0</v>
      </c>
      <c r="N19384" t="n">
        <v>0</v>
      </c>
      <c r="O19384" t="n">
        <v>0</v>
      </c>
      <c r="P19384" t="n">
        <v>0</v>
      </c>
      <c r="Q19384" t="n">
        <v>0</v>
      </c>
      <c r="R19384" s="2" t="inlineStr"/>
    </row>
    <row r="19385" ht="15" customHeight="1">
      <c r="A19385" t="inlineStr">
        <is>
          <t>A 14478-2025</t>
        </is>
      </c>
      <c r="B19385" s="1" t="n">
        <v>45741</v>
      </c>
      <c r="C19385" s="1" t="n">
        <v>45810</v>
      </c>
      <c r="D19385" t="inlineStr">
        <is>
          <t>VÄRMLANDS LÄN</t>
        </is>
      </c>
      <c r="E19385" t="inlineStr">
        <is>
          <t>ARVIKA</t>
        </is>
      </c>
      <c r="G19385" t="n">
        <v>0.5</v>
      </c>
      <c r="H19385" t="n">
        <v>0</v>
      </c>
      <c r="I19385" t="n">
        <v>0</v>
      </c>
      <c r="J19385" t="n">
        <v>0</v>
      </c>
      <c r="K19385" t="n">
        <v>0</v>
      </c>
      <c r="L19385" t="n">
        <v>0</v>
      </c>
      <c r="M19385" t="n">
        <v>0</v>
      </c>
      <c r="N19385" t="n">
        <v>0</v>
      </c>
      <c r="O19385" t="n">
        <v>0</v>
      </c>
      <c r="P19385" t="n">
        <v>0</v>
      </c>
      <c r="Q19385" t="n">
        <v>0</v>
      </c>
      <c r="R19385" s="2" t="inlineStr"/>
    </row>
    <row r="19386" ht="15" customHeight="1">
      <c r="A19386" t="inlineStr">
        <is>
          <t>A 14399-2025</t>
        </is>
      </c>
      <c r="B19386" s="1" t="n">
        <v>45741</v>
      </c>
      <c r="C19386" s="1" t="n">
        <v>45810</v>
      </c>
      <c r="D19386" t="inlineStr">
        <is>
          <t>VÄRMLANDS LÄN</t>
        </is>
      </c>
      <c r="E19386" t="inlineStr">
        <is>
          <t>HAGFORS</t>
        </is>
      </c>
      <c r="F19386" t="inlineStr">
        <is>
          <t>Bergvik skog väst AB</t>
        </is>
      </c>
      <c r="G19386" t="n">
        <v>2.2</v>
      </c>
      <c r="H19386" t="n">
        <v>0</v>
      </c>
      <c r="I19386" t="n">
        <v>0</v>
      </c>
      <c r="J19386" t="n">
        <v>0</v>
      </c>
      <c r="K19386" t="n">
        <v>0</v>
      </c>
      <c r="L19386" t="n">
        <v>0</v>
      </c>
      <c r="M19386" t="n">
        <v>0</v>
      </c>
      <c r="N19386" t="n">
        <v>0</v>
      </c>
      <c r="O19386" t="n">
        <v>0</v>
      </c>
      <c r="P19386" t="n">
        <v>0</v>
      </c>
      <c r="Q19386" t="n">
        <v>0</v>
      </c>
      <c r="R19386" s="2" t="inlineStr"/>
    </row>
    <row r="19387" ht="15" customHeight="1">
      <c r="A19387" t="inlineStr">
        <is>
          <t>A 14480-2025</t>
        </is>
      </c>
      <c r="B19387" s="1" t="n">
        <v>45741</v>
      </c>
      <c r="C19387" s="1" t="n">
        <v>45810</v>
      </c>
      <c r="D19387" t="inlineStr">
        <is>
          <t>VÄRMLANDS LÄN</t>
        </is>
      </c>
      <c r="E19387" t="inlineStr">
        <is>
          <t>STORFORS</t>
        </is>
      </c>
      <c r="G19387" t="n">
        <v>10.9</v>
      </c>
      <c r="H19387" t="n">
        <v>0</v>
      </c>
      <c r="I19387" t="n">
        <v>0</v>
      </c>
      <c r="J19387" t="n">
        <v>0</v>
      </c>
      <c r="K19387" t="n">
        <v>0</v>
      </c>
      <c r="L19387" t="n">
        <v>0</v>
      </c>
      <c r="M19387" t="n">
        <v>0</v>
      </c>
      <c r="N19387" t="n">
        <v>0</v>
      </c>
      <c r="O19387" t="n">
        <v>0</v>
      </c>
      <c r="P19387" t="n">
        <v>0</v>
      </c>
      <c r="Q19387" t="n">
        <v>0</v>
      </c>
      <c r="R19387" s="2" t="inlineStr"/>
    </row>
    <row r="19388" ht="15" customHeight="1">
      <c r="A19388" t="inlineStr">
        <is>
          <t>A 14525-2025</t>
        </is>
      </c>
      <c r="B19388" s="1" t="n">
        <v>45741</v>
      </c>
      <c r="C19388" s="1" t="n">
        <v>45810</v>
      </c>
      <c r="D19388" t="inlineStr">
        <is>
          <t>VÄRMLANDS LÄN</t>
        </is>
      </c>
      <c r="E19388" t="inlineStr">
        <is>
          <t>TORSBY</t>
        </is>
      </c>
      <c r="F19388" t="inlineStr">
        <is>
          <t>Bergvik skog väst AB</t>
        </is>
      </c>
      <c r="G19388" t="n">
        <v>4.9</v>
      </c>
      <c r="H19388" t="n">
        <v>0</v>
      </c>
      <c r="I19388" t="n">
        <v>0</v>
      </c>
      <c r="J19388" t="n">
        <v>0</v>
      </c>
      <c r="K19388" t="n">
        <v>0</v>
      </c>
      <c r="L19388" t="n">
        <v>0</v>
      </c>
      <c r="M19388" t="n">
        <v>0</v>
      </c>
      <c r="N19388" t="n">
        <v>0</v>
      </c>
      <c r="O19388" t="n">
        <v>0</v>
      </c>
      <c r="P19388" t="n">
        <v>0</v>
      </c>
      <c r="Q19388" t="n">
        <v>0</v>
      </c>
      <c r="R19388" s="2" t="inlineStr"/>
    </row>
    <row r="19389" ht="15" customHeight="1">
      <c r="A19389" t="inlineStr">
        <is>
          <t>A 14369-2025</t>
        </is>
      </c>
      <c r="B19389" s="1" t="n">
        <v>45741</v>
      </c>
      <c r="C19389" s="1" t="n">
        <v>45810</v>
      </c>
      <c r="D19389" t="inlineStr">
        <is>
          <t>VÄRMLANDS LÄN</t>
        </is>
      </c>
      <c r="E19389" t="inlineStr">
        <is>
          <t>TORSBY</t>
        </is>
      </c>
      <c r="G19389" t="n">
        <v>2.5</v>
      </c>
      <c r="H19389" t="n">
        <v>0</v>
      </c>
      <c r="I19389" t="n">
        <v>0</v>
      </c>
      <c r="J19389" t="n">
        <v>0</v>
      </c>
      <c r="K19389" t="n">
        <v>0</v>
      </c>
      <c r="L19389" t="n">
        <v>0</v>
      </c>
      <c r="M19389" t="n">
        <v>0</v>
      </c>
      <c r="N19389" t="n">
        <v>0</v>
      </c>
      <c r="O19389" t="n">
        <v>0</v>
      </c>
      <c r="P19389" t="n">
        <v>0</v>
      </c>
      <c r="Q19389" t="n">
        <v>0</v>
      </c>
      <c r="R19389" s="2" t="inlineStr"/>
    </row>
    <row r="19390" ht="15" customHeight="1">
      <c r="A19390" t="inlineStr">
        <is>
          <t>A 14434-2025</t>
        </is>
      </c>
      <c r="B19390" s="1" t="n">
        <v>45741</v>
      </c>
      <c r="C19390" s="1" t="n">
        <v>45810</v>
      </c>
      <c r="D19390" t="inlineStr">
        <is>
          <t>VÄRMLANDS LÄN</t>
        </is>
      </c>
      <c r="E19390" t="inlineStr">
        <is>
          <t>ÅRJÄNG</t>
        </is>
      </c>
      <c r="F19390" t="inlineStr">
        <is>
          <t>Övriga Aktiebolag</t>
        </is>
      </c>
      <c r="G19390" t="n">
        <v>2.3</v>
      </c>
      <c r="H19390" t="n">
        <v>0</v>
      </c>
      <c r="I19390" t="n">
        <v>0</v>
      </c>
      <c r="J19390" t="n">
        <v>0</v>
      </c>
      <c r="K19390" t="n">
        <v>0</v>
      </c>
      <c r="L19390" t="n">
        <v>0</v>
      </c>
      <c r="M19390" t="n">
        <v>0</v>
      </c>
      <c r="N19390" t="n">
        <v>0</v>
      </c>
      <c r="O19390" t="n">
        <v>0</v>
      </c>
      <c r="P19390" t="n">
        <v>0</v>
      </c>
      <c r="Q19390" t="n">
        <v>0</v>
      </c>
      <c r="R19390" s="2" t="inlineStr"/>
    </row>
    <row r="19391" ht="15" customHeight="1">
      <c r="A19391" t="inlineStr">
        <is>
          <t>A 14483-2025</t>
        </is>
      </c>
      <c r="B19391" s="1" t="n">
        <v>45741</v>
      </c>
      <c r="C19391" s="1" t="n">
        <v>45810</v>
      </c>
      <c r="D19391" t="inlineStr">
        <is>
          <t>VÄRMLANDS LÄN</t>
        </is>
      </c>
      <c r="E19391" t="inlineStr">
        <is>
          <t>ARVIKA</t>
        </is>
      </c>
      <c r="G19391" t="n">
        <v>1.6</v>
      </c>
      <c r="H19391" t="n">
        <v>0</v>
      </c>
      <c r="I19391" t="n">
        <v>0</v>
      </c>
      <c r="J19391" t="n">
        <v>0</v>
      </c>
      <c r="K19391" t="n">
        <v>0</v>
      </c>
      <c r="L19391" t="n">
        <v>0</v>
      </c>
      <c r="M19391" t="n">
        <v>0</v>
      </c>
      <c r="N19391" t="n">
        <v>0</v>
      </c>
      <c r="O19391" t="n">
        <v>0</v>
      </c>
      <c r="P19391" t="n">
        <v>0</v>
      </c>
      <c r="Q19391" t="n">
        <v>0</v>
      </c>
      <c r="R19391" s="2" t="inlineStr"/>
    </row>
    <row r="19392" ht="15" customHeight="1">
      <c r="A19392" t="inlineStr">
        <is>
          <t>A 14432-2025</t>
        </is>
      </c>
      <c r="B19392" s="1" t="n">
        <v>45741</v>
      </c>
      <c r="C19392" s="1" t="n">
        <v>45810</v>
      </c>
      <c r="D19392" t="inlineStr">
        <is>
          <t>VÄRMLANDS LÄN</t>
        </is>
      </c>
      <c r="E19392" t="inlineStr">
        <is>
          <t>FILIPSTAD</t>
        </is>
      </c>
      <c r="F19392" t="inlineStr">
        <is>
          <t>Bergvik skog väst AB</t>
        </is>
      </c>
      <c r="G19392" t="n">
        <v>10.4</v>
      </c>
      <c r="H19392" t="n">
        <v>0</v>
      </c>
      <c r="I19392" t="n">
        <v>0</v>
      </c>
      <c r="J19392" t="n">
        <v>0</v>
      </c>
      <c r="K19392" t="n">
        <v>0</v>
      </c>
      <c r="L19392" t="n">
        <v>0</v>
      </c>
      <c r="M19392" t="n">
        <v>0</v>
      </c>
      <c r="N19392" t="n">
        <v>0</v>
      </c>
      <c r="O19392" t="n">
        <v>0</v>
      </c>
      <c r="P19392" t="n">
        <v>0</v>
      </c>
      <c r="Q19392" t="n">
        <v>0</v>
      </c>
      <c r="R19392" s="2" t="inlineStr"/>
    </row>
    <row r="19393" ht="15" customHeight="1">
      <c r="A19393" t="inlineStr">
        <is>
          <t>A 14488-2025</t>
        </is>
      </c>
      <c r="B19393" s="1" t="n">
        <v>45741</v>
      </c>
      <c r="C19393" s="1" t="n">
        <v>45810</v>
      </c>
      <c r="D19393" t="inlineStr">
        <is>
          <t>VÄRMLANDS LÄN</t>
        </is>
      </c>
      <c r="E19393" t="inlineStr">
        <is>
          <t>ARVIKA</t>
        </is>
      </c>
      <c r="G19393" t="n">
        <v>1.1</v>
      </c>
      <c r="H19393" t="n">
        <v>0</v>
      </c>
      <c r="I19393" t="n">
        <v>0</v>
      </c>
      <c r="J19393" t="n">
        <v>0</v>
      </c>
      <c r="K19393" t="n">
        <v>0</v>
      </c>
      <c r="L19393" t="n">
        <v>0</v>
      </c>
      <c r="M19393" t="n">
        <v>0</v>
      </c>
      <c r="N19393" t="n">
        <v>0</v>
      </c>
      <c r="O19393" t="n">
        <v>0</v>
      </c>
      <c r="P19393" t="n">
        <v>0</v>
      </c>
      <c r="Q19393" t="n">
        <v>0</v>
      </c>
      <c r="R19393" s="2" t="inlineStr"/>
    </row>
    <row r="19394" ht="15" customHeight="1">
      <c r="A19394" t="inlineStr">
        <is>
          <t>A 14507-2025</t>
        </is>
      </c>
      <c r="B19394" s="1" t="n">
        <v>45741</v>
      </c>
      <c r="C19394" s="1" t="n">
        <v>45810</v>
      </c>
      <c r="D19394" t="inlineStr">
        <is>
          <t>VÄRMLANDS LÄN</t>
        </is>
      </c>
      <c r="E19394" t="inlineStr">
        <is>
          <t>KIL</t>
        </is>
      </c>
      <c r="G19394" t="n">
        <v>4.9</v>
      </c>
      <c r="H19394" t="n">
        <v>0</v>
      </c>
      <c r="I19394" t="n">
        <v>0</v>
      </c>
      <c r="J19394" t="n">
        <v>0</v>
      </c>
      <c r="K19394" t="n">
        <v>0</v>
      </c>
      <c r="L19394" t="n">
        <v>0</v>
      </c>
      <c r="M19394" t="n">
        <v>0</v>
      </c>
      <c r="N19394" t="n">
        <v>0</v>
      </c>
      <c r="O19394" t="n">
        <v>0</v>
      </c>
      <c r="P19394" t="n">
        <v>0</v>
      </c>
      <c r="Q19394" t="n">
        <v>0</v>
      </c>
      <c r="R19394" s="2" t="inlineStr"/>
    </row>
    <row r="19395" ht="15" customHeight="1">
      <c r="A19395" t="inlineStr">
        <is>
          <t>A 14569-2025</t>
        </is>
      </c>
      <c r="B19395" s="1" t="n">
        <v>45741</v>
      </c>
      <c r="C19395" s="1" t="n">
        <v>45810</v>
      </c>
      <c r="D19395" t="inlineStr">
        <is>
          <t>VÄRMLANDS LÄN</t>
        </is>
      </c>
      <c r="E19395" t="inlineStr">
        <is>
          <t>MUNKFORS</t>
        </is>
      </c>
      <c r="G19395" t="n">
        <v>7.6</v>
      </c>
      <c r="H19395" t="n">
        <v>0</v>
      </c>
      <c r="I19395" t="n">
        <v>0</v>
      </c>
      <c r="J19395" t="n">
        <v>0</v>
      </c>
      <c r="K19395" t="n">
        <v>0</v>
      </c>
      <c r="L19395" t="n">
        <v>0</v>
      </c>
      <c r="M19395" t="n">
        <v>0</v>
      </c>
      <c r="N19395" t="n">
        <v>0</v>
      </c>
      <c r="O19395" t="n">
        <v>0</v>
      </c>
      <c r="P19395" t="n">
        <v>0</v>
      </c>
      <c r="Q19395" t="n">
        <v>0</v>
      </c>
      <c r="R19395" s="2" t="inlineStr"/>
    </row>
    <row r="19396" ht="15" customHeight="1">
      <c r="A19396" t="inlineStr">
        <is>
          <t>A 14687-2025</t>
        </is>
      </c>
      <c r="B19396" s="1" t="n">
        <v>45742</v>
      </c>
      <c r="C19396" s="1" t="n">
        <v>45810</v>
      </c>
      <c r="D19396" t="inlineStr">
        <is>
          <t>VÄRMLANDS LÄN</t>
        </is>
      </c>
      <c r="E19396" t="inlineStr">
        <is>
          <t>EDA</t>
        </is>
      </c>
      <c r="G19396" t="n">
        <v>1.3</v>
      </c>
      <c r="H19396" t="n">
        <v>0</v>
      </c>
      <c r="I19396" t="n">
        <v>0</v>
      </c>
      <c r="J19396" t="n">
        <v>0</v>
      </c>
      <c r="K19396" t="n">
        <v>0</v>
      </c>
      <c r="L19396" t="n">
        <v>0</v>
      </c>
      <c r="M19396" t="n">
        <v>0</v>
      </c>
      <c r="N19396" t="n">
        <v>0</v>
      </c>
      <c r="O19396" t="n">
        <v>0</v>
      </c>
      <c r="P19396" t="n">
        <v>0</v>
      </c>
      <c r="Q19396" t="n">
        <v>0</v>
      </c>
      <c r="R19396" s="2" t="inlineStr"/>
    </row>
    <row r="19397" ht="15" customHeight="1">
      <c r="A19397" t="inlineStr">
        <is>
          <t>A 14739-2025</t>
        </is>
      </c>
      <c r="B19397" s="1" t="n">
        <v>45742</v>
      </c>
      <c r="C19397" s="1" t="n">
        <v>45810</v>
      </c>
      <c r="D19397" t="inlineStr">
        <is>
          <t>VÄRMLANDS LÄN</t>
        </is>
      </c>
      <c r="E19397" t="inlineStr">
        <is>
          <t>KIL</t>
        </is>
      </c>
      <c r="G19397" t="n">
        <v>8.300000000000001</v>
      </c>
      <c r="H19397" t="n">
        <v>0</v>
      </c>
      <c r="I19397" t="n">
        <v>0</v>
      </c>
      <c r="J19397" t="n">
        <v>0</v>
      </c>
      <c r="K19397" t="n">
        <v>0</v>
      </c>
      <c r="L19397" t="n">
        <v>0</v>
      </c>
      <c r="M19397" t="n">
        <v>0</v>
      </c>
      <c r="N19397" t="n">
        <v>0</v>
      </c>
      <c r="O19397" t="n">
        <v>0</v>
      </c>
      <c r="P19397" t="n">
        <v>0</v>
      </c>
      <c r="Q19397" t="n">
        <v>0</v>
      </c>
      <c r="R19397" s="2" t="inlineStr"/>
    </row>
    <row r="19398" ht="15" customHeight="1">
      <c r="A19398" t="inlineStr">
        <is>
          <t>A 14616-2025</t>
        </is>
      </c>
      <c r="B19398" s="1" t="n">
        <v>45742</v>
      </c>
      <c r="C19398" s="1" t="n">
        <v>45810</v>
      </c>
      <c r="D19398" t="inlineStr">
        <is>
          <t>VÄRMLANDS LÄN</t>
        </is>
      </c>
      <c r="E19398" t="inlineStr">
        <is>
          <t>ARVIKA</t>
        </is>
      </c>
      <c r="G19398" t="n">
        <v>5.8</v>
      </c>
      <c r="H19398" t="n">
        <v>0</v>
      </c>
      <c r="I19398" t="n">
        <v>0</v>
      </c>
      <c r="J19398" t="n">
        <v>0</v>
      </c>
      <c r="K19398" t="n">
        <v>0</v>
      </c>
      <c r="L19398" t="n">
        <v>0</v>
      </c>
      <c r="M19398" t="n">
        <v>0</v>
      </c>
      <c r="N19398" t="n">
        <v>0</v>
      </c>
      <c r="O19398" t="n">
        <v>0</v>
      </c>
      <c r="P19398" t="n">
        <v>0</v>
      </c>
      <c r="Q19398" t="n">
        <v>0</v>
      </c>
      <c r="R19398" s="2" t="inlineStr"/>
    </row>
    <row r="19399" ht="15" customHeight="1">
      <c r="A19399" t="inlineStr">
        <is>
          <t>A 14768-2025</t>
        </is>
      </c>
      <c r="B19399" s="1" t="n">
        <v>45742</v>
      </c>
      <c r="C19399" s="1" t="n">
        <v>45810</v>
      </c>
      <c r="D19399" t="inlineStr">
        <is>
          <t>VÄRMLANDS LÄN</t>
        </is>
      </c>
      <c r="E19399" t="inlineStr">
        <is>
          <t>ARVIKA</t>
        </is>
      </c>
      <c r="G19399" t="n">
        <v>11.7</v>
      </c>
      <c r="H19399" t="n">
        <v>0</v>
      </c>
      <c r="I19399" t="n">
        <v>0</v>
      </c>
      <c r="J19399" t="n">
        <v>0</v>
      </c>
      <c r="K19399" t="n">
        <v>0</v>
      </c>
      <c r="L19399" t="n">
        <v>0</v>
      </c>
      <c r="M19399" t="n">
        <v>0</v>
      </c>
      <c r="N19399" t="n">
        <v>0</v>
      </c>
      <c r="O19399" t="n">
        <v>0</v>
      </c>
      <c r="P19399" t="n">
        <v>0</v>
      </c>
      <c r="Q19399" t="n">
        <v>0</v>
      </c>
      <c r="R19399" s="2" t="inlineStr"/>
    </row>
    <row r="19400" ht="15" customHeight="1">
      <c r="A19400" t="inlineStr">
        <is>
          <t>A 14696-2025</t>
        </is>
      </c>
      <c r="B19400" s="1" t="n">
        <v>45742</v>
      </c>
      <c r="C19400" s="1" t="n">
        <v>45810</v>
      </c>
      <c r="D19400" t="inlineStr">
        <is>
          <t>VÄRMLANDS LÄN</t>
        </is>
      </c>
      <c r="E19400" t="inlineStr">
        <is>
          <t>FILIPSTAD</t>
        </is>
      </c>
      <c r="F19400" t="inlineStr">
        <is>
          <t>Bergvik skog väst AB</t>
        </is>
      </c>
      <c r="G19400" t="n">
        <v>2.1</v>
      </c>
      <c r="H19400" t="n">
        <v>0</v>
      </c>
      <c r="I19400" t="n">
        <v>0</v>
      </c>
      <c r="J19400" t="n">
        <v>0</v>
      </c>
      <c r="K19400" t="n">
        <v>0</v>
      </c>
      <c r="L19400" t="n">
        <v>0</v>
      </c>
      <c r="M19400" t="n">
        <v>0</v>
      </c>
      <c r="N19400" t="n">
        <v>0</v>
      </c>
      <c r="O19400" t="n">
        <v>0</v>
      </c>
      <c r="P19400" t="n">
        <v>0</v>
      </c>
      <c r="Q19400" t="n">
        <v>0</v>
      </c>
      <c r="R19400" s="2" t="inlineStr"/>
    </row>
    <row r="19401" ht="15" customHeight="1">
      <c r="A19401" t="inlineStr">
        <is>
          <t>A 14622-2025</t>
        </is>
      </c>
      <c r="B19401" s="1" t="n">
        <v>45742</v>
      </c>
      <c r="C19401" s="1" t="n">
        <v>45810</v>
      </c>
      <c r="D19401" t="inlineStr">
        <is>
          <t>VÄRMLANDS LÄN</t>
        </is>
      </c>
      <c r="E19401" t="inlineStr">
        <is>
          <t>ARVIKA</t>
        </is>
      </c>
      <c r="G19401" t="n">
        <v>2.4</v>
      </c>
      <c r="H19401" t="n">
        <v>0</v>
      </c>
      <c r="I19401" t="n">
        <v>0</v>
      </c>
      <c r="J19401" t="n">
        <v>0</v>
      </c>
      <c r="K19401" t="n">
        <v>0</v>
      </c>
      <c r="L19401" t="n">
        <v>0</v>
      </c>
      <c r="M19401" t="n">
        <v>0</v>
      </c>
      <c r="N19401" t="n">
        <v>0</v>
      </c>
      <c r="O19401" t="n">
        <v>0</v>
      </c>
      <c r="P19401" t="n">
        <v>0</v>
      </c>
      <c r="Q19401" t="n">
        <v>0</v>
      </c>
      <c r="R19401" s="2" t="inlineStr"/>
    </row>
    <row r="19402" ht="15" customHeight="1">
      <c r="A19402" t="inlineStr">
        <is>
          <t>A 14626-2025</t>
        </is>
      </c>
      <c r="B19402" s="1" t="n">
        <v>45742</v>
      </c>
      <c r="C19402" s="1" t="n">
        <v>45810</v>
      </c>
      <c r="D19402" t="inlineStr">
        <is>
          <t>VÄRMLANDS LÄN</t>
        </is>
      </c>
      <c r="E19402" t="inlineStr">
        <is>
          <t>ARVIKA</t>
        </is>
      </c>
      <c r="G19402" t="n">
        <v>14.9</v>
      </c>
      <c r="H19402" t="n">
        <v>0</v>
      </c>
      <c r="I19402" t="n">
        <v>0</v>
      </c>
      <c r="J19402" t="n">
        <v>0</v>
      </c>
      <c r="K19402" t="n">
        <v>0</v>
      </c>
      <c r="L19402" t="n">
        <v>0</v>
      </c>
      <c r="M19402" t="n">
        <v>0</v>
      </c>
      <c r="N19402" t="n">
        <v>0</v>
      </c>
      <c r="O19402" t="n">
        <v>0</v>
      </c>
      <c r="P19402" t="n">
        <v>0</v>
      </c>
      <c r="Q19402" t="n">
        <v>0</v>
      </c>
      <c r="R19402" s="2" t="inlineStr"/>
    </row>
    <row r="19403" ht="15" customHeight="1">
      <c r="A19403" t="inlineStr">
        <is>
          <t>A 14575-2025</t>
        </is>
      </c>
      <c r="B19403" s="1" t="n">
        <v>45742</v>
      </c>
      <c r="C19403" s="1" t="n">
        <v>45810</v>
      </c>
      <c r="D19403" t="inlineStr">
        <is>
          <t>VÄRMLANDS LÄN</t>
        </is>
      </c>
      <c r="E19403" t="inlineStr">
        <is>
          <t>TORSBY</t>
        </is>
      </c>
      <c r="G19403" t="n">
        <v>6.5</v>
      </c>
      <c r="H19403" t="n">
        <v>0</v>
      </c>
      <c r="I19403" t="n">
        <v>0</v>
      </c>
      <c r="J19403" t="n">
        <v>0</v>
      </c>
      <c r="K19403" t="n">
        <v>0</v>
      </c>
      <c r="L19403" t="n">
        <v>0</v>
      </c>
      <c r="M19403" t="n">
        <v>0</v>
      </c>
      <c r="N19403" t="n">
        <v>0</v>
      </c>
      <c r="O19403" t="n">
        <v>0</v>
      </c>
      <c r="P19403" t="n">
        <v>0</v>
      </c>
      <c r="Q19403" t="n">
        <v>0</v>
      </c>
      <c r="R19403" s="2" t="inlineStr"/>
    </row>
    <row r="19404" ht="15" customHeight="1">
      <c r="A19404" t="inlineStr">
        <is>
          <t>A 14744-2025</t>
        </is>
      </c>
      <c r="B19404" s="1" t="n">
        <v>45742</v>
      </c>
      <c r="C19404" s="1" t="n">
        <v>45810</v>
      </c>
      <c r="D19404" t="inlineStr">
        <is>
          <t>VÄRMLANDS LÄN</t>
        </is>
      </c>
      <c r="E19404" t="inlineStr">
        <is>
          <t>EDA</t>
        </is>
      </c>
      <c r="G19404" t="n">
        <v>1.3</v>
      </c>
      <c r="H19404" t="n">
        <v>0</v>
      </c>
      <c r="I19404" t="n">
        <v>0</v>
      </c>
      <c r="J19404" t="n">
        <v>0</v>
      </c>
      <c r="K19404" t="n">
        <v>0</v>
      </c>
      <c r="L19404" t="n">
        <v>0</v>
      </c>
      <c r="M19404" t="n">
        <v>0</v>
      </c>
      <c r="N19404" t="n">
        <v>0</v>
      </c>
      <c r="O19404" t="n">
        <v>0</v>
      </c>
      <c r="P19404" t="n">
        <v>0</v>
      </c>
      <c r="Q19404" t="n">
        <v>0</v>
      </c>
      <c r="R19404" s="2" t="inlineStr"/>
    </row>
    <row r="19405" ht="15" customHeight="1">
      <c r="A19405" t="inlineStr">
        <is>
          <t>A 14788-2025</t>
        </is>
      </c>
      <c r="B19405" s="1" t="n">
        <v>45742</v>
      </c>
      <c r="C19405" s="1" t="n">
        <v>45810</v>
      </c>
      <c r="D19405" t="inlineStr">
        <is>
          <t>VÄRMLANDS LÄN</t>
        </is>
      </c>
      <c r="E19405" t="inlineStr">
        <is>
          <t>ÅRJÄNG</t>
        </is>
      </c>
      <c r="G19405" t="n">
        <v>2.5</v>
      </c>
      <c r="H19405" t="n">
        <v>0</v>
      </c>
      <c r="I19405" t="n">
        <v>0</v>
      </c>
      <c r="J19405" t="n">
        <v>0</v>
      </c>
      <c r="K19405" t="n">
        <v>0</v>
      </c>
      <c r="L19405" t="n">
        <v>0</v>
      </c>
      <c r="M19405" t="n">
        <v>0</v>
      </c>
      <c r="N19405" t="n">
        <v>0</v>
      </c>
      <c r="O19405" t="n">
        <v>0</v>
      </c>
      <c r="P19405" t="n">
        <v>0</v>
      </c>
      <c r="Q19405" t="n">
        <v>0</v>
      </c>
      <c r="R19405" s="2" t="inlineStr"/>
    </row>
    <row r="19406" ht="15" customHeight="1">
      <c r="A19406" t="inlineStr">
        <is>
          <t>A 14613-2025</t>
        </is>
      </c>
      <c r="B19406" s="1" t="n">
        <v>45742</v>
      </c>
      <c r="C19406" s="1" t="n">
        <v>45810</v>
      </c>
      <c r="D19406" t="inlineStr">
        <is>
          <t>VÄRMLANDS LÄN</t>
        </is>
      </c>
      <c r="E19406" t="inlineStr">
        <is>
          <t>TORSBY</t>
        </is>
      </c>
      <c r="G19406" t="n">
        <v>1</v>
      </c>
      <c r="H19406" t="n">
        <v>0</v>
      </c>
      <c r="I19406" t="n">
        <v>0</v>
      </c>
      <c r="J19406" t="n">
        <v>0</v>
      </c>
      <c r="K19406" t="n">
        <v>0</v>
      </c>
      <c r="L19406" t="n">
        <v>0</v>
      </c>
      <c r="M19406" t="n">
        <v>0</v>
      </c>
      <c r="N19406" t="n">
        <v>0</v>
      </c>
      <c r="O19406" t="n">
        <v>0</v>
      </c>
      <c r="P19406" t="n">
        <v>0</v>
      </c>
      <c r="Q19406" t="n">
        <v>0</v>
      </c>
      <c r="R19406" s="2" t="inlineStr"/>
    </row>
    <row r="19407" ht="15" customHeight="1">
      <c r="A19407" t="inlineStr">
        <is>
          <t>A 14710-2025</t>
        </is>
      </c>
      <c r="B19407" s="1" t="n">
        <v>45742</v>
      </c>
      <c r="C19407" s="1" t="n">
        <v>45810</v>
      </c>
      <c r="D19407" t="inlineStr">
        <is>
          <t>VÄRMLANDS LÄN</t>
        </is>
      </c>
      <c r="E19407" t="inlineStr">
        <is>
          <t>ÅRJÄNG</t>
        </is>
      </c>
      <c r="G19407" t="n">
        <v>1.2</v>
      </c>
      <c r="H19407" t="n">
        <v>0</v>
      </c>
      <c r="I19407" t="n">
        <v>0</v>
      </c>
      <c r="J19407" t="n">
        <v>0</v>
      </c>
      <c r="K19407" t="n">
        <v>0</v>
      </c>
      <c r="L19407" t="n">
        <v>0</v>
      </c>
      <c r="M19407" t="n">
        <v>0</v>
      </c>
      <c r="N19407" t="n">
        <v>0</v>
      </c>
      <c r="O19407" t="n">
        <v>0</v>
      </c>
      <c r="P19407" t="n">
        <v>0</v>
      </c>
      <c r="Q19407" t="n">
        <v>0</v>
      </c>
      <c r="R19407" s="2" t="inlineStr"/>
    </row>
    <row r="19408" ht="15" customHeight="1">
      <c r="A19408" t="inlineStr">
        <is>
          <t>A 14582-2025</t>
        </is>
      </c>
      <c r="B19408" s="1" t="n">
        <v>45742</v>
      </c>
      <c r="C19408" s="1" t="n">
        <v>45810</v>
      </c>
      <c r="D19408" t="inlineStr">
        <is>
          <t>VÄRMLANDS LÄN</t>
        </is>
      </c>
      <c r="E19408" t="inlineStr">
        <is>
          <t>FILIPSTAD</t>
        </is>
      </c>
      <c r="F19408" t="inlineStr">
        <is>
          <t>Bergvik skog väst AB</t>
        </is>
      </c>
      <c r="G19408" t="n">
        <v>2</v>
      </c>
      <c r="H19408" t="n">
        <v>0</v>
      </c>
      <c r="I19408" t="n">
        <v>0</v>
      </c>
      <c r="J19408" t="n">
        <v>0</v>
      </c>
      <c r="K19408" t="n">
        <v>0</v>
      </c>
      <c r="L19408" t="n">
        <v>0</v>
      </c>
      <c r="M19408" t="n">
        <v>0</v>
      </c>
      <c r="N19408" t="n">
        <v>0</v>
      </c>
      <c r="O19408" t="n">
        <v>0</v>
      </c>
      <c r="P19408" t="n">
        <v>0</v>
      </c>
      <c r="Q19408" t="n">
        <v>0</v>
      </c>
      <c r="R19408" s="2" t="inlineStr"/>
    </row>
    <row r="19409" ht="15" customHeight="1">
      <c r="A19409" t="inlineStr">
        <is>
          <t>A 14743-2025</t>
        </is>
      </c>
      <c r="B19409" s="1" t="n">
        <v>45742</v>
      </c>
      <c r="C19409" s="1" t="n">
        <v>45810</v>
      </c>
      <c r="D19409" t="inlineStr">
        <is>
          <t>VÄRMLANDS LÄN</t>
        </is>
      </c>
      <c r="E19409" t="inlineStr">
        <is>
          <t>SUNNE</t>
        </is>
      </c>
      <c r="G19409" t="n">
        <v>0.7</v>
      </c>
      <c r="H19409" t="n">
        <v>0</v>
      </c>
      <c r="I19409" t="n">
        <v>0</v>
      </c>
      <c r="J19409" t="n">
        <v>0</v>
      </c>
      <c r="K19409" t="n">
        <v>0</v>
      </c>
      <c r="L19409" t="n">
        <v>0</v>
      </c>
      <c r="M19409" t="n">
        <v>0</v>
      </c>
      <c r="N19409" t="n">
        <v>0</v>
      </c>
      <c r="O19409" t="n">
        <v>0</v>
      </c>
      <c r="P19409" t="n">
        <v>0</v>
      </c>
      <c r="Q19409" t="n">
        <v>0</v>
      </c>
      <c r="R19409" s="2" t="inlineStr"/>
    </row>
    <row r="19410" ht="15" customHeight="1">
      <c r="A19410" t="inlineStr">
        <is>
          <t>A 14614-2025</t>
        </is>
      </c>
      <c r="B19410" s="1" t="n">
        <v>45742</v>
      </c>
      <c r="C19410" s="1" t="n">
        <v>45810</v>
      </c>
      <c r="D19410" t="inlineStr">
        <is>
          <t>VÄRMLANDS LÄN</t>
        </is>
      </c>
      <c r="E19410" t="inlineStr">
        <is>
          <t>TORSBY</t>
        </is>
      </c>
      <c r="G19410" t="n">
        <v>2.1</v>
      </c>
      <c r="H19410" t="n">
        <v>0</v>
      </c>
      <c r="I19410" t="n">
        <v>0</v>
      </c>
      <c r="J19410" t="n">
        <v>0</v>
      </c>
      <c r="K19410" t="n">
        <v>0</v>
      </c>
      <c r="L19410" t="n">
        <v>0</v>
      </c>
      <c r="M19410" t="n">
        <v>0</v>
      </c>
      <c r="N19410" t="n">
        <v>0</v>
      </c>
      <c r="O19410" t="n">
        <v>0</v>
      </c>
      <c r="P19410" t="n">
        <v>0</v>
      </c>
      <c r="Q19410" t="n">
        <v>0</v>
      </c>
      <c r="R19410" s="2" t="inlineStr"/>
    </row>
    <row r="19411" ht="15" customHeight="1">
      <c r="A19411" t="inlineStr">
        <is>
          <t>A 14618-2025</t>
        </is>
      </c>
      <c r="B19411" s="1" t="n">
        <v>45742</v>
      </c>
      <c r="C19411" s="1" t="n">
        <v>45810</v>
      </c>
      <c r="D19411" t="inlineStr">
        <is>
          <t>VÄRMLANDS LÄN</t>
        </is>
      </c>
      <c r="E19411" t="inlineStr">
        <is>
          <t>KIL</t>
        </is>
      </c>
      <c r="G19411" t="n">
        <v>4</v>
      </c>
      <c r="H19411" t="n">
        <v>0</v>
      </c>
      <c r="I19411" t="n">
        <v>0</v>
      </c>
      <c r="J19411" t="n">
        <v>0</v>
      </c>
      <c r="K19411" t="n">
        <v>0</v>
      </c>
      <c r="L19411" t="n">
        <v>0</v>
      </c>
      <c r="M19411" t="n">
        <v>0</v>
      </c>
      <c r="N19411" t="n">
        <v>0</v>
      </c>
      <c r="O19411" t="n">
        <v>0</v>
      </c>
      <c r="P19411" t="n">
        <v>0</v>
      </c>
      <c r="Q19411" t="n">
        <v>0</v>
      </c>
      <c r="R19411" s="2" t="inlineStr"/>
    </row>
    <row r="19412" ht="15" customHeight="1">
      <c r="A19412" t="inlineStr">
        <is>
          <t>A 15009-2025</t>
        </is>
      </c>
      <c r="B19412" s="1" t="n">
        <v>45743</v>
      </c>
      <c r="C19412" s="1" t="n">
        <v>45810</v>
      </c>
      <c r="D19412" t="inlineStr">
        <is>
          <t>VÄRMLANDS LÄN</t>
        </is>
      </c>
      <c r="E19412" t="inlineStr">
        <is>
          <t>EDA</t>
        </is>
      </c>
      <c r="G19412" t="n">
        <v>1.6</v>
      </c>
      <c r="H19412" t="n">
        <v>0</v>
      </c>
      <c r="I19412" t="n">
        <v>0</v>
      </c>
      <c r="J19412" t="n">
        <v>0</v>
      </c>
      <c r="K19412" t="n">
        <v>0</v>
      </c>
      <c r="L19412" t="n">
        <v>0</v>
      </c>
      <c r="M19412" t="n">
        <v>0</v>
      </c>
      <c r="N19412" t="n">
        <v>0</v>
      </c>
      <c r="O19412" t="n">
        <v>0</v>
      </c>
      <c r="P19412" t="n">
        <v>0</v>
      </c>
      <c r="Q19412" t="n">
        <v>0</v>
      </c>
      <c r="R19412" s="2" t="inlineStr"/>
    </row>
    <row r="19413" ht="15" customHeight="1">
      <c r="A19413" t="inlineStr">
        <is>
          <t>A 15019-2025</t>
        </is>
      </c>
      <c r="B19413" s="1" t="n">
        <v>45743</v>
      </c>
      <c r="C19413" s="1" t="n">
        <v>45810</v>
      </c>
      <c r="D19413" t="inlineStr">
        <is>
          <t>VÄRMLANDS LÄN</t>
        </is>
      </c>
      <c r="E19413" t="inlineStr">
        <is>
          <t>TORSBY</t>
        </is>
      </c>
      <c r="F19413" t="inlineStr">
        <is>
          <t>Övriga statliga verk och myndigheter</t>
        </is>
      </c>
      <c r="G19413" t="n">
        <v>2.6</v>
      </c>
      <c r="H19413" t="n">
        <v>0</v>
      </c>
      <c r="I19413" t="n">
        <v>0</v>
      </c>
      <c r="J19413" t="n">
        <v>0</v>
      </c>
      <c r="K19413" t="n">
        <v>0</v>
      </c>
      <c r="L19413" t="n">
        <v>0</v>
      </c>
      <c r="M19413" t="n">
        <v>0</v>
      </c>
      <c r="N19413" t="n">
        <v>0</v>
      </c>
      <c r="O19413" t="n">
        <v>0</v>
      </c>
      <c r="P19413" t="n">
        <v>0</v>
      </c>
      <c r="Q19413" t="n">
        <v>0</v>
      </c>
      <c r="R19413" s="2" t="inlineStr"/>
    </row>
    <row r="19414" ht="15" customHeight="1">
      <c r="A19414" t="inlineStr">
        <is>
          <t>A 14809-2025</t>
        </is>
      </c>
      <c r="B19414" s="1" t="n">
        <v>45743</v>
      </c>
      <c r="C19414" s="1" t="n">
        <v>45810</v>
      </c>
      <c r="D19414" t="inlineStr">
        <is>
          <t>VÄRMLANDS LÄN</t>
        </is>
      </c>
      <c r="E19414" t="inlineStr">
        <is>
          <t>KARLSTAD</t>
        </is>
      </c>
      <c r="G19414" t="n">
        <v>7.3</v>
      </c>
      <c r="H19414" t="n">
        <v>0</v>
      </c>
      <c r="I19414" t="n">
        <v>0</v>
      </c>
      <c r="J19414" t="n">
        <v>0</v>
      </c>
      <c r="K19414" t="n">
        <v>0</v>
      </c>
      <c r="L19414" t="n">
        <v>0</v>
      </c>
      <c r="M19414" t="n">
        <v>0</v>
      </c>
      <c r="N19414" t="n">
        <v>0</v>
      </c>
      <c r="O19414" t="n">
        <v>0</v>
      </c>
      <c r="P19414" t="n">
        <v>0</v>
      </c>
      <c r="Q19414" t="n">
        <v>0</v>
      </c>
      <c r="R19414" s="2" t="inlineStr"/>
    </row>
    <row r="19415" ht="15" customHeight="1">
      <c r="A19415" t="inlineStr">
        <is>
          <t>A 14954-2025</t>
        </is>
      </c>
      <c r="B19415" s="1" t="n">
        <v>45743</v>
      </c>
      <c r="C19415" s="1" t="n">
        <v>45810</v>
      </c>
      <c r="D19415" t="inlineStr">
        <is>
          <t>VÄRMLANDS LÄN</t>
        </is>
      </c>
      <c r="E19415" t="inlineStr">
        <is>
          <t>SUNNE</t>
        </is>
      </c>
      <c r="G19415" t="n">
        <v>1.7</v>
      </c>
      <c r="H19415" t="n">
        <v>0</v>
      </c>
      <c r="I19415" t="n">
        <v>0</v>
      </c>
      <c r="J19415" t="n">
        <v>0</v>
      </c>
      <c r="K19415" t="n">
        <v>0</v>
      </c>
      <c r="L19415" t="n">
        <v>0</v>
      </c>
      <c r="M19415" t="n">
        <v>0</v>
      </c>
      <c r="N19415" t="n">
        <v>0</v>
      </c>
      <c r="O19415" t="n">
        <v>0</v>
      </c>
      <c r="P19415" t="n">
        <v>0</v>
      </c>
      <c r="Q19415" t="n">
        <v>0</v>
      </c>
      <c r="R19415" s="2" t="inlineStr"/>
    </row>
    <row r="19416" ht="15" customHeight="1">
      <c r="A19416" t="inlineStr">
        <is>
          <t>A 14917-2025</t>
        </is>
      </c>
      <c r="B19416" s="1" t="n">
        <v>45743</v>
      </c>
      <c r="C19416" s="1" t="n">
        <v>45810</v>
      </c>
      <c r="D19416" t="inlineStr">
        <is>
          <t>VÄRMLANDS LÄN</t>
        </is>
      </c>
      <c r="E19416" t="inlineStr">
        <is>
          <t>ÅRJÄNG</t>
        </is>
      </c>
      <c r="G19416" t="n">
        <v>2.2</v>
      </c>
      <c r="H19416" t="n">
        <v>0</v>
      </c>
      <c r="I19416" t="n">
        <v>0</v>
      </c>
      <c r="J19416" t="n">
        <v>0</v>
      </c>
      <c r="K19416" t="n">
        <v>0</v>
      </c>
      <c r="L19416" t="n">
        <v>0</v>
      </c>
      <c r="M19416" t="n">
        <v>0</v>
      </c>
      <c r="N19416" t="n">
        <v>0</v>
      </c>
      <c r="O19416" t="n">
        <v>0</v>
      </c>
      <c r="P19416" t="n">
        <v>0</v>
      </c>
      <c r="Q19416" t="n">
        <v>0</v>
      </c>
      <c r="R19416" s="2" t="inlineStr"/>
    </row>
    <row r="19417" ht="15" customHeight="1">
      <c r="A19417" t="inlineStr">
        <is>
          <t>A 14874-2025</t>
        </is>
      </c>
      <c r="B19417" s="1" t="n">
        <v>45743</v>
      </c>
      <c r="C19417" s="1" t="n">
        <v>45810</v>
      </c>
      <c r="D19417" t="inlineStr">
        <is>
          <t>VÄRMLANDS LÄN</t>
        </is>
      </c>
      <c r="E19417" t="inlineStr">
        <is>
          <t>SUNNE</t>
        </is>
      </c>
      <c r="G19417" t="n">
        <v>0.7</v>
      </c>
      <c r="H19417" t="n">
        <v>0</v>
      </c>
      <c r="I19417" t="n">
        <v>0</v>
      </c>
      <c r="J19417" t="n">
        <v>0</v>
      </c>
      <c r="K19417" t="n">
        <v>0</v>
      </c>
      <c r="L19417" t="n">
        <v>0</v>
      </c>
      <c r="M19417" t="n">
        <v>0</v>
      </c>
      <c r="N19417" t="n">
        <v>0</v>
      </c>
      <c r="O19417" t="n">
        <v>0</v>
      </c>
      <c r="P19417" t="n">
        <v>0</v>
      </c>
      <c r="Q19417" t="n">
        <v>0</v>
      </c>
      <c r="R19417" s="2" t="inlineStr"/>
    </row>
    <row r="19418" ht="15" customHeight="1">
      <c r="A19418" t="inlineStr">
        <is>
          <t>A 14910-2025</t>
        </is>
      </c>
      <c r="B19418" s="1" t="n">
        <v>45743</v>
      </c>
      <c r="C19418" s="1" t="n">
        <v>45810</v>
      </c>
      <c r="D19418" t="inlineStr">
        <is>
          <t>VÄRMLANDS LÄN</t>
        </is>
      </c>
      <c r="E19418" t="inlineStr">
        <is>
          <t>ÅRJÄNG</t>
        </is>
      </c>
      <c r="G19418" t="n">
        <v>2.2</v>
      </c>
      <c r="H19418" t="n">
        <v>0</v>
      </c>
      <c r="I19418" t="n">
        <v>0</v>
      </c>
      <c r="J19418" t="n">
        <v>0</v>
      </c>
      <c r="K19418" t="n">
        <v>0</v>
      </c>
      <c r="L19418" t="n">
        <v>0</v>
      </c>
      <c r="M19418" t="n">
        <v>0</v>
      </c>
      <c r="N19418" t="n">
        <v>0</v>
      </c>
      <c r="O19418" t="n">
        <v>0</v>
      </c>
      <c r="P19418" t="n">
        <v>0</v>
      </c>
      <c r="Q19418" t="n">
        <v>0</v>
      </c>
      <c r="R19418" s="2" t="inlineStr"/>
    </row>
    <row r="19419" ht="15" customHeight="1">
      <c r="A19419" t="inlineStr">
        <is>
          <t>A 14877-2025</t>
        </is>
      </c>
      <c r="B19419" s="1" t="n">
        <v>45743</v>
      </c>
      <c r="C19419" s="1" t="n">
        <v>45810</v>
      </c>
      <c r="D19419" t="inlineStr">
        <is>
          <t>VÄRMLANDS LÄN</t>
        </is>
      </c>
      <c r="E19419" t="inlineStr">
        <is>
          <t>SUNNE</t>
        </is>
      </c>
      <c r="G19419" t="n">
        <v>8.6</v>
      </c>
      <c r="H19419" t="n">
        <v>0</v>
      </c>
      <c r="I19419" t="n">
        <v>0</v>
      </c>
      <c r="J19419" t="n">
        <v>0</v>
      </c>
      <c r="K19419" t="n">
        <v>0</v>
      </c>
      <c r="L19419" t="n">
        <v>0</v>
      </c>
      <c r="M19419" t="n">
        <v>0</v>
      </c>
      <c r="N19419" t="n">
        <v>0</v>
      </c>
      <c r="O19419" t="n">
        <v>0</v>
      </c>
      <c r="P19419" t="n">
        <v>0</v>
      </c>
      <c r="Q19419" t="n">
        <v>0</v>
      </c>
      <c r="R19419" s="2" t="inlineStr"/>
    </row>
    <row r="19420" ht="15" customHeight="1">
      <c r="A19420" t="inlineStr">
        <is>
          <t>A 14884-2025</t>
        </is>
      </c>
      <c r="B19420" s="1" t="n">
        <v>45743</v>
      </c>
      <c r="C19420" s="1" t="n">
        <v>45810</v>
      </c>
      <c r="D19420" t="inlineStr">
        <is>
          <t>VÄRMLANDS LÄN</t>
        </is>
      </c>
      <c r="E19420" t="inlineStr">
        <is>
          <t>SUNNE</t>
        </is>
      </c>
      <c r="G19420" t="n">
        <v>4.9</v>
      </c>
      <c r="H19420" t="n">
        <v>0</v>
      </c>
      <c r="I19420" t="n">
        <v>0</v>
      </c>
      <c r="J19420" t="n">
        <v>0</v>
      </c>
      <c r="K19420" t="n">
        <v>0</v>
      </c>
      <c r="L19420" t="n">
        <v>0</v>
      </c>
      <c r="M19420" t="n">
        <v>0</v>
      </c>
      <c r="N19420" t="n">
        <v>0</v>
      </c>
      <c r="O19420" t="n">
        <v>0</v>
      </c>
      <c r="P19420" t="n">
        <v>0</v>
      </c>
      <c r="Q19420" t="n">
        <v>0</v>
      </c>
      <c r="R19420" s="2" t="inlineStr"/>
    </row>
    <row r="19421" ht="15" customHeight="1">
      <c r="A19421" t="inlineStr">
        <is>
          <t>A 14967-2025</t>
        </is>
      </c>
      <c r="B19421" s="1" t="n">
        <v>45743</v>
      </c>
      <c r="C19421" s="1" t="n">
        <v>45810</v>
      </c>
      <c r="D19421" t="inlineStr">
        <is>
          <t>VÄRMLANDS LÄN</t>
        </is>
      </c>
      <c r="E19421" t="inlineStr">
        <is>
          <t>TORSBY</t>
        </is>
      </c>
      <c r="F19421" t="inlineStr">
        <is>
          <t>Bergvik skog väst AB</t>
        </is>
      </c>
      <c r="G19421" t="n">
        <v>7.3</v>
      </c>
      <c r="H19421" t="n">
        <v>0</v>
      </c>
      <c r="I19421" t="n">
        <v>0</v>
      </c>
      <c r="J19421" t="n">
        <v>0</v>
      </c>
      <c r="K19421" t="n">
        <v>0</v>
      </c>
      <c r="L19421" t="n">
        <v>0</v>
      </c>
      <c r="M19421" t="n">
        <v>0</v>
      </c>
      <c r="N19421" t="n">
        <v>0</v>
      </c>
      <c r="O19421" t="n">
        <v>0</v>
      </c>
      <c r="P19421" t="n">
        <v>0</v>
      </c>
      <c r="Q19421" t="n">
        <v>0</v>
      </c>
      <c r="R19421" s="2" t="inlineStr"/>
    </row>
    <row r="19422" ht="15" customHeight="1">
      <c r="A19422" t="inlineStr">
        <is>
          <t>A 14802-2025</t>
        </is>
      </c>
      <c r="B19422" s="1" t="n">
        <v>45743</v>
      </c>
      <c r="C19422" s="1" t="n">
        <v>45810</v>
      </c>
      <c r="D19422" t="inlineStr">
        <is>
          <t>VÄRMLANDS LÄN</t>
        </is>
      </c>
      <c r="E19422" t="inlineStr">
        <is>
          <t>TORSBY</t>
        </is>
      </c>
      <c r="G19422" t="n">
        <v>1</v>
      </c>
      <c r="H19422" t="n">
        <v>0</v>
      </c>
      <c r="I19422" t="n">
        <v>0</v>
      </c>
      <c r="J19422" t="n">
        <v>0</v>
      </c>
      <c r="K19422" t="n">
        <v>0</v>
      </c>
      <c r="L19422" t="n">
        <v>0</v>
      </c>
      <c r="M19422" t="n">
        <v>0</v>
      </c>
      <c r="N19422" t="n">
        <v>0</v>
      </c>
      <c r="O19422" t="n">
        <v>0</v>
      </c>
      <c r="P19422" t="n">
        <v>0</v>
      </c>
      <c r="Q19422" t="n">
        <v>0</v>
      </c>
      <c r="R19422" s="2" t="inlineStr"/>
    </row>
    <row r="19423" ht="15" customHeight="1">
      <c r="A19423" t="inlineStr">
        <is>
          <t>A 14801-2025</t>
        </is>
      </c>
      <c r="B19423" s="1" t="n">
        <v>45743</v>
      </c>
      <c r="C19423" s="1" t="n">
        <v>45810</v>
      </c>
      <c r="D19423" t="inlineStr">
        <is>
          <t>VÄRMLANDS LÄN</t>
        </is>
      </c>
      <c r="E19423" t="inlineStr">
        <is>
          <t>TORSBY</t>
        </is>
      </c>
      <c r="G19423" t="n">
        <v>4.8</v>
      </c>
      <c r="H19423" t="n">
        <v>0</v>
      </c>
      <c r="I19423" t="n">
        <v>0</v>
      </c>
      <c r="J19423" t="n">
        <v>0</v>
      </c>
      <c r="K19423" t="n">
        <v>0</v>
      </c>
      <c r="L19423" t="n">
        <v>0</v>
      </c>
      <c r="M19423" t="n">
        <v>0</v>
      </c>
      <c r="N19423" t="n">
        <v>0</v>
      </c>
      <c r="O19423" t="n">
        <v>0</v>
      </c>
      <c r="P19423" t="n">
        <v>0</v>
      </c>
      <c r="Q19423" t="n">
        <v>0</v>
      </c>
      <c r="R19423" s="2" t="inlineStr"/>
    </row>
    <row r="19424" ht="15" customHeight="1">
      <c r="A19424" t="inlineStr">
        <is>
          <t>A 15170-2025</t>
        </is>
      </c>
      <c r="B19424" s="1" t="n">
        <v>45743</v>
      </c>
      <c r="C19424" s="1" t="n">
        <v>45810</v>
      </c>
      <c r="D19424" t="inlineStr">
        <is>
          <t>VÄRMLANDS LÄN</t>
        </is>
      </c>
      <c r="E19424" t="inlineStr">
        <is>
          <t>TORSBY</t>
        </is>
      </c>
      <c r="G19424" t="n">
        <v>12.5</v>
      </c>
      <c r="H19424" t="n">
        <v>0</v>
      </c>
      <c r="I19424" t="n">
        <v>0</v>
      </c>
      <c r="J19424" t="n">
        <v>0</v>
      </c>
      <c r="K19424" t="n">
        <v>0</v>
      </c>
      <c r="L19424" t="n">
        <v>0</v>
      </c>
      <c r="M19424" t="n">
        <v>0</v>
      </c>
      <c r="N19424" t="n">
        <v>0</v>
      </c>
      <c r="O19424" t="n">
        <v>0</v>
      </c>
      <c r="P19424" t="n">
        <v>0</v>
      </c>
      <c r="Q19424" t="n">
        <v>0</v>
      </c>
      <c r="R19424" s="2" t="inlineStr"/>
    </row>
    <row r="19425" ht="15" customHeight="1">
      <c r="A19425" t="inlineStr">
        <is>
          <t>A 15022-2025</t>
        </is>
      </c>
      <c r="B19425" s="1" t="n">
        <v>45743</v>
      </c>
      <c r="C19425" s="1" t="n">
        <v>45810</v>
      </c>
      <c r="D19425" t="inlineStr">
        <is>
          <t>VÄRMLANDS LÄN</t>
        </is>
      </c>
      <c r="E19425" t="inlineStr">
        <is>
          <t>TORSBY</t>
        </is>
      </c>
      <c r="G19425" t="n">
        <v>7.2</v>
      </c>
      <c r="H19425" t="n">
        <v>0</v>
      </c>
      <c r="I19425" t="n">
        <v>0</v>
      </c>
      <c r="J19425" t="n">
        <v>0</v>
      </c>
      <c r="K19425" t="n">
        <v>0</v>
      </c>
      <c r="L19425" t="n">
        <v>0</v>
      </c>
      <c r="M19425" t="n">
        <v>0</v>
      </c>
      <c r="N19425" t="n">
        <v>0</v>
      </c>
      <c r="O19425" t="n">
        <v>0</v>
      </c>
      <c r="P19425" t="n">
        <v>0</v>
      </c>
      <c r="Q19425" t="n">
        <v>0</v>
      </c>
      <c r="R19425" s="2" t="inlineStr"/>
    </row>
    <row r="19426" ht="15" customHeight="1">
      <c r="A19426" t="inlineStr">
        <is>
          <t>A 14800-2025</t>
        </is>
      </c>
      <c r="B19426" s="1" t="n">
        <v>45743</v>
      </c>
      <c r="C19426" s="1" t="n">
        <v>45810</v>
      </c>
      <c r="D19426" t="inlineStr">
        <is>
          <t>VÄRMLANDS LÄN</t>
        </is>
      </c>
      <c r="E19426" t="inlineStr">
        <is>
          <t>TORSBY</t>
        </is>
      </c>
      <c r="G19426" t="n">
        <v>4.2</v>
      </c>
      <c r="H19426" t="n">
        <v>0</v>
      </c>
      <c r="I19426" t="n">
        <v>0</v>
      </c>
      <c r="J19426" t="n">
        <v>0</v>
      </c>
      <c r="K19426" t="n">
        <v>0</v>
      </c>
      <c r="L19426" t="n">
        <v>0</v>
      </c>
      <c r="M19426" t="n">
        <v>0</v>
      </c>
      <c r="N19426" t="n">
        <v>0</v>
      </c>
      <c r="O19426" t="n">
        <v>0</v>
      </c>
      <c r="P19426" t="n">
        <v>0</v>
      </c>
      <c r="Q19426" t="n">
        <v>0</v>
      </c>
      <c r="R19426" s="2" t="inlineStr"/>
    </row>
    <row r="19427" ht="15" customHeight="1">
      <c r="A19427" t="inlineStr">
        <is>
          <t>A 15014-2025</t>
        </is>
      </c>
      <c r="B19427" s="1" t="n">
        <v>45743</v>
      </c>
      <c r="C19427" s="1" t="n">
        <v>45810</v>
      </c>
      <c r="D19427" t="inlineStr">
        <is>
          <t>VÄRMLANDS LÄN</t>
        </is>
      </c>
      <c r="E19427" t="inlineStr">
        <is>
          <t>TORSBY</t>
        </is>
      </c>
      <c r="G19427" t="n">
        <v>2.3</v>
      </c>
      <c r="H19427" t="n">
        <v>0</v>
      </c>
      <c r="I19427" t="n">
        <v>0</v>
      </c>
      <c r="J19427" t="n">
        <v>0</v>
      </c>
      <c r="K19427" t="n">
        <v>0</v>
      </c>
      <c r="L19427" t="n">
        <v>0</v>
      </c>
      <c r="M19427" t="n">
        <v>0</v>
      </c>
      <c r="N19427" t="n">
        <v>0</v>
      </c>
      <c r="O19427" t="n">
        <v>0</v>
      </c>
      <c r="P19427" t="n">
        <v>0</v>
      </c>
      <c r="Q19427" t="n">
        <v>0</v>
      </c>
      <c r="R19427" s="2" t="inlineStr"/>
    </row>
    <row r="19428" ht="15" customHeight="1">
      <c r="A19428" t="inlineStr">
        <is>
          <t>A 14921-2025</t>
        </is>
      </c>
      <c r="B19428" s="1" t="n">
        <v>45743</v>
      </c>
      <c r="C19428" s="1" t="n">
        <v>45810</v>
      </c>
      <c r="D19428" t="inlineStr">
        <is>
          <t>VÄRMLANDS LÄN</t>
        </is>
      </c>
      <c r="E19428" t="inlineStr">
        <is>
          <t>KIL</t>
        </is>
      </c>
      <c r="G19428" t="n">
        <v>1.3</v>
      </c>
      <c r="H19428" t="n">
        <v>0</v>
      </c>
      <c r="I19428" t="n">
        <v>0</v>
      </c>
      <c r="J19428" t="n">
        <v>0</v>
      </c>
      <c r="K19428" t="n">
        <v>0</v>
      </c>
      <c r="L19428" t="n">
        <v>0</v>
      </c>
      <c r="M19428" t="n">
        <v>0</v>
      </c>
      <c r="N19428" t="n">
        <v>0</v>
      </c>
      <c r="O19428" t="n">
        <v>0</v>
      </c>
      <c r="P19428" t="n">
        <v>0</v>
      </c>
      <c r="Q19428" t="n">
        <v>0</v>
      </c>
      <c r="R19428" s="2" t="inlineStr"/>
    </row>
    <row r="19429" ht="15" customHeight="1">
      <c r="A19429" t="inlineStr">
        <is>
          <t>A 15063-2025</t>
        </is>
      </c>
      <c r="B19429" s="1" t="n">
        <v>45743</v>
      </c>
      <c r="C19429" s="1" t="n">
        <v>45810</v>
      </c>
      <c r="D19429" t="inlineStr">
        <is>
          <t>VÄRMLANDS LÄN</t>
        </is>
      </c>
      <c r="E19429" t="inlineStr">
        <is>
          <t>TORSBY</t>
        </is>
      </c>
      <c r="G19429" t="n">
        <v>0.6</v>
      </c>
      <c r="H19429" t="n">
        <v>0</v>
      </c>
      <c r="I19429" t="n">
        <v>0</v>
      </c>
      <c r="J19429" t="n">
        <v>0</v>
      </c>
      <c r="K19429" t="n">
        <v>0</v>
      </c>
      <c r="L19429" t="n">
        <v>0</v>
      </c>
      <c r="M19429" t="n">
        <v>0</v>
      </c>
      <c r="N19429" t="n">
        <v>0</v>
      </c>
      <c r="O19429" t="n">
        <v>0</v>
      </c>
      <c r="P19429" t="n">
        <v>0</v>
      </c>
      <c r="Q19429" t="n">
        <v>0</v>
      </c>
      <c r="R19429" s="2" t="inlineStr"/>
    </row>
    <row r="19430" ht="15" customHeight="1">
      <c r="A19430" t="inlineStr">
        <is>
          <t>A 14850-2025</t>
        </is>
      </c>
      <c r="B19430" s="1" t="n">
        <v>45743</v>
      </c>
      <c r="C19430" s="1" t="n">
        <v>45810</v>
      </c>
      <c r="D19430" t="inlineStr">
        <is>
          <t>VÄRMLANDS LÄN</t>
        </is>
      </c>
      <c r="E19430" t="inlineStr">
        <is>
          <t>HAGFORS</t>
        </is>
      </c>
      <c r="F19430" t="inlineStr">
        <is>
          <t>Bergvik skog väst AB</t>
        </is>
      </c>
      <c r="G19430" t="n">
        <v>3.6</v>
      </c>
      <c r="H19430" t="n">
        <v>0</v>
      </c>
      <c r="I19430" t="n">
        <v>0</v>
      </c>
      <c r="J19430" t="n">
        <v>0</v>
      </c>
      <c r="K19430" t="n">
        <v>0</v>
      </c>
      <c r="L19430" t="n">
        <v>0</v>
      </c>
      <c r="M19430" t="n">
        <v>0</v>
      </c>
      <c r="N19430" t="n">
        <v>0</v>
      </c>
      <c r="O19430" t="n">
        <v>0</v>
      </c>
      <c r="P19430" t="n">
        <v>0</v>
      </c>
      <c r="Q19430" t="n">
        <v>0</v>
      </c>
      <c r="R19430" s="2" t="inlineStr"/>
    </row>
    <row r="19431" ht="15" customHeight="1">
      <c r="A19431" t="inlineStr">
        <is>
          <t>A 14858-2025</t>
        </is>
      </c>
      <c r="B19431" s="1" t="n">
        <v>45743</v>
      </c>
      <c r="C19431" s="1" t="n">
        <v>45810</v>
      </c>
      <c r="D19431" t="inlineStr">
        <is>
          <t>VÄRMLANDS LÄN</t>
        </is>
      </c>
      <c r="E19431" t="inlineStr">
        <is>
          <t>SÄFFLE</t>
        </is>
      </c>
      <c r="G19431" t="n">
        <v>6</v>
      </c>
      <c r="H19431" t="n">
        <v>0</v>
      </c>
      <c r="I19431" t="n">
        <v>0</v>
      </c>
      <c r="J19431" t="n">
        <v>0</v>
      </c>
      <c r="K19431" t="n">
        <v>0</v>
      </c>
      <c r="L19431" t="n">
        <v>0</v>
      </c>
      <c r="M19431" t="n">
        <v>0</v>
      </c>
      <c r="N19431" t="n">
        <v>0</v>
      </c>
      <c r="O19431" t="n">
        <v>0</v>
      </c>
      <c r="P19431" t="n">
        <v>0</v>
      </c>
      <c r="Q19431" t="n">
        <v>0</v>
      </c>
      <c r="R19431" s="2" t="inlineStr"/>
    </row>
    <row r="19432" ht="15" customHeight="1">
      <c r="A19432" t="inlineStr">
        <is>
          <t>A 15165-2025</t>
        </is>
      </c>
      <c r="B19432" s="1" t="n">
        <v>45744</v>
      </c>
      <c r="C19432" s="1" t="n">
        <v>45810</v>
      </c>
      <c r="D19432" t="inlineStr">
        <is>
          <t>VÄRMLANDS LÄN</t>
        </is>
      </c>
      <c r="E19432" t="inlineStr">
        <is>
          <t>ÅRJÄNG</t>
        </is>
      </c>
      <c r="G19432" t="n">
        <v>3</v>
      </c>
      <c r="H19432" t="n">
        <v>0</v>
      </c>
      <c r="I19432" t="n">
        <v>0</v>
      </c>
      <c r="J19432" t="n">
        <v>0</v>
      </c>
      <c r="K19432" t="n">
        <v>0</v>
      </c>
      <c r="L19432" t="n">
        <v>0</v>
      </c>
      <c r="M19432" t="n">
        <v>0</v>
      </c>
      <c r="N19432" t="n">
        <v>0</v>
      </c>
      <c r="O19432" t="n">
        <v>0</v>
      </c>
      <c r="P19432" t="n">
        <v>0</v>
      </c>
      <c r="Q19432" t="n">
        <v>0</v>
      </c>
      <c r="R19432" s="2" t="inlineStr"/>
    </row>
    <row r="19433" ht="15" customHeight="1">
      <c r="A19433" t="inlineStr">
        <is>
          <t>A 15084-2025</t>
        </is>
      </c>
      <c r="B19433" s="1" t="n">
        <v>45744</v>
      </c>
      <c r="C19433" s="1" t="n">
        <v>45810</v>
      </c>
      <c r="D19433" t="inlineStr">
        <is>
          <t>VÄRMLANDS LÄN</t>
        </is>
      </c>
      <c r="E19433" t="inlineStr">
        <is>
          <t>ÅRJÄNG</t>
        </is>
      </c>
      <c r="G19433" t="n">
        <v>1.1</v>
      </c>
      <c r="H19433" t="n">
        <v>0</v>
      </c>
      <c r="I19433" t="n">
        <v>0</v>
      </c>
      <c r="J19433" t="n">
        <v>0</v>
      </c>
      <c r="K19433" t="n">
        <v>0</v>
      </c>
      <c r="L19433" t="n">
        <v>0</v>
      </c>
      <c r="M19433" t="n">
        <v>0</v>
      </c>
      <c r="N19433" t="n">
        <v>0</v>
      </c>
      <c r="O19433" t="n">
        <v>0</v>
      </c>
      <c r="P19433" t="n">
        <v>0</v>
      </c>
      <c r="Q19433" t="n">
        <v>0</v>
      </c>
      <c r="R19433" s="2" t="inlineStr"/>
    </row>
    <row r="19434" ht="15" customHeight="1">
      <c r="A19434" t="inlineStr">
        <is>
          <t>A 15226-2025</t>
        </is>
      </c>
      <c r="B19434" s="1" t="n">
        <v>45744</v>
      </c>
      <c r="C19434" s="1" t="n">
        <v>45810</v>
      </c>
      <c r="D19434" t="inlineStr">
        <is>
          <t>VÄRMLANDS LÄN</t>
        </is>
      </c>
      <c r="E19434" t="inlineStr">
        <is>
          <t>SUNNE</t>
        </is>
      </c>
      <c r="G19434" t="n">
        <v>0.9</v>
      </c>
      <c r="H19434" t="n">
        <v>0</v>
      </c>
      <c r="I19434" t="n">
        <v>0</v>
      </c>
      <c r="J19434" t="n">
        <v>0</v>
      </c>
      <c r="K19434" t="n">
        <v>0</v>
      </c>
      <c r="L19434" t="n">
        <v>0</v>
      </c>
      <c r="M19434" t="n">
        <v>0</v>
      </c>
      <c r="N19434" t="n">
        <v>0</v>
      </c>
      <c r="O19434" t="n">
        <v>0</v>
      </c>
      <c r="P19434" t="n">
        <v>0</v>
      </c>
      <c r="Q19434" t="n">
        <v>0</v>
      </c>
      <c r="R19434" s="2" t="inlineStr"/>
    </row>
    <row r="19435" ht="15" customHeight="1">
      <c r="A19435" t="inlineStr">
        <is>
          <t>A 15228-2025</t>
        </is>
      </c>
      <c r="B19435" s="1" t="n">
        <v>45744</v>
      </c>
      <c r="C19435" s="1" t="n">
        <v>45810</v>
      </c>
      <c r="D19435" t="inlineStr">
        <is>
          <t>VÄRMLANDS LÄN</t>
        </is>
      </c>
      <c r="E19435" t="inlineStr">
        <is>
          <t>FILIPSTAD</t>
        </is>
      </c>
      <c r="F19435" t="inlineStr">
        <is>
          <t>Kommuner</t>
        </is>
      </c>
      <c r="G19435" t="n">
        <v>17.7</v>
      </c>
      <c r="H19435" t="n">
        <v>0</v>
      </c>
      <c r="I19435" t="n">
        <v>0</v>
      </c>
      <c r="J19435" t="n">
        <v>0</v>
      </c>
      <c r="K19435" t="n">
        <v>0</v>
      </c>
      <c r="L19435" t="n">
        <v>0</v>
      </c>
      <c r="M19435" t="n">
        <v>0</v>
      </c>
      <c r="N19435" t="n">
        <v>0</v>
      </c>
      <c r="O19435" t="n">
        <v>0</v>
      </c>
      <c r="P19435" t="n">
        <v>0</v>
      </c>
      <c r="Q19435" t="n">
        <v>0</v>
      </c>
      <c r="R19435" s="2" t="inlineStr"/>
    </row>
    <row r="19436" ht="15" customHeight="1">
      <c r="A19436" t="inlineStr">
        <is>
          <t>A 15219-2025</t>
        </is>
      </c>
      <c r="B19436" s="1" t="n">
        <v>45744</v>
      </c>
      <c r="C19436" s="1" t="n">
        <v>45810</v>
      </c>
      <c r="D19436" t="inlineStr">
        <is>
          <t>VÄRMLANDS LÄN</t>
        </is>
      </c>
      <c r="E19436" t="inlineStr">
        <is>
          <t>HAGFORS</t>
        </is>
      </c>
      <c r="F19436" t="inlineStr">
        <is>
          <t>Bergvik skog väst AB</t>
        </is>
      </c>
      <c r="G19436" t="n">
        <v>15.8</v>
      </c>
      <c r="H19436" t="n">
        <v>0</v>
      </c>
      <c r="I19436" t="n">
        <v>0</v>
      </c>
      <c r="J19436" t="n">
        <v>0</v>
      </c>
      <c r="K19436" t="n">
        <v>0</v>
      </c>
      <c r="L19436" t="n">
        <v>0</v>
      </c>
      <c r="M19436" t="n">
        <v>0</v>
      </c>
      <c r="N19436" t="n">
        <v>0</v>
      </c>
      <c r="O19436" t="n">
        <v>0</v>
      </c>
      <c r="P19436" t="n">
        <v>0</v>
      </c>
      <c r="Q19436" t="n">
        <v>0</v>
      </c>
      <c r="R19436" s="2" t="inlineStr"/>
    </row>
    <row r="19437" ht="15" customHeight="1">
      <c r="A19437" t="inlineStr">
        <is>
          <t>A 15120-2025</t>
        </is>
      </c>
      <c r="B19437" s="1" t="n">
        <v>45744</v>
      </c>
      <c r="C19437" s="1" t="n">
        <v>45810</v>
      </c>
      <c r="D19437" t="inlineStr">
        <is>
          <t>VÄRMLANDS LÄN</t>
        </is>
      </c>
      <c r="E19437" t="inlineStr">
        <is>
          <t>ARVIKA</t>
        </is>
      </c>
      <c r="G19437" t="n">
        <v>1</v>
      </c>
      <c r="H19437" t="n">
        <v>0</v>
      </c>
      <c r="I19437" t="n">
        <v>0</v>
      </c>
      <c r="J19437" t="n">
        <v>0</v>
      </c>
      <c r="K19437" t="n">
        <v>0</v>
      </c>
      <c r="L19437" t="n">
        <v>0</v>
      </c>
      <c r="M19437" t="n">
        <v>0</v>
      </c>
      <c r="N19437" t="n">
        <v>0</v>
      </c>
      <c r="O19437" t="n">
        <v>0</v>
      </c>
      <c r="P19437" t="n">
        <v>0</v>
      </c>
      <c r="Q19437" t="n">
        <v>0</v>
      </c>
      <c r="R19437" s="2" t="inlineStr"/>
    </row>
    <row r="19438" ht="15" customHeight="1">
      <c r="A19438" t="inlineStr">
        <is>
          <t>A 15282-2025</t>
        </is>
      </c>
      <c r="B19438" s="1" t="n">
        <v>45744</v>
      </c>
      <c r="C19438" s="1" t="n">
        <v>45810</v>
      </c>
      <c r="D19438" t="inlineStr">
        <is>
          <t>VÄRMLANDS LÄN</t>
        </is>
      </c>
      <c r="E19438" t="inlineStr">
        <is>
          <t>SÄFFLE</t>
        </is>
      </c>
      <c r="G19438" t="n">
        <v>2.1</v>
      </c>
      <c r="H19438" t="n">
        <v>0</v>
      </c>
      <c r="I19438" t="n">
        <v>0</v>
      </c>
      <c r="J19438" t="n">
        <v>0</v>
      </c>
      <c r="K19438" t="n">
        <v>0</v>
      </c>
      <c r="L19438" t="n">
        <v>0</v>
      </c>
      <c r="M19438" t="n">
        <v>0</v>
      </c>
      <c r="N19438" t="n">
        <v>0</v>
      </c>
      <c r="O19438" t="n">
        <v>0</v>
      </c>
      <c r="P19438" t="n">
        <v>0</v>
      </c>
      <c r="Q19438" t="n">
        <v>0</v>
      </c>
      <c r="R19438" s="2" t="inlineStr"/>
    </row>
    <row r="19439" ht="15" customHeight="1">
      <c r="A19439" t="inlineStr">
        <is>
          <t>A 15279-2025</t>
        </is>
      </c>
      <c r="B19439" s="1" t="n">
        <v>45744</v>
      </c>
      <c r="C19439" s="1" t="n">
        <v>45810</v>
      </c>
      <c r="D19439" t="inlineStr">
        <is>
          <t>VÄRMLANDS LÄN</t>
        </is>
      </c>
      <c r="E19439" t="inlineStr">
        <is>
          <t>SÄFFLE</t>
        </is>
      </c>
      <c r="G19439" t="n">
        <v>2.7</v>
      </c>
      <c r="H19439" t="n">
        <v>0</v>
      </c>
      <c r="I19439" t="n">
        <v>0</v>
      </c>
      <c r="J19439" t="n">
        <v>0</v>
      </c>
      <c r="K19439" t="n">
        <v>0</v>
      </c>
      <c r="L19439" t="n">
        <v>0</v>
      </c>
      <c r="M19439" t="n">
        <v>0</v>
      </c>
      <c r="N19439" t="n">
        <v>0</v>
      </c>
      <c r="O19439" t="n">
        <v>0</v>
      </c>
      <c r="P19439" t="n">
        <v>0</v>
      </c>
      <c r="Q19439" t="n">
        <v>0</v>
      </c>
      <c r="R19439" s="2" t="inlineStr"/>
    </row>
    <row r="19440" ht="15" customHeight="1">
      <c r="A19440" t="inlineStr">
        <is>
          <t>A 15111-2025</t>
        </is>
      </c>
      <c r="B19440" s="1" t="n">
        <v>45744</v>
      </c>
      <c r="C19440" s="1" t="n">
        <v>45810</v>
      </c>
      <c r="D19440" t="inlineStr">
        <is>
          <t>VÄRMLANDS LÄN</t>
        </is>
      </c>
      <c r="E19440" t="inlineStr">
        <is>
          <t>MUNKFORS</t>
        </is>
      </c>
      <c r="G19440" t="n">
        <v>3.5</v>
      </c>
      <c r="H19440" t="n">
        <v>0</v>
      </c>
      <c r="I19440" t="n">
        <v>0</v>
      </c>
      <c r="J19440" t="n">
        <v>0</v>
      </c>
      <c r="K19440" t="n">
        <v>0</v>
      </c>
      <c r="L19440" t="n">
        <v>0</v>
      </c>
      <c r="M19440" t="n">
        <v>0</v>
      </c>
      <c r="N19440" t="n">
        <v>0</v>
      </c>
      <c r="O19440" t="n">
        <v>0</v>
      </c>
      <c r="P19440" t="n">
        <v>0</v>
      </c>
      <c r="Q19440" t="n">
        <v>0</v>
      </c>
      <c r="R19440" s="2" t="inlineStr"/>
    </row>
    <row r="19441" ht="15" customHeight="1">
      <c r="A19441" t="inlineStr">
        <is>
          <t>A 15148-2025</t>
        </is>
      </c>
      <c r="B19441" s="1" t="n">
        <v>45744</v>
      </c>
      <c r="C19441" s="1" t="n">
        <v>45810</v>
      </c>
      <c r="D19441" t="inlineStr">
        <is>
          <t>VÄRMLANDS LÄN</t>
        </is>
      </c>
      <c r="E19441" t="inlineStr">
        <is>
          <t>ÅRJÄNG</t>
        </is>
      </c>
      <c r="G19441" t="n">
        <v>1.4</v>
      </c>
      <c r="H19441" t="n">
        <v>0</v>
      </c>
      <c r="I19441" t="n">
        <v>0</v>
      </c>
      <c r="J19441" t="n">
        <v>0</v>
      </c>
      <c r="K19441" t="n">
        <v>0</v>
      </c>
      <c r="L19441" t="n">
        <v>0</v>
      </c>
      <c r="M19441" t="n">
        <v>0</v>
      </c>
      <c r="N19441" t="n">
        <v>0</v>
      </c>
      <c r="O19441" t="n">
        <v>0</v>
      </c>
      <c r="P19441" t="n">
        <v>0</v>
      </c>
      <c r="Q19441" t="n">
        <v>0</v>
      </c>
      <c r="R19441" s="2" t="inlineStr"/>
    </row>
    <row r="19442" ht="15" customHeight="1">
      <c r="A19442" t="inlineStr">
        <is>
          <t>A 15154-2025</t>
        </is>
      </c>
      <c r="B19442" s="1" t="n">
        <v>45744</v>
      </c>
      <c r="C19442" s="1" t="n">
        <v>45810</v>
      </c>
      <c r="D19442" t="inlineStr">
        <is>
          <t>VÄRMLANDS LÄN</t>
        </is>
      </c>
      <c r="E19442" t="inlineStr">
        <is>
          <t>TORSBY</t>
        </is>
      </c>
      <c r="G19442" t="n">
        <v>0.4</v>
      </c>
      <c r="H19442" t="n">
        <v>0</v>
      </c>
      <c r="I19442" t="n">
        <v>0</v>
      </c>
      <c r="J19442" t="n">
        <v>0</v>
      </c>
      <c r="K19442" t="n">
        <v>0</v>
      </c>
      <c r="L19442" t="n">
        <v>0</v>
      </c>
      <c r="M19442" t="n">
        <v>0</v>
      </c>
      <c r="N19442" t="n">
        <v>0</v>
      </c>
      <c r="O19442" t="n">
        <v>0</v>
      </c>
      <c r="P19442" t="n">
        <v>0</v>
      </c>
      <c r="Q19442" t="n">
        <v>0</v>
      </c>
      <c r="R19442" s="2" t="inlineStr"/>
    </row>
    <row r="19443" ht="15" customHeight="1">
      <c r="A19443" t="inlineStr">
        <is>
          <t>A 15192-2025</t>
        </is>
      </c>
      <c r="B19443" s="1" t="n">
        <v>45744</v>
      </c>
      <c r="C19443" s="1" t="n">
        <v>45810</v>
      </c>
      <c r="D19443" t="inlineStr">
        <is>
          <t>VÄRMLANDS LÄN</t>
        </is>
      </c>
      <c r="E19443" t="inlineStr">
        <is>
          <t>TORSBY</t>
        </is>
      </c>
      <c r="G19443" t="n">
        <v>1.1</v>
      </c>
      <c r="H19443" t="n">
        <v>0</v>
      </c>
      <c r="I19443" t="n">
        <v>0</v>
      </c>
      <c r="J19443" t="n">
        <v>0</v>
      </c>
      <c r="K19443" t="n">
        <v>0</v>
      </c>
      <c r="L19443" t="n">
        <v>0</v>
      </c>
      <c r="M19443" t="n">
        <v>0</v>
      </c>
      <c r="N19443" t="n">
        <v>0</v>
      </c>
      <c r="O19443" t="n">
        <v>0</v>
      </c>
      <c r="P19443" t="n">
        <v>0</v>
      </c>
      <c r="Q19443" t="n">
        <v>0</v>
      </c>
      <c r="R19443" s="2" t="inlineStr"/>
    </row>
    <row r="19444" ht="15" customHeight="1">
      <c r="A19444" t="inlineStr">
        <is>
          <t>A 15125-2025</t>
        </is>
      </c>
      <c r="B19444" s="1" t="n">
        <v>45744</v>
      </c>
      <c r="C19444" s="1" t="n">
        <v>45810</v>
      </c>
      <c r="D19444" t="inlineStr">
        <is>
          <t>VÄRMLANDS LÄN</t>
        </is>
      </c>
      <c r="E19444" t="inlineStr">
        <is>
          <t>MUNKFORS</t>
        </is>
      </c>
      <c r="G19444" t="n">
        <v>1.2</v>
      </c>
      <c r="H19444" t="n">
        <v>0</v>
      </c>
      <c r="I19444" t="n">
        <v>0</v>
      </c>
      <c r="J19444" t="n">
        <v>0</v>
      </c>
      <c r="K19444" t="n">
        <v>0</v>
      </c>
      <c r="L19444" t="n">
        <v>0</v>
      </c>
      <c r="M19444" t="n">
        <v>0</v>
      </c>
      <c r="N19444" t="n">
        <v>0</v>
      </c>
      <c r="O19444" t="n">
        <v>0</v>
      </c>
      <c r="P19444" t="n">
        <v>0</v>
      </c>
      <c r="Q19444" t="n">
        <v>0</v>
      </c>
      <c r="R19444" s="2" t="inlineStr"/>
    </row>
    <row r="19445" ht="15" customHeight="1">
      <c r="A19445" t="inlineStr">
        <is>
          <t>A 15248-2025</t>
        </is>
      </c>
      <c r="B19445" s="1" t="n">
        <v>45744</v>
      </c>
      <c r="C19445" s="1" t="n">
        <v>45810</v>
      </c>
      <c r="D19445" t="inlineStr">
        <is>
          <t>VÄRMLANDS LÄN</t>
        </is>
      </c>
      <c r="E19445" t="inlineStr">
        <is>
          <t>ÅRJÄNG</t>
        </is>
      </c>
      <c r="G19445" t="n">
        <v>3.2</v>
      </c>
      <c r="H19445" t="n">
        <v>0</v>
      </c>
      <c r="I19445" t="n">
        <v>0</v>
      </c>
      <c r="J19445" t="n">
        <v>0</v>
      </c>
      <c r="K19445" t="n">
        <v>0</v>
      </c>
      <c r="L19445" t="n">
        <v>0</v>
      </c>
      <c r="M19445" t="n">
        <v>0</v>
      </c>
      <c r="N19445" t="n">
        <v>0</v>
      </c>
      <c r="O19445" t="n">
        <v>0</v>
      </c>
      <c r="P19445" t="n">
        <v>0</v>
      </c>
      <c r="Q19445" t="n">
        <v>0</v>
      </c>
      <c r="R19445" s="2" t="inlineStr"/>
    </row>
    <row r="19446" ht="15" customHeight="1">
      <c r="A19446" t="inlineStr">
        <is>
          <t>A 15149-2025</t>
        </is>
      </c>
      <c r="B19446" s="1" t="n">
        <v>45744</v>
      </c>
      <c r="C19446" s="1" t="n">
        <v>45810</v>
      </c>
      <c r="D19446" t="inlineStr">
        <is>
          <t>VÄRMLANDS LÄN</t>
        </is>
      </c>
      <c r="E19446" t="inlineStr">
        <is>
          <t>FORSHAGA</t>
        </is>
      </c>
      <c r="G19446" t="n">
        <v>2.2</v>
      </c>
      <c r="H19446" t="n">
        <v>0</v>
      </c>
      <c r="I19446" t="n">
        <v>0</v>
      </c>
      <c r="J19446" t="n">
        <v>0</v>
      </c>
      <c r="K19446" t="n">
        <v>0</v>
      </c>
      <c r="L19446" t="n">
        <v>0</v>
      </c>
      <c r="M19446" t="n">
        <v>0</v>
      </c>
      <c r="N19446" t="n">
        <v>0</v>
      </c>
      <c r="O19446" t="n">
        <v>0</v>
      </c>
      <c r="P19446" t="n">
        <v>0</v>
      </c>
      <c r="Q19446" t="n">
        <v>0</v>
      </c>
      <c r="R19446" s="2" t="inlineStr"/>
    </row>
    <row r="19447" ht="15" customHeight="1">
      <c r="A19447" t="inlineStr">
        <is>
          <t>A 15169-2025</t>
        </is>
      </c>
      <c r="B19447" s="1" t="n">
        <v>45744</v>
      </c>
      <c r="C19447" s="1" t="n">
        <v>45810</v>
      </c>
      <c r="D19447" t="inlineStr">
        <is>
          <t>VÄRMLANDS LÄN</t>
        </is>
      </c>
      <c r="E19447" t="inlineStr">
        <is>
          <t>TORSBY</t>
        </is>
      </c>
      <c r="G19447" t="n">
        <v>3.5</v>
      </c>
      <c r="H19447" t="n">
        <v>0</v>
      </c>
      <c r="I19447" t="n">
        <v>0</v>
      </c>
      <c r="J19447" t="n">
        <v>0</v>
      </c>
      <c r="K19447" t="n">
        <v>0</v>
      </c>
      <c r="L19447" t="n">
        <v>0</v>
      </c>
      <c r="M19447" t="n">
        <v>0</v>
      </c>
      <c r="N19447" t="n">
        <v>0</v>
      </c>
      <c r="O19447" t="n">
        <v>0</v>
      </c>
      <c r="P19447" t="n">
        <v>0</v>
      </c>
      <c r="Q19447" t="n">
        <v>0</v>
      </c>
      <c r="R19447" s="2" t="inlineStr"/>
    </row>
    <row r="19448" ht="15" customHeight="1">
      <c r="A19448" t="inlineStr">
        <is>
          <t>A 15230-2025</t>
        </is>
      </c>
      <c r="B19448" s="1" t="n">
        <v>45744</v>
      </c>
      <c r="C19448" s="1" t="n">
        <v>45810</v>
      </c>
      <c r="D19448" t="inlineStr">
        <is>
          <t>VÄRMLANDS LÄN</t>
        </is>
      </c>
      <c r="E19448" t="inlineStr">
        <is>
          <t>ÅRJÄNG</t>
        </is>
      </c>
      <c r="G19448" t="n">
        <v>17.1</v>
      </c>
      <c r="H19448" t="n">
        <v>0</v>
      </c>
      <c r="I19448" t="n">
        <v>0</v>
      </c>
      <c r="J19448" t="n">
        <v>0</v>
      </c>
      <c r="K19448" t="n">
        <v>0</v>
      </c>
      <c r="L19448" t="n">
        <v>0</v>
      </c>
      <c r="M19448" t="n">
        <v>0</v>
      </c>
      <c r="N19448" t="n">
        <v>0</v>
      </c>
      <c r="O19448" t="n">
        <v>0</v>
      </c>
      <c r="P19448" t="n">
        <v>0</v>
      </c>
      <c r="Q19448" t="n">
        <v>0</v>
      </c>
      <c r="R19448" s="2" t="inlineStr"/>
    </row>
    <row r="19449" ht="15" customHeight="1">
      <c r="A19449" t="inlineStr">
        <is>
          <t>A 15223-2025</t>
        </is>
      </c>
      <c r="B19449" s="1" t="n">
        <v>45744</v>
      </c>
      <c r="C19449" s="1" t="n">
        <v>45810</v>
      </c>
      <c r="D19449" t="inlineStr">
        <is>
          <t>VÄRMLANDS LÄN</t>
        </is>
      </c>
      <c r="E19449" t="inlineStr">
        <is>
          <t>HAGFORS</t>
        </is>
      </c>
      <c r="G19449" t="n">
        <v>5.2</v>
      </c>
      <c r="H19449" t="n">
        <v>0</v>
      </c>
      <c r="I19449" t="n">
        <v>0</v>
      </c>
      <c r="J19449" t="n">
        <v>0</v>
      </c>
      <c r="K19449" t="n">
        <v>0</v>
      </c>
      <c r="L19449" t="n">
        <v>0</v>
      </c>
      <c r="M19449" t="n">
        <v>0</v>
      </c>
      <c r="N19449" t="n">
        <v>0</v>
      </c>
      <c r="O19449" t="n">
        <v>0</v>
      </c>
      <c r="P19449" t="n">
        <v>0</v>
      </c>
      <c r="Q19449" t="n">
        <v>0</v>
      </c>
      <c r="R19449" s="2" t="inlineStr"/>
    </row>
    <row r="19450" ht="15" customHeight="1">
      <c r="A19450" t="inlineStr">
        <is>
          <t>A 15237-2025</t>
        </is>
      </c>
      <c r="B19450" s="1" t="n">
        <v>45744</v>
      </c>
      <c r="C19450" s="1" t="n">
        <v>45810</v>
      </c>
      <c r="D19450" t="inlineStr">
        <is>
          <t>VÄRMLANDS LÄN</t>
        </is>
      </c>
      <c r="E19450" t="inlineStr">
        <is>
          <t>ÅRJÄNG</t>
        </is>
      </c>
      <c r="G19450" t="n">
        <v>29.5</v>
      </c>
      <c r="H19450" t="n">
        <v>0</v>
      </c>
      <c r="I19450" t="n">
        <v>0</v>
      </c>
      <c r="J19450" t="n">
        <v>0</v>
      </c>
      <c r="K19450" t="n">
        <v>0</v>
      </c>
      <c r="L19450" t="n">
        <v>0</v>
      </c>
      <c r="M19450" t="n">
        <v>0</v>
      </c>
      <c r="N19450" t="n">
        <v>0</v>
      </c>
      <c r="O19450" t="n">
        <v>0</v>
      </c>
      <c r="P19450" t="n">
        <v>0</v>
      </c>
      <c r="Q19450" t="n">
        <v>0</v>
      </c>
      <c r="R19450" s="2" t="inlineStr"/>
    </row>
    <row r="19451" ht="15" customHeight="1">
      <c r="A19451" t="inlineStr">
        <is>
          <t>A 15210-2025</t>
        </is>
      </c>
      <c r="B19451" s="1" t="n">
        <v>45744</v>
      </c>
      <c r="C19451" s="1" t="n">
        <v>45810</v>
      </c>
      <c r="D19451" t="inlineStr">
        <is>
          <t>VÄRMLANDS LÄN</t>
        </is>
      </c>
      <c r="E19451" t="inlineStr">
        <is>
          <t>ÅRJÄNG</t>
        </is>
      </c>
      <c r="G19451" t="n">
        <v>2.7</v>
      </c>
      <c r="H19451" t="n">
        <v>0</v>
      </c>
      <c r="I19451" t="n">
        <v>0</v>
      </c>
      <c r="J19451" t="n">
        <v>0</v>
      </c>
      <c r="K19451" t="n">
        <v>0</v>
      </c>
      <c r="L19451" t="n">
        <v>0</v>
      </c>
      <c r="M19451" t="n">
        <v>0</v>
      </c>
      <c r="N19451" t="n">
        <v>0</v>
      </c>
      <c r="O19451" t="n">
        <v>0</v>
      </c>
      <c r="P19451" t="n">
        <v>0</v>
      </c>
      <c r="Q19451" t="n">
        <v>0</v>
      </c>
      <c r="R19451" s="2" t="inlineStr"/>
    </row>
    <row r="19452" ht="15" customHeight="1">
      <c r="A19452" t="inlineStr">
        <is>
          <t>A 15286-2025</t>
        </is>
      </c>
      <c r="B19452" s="1" t="n">
        <v>45745</v>
      </c>
      <c r="C19452" s="1" t="n">
        <v>45810</v>
      </c>
      <c r="D19452" t="inlineStr">
        <is>
          <t>VÄRMLANDS LÄN</t>
        </is>
      </c>
      <c r="E19452" t="inlineStr">
        <is>
          <t>EDA</t>
        </is>
      </c>
      <c r="G19452" t="n">
        <v>4.5</v>
      </c>
      <c r="H19452" t="n">
        <v>0</v>
      </c>
      <c r="I19452" t="n">
        <v>0</v>
      </c>
      <c r="J19452" t="n">
        <v>0</v>
      </c>
      <c r="K19452" t="n">
        <v>0</v>
      </c>
      <c r="L19452" t="n">
        <v>0</v>
      </c>
      <c r="M19452" t="n">
        <v>0</v>
      </c>
      <c r="N19452" t="n">
        <v>0</v>
      </c>
      <c r="O19452" t="n">
        <v>0</v>
      </c>
      <c r="P19452" t="n">
        <v>0</v>
      </c>
      <c r="Q19452" t="n">
        <v>0</v>
      </c>
      <c r="R19452" s="2" t="inlineStr"/>
    </row>
    <row r="19453" ht="15" customHeight="1">
      <c r="A19453" t="inlineStr">
        <is>
          <t>A 15333-2025</t>
        </is>
      </c>
      <c r="B19453" s="1" t="n">
        <v>45746</v>
      </c>
      <c r="C19453" s="1" t="n">
        <v>45810</v>
      </c>
      <c r="D19453" t="inlineStr">
        <is>
          <t>VÄRMLANDS LÄN</t>
        </is>
      </c>
      <c r="E19453" t="inlineStr">
        <is>
          <t>SÄFFLE</t>
        </is>
      </c>
      <c r="G19453" t="n">
        <v>1</v>
      </c>
      <c r="H19453" t="n">
        <v>0</v>
      </c>
      <c r="I19453" t="n">
        <v>0</v>
      </c>
      <c r="J19453" t="n">
        <v>0</v>
      </c>
      <c r="K19453" t="n">
        <v>0</v>
      </c>
      <c r="L19453" t="n">
        <v>0</v>
      </c>
      <c r="M19453" t="n">
        <v>0</v>
      </c>
      <c r="N19453" t="n">
        <v>0</v>
      </c>
      <c r="O19453" t="n">
        <v>0</v>
      </c>
      <c r="P19453" t="n">
        <v>0</v>
      </c>
      <c r="Q19453" t="n">
        <v>0</v>
      </c>
      <c r="R19453" s="2" t="inlineStr"/>
    </row>
    <row r="19454" ht="15" customHeight="1">
      <c r="A19454" t="inlineStr">
        <is>
          <t>A 15303-2025</t>
        </is>
      </c>
      <c r="B19454" s="1" t="n">
        <v>45746</v>
      </c>
      <c r="C19454" s="1" t="n">
        <v>45810</v>
      </c>
      <c r="D19454" t="inlineStr">
        <is>
          <t>VÄRMLANDS LÄN</t>
        </is>
      </c>
      <c r="E19454" t="inlineStr">
        <is>
          <t>ÅRJÄNG</t>
        </is>
      </c>
      <c r="G19454" t="n">
        <v>8</v>
      </c>
      <c r="H19454" t="n">
        <v>0</v>
      </c>
      <c r="I19454" t="n">
        <v>0</v>
      </c>
      <c r="J19454" t="n">
        <v>0</v>
      </c>
      <c r="K19454" t="n">
        <v>0</v>
      </c>
      <c r="L19454" t="n">
        <v>0</v>
      </c>
      <c r="M19454" t="n">
        <v>0</v>
      </c>
      <c r="N19454" t="n">
        <v>0</v>
      </c>
      <c r="O19454" t="n">
        <v>0</v>
      </c>
      <c r="P19454" t="n">
        <v>0</v>
      </c>
      <c r="Q19454" t="n">
        <v>0</v>
      </c>
      <c r="R19454" s="2" t="inlineStr"/>
    </row>
    <row r="19455" ht="15" customHeight="1">
      <c r="A19455" t="inlineStr">
        <is>
          <t>A 15300-2025</t>
        </is>
      </c>
      <c r="B19455" s="1" t="n">
        <v>45746</v>
      </c>
      <c r="C19455" s="1" t="n">
        <v>45810</v>
      </c>
      <c r="D19455" t="inlineStr">
        <is>
          <t>VÄRMLANDS LÄN</t>
        </is>
      </c>
      <c r="E19455" t="inlineStr">
        <is>
          <t>ÅRJÄNG</t>
        </is>
      </c>
      <c r="G19455" t="n">
        <v>1.4</v>
      </c>
      <c r="H19455" t="n">
        <v>0</v>
      </c>
      <c r="I19455" t="n">
        <v>0</v>
      </c>
      <c r="J19455" t="n">
        <v>0</v>
      </c>
      <c r="K19455" t="n">
        <v>0</v>
      </c>
      <c r="L19455" t="n">
        <v>0</v>
      </c>
      <c r="M19455" t="n">
        <v>0</v>
      </c>
      <c r="N19455" t="n">
        <v>0</v>
      </c>
      <c r="O19455" t="n">
        <v>0</v>
      </c>
      <c r="P19455" t="n">
        <v>0</v>
      </c>
      <c r="Q19455" t="n">
        <v>0</v>
      </c>
      <c r="R19455" s="2" t="inlineStr"/>
    </row>
    <row r="19456" ht="15" customHeight="1">
      <c r="A19456" t="inlineStr">
        <is>
          <t>A 15306-2025</t>
        </is>
      </c>
      <c r="B19456" s="1" t="n">
        <v>45746</v>
      </c>
      <c r="C19456" s="1" t="n">
        <v>45810</v>
      </c>
      <c r="D19456" t="inlineStr">
        <is>
          <t>VÄRMLANDS LÄN</t>
        </is>
      </c>
      <c r="E19456" t="inlineStr">
        <is>
          <t>HAGFORS</t>
        </is>
      </c>
      <c r="G19456" t="n">
        <v>9.4</v>
      </c>
      <c r="H19456" t="n">
        <v>0</v>
      </c>
      <c r="I19456" t="n">
        <v>0</v>
      </c>
      <c r="J19456" t="n">
        <v>0</v>
      </c>
      <c r="K19456" t="n">
        <v>0</v>
      </c>
      <c r="L19456" t="n">
        <v>0</v>
      </c>
      <c r="M19456" t="n">
        <v>0</v>
      </c>
      <c r="N19456" t="n">
        <v>0</v>
      </c>
      <c r="O19456" t="n">
        <v>0</v>
      </c>
      <c r="P19456" t="n">
        <v>0</v>
      </c>
      <c r="Q19456" t="n">
        <v>0</v>
      </c>
      <c r="R19456" s="2" t="inlineStr"/>
    </row>
    <row r="19457" ht="15" customHeight="1">
      <c r="A19457" t="inlineStr">
        <is>
          <t>A 15299-2025</t>
        </is>
      </c>
      <c r="B19457" s="1" t="n">
        <v>45746</v>
      </c>
      <c r="C19457" s="1" t="n">
        <v>45810</v>
      </c>
      <c r="D19457" t="inlineStr">
        <is>
          <t>VÄRMLANDS LÄN</t>
        </is>
      </c>
      <c r="E19457" t="inlineStr">
        <is>
          <t>ÅRJÄNG</t>
        </is>
      </c>
      <c r="G19457" t="n">
        <v>3.2</v>
      </c>
      <c r="H19457" t="n">
        <v>0</v>
      </c>
      <c r="I19457" t="n">
        <v>0</v>
      </c>
      <c r="J19457" t="n">
        <v>0</v>
      </c>
      <c r="K19457" t="n">
        <v>0</v>
      </c>
      <c r="L19457" t="n">
        <v>0</v>
      </c>
      <c r="M19457" t="n">
        <v>0</v>
      </c>
      <c r="N19457" t="n">
        <v>0</v>
      </c>
      <c r="O19457" t="n">
        <v>0</v>
      </c>
      <c r="P19457" t="n">
        <v>0</v>
      </c>
      <c r="Q19457" t="n">
        <v>0</v>
      </c>
      <c r="R19457" s="2" t="inlineStr"/>
    </row>
    <row r="19458" ht="15" customHeight="1">
      <c r="A19458" t="inlineStr">
        <is>
          <t>A 15323-2025</t>
        </is>
      </c>
      <c r="B19458" s="1" t="n">
        <v>45747</v>
      </c>
      <c r="C19458" s="1" t="n">
        <v>45810</v>
      </c>
      <c r="D19458" t="inlineStr">
        <is>
          <t>VÄRMLANDS LÄN</t>
        </is>
      </c>
      <c r="E19458" t="inlineStr">
        <is>
          <t>ÅRJÄNG</t>
        </is>
      </c>
      <c r="G19458" t="n">
        <v>5.5</v>
      </c>
      <c r="H19458" t="n">
        <v>0</v>
      </c>
      <c r="I19458" t="n">
        <v>0</v>
      </c>
      <c r="J19458" t="n">
        <v>0</v>
      </c>
      <c r="K19458" t="n">
        <v>0</v>
      </c>
      <c r="L19458" t="n">
        <v>0</v>
      </c>
      <c r="M19458" t="n">
        <v>0</v>
      </c>
      <c r="N19458" t="n">
        <v>0</v>
      </c>
      <c r="O19458" t="n">
        <v>0</v>
      </c>
      <c r="P19458" t="n">
        <v>0</v>
      </c>
      <c r="Q19458" t="n">
        <v>0</v>
      </c>
      <c r="R19458" s="2" t="inlineStr"/>
    </row>
    <row r="19459" ht="15" customHeight="1">
      <c r="A19459" t="inlineStr">
        <is>
          <t>A 15317-2025</t>
        </is>
      </c>
      <c r="B19459" s="1" t="n">
        <v>45747</v>
      </c>
      <c r="C19459" s="1" t="n">
        <v>45810</v>
      </c>
      <c r="D19459" t="inlineStr">
        <is>
          <t>VÄRMLANDS LÄN</t>
        </is>
      </c>
      <c r="E19459" t="inlineStr">
        <is>
          <t>SÄFFLE</t>
        </is>
      </c>
      <c r="F19459" t="inlineStr">
        <is>
          <t>Bergvik skog väst AB</t>
        </is>
      </c>
      <c r="G19459" t="n">
        <v>13</v>
      </c>
      <c r="H19459" t="n">
        <v>0</v>
      </c>
      <c r="I19459" t="n">
        <v>0</v>
      </c>
      <c r="J19459" t="n">
        <v>0</v>
      </c>
      <c r="K19459" t="n">
        <v>0</v>
      </c>
      <c r="L19459" t="n">
        <v>0</v>
      </c>
      <c r="M19459" t="n">
        <v>0</v>
      </c>
      <c r="N19459" t="n">
        <v>0</v>
      </c>
      <c r="O19459" t="n">
        <v>0</v>
      </c>
      <c r="P19459" t="n">
        <v>0</v>
      </c>
      <c r="Q19459" t="n">
        <v>0</v>
      </c>
      <c r="R19459" s="2" t="inlineStr"/>
    </row>
    <row r="19460" ht="15" customHeight="1">
      <c r="A19460" t="inlineStr">
        <is>
          <t>A 15575-2025</t>
        </is>
      </c>
      <c r="B19460" s="1" t="n">
        <v>45747</v>
      </c>
      <c r="C19460" s="1" t="n">
        <v>45810</v>
      </c>
      <c r="D19460" t="inlineStr">
        <is>
          <t>VÄRMLANDS LÄN</t>
        </is>
      </c>
      <c r="E19460" t="inlineStr">
        <is>
          <t>ÅRJÄNG</t>
        </is>
      </c>
      <c r="G19460" t="n">
        <v>0.7</v>
      </c>
      <c r="H19460" t="n">
        <v>0</v>
      </c>
      <c r="I19460" t="n">
        <v>0</v>
      </c>
      <c r="J19460" t="n">
        <v>0</v>
      </c>
      <c r="K19460" t="n">
        <v>0</v>
      </c>
      <c r="L19460" t="n">
        <v>0</v>
      </c>
      <c r="M19460" t="n">
        <v>0</v>
      </c>
      <c r="N19460" t="n">
        <v>0</v>
      </c>
      <c r="O19460" t="n">
        <v>0</v>
      </c>
      <c r="P19460" t="n">
        <v>0</v>
      </c>
      <c r="Q19460" t="n">
        <v>0</v>
      </c>
      <c r="R19460" s="2" t="inlineStr"/>
    </row>
    <row r="19461" ht="15" customHeight="1">
      <c r="A19461" t="inlineStr">
        <is>
          <t>A 15577-2025</t>
        </is>
      </c>
      <c r="B19461" s="1" t="n">
        <v>45747</v>
      </c>
      <c r="C19461" s="1" t="n">
        <v>45810</v>
      </c>
      <c r="D19461" t="inlineStr">
        <is>
          <t>VÄRMLANDS LÄN</t>
        </is>
      </c>
      <c r="E19461" t="inlineStr">
        <is>
          <t>ÅRJÄNG</t>
        </is>
      </c>
      <c r="G19461" t="n">
        <v>2.4</v>
      </c>
      <c r="H19461" t="n">
        <v>0</v>
      </c>
      <c r="I19461" t="n">
        <v>0</v>
      </c>
      <c r="J19461" t="n">
        <v>0</v>
      </c>
      <c r="K19461" t="n">
        <v>0</v>
      </c>
      <c r="L19461" t="n">
        <v>0</v>
      </c>
      <c r="M19461" t="n">
        <v>0</v>
      </c>
      <c r="N19461" t="n">
        <v>0</v>
      </c>
      <c r="O19461" t="n">
        <v>0</v>
      </c>
      <c r="P19461" t="n">
        <v>0</v>
      </c>
      <c r="Q19461" t="n">
        <v>0</v>
      </c>
      <c r="R19461" s="2" t="inlineStr"/>
    </row>
    <row r="19462" ht="15" customHeight="1">
      <c r="A19462" t="inlineStr">
        <is>
          <t>A 15319-2025</t>
        </is>
      </c>
      <c r="B19462" s="1" t="n">
        <v>45747</v>
      </c>
      <c r="C19462" s="1" t="n">
        <v>45810</v>
      </c>
      <c r="D19462" t="inlineStr">
        <is>
          <t>VÄRMLANDS LÄN</t>
        </is>
      </c>
      <c r="E19462" t="inlineStr">
        <is>
          <t>SÄFFLE</t>
        </is>
      </c>
      <c r="F19462" t="inlineStr">
        <is>
          <t>Bergvik skog väst AB</t>
        </is>
      </c>
      <c r="G19462" t="n">
        <v>0.5</v>
      </c>
      <c r="H19462" t="n">
        <v>0</v>
      </c>
      <c r="I19462" t="n">
        <v>0</v>
      </c>
      <c r="J19462" t="n">
        <v>0</v>
      </c>
      <c r="K19462" t="n">
        <v>0</v>
      </c>
      <c r="L19462" t="n">
        <v>0</v>
      </c>
      <c r="M19462" t="n">
        <v>0</v>
      </c>
      <c r="N19462" t="n">
        <v>0</v>
      </c>
      <c r="O19462" t="n">
        <v>0</v>
      </c>
      <c r="P19462" t="n">
        <v>0</v>
      </c>
      <c r="Q19462" t="n">
        <v>0</v>
      </c>
      <c r="R19462" s="2" t="inlineStr"/>
    </row>
    <row r="19463" ht="15" customHeight="1">
      <c r="A19463" t="inlineStr">
        <is>
          <t>A 15477-2025</t>
        </is>
      </c>
      <c r="B19463" s="1" t="n">
        <v>45747</v>
      </c>
      <c r="C19463" s="1" t="n">
        <v>45810</v>
      </c>
      <c r="D19463" t="inlineStr">
        <is>
          <t>VÄRMLANDS LÄN</t>
        </is>
      </c>
      <c r="E19463" t="inlineStr">
        <is>
          <t>KIL</t>
        </is>
      </c>
      <c r="G19463" t="n">
        <v>11.5</v>
      </c>
      <c r="H19463" t="n">
        <v>0</v>
      </c>
      <c r="I19463" t="n">
        <v>0</v>
      </c>
      <c r="J19463" t="n">
        <v>0</v>
      </c>
      <c r="K19463" t="n">
        <v>0</v>
      </c>
      <c r="L19463" t="n">
        <v>0</v>
      </c>
      <c r="M19463" t="n">
        <v>0</v>
      </c>
      <c r="N19463" t="n">
        <v>0</v>
      </c>
      <c r="O19463" t="n">
        <v>0</v>
      </c>
      <c r="P19463" t="n">
        <v>0</v>
      </c>
      <c r="Q19463" t="n">
        <v>0</v>
      </c>
      <c r="R19463" s="2" t="inlineStr"/>
    </row>
    <row r="19464" ht="15" customHeight="1">
      <c r="A19464" t="inlineStr">
        <is>
          <t>A 15398-2025</t>
        </is>
      </c>
      <c r="B19464" s="1" t="n">
        <v>45747</v>
      </c>
      <c r="C19464" s="1" t="n">
        <v>45810</v>
      </c>
      <c r="D19464" t="inlineStr">
        <is>
          <t>VÄRMLANDS LÄN</t>
        </is>
      </c>
      <c r="E19464" t="inlineStr">
        <is>
          <t>TORSBY</t>
        </is>
      </c>
      <c r="G19464" t="n">
        <v>8</v>
      </c>
      <c r="H19464" t="n">
        <v>0</v>
      </c>
      <c r="I19464" t="n">
        <v>0</v>
      </c>
      <c r="J19464" t="n">
        <v>0</v>
      </c>
      <c r="K19464" t="n">
        <v>0</v>
      </c>
      <c r="L19464" t="n">
        <v>0</v>
      </c>
      <c r="M19464" t="n">
        <v>0</v>
      </c>
      <c r="N19464" t="n">
        <v>0</v>
      </c>
      <c r="O19464" t="n">
        <v>0</v>
      </c>
      <c r="P19464" t="n">
        <v>0</v>
      </c>
      <c r="Q19464" t="n">
        <v>0</v>
      </c>
      <c r="R19464" s="2" t="inlineStr"/>
    </row>
    <row r="19465" ht="15" customHeight="1">
      <c r="A19465" t="inlineStr">
        <is>
          <t>A 15518-2025</t>
        </is>
      </c>
      <c r="B19465" s="1" t="n">
        <v>45747</v>
      </c>
      <c r="C19465" s="1" t="n">
        <v>45810</v>
      </c>
      <c r="D19465" t="inlineStr">
        <is>
          <t>VÄRMLANDS LÄN</t>
        </is>
      </c>
      <c r="E19465" t="inlineStr">
        <is>
          <t>ARVIKA</t>
        </is>
      </c>
      <c r="G19465" t="n">
        <v>1.1</v>
      </c>
      <c r="H19465" t="n">
        <v>0</v>
      </c>
      <c r="I19465" t="n">
        <v>0</v>
      </c>
      <c r="J19465" t="n">
        <v>0</v>
      </c>
      <c r="K19465" t="n">
        <v>0</v>
      </c>
      <c r="L19465" t="n">
        <v>0</v>
      </c>
      <c r="M19465" t="n">
        <v>0</v>
      </c>
      <c r="N19465" t="n">
        <v>0</v>
      </c>
      <c r="O19465" t="n">
        <v>0</v>
      </c>
      <c r="P19465" t="n">
        <v>0</v>
      </c>
      <c r="Q19465" t="n">
        <v>0</v>
      </c>
      <c r="R19465" s="2" t="inlineStr"/>
    </row>
    <row r="19466" ht="15" customHeight="1">
      <c r="A19466" t="inlineStr">
        <is>
          <t>A 15553-2025</t>
        </is>
      </c>
      <c r="B19466" s="1" t="n">
        <v>45747</v>
      </c>
      <c r="C19466" s="1" t="n">
        <v>45810</v>
      </c>
      <c r="D19466" t="inlineStr">
        <is>
          <t>VÄRMLANDS LÄN</t>
        </is>
      </c>
      <c r="E19466" t="inlineStr">
        <is>
          <t>HAGFORS</t>
        </is>
      </c>
      <c r="G19466" t="n">
        <v>5.1</v>
      </c>
      <c r="H19466" t="n">
        <v>0</v>
      </c>
      <c r="I19466" t="n">
        <v>0</v>
      </c>
      <c r="J19466" t="n">
        <v>0</v>
      </c>
      <c r="K19466" t="n">
        <v>0</v>
      </c>
      <c r="L19466" t="n">
        <v>0</v>
      </c>
      <c r="M19466" t="n">
        <v>0</v>
      </c>
      <c r="N19466" t="n">
        <v>0</v>
      </c>
      <c r="O19466" t="n">
        <v>0</v>
      </c>
      <c r="P19466" t="n">
        <v>0</v>
      </c>
      <c r="Q19466" t="n">
        <v>0</v>
      </c>
      <c r="R19466" s="2" t="inlineStr"/>
    </row>
    <row r="19467" ht="15" customHeight="1">
      <c r="A19467" t="inlineStr">
        <is>
          <t>A 15574-2025</t>
        </is>
      </c>
      <c r="B19467" s="1" t="n">
        <v>45747</v>
      </c>
      <c r="C19467" s="1" t="n">
        <v>45810</v>
      </c>
      <c r="D19467" t="inlineStr">
        <is>
          <t>VÄRMLANDS LÄN</t>
        </is>
      </c>
      <c r="E19467" t="inlineStr">
        <is>
          <t>ÅRJÄNG</t>
        </is>
      </c>
      <c r="G19467" t="n">
        <v>2.4</v>
      </c>
      <c r="H19467" t="n">
        <v>0</v>
      </c>
      <c r="I19467" t="n">
        <v>0</v>
      </c>
      <c r="J19467" t="n">
        <v>0</v>
      </c>
      <c r="K19467" t="n">
        <v>0</v>
      </c>
      <c r="L19467" t="n">
        <v>0</v>
      </c>
      <c r="M19467" t="n">
        <v>0</v>
      </c>
      <c r="N19467" t="n">
        <v>0</v>
      </c>
      <c r="O19467" t="n">
        <v>0</v>
      </c>
      <c r="P19467" t="n">
        <v>0</v>
      </c>
      <c r="Q19467" t="n">
        <v>0</v>
      </c>
      <c r="R19467" s="2" t="inlineStr"/>
    </row>
    <row r="19468" ht="15" customHeight="1">
      <c r="A19468" t="inlineStr">
        <is>
          <t>A 15578-2025</t>
        </is>
      </c>
      <c r="B19468" s="1" t="n">
        <v>45747</v>
      </c>
      <c r="C19468" s="1" t="n">
        <v>45810</v>
      </c>
      <c r="D19468" t="inlineStr">
        <is>
          <t>VÄRMLANDS LÄN</t>
        </is>
      </c>
      <c r="E19468" t="inlineStr">
        <is>
          <t>ÅRJÄNG</t>
        </is>
      </c>
      <c r="G19468" t="n">
        <v>4.6</v>
      </c>
      <c r="H19468" t="n">
        <v>0</v>
      </c>
      <c r="I19468" t="n">
        <v>0</v>
      </c>
      <c r="J19468" t="n">
        <v>0</v>
      </c>
      <c r="K19468" t="n">
        <v>0</v>
      </c>
      <c r="L19468" t="n">
        <v>0</v>
      </c>
      <c r="M19468" t="n">
        <v>0</v>
      </c>
      <c r="N19468" t="n">
        <v>0</v>
      </c>
      <c r="O19468" t="n">
        <v>0</v>
      </c>
      <c r="P19468" t="n">
        <v>0</v>
      </c>
      <c r="Q19468" t="n">
        <v>0</v>
      </c>
      <c r="R19468" s="2" t="inlineStr"/>
    </row>
    <row r="19469" ht="15" customHeight="1">
      <c r="A19469" t="inlineStr">
        <is>
          <t>A 15425-2025</t>
        </is>
      </c>
      <c r="B19469" s="1" t="n">
        <v>45747</v>
      </c>
      <c r="C19469" s="1" t="n">
        <v>45810</v>
      </c>
      <c r="D19469" t="inlineStr">
        <is>
          <t>VÄRMLANDS LÄN</t>
        </is>
      </c>
      <c r="E19469" t="inlineStr">
        <is>
          <t>GRUMS</t>
        </is>
      </c>
      <c r="G19469" t="n">
        <v>5.1</v>
      </c>
      <c r="H19469" t="n">
        <v>0</v>
      </c>
      <c r="I19469" t="n">
        <v>0</v>
      </c>
      <c r="J19469" t="n">
        <v>0</v>
      </c>
      <c r="K19469" t="n">
        <v>0</v>
      </c>
      <c r="L19469" t="n">
        <v>0</v>
      </c>
      <c r="M19469" t="n">
        <v>0</v>
      </c>
      <c r="N19469" t="n">
        <v>0</v>
      </c>
      <c r="O19469" t="n">
        <v>0</v>
      </c>
      <c r="P19469" t="n">
        <v>0</v>
      </c>
      <c r="Q19469" t="n">
        <v>0</v>
      </c>
      <c r="R19469" s="2" t="inlineStr"/>
    </row>
    <row r="19470" ht="15" customHeight="1">
      <c r="A19470" t="inlineStr">
        <is>
          <t>A 15447-2025</t>
        </is>
      </c>
      <c r="B19470" s="1" t="n">
        <v>45747</v>
      </c>
      <c r="C19470" s="1" t="n">
        <v>45810</v>
      </c>
      <c r="D19470" t="inlineStr">
        <is>
          <t>VÄRMLANDS LÄN</t>
        </is>
      </c>
      <c r="E19470" t="inlineStr">
        <is>
          <t>GRUMS</t>
        </is>
      </c>
      <c r="G19470" t="n">
        <v>1.9</v>
      </c>
      <c r="H19470" t="n">
        <v>0</v>
      </c>
      <c r="I19470" t="n">
        <v>0</v>
      </c>
      <c r="J19470" t="n">
        <v>0</v>
      </c>
      <c r="K19470" t="n">
        <v>0</v>
      </c>
      <c r="L19470" t="n">
        <v>0</v>
      </c>
      <c r="M19470" t="n">
        <v>0</v>
      </c>
      <c r="N19470" t="n">
        <v>0</v>
      </c>
      <c r="O19470" t="n">
        <v>0</v>
      </c>
      <c r="P19470" t="n">
        <v>0</v>
      </c>
      <c r="Q19470" t="n">
        <v>0</v>
      </c>
      <c r="R19470" s="2" t="inlineStr"/>
    </row>
    <row r="19471" ht="15" customHeight="1">
      <c r="A19471" t="inlineStr">
        <is>
          <t>A 15431-2025</t>
        </is>
      </c>
      <c r="B19471" s="1" t="n">
        <v>45747</v>
      </c>
      <c r="C19471" s="1" t="n">
        <v>45810</v>
      </c>
      <c r="D19471" t="inlineStr">
        <is>
          <t>VÄRMLANDS LÄN</t>
        </is>
      </c>
      <c r="E19471" t="inlineStr">
        <is>
          <t>TORSBY</t>
        </is>
      </c>
      <c r="G19471" t="n">
        <v>2.9</v>
      </c>
      <c r="H19471" t="n">
        <v>0</v>
      </c>
      <c r="I19471" t="n">
        <v>0</v>
      </c>
      <c r="J19471" t="n">
        <v>0</v>
      </c>
      <c r="K19471" t="n">
        <v>0</v>
      </c>
      <c r="L19471" t="n">
        <v>0</v>
      </c>
      <c r="M19471" t="n">
        <v>0</v>
      </c>
      <c r="N19471" t="n">
        <v>0</v>
      </c>
      <c r="O19471" t="n">
        <v>0</v>
      </c>
      <c r="P19471" t="n">
        <v>0</v>
      </c>
      <c r="Q19471" t="n">
        <v>0</v>
      </c>
      <c r="R19471" s="2" t="inlineStr"/>
    </row>
    <row r="19472" ht="15" customHeight="1">
      <c r="A19472" t="inlineStr">
        <is>
          <t>A 15570-2025</t>
        </is>
      </c>
      <c r="B19472" s="1" t="n">
        <v>45747</v>
      </c>
      <c r="C19472" s="1" t="n">
        <v>45810</v>
      </c>
      <c r="D19472" t="inlineStr">
        <is>
          <t>VÄRMLANDS LÄN</t>
        </is>
      </c>
      <c r="E19472" t="inlineStr">
        <is>
          <t>ÅRJÄNG</t>
        </is>
      </c>
      <c r="G19472" t="n">
        <v>1.1</v>
      </c>
      <c r="H19472" t="n">
        <v>0</v>
      </c>
      <c r="I19472" t="n">
        <v>0</v>
      </c>
      <c r="J19472" t="n">
        <v>0</v>
      </c>
      <c r="K19472" t="n">
        <v>0</v>
      </c>
      <c r="L19472" t="n">
        <v>0</v>
      </c>
      <c r="M19472" t="n">
        <v>0</v>
      </c>
      <c r="N19472" t="n">
        <v>0</v>
      </c>
      <c r="O19472" t="n">
        <v>0</v>
      </c>
      <c r="P19472" t="n">
        <v>0</v>
      </c>
      <c r="Q19472" t="n">
        <v>0</v>
      </c>
      <c r="R19472" s="2" t="inlineStr"/>
    </row>
    <row r="19473" ht="15" customHeight="1">
      <c r="A19473" t="inlineStr">
        <is>
          <t>A 15396-2025</t>
        </is>
      </c>
      <c r="B19473" s="1" t="n">
        <v>45747</v>
      </c>
      <c r="C19473" s="1" t="n">
        <v>45810</v>
      </c>
      <c r="D19473" t="inlineStr">
        <is>
          <t>VÄRMLANDS LÄN</t>
        </is>
      </c>
      <c r="E19473" t="inlineStr">
        <is>
          <t>FILIPSTAD</t>
        </is>
      </c>
      <c r="G19473" t="n">
        <v>1.5</v>
      </c>
      <c r="H19473" t="n">
        <v>0</v>
      </c>
      <c r="I19473" t="n">
        <v>0</v>
      </c>
      <c r="J19473" t="n">
        <v>0</v>
      </c>
      <c r="K19473" t="n">
        <v>0</v>
      </c>
      <c r="L19473" t="n">
        <v>0</v>
      </c>
      <c r="M19473" t="n">
        <v>0</v>
      </c>
      <c r="N19473" t="n">
        <v>0</v>
      </c>
      <c r="O19473" t="n">
        <v>0</v>
      </c>
      <c r="P19473" t="n">
        <v>0</v>
      </c>
      <c r="Q19473" t="n">
        <v>0</v>
      </c>
      <c r="R19473" s="2" t="inlineStr"/>
    </row>
    <row r="19474" ht="15" customHeight="1">
      <c r="A19474" t="inlineStr">
        <is>
          <t>A 15572-2025</t>
        </is>
      </c>
      <c r="B19474" s="1" t="n">
        <v>45747</v>
      </c>
      <c r="C19474" s="1" t="n">
        <v>45810</v>
      </c>
      <c r="D19474" t="inlineStr">
        <is>
          <t>VÄRMLANDS LÄN</t>
        </is>
      </c>
      <c r="E19474" t="inlineStr">
        <is>
          <t>ÅRJÄNG</t>
        </is>
      </c>
      <c r="G19474" t="n">
        <v>1.6</v>
      </c>
      <c r="H19474" t="n">
        <v>0</v>
      </c>
      <c r="I19474" t="n">
        <v>0</v>
      </c>
      <c r="J19474" t="n">
        <v>0</v>
      </c>
      <c r="K19474" t="n">
        <v>0</v>
      </c>
      <c r="L19474" t="n">
        <v>0</v>
      </c>
      <c r="M19474" t="n">
        <v>0</v>
      </c>
      <c r="N19474" t="n">
        <v>0</v>
      </c>
      <c r="O19474" t="n">
        <v>0</v>
      </c>
      <c r="P19474" t="n">
        <v>0</v>
      </c>
      <c r="Q19474" t="n">
        <v>0</v>
      </c>
      <c r="R19474" s="2" t="inlineStr"/>
    </row>
    <row r="19475" ht="15" customHeight="1">
      <c r="A19475" t="inlineStr">
        <is>
          <t>A 15579-2025</t>
        </is>
      </c>
      <c r="B19475" s="1" t="n">
        <v>45747</v>
      </c>
      <c r="C19475" s="1" t="n">
        <v>45810</v>
      </c>
      <c r="D19475" t="inlineStr">
        <is>
          <t>VÄRMLANDS LÄN</t>
        </is>
      </c>
      <c r="E19475" t="inlineStr">
        <is>
          <t>ÅRJÄNG</t>
        </is>
      </c>
      <c r="G19475" t="n">
        <v>1.2</v>
      </c>
      <c r="H19475" t="n">
        <v>0</v>
      </c>
      <c r="I19475" t="n">
        <v>0</v>
      </c>
      <c r="J19475" t="n">
        <v>0</v>
      </c>
      <c r="K19475" t="n">
        <v>0</v>
      </c>
      <c r="L19475" t="n">
        <v>0</v>
      </c>
      <c r="M19475" t="n">
        <v>0</v>
      </c>
      <c r="N19475" t="n">
        <v>0</v>
      </c>
      <c r="O19475" t="n">
        <v>0</v>
      </c>
      <c r="P19475" t="n">
        <v>0</v>
      </c>
      <c r="Q19475" t="n">
        <v>0</v>
      </c>
      <c r="R19475" s="2" t="inlineStr"/>
    </row>
    <row r="19476" ht="15" customHeight="1">
      <c r="A19476" t="inlineStr">
        <is>
          <t>A 15495-2025</t>
        </is>
      </c>
      <c r="B19476" s="1" t="n">
        <v>45747</v>
      </c>
      <c r="C19476" s="1" t="n">
        <v>45810</v>
      </c>
      <c r="D19476" t="inlineStr">
        <is>
          <t>VÄRMLANDS LÄN</t>
        </is>
      </c>
      <c r="E19476" t="inlineStr">
        <is>
          <t>HAGFORS</t>
        </is>
      </c>
      <c r="F19476" t="inlineStr">
        <is>
          <t>Bergvik skog väst AB</t>
        </is>
      </c>
      <c r="G19476" t="n">
        <v>4.1</v>
      </c>
      <c r="H19476" t="n">
        <v>0</v>
      </c>
      <c r="I19476" t="n">
        <v>0</v>
      </c>
      <c r="J19476" t="n">
        <v>0</v>
      </c>
      <c r="K19476" t="n">
        <v>0</v>
      </c>
      <c r="L19476" t="n">
        <v>0</v>
      </c>
      <c r="M19476" t="n">
        <v>0</v>
      </c>
      <c r="N19476" t="n">
        <v>0</v>
      </c>
      <c r="O19476" t="n">
        <v>0</v>
      </c>
      <c r="P19476" t="n">
        <v>0</v>
      </c>
      <c r="Q19476" t="n">
        <v>0</v>
      </c>
      <c r="R19476" s="2" t="inlineStr"/>
    </row>
    <row r="19477" ht="15" customHeight="1">
      <c r="A19477" t="inlineStr">
        <is>
          <t>A 15406-2025</t>
        </is>
      </c>
      <c r="B19477" s="1" t="n">
        <v>45747</v>
      </c>
      <c r="C19477" s="1" t="n">
        <v>45810</v>
      </c>
      <c r="D19477" t="inlineStr">
        <is>
          <t>VÄRMLANDS LÄN</t>
        </is>
      </c>
      <c r="E19477" t="inlineStr">
        <is>
          <t>FILIPSTAD</t>
        </is>
      </c>
      <c r="G19477" t="n">
        <v>1</v>
      </c>
      <c r="H19477" t="n">
        <v>0</v>
      </c>
      <c r="I19477" t="n">
        <v>0</v>
      </c>
      <c r="J19477" t="n">
        <v>0</v>
      </c>
      <c r="K19477" t="n">
        <v>0</v>
      </c>
      <c r="L19477" t="n">
        <v>0</v>
      </c>
      <c r="M19477" t="n">
        <v>0</v>
      </c>
      <c r="N19477" t="n">
        <v>0</v>
      </c>
      <c r="O19477" t="n">
        <v>0</v>
      </c>
      <c r="P19477" t="n">
        <v>0</v>
      </c>
      <c r="Q19477" t="n">
        <v>0</v>
      </c>
      <c r="R19477" s="2" t="inlineStr"/>
    </row>
    <row r="19478" ht="15" customHeight="1">
      <c r="A19478" t="inlineStr">
        <is>
          <t>A 15445-2025</t>
        </is>
      </c>
      <c r="B19478" s="1" t="n">
        <v>45747</v>
      </c>
      <c r="C19478" s="1" t="n">
        <v>45810</v>
      </c>
      <c r="D19478" t="inlineStr">
        <is>
          <t>VÄRMLANDS LÄN</t>
        </is>
      </c>
      <c r="E19478" t="inlineStr">
        <is>
          <t>HAGFORS</t>
        </is>
      </c>
      <c r="F19478" t="inlineStr">
        <is>
          <t>Bergvik skog väst AB</t>
        </is>
      </c>
      <c r="G19478" t="n">
        <v>3.9</v>
      </c>
      <c r="H19478" t="n">
        <v>0</v>
      </c>
      <c r="I19478" t="n">
        <v>0</v>
      </c>
      <c r="J19478" t="n">
        <v>0</v>
      </c>
      <c r="K19478" t="n">
        <v>0</v>
      </c>
      <c r="L19478" t="n">
        <v>0</v>
      </c>
      <c r="M19478" t="n">
        <v>0</v>
      </c>
      <c r="N19478" t="n">
        <v>0</v>
      </c>
      <c r="O19478" t="n">
        <v>0</v>
      </c>
      <c r="P19478" t="n">
        <v>0</v>
      </c>
      <c r="Q19478" t="n">
        <v>0</v>
      </c>
      <c r="R19478" s="2" t="inlineStr"/>
    </row>
    <row r="19479" ht="15" customHeight="1">
      <c r="A19479" t="inlineStr">
        <is>
          <t>A 15717-2025</t>
        </is>
      </c>
      <c r="B19479" s="1" t="n">
        <v>45747</v>
      </c>
      <c r="C19479" s="1" t="n">
        <v>45810</v>
      </c>
      <c r="D19479" t="inlineStr">
        <is>
          <t>VÄRMLANDS LÄN</t>
        </is>
      </c>
      <c r="E19479" t="inlineStr">
        <is>
          <t>SUNNE</t>
        </is>
      </c>
      <c r="G19479" t="n">
        <v>2.3</v>
      </c>
      <c r="H19479" t="n">
        <v>0</v>
      </c>
      <c r="I19479" t="n">
        <v>0</v>
      </c>
      <c r="J19479" t="n">
        <v>0</v>
      </c>
      <c r="K19479" t="n">
        <v>0</v>
      </c>
      <c r="L19479" t="n">
        <v>0</v>
      </c>
      <c r="M19479" t="n">
        <v>0</v>
      </c>
      <c r="N19479" t="n">
        <v>0</v>
      </c>
      <c r="O19479" t="n">
        <v>0</v>
      </c>
      <c r="P19479" t="n">
        <v>0</v>
      </c>
      <c r="Q19479" t="n">
        <v>0</v>
      </c>
      <c r="R19479" s="2" t="inlineStr"/>
    </row>
    <row r="19480" ht="15" customHeight="1">
      <c r="A19480" t="inlineStr">
        <is>
          <t>A 15395-2025</t>
        </is>
      </c>
      <c r="B19480" s="1" t="n">
        <v>45747</v>
      </c>
      <c r="C19480" s="1" t="n">
        <v>45810</v>
      </c>
      <c r="D19480" t="inlineStr">
        <is>
          <t>VÄRMLANDS LÄN</t>
        </is>
      </c>
      <c r="E19480" t="inlineStr">
        <is>
          <t>KARLSTAD</t>
        </is>
      </c>
      <c r="G19480" t="n">
        <v>12.3</v>
      </c>
      <c r="H19480" t="n">
        <v>0</v>
      </c>
      <c r="I19480" t="n">
        <v>0</v>
      </c>
      <c r="J19480" t="n">
        <v>0</v>
      </c>
      <c r="K19480" t="n">
        <v>0</v>
      </c>
      <c r="L19480" t="n">
        <v>0</v>
      </c>
      <c r="M19480" t="n">
        <v>0</v>
      </c>
      <c r="N19480" t="n">
        <v>0</v>
      </c>
      <c r="O19480" t="n">
        <v>0</v>
      </c>
      <c r="P19480" t="n">
        <v>0</v>
      </c>
      <c r="Q19480" t="n">
        <v>0</v>
      </c>
      <c r="R19480" s="2" t="inlineStr"/>
    </row>
    <row r="19481" ht="15" customHeight="1">
      <c r="A19481" t="inlineStr">
        <is>
          <t>A 15546-2025</t>
        </is>
      </c>
      <c r="B19481" s="1" t="n">
        <v>45747</v>
      </c>
      <c r="C19481" s="1" t="n">
        <v>45810</v>
      </c>
      <c r="D19481" t="inlineStr">
        <is>
          <t>VÄRMLANDS LÄN</t>
        </is>
      </c>
      <c r="E19481" t="inlineStr">
        <is>
          <t>ÅRJÄNG</t>
        </is>
      </c>
      <c r="G19481" t="n">
        <v>2.2</v>
      </c>
      <c r="H19481" t="n">
        <v>0</v>
      </c>
      <c r="I19481" t="n">
        <v>0</v>
      </c>
      <c r="J19481" t="n">
        <v>0</v>
      </c>
      <c r="K19481" t="n">
        <v>0</v>
      </c>
      <c r="L19481" t="n">
        <v>0</v>
      </c>
      <c r="M19481" t="n">
        <v>0</v>
      </c>
      <c r="N19481" t="n">
        <v>0</v>
      </c>
      <c r="O19481" t="n">
        <v>0</v>
      </c>
      <c r="P19481" t="n">
        <v>0</v>
      </c>
      <c r="Q19481" t="n">
        <v>0</v>
      </c>
      <c r="R19481" s="2" t="inlineStr"/>
    </row>
    <row r="19482" ht="15" customHeight="1">
      <c r="A19482" t="inlineStr">
        <is>
          <t>A 15547-2025</t>
        </is>
      </c>
      <c r="B19482" s="1" t="n">
        <v>45747</v>
      </c>
      <c r="C19482" s="1" t="n">
        <v>45810</v>
      </c>
      <c r="D19482" t="inlineStr">
        <is>
          <t>VÄRMLANDS LÄN</t>
        </is>
      </c>
      <c r="E19482" t="inlineStr">
        <is>
          <t>ÅRJÄNG</t>
        </is>
      </c>
      <c r="G19482" t="n">
        <v>5.8</v>
      </c>
      <c r="H19482" t="n">
        <v>0</v>
      </c>
      <c r="I19482" t="n">
        <v>0</v>
      </c>
      <c r="J19482" t="n">
        <v>0</v>
      </c>
      <c r="K19482" t="n">
        <v>0</v>
      </c>
      <c r="L19482" t="n">
        <v>0</v>
      </c>
      <c r="M19482" t="n">
        <v>0</v>
      </c>
      <c r="N19482" t="n">
        <v>0</v>
      </c>
      <c r="O19482" t="n">
        <v>0</v>
      </c>
      <c r="P19482" t="n">
        <v>0</v>
      </c>
      <c r="Q19482" t="n">
        <v>0</v>
      </c>
      <c r="R19482" s="2" t="inlineStr"/>
    </row>
    <row r="19483" ht="15" customHeight="1">
      <c r="A19483" t="inlineStr">
        <is>
          <t>A 15548-2025</t>
        </is>
      </c>
      <c r="B19483" s="1" t="n">
        <v>45747</v>
      </c>
      <c r="C19483" s="1" t="n">
        <v>45810</v>
      </c>
      <c r="D19483" t="inlineStr">
        <is>
          <t>VÄRMLANDS LÄN</t>
        </is>
      </c>
      <c r="E19483" t="inlineStr">
        <is>
          <t>ÅRJÄNG</t>
        </is>
      </c>
      <c r="G19483" t="n">
        <v>2.5</v>
      </c>
      <c r="H19483" t="n">
        <v>0</v>
      </c>
      <c r="I19483" t="n">
        <v>0</v>
      </c>
      <c r="J19483" t="n">
        <v>0</v>
      </c>
      <c r="K19483" t="n">
        <v>0</v>
      </c>
      <c r="L19483" t="n">
        <v>0</v>
      </c>
      <c r="M19483" t="n">
        <v>0</v>
      </c>
      <c r="N19483" t="n">
        <v>0</v>
      </c>
      <c r="O19483" t="n">
        <v>0</v>
      </c>
      <c r="P19483" t="n">
        <v>0</v>
      </c>
      <c r="Q19483" t="n">
        <v>0</v>
      </c>
      <c r="R19483" s="2" t="inlineStr"/>
    </row>
    <row r="19484" ht="15" customHeight="1">
      <c r="A19484" t="inlineStr">
        <is>
          <t>A 15464-2025</t>
        </is>
      </c>
      <c r="B19484" s="1" t="n">
        <v>45747</v>
      </c>
      <c r="C19484" s="1" t="n">
        <v>45810</v>
      </c>
      <c r="D19484" t="inlineStr">
        <is>
          <t>VÄRMLANDS LÄN</t>
        </is>
      </c>
      <c r="E19484" t="inlineStr">
        <is>
          <t>TORSBY</t>
        </is>
      </c>
      <c r="G19484" t="n">
        <v>0.6</v>
      </c>
      <c r="H19484" t="n">
        <v>0</v>
      </c>
      <c r="I19484" t="n">
        <v>0</v>
      </c>
      <c r="J19484" t="n">
        <v>0</v>
      </c>
      <c r="K19484" t="n">
        <v>0</v>
      </c>
      <c r="L19484" t="n">
        <v>0</v>
      </c>
      <c r="M19484" t="n">
        <v>0</v>
      </c>
      <c r="N19484" t="n">
        <v>0</v>
      </c>
      <c r="O19484" t="n">
        <v>0</v>
      </c>
      <c r="P19484" t="n">
        <v>0</v>
      </c>
      <c r="Q19484" t="n">
        <v>0</v>
      </c>
      <c r="R19484" s="2" t="inlineStr"/>
    </row>
    <row r="19485" ht="15" customHeight="1">
      <c r="A19485" t="inlineStr">
        <is>
          <t>A 15501-2025</t>
        </is>
      </c>
      <c r="B19485" s="1" t="n">
        <v>45747</v>
      </c>
      <c r="C19485" s="1" t="n">
        <v>45810</v>
      </c>
      <c r="D19485" t="inlineStr">
        <is>
          <t>VÄRMLANDS LÄN</t>
        </is>
      </c>
      <c r="E19485" t="inlineStr">
        <is>
          <t>SÄFFLE</t>
        </is>
      </c>
      <c r="G19485" t="n">
        <v>2.2</v>
      </c>
      <c r="H19485" t="n">
        <v>0</v>
      </c>
      <c r="I19485" t="n">
        <v>0</v>
      </c>
      <c r="J19485" t="n">
        <v>0</v>
      </c>
      <c r="K19485" t="n">
        <v>0</v>
      </c>
      <c r="L19485" t="n">
        <v>0</v>
      </c>
      <c r="M19485" t="n">
        <v>0</v>
      </c>
      <c r="N19485" t="n">
        <v>0</v>
      </c>
      <c r="O19485" t="n">
        <v>0</v>
      </c>
      <c r="P19485" t="n">
        <v>0</v>
      </c>
      <c r="Q19485" t="n">
        <v>0</v>
      </c>
      <c r="R19485" s="2" t="inlineStr"/>
    </row>
    <row r="19486" ht="15" customHeight="1">
      <c r="A19486" t="inlineStr">
        <is>
          <t>A 15439-2025</t>
        </is>
      </c>
      <c r="B19486" s="1" t="n">
        <v>45747</v>
      </c>
      <c r="C19486" s="1" t="n">
        <v>45810</v>
      </c>
      <c r="D19486" t="inlineStr">
        <is>
          <t>VÄRMLANDS LÄN</t>
        </is>
      </c>
      <c r="E19486" t="inlineStr">
        <is>
          <t>SUNNE</t>
        </is>
      </c>
      <c r="G19486" t="n">
        <v>0.8</v>
      </c>
      <c r="H19486" t="n">
        <v>0</v>
      </c>
      <c r="I19486" t="n">
        <v>0</v>
      </c>
      <c r="J19486" t="n">
        <v>0</v>
      </c>
      <c r="K19486" t="n">
        <v>0</v>
      </c>
      <c r="L19486" t="n">
        <v>0</v>
      </c>
      <c r="M19486" t="n">
        <v>0</v>
      </c>
      <c r="N19486" t="n">
        <v>0</v>
      </c>
      <c r="O19486" t="n">
        <v>0</v>
      </c>
      <c r="P19486" t="n">
        <v>0</v>
      </c>
      <c r="Q19486" t="n">
        <v>0</v>
      </c>
      <c r="R19486" s="2" t="inlineStr"/>
    </row>
    <row r="19487" ht="15" customHeight="1">
      <c r="A19487" t="inlineStr">
        <is>
          <t>A 15703-2025</t>
        </is>
      </c>
      <c r="B19487" s="1" t="n">
        <v>45747</v>
      </c>
      <c r="C19487" s="1" t="n">
        <v>45810</v>
      </c>
      <c r="D19487" t="inlineStr">
        <is>
          <t>VÄRMLANDS LÄN</t>
        </is>
      </c>
      <c r="E19487" t="inlineStr">
        <is>
          <t>SUNNE</t>
        </is>
      </c>
      <c r="G19487" t="n">
        <v>2.8</v>
      </c>
      <c r="H19487" t="n">
        <v>0</v>
      </c>
      <c r="I19487" t="n">
        <v>0</v>
      </c>
      <c r="J19487" t="n">
        <v>0</v>
      </c>
      <c r="K19487" t="n">
        <v>0</v>
      </c>
      <c r="L19487" t="n">
        <v>0</v>
      </c>
      <c r="M19487" t="n">
        <v>0</v>
      </c>
      <c r="N19487" t="n">
        <v>0</v>
      </c>
      <c r="O19487" t="n">
        <v>0</v>
      </c>
      <c r="P19487" t="n">
        <v>0</v>
      </c>
      <c r="Q19487" t="n">
        <v>0</v>
      </c>
      <c r="R19487" s="2" t="inlineStr"/>
    </row>
    <row r="19488" ht="15" customHeight="1">
      <c r="A19488" t="inlineStr">
        <is>
          <t>A 15714-2025</t>
        </is>
      </c>
      <c r="B19488" s="1" t="n">
        <v>45747</v>
      </c>
      <c r="C19488" s="1" t="n">
        <v>45810</v>
      </c>
      <c r="D19488" t="inlineStr">
        <is>
          <t>VÄRMLANDS LÄN</t>
        </is>
      </c>
      <c r="E19488" t="inlineStr">
        <is>
          <t>SUNNE</t>
        </is>
      </c>
      <c r="G19488" t="n">
        <v>1</v>
      </c>
      <c r="H19488" t="n">
        <v>0</v>
      </c>
      <c r="I19488" t="n">
        <v>0</v>
      </c>
      <c r="J19488" t="n">
        <v>0</v>
      </c>
      <c r="K19488" t="n">
        <v>0</v>
      </c>
      <c r="L19488" t="n">
        <v>0</v>
      </c>
      <c r="M19488" t="n">
        <v>0</v>
      </c>
      <c r="N19488" t="n">
        <v>0</v>
      </c>
      <c r="O19488" t="n">
        <v>0</v>
      </c>
      <c r="P19488" t="n">
        <v>0</v>
      </c>
      <c r="Q19488" t="n">
        <v>0</v>
      </c>
      <c r="R19488" s="2" t="inlineStr"/>
    </row>
    <row r="19489" ht="15" customHeight="1">
      <c r="A19489" t="inlineStr">
        <is>
          <t>A 15470-2025</t>
        </is>
      </c>
      <c r="B19489" s="1" t="n">
        <v>45747</v>
      </c>
      <c r="C19489" s="1" t="n">
        <v>45810</v>
      </c>
      <c r="D19489" t="inlineStr">
        <is>
          <t>VÄRMLANDS LÄN</t>
        </is>
      </c>
      <c r="E19489" t="inlineStr">
        <is>
          <t>KIL</t>
        </is>
      </c>
      <c r="G19489" t="n">
        <v>3.1</v>
      </c>
      <c r="H19489" t="n">
        <v>0</v>
      </c>
      <c r="I19489" t="n">
        <v>0</v>
      </c>
      <c r="J19489" t="n">
        <v>0</v>
      </c>
      <c r="K19489" t="n">
        <v>0</v>
      </c>
      <c r="L19489" t="n">
        <v>0</v>
      </c>
      <c r="M19489" t="n">
        <v>0</v>
      </c>
      <c r="N19489" t="n">
        <v>0</v>
      </c>
      <c r="O19489" t="n">
        <v>0</v>
      </c>
      <c r="P19489" t="n">
        <v>0</v>
      </c>
      <c r="Q19489" t="n">
        <v>0</v>
      </c>
      <c r="R19489" s="2" t="inlineStr"/>
    </row>
    <row r="19490" ht="15" customHeight="1">
      <c r="A19490" t="inlineStr">
        <is>
          <t>A 15741-2025</t>
        </is>
      </c>
      <c r="B19490" s="1" t="n">
        <v>45747</v>
      </c>
      <c r="C19490" s="1" t="n">
        <v>45810</v>
      </c>
      <c r="D19490" t="inlineStr">
        <is>
          <t>VÄRMLANDS LÄN</t>
        </is>
      </c>
      <c r="E19490" t="inlineStr">
        <is>
          <t>SUNNE</t>
        </is>
      </c>
      <c r="G19490" t="n">
        <v>2.7</v>
      </c>
      <c r="H19490" t="n">
        <v>0</v>
      </c>
      <c r="I19490" t="n">
        <v>0</v>
      </c>
      <c r="J19490" t="n">
        <v>0</v>
      </c>
      <c r="K19490" t="n">
        <v>0</v>
      </c>
      <c r="L19490" t="n">
        <v>0</v>
      </c>
      <c r="M19490" t="n">
        <v>0</v>
      </c>
      <c r="N19490" t="n">
        <v>0</v>
      </c>
      <c r="O19490" t="n">
        <v>0</v>
      </c>
      <c r="P19490" t="n">
        <v>0</v>
      </c>
      <c r="Q19490" t="n">
        <v>0</v>
      </c>
      <c r="R19490" s="2" t="inlineStr"/>
    </row>
    <row r="19491" ht="15" customHeight="1">
      <c r="A19491" t="inlineStr">
        <is>
          <t>A 15472-2025</t>
        </is>
      </c>
      <c r="B19491" s="1" t="n">
        <v>45747</v>
      </c>
      <c r="C19491" s="1" t="n">
        <v>45810</v>
      </c>
      <c r="D19491" t="inlineStr">
        <is>
          <t>VÄRMLANDS LÄN</t>
        </is>
      </c>
      <c r="E19491" t="inlineStr">
        <is>
          <t>KIL</t>
        </is>
      </c>
      <c r="G19491" t="n">
        <v>2.4</v>
      </c>
      <c r="H19491" t="n">
        <v>0</v>
      </c>
      <c r="I19491" t="n">
        <v>0</v>
      </c>
      <c r="J19491" t="n">
        <v>0</v>
      </c>
      <c r="K19491" t="n">
        <v>0</v>
      </c>
      <c r="L19491" t="n">
        <v>0</v>
      </c>
      <c r="M19491" t="n">
        <v>0</v>
      </c>
      <c r="N19491" t="n">
        <v>0</v>
      </c>
      <c r="O19491" t="n">
        <v>0</v>
      </c>
      <c r="P19491" t="n">
        <v>0</v>
      </c>
      <c r="Q19491" t="n">
        <v>0</v>
      </c>
      <c r="R19491" s="2" t="inlineStr"/>
    </row>
    <row r="19492" ht="15" customHeight="1">
      <c r="A19492" t="inlineStr">
        <is>
          <t>A 15474-2025</t>
        </is>
      </c>
      <c r="B19492" s="1" t="n">
        <v>45747</v>
      </c>
      <c r="C19492" s="1" t="n">
        <v>45810</v>
      </c>
      <c r="D19492" t="inlineStr">
        <is>
          <t>VÄRMLANDS LÄN</t>
        </is>
      </c>
      <c r="E19492" t="inlineStr">
        <is>
          <t>KIL</t>
        </is>
      </c>
      <c r="G19492" t="n">
        <v>3.4</v>
      </c>
      <c r="H19492" t="n">
        <v>0</v>
      </c>
      <c r="I19492" t="n">
        <v>0</v>
      </c>
      <c r="J19492" t="n">
        <v>0</v>
      </c>
      <c r="K19492" t="n">
        <v>0</v>
      </c>
      <c r="L19492" t="n">
        <v>0</v>
      </c>
      <c r="M19492" t="n">
        <v>0</v>
      </c>
      <c r="N19492" t="n">
        <v>0</v>
      </c>
      <c r="O19492" t="n">
        <v>0</v>
      </c>
      <c r="P19492" t="n">
        <v>0</v>
      </c>
      <c r="Q19492" t="n">
        <v>0</v>
      </c>
      <c r="R19492" s="2" t="inlineStr"/>
    </row>
    <row r="19493" ht="15" customHeight="1">
      <c r="A19493" t="inlineStr">
        <is>
          <t>A 15564-2025</t>
        </is>
      </c>
      <c r="B19493" s="1" t="n">
        <v>45747</v>
      </c>
      <c r="C19493" s="1" t="n">
        <v>45810</v>
      </c>
      <c r="D19493" t="inlineStr">
        <is>
          <t>VÄRMLANDS LÄN</t>
        </is>
      </c>
      <c r="E19493" t="inlineStr">
        <is>
          <t>TORSBY</t>
        </is>
      </c>
      <c r="G19493" t="n">
        <v>1</v>
      </c>
      <c r="H19493" t="n">
        <v>0</v>
      </c>
      <c r="I19493" t="n">
        <v>0</v>
      </c>
      <c r="J19493" t="n">
        <v>0</v>
      </c>
      <c r="K19493" t="n">
        <v>0</v>
      </c>
      <c r="L19493" t="n">
        <v>0</v>
      </c>
      <c r="M19493" t="n">
        <v>0</v>
      </c>
      <c r="N19493" t="n">
        <v>0</v>
      </c>
      <c r="O19493" t="n">
        <v>0</v>
      </c>
      <c r="P19493" t="n">
        <v>0</v>
      </c>
      <c r="Q19493" t="n">
        <v>0</v>
      </c>
      <c r="R19493" s="2" t="inlineStr"/>
    </row>
    <row r="19494" ht="15" customHeight="1">
      <c r="A19494" t="inlineStr">
        <is>
          <t>A 15768-2025</t>
        </is>
      </c>
      <c r="B19494" s="1" t="n">
        <v>45748</v>
      </c>
      <c r="C19494" s="1" t="n">
        <v>45810</v>
      </c>
      <c r="D19494" t="inlineStr">
        <is>
          <t>VÄRMLANDS LÄN</t>
        </is>
      </c>
      <c r="E19494" t="inlineStr">
        <is>
          <t>TORSBY</t>
        </is>
      </c>
      <c r="G19494" t="n">
        <v>1.8</v>
      </c>
      <c r="H19494" t="n">
        <v>0</v>
      </c>
      <c r="I19494" t="n">
        <v>0</v>
      </c>
      <c r="J19494" t="n">
        <v>0</v>
      </c>
      <c r="K19494" t="n">
        <v>0</v>
      </c>
      <c r="L19494" t="n">
        <v>0</v>
      </c>
      <c r="M19494" t="n">
        <v>0</v>
      </c>
      <c r="N19494" t="n">
        <v>0</v>
      </c>
      <c r="O19494" t="n">
        <v>0</v>
      </c>
      <c r="P19494" t="n">
        <v>0</v>
      </c>
      <c r="Q19494" t="n">
        <v>0</v>
      </c>
      <c r="R19494" s="2" t="inlineStr"/>
    </row>
    <row r="19495" ht="15" customHeight="1">
      <c r="A19495" t="inlineStr">
        <is>
          <t>A 15771-2025</t>
        </is>
      </c>
      <c r="B19495" s="1" t="n">
        <v>45748</v>
      </c>
      <c r="C19495" s="1" t="n">
        <v>45810</v>
      </c>
      <c r="D19495" t="inlineStr">
        <is>
          <t>VÄRMLANDS LÄN</t>
        </is>
      </c>
      <c r="E19495" t="inlineStr">
        <is>
          <t>FILIPSTAD</t>
        </is>
      </c>
      <c r="G19495" t="n">
        <v>13.4</v>
      </c>
      <c r="H19495" t="n">
        <v>0</v>
      </c>
      <c r="I19495" t="n">
        <v>0</v>
      </c>
      <c r="J19495" t="n">
        <v>0</v>
      </c>
      <c r="K19495" t="n">
        <v>0</v>
      </c>
      <c r="L19495" t="n">
        <v>0</v>
      </c>
      <c r="M19495" t="n">
        <v>0</v>
      </c>
      <c r="N19495" t="n">
        <v>0</v>
      </c>
      <c r="O19495" t="n">
        <v>0</v>
      </c>
      <c r="P19495" t="n">
        <v>0</v>
      </c>
      <c r="Q19495" t="n">
        <v>0</v>
      </c>
      <c r="R19495" s="2" t="inlineStr"/>
    </row>
    <row r="19496" ht="15" customHeight="1">
      <c r="A19496" t="inlineStr">
        <is>
          <t>A 15752-2025</t>
        </is>
      </c>
      <c r="B19496" s="1" t="n">
        <v>45748</v>
      </c>
      <c r="C19496" s="1" t="n">
        <v>45810</v>
      </c>
      <c r="D19496" t="inlineStr">
        <is>
          <t>VÄRMLANDS LÄN</t>
        </is>
      </c>
      <c r="E19496" t="inlineStr">
        <is>
          <t>SUNNE</t>
        </is>
      </c>
      <c r="G19496" t="n">
        <v>1.1</v>
      </c>
      <c r="H19496" t="n">
        <v>0</v>
      </c>
      <c r="I19496" t="n">
        <v>0</v>
      </c>
      <c r="J19496" t="n">
        <v>0</v>
      </c>
      <c r="K19496" t="n">
        <v>0</v>
      </c>
      <c r="L19496" t="n">
        <v>0</v>
      </c>
      <c r="M19496" t="n">
        <v>0</v>
      </c>
      <c r="N19496" t="n">
        <v>0</v>
      </c>
      <c r="O19496" t="n">
        <v>0</v>
      </c>
      <c r="P19496" t="n">
        <v>0</v>
      </c>
      <c r="Q19496" t="n">
        <v>0</v>
      </c>
      <c r="R19496" s="2" t="inlineStr"/>
    </row>
    <row r="19497" ht="15" customHeight="1">
      <c r="A19497" t="inlineStr">
        <is>
          <t>A 15743-2025</t>
        </is>
      </c>
      <c r="B19497" s="1" t="n">
        <v>45748</v>
      </c>
      <c r="C19497" s="1" t="n">
        <v>45810</v>
      </c>
      <c r="D19497" t="inlineStr">
        <is>
          <t>VÄRMLANDS LÄN</t>
        </is>
      </c>
      <c r="E19497" t="inlineStr">
        <is>
          <t>SUNNE</t>
        </is>
      </c>
      <c r="G19497" t="n">
        <v>1.5</v>
      </c>
      <c r="H19497" t="n">
        <v>0</v>
      </c>
      <c r="I19497" t="n">
        <v>0</v>
      </c>
      <c r="J19497" t="n">
        <v>0</v>
      </c>
      <c r="K19497" t="n">
        <v>0</v>
      </c>
      <c r="L19497" t="n">
        <v>0</v>
      </c>
      <c r="M19497" t="n">
        <v>0</v>
      </c>
      <c r="N19497" t="n">
        <v>0</v>
      </c>
      <c r="O19497" t="n">
        <v>0</v>
      </c>
      <c r="P19497" t="n">
        <v>0</v>
      </c>
      <c r="Q19497" t="n">
        <v>0</v>
      </c>
      <c r="R19497" s="2" t="inlineStr"/>
    </row>
    <row r="19498" ht="15" customHeight="1">
      <c r="A19498" t="inlineStr">
        <is>
          <t>A 15637-2025</t>
        </is>
      </c>
      <c r="B19498" s="1" t="n">
        <v>45748</v>
      </c>
      <c r="C19498" s="1" t="n">
        <v>45810</v>
      </c>
      <c r="D19498" t="inlineStr">
        <is>
          <t>VÄRMLANDS LÄN</t>
        </is>
      </c>
      <c r="E19498" t="inlineStr">
        <is>
          <t>HAGFORS</t>
        </is>
      </c>
      <c r="F19498" t="inlineStr">
        <is>
          <t>Kyrkan</t>
        </is>
      </c>
      <c r="G19498" t="n">
        <v>4.5</v>
      </c>
      <c r="H19498" t="n">
        <v>0</v>
      </c>
      <c r="I19498" t="n">
        <v>0</v>
      </c>
      <c r="J19498" t="n">
        <v>0</v>
      </c>
      <c r="K19498" t="n">
        <v>0</v>
      </c>
      <c r="L19498" t="n">
        <v>0</v>
      </c>
      <c r="M19498" t="n">
        <v>0</v>
      </c>
      <c r="N19498" t="n">
        <v>0</v>
      </c>
      <c r="O19498" t="n">
        <v>0</v>
      </c>
      <c r="P19498" t="n">
        <v>0</v>
      </c>
      <c r="Q19498" t="n">
        <v>0</v>
      </c>
      <c r="R19498" s="2" t="inlineStr"/>
    </row>
    <row r="19499" ht="15" customHeight="1">
      <c r="A19499" t="inlineStr">
        <is>
          <t>A 15797-2025</t>
        </is>
      </c>
      <c r="B19499" s="1" t="n">
        <v>45748</v>
      </c>
      <c r="C19499" s="1" t="n">
        <v>45810</v>
      </c>
      <c r="D19499" t="inlineStr">
        <is>
          <t>VÄRMLANDS LÄN</t>
        </is>
      </c>
      <c r="E19499" t="inlineStr">
        <is>
          <t>EDA</t>
        </is>
      </c>
      <c r="F19499" t="inlineStr">
        <is>
          <t>Bergvik skog väst AB</t>
        </is>
      </c>
      <c r="G19499" t="n">
        <v>2.5</v>
      </c>
      <c r="H19499" t="n">
        <v>0</v>
      </c>
      <c r="I19499" t="n">
        <v>0</v>
      </c>
      <c r="J19499" t="n">
        <v>0</v>
      </c>
      <c r="K19499" t="n">
        <v>0</v>
      </c>
      <c r="L19499" t="n">
        <v>0</v>
      </c>
      <c r="M19499" t="n">
        <v>0</v>
      </c>
      <c r="N19499" t="n">
        <v>0</v>
      </c>
      <c r="O19499" t="n">
        <v>0</v>
      </c>
      <c r="P19499" t="n">
        <v>0</v>
      </c>
      <c r="Q19499" t="n">
        <v>0</v>
      </c>
      <c r="R19499" s="2" t="inlineStr"/>
    </row>
    <row r="19500" ht="15" customHeight="1">
      <c r="A19500" t="inlineStr">
        <is>
          <t>A 15603-2025</t>
        </is>
      </c>
      <c r="B19500" s="1" t="n">
        <v>45748</v>
      </c>
      <c r="C19500" s="1" t="n">
        <v>45810</v>
      </c>
      <c r="D19500" t="inlineStr">
        <is>
          <t>VÄRMLANDS LÄN</t>
        </is>
      </c>
      <c r="E19500" t="inlineStr">
        <is>
          <t>HAGFORS</t>
        </is>
      </c>
      <c r="F19500" t="inlineStr">
        <is>
          <t>Kyrkan</t>
        </is>
      </c>
      <c r="G19500" t="n">
        <v>2.2</v>
      </c>
      <c r="H19500" t="n">
        <v>0</v>
      </c>
      <c r="I19500" t="n">
        <v>0</v>
      </c>
      <c r="J19500" t="n">
        <v>0</v>
      </c>
      <c r="K19500" t="n">
        <v>0</v>
      </c>
      <c r="L19500" t="n">
        <v>0</v>
      </c>
      <c r="M19500" t="n">
        <v>0</v>
      </c>
      <c r="N19500" t="n">
        <v>0</v>
      </c>
      <c r="O19500" t="n">
        <v>0</v>
      </c>
      <c r="P19500" t="n">
        <v>0</v>
      </c>
      <c r="Q19500" t="n">
        <v>0</v>
      </c>
      <c r="R19500" s="2" t="inlineStr"/>
    </row>
    <row r="19501" ht="15" customHeight="1">
      <c r="A19501" t="inlineStr">
        <is>
          <t>A 15660-2025</t>
        </is>
      </c>
      <c r="B19501" s="1" t="n">
        <v>45748</v>
      </c>
      <c r="C19501" s="1" t="n">
        <v>45810</v>
      </c>
      <c r="D19501" t="inlineStr">
        <is>
          <t>VÄRMLANDS LÄN</t>
        </is>
      </c>
      <c r="E19501" t="inlineStr">
        <is>
          <t>TORSBY</t>
        </is>
      </c>
      <c r="G19501" t="n">
        <v>1.3</v>
      </c>
      <c r="H19501" t="n">
        <v>0</v>
      </c>
      <c r="I19501" t="n">
        <v>0</v>
      </c>
      <c r="J19501" t="n">
        <v>0</v>
      </c>
      <c r="K19501" t="n">
        <v>0</v>
      </c>
      <c r="L19501" t="n">
        <v>0</v>
      </c>
      <c r="M19501" t="n">
        <v>0</v>
      </c>
      <c r="N19501" t="n">
        <v>0</v>
      </c>
      <c r="O19501" t="n">
        <v>0</v>
      </c>
      <c r="P19501" t="n">
        <v>0</v>
      </c>
      <c r="Q19501" t="n">
        <v>0</v>
      </c>
      <c r="R19501" s="2" t="inlineStr"/>
    </row>
    <row r="19502" ht="15" customHeight="1">
      <c r="A19502" t="inlineStr">
        <is>
          <t>A 15640-2025</t>
        </is>
      </c>
      <c r="B19502" s="1" t="n">
        <v>45748</v>
      </c>
      <c r="C19502" s="1" t="n">
        <v>45810</v>
      </c>
      <c r="D19502" t="inlineStr">
        <is>
          <t>VÄRMLANDS LÄN</t>
        </is>
      </c>
      <c r="E19502" t="inlineStr">
        <is>
          <t>ARVIKA</t>
        </is>
      </c>
      <c r="F19502" t="inlineStr">
        <is>
          <t>Bergvik skog väst AB</t>
        </is>
      </c>
      <c r="G19502" t="n">
        <v>5.6</v>
      </c>
      <c r="H19502" t="n">
        <v>0</v>
      </c>
      <c r="I19502" t="n">
        <v>0</v>
      </c>
      <c r="J19502" t="n">
        <v>0</v>
      </c>
      <c r="K19502" t="n">
        <v>0</v>
      </c>
      <c r="L19502" t="n">
        <v>0</v>
      </c>
      <c r="M19502" t="n">
        <v>0</v>
      </c>
      <c r="N19502" t="n">
        <v>0</v>
      </c>
      <c r="O19502" t="n">
        <v>0</v>
      </c>
      <c r="P19502" t="n">
        <v>0</v>
      </c>
      <c r="Q19502" t="n">
        <v>0</v>
      </c>
      <c r="R19502" s="2" t="inlineStr"/>
    </row>
    <row r="19503" ht="15" customHeight="1">
      <c r="A19503" t="inlineStr">
        <is>
          <t>A 15755-2025</t>
        </is>
      </c>
      <c r="B19503" s="1" t="n">
        <v>45748</v>
      </c>
      <c r="C19503" s="1" t="n">
        <v>45810</v>
      </c>
      <c r="D19503" t="inlineStr">
        <is>
          <t>VÄRMLANDS LÄN</t>
        </is>
      </c>
      <c r="E19503" t="inlineStr">
        <is>
          <t>ARVIKA</t>
        </is>
      </c>
      <c r="F19503" t="inlineStr">
        <is>
          <t>Bergvik skog väst AB</t>
        </is>
      </c>
      <c r="G19503" t="n">
        <v>9.5</v>
      </c>
      <c r="H19503" t="n">
        <v>0</v>
      </c>
      <c r="I19503" t="n">
        <v>0</v>
      </c>
      <c r="J19503" t="n">
        <v>0</v>
      </c>
      <c r="K19503" t="n">
        <v>0</v>
      </c>
      <c r="L19503" t="n">
        <v>0</v>
      </c>
      <c r="M19503" t="n">
        <v>0</v>
      </c>
      <c r="N19503" t="n">
        <v>0</v>
      </c>
      <c r="O19503" t="n">
        <v>0</v>
      </c>
      <c r="P19503" t="n">
        <v>0</v>
      </c>
      <c r="Q19503" t="n">
        <v>0</v>
      </c>
      <c r="R19503" s="2" t="inlineStr"/>
      <c r="U19503">
        <f>HYPERLINK("https://klasma.github.io/Logging_171784/knärot/A 15755-2025 karta knärot.png", "A 15755-2025")</f>
        <v/>
      </c>
      <c r="V19503">
        <f>HYPERLINK("https://klasma.github.io/Logging_171784/klagomål/A 15755-2025 FSC-klagomål.docx", "A 15755-2025")</f>
        <v/>
      </c>
      <c r="W19503">
        <f>HYPERLINK("https://klasma.github.io/Logging_171784/klagomålsmail/A 15755-2025 FSC-klagomål mail.docx", "A 15755-2025")</f>
        <v/>
      </c>
      <c r="X19503">
        <f>HYPERLINK("https://klasma.github.io/Logging_171784/tillsyn/A 15755-2025 tillsynsbegäran.docx", "A 15755-2025")</f>
        <v/>
      </c>
      <c r="Y19503">
        <f>HYPERLINK("https://klasma.github.io/Logging_171784/tillsynsmail/A 15755-2025 tillsynsbegäran mail.docx", "A 15755-2025")</f>
        <v/>
      </c>
    </row>
    <row r="19504" ht="15" customHeight="1">
      <c r="A19504" t="inlineStr">
        <is>
          <t>A 15824-2025</t>
        </is>
      </c>
      <c r="B19504" s="1" t="n">
        <v>45748</v>
      </c>
      <c r="C19504" s="1" t="n">
        <v>45810</v>
      </c>
      <c r="D19504" t="inlineStr">
        <is>
          <t>VÄRMLANDS LÄN</t>
        </is>
      </c>
      <c r="E19504" t="inlineStr">
        <is>
          <t>ÅRJÄNG</t>
        </is>
      </c>
      <c r="G19504" t="n">
        <v>2</v>
      </c>
      <c r="H19504" t="n">
        <v>0</v>
      </c>
      <c r="I19504" t="n">
        <v>0</v>
      </c>
      <c r="J19504" t="n">
        <v>0</v>
      </c>
      <c r="K19504" t="n">
        <v>0</v>
      </c>
      <c r="L19504" t="n">
        <v>0</v>
      </c>
      <c r="M19504" t="n">
        <v>0</v>
      </c>
      <c r="N19504" t="n">
        <v>0</v>
      </c>
      <c r="O19504" t="n">
        <v>0</v>
      </c>
      <c r="P19504" t="n">
        <v>0</v>
      </c>
      <c r="Q19504" t="n">
        <v>0</v>
      </c>
      <c r="R19504" s="2" t="inlineStr"/>
    </row>
    <row r="19505" ht="15" customHeight="1">
      <c r="A19505" t="inlineStr">
        <is>
          <t>A 15698-2025</t>
        </is>
      </c>
      <c r="B19505" s="1" t="n">
        <v>45748</v>
      </c>
      <c r="C19505" s="1" t="n">
        <v>45810</v>
      </c>
      <c r="D19505" t="inlineStr">
        <is>
          <t>VÄRMLANDS LÄN</t>
        </is>
      </c>
      <c r="E19505" t="inlineStr">
        <is>
          <t>TORSBY</t>
        </is>
      </c>
      <c r="G19505" t="n">
        <v>3</v>
      </c>
      <c r="H19505" t="n">
        <v>0</v>
      </c>
      <c r="I19505" t="n">
        <v>0</v>
      </c>
      <c r="J19505" t="n">
        <v>0</v>
      </c>
      <c r="K19505" t="n">
        <v>0</v>
      </c>
      <c r="L19505" t="n">
        <v>0</v>
      </c>
      <c r="M19505" t="n">
        <v>0</v>
      </c>
      <c r="N19505" t="n">
        <v>0</v>
      </c>
      <c r="O19505" t="n">
        <v>0</v>
      </c>
      <c r="P19505" t="n">
        <v>0</v>
      </c>
      <c r="Q19505" t="n">
        <v>0</v>
      </c>
      <c r="R19505" s="2" t="inlineStr"/>
    </row>
    <row r="19506" ht="15" customHeight="1">
      <c r="A19506" t="inlineStr">
        <is>
          <t>A 15829-2025</t>
        </is>
      </c>
      <c r="B19506" s="1" t="n">
        <v>45748</v>
      </c>
      <c r="C19506" s="1" t="n">
        <v>45810</v>
      </c>
      <c r="D19506" t="inlineStr">
        <is>
          <t>VÄRMLANDS LÄN</t>
        </is>
      </c>
      <c r="E19506" t="inlineStr">
        <is>
          <t>KIL</t>
        </is>
      </c>
      <c r="G19506" t="n">
        <v>3</v>
      </c>
      <c r="H19506" t="n">
        <v>0</v>
      </c>
      <c r="I19506" t="n">
        <v>0</v>
      </c>
      <c r="J19506" t="n">
        <v>0</v>
      </c>
      <c r="K19506" t="n">
        <v>0</v>
      </c>
      <c r="L19506" t="n">
        <v>0</v>
      </c>
      <c r="M19506" t="n">
        <v>0</v>
      </c>
      <c r="N19506" t="n">
        <v>0</v>
      </c>
      <c r="O19506" t="n">
        <v>0</v>
      </c>
      <c r="P19506" t="n">
        <v>0</v>
      </c>
      <c r="Q19506" t="n">
        <v>0</v>
      </c>
      <c r="R19506" s="2" t="inlineStr"/>
    </row>
    <row r="19507" ht="15" customHeight="1">
      <c r="A19507" t="inlineStr">
        <is>
          <t>A 15759-2025</t>
        </is>
      </c>
      <c r="B19507" s="1" t="n">
        <v>45748</v>
      </c>
      <c r="C19507" s="1" t="n">
        <v>45810</v>
      </c>
      <c r="D19507" t="inlineStr">
        <is>
          <t>VÄRMLANDS LÄN</t>
        </is>
      </c>
      <c r="E19507" t="inlineStr">
        <is>
          <t>SUNNE</t>
        </is>
      </c>
      <c r="G19507" t="n">
        <v>1.2</v>
      </c>
      <c r="H19507" t="n">
        <v>0</v>
      </c>
      <c r="I19507" t="n">
        <v>0</v>
      </c>
      <c r="J19507" t="n">
        <v>0</v>
      </c>
      <c r="K19507" t="n">
        <v>0</v>
      </c>
      <c r="L19507" t="n">
        <v>0</v>
      </c>
      <c r="M19507" t="n">
        <v>0</v>
      </c>
      <c r="N19507" t="n">
        <v>0</v>
      </c>
      <c r="O19507" t="n">
        <v>0</v>
      </c>
      <c r="P19507" t="n">
        <v>0</v>
      </c>
      <c r="Q19507" t="n">
        <v>0</v>
      </c>
      <c r="R19507" s="2" t="inlineStr"/>
    </row>
    <row r="19508" ht="15" customHeight="1">
      <c r="A19508" t="inlineStr">
        <is>
          <t>A 15873-2025</t>
        </is>
      </c>
      <c r="B19508" s="1" t="n">
        <v>45749</v>
      </c>
      <c r="C19508" s="1" t="n">
        <v>45810</v>
      </c>
      <c r="D19508" t="inlineStr">
        <is>
          <t>VÄRMLANDS LÄN</t>
        </is>
      </c>
      <c r="E19508" t="inlineStr">
        <is>
          <t>TORSBY</t>
        </is>
      </c>
      <c r="G19508" t="n">
        <v>8</v>
      </c>
      <c r="H19508" t="n">
        <v>0</v>
      </c>
      <c r="I19508" t="n">
        <v>0</v>
      </c>
      <c r="J19508" t="n">
        <v>0</v>
      </c>
      <c r="K19508" t="n">
        <v>0</v>
      </c>
      <c r="L19508" t="n">
        <v>0</v>
      </c>
      <c r="M19508" t="n">
        <v>0</v>
      </c>
      <c r="N19508" t="n">
        <v>0</v>
      </c>
      <c r="O19508" t="n">
        <v>0</v>
      </c>
      <c r="P19508" t="n">
        <v>0</v>
      </c>
      <c r="Q19508" t="n">
        <v>0</v>
      </c>
      <c r="R19508" s="2" t="inlineStr"/>
    </row>
    <row r="19509" ht="15" customHeight="1">
      <c r="A19509" t="inlineStr">
        <is>
          <t>A 15934-2025</t>
        </is>
      </c>
      <c r="B19509" s="1" t="n">
        <v>45749</v>
      </c>
      <c r="C19509" s="1" t="n">
        <v>45810</v>
      </c>
      <c r="D19509" t="inlineStr">
        <is>
          <t>VÄRMLANDS LÄN</t>
        </is>
      </c>
      <c r="E19509" t="inlineStr">
        <is>
          <t>KRISTINEHAMN</t>
        </is>
      </c>
      <c r="G19509" t="n">
        <v>5.9</v>
      </c>
      <c r="H19509" t="n">
        <v>0</v>
      </c>
      <c r="I19509" t="n">
        <v>0</v>
      </c>
      <c r="J19509" t="n">
        <v>0</v>
      </c>
      <c r="K19509" t="n">
        <v>0</v>
      </c>
      <c r="L19509" t="n">
        <v>0</v>
      </c>
      <c r="M19509" t="n">
        <v>0</v>
      </c>
      <c r="N19509" t="n">
        <v>0</v>
      </c>
      <c r="O19509" t="n">
        <v>0</v>
      </c>
      <c r="P19509" t="n">
        <v>0</v>
      </c>
      <c r="Q19509" t="n">
        <v>0</v>
      </c>
      <c r="R19509" s="2" t="inlineStr"/>
    </row>
    <row r="19510" ht="15" customHeight="1">
      <c r="A19510" t="inlineStr">
        <is>
          <t>A 15945-2025</t>
        </is>
      </c>
      <c r="B19510" s="1" t="n">
        <v>45749</v>
      </c>
      <c r="C19510" s="1" t="n">
        <v>45810</v>
      </c>
      <c r="D19510" t="inlineStr">
        <is>
          <t>VÄRMLANDS LÄN</t>
        </is>
      </c>
      <c r="E19510" t="inlineStr">
        <is>
          <t>FILIPSTAD</t>
        </is>
      </c>
      <c r="F19510" t="inlineStr">
        <is>
          <t>Bergvik skog väst AB</t>
        </is>
      </c>
      <c r="G19510" t="n">
        <v>3.5</v>
      </c>
      <c r="H19510" t="n">
        <v>0</v>
      </c>
      <c r="I19510" t="n">
        <v>0</v>
      </c>
      <c r="J19510" t="n">
        <v>0</v>
      </c>
      <c r="K19510" t="n">
        <v>0</v>
      </c>
      <c r="L19510" t="n">
        <v>0</v>
      </c>
      <c r="M19510" t="n">
        <v>0</v>
      </c>
      <c r="N19510" t="n">
        <v>0</v>
      </c>
      <c r="O19510" t="n">
        <v>0</v>
      </c>
      <c r="P19510" t="n">
        <v>0</v>
      </c>
      <c r="Q19510" t="n">
        <v>0</v>
      </c>
      <c r="R19510" s="2" t="inlineStr"/>
    </row>
    <row r="19511" ht="15" customHeight="1">
      <c r="A19511" t="inlineStr">
        <is>
          <t>A 15947-2025</t>
        </is>
      </c>
      <c r="B19511" s="1" t="n">
        <v>45749</v>
      </c>
      <c r="C19511" s="1" t="n">
        <v>45810</v>
      </c>
      <c r="D19511" t="inlineStr">
        <is>
          <t>VÄRMLANDS LÄN</t>
        </is>
      </c>
      <c r="E19511" t="inlineStr">
        <is>
          <t>KRISTINEHAMN</t>
        </is>
      </c>
      <c r="G19511" t="n">
        <v>2.7</v>
      </c>
      <c r="H19511" t="n">
        <v>0</v>
      </c>
      <c r="I19511" t="n">
        <v>0</v>
      </c>
      <c r="J19511" t="n">
        <v>0</v>
      </c>
      <c r="K19511" t="n">
        <v>0</v>
      </c>
      <c r="L19511" t="n">
        <v>0</v>
      </c>
      <c r="M19511" t="n">
        <v>0</v>
      </c>
      <c r="N19511" t="n">
        <v>0</v>
      </c>
      <c r="O19511" t="n">
        <v>0</v>
      </c>
      <c r="P19511" t="n">
        <v>0</v>
      </c>
      <c r="Q19511" t="n">
        <v>0</v>
      </c>
      <c r="R19511" s="2" t="inlineStr"/>
    </row>
    <row r="19512" ht="15" customHeight="1">
      <c r="A19512" t="inlineStr">
        <is>
          <t>A 15954-2025</t>
        </is>
      </c>
      <c r="B19512" s="1" t="n">
        <v>45749</v>
      </c>
      <c r="C19512" s="1" t="n">
        <v>45810</v>
      </c>
      <c r="D19512" t="inlineStr">
        <is>
          <t>VÄRMLANDS LÄN</t>
        </is>
      </c>
      <c r="E19512" t="inlineStr">
        <is>
          <t>ÅRJÄNG</t>
        </is>
      </c>
      <c r="F19512" t="inlineStr">
        <is>
          <t>Bergvik skog väst AB</t>
        </is>
      </c>
      <c r="G19512" t="n">
        <v>4.2</v>
      </c>
      <c r="H19512" t="n">
        <v>0</v>
      </c>
      <c r="I19512" t="n">
        <v>0</v>
      </c>
      <c r="J19512" t="n">
        <v>0</v>
      </c>
      <c r="K19512" t="n">
        <v>0</v>
      </c>
      <c r="L19512" t="n">
        <v>0</v>
      </c>
      <c r="M19512" t="n">
        <v>0</v>
      </c>
      <c r="N19512" t="n">
        <v>0</v>
      </c>
      <c r="O19512" t="n">
        <v>0</v>
      </c>
      <c r="P19512" t="n">
        <v>0</v>
      </c>
      <c r="Q19512" t="n">
        <v>0</v>
      </c>
      <c r="R19512" s="2" t="inlineStr"/>
    </row>
    <row r="19513" ht="15" customHeight="1">
      <c r="A19513" t="inlineStr">
        <is>
          <t>A 15902-2025</t>
        </is>
      </c>
      <c r="B19513" s="1" t="n">
        <v>45749</v>
      </c>
      <c r="C19513" s="1" t="n">
        <v>45810</v>
      </c>
      <c r="D19513" t="inlineStr">
        <is>
          <t>VÄRMLANDS LÄN</t>
        </is>
      </c>
      <c r="E19513" t="inlineStr">
        <is>
          <t>SUNNE</t>
        </is>
      </c>
      <c r="G19513" t="n">
        <v>2.8</v>
      </c>
      <c r="H19513" t="n">
        <v>0</v>
      </c>
      <c r="I19513" t="n">
        <v>0</v>
      </c>
      <c r="J19513" t="n">
        <v>0</v>
      </c>
      <c r="K19513" t="n">
        <v>0</v>
      </c>
      <c r="L19513" t="n">
        <v>0</v>
      </c>
      <c r="M19513" t="n">
        <v>0</v>
      </c>
      <c r="N19513" t="n">
        <v>0</v>
      </c>
      <c r="O19513" t="n">
        <v>0</v>
      </c>
      <c r="P19513" t="n">
        <v>0</v>
      </c>
      <c r="Q19513" t="n">
        <v>0</v>
      </c>
      <c r="R19513" s="2" t="inlineStr"/>
    </row>
    <row r="19514" ht="15" customHeight="1">
      <c r="A19514" t="inlineStr">
        <is>
          <t>A 15916-2025</t>
        </is>
      </c>
      <c r="B19514" s="1" t="n">
        <v>45749</v>
      </c>
      <c r="C19514" s="1" t="n">
        <v>45810</v>
      </c>
      <c r="D19514" t="inlineStr">
        <is>
          <t>VÄRMLANDS LÄN</t>
        </is>
      </c>
      <c r="E19514" t="inlineStr">
        <is>
          <t>SUNNE</t>
        </is>
      </c>
      <c r="F19514" t="inlineStr">
        <is>
          <t>Bergvik skog väst AB</t>
        </is>
      </c>
      <c r="G19514" t="n">
        <v>0.8</v>
      </c>
      <c r="H19514" t="n">
        <v>0</v>
      </c>
      <c r="I19514" t="n">
        <v>0</v>
      </c>
      <c r="J19514" t="n">
        <v>0</v>
      </c>
      <c r="K19514" t="n">
        <v>0</v>
      </c>
      <c r="L19514" t="n">
        <v>0</v>
      </c>
      <c r="M19514" t="n">
        <v>0</v>
      </c>
      <c r="N19514" t="n">
        <v>0</v>
      </c>
      <c r="O19514" t="n">
        <v>0</v>
      </c>
      <c r="P19514" t="n">
        <v>0</v>
      </c>
      <c r="Q19514" t="n">
        <v>0</v>
      </c>
      <c r="R19514" s="2" t="inlineStr"/>
    </row>
    <row r="19515" ht="15" customHeight="1">
      <c r="A19515" t="inlineStr">
        <is>
          <t>A 15919-2025</t>
        </is>
      </c>
      <c r="B19515" s="1" t="n">
        <v>45749</v>
      </c>
      <c r="C19515" s="1" t="n">
        <v>45810</v>
      </c>
      <c r="D19515" t="inlineStr">
        <is>
          <t>VÄRMLANDS LÄN</t>
        </is>
      </c>
      <c r="E19515" t="inlineStr">
        <is>
          <t>EDA</t>
        </is>
      </c>
      <c r="F19515" t="inlineStr">
        <is>
          <t>Bergvik skog väst AB</t>
        </is>
      </c>
      <c r="G19515" t="n">
        <v>12.5</v>
      </c>
      <c r="H19515" t="n">
        <v>0</v>
      </c>
      <c r="I19515" t="n">
        <v>0</v>
      </c>
      <c r="J19515" t="n">
        <v>0</v>
      </c>
      <c r="K19515" t="n">
        <v>0</v>
      </c>
      <c r="L19515" t="n">
        <v>0</v>
      </c>
      <c r="M19515" t="n">
        <v>0</v>
      </c>
      <c r="N19515" t="n">
        <v>0</v>
      </c>
      <c r="O19515" t="n">
        <v>0</v>
      </c>
      <c r="P19515" t="n">
        <v>0</v>
      </c>
      <c r="Q19515" t="n">
        <v>0</v>
      </c>
      <c r="R19515" s="2" t="inlineStr"/>
    </row>
    <row r="19516" ht="15" customHeight="1">
      <c r="A19516" t="inlineStr">
        <is>
          <t>A 15961-2025</t>
        </is>
      </c>
      <c r="B19516" s="1" t="n">
        <v>45749</v>
      </c>
      <c r="C19516" s="1" t="n">
        <v>45810</v>
      </c>
      <c r="D19516" t="inlineStr">
        <is>
          <t>VÄRMLANDS LÄN</t>
        </is>
      </c>
      <c r="E19516" t="inlineStr">
        <is>
          <t>SUNNE</t>
        </is>
      </c>
      <c r="G19516" t="n">
        <v>3.9</v>
      </c>
      <c r="H19516" t="n">
        <v>0</v>
      </c>
      <c r="I19516" t="n">
        <v>0</v>
      </c>
      <c r="J19516" t="n">
        <v>0</v>
      </c>
      <c r="K19516" t="n">
        <v>0</v>
      </c>
      <c r="L19516" t="n">
        <v>0</v>
      </c>
      <c r="M19516" t="n">
        <v>0</v>
      </c>
      <c r="N19516" t="n">
        <v>0</v>
      </c>
      <c r="O19516" t="n">
        <v>0</v>
      </c>
      <c r="P19516" t="n">
        <v>0</v>
      </c>
      <c r="Q19516" t="n">
        <v>0</v>
      </c>
      <c r="R19516" s="2" t="inlineStr"/>
    </row>
    <row r="19517" ht="15" customHeight="1">
      <c r="A19517" t="inlineStr">
        <is>
          <t>A 15971-2025</t>
        </is>
      </c>
      <c r="B19517" s="1" t="n">
        <v>45749</v>
      </c>
      <c r="C19517" s="1" t="n">
        <v>45810</v>
      </c>
      <c r="D19517" t="inlineStr">
        <is>
          <t>VÄRMLANDS LÄN</t>
        </is>
      </c>
      <c r="E19517" t="inlineStr">
        <is>
          <t>SUNNE</t>
        </is>
      </c>
      <c r="F19517" t="inlineStr">
        <is>
          <t>Bergvik skog väst AB</t>
        </is>
      </c>
      <c r="G19517" t="n">
        <v>4.2</v>
      </c>
      <c r="H19517" t="n">
        <v>0</v>
      </c>
      <c r="I19517" t="n">
        <v>0</v>
      </c>
      <c r="J19517" t="n">
        <v>0</v>
      </c>
      <c r="K19517" t="n">
        <v>0</v>
      </c>
      <c r="L19517" t="n">
        <v>0</v>
      </c>
      <c r="M19517" t="n">
        <v>0</v>
      </c>
      <c r="N19517" t="n">
        <v>0</v>
      </c>
      <c r="O19517" t="n">
        <v>0</v>
      </c>
      <c r="P19517" t="n">
        <v>0</v>
      </c>
      <c r="Q19517" t="n">
        <v>0</v>
      </c>
      <c r="R19517" s="2" t="inlineStr"/>
    </row>
    <row r="19518" ht="15" customHeight="1">
      <c r="A19518" t="inlineStr">
        <is>
          <t>A 15857-2025</t>
        </is>
      </c>
      <c r="B19518" s="1" t="n">
        <v>45749</v>
      </c>
      <c r="C19518" s="1" t="n">
        <v>45810</v>
      </c>
      <c r="D19518" t="inlineStr">
        <is>
          <t>VÄRMLANDS LÄN</t>
        </is>
      </c>
      <c r="E19518" t="inlineStr">
        <is>
          <t>ARVIKA</t>
        </is>
      </c>
      <c r="F19518" t="inlineStr">
        <is>
          <t>Bergvik skog väst AB</t>
        </is>
      </c>
      <c r="G19518" t="n">
        <v>1.9</v>
      </c>
      <c r="H19518" t="n">
        <v>0</v>
      </c>
      <c r="I19518" t="n">
        <v>0</v>
      </c>
      <c r="J19518" t="n">
        <v>0</v>
      </c>
      <c r="K19518" t="n">
        <v>0</v>
      </c>
      <c r="L19518" t="n">
        <v>0</v>
      </c>
      <c r="M19518" t="n">
        <v>0</v>
      </c>
      <c r="N19518" t="n">
        <v>0</v>
      </c>
      <c r="O19518" t="n">
        <v>0</v>
      </c>
      <c r="P19518" t="n">
        <v>0</v>
      </c>
      <c r="Q19518" t="n">
        <v>0</v>
      </c>
      <c r="R19518" s="2" t="inlineStr"/>
    </row>
    <row r="19519" ht="15" customHeight="1">
      <c r="A19519" t="inlineStr">
        <is>
          <t>A 15973-2025</t>
        </is>
      </c>
      <c r="B19519" s="1" t="n">
        <v>45749</v>
      </c>
      <c r="C19519" s="1" t="n">
        <v>45810</v>
      </c>
      <c r="D19519" t="inlineStr">
        <is>
          <t>VÄRMLANDS LÄN</t>
        </is>
      </c>
      <c r="E19519" t="inlineStr">
        <is>
          <t>SUNNE</t>
        </is>
      </c>
      <c r="F19519" t="inlineStr">
        <is>
          <t>Bergvik skog väst AB</t>
        </is>
      </c>
      <c r="G19519" t="n">
        <v>1.3</v>
      </c>
      <c r="H19519" t="n">
        <v>0</v>
      </c>
      <c r="I19519" t="n">
        <v>0</v>
      </c>
      <c r="J19519" t="n">
        <v>0</v>
      </c>
      <c r="K19519" t="n">
        <v>0</v>
      </c>
      <c r="L19519" t="n">
        <v>0</v>
      </c>
      <c r="M19519" t="n">
        <v>0</v>
      </c>
      <c r="N19519" t="n">
        <v>0</v>
      </c>
      <c r="O19519" t="n">
        <v>0</v>
      </c>
      <c r="P19519" t="n">
        <v>0</v>
      </c>
      <c r="Q19519" t="n">
        <v>0</v>
      </c>
      <c r="R19519" s="2" t="inlineStr"/>
    </row>
    <row r="19520" ht="15" customHeight="1">
      <c r="A19520" t="inlineStr">
        <is>
          <t>A 16007-2025</t>
        </is>
      </c>
      <c r="B19520" s="1" t="n">
        <v>45749</v>
      </c>
      <c r="C19520" s="1" t="n">
        <v>45810</v>
      </c>
      <c r="D19520" t="inlineStr">
        <is>
          <t>VÄRMLANDS LÄN</t>
        </is>
      </c>
      <c r="E19520" t="inlineStr">
        <is>
          <t>SUNNE</t>
        </is>
      </c>
      <c r="F19520" t="inlineStr">
        <is>
          <t>Bergvik skog väst AB</t>
        </is>
      </c>
      <c r="G19520" t="n">
        <v>1.5</v>
      </c>
      <c r="H19520" t="n">
        <v>0</v>
      </c>
      <c r="I19520" t="n">
        <v>0</v>
      </c>
      <c r="J19520" t="n">
        <v>0</v>
      </c>
      <c r="K19520" t="n">
        <v>0</v>
      </c>
      <c r="L19520" t="n">
        <v>0</v>
      </c>
      <c r="M19520" t="n">
        <v>0</v>
      </c>
      <c r="N19520" t="n">
        <v>0</v>
      </c>
      <c r="O19520" t="n">
        <v>0</v>
      </c>
      <c r="P19520" t="n">
        <v>0</v>
      </c>
      <c r="Q19520" t="n">
        <v>0</v>
      </c>
      <c r="R19520" s="2" t="inlineStr"/>
    </row>
    <row r="19521" ht="15" customHeight="1">
      <c r="A19521" t="inlineStr">
        <is>
          <t>A 15949-2025</t>
        </is>
      </c>
      <c r="B19521" s="1" t="n">
        <v>45749</v>
      </c>
      <c r="C19521" s="1" t="n">
        <v>45810</v>
      </c>
      <c r="D19521" t="inlineStr">
        <is>
          <t>VÄRMLANDS LÄN</t>
        </is>
      </c>
      <c r="E19521" t="inlineStr">
        <is>
          <t>ÅRJÄNG</t>
        </is>
      </c>
      <c r="F19521" t="inlineStr">
        <is>
          <t>Bergvik skog väst AB</t>
        </is>
      </c>
      <c r="G19521" t="n">
        <v>3.1</v>
      </c>
      <c r="H19521" t="n">
        <v>0</v>
      </c>
      <c r="I19521" t="n">
        <v>0</v>
      </c>
      <c r="J19521" t="n">
        <v>0</v>
      </c>
      <c r="K19521" t="n">
        <v>0</v>
      </c>
      <c r="L19521" t="n">
        <v>0</v>
      </c>
      <c r="M19521" t="n">
        <v>0</v>
      </c>
      <c r="N19521" t="n">
        <v>0</v>
      </c>
      <c r="O19521" t="n">
        <v>0</v>
      </c>
      <c r="P19521" t="n">
        <v>0</v>
      </c>
      <c r="Q19521" t="n">
        <v>0</v>
      </c>
      <c r="R19521" s="2" t="inlineStr"/>
    </row>
    <row r="19522" ht="15" customHeight="1">
      <c r="A19522" t="inlineStr">
        <is>
          <t>A 15953-2025</t>
        </is>
      </c>
      <c r="B19522" s="1" t="n">
        <v>45749</v>
      </c>
      <c r="C19522" s="1" t="n">
        <v>45810</v>
      </c>
      <c r="D19522" t="inlineStr">
        <is>
          <t>VÄRMLANDS LÄN</t>
        </is>
      </c>
      <c r="E19522" t="inlineStr">
        <is>
          <t>ÅRJÄNG</t>
        </is>
      </c>
      <c r="F19522" t="inlineStr">
        <is>
          <t>Bergvik skog väst AB</t>
        </is>
      </c>
      <c r="G19522" t="n">
        <v>2.2</v>
      </c>
      <c r="H19522" t="n">
        <v>0</v>
      </c>
      <c r="I19522" t="n">
        <v>0</v>
      </c>
      <c r="J19522" t="n">
        <v>0</v>
      </c>
      <c r="K19522" t="n">
        <v>0</v>
      </c>
      <c r="L19522" t="n">
        <v>0</v>
      </c>
      <c r="M19522" t="n">
        <v>0</v>
      </c>
      <c r="N19522" t="n">
        <v>0</v>
      </c>
      <c r="O19522" t="n">
        <v>0</v>
      </c>
      <c r="P19522" t="n">
        <v>0</v>
      </c>
      <c r="Q19522" t="n">
        <v>0</v>
      </c>
      <c r="R19522" s="2" t="inlineStr"/>
    </row>
    <row r="19523" ht="15" customHeight="1">
      <c r="A19523" t="inlineStr">
        <is>
          <t>A 16086-2025</t>
        </is>
      </c>
      <c r="B19523" s="1" t="n">
        <v>45749</v>
      </c>
      <c r="C19523" s="1" t="n">
        <v>45810</v>
      </c>
      <c r="D19523" t="inlineStr">
        <is>
          <t>VÄRMLANDS LÄN</t>
        </is>
      </c>
      <c r="E19523" t="inlineStr">
        <is>
          <t>SUNNE</t>
        </is>
      </c>
      <c r="G19523" t="n">
        <v>1.7</v>
      </c>
      <c r="H19523" t="n">
        <v>0</v>
      </c>
      <c r="I19523" t="n">
        <v>0</v>
      </c>
      <c r="J19523" t="n">
        <v>0</v>
      </c>
      <c r="K19523" t="n">
        <v>0</v>
      </c>
      <c r="L19523" t="n">
        <v>0</v>
      </c>
      <c r="M19523" t="n">
        <v>0</v>
      </c>
      <c r="N19523" t="n">
        <v>0</v>
      </c>
      <c r="O19523" t="n">
        <v>0</v>
      </c>
      <c r="P19523" t="n">
        <v>0</v>
      </c>
      <c r="Q19523" t="n">
        <v>0</v>
      </c>
      <c r="R19523" s="2" t="inlineStr"/>
    </row>
    <row r="19524" ht="15" customHeight="1">
      <c r="A19524" t="inlineStr">
        <is>
          <t>A 15882-2025</t>
        </is>
      </c>
      <c r="B19524" s="1" t="n">
        <v>45749</v>
      </c>
      <c r="C19524" s="1" t="n">
        <v>45810</v>
      </c>
      <c r="D19524" t="inlineStr">
        <is>
          <t>VÄRMLANDS LÄN</t>
        </is>
      </c>
      <c r="E19524" t="inlineStr">
        <is>
          <t>ARVIKA</t>
        </is>
      </c>
      <c r="G19524" t="n">
        <v>0.9</v>
      </c>
      <c r="H19524" t="n">
        <v>0</v>
      </c>
      <c r="I19524" t="n">
        <v>0</v>
      </c>
      <c r="J19524" t="n">
        <v>0</v>
      </c>
      <c r="K19524" t="n">
        <v>0</v>
      </c>
      <c r="L19524" t="n">
        <v>0</v>
      </c>
      <c r="M19524" t="n">
        <v>0</v>
      </c>
      <c r="N19524" t="n">
        <v>0</v>
      </c>
      <c r="O19524" t="n">
        <v>0</v>
      </c>
      <c r="P19524" t="n">
        <v>0</v>
      </c>
      <c r="Q19524" t="n">
        <v>0</v>
      </c>
      <c r="R19524" s="2" t="inlineStr"/>
    </row>
    <row r="19525" ht="15" customHeight="1">
      <c r="A19525" t="inlineStr">
        <is>
          <t>A 15931-2025</t>
        </is>
      </c>
      <c r="B19525" s="1" t="n">
        <v>45749</v>
      </c>
      <c r="C19525" s="1" t="n">
        <v>45810</v>
      </c>
      <c r="D19525" t="inlineStr">
        <is>
          <t>VÄRMLANDS LÄN</t>
        </is>
      </c>
      <c r="E19525" t="inlineStr">
        <is>
          <t>TORSBY</t>
        </is>
      </c>
      <c r="F19525" t="inlineStr">
        <is>
          <t>Bergvik skog väst AB</t>
        </is>
      </c>
      <c r="G19525" t="n">
        <v>0.9</v>
      </c>
      <c r="H19525" t="n">
        <v>0</v>
      </c>
      <c r="I19525" t="n">
        <v>0</v>
      </c>
      <c r="J19525" t="n">
        <v>0</v>
      </c>
      <c r="K19525" t="n">
        <v>0</v>
      </c>
      <c r="L19525" t="n">
        <v>0</v>
      </c>
      <c r="M19525" t="n">
        <v>0</v>
      </c>
      <c r="N19525" t="n">
        <v>0</v>
      </c>
      <c r="O19525" t="n">
        <v>0</v>
      </c>
      <c r="P19525" t="n">
        <v>0</v>
      </c>
      <c r="Q19525" t="n">
        <v>0</v>
      </c>
      <c r="R19525" s="2" t="inlineStr"/>
    </row>
    <row r="19526" ht="15" customHeight="1">
      <c r="A19526" t="inlineStr">
        <is>
          <t>A 16027-2025</t>
        </is>
      </c>
      <c r="B19526" s="1" t="n">
        <v>45749</v>
      </c>
      <c r="C19526" s="1" t="n">
        <v>45810</v>
      </c>
      <c r="D19526" t="inlineStr">
        <is>
          <t>VÄRMLANDS LÄN</t>
        </is>
      </c>
      <c r="E19526" t="inlineStr">
        <is>
          <t>EDA</t>
        </is>
      </c>
      <c r="G19526" t="n">
        <v>1.4</v>
      </c>
      <c r="H19526" t="n">
        <v>0</v>
      </c>
      <c r="I19526" t="n">
        <v>0</v>
      </c>
      <c r="J19526" t="n">
        <v>0</v>
      </c>
      <c r="K19526" t="n">
        <v>0</v>
      </c>
      <c r="L19526" t="n">
        <v>0</v>
      </c>
      <c r="M19526" t="n">
        <v>0</v>
      </c>
      <c r="N19526" t="n">
        <v>0</v>
      </c>
      <c r="O19526" t="n">
        <v>0</v>
      </c>
      <c r="P19526" t="n">
        <v>0</v>
      </c>
      <c r="Q19526" t="n">
        <v>0</v>
      </c>
      <c r="R19526" s="2" t="inlineStr"/>
    </row>
    <row r="19527" ht="15" customHeight="1">
      <c r="A19527" t="inlineStr">
        <is>
          <t>A 15951-2025</t>
        </is>
      </c>
      <c r="B19527" s="1" t="n">
        <v>45749</v>
      </c>
      <c r="C19527" s="1" t="n">
        <v>45810</v>
      </c>
      <c r="D19527" t="inlineStr">
        <is>
          <t>VÄRMLANDS LÄN</t>
        </is>
      </c>
      <c r="E19527" t="inlineStr">
        <is>
          <t>ÅRJÄNG</t>
        </is>
      </c>
      <c r="F19527" t="inlineStr">
        <is>
          <t>Bergvik skog väst AB</t>
        </is>
      </c>
      <c r="G19527" t="n">
        <v>5.1</v>
      </c>
      <c r="H19527" t="n">
        <v>0</v>
      </c>
      <c r="I19527" t="n">
        <v>0</v>
      </c>
      <c r="J19527" t="n">
        <v>0</v>
      </c>
      <c r="K19527" t="n">
        <v>0</v>
      </c>
      <c r="L19527" t="n">
        <v>0</v>
      </c>
      <c r="M19527" t="n">
        <v>0</v>
      </c>
      <c r="N19527" t="n">
        <v>0</v>
      </c>
      <c r="O19527" t="n">
        <v>0</v>
      </c>
      <c r="P19527" t="n">
        <v>0</v>
      </c>
      <c r="Q19527" t="n">
        <v>0</v>
      </c>
      <c r="R19527" s="2" t="inlineStr"/>
    </row>
    <row r="19528" ht="15" customHeight="1">
      <c r="A19528" t="inlineStr">
        <is>
          <t>A 15878-2025</t>
        </is>
      </c>
      <c r="B19528" s="1" t="n">
        <v>45749</v>
      </c>
      <c r="C19528" s="1" t="n">
        <v>45810</v>
      </c>
      <c r="D19528" t="inlineStr">
        <is>
          <t>VÄRMLANDS LÄN</t>
        </is>
      </c>
      <c r="E19528" t="inlineStr">
        <is>
          <t>ARVIKA</t>
        </is>
      </c>
      <c r="G19528" t="n">
        <v>1.8</v>
      </c>
      <c r="H19528" t="n">
        <v>0</v>
      </c>
      <c r="I19528" t="n">
        <v>0</v>
      </c>
      <c r="J19528" t="n">
        <v>0</v>
      </c>
      <c r="K19528" t="n">
        <v>0</v>
      </c>
      <c r="L19528" t="n">
        <v>0</v>
      </c>
      <c r="M19528" t="n">
        <v>0</v>
      </c>
      <c r="N19528" t="n">
        <v>0</v>
      </c>
      <c r="O19528" t="n">
        <v>0</v>
      </c>
      <c r="P19528" t="n">
        <v>0</v>
      </c>
      <c r="Q19528" t="n">
        <v>0</v>
      </c>
      <c r="R19528" s="2" t="inlineStr"/>
    </row>
    <row r="19529" ht="15" customHeight="1">
      <c r="A19529" t="inlineStr">
        <is>
          <t>A 15883-2025</t>
        </is>
      </c>
      <c r="B19529" s="1" t="n">
        <v>45749</v>
      </c>
      <c r="C19529" s="1" t="n">
        <v>45810</v>
      </c>
      <c r="D19529" t="inlineStr">
        <is>
          <t>VÄRMLANDS LÄN</t>
        </is>
      </c>
      <c r="E19529" t="inlineStr">
        <is>
          <t>EDA</t>
        </is>
      </c>
      <c r="F19529" t="inlineStr">
        <is>
          <t>Bergvik skog väst AB</t>
        </is>
      </c>
      <c r="G19529" t="n">
        <v>4.3</v>
      </c>
      <c r="H19529" t="n">
        <v>0</v>
      </c>
      <c r="I19529" t="n">
        <v>0</v>
      </c>
      <c r="J19529" t="n">
        <v>0</v>
      </c>
      <c r="K19529" t="n">
        <v>0</v>
      </c>
      <c r="L19529" t="n">
        <v>0</v>
      </c>
      <c r="M19529" t="n">
        <v>0</v>
      </c>
      <c r="N19529" t="n">
        <v>0</v>
      </c>
      <c r="O19529" t="n">
        <v>0</v>
      </c>
      <c r="P19529" t="n">
        <v>0</v>
      </c>
      <c r="Q19529" t="n">
        <v>0</v>
      </c>
      <c r="R19529" s="2" t="inlineStr"/>
    </row>
    <row r="19530" ht="15" customHeight="1">
      <c r="A19530" t="inlineStr">
        <is>
          <t>A 15912-2025</t>
        </is>
      </c>
      <c r="B19530" s="1" t="n">
        <v>45749</v>
      </c>
      <c r="C19530" s="1" t="n">
        <v>45810</v>
      </c>
      <c r="D19530" t="inlineStr">
        <is>
          <t>VÄRMLANDS LÄN</t>
        </is>
      </c>
      <c r="E19530" t="inlineStr">
        <is>
          <t>SUNNE</t>
        </is>
      </c>
      <c r="G19530" t="n">
        <v>0.6</v>
      </c>
      <c r="H19530" t="n">
        <v>0</v>
      </c>
      <c r="I19530" t="n">
        <v>0</v>
      </c>
      <c r="J19530" t="n">
        <v>0</v>
      </c>
      <c r="K19530" t="n">
        <v>0</v>
      </c>
      <c r="L19530" t="n">
        <v>0</v>
      </c>
      <c r="M19530" t="n">
        <v>0</v>
      </c>
      <c r="N19530" t="n">
        <v>0</v>
      </c>
      <c r="O19530" t="n">
        <v>0</v>
      </c>
      <c r="P19530" t="n">
        <v>0</v>
      </c>
      <c r="Q19530" t="n">
        <v>0</v>
      </c>
      <c r="R19530" s="2" t="inlineStr"/>
    </row>
    <row r="19531" ht="15" customHeight="1">
      <c r="A19531" t="inlineStr">
        <is>
          <t>A 15923-2025</t>
        </is>
      </c>
      <c r="B19531" s="1" t="n">
        <v>45749</v>
      </c>
      <c r="C19531" s="1" t="n">
        <v>45810</v>
      </c>
      <c r="D19531" t="inlineStr">
        <is>
          <t>VÄRMLANDS LÄN</t>
        </is>
      </c>
      <c r="E19531" t="inlineStr">
        <is>
          <t>ARVIKA</t>
        </is>
      </c>
      <c r="F19531" t="inlineStr">
        <is>
          <t>Bergvik skog väst AB</t>
        </is>
      </c>
      <c r="G19531" t="n">
        <v>3.3</v>
      </c>
      <c r="H19531" t="n">
        <v>0</v>
      </c>
      <c r="I19531" t="n">
        <v>0</v>
      </c>
      <c r="J19531" t="n">
        <v>0</v>
      </c>
      <c r="K19531" t="n">
        <v>0</v>
      </c>
      <c r="L19531" t="n">
        <v>0</v>
      </c>
      <c r="M19531" t="n">
        <v>0</v>
      </c>
      <c r="N19531" t="n">
        <v>0</v>
      </c>
      <c r="O19531" t="n">
        <v>0</v>
      </c>
      <c r="P19531" t="n">
        <v>0</v>
      </c>
      <c r="Q19531" t="n">
        <v>0</v>
      </c>
      <c r="R19531" s="2" t="inlineStr"/>
    </row>
    <row r="19532" ht="15" customHeight="1">
      <c r="A19532" t="inlineStr">
        <is>
          <t>A 16031-2025</t>
        </is>
      </c>
      <c r="B19532" s="1" t="n">
        <v>45749</v>
      </c>
      <c r="C19532" s="1" t="n">
        <v>45810</v>
      </c>
      <c r="D19532" t="inlineStr">
        <is>
          <t>VÄRMLANDS LÄN</t>
        </is>
      </c>
      <c r="E19532" t="inlineStr">
        <is>
          <t>EDA</t>
        </is>
      </c>
      <c r="G19532" t="n">
        <v>0.9</v>
      </c>
      <c r="H19532" t="n">
        <v>0</v>
      </c>
      <c r="I19532" t="n">
        <v>0</v>
      </c>
      <c r="J19532" t="n">
        <v>0</v>
      </c>
      <c r="K19532" t="n">
        <v>0</v>
      </c>
      <c r="L19532" t="n">
        <v>0</v>
      </c>
      <c r="M19532" t="n">
        <v>0</v>
      </c>
      <c r="N19532" t="n">
        <v>0</v>
      </c>
      <c r="O19532" t="n">
        <v>0</v>
      </c>
      <c r="P19532" t="n">
        <v>0</v>
      </c>
      <c r="Q19532" t="n">
        <v>0</v>
      </c>
      <c r="R19532" s="2" t="inlineStr"/>
    </row>
    <row r="19533" ht="15" customHeight="1">
      <c r="A19533" t="inlineStr">
        <is>
          <t>A 15896-2025</t>
        </is>
      </c>
      <c r="B19533" s="1" t="n">
        <v>45749</v>
      </c>
      <c r="C19533" s="1" t="n">
        <v>45810</v>
      </c>
      <c r="D19533" t="inlineStr">
        <is>
          <t>VÄRMLANDS LÄN</t>
        </is>
      </c>
      <c r="E19533" t="inlineStr">
        <is>
          <t>GRUMS</t>
        </is>
      </c>
      <c r="G19533" t="n">
        <v>1.2</v>
      </c>
      <c r="H19533" t="n">
        <v>0</v>
      </c>
      <c r="I19533" t="n">
        <v>0</v>
      </c>
      <c r="J19533" t="n">
        <v>0</v>
      </c>
      <c r="K19533" t="n">
        <v>0</v>
      </c>
      <c r="L19533" t="n">
        <v>0</v>
      </c>
      <c r="M19533" t="n">
        <v>0</v>
      </c>
      <c r="N19533" t="n">
        <v>0</v>
      </c>
      <c r="O19533" t="n">
        <v>0</v>
      </c>
      <c r="P19533" t="n">
        <v>0</v>
      </c>
      <c r="Q19533" t="n">
        <v>0</v>
      </c>
      <c r="R19533" s="2" t="inlineStr"/>
    </row>
    <row r="19534" ht="15" customHeight="1">
      <c r="A19534" t="inlineStr">
        <is>
          <t>A 16063-2025</t>
        </is>
      </c>
      <c r="B19534" s="1" t="n">
        <v>45749</v>
      </c>
      <c r="C19534" s="1" t="n">
        <v>45810</v>
      </c>
      <c r="D19534" t="inlineStr">
        <is>
          <t>VÄRMLANDS LÄN</t>
        </is>
      </c>
      <c r="E19534" t="inlineStr">
        <is>
          <t>FILIPSTAD</t>
        </is>
      </c>
      <c r="F19534" t="inlineStr">
        <is>
          <t>Bergvik skog väst AB</t>
        </is>
      </c>
      <c r="G19534" t="n">
        <v>4.1</v>
      </c>
      <c r="H19534" t="n">
        <v>0</v>
      </c>
      <c r="I19534" t="n">
        <v>0</v>
      </c>
      <c r="J19534" t="n">
        <v>0</v>
      </c>
      <c r="K19534" t="n">
        <v>0</v>
      </c>
      <c r="L19534" t="n">
        <v>0</v>
      </c>
      <c r="M19534" t="n">
        <v>0</v>
      </c>
      <c r="N19534" t="n">
        <v>0</v>
      </c>
      <c r="O19534" t="n">
        <v>0</v>
      </c>
      <c r="P19534" t="n">
        <v>0</v>
      </c>
      <c r="Q19534" t="n">
        <v>0</v>
      </c>
      <c r="R19534" s="2" t="inlineStr"/>
    </row>
    <row r="19535" ht="15" customHeight="1">
      <c r="A19535" t="inlineStr">
        <is>
          <t>A 15908-2025</t>
        </is>
      </c>
      <c r="B19535" s="1" t="n">
        <v>45749</v>
      </c>
      <c r="C19535" s="1" t="n">
        <v>45810</v>
      </c>
      <c r="D19535" t="inlineStr">
        <is>
          <t>VÄRMLANDS LÄN</t>
        </is>
      </c>
      <c r="E19535" t="inlineStr">
        <is>
          <t>SUNNE</t>
        </is>
      </c>
      <c r="G19535" t="n">
        <v>0.6</v>
      </c>
      <c r="H19535" t="n">
        <v>0</v>
      </c>
      <c r="I19535" t="n">
        <v>0</v>
      </c>
      <c r="J19535" t="n">
        <v>0</v>
      </c>
      <c r="K19535" t="n">
        <v>0</v>
      </c>
      <c r="L19535" t="n">
        <v>0</v>
      </c>
      <c r="M19535" t="n">
        <v>0</v>
      </c>
      <c r="N19535" t="n">
        <v>0</v>
      </c>
      <c r="O19535" t="n">
        <v>0</v>
      </c>
      <c r="P19535" t="n">
        <v>0</v>
      </c>
      <c r="Q19535" t="n">
        <v>0</v>
      </c>
      <c r="R19535" s="2" t="inlineStr"/>
    </row>
    <row r="19536" ht="15" customHeight="1">
      <c r="A19536" t="inlineStr">
        <is>
          <t>A 15915-2025</t>
        </is>
      </c>
      <c r="B19536" s="1" t="n">
        <v>45749</v>
      </c>
      <c r="C19536" s="1" t="n">
        <v>45810</v>
      </c>
      <c r="D19536" t="inlineStr">
        <is>
          <t>VÄRMLANDS LÄN</t>
        </is>
      </c>
      <c r="E19536" t="inlineStr">
        <is>
          <t>SUNNE</t>
        </is>
      </c>
      <c r="F19536" t="inlineStr">
        <is>
          <t>Bergvik skog väst AB</t>
        </is>
      </c>
      <c r="G19536" t="n">
        <v>8.9</v>
      </c>
      <c r="H19536" t="n">
        <v>0</v>
      </c>
      <c r="I19536" t="n">
        <v>0</v>
      </c>
      <c r="J19536" t="n">
        <v>0</v>
      </c>
      <c r="K19536" t="n">
        <v>0</v>
      </c>
      <c r="L19536" t="n">
        <v>0</v>
      </c>
      <c r="M19536" t="n">
        <v>0</v>
      </c>
      <c r="N19536" t="n">
        <v>0</v>
      </c>
      <c r="O19536" t="n">
        <v>0</v>
      </c>
      <c r="P19536" t="n">
        <v>0</v>
      </c>
      <c r="Q19536" t="n">
        <v>0</v>
      </c>
      <c r="R19536" s="2" t="inlineStr"/>
    </row>
    <row r="19537" ht="15" customHeight="1">
      <c r="A19537" t="inlineStr">
        <is>
          <t>A 15918-2025</t>
        </is>
      </c>
      <c r="B19537" s="1" t="n">
        <v>45749</v>
      </c>
      <c r="C19537" s="1" t="n">
        <v>45810</v>
      </c>
      <c r="D19537" t="inlineStr">
        <is>
          <t>VÄRMLANDS LÄN</t>
        </is>
      </c>
      <c r="E19537" t="inlineStr">
        <is>
          <t>ARVIKA</t>
        </is>
      </c>
      <c r="F19537" t="inlineStr">
        <is>
          <t>Bergvik skog väst AB</t>
        </is>
      </c>
      <c r="G19537" t="n">
        <v>0.9</v>
      </c>
      <c r="H19537" t="n">
        <v>0</v>
      </c>
      <c r="I19537" t="n">
        <v>0</v>
      </c>
      <c r="J19537" t="n">
        <v>0</v>
      </c>
      <c r="K19537" t="n">
        <v>0</v>
      </c>
      <c r="L19537" t="n">
        <v>0</v>
      </c>
      <c r="M19537" t="n">
        <v>0</v>
      </c>
      <c r="N19537" t="n">
        <v>0</v>
      </c>
      <c r="O19537" t="n">
        <v>0</v>
      </c>
      <c r="P19537" t="n">
        <v>0</v>
      </c>
      <c r="Q19537" t="n">
        <v>0</v>
      </c>
      <c r="R19537" s="2" t="inlineStr"/>
    </row>
    <row r="19538" ht="15" customHeight="1">
      <c r="A19538" t="inlineStr">
        <is>
          <t>A 15942-2025</t>
        </is>
      </c>
      <c r="B19538" s="1" t="n">
        <v>45749</v>
      </c>
      <c r="C19538" s="1" t="n">
        <v>45810</v>
      </c>
      <c r="D19538" t="inlineStr">
        <is>
          <t>VÄRMLANDS LÄN</t>
        </is>
      </c>
      <c r="E19538" t="inlineStr">
        <is>
          <t>KRISTINEHAMN</t>
        </is>
      </c>
      <c r="G19538" t="n">
        <v>7.6</v>
      </c>
      <c r="H19538" t="n">
        <v>0</v>
      </c>
      <c r="I19538" t="n">
        <v>0</v>
      </c>
      <c r="J19538" t="n">
        <v>0</v>
      </c>
      <c r="K19538" t="n">
        <v>0</v>
      </c>
      <c r="L19538" t="n">
        <v>0</v>
      </c>
      <c r="M19538" t="n">
        <v>0</v>
      </c>
      <c r="N19538" t="n">
        <v>0</v>
      </c>
      <c r="O19538" t="n">
        <v>0</v>
      </c>
      <c r="P19538" t="n">
        <v>0</v>
      </c>
      <c r="Q19538" t="n">
        <v>0</v>
      </c>
      <c r="R19538" s="2" t="inlineStr"/>
    </row>
    <row r="19539" ht="15" customHeight="1">
      <c r="A19539" t="inlineStr">
        <is>
          <t>A 15997-2025</t>
        </is>
      </c>
      <c r="B19539" s="1" t="n">
        <v>45749</v>
      </c>
      <c r="C19539" s="1" t="n">
        <v>45810</v>
      </c>
      <c r="D19539" t="inlineStr">
        <is>
          <t>VÄRMLANDS LÄN</t>
        </is>
      </c>
      <c r="E19539" t="inlineStr">
        <is>
          <t>STORFORS</t>
        </is>
      </c>
      <c r="F19539" t="inlineStr">
        <is>
          <t>Bergvik skog väst AB</t>
        </is>
      </c>
      <c r="G19539" t="n">
        <v>2.5</v>
      </c>
      <c r="H19539" t="n">
        <v>0</v>
      </c>
      <c r="I19539" t="n">
        <v>0</v>
      </c>
      <c r="J19539" t="n">
        <v>0</v>
      </c>
      <c r="K19539" t="n">
        <v>0</v>
      </c>
      <c r="L19539" t="n">
        <v>0</v>
      </c>
      <c r="M19539" t="n">
        <v>0</v>
      </c>
      <c r="N19539" t="n">
        <v>0</v>
      </c>
      <c r="O19539" t="n">
        <v>0</v>
      </c>
      <c r="P19539" t="n">
        <v>0</v>
      </c>
      <c r="Q19539" t="n">
        <v>0</v>
      </c>
      <c r="R19539" s="2" t="inlineStr"/>
    </row>
    <row r="19540" ht="15" customHeight="1">
      <c r="A19540" t="inlineStr">
        <is>
          <t>A 15957-2025</t>
        </is>
      </c>
      <c r="B19540" s="1" t="n">
        <v>45749</v>
      </c>
      <c r="C19540" s="1" t="n">
        <v>45810</v>
      </c>
      <c r="D19540" t="inlineStr">
        <is>
          <t>VÄRMLANDS LÄN</t>
        </is>
      </c>
      <c r="E19540" t="inlineStr">
        <is>
          <t>KIL</t>
        </is>
      </c>
      <c r="G19540" t="n">
        <v>2.6</v>
      </c>
      <c r="H19540" t="n">
        <v>0</v>
      </c>
      <c r="I19540" t="n">
        <v>0</v>
      </c>
      <c r="J19540" t="n">
        <v>0</v>
      </c>
      <c r="K19540" t="n">
        <v>0</v>
      </c>
      <c r="L19540" t="n">
        <v>0</v>
      </c>
      <c r="M19540" t="n">
        <v>0</v>
      </c>
      <c r="N19540" t="n">
        <v>0</v>
      </c>
      <c r="O19540" t="n">
        <v>0</v>
      </c>
      <c r="P19540" t="n">
        <v>0</v>
      </c>
      <c r="Q19540" t="n">
        <v>0</v>
      </c>
      <c r="R19540" s="2" t="inlineStr"/>
    </row>
    <row r="19541" ht="15" customHeight="1">
      <c r="A19541" t="inlineStr">
        <is>
          <t>A 16085-2025</t>
        </is>
      </c>
      <c r="B19541" s="1" t="n">
        <v>45749</v>
      </c>
      <c r="C19541" s="1" t="n">
        <v>45810</v>
      </c>
      <c r="D19541" t="inlineStr">
        <is>
          <t>VÄRMLANDS LÄN</t>
        </is>
      </c>
      <c r="E19541" t="inlineStr">
        <is>
          <t>SUNNE</t>
        </is>
      </c>
      <c r="G19541" t="n">
        <v>1.1</v>
      </c>
      <c r="H19541" t="n">
        <v>0</v>
      </c>
      <c r="I19541" t="n">
        <v>0</v>
      </c>
      <c r="J19541" t="n">
        <v>0</v>
      </c>
      <c r="K19541" t="n">
        <v>0</v>
      </c>
      <c r="L19541" t="n">
        <v>0</v>
      </c>
      <c r="M19541" t="n">
        <v>0</v>
      </c>
      <c r="N19541" t="n">
        <v>0</v>
      </c>
      <c r="O19541" t="n">
        <v>0</v>
      </c>
      <c r="P19541" t="n">
        <v>0</v>
      </c>
      <c r="Q19541" t="n">
        <v>0</v>
      </c>
      <c r="R19541" s="2" t="inlineStr"/>
    </row>
    <row r="19542" ht="15" customHeight="1">
      <c r="A19542" t="inlineStr">
        <is>
          <t>A 15891-2025</t>
        </is>
      </c>
      <c r="B19542" s="1" t="n">
        <v>45749</v>
      </c>
      <c r="C19542" s="1" t="n">
        <v>45810</v>
      </c>
      <c r="D19542" t="inlineStr">
        <is>
          <t>VÄRMLANDS LÄN</t>
        </is>
      </c>
      <c r="E19542" t="inlineStr">
        <is>
          <t>EDA</t>
        </is>
      </c>
      <c r="G19542" t="n">
        <v>2.6</v>
      </c>
      <c r="H19542" t="n">
        <v>0</v>
      </c>
      <c r="I19542" t="n">
        <v>0</v>
      </c>
      <c r="J19542" t="n">
        <v>0</v>
      </c>
      <c r="K19542" t="n">
        <v>0</v>
      </c>
      <c r="L19542" t="n">
        <v>0</v>
      </c>
      <c r="M19542" t="n">
        <v>0</v>
      </c>
      <c r="N19542" t="n">
        <v>0</v>
      </c>
      <c r="O19542" t="n">
        <v>0</v>
      </c>
      <c r="P19542" t="n">
        <v>0</v>
      </c>
      <c r="Q19542" t="n">
        <v>0</v>
      </c>
      <c r="R19542" s="2" t="inlineStr"/>
    </row>
    <row r="19543" ht="15" customHeight="1">
      <c r="A19543" t="inlineStr">
        <is>
          <t>A 15860-2025</t>
        </is>
      </c>
      <c r="B19543" s="1" t="n">
        <v>45749</v>
      </c>
      <c r="C19543" s="1" t="n">
        <v>45810</v>
      </c>
      <c r="D19543" t="inlineStr">
        <is>
          <t>VÄRMLANDS LÄN</t>
        </is>
      </c>
      <c r="E19543" t="inlineStr">
        <is>
          <t>EDA</t>
        </is>
      </c>
      <c r="F19543" t="inlineStr">
        <is>
          <t>Övriga Aktiebolag</t>
        </is>
      </c>
      <c r="G19543" t="n">
        <v>5.2</v>
      </c>
      <c r="H19543" t="n">
        <v>0</v>
      </c>
      <c r="I19543" t="n">
        <v>0</v>
      </c>
      <c r="J19543" t="n">
        <v>0</v>
      </c>
      <c r="K19543" t="n">
        <v>0</v>
      </c>
      <c r="L19543" t="n">
        <v>0</v>
      </c>
      <c r="M19543" t="n">
        <v>0</v>
      </c>
      <c r="N19543" t="n">
        <v>0</v>
      </c>
      <c r="O19543" t="n">
        <v>0</v>
      </c>
      <c r="P19543" t="n">
        <v>0</v>
      </c>
      <c r="Q19543" t="n">
        <v>0</v>
      </c>
      <c r="R19543" s="2" t="inlineStr"/>
    </row>
    <row r="19544" ht="15" customHeight="1">
      <c r="A19544" t="inlineStr">
        <is>
          <t>A 15962-2025</t>
        </is>
      </c>
      <c r="B19544" s="1" t="n">
        <v>45749</v>
      </c>
      <c r="C19544" s="1" t="n">
        <v>45810</v>
      </c>
      <c r="D19544" t="inlineStr">
        <is>
          <t>VÄRMLANDS LÄN</t>
        </is>
      </c>
      <c r="E19544" t="inlineStr">
        <is>
          <t>KIL</t>
        </is>
      </c>
      <c r="G19544" t="n">
        <v>2.1</v>
      </c>
      <c r="H19544" t="n">
        <v>0</v>
      </c>
      <c r="I19544" t="n">
        <v>0</v>
      </c>
      <c r="J19544" t="n">
        <v>0</v>
      </c>
      <c r="K19544" t="n">
        <v>0</v>
      </c>
      <c r="L19544" t="n">
        <v>0</v>
      </c>
      <c r="M19544" t="n">
        <v>0</v>
      </c>
      <c r="N19544" t="n">
        <v>0</v>
      </c>
      <c r="O19544" t="n">
        <v>0</v>
      </c>
      <c r="P19544" t="n">
        <v>0</v>
      </c>
      <c r="Q19544" t="n">
        <v>0</v>
      </c>
      <c r="R19544" s="2" t="inlineStr"/>
    </row>
    <row r="19545" ht="15" customHeight="1">
      <c r="A19545" t="inlineStr">
        <is>
          <t>A 15959-2025</t>
        </is>
      </c>
      <c r="B19545" s="1" t="n">
        <v>45749</v>
      </c>
      <c r="C19545" s="1" t="n">
        <v>45810</v>
      </c>
      <c r="D19545" t="inlineStr">
        <is>
          <t>VÄRMLANDS LÄN</t>
        </is>
      </c>
      <c r="E19545" t="inlineStr">
        <is>
          <t>TORSBY</t>
        </is>
      </c>
      <c r="G19545" t="n">
        <v>5.4</v>
      </c>
      <c r="H19545" t="n">
        <v>0</v>
      </c>
      <c r="I19545" t="n">
        <v>0</v>
      </c>
      <c r="J19545" t="n">
        <v>0</v>
      </c>
      <c r="K19545" t="n">
        <v>0</v>
      </c>
      <c r="L19545" t="n">
        <v>0</v>
      </c>
      <c r="M19545" t="n">
        <v>0</v>
      </c>
      <c r="N19545" t="n">
        <v>0</v>
      </c>
      <c r="O19545" t="n">
        <v>0</v>
      </c>
      <c r="P19545" t="n">
        <v>0</v>
      </c>
      <c r="Q19545" t="n">
        <v>0</v>
      </c>
      <c r="R19545" s="2" t="inlineStr"/>
    </row>
    <row r="19546" ht="15" customHeight="1">
      <c r="A19546" t="inlineStr">
        <is>
          <t>A 15885-2025</t>
        </is>
      </c>
      <c r="B19546" s="1" t="n">
        <v>45749</v>
      </c>
      <c r="C19546" s="1" t="n">
        <v>45810</v>
      </c>
      <c r="D19546" t="inlineStr">
        <is>
          <t>VÄRMLANDS LÄN</t>
        </is>
      </c>
      <c r="E19546" t="inlineStr">
        <is>
          <t>TORSBY</t>
        </is>
      </c>
      <c r="G19546" t="n">
        <v>9.9</v>
      </c>
      <c r="H19546" t="n">
        <v>0</v>
      </c>
      <c r="I19546" t="n">
        <v>0</v>
      </c>
      <c r="J19546" t="n">
        <v>0</v>
      </c>
      <c r="K19546" t="n">
        <v>0</v>
      </c>
      <c r="L19546" t="n">
        <v>0</v>
      </c>
      <c r="M19546" t="n">
        <v>0</v>
      </c>
      <c r="N19546" t="n">
        <v>0</v>
      </c>
      <c r="O19546" t="n">
        <v>0</v>
      </c>
      <c r="P19546" t="n">
        <v>0</v>
      </c>
      <c r="Q19546" t="n">
        <v>0</v>
      </c>
      <c r="R19546" s="2" t="inlineStr"/>
    </row>
    <row r="19547" ht="15" customHeight="1">
      <c r="A19547" t="inlineStr">
        <is>
          <t>A 16017-2025</t>
        </is>
      </c>
      <c r="B19547" s="1" t="n">
        <v>45749</v>
      </c>
      <c r="C19547" s="1" t="n">
        <v>45810</v>
      </c>
      <c r="D19547" t="inlineStr">
        <is>
          <t>VÄRMLANDS LÄN</t>
        </is>
      </c>
      <c r="E19547" t="inlineStr">
        <is>
          <t>TORSBY</t>
        </is>
      </c>
      <c r="G19547" t="n">
        <v>2.3</v>
      </c>
      <c r="H19547" t="n">
        <v>0</v>
      </c>
      <c r="I19547" t="n">
        <v>0</v>
      </c>
      <c r="J19547" t="n">
        <v>0</v>
      </c>
      <c r="K19547" t="n">
        <v>0</v>
      </c>
      <c r="L19547" t="n">
        <v>0</v>
      </c>
      <c r="M19547" t="n">
        <v>0</v>
      </c>
      <c r="N19547" t="n">
        <v>0</v>
      </c>
      <c r="O19547" t="n">
        <v>0</v>
      </c>
      <c r="P19547" t="n">
        <v>0</v>
      </c>
      <c r="Q19547" t="n">
        <v>0</v>
      </c>
      <c r="R19547" s="2" t="inlineStr"/>
    </row>
    <row r="19548" ht="15" customHeight="1">
      <c r="A19548" t="inlineStr">
        <is>
          <t>A 15988-2025</t>
        </is>
      </c>
      <c r="B19548" s="1" t="n">
        <v>45749</v>
      </c>
      <c r="C19548" s="1" t="n">
        <v>45810</v>
      </c>
      <c r="D19548" t="inlineStr">
        <is>
          <t>VÄRMLANDS LÄN</t>
        </is>
      </c>
      <c r="E19548" t="inlineStr">
        <is>
          <t>ARVIKA</t>
        </is>
      </c>
      <c r="G19548" t="n">
        <v>6.5</v>
      </c>
      <c r="H19548" t="n">
        <v>0</v>
      </c>
      <c r="I19548" t="n">
        <v>0</v>
      </c>
      <c r="J19548" t="n">
        <v>0</v>
      </c>
      <c r="K19548" t="n">
        <v>0</v>
      </c>
      <c r="L19548" t="n">
        <v>0</v>
      </c>
      <c r="M19548" t="n">
        <v>0</v>
      </c>
      <c r="N19548" t="n">
        <v>0</v>
      </c>
      <c r="O19548" t="n">
        <v>0</v>
      </c>
      <c r="P19548" t="n">
        <v>0</v>
      </c>
      <c r="Q19548" t="n">
        <v>0</v>
      </c>
      <c r="R19548" s="2" t="inlineStr"/>
    </row>
    <row r="19549" ht="15" customHeight="1">
      <c r="A19549" t="inlineStr">
        <is>
          <t>A 15983-2025</t>
        </is>
      </c>
      <c r="B19549" s="1" t="n">
        <v>45749</v>
      </c>
      <c r="C19549" s="1" t="n">
        <v>45810</v>
      </c>
      <c r="D19549" t="inlineStr">
        <is>
          <t>VÄRMLANDS LÄN</t>
        </is>
      </c>
      <c r="E19549" t="inlineStr">
        <is>
          <t>KARLSTAD</t>
        </is>
      </c>
      <c r="G19549" t="n">
        <v>0.9</v>
      </c>
      <c r="H19549" t="n">
        <v>0</v>
      </c>
      <c r="I19549" t="n">
        <v>0</v>
      </c>
      <c r="J19549" t="n">
        <v>0</v>
      </c>
      <c r="K19549" t="n">
        <v>0</v>
      </c>
      <c r="L19549" t="n">
        <v>0</v>
      </c>
      <c r="M19549" t="n">
        <v>0</v>
      </c>
      <c r="N19549" t="n">
        <v>0</v>
      </c>
      <c r="O19549" t="n">
        <v>0</v>
      </c>
      <c r="P19549" t="n">
        <v>0</v>
      </c>
      <c r="Q19549" t="n">
        <v>0</v>
      </c>
      <c r="R19549" s="2" t="inlineStr"/>
    </row>
    <row r="19550" ht="15" customHeight="1">
      <c r="A19550" t="inlineStr">
        <is>
          <t>A 16003-2025</t>
        </is>
      </c>
      <c r="B19550" s="1" t="n">
        <v>45749</v>
      </c>
      <c r="C19550" s="1" t="n">
        <v>45810</v>
      </c>
      <c r="D19550" t="inlineStr">
        <is>
          <t>VÄRMLANDS LÄN</t>
        </is>
      </c>
      <c r="E19550" t="inlineStr">
        <is>
          <t>TORSBY</t>
        </is>
      </c>
      <c r="G19550" t="n">
        <v>0.6</v>
      </c>
      <c r="H19550" t="n">
        <v>0</v>
      </c>
      <c r="I19550" t="n">
        <v>0</v>
      </c>
      <c r="J19550" t="n">
        <v>0</v>
      </c>
      <c r="K19550" t="n">
        <v>0</v>
      </c>
      <c r="L19550" t="n">
        <v>0</v>
      </c>
      <c r="M19550" t="n">
        <v>0</v>
      </c>
      <c r="N19550" t="n">
        <v>0</v>
      </c>
      <c r="O19550" t="n">
        <v>0</v>
      </c>
      <c r="P19550" t="n">
        <v>0</v>
      </c>
      <c r="Q19550" t="n">
        <v>0</v>
      </c>
      <c r="R19550" s="2" t="inlineStr"/>
    </row>
    <row r="19551" ht="15" customHeight="1">
      <c r="A19551" t="inlineStr">
        <is>
          <t>A 16158-2025</t>
        </is>
      </c>
      <c r="B19551" s="1" t="n">
        <v>45750</v>
      </c>
      <c r="C19551" s="1" t="n">
        <v>45810</v>
      </c>
      <c r="D19551" t="inlineStr">
        <is>
          <t>VÄRMLANDS LÄN</t>
        </is>
      </c>
      <c r="E19551" t="inlineStr">
        <is>
          <t>KIL</t>
        </is>
      </c>
      <c r="G19551" t="n">
        <v>5.4</v>
      </c>
      <c r="H19551" t="n">
        <v>0</v>
      </c>
      <c r="I19551" t="n">
        <v>0</v>
      </c>
      <c r="J19551" t="n">
        <v>0</v>
      </c>
      <c r="K19551" t="n">
        <v>0</v>
      </c>
      <c r="L19551" t="n">
        <v>0</v>
      </c>
      <c r="M19551" t="n">
        <v>0</v>
      </c>
      <c r="N19551" t="n">
        <v>0</v>
      </c>
      <c r="O19551" t="n">
        <v>0</v>
      </c>
      <c r="P19551" t="n">
        <v>0</v>
      </c>
      <c r="Q19551" t="n">
        <v>0</v>
      </c>
      <c r="R19551" s="2" t="inlineStr"/>
    </row>
    <row r="19552" ht="15" customHeight="1">
      <c r="A19552" t="inlineStr">
        <is>
          <t>A 16103-2025</t>
        </is>
      </c>
      <c r="B19552" s="1" t="n">
        <v>45750</v>
      </c>
      <c r="C19552" s="1" t="n">
        <v>45810</v>
      </c>
      <c r="D19552" t="inlineStr">
        <is>
          <t>VÄRMLANDS LÄN</t>
        </is>
      </c>
      <c r="E19552" t="inlineStr">
        <is>
          <t>FILIPSTAD</t>
        </is>
      </c>
      <c r="G19552" t="n">
        <v>0.5</v>
      </c>
      <c r="H19552" t="n">
        <v>0</v>
      </c>
      <c r="I19552" t="n">
        <v>0</v>
      </c>
      <c r="J19552" t="n">
        <v>0</v>
      </c>
      <c r="K19552" t="n">
        <v>0</v>
      </c>
      <c r="L19552" t="n">
        <v>0</v>
      </c>
      <c r="M19552" t="n">
        <v>0</v>
      </c>
      <c r="N19552" t="n">
        <v>0</v>
      </c>
      <c r="O19552" t="n">
        <v>0</v>
      </c>
      <c r="P19552" t="n">
        <v>0</v>
      </c>
      <c r="Q19552" t="n">
        <v>0</v>
      </c>
      <c r="R19552" s="2" t="inlineStr"/>
    </row>
    <row r="19553" ht="15" customHeight="1">
      <c r="A19553" t="inlineStr">
        <is>
          <t>A 16192-2025</t>
        </is>
      </c>
      <c r="B19553" s="1" t="n">
        <v>45750</v>
      </c>
      <c r="C19553" s="1" t="n">
        <v>45810</v>
      </c>
      <c r="D19553" t="inlineStr">
        <is>
          <t>VÄRMLANDS LÄN</t>
        </is>
      </c>
      <c r="E19553" t="inlineStr">
        <is>
          <t>TORSBY</t>
        </is>
      </c>
      <c r="G19553" t="n">
        <v>1.8</v>
      </c>
      <c r="H19553" t="n">
        <v>0</v>
      </c>
      <c r="I19553" t="n">
        <v>0</v>
      </c>
      <c r="J19553" t="n">
        <v>0</v>
      </c>
      <c r="K19553" t="n">
        <v>0</v>
      </c>
      <c r="L19553" t="n">
        <v>0</v>
      </c>
      <c r="M19553" t="n">
        <v>0</v>
      </c>
      <c r="N19553" t="n">
        <v>0</v>
      </c>
      <c r="O19553" t="n">
        <v>0</v>
      </c>
      <c r="P19553" t="n">
        <v>0</v>
      </c>
      <c r="Q19553" t="n">
        <v>0</v>
      </c>
      <c r="R19553" s="2" t="inlineStr"/>
    </row>
    <row r="19554" ht="15" customHeight="1">
      <c r="A19554" t="inlineStr">
        <is>
          <t>A 16100-2025</t>
        </is>
      </c>
      <c r="B19554" s="1" t="n">
        <v>45750</v>
      </c>
      <c r="C19554" s="1" t="n">
        <v>45810</v>
      </c>
      <c r="D19554" t="inlineStr">
        <is>
          <t>VÄRMLANDS LÄN</t>
        </is>
      </c>
      <c r="E19554" t="inlineStr">
        <is>
          <t>FILIPSTAD</t>
        </is>
      </c>
      <c r="G19554" t="n">
        <v>1.9</v>
      </c>
      <c r="H19554" t="n">
        <v>0</v>
      </c>
      <c r="I19554" t="n">
        <v>0</v>
      </c>
      <c r="J19554" t="n">
        <v>0</v>
      </c>
      <c r="K19554" t="n">
        <v>0</v>
      </c>
      <c r="L19554" t="n">
        <v>0</v>
      </c>
      <c r="M19554" t="n">
        <v>0</v>
      </c>
      <c r="N19554" t="n">
        <v>0</v>
      </c>
      <c r="O19554" t="n">
        <v>0</v>
      </c>
      <c r="P19554" t="n">
        <v>0</v>
      </c>
      <c r="Q19554" t="n">
        <v>0</v>
      </c>
      <c r="R19554" s="2" t="inlineStr"/>
    </row>
    <row r="19555" ht="15" customHeight="1">
      <c r="A19555" t="inlineStr">
        <is>
          <t>A 16210-2025</t>
        </is>
      </c>
      <c r="B19555" s="1" t="n">
        <v>45750</v>
      </c>
      <c r="C19555" s="1" t="n">
        <v>45810</v>
      </c>
      <c r="D19555" t="inlineStr">
        <is>
          <t>VÄRMLANDS LÄN</t>
        </is>
      </c>
      <c r="E19555" t="inlineStr">
        <is>
          <t>TORSBY</t>
        </is>
      </c>
      <c r="F19555" t="inlineStr">
        <is>
          <t>Bergvik skog väst AB</t>
        </is>
      </c>
      <c r="G19555" t="n">
        <v>10.7</v>
      </c>
      <c r="H19555" t="n">
        <v>0</v>
      </c>
      <c r="I19555" t="n">
        <v>0</v>
      </c>
      <c r="J19555" t="n">
        <v>0</v>
      </c>
      <c r="K19555" t="n">
        <v>0</v>
      </c>
      <c r="L19555" t="n">
        <v>0</v>
      </c>
      <c r="M19555" t="n">
        <v>0</v>
      </c>
      <c r="N19555" t="n">
        <v>0</v>
      </c>
      <c r="O19555" t="n">
        <v>0</v>
      </c>
      <c r="P19555" t="n">
        <v>0</v>
      </c>
      <c r="Q19555" t="n">
        <v>0</v>
      </c>
      <c r="R19555" s="2" t="inlineStr"/>
    </row>
    <row r="19556" ht="15" customHeight="1">
      <c r="A19556" t="inlineStr">
        <is>
          <t>A 16151-2025</t>
        </is>
      </c>
      <c r="B19556" s="1" t="n">
        <v>45750</v>
      </c>
      <c r="C19556" s="1" t="n">
        <v>45810</v>
      </c>
      <c r="D19556" t="inlineStr">
        <is>
          <t>VÄRMLANDS LÄN</t>
        </is>
      </c>
      <c r="E19556" t="inlineStr">
        <is>
          <t>ARVIKA</t>
        </is>
      </c>
      <c r="F19556" t="inlineStr">
        <is>
          <t>Bergvik skog väst AB</t>
        </is>
      </c>
      <c r="G19556" t="n">
        <v>2.3</v>
      </c>
      <c r="H19556" t="n">
        <v>0</v>
      </c>
      <c r="I19556" t="n">
        <v>0</v>
      </c>
      <c r="J19556" t="n">
        <v>0</v>
      </c>
      <c r="K19556" t="n">
        <v>0</v>
      </c>
      <c r="L19556" t="n">
        <v>0</v>
      </c>
      <c r="M19556" t="n">
        <v>0</v>
      </c>
      <c r="N19556" t="n">
        <v>0</v>
      </c>
      <c r="O19556" t="n">
        <v>0</v>
      </c>
      <c r="P19556" t="n">
        <v>0</v>
      </c>
      <c r="Q19556" t="n">
        <v>0</v>
      </c>
      <c r="R19556" s="2" t="inlineStr"/>
    </row>
    <row r="19557" ht="15" customHeight="1">
      <c r="A19557" t="inlineStr">
        <is>
          <t>A 16112-2025</t>
        </is>
      </c>
      <c r="B19557" s="1" t="n">
        <v>45750</v>
      </c>
      <c r="C19557" s="1" t="n">
        <v>45810</v>
      </c>
      <c r="D19557" t="inlineStr">
        <is>
          <t>VÄRMLANDS LÄN</t>
        </is>
      </c>
      <c r="E19557" t="inlineStr">
        <is>
          <t>ÅRJÄNG</t>
        </is>
      </c>
      <c r="G19557" t="n">
        <v>0.7</v>
      </c>
      <c r="H19557" t="n">
        <v>0</v>
      </c>
      <c r="I19557" t="n">
        <v>0</v>
      </c>
      <c r="J19557" t="n">
        <v>0</v>
      </c>
      <c r="K19557" t="n">
        <v>0</v>
      </c>
      <c r="L19557" t="n">
        <v>0</v>
      </c>
      <c r="M19557" t="n">
        <v>0</v>
      </c>
      <c r="N19557" t="n">
        <v>0</v>
      </c>
      <c r="O19557" t="n">
        <v>0</v>
      </c>
      <c r="P19557" t="n">
        <v>0</v>
      </c>
      <c r="Q19557" t="n">
        <v>0</v>
      </c>
      <c r="R19557" s="2" t="inlineStr"/>
    </row>
    <row r="19558" ht="15" customHeight="1">
      <c r="A19558" t="inlineStr">
        <is>
          <t>A 16222-2025</t>
        </is>
      </c>
      <c r="B19558" s="1" t="n">
        <v>45750</v>
      </c>
      <c r="C19558" s="1" t="n">
        <v>45810</v>
      </c>
      <c r="D19558" t="inlineStr">
        <is>
          <t>VÄRMLANDS LÄN</t>
        </is>
      </c>
      <c r="E19558" t="inlineStr">
        <is>
          <t>TORSBY</t>
        </is>
      </c>
      <c r="F19558" t="inlineStr">
        <is>
          <t>Bergvik skog väst AB</t>
        </is>
      </c>
      <c r="G19558" t="n">
        <v>20</v>
      </c>
      <c r="H19558" t="n">
        <v>0</v>
      </c>
      <c r="I19558" t="n">
        <v>0</v>
      </c>
      <c r="J19558" t="n">
        <v>0</v>
      </c>
      <c r="K19558" t="n">
        <v>0</v>
      </c>
      <c r="L19558" t="n">
        <v>0</v>
      </c>
      <c r="M19558" t="n">
        <v>0</v>
      </c>
      <c r="N19558" t="n">
        <v>0</v>
      </c>
      <c r="O19558" t="n">
        <v>0</v>
      </c>
      <c r="P19558" t="n">
        <v>0</v>
      </c>
      <c r="Q19558" t="n">
        <v>0</v>
      </c>
      <c r="R19558" s="2" t="inlineStr"/>
    </row>
    <row r="19559" ht="15" customHeight="1">
      <c r="A19559" t="inlineStr">
        <is>
          <t>A 16136-2025</t>
        </is>
      </c>
      <c r="B19559" s="1" t="n">
        <v>45750</v>
      </c>
      <c r="C19559" s="1" t="n">
        <v>45810</v>
      </c>
      <c r="D19559" t="inlineStr">
        <is>
          <t>VÄRMLANDS LÄN</t>
        </is>
      </c>
      <c r="E19559" t="inlineStr">
        <is>
          <t>TORSBY</t>
        </is>
      </c>
      <c r="G19559" t="n">
        <v>0.6</v>
      </c>
      <c r="H19559" t="n">
        <v>0</v>
      </c>
      <c r="I19559" t="n">
        <v>0</v>
      </c>
      <c r="J19559" t="n">
        <v>0</v>
      </c>
      <c r="K19559" t="n">
        <v>0</v>
      </c>
      <c r="L19559" t="n">
        <v>0</v>
      </c>
      <c r="M19559" t="n">
        <v>0</v>
      </c>
      <c r="N19559" t="n">
        <v>0</v>
      </c>
      <c r="O19559" t="n">
        <v>0</v>
      </c>
      <c r="P19559" t="n">
        <v>0</v>
      </c>
      <c r="Q19559" t="n">
        <v>0</v>
      </c>
      <c r="R19559" s="2" t="inlineStr"/>
    </row>
    <row r="19560" ht="15" customHeight="1">
      <c r="A19560" t="inlineStr">
        <is>
          <t>A 16153-2025</t>
        </is>
      </c>
      <c r="B19560" s="1" t="n">
        <v>45750</v>
      </c>
      <c r="C19560" s="1" t="n">
        <v>45810</v>
      </c>
      <c r="D19560" t="inlineStr">
        <is>
          <t>VÄRMLANDS LÄN</t>
        </is>
      </c>
      <c r="E19560" t="inlineStr">
        <is>
          <t>HAGFORS</t>
        </is>
      </c>
      <c r="G19560" t="n">
        <v>1.7</v>
      </c>
      <c r="H19560" t="n">
        <v>0</v>
      </c>
      <c r="I19560" t="n">
        <v>0</v>
      </c>
      <c r="J19560" t="n">
        <v>0</v>
      </c>
      <c r="K19560" t="n">
        <v>0</v>
      </c>
      <c r="L19560" t="n">
        <v>0</v>
      </c>
      <c r="M19560" t="n">
        <v>0</v>
      </c>
      <c r="N19560" t="n">
        <v>0</v>
      </c>
      <c r="O19560" t="n">
        <v>0</v>
      </c>
      <c r="P19560" t="n">
        <v>0</v>
      </c>
      <c r="Q19560" t="n">
        <v>0</v>
      </c>
      <c r="R19560" s="2" t="inlineStr"/>
    </row>
    <row r="19561" ht="15" customHeight="1">
      <c r="A19561" t="inlineStr">
        <is>
          <t>A 16294-2025</t>
        </is>
      </c>
      <c r="B19561" s="1" t="n">
        <v>45750</v>
      </c>
      <c r="C19561" s="1" t="n">
        <v>45810</v>
      </c>
      <c r="D19561" t="inlineStr">
        <is>
          <t>VÄRMLANDS LÄN</t>
        </is>
      </c>
      <c r="E19561" t="inlineStr">
        <is>
          <t>SUNNE</t>
        </is>
      </c>
      <c r="G19561" t="n">
        <v>2.5</v>
      </c>
      <c r="H19561" t="n">
        <v>0</v>
      </c>
      <c r="I19561" t="n">
        <v>0</v>
      </c>
      <c r="J19561" t="n">
        <v>0</v>
      </c>
      <c r="K19561" t="n">
        <v>0</v>
      </c>
      <c r="L19561" t="n">
        <v>0</v>
      </c>
      <c r="M19561" t="n">
        <v>0</v>
      </c>
      <c r="N19561" t="n">
        <v>0</v>
      </c>
      <c r="O19561" t="n">
        <v>0</v>
      </c>
      <c r="P19561" t="n">
        <v>0</v>
      </c>
      <c r="Q19561" t="n">
        <v>0</v>
      </c>
      <c r="R19561" s="2" t="inlineStr"/>
    </row>
    <row r="19562" ht="15" customHeight="1">
      <c r="A19562" t="inlineStr">
        <is>
          <t>A 16295-2025</t>
        </is>
      </c>
      <c r="B19562" s="1" t="n">
        <v>45750</v>
      </c>
      <c r="C19562" s="1" t="n">
        <v>45810</v>
      </c>
      <c r="D19562" t="inlineStr">
        <is>
          <t>VÄRMLANDS LÄN</t>
        </is>
      </c>
      <c r="E19562" t="inlineStr">
        <is>
          <t>ÅRJÄNG</t>
        </is>
      </c>
      <c r="G19562" t="n">
        <v>3.7</v>
      </c>
      <c r="H19562" t="n">
        <v>0</v>
      </c>
      <c r="I19562" t="n">
        <v>0</v>
      </c>
      <c r="J19562" t="n">
        <v>0</v>
      </c>
      <c r="K19562" t="n">
        <v>0</v>
      </c>
      <c r="L19562" t="n">
        <v>0</v>
      </c>
      <c r="M19562" t="n">
        <v>0</v>
      </c>
      <c r="N19562" t="n">
        <v>0</v>
      </c>
      <c r="O19562" t="n">
        <v>0</v>
      </c>
      <c r="P19562" t="n">
        <v>0</v>
      </c>
      <c r="Q19562" t="n">
        <v>0</v>
      </c>
      <c r="R19562" s="2" t="inlineStr"/>
    </row>
    <row r="19563" ht="15" customHeight="1">
      <c r="A19563" t="inlineStr">
        <is>
          <t>A 16421-2025</t>
        </is>
      </c>
      <c r="B19563" s="1" t="n">
        <v>45751</v>
      </c>
      <c r="C19563" s="1" t="n">
        <v>45810</v>
      </c>
      <c r="D19563" t="inlineStr">
        <is>
          <t>VÄRMLANDS LÄN</t>
        </is>
      </c>
      <c r="E19563" t="inlineStr">
        <is>
          <t>KARLSTAD</t>
        </is>
      </c>
      <c r="G19563" t="n">
        <v>2.9</v>
      </c>
      <c r="H19563" t="n">
        <v>0</v>
      </c>
      <c r="I19563" t="n">
        <v>0</v>
      </c>
      <c r="J19563" t="n">
        <v>0</v>
      </c>
      <c r="K19563" t="n">
        <v>0</v>
      </c>
      <c r="L19563" t="n">
        <v>0</v>
      </c>
      <c r="M19563" t="n">
        <v>0</v>
      </c>
      <c r="N19563" t="n">
        <v>0</v>
      </c>
      <c r="O19563" t="n">
        <v>0</v>
      </c>
      <c r="P19563" t="n">
        <v>0</v>
      </c>
      <c r="Q19563" t="n">
        <v>0</v>
      </c>
      <c r="R19563" s="2" t="inlineStr"/>
    </row>
    <row r="19564" ht="15" customHeight="1">
      <c r="A19564" t="inlineStr">
        <is>
          <t>A 16391-2025</t>
        </is>
      </c>
      <c r="B19564" s="1" t="n">
        <v>45751</v>
      </c>
      <c r="C19564" s="1" t="n">
        <v>45810</v>
      </c>
      <c r="D19564" t="inlineStr">
        <is>
          <t>VÄRMLANDS LÄN</t>
        </is>
      </c>
      <c r="E19564" t="inlineStr">
        <is>
          <t>KARLSTAD</t>
        </is>
      </c>
      <c r="G19564" t="n">
        <v>11</v>
      </c>
      <c r="H19564" t="n">
        <v>0</v>
      </c>
      <c r="I19564" t="n">
        <v>0</v>
      </c>
      <c r="J19564" t="n">
        <v>0</v>
      </c>
      <c r="K19564" t="n">
        <v>0</v>
      </c>
      <c r="L19564" t="n">
        <v>0</v>
      </c>
      <c r="M19564" t="n">
        <v>0</v>
      </c>
      <c r="N19564" t="n">
        <v>0</v>
      </c>
      <c r="O19564" t="n">
        <v>0</v>
      </c>
      <c r="P19564" t="n">
        <v>0</v>
      </c>
      <c r="Q19564" t="n">
        <v>0</v>
      </c>
      <c r="R19564" s="2" t="inlineStr"/>
    </row>
    <row r="19565" ht="15" customHeight="1">
      <c r="A19565" t="inlineStr">
        <is>
          <t>A 16379-2025</t>
        </is>
      </c>
      <c r="B19565" s="1" t="n">
        <v>45751</v>
      </c>
      <c r="C19565" s="1" t="n">
        <v>45810</v>
      </c>
      <c r="D19565" t="inlineStr">
        <is>
          <t>VÄRMLANDS LÄN</t>
        </is>
      </c>
      <c r="E19565" t="inlineStr">
        <is>
          <t>ÅRJÄNG</t>
        </is>
      </c>
      <c r="G19565" t="n">
        <v>12.4</v>
      </c>
      <c r="H19565" t="n">
        <v>0</v>
      </c>
      <c r="I19565" t="n">
        <v>0</v>
      </c>
      <c r="J19565" t="n">
        <v>0</v>
      </c>
      <c r="K19565" t="n">
        <v>0</v>
      </c>
      <c r="L19565" t="n">
        <v>0</v>
      </c>
      <c r="M19565" t="n">
        <v>0</v>
      </c>
      <c r="N19565" t="n">
        <v>0</v>
      </c>
      <c r="O19565" t="n">
        <v>0</v>
      </c>
      <c r="P19565" t="n">
        <v>0</v>
      </c>
      <c r="Q19565" t="n">
        <v>0</v>
      </c>
      <c r="R19565" s="2" t="inlineStr"/>
    </row>
    <row r="19566" ht="15" customHeight="1">
      <c r="A19566" t="inlineStr">
        <is>
          <t>A 16276-2025</t>
        </is>
      </c>
      <c r="B19566" s="1" t="n">
        <v>45751</v>
      </c>
      <c r="C19566" s="1" t="n">
        <v>45810</v>
      </c>
      <c r="D19566" t="inlineStr">
        <is>
          <t>VÄRMLANDS LÄN</t>
        </is>
      </c>
      <c r="E19566" t="inlineStr">
        <is>
          <t>ÅRJÄNG</t>
        </is>
      </c>
      <c r="G19566" t="n">
        <v>1.7</v>
      </c>
      <c r="H19566" t="n">
        <v>0</v>
      </c>
      <c r="I19566" t="n">
        <v>0</v>
      </c>
      <c r="J19566" t="n">
        <v>0</v>
      </c>
      <c r="K19566" t="n">
        <v>0</v>
      </c>
      <c r="L19566" t="n">
        <v>0</v>
      </c>
      <c r="M19566" t="n">
        <v>0</v>
      </c>
      <c r="N19566" t="n">
        <v>0</v>
      </c>
      <c r="O19566" t="n">
        <v>0</v>
      </c>
      <c r="P19566" t="n">
        <v>0</v>
      </c>
      <c r="Q19566" t="n">
        <v>0</v>
      </c>
      <c r="R19566" s="2" t="inlineStr"/>
    </row>
    <row r="19567" ht="15" customHeight="1">
      <c r="A19567" t="inlineStr">
        <is>
          <t>A 16559-2025</t>
        </is>
      </c>
      <c r="B19567" s="1" t="n">
        <v>45751</v>
      </c>
      <c r="C19567" s="1" t="n">
        <v>45810</v>
      </c>
      <c r="D19567" t="inlineStr">
        <is>
          <t>VÄRMLANDS LÄN</t>
        </is>
      </c>
      <c r="E19567" t="inlineStr">
        <is>
          <t>ARVIKA</t>
        </is>
      </c>
      <c r="F19567" t="inlineStr">
        <is>
          <t>Kommuner</t>
        </is>
      </c>
      <c r="G19567" t="n">
        <v>0.7</v>
      </c>
      <c r="H19567" t="n">
        <v>0</v>
      </c>
      <c r="I19567" t="n">
        <v>0</v>
      </c>
      <c r="J19567" t="n">
        <v>0</v>
      </c>
      <c r="K19567" t="n">
        <v>0</v>
      </c>
      <c r="L19567" t="n">
        <v>0</v>
      </c>
      <c r="M19567" t="n">
        <v>0</v>
      </c>
      <c r="N19567" t="n">
        <v>0</v>
      </c>
      <c r="O19567" t="n">
        <v>0</v>
      </c>
      <c r="P19567" t="n">
        <v>0</v>
      </c>
      <c r="Q19567" t="n">
        <v>0</v>
      </c>
      <c r="R19567" s="2" t="inlineStr"/>
    </row>
    <row r="19568" ht="15" customHeight="1">
      <c r="A19568" t="inlineStr">
        <is>
          <t>A 16349-2025</t>
        </is>
      </c>
      <c r="B19568" s="1" t="n">
        <v>45751</v>
      </c>
      <c r="C19568" s="1" t="n">
        <v>45810</v>
      </c>
      <c r="D19568" t="inlineStr">
        <is>
          <t>VÄRMLANDS LÄN</t>
        </is>
      </c>
      <c r="E19568" t="inlineStr">
        <is>
          <t>FILIPSTAD</t>
        </is>
      </c>
      <c r="F19568" t="inlineStr">
        <is>
          <t>Bergvik skog väst AB</t>
        </is>
      </c>
      <c r="G19568" t="n">
        <v>5.7</v>
      </c>
      <c r="H19568" t="n">
        <v>0</v>
      </c>
      <c r="I19568" t="n">
        <v>0</v>
      </c>
      <c r="J19568" t="n">
        <v>0</v>
      </c>
      <c r="K19568" t="n">
        <v>0</v>
      </c>
      <c r="L19568" t="n">
        <v>0</v>
      </c>
      <c r="M19568" t="n">
        <v>0</v>
      </c>
      <c r="N19568" t="n">
        <v>0</v>
      </c>
      <c r="O19568" t="n">
        <v>0</v>
      </c>
      <c r="P19568" t="n">
        <v>0</v>
      </c>
      <c r="Q19568" t="n">
        <v>0</v>
      </c>
      <c r="R19568" s="2" t="inlineStr"/>
    </row>
    <row r="19569" ht="15" customHeight="1">
      <c r="A19569" t="inlineStr">
        <is>
          <t>A 16408-2025</t>
        </is>
      </c>
      <c r="B19569" s="1" t="n">
        <v>45751</v>
      </c>
      <c r="C19569" s="1" t="n">
        <v>45810</v>
      </c>
      <c r="D19569" t="inlineStr">
        <is>
          <t>VÄRMLANDS LÄN</t>
        </is>
      </c>
      <c r="E19569" t="inlineStr">
        <is>
          <t>KARLSTAD</t>
        </is>
      </c>
      <c r="G19569" t="n">
        <v>2.2</v>
      </c>
      <c r="H19569" t="n">
        <v>0</v>
      </c>
      <c r="I19569" t="n">
        <v>0</v>
      </c>
      <c r="J19569" t="n">
        <v>0</v>
      </c>
      <c r="K19569" t="n">
        <v>0</v>
      </c>
      <c r="L19569" t="n">
        <v>0</v>
      </c>
      <c r="M19569" t="n">
        <v>0</v>
      </c>
      <c r="N19569" t="n">
        <v>0</v>
      </c>
      <c r="O19569" t="n">
        <v>0</v>
      </c>
      <c r="P19569" t="n">
        <v>0</v>
      </c>
      <c r="Q19569" t="n">
        <v>0</v>
      </c>
      <c r="R19569" s="2" t="inlineStr"/>
    </row>
    <row r="19570" ht="15" customHeight="1">
      <c r="A19570" t="inlineStr">
        <is>
          <t>A 16425-2025</t>
        </is>
      </c>
      <c r="B19570" s="1" t="n">
        <v>45751</v>
      </c>
      <c r="C19570" s="1" t="n">
        <v>45810</v>
      </c>
      <c r="D19570" t="inlineStr">
        <is>
          <t>VÄRMLANDS LÄN</t>
        </is>
      </c>
      <c r="E19570" t="inlineStr">
        <is>
          <t>KARLSTAD</t>
        </is>
      </c>
      <c r="G19570" t="n">
        <v>2.7</v>
      </c>
      <c r="H19570" t="n">
        <v>0</v>
      </c>
      <c r="I19570" t="n">
        <v>0</v>
      </c>
      <c r="J19570" t="n">
        <v>0</v>
      </c>
      <c r="K19570" t="n">
        <v>0</v>
      </c>
      <c r="L19570" t="n">
        <v>0</v>
      </c>
      <c r="M19570" t="n">
        <v>0</v>
      </c>
      <c r="N19570" t="n">
        <v>0</v>
      </c>
      <c r="O19570" t="n">
        <v>0</v>
      </c>
      <c r="P19570" t="n">
        <v>0</v>
      </c>
      <c r="Q19570" t="n">
        <v>0</v>
      </c>
      <c r="R19570" s="2" t="inlineStr"/>
    </row>
    <row r="19571" ht="15" customHeight="1">
      <c r="A19571" t="inlineStr">
        <is>
          <t>A 16472-2025</t>
        </is>
      </c>
      <c r="B19571" s="1" t="n">
        <v>45751</v>
      </c>
      <c r="C19571" s="1" t="n">
        <v>45810</v>
      </c>
      <c r="D19571" t="inlineStr">
        <is>
          <t>VÄRMLANDS LÄN</t>
        </is>
      </c>
      <c r="E19571" t="inlineStr">
        <is>
          <t>ARVIKA</t>
        </is>
      </c>
      <c r="G19571" t="n">
        <v>4.1</v>
      </c>
      <c r="H19571" t="n">
        <v>0</v>
      </c>
      <c r="I19571" t="n">
        <v>0</v>
      </c>
      <c r="J19571" t="n">
        <v>0</v>
      </c>
      <c r="K19571" t="n">
        <v>0</v>
      </c>
      <c r="L19571" t="n">
        <v>0</v>
      </c>
      <c r="M19571" t="n">
        <v>0</v>
      </c>
      <c r="N19571" t="n">
        <v>0</v>
      </c>
      <c r="O19571" t="n">
        <v>0</v>
      </c>
      <c r="P19571" t="n">
        <v>0</v>
      </c>
      <c r="Q19571" t="n">
        <v>0</v>
      </c>
      <c r="R19571" s="2" t="inlineStr"/>
    </row>
    <row r="19572" ht="15" customHeight="1">
      <c r="A19572" t="inlineStr">
        <is>
          <t>A 16475-2025</t>
        </is>
      </c>
      <c r="B19572" s="1" t="n">
        <v>45751</v>
      </c>
      <c r="C19572" s="1" t="n">
        <v>45810</v>
      </c>
      <c r="D19572" t="inlineStr">
        <is>
          <t>VÄRMLANDS LÄN</t>
        </is>
      </c>
      <c r="E19572" t="inlineStr">
        <is>
          <t>HAGFORS</t>
        </is>
      </c>
      <c r="F19572" t="inlineStr">
        <is>
          <t>Bergvik skog väst AB</t>
        </is>
      </c>
      <c r="G19572" t="n">
        <v>1.1</v>
      </c>
      <c r="H19572" t="n">
        <v>0</v>
      </c>
      <c r="I19572" t="n">
        <v>0</v>
      </c>
      <c r="J19572" t="n">
        <v>0</v>
      </c>
      <c r="K19572" t="n">
        <v>0</v>
      </c>
      <c r="L19572" t="n">
        <v>0</v>
      </c>
      <c r="M19572" t="n">
        <v>0</v>
      </c>
      <c r="N19572" t="n">
        <v>0</v>
      </c>
      <c r="O19572" t="n">
        <v>0</v>
      </c>
      <c r="P19572" t="n">
        <v>0</v>
      </c>
      <c r="Q19572" t="n">
        <v>0</v>
      </c>
      <c r="R19572" s="2" t="inlineStr"/>
    </row>
    <row r="19573" ht="15" customHeight="1">
      <c r="A19573" t="inlineStr">
        <is>
          <t>A 16346-2025</t>
        </is>
      </c>
      <c r="B19573" s="1" t="n">
        <v>45751</v>
      </c>
      <c r="C19573" s="1" t="n">
        <v>45810</v>
      </c>
      <c r="D19573" t="inlineStr">
        <is>
          <t>VÄRMLANDS LÄN</t>
        </is>
      </c>
      <c r="E19573" t="inlineStr">
        <is>
          <t>HAGFORS</t>
        </is>
      </c>
      <c r="F19573" t="inlineStr">
        <is>
          <t>Bergvik skog väst AB</t>
        </is>
      </c>
      <c r="G19573" t="n">
        <v>3.9</v>
      </c>
      <c r="H19573" t="n">
        <v>0</v>
      </c>
      <c r="I19573" t="n">
        <v>0</v>
      </c>
      <c r="J19573" t="n">
        <v>0</v>
      </c>
      <c r="K19573" t="n">
        <v>0</v>
      </c>
      <c r="L19573" t="n">
        <v>0</v>
      </c>
      <c r="M19573" t="n">
        <v>0</v>
      </c>
      <c r="N19573" t="n">
        <v>0</v>
      </c>
      <c r="O19573" t="n">
        <v>0</v>
      </c>
      <c r="P19573" t="n">
        <v>0</v>
      </c>
      <c r="Q19573" t="n">
        <v>0</v>
      </c>
      <c r="R19573" s="2" t="inlineStr"/>
    </row>
    <row r="19574" ht="15" customHeight="1">
      <c r="A19574" t="inlineStr">
        <is>
          <t>A 16366-2025</t>
        </is>
      </c>
      <c r="B19574" s="1" t="n">
        <v>45751</v>
      </c>
      <c r="C19574" s="1" t="n">
        <v>45810</v>
      </c>
      <c r="D19574" t="inlineStr">
        <is>
          <t>VÄRMLANDS LÄN</t>
        </is>
      </c>
      <c r="E19574" t="inlineStr">
        <is>
          <t>SUNNE</t>
        </is>
      </c>
      <c r="F19574" t="inlineStr">
        <is>
          <t>Bergvik skog väst AB</t>
        </is>
      </c>
      <c r="G19574" t="n">
        <v>1.6</v>
      </c>
      <c r="H19574" t="n">
        <v>0</v>
      </c>
      <c r="I19574" t="n">
        <v>0</v>
      </c>
      <c r="J19574" t="n">
        <v>0</v>
      </c>
      <c r="K19574" t="n">
        <v>0</v>
      </c>
      <c r="L19574" t="n">
        <v>0</v>
      </c>
      <c r="M19574" t="n">
        <v>0</v>
      </c>
      <c r="N19574" t="n">
        <v>0</v>
      </c>
      <c r="O19574" t="n">
        <v>0</v>
      </c>
      <c r="P19574" t="n">
        <v>0</v>
      </c>
      <c r="Q19574" t="n">
        <v>0</v>
      </c>
      <c r="R19574" s="2" t="inlineStr"/>
    </row>
    <row r="19575" ht="15" customHeight="1">
      <c r="A19575" t="inlineStr">
        <is>
          <t>A 16380-2025</t>
        </is>
      </c>
      <c r="B19575" s="1" t="n">
        <v>45751</v>
      </c>
      <c r="C19575" s="1" t="n">
        <v>45810</v>
      </c>
      <c r="D19575" t="inlineStr">
        <is>
          <t>VÄRMLANDS LÄN</t>
        </is>
      </c>
      <c r="E19575" t="inlineStr">
        <is>
          <t>TORSBY</t>
        </is>
      </c>
      <c r="F19575" t="inlineStr">
        <is>
          <t>Bergvik skog väst AB</t>
        </is>
      </c>
      <c r="G19575" t="n">
        <v>7.9</v>
      </c>
      <c r="H19575" t="n">
        <v>0</v>
      </c>
      <c r="I19575" t="n">
        <v>0</v>
      </c>
      <c r="J19575" t="n">
        <v>0</v>
      </c>
      <c r="K19575" t="n">
        <v>0</v>
      </c>
      <c r="L19575" t="n">
        <v>0</v>
      </c>
      <c r="M19575" t="n">
        <v>0</v>
      </c>
      <c r="N19575" t="n">
        <v>0</v>
      </c>
      <c r="O19575" t="n">
        <v>0</v>
      </c>
      <c r="P19575" t="n">
        <v>0</v>
      </c>
      <c r="Q19575" t="n">
        <v>0</v>
      </c>
      <c r="R19575" s="2" t="inlineStr"/>
    </row>
    <row r="19576" ht="15" customHeight="1">
      <c r="A19576" t="inlineStr">
        <is>
          <t>A 16397-2025</t>
        </is>
      </c>
      <c r="B19576" s="1" t="n">
        <v>45751</v>
      </c>
      <c r="C19576" s="1" t="n">
        <v>45810</v>
      </c>
      <c r="D19576" t="inlineStr">
        <is>
          <t>VÄRMLANDS LÄN</t>
        </is>
      </c>
      <c r="E19576" t="inlineStr">
        <is>
          <t>KARLSTAD</t>
        </is>
      </c>
      <c r="G19576" t="n">
        <v>3.2</v>
      </c>
      <c r="H19576" t="n">
        <v>0</v>
      </c>
      <c r="I19576" t="n">
        <v>0</v>
      </c>
      <c r="J19576" t="n">
        <v>0</v>
      </c>
      <c r="K19576" t="n">
        <v>0</v>
      </c>
      <c r="L19576" t="n">
        <v>0</v>
      </c>
      <c r="M19576" t="n">
        <v>0</v>
      </c>
      <c r="N19576" t="n">
        <v>0</v>
      </c>
      <c r="O19576" t="n">
        <v>0</v>
      </c>
      <c r="P19576" t="n">
        <v>0</v>
      </c>
      <c r="Q19576" t="n">
        <v>0</v>
      </c>
      <c r="R19576" s="2" t="inlineStr"/>
    </row>
    <row r="19577" ht="15" customHeight="1">
      <c r="A19577" t="inlineStr">
        <is>
          <t>A 16333-2025</t>
        </is>
      </c>
      <c r="B19577" s="1" t="n">
        <v>45751</v>
      </c>
      <c r="C19577" s="1" t="n">
        <v>45810</v>
      </c>
      <c r="D19577" t="inlineStr">
        <is>
          <t>VÄRMLANDS LÄN</t>
        </is>
      </c>
      <c r="E19577" t="inlineStr">
        <is>
          <t>TORSBY</t>
        </is>
      </c>
      <c r="F19577" t="inlineStr">
        <is>
          <t>Bergvik skog väst AB</t>
        </is>
      </c>
      <c r="G19577" t="n">
        <v>7.9</v>
      </c>
      <c r="H19577" t="n">
        <v>0</v>
      </c>
      <c r="I19577" t="n">
        <v>0</v>
      </c>
      <c r="J19577" t="n">
        <v>0</v>
      </c>
      <c r="K19577" t="n">
        <v>0</v>
      </c>
      <c r="L19577" t="n">
        <v>0</v>
      </c>
      <c r="M19577" t="n">
        <v>0</v>
      </c>
      <c r="N19577" t="n">
        <v>0</v>
      </c>
      <c r="O19577" t="n">
        <v>0</v>
      </c>
      <c r="P19577" t="n">
        <v>0</v>
      </c>
      <c r="Q19577" t="n">
        <v>0</v>
      </c>
      <c r="R19577" s="2" t="inlineStr"/>
    </row>
    <row r="19578" ht="15" customHeight="1">
      <c r="A19578" t="inlineStr">
        <is>
          <t>A 16412-2025</t>
        </is>
      </c>
      <c r="B19578" s="1" t="n">
        <v>45751</v>
      </c>
      <c r="C19578" s="1" t="n">
        <v>45810</v>
      </c>
      <c r="D19578" t="inlineStr">
        <is>
          <t>VÄRMLANDS LÄN</t>
        </is>
      </c>
      <c r="E19578" t="inlineStr">
        <is>
          <t>KARLSTAD</t>
        </is>
      </c>
      <c r="G19578" t="n">
        <v>1.1</v>
      </c>
      <c r="H19578" t="n">
        <v>0</v>
      </c>
      <c r="I19578" t="n">
        <v>0</v>
      </c>
      <c r="J19578" t="n">
        <v>0</v>
      </c>
      <c r="K19578" t="n">
        <v>0</v>
      </c>
      <c r="L19578" t="n">
        <v>0</v>
      </c>
      <c r="M19578" t="n">
        <v>0</v>
      </c>
      <c r="N19578" t="n">
        <v>0</v>
      </c>
      <c r="O19578" t="n">
        <v>0</v>
      </c>
      <c r="P19578" t="n">
        <v>0</v>
      </c>
      <c r="Q19578" t="n">
        <v>0</v>
      </c>
      <c r="R19578" s="2" t="inlineStr"/>
    </row>
    <row r="19579" ht="15" customHeight="1">
      <c r="A19579" t="inlineStr">
        <is>
          <t>A 16338-2025</t>
        </is>
      </c>
      <c r="B19579" s="1" t="n">
        <v>45751</v>
      </c>
      <c r="C19579" s="1" t="n">
        <v>45810</v>
      </c>
      <c r="D19579" t="inlineStr">
        <is>
          <t>VÄRMLANDS LÄN</t>
        </is>
      </c>
      <c r="E19579" t="inlineStr">
        <is>
          <t>ARVIKA</t>
        </is>
      </c>
      <c r="G19579" t="n">
        <v>4.9</v>
      </c>
      <c r="H19579" t="n">
        <v>0</v>
      </c>
      <c r="I19579" t="n">
        <v>0</v>
      </c>
      <c r="J19579" t="n">
        <v>0</v>
      </c>
      <c r="K19579" t="n">
        <v>0</v>
      </c>
      <c r="L19579" t="n">
        <v>0</v>
      </c>
      <c r="M19579" t="n">
        <v>0</v>
      </c>
      <c r="N19579" t="n">
        <v>0</v>
      </c>
      <c r="O19579" t="n">
        <v>0</v>
      </c>
      <c r="P19579" t="n">
        <v>0</v>
      </c>
      <c r="Q19579" t="n">
        <v>0</v>
      </c>
      <c r="R19579" s="2" t="inlineStr"/>
    </row>
    <row r="19580" ht="15" customHeight="1">
      <c r="A19580" t="inlineStr">
        <is>
          <t>A 16420-2025</t>
        </is>
      </c>
      <c r="B19580" s="1" t="n">
        <v>45751</v>
      </c>
      <c r="C19580" s="1" t="n">
        <v>45810</v>
      </c>
      <c r="D19580" t="inlineStr">
        <is>
          <t>VÄRMLANDS LÄN</t>
        </is>
      </c>
      <c r="E19580" t="inlineStr">
        <is>
          <t>KARLSTAD</t>
        </is>
      </c>
      <c r="G19580" t="n">
        <v>1.5</v>
      </c>
      <c r="H19580" t="n">
        <v>0</v>
      </c>
      <c r="I19580" t="n">
        <v>0</v>
      </c>
      <c r="J19580" t="n">
        <v>0</v>
      </c>
      <c r="K19580" t="n">
        <v>0</v>
      </c>
      <c r="L19580" t="n">
        <v>0</v>
      </c>
      <c r="M19580" t="n">
        <v>0</v>
      </c>
      <c r="N19580" t="n">
        <v>0</v>
      </c>
      <c r="O19580" t="n">
        <v>0</v>
      </c>
      <c r="P19580" t="n">
        <v>0</v>
      </c>
      <c r="Q19580" t="n">
        <v>0</v>
      </c>
      <c r="R19580" s="2" t="inlineStr"/>
    </row>
    <row r="19581" ht="15" customHeight="1">
      <c r="A19581" t="inlineStr">
        <is>
          <t>A 16468-2025</t>
        </is>
      </c>
      <c r="B19581" s="1" t="n">
        <v>45751</v>
      </c>
      <c r="C19581" s="1" t="n">
        <v>45810</v>
      </c>
      <c r="D19581" t="inlineStr">
        <is>
          <t>VÄRMLANDS LÄN</t>
        </is>
      </c>
      <c r="E19581" t="inlineStr">
        <is>
          <t>EDA</t>
        </is>
      </c>
      <c r="G19581" t="n">
        <v>1.1</v>
      </c>
      <c r="H19581" t="n">
        <v>0</v>
      </c>
      <c r="I19581" t="n">
        <v>0</v>
      </c>
      <c r="J19581" t="n">
        <v>0</v>
      </c>
      <c r="K19581" t="n">
        <v>0</v>
      </c>
      <c r="L19581" t="n">
        <v>0</v>
      </c>
      <c r="M19581" t="n">
        <v>0</v>
      </c>
      <c r="N19581" t="n">
        <v>0</v>
      </c>
      <c r="O19581" t="n">
        <v>0</v>
      </c>
      <c r="P19581" t="n">
        <v>0</v>
      </c>
      <c r="Q19581" t="n">
        <v>0</v>
      </c>
      <c r="R19581" s="2" t="inlineStr"/>
    </row>
    <row r="19582" ht="15" customHeight="1">
      <c r="A19582" t="inlineStr">
        <is>
          <t>A 16290-2025</t>
        </is>
      </c>
      <c r="B19582" s="1" t="n">
        <v>45751</v>
      </c>
      <c r="C19582" s="1" t="n">
        <v>45810</v>
      </c>
      <c r="D19582" t="inlineStr">
        <is>
          <t>VÄRMLANDS LÄN</t>
        </is>
      </c>
      <c r="E19582" t="inlineStr">
        <is>
          <t>KARLSTAD</t>
        </is>
      </c>
      <c r="G19582" t="n">
        <v>3.4</v>
      </c>
      <c r="H19582" t="n">
        <v>0</v>
      </c>
      <c r="I19582" t="n">
        <v>0</v>
      </c>
      <c r="J19582" t="n">
        <v>0</v>
      </c>
      <c r="K19582" t="n">
        <v>0</v>
      </c>
      <c r="L19582" t="n">
        <v>0</v>
      </c>
      <c r="M19582" t="n">
        <v>0</v>
      </c>
      <c r="N19582" t="n">
        <v>0</v>
      </c>
      <c r="O19582" t="n">
        <v>0</v>
      </c>
      <c r="P19582" t="n">
        <v>0</v>
      </c>
      <c r="Q19582" t="n">
        <v>0</v>
      </c>
      <c r="R19582" s="2" t="inlineStr"/>
    </row>
    <row r="19583" ht="15" customHeight="1">
      <c r="A19583" t="inlineStr">
        <is>
          <t>A 16340-2025</t>
        </is>
      </c>
      <c r="B19583" s="1" t="n">
        <v>45751</v>
      </c>
      <c r="C19583" s="1" t="n">
        <v>45810</v>
      </c>
      <c r="D19583" t="inlineStr">
        <is>
          <t>VÄRMLANDS LÄN</t>
        </is>
      </c>
      <c r="E19583" t="inlineStr">
        <is>
          <t>HAGFORS</t>
        </is>
      </c>
      <c r="F19583" t="inlineStr">
        <is>
          <t>Bergvik skog väst AB</t>
        </is>
      </c>
      <c r="G19583" t="n">
        <v>2.8</v>
      </c>
      <c r="H19583" t="n">
        <v>0</v>
      </c>
      <c r="I19583" t="n">
        <v>0</v>
      </c>
      <c r="J19583" t="n">
        <v>0</v>
      </c>
      <c r="K19583" t="n">
        <v>0</v>
      </c>
      <c r="L19583" t="n">
        <v>0</v>
      </c>
      <c r="M19583" t="n">
        <v>0</v>
      </c>
      <c r="N19583" t="n">
        <v>0</v>
      </c>
      <c r="O19583" t="n">
        <v>0</v>
      </c>
      <c r="P19583" t="n">
        <v>0</v>
      </c>
      <c r="Q19583" t="n">
        <v>0</v>
      </c>
      <c r="R19583" s="2" t="inlineStr"/>
    </row>
    <row r="19584" ht="15" customHeight="1">
      <c r="A19584" t="inlineStr">
        <is>
          <t>A 16558-2025</t>
        </is>
      </c>
      <c r="B19584" s="1" t="n">
        <v>45751</v>
      </c>
      <c r="C19584" s="1" t="n">
        <v>45810</v>
      </c>
      <c r="D19584" t="inlineStr">
        <is>
          <t>VÄRMLANDS LÄN</t>
        </is>
      </c>
      <c r="E19584" t="inlineStr">
        <is>
          <t>ARVIKA</t>
        </is>
      </c>
      <c r="F19584" t="inlineStr">
        <is>
          <t>Kommuner</t>
        </is>
      </c>
      <c r="G19584" t="n">
        <v>0.8</v>
      </c>
      <c r="H19584" t="n">
        <v>0</v>
      </c>
      <c r="I19584" t="n">
        <v>0</v>
      </c>
      <c r="J19584" t="n">
        <v>0</v>
      </c>
      <c r="K19584" t="n">
        <v>0</v>
      </c>
      <c r="L19584" t="n">
        <v>0</v>
      </c>
      <c r="M19584" t="n">
        <v>0</v>
      </c>
      <c r="N19584" t="n">
        <v>0</v>
      </c>
      <c r="O19584" t="n">
        <v>0</v>
      </c>
      <c r="P19584" t="n">
        <v>0</v>
      </c>
      <c r="Q19584" t="n">
        <v>0</v>
      </c>
      <c r="R19584" s="2" t="inlineStr"/>
    </row>
    <row r="19585" ht="15" customHeight="1">
      <c r="A19585" t="inlineStr">
        <is>
          <t>A 16519-2025</t>
        </is>
      </c>
      <c r="B19585" s="1" t="n">
        <v>45751</v>
      </c>
      <c r="C19585" s="1" t="n">
        <v>45810</v>
      </c>
      <c r="D19585" t="inlineStr">
        <is>
          <t>VÄRMLANDS LÄN</t>
        </is>
      </c>
      <c r="E19585" t="inlineStr">
        <is>
          <t>ÅRJÄNG</t>
        </is>
      </c>
      <c r="G19585" t="n">
        <v>6.3</v>
      </c>
      <c r="H19585" t="n">
        <v>0</v>
      </c>
      <c r="I19585" t="n">
        <v>0</v>
      </c>
      <c r="J19585" t="n">
        <v>0</v>
      </c>
      <c r="K19585" t="n">
        <v>0</v>
      </c>
      <c r="L19585" t="n">
        <v>0</v>
      </c>
      <c r="M19585" t="n">
        <v>0</v>
      </c>
      <c r="N19585" t="n">
        <v>0</v>
      </c>
      <c r="O19585" t="n">
        <v>0</v>
      </c>
      <c r="P19585" t="n">
        <v>0</v>
      </c>
      <c r="Q19585" t="n">
        <v>0</v>
      </c>
      <c r="R19585" s="2" t="inlineStr"/>
    </row>
    <row r="19586" ht="15" customHeight="1">
      <c r="A19586" t="inlineStr">
        <is>
          <t>A 16362-2025</t>
        </is>
      </c>
      <c r="B19586" s="1" t="n">
        <v>45751</v>
      </c>
      <c r="C19586" s="1" t="n">
        <v>45810</v>
      </c>
      <c r="D19586" t="inlineStr">
        <is>
          <t>VÄRMLANDS LÄN</t>
        </is>
      </c>
      <c r="E19586" t="inlineStr">
        <is>
          <t>TORSBY</t>
        </is>
      </c>
      <c r="G19586" t="n">
        <v>2.7</v>
      </c>
      <c r="H19586" t="n">
        <v>0</v>
      </c>
      <c r="I19586" t="n">
        <v>0</v>
      </c>
      <c r="J19586" t="n">
        <v>0</v>
      </c>
      <c r="K19586" t="n">
        <v>0</v>
      </c>
      <c r="L19586" t="n">
        <v>0</v>
      </c>
      <c r="M19586" t="n">
        <v>0</v>
      </c>
      <c r="N19586" t="n">
        <v>0</v>
      </c>
      <c r="O19586" t="n">
        <v>0</v>
      </c>
      <c r="P19586" t="n">
        <v>0</v>
      </c>
      <c r="Q19586" t="n">
        <v>0</v>
      </c>
      <c r="R19586" s="2" t="inlineStr"/>
    </row>
    <row r="19587" ht="15" customHeight="1">
      <c r="A19587" t="inlineStr">
        <is>
          <t>A 16369-2025</t>
        </is>
      </c>
      <c r="B19587" s="1" t="n">
        <v>45751</v>
      </c>
      <c r="C19587" s="1" t="n">
        <v>45810</v>
      </c>
      <c r="D19587" t="inlineStr">
        <is>
          <t>VÄRMLANDS LÄN</t>
        </is>
      </c>
      <c r="E19587" t="inlineStr">
        <is>
          <t>EDA</t>
        </is>
      </c>
      <c r="G19587" t="n">
        <v>3.3</v>
      </c>
      <c r="H19587" t="n">
        <v>0</v>
      </c>
      <c r="I19587" t="n">
        <v>0</v>
      </c>
      <c r="J19587" t="n">
        <v>0</v>
      </c>
      <c r="K19587" t="n">
        <v>0</v>
      </c>
      <c r="L19587" t="n">
        <v>0</v>
      </c>
      <c r="M19587" t="n">
        <v>0</v>
      </c>
      <c r="N19587" t="n">
        <v>0</v>
      </c>
      <c r="O19587" t="n">
        <v>0</v>
      </c>
      <c r="P19587" t="n">
        <v>0</v>
      </c>
      <c r="Q19587" t="n">
        <v>0</v>
      </c>
      <c r="R19587" s="2" t="inlineStr"/>
    </row>
    <row r="19588" ht="15" customHeight="1">
      <c r="A19588" t="inlineStr">
        <is>
          <t>A 16329-2025</t>
        </is>
      </c>
      <c r="B19588" s="1" t="n">
        <v>45751</v>
      </c>
      <c r="C19588" s="1" t="n">
        <v>45810</v>
      </c>
      <c r="D19588" t="inlineStr">
        <is>
          <t>VÄRMLANDS LÄN</t>
        </is>
      </c>
      <c r="E19588" t="inlineStr">
        <is>
          <t>TORSBY</t>
        </is>
      </c>
      <c r="F19588" t="inlineStr">
        <is>
          <t>Bergvik skog väst AB</t>
        </is>
      </c>
      <c r="G19588" t="n">
        <v>4.8</v>
      </c>
      <c r="H19588" t="n">
        <v>0</v>
      </c>
      <c r="I19588" t="n">
        <v>0</v>
      </c>
      <c r="J19588" t="n">
        <v>0</v>
      </c>
      <c r="K19588" t="n">
        <v>0</v>
      </c>
      <c r="L19588" t="n">
        <v>0</v>
      </c>
      <c r="M19588" t="n">
        <v>0</v>
      </c>
      <c r="N19588" t="n">
        <v>0</v>
      </c>
      <c r="O19588" t="n">
        <v>0</v>
      </c>
      <c r="P19588" t="n">
        <v>0</v>
      </c>
      <c r="Q19588" t="n">
        <v>0</v>
      </c>
      <c r="R19588" s="2" t="inlineStr"/>
    </row>
    <row r="19589" ht="15" customHeight="1">
      <c r="A19589" t="inlineStr">
        <is>
          <t>A 16574-2025</t>
        </is>
      </c>
      <c r="B19589" s="1" t="n">
        <v>45752</v>
      </c>
      <c r="C19589" s="1" t="n">
        <v>45810</v>
      </c>
      <c r="D19589" t="inlineStr">
        <is>
          <t>VÄRMLANDS LÄN</t>
        </is>
      </c>
      <c r="E19589" t="inlineStr">
        <is>
          <t>GRUMS</t>
        </is>
      </c>
      <c r="G19589" t="n">
        <v>1.3</v>
      </c>
      <c r="H19589" t="n">
        <v>0</v>
      </c>
      <c r="I19589" t="n">
        <v>0</v>
      </c>
      <c r="J19589" t="n">
        <v>0</v>
      </c>
      <c r="K19589" t="n">
        <v>0</v>
      </c>
      <c r="L19589" t="n">
        <v>0</v>
      </c>
      <c r="M19589" t="n">
        <v>0</v>
      </c>
      <c r="N19589" t="n">
        <v>0</v>
      </c>
      <c r="O19589" t="n">
        <v>0</v>
      </c>
      <c r="P19589" t="n">
        <v>0</v>
      </c>
      <c r="Q19589" t="n">
        <v>0</v>
      </c>
      <c r="R19589" s="2" t="inlineStr"/>
    </row>
    <row r="19590" ht="15" customHeight="1">
      <c r="A19590" t="inlineStr">
        <is>
          <t>A 16606-2025</t>
        </is>
      </c>
      <c r="B19590" s="1" t="n">
        <v>45753</v>
      </c>
      <c r="C19590" s="1" t="n">
        <v>45810</v>
      </c>
      <c r="D19590" t="inlineStr">
        <is>
          <t>VÄRMLANDS LÄN</t>
        </is>
      </c>
      <c r="E19590" t="inlineStr">
        <is>
          <t>KRISTINEHAMN</t>
        </is>
      </c>
      <c r="G19590" t="n">
        <v>1.9</v>
      </c>
      <c r="H19590" t="n">
        <v>0</v>
      </c>
      <c r="I19590" t="n">
        <v>0</v>
      </c>
      <c r="J19590" t="n">
        <v>0</v>
      </c>
      <c r="K19590" t="n">
        <v>0</v>
      </c>
      <c r="L19590" t="n">
        <v>0</v>
      </c>
      <c r="M19590" t="n">
        <v>0</v>
      </c>
      <c r="N19590" t="n">
        <v>0</v>
      </c>
      <c r="O19590" t="n">
        <v>0</v>
      </c>
      <c r="P19590" t="n">
        <v>0</v>
      </c>
      <c r="Q19590" t="n">
        <v>0</v>
      </c>
      <c r="R19590" s="2" t="inlineStr"/>
    </row>
    <row r="19591" ht="15" customHeight="1">
      <c r="A19591" t="inlineStr">
        <is>
          <t>A 16609-2025</t>
        </is>
      </c>
      <c r="B19591" s="1" t="n">
        <v>45753</v>
      </c>
      <c r="C19591" s="1" t="n">
        <v>45810</v>
      </c>
      <c r="D19591" t="inlineStr">
        <is>
          <t>VÄRMLANDS LÄN</t>
        </is>
      </c>
      <c r="E19591" t="inlineStr">
        <is>
          <t>KIL</t>
        </is>
      </c>
      <c r="G19591" t="n">
        <v>1.6</v>
      </c>
      <c r="H19591" t="n">
        <v>0</v>
      </c>
      <c r="I19591" t="n">
        <v>0</v>
      </c>
      <c r="J19591" t="n">
        <v>0</v>
      </c>
      <c r="K19591" t="n">
        <v>0</v>
      </c>
      <c r="L19591" t="n">
        <v>0</v>
      </c>
      <c r="M19591" t="n">
        <v>0</v>
      </c>
      <c r="N19591" t="n">
        <v>0</v>
      </c>
      <c r="O19591" t="n">
        <v>0</v>
      </c>
      <c r="P19591" t="n">
        <v>0</v>
      </c>
      <c r="Q19591" t="n">
        <v>0</v>
      </c>
      <c r="R19591" s="2" t="inlineStr"/>
    </row>
    <row r="19592" ht="15" customHeight="1">
      <c r="A19592" t="inlineStr">
        <is>
          <t>A 16861-2025</t>
        </is>
      </c>
      <c r="B19592" s="1" t="n">
        <v>45754</v>
      </c>
      <c r="C19592" s="1" t="n">
        <v>45810</v>
      </c>
      <c r="D19592" t="inlineStr">
        <is>
          <t>VÄRMLANDS LÄN</t>
        </is>
      </c>
      <c r="E19592" t="inlineStr">
        <is>
          <t>FORSHAGA</t>
        </is>
      </c>
      <c r="G19592" t="n">
        <v>10.2</v>
      </c>
      <c r="H19592" t="n">
        <v>0</v>
      </c>
      <c r="I19592" t="n">
        <v>0</v>
      </c>
      <c r="J19592" t="n">
        <v>0</v>
      </c>
      <c r="K19592" t="n">
        <v>0</v>
      </c>
      <c r="L19592" t="n">
        <v>0</v>
      </c>
      <c r="M19592" t="n">
        <v>0</v>
      </c>
      <c r="N19592" t="n">
        <v>0</v>
      </c>
      <c r="O19592" t="n">
        <v>0</v>
      </c>
      <c r="P19592" t="n">
        <v>0</v>
      </c>
      <c r="Q19592" t="n">
        <v>0</v>
      </c>
      <c r="R19592" s="2" t="inlineStr"/>
    </row>
    <row r="19593" ht="15" customHeight="1">
      <c r="A19593" t="inlineStr">
        <is>
          <t>A 16798-2025</t>
        </is>
      </c>
      <c r="B19593" s="1" t="n">
        <v>45754</v>
      </c>
      <c r="C19593" s="1" t="n">
        <v>45810</v>
      </c>
      <c r="D19593" t="inlineStr">
        <is>
          <t>VÄRMLANDS LÄN</t>
        </is>
      </c>
      <c r="E19593" t="inlineStr">
        <is>
          <t>HAGFORS</t>
        </is>
      </c>
      <c r="F19593" t="inlineStr">
        <is>
          <t>Bergvik skog väst AB</t>
        </is>
      </c>
      <c r="G19593" t="n">
        <v>1.7</v>
      </c>
      <c r="H19593" t="n">
        <v>0</v>
      </c>
      <c r="I19593" t="n">
        <v>0</v>
      </c>
      <c r="J19593" t="n">
        <v>0</v>
      </c>
      <c r="K19593" t="n">
        <v>0</v>
      </c>
      <c r="L19593" t="n">
        <v>0</v>
      </c>
      <c r="M19593" t="n">
        <v>0</v>
      </c>
      <c r="N19593" t="n">
        <v>0</v>
      </c>
      <c r="O19593" t="n">
        <v>0</v>
      </c>
      <c r="P19593" t="n">
        <v>0</v>
      </c>
      <c r="Q19593" t="n">
        <v>0</v>
      </c>
      <c r="R19593" s="2" t="inlineStr"/>
    </row>
    <row r="19594" ht="15" customHeight="1">
      <c r="A19594" t="inlineStr">
        <is>
          <t>A 16778-2025</t>
        </is>
      </c>
      <c r="B19594" s="1" t="n">
        <v>45754</v>
      </c>
      <c r="C19594" s="1" t="n">
        <v>45810</v>
      </c>
      <c r="D19594" t="inlineStr">
        <is>
          <t>VÄRMLANDS LÄN</t>
        </is>
      </c>
      <c r="E19594" t="inlineStr">
        <is>
          <t>ARVIKA</t>
        </is>
      </c>
      <c r="G19594" t="n">
        <v>1.9</v>
      </c>
      <c r="H19594" t="n">
        <v>0</v>
      </c>
      <c r="I19594" t="n">
        <v>0</v>
      </c>
      <c r="J19594" t="n">
        <v>0</v>
      </c>
      <c r="K19594" t="n">
        <v>0</v>
      </c>
      <c r="L19594" t="n">
        <v>0</v>
      </c>
      <c r="M19594" t="n">
        <v>0</v>
      </c>
      <c r="N19594" t="n">
        <v>0</v>
      </c>
      <c r="O19594" t="n">
        <v>0</v>
      </c>
      <c r="P19594" t="n">
        <v>0</v>
      </c>
      <c r="Q19594" t="n">
        <v>0</v>
      </c>
      <c r="R19594" s="2" t="inlineStr"/>
    </row>
    <row r="19595" ht="15" customHeight="1">
      <c r="A19595" t="inlineStr">
        <is>
          <t>A 16770-2025</t>
        </is>
      </c>
      <c r="B19595" s="1" t="n">
        <v>45754</v>
      </c>
      <c r="C19595" s="1" t="n">
        <v>45810</v>
      </c>
      <c r="D19595" t="inlineStr">
        <is>
          <t>VÄRMLANDS LÄN</t>
        </is>
      </c>
      <c r="E19595" t="inlineStr">
        <is>
          <t>HAGFORS</t>
        </is>
      </c>
      <c r="F19595" t="inlineStr">
        <is>
          <t>Bergvik skog väst AB</t>
        </is>
      </c>
      <c r="G19595" t="n">
        <v>6.1</v>
      </c>
      <c r="H19595" t="n">
        <v>0</v>
      </c>
      <c r="I19595" t="n">
        <v>0</v>
      </c>
      <c r="J19595" t="n">
        <v>0</v>
      </c>
      <c r="K19595" t="n">
        <v>0</v>
      </c>
      <c r="L19595" t="n">
        <v>0</v>
      </c>
      <c r="M19595" t="n">
        <v>0</v>
      </c>
      <c r="N19595" t="n">
        <v>0</v>
      </c>
      <c r="O19595" t="n">
        <v>0</v>
      </c>
      <c r="P19595" t="n">
        <v>0</v>
      </c>
      <c r="Q19595" t="n">
        <v>0</v>
      </c>
      <c r="R19595" s="2" t="inlineStr"/>
    </row>
    <row r="19596" ht="15" customHeight="1">
      <c r="A19596" t="inlineStr">
        <is>
          <t>A 16652-2025</t>
        </is>
      </c>
      <c r="B19596" s="1" t="n">
        <v>45754</v>
      </c>
      <c r="C19596" s="1" t="n">
        <v>45810</v>
      </c>
      <c r="D19596" t="inlineStr">
        <is>
          <t>VÄRMLANDS LÄN</t>
        </is>
      </c>
      <c r="E19596" t="inlineStr">
        <is>
          <t>FILIPSTAD</t>
        </is>
      </c>
      <c r="F19596" t="inlineStr">
        <is>
          <t>Bergvik skog väst AB</t>
        </is>
      </c>
      <c r="G19596" t="n">
        <v>13.9</v>
      </c>
      <c r="H19596" t="n">
        <v>0</v>
      </c>
      <c r="I19596" t="n">
        <v>0</v>
      </c>
      <c r="J19596" t="n">
        <v>0</v>
      </c>
      <c r="K19596" t="n">
        <v>0</v>
      </c>
      <c r="L19596" t="n">
        <v>0</v>
      </c>
      <c r="M19596" t="n">
        <v>0</v>
      </c>
      <c r="N19596" t="n">
        <v>0</v>
      </c>
      <c r="O19596" t="n">
        <v>0</v>
      </c>
      <c r="P19596" t="n">
        <v>0</v>
      </c>
      <c r="Q19596" t="n">
        <v>0</v>
      </c>
      <c r="R19596" s="2" t="inlineStr"/>
    </row>
    <row r="19597" ht="15" customHeight="1">
      <c r="A19597" t="inlineStr">
        <is>
          <t>A 16684-2025</t>
        </is>
      </c>
      <c r="B19597" s="1" t="n">
        <v>45754</v>
      </c>
      <c r="C19597" s="1" t="n">
        <v>45810</v>
      </c>
      <c r="D19597" t="inlineStr">
        <is>
          <t>VÄRMLANDS LÄN</t>
        </is>
      </c>
      <c r="E19597" t="inlineStr">
        <is>
          <t>MUNKFORS</t>
        </is>
      </c>
      <c r="G19597" t="n">
        <v>2.4</v>
      </c>
      <c r="H19597" t="n">
        <v>0</v>
      </c>
      <c r="I19597" t="n">
        <v>0</v>
      </c>
      <c r="J19597" t="n">
        <v>0</v>
      </c>
      <c r="K19597" t="n">
        <v>0</v>
      </c>
      <c r="L19597" t="n">
        <v>0</v>
      </c>
      <c r="M19597" t="n">
        <v>0</v>
      </c>
      <c r="N19597" t="n">
        <v>0</v>
      </c>
      <c r="O19597" t="n">
        <v>0</v>
      </c>
      <c r="P19597" t="n">
        <v>0</v>
      </c>
      <c r="Q19597" t="n">
        <v>0</v>
      </c>
      <c r="R19597" s="2" t="inlineStr"/>
    </row>
    <row r="19598" ht="15" customHeight="1">
      <c r="A19598" t="inlineStr">
        <is>
          <t>A 16864-2025</t>
        </is>
      </c>
      <c r="B19598" s="1" t="n">
        <v>45754</v>
      </c>
      <c r="C19598" s="1" t="n">
        <v>45810</v>
      </c>
      <c r="D19598" t="inlineStr">
        <is>
          <t>VÄRMLANDS LÄN</t>
        </is>
      </c>
      <c r="E19598" t="inlineStr">
        <is>
          <t>SUNNE</t>
        </is>
      </c>
      <c r="G19598" t="n">
        <v>0.9</v>
      </c>
      <c r="H19598" t="n">
        <v>0</v>
      </c>
      <c r="I19598" t="n">
        <v>0</v>
      </c>
      <c r="J19598" t="n">
        <v>0</v>
      </c>
      <c r="K19598" t="n">
        <v>0</v>
      </c>
      <c r="L19598" t="n">
        <v>0</v>
      </c>
      <c r="M19598" t="n">
        <v>0</v>
      </c>
      <c r="N19598" t="n">
        <v>0</v>
      </c>
      <c r="O19598" t="n">
        <v>0</v>
      </c>
      <c r="P19598" t="n">
        <v>0</v>
      </c>
      <c r="Q19598" t="n">
        <v>0</v>
      </c>
      <c r="R19598" s="2" t="inlineStr"/>
    </row>
    <row r="19599" ht="15" customHeight="1">
      <c r="A19599" t="inlineStr">
        <is>
          <t>A 16868-2025</t>
        </is>
      </c>
      <c r="B19599" s="1" t="n">
        <v>45754</v>
      </c>
      <c r="C19599" s="1" t="n">
        <v>45810</v>
      </c>
      <c r="D19599" t="inlineStr">
        <is>
          <t>VÄRMLANDS LÄN</t>
        </is>
      </c>
      <c r="E19599" t="inlineStr">
        <is>
          <t>KIL</t>
        </is>
      </c>
      <c r="G19599" t="n">
        <v>9.6</v>
      </c>
      <c r="H19599" t="n">
        <v>0</v>
      </c>
      <c r="I19599" t="n">
        <v>0</v>
      </c>
      <c r="J19599" t="n">
        <v>0</v>
      </c>
      <c r="K19599" t="n">
        <v>0</v>
      </c>
      <c r="L19599" t="n">
        <v>0</v>
      </c>
      <c r="M19599" t="n">
        <v>0</v>
      </c>
      <c r="N19599" t="n">
        <v>0</v>
      </c>
      <c r="O19599" t="n">
        <v>0</v>
      </c>
      <c r="P19599" t="n">
        <v>0</v>
      </c>
      <c r="Q19599" t="n">
        <v>0</v>
      </c>
      <c r="R19599" s="2" t="inlineStr"/>
    </row>
    <row r="19600" ht="15" customHeight="1">
      <c r="A19600" t="inlineStr">
        <is>
          <t>A 16786-2025</t>
        </is>
      </c>
      <c r="B19600" s="1" t="n">
        <v>45754</v>
      </c>
      <c r="C19600" s="1" t="n">
        <v>45810</v>
      </c>
      <c r="D19600" t="inlineStr">
        <is>
          <t>VÄRMLANDS LÄN</t>
        </is>
      </c>
      <c r="E19600" t="inlineStr">
        <is>
          <t>STORFORS</t>
        </is>
      </c>
      <c r="F19600" t="inlineStr">
        <is>
          <t>Bergvik skog väst AB</t>
        </is>
      </c>
      <c r="G19600" t="n">
        <v>2.2</v>
      </c>
      <c r="H19600" t="n">
        <v>0</v>
      </c>
      <c r="I19600" t="n">
        <v>0</v>
      </c>
      <c r="J19600" t="n">
        <v>0</v>
      </c>
      <c r="K19600" t="n">
        <v>0</v>
      </c>
      <c r="L19600" t="n">
        <v>0</v>
      </c>
      <c r="M19600" t="n">
        <v>0</v>
      </c>
      <c r="N19600" t="n">
        <v>0</v>
      </c>
      <c r="O19600" t="n">
        <v>0</v>
      </c>
      <c r="P19600" t="n">
        <v>0</v>
      </c>
      <c r="Q19600" t="n">
        <v>0</v>
      </c>
      <c r="R19600" s="2" t="inlineStr"/>
    </row>
    <row r="19601" ht="15" customHeight="1">
      <c r="A19601" t="inlineStr">
        <is>
          <t>A 17048-2025</t>
        </is>
      </c>
      <c r="B19601" s="1" t="n">
        <v>45754</v>
      </c>
      <c r="C19601" s="1" t="n">
        <v>45810</v>
      </c>
      <c r="D19601" t="inlineStr">
        <is>
          <t>VÄRMLANDS LÄN</t>
        </is>
      </c>
      <c r="E19601" t="inlineStr">
        <is>
          <t>TORSBY</t>
        </is>
      </c>
      <c r="G19601" t="n">
        <v>3.4</v>
      </c>
      <c r="H19601" t="n">
        <v>0</v>
      </c>
      <c r="I19601" t="n">
        <v>0</v>
      </c>
      <c r="J19601" t="n">
        <v>0</v>
      </c>
      <c r="K19601" t="n">
        <v>0</v>
      </c>
      <c r="L19601" t="n">
        <v>0</v>
      </c>
      <c r="M19601" t="n">
        <v>0</v>
      </c>
      <c r="N19601" t="n">
        <v>0</v>
      </c>
      <c r="O19601" t="n">
        <v>0</v>
      </c>
      <c r="P19601" t="n">
        <v>0</v>
      </c>
      <c r="Q19601" t="n">
        <v>0</v>
      </c>
      <c r="R19601" s="2" t="inlineStr"/>
    </row>
    <row r="19602" ht="15" customHeight="1">
      <c r="A19602" t="inlineStr">
        <is>
          <t>A 16645-2025</t>
        </is>
      </c>
      <c r="B19602" s="1" t="n">
        <v>45754</v>
      </c>
      <c r="C19602" s="1" t="n">
        <v>45810</v>
      </c>
      <c r="D19602" t="inlineStr">
        <is>
          <t>VÄRMLANDS LÄN</t>
        </is>
      </c>
      <c r="E19602" t="inlineStr">
        <is>
          <t>STORFORS</t>
        </is>
      </c>
      <c r="F19602" t="inlineStr">
        <is>
          <t>Bergvik skog väst AB</t>
        </is>
      </c>
      <c r="G19602" t="n">
        <v>2.8</v>
      </c>
      <c r="H19602" t="n">
        <v>0</v>
      </c>
      <c r="I19602" t="n">
        <v>0</v>
      </c>
      <c r="J19602" t="n">
        <v>0</v>
      </c>
      <c r="K19602" t="n">
        <v>0</v>
      </c>
      <c r="L19602" t="n">
        <v>0</v>
      </c>
      <c r="M19602" t="n">
        <v>0</v>
      </c>
      <c r="N19602" t="n">
        <v>0</v>
      </c>
      <c r="O19602" t="n">
        <v>0</v>
      </c>
      <c r="P19602" t="n">
        <v>0</v>
      </c>
      <c r="Q19602" t="n">
        <v>0</v>
      </c>
      <c r="R19602" s="2" t="inlineStr"/>
    </row>
    <row r="19603" ht="15" customHeight="1">
      <c r="A19603" t="inlineStr">
        <is>
          <t>A 16814-2025</t>
        </is>
      </c>
      <c r="B19603" s="1" t="n">
        <v>45754</v>
      </c>
      <c r="C19603" s="1" t="n">
        <v>45810</v>
      </c>
      <c r="D19603" t="inlineStr">
        <is>
          <t>VÄRMLANDS LÄN</t>
        </is>
      </c>
      <c r="E19603" t="inlineStr">
        <is>
          <t>HAGFORS</t>
        </is>
      </c>
      <c r="F19603" t="inlineStr">
        <is>
          <t>Bergvik skog väst AB</t>
        </is>
      </c>
      <c r="G19603" t="n">
        <v>4.4</v>
      </c>
      <c r="H19603" t="n">
        <v>0</v>
      </c>
      <c r="I19603" t="n">
        <v>0</v>
      </c>
      <c r="J19603" t="n">
        <v>0</v>
      </c>
      <c r="K19603" t="n">
        <v>0</v>
      </c>
      <c r="L19603" t="n">
        <v>0</v>
      </c>
      <c r="M19603" t="n">
        <v>0</v>
      </c>
      <c r="N19603" t="n">
        <v>0</v>
      </c>
      <c r="O19603" t="n">
        <v>0</v>
      </c>
      <c r="P19603" t="n">
        <v>0</v>
      </c>
      <c r="Q19603" t="n">
        <v>0</v>
      </c>
      <c r="R19603" s="2" t="inlineStr"/>
    </row>
    <row r="19604" ht="15" customHeight="1">
      <c r="A19604" t="inlineStr">
        <is>
          <t>A 16666-2025</t>
        </is>
      </c>
      <c r="B19604" s="1" t="n">
        <v>45754</v>
      </c>
      <c r="C19604" s="1" t="n">
        <v>45810</v>
      </c>
      <c r="D19604" t="inlineStr">
        <is>
          <t>VÄRMLANDS LÄN</t>
        </is>
      </c>
      <c r="E19604" t="inlineStr">
        <is>
          <t>ÅRJÄNG</t>
        </is>
      </c>
      <c r="G19604" t="n">
        <v>6.2</v>
      </c>
      <c r="H19604" t="n">
        <v>0</v>
      </c>
      <c r="I19604" t="n">
        <v>0</v>
      </c>
      <c r="J19604" t="n">
        <v>0</v>
      </c>
      <c r="K19604" t="n">
        <v>0</v>
      </c>
      <c r="L19604" t="n">
        <v>0</v>
      </c>
      <c r="M19604" t="n">
        <v>0</v>
      </c>
      <c r="N19604" t="n">
        <v>0</v>
      </c>
      <c r="O19604" t="n">
        <v>0</v>
      </c>
      <c r="P19604" t="n">
        <v>0</v>
      </c>
      <c r="Q19604" t="n">
        <v>0</v>
      </c>
      <c r="R19604" s="2" t="inlineStr"/>
    </row>
    <row r="19605" ht="15" customHeight="1">
      <c r="A19605" t="inlineStr">
        <is>
          <t>A 16662-2025</t>
        </is>
      </c>
      <c r="B19605" s="1" t="n">
        <v>45754</v>
      </c>
      <c r="C19605" s="1" t="n">
        <v>45810</v>
      </c>
      <c r="D19605" t="inlineStr">
        <is>
          <t>VÄRMLANDS LÄN</t>
        </is>
      </c>
      <c r="E19605" t="inlineStr">
        <is>
          <t>SUNNE</t>
        </is>
      </c>
      <c r="G19605" t="n">
        <v>1.6</v>
      </c>
      <c r="H19605" t="n">
        <v>0</v>
      </c>
      <c r="I19605" t="n">
        <v>0</v>
      </c>
      <c r="J19605" t="n">
        <v>0</v>
      </c>
      <c r="K19605" t="n">
        <v>0</v>
      </c>
      <c r="L19605" t="n">
        <v>0</v>
      </c>
      <c r="M19605" t="n">
        <v>0</v>
      </c>
      <c r="N19605" t="n">
        <v>0</v>
      </c>
      <c r="O19605" t="n">
        <v>0</v>
      </c>
      <c r="P19605" t="n">
        <v>0</v>
      </c>
      <c r="Q19605" t="n">
        <v>0</v>
      </c>
      <c r="R19605" s="2" t="inlineStr"/>
    </row>
    <row r="19606" ht="15" customHeight="1">
      <c r="A19606" t="inlineStr">
        <is>
          <t>A 16818-2025</t>
        </is>
      </c>
      <c r="B19606" s="1" t="n">
        <v>45754</v>
      </c>
      <c r="C19606" s="1" t="n">
        <v>45810</v>
      </c>
      <c r="D19606" t="inlineStr">
        <is>
          <t>VÄRMLANDS LÄN</t>
        </is>
      </c>
      <c r="E19606" t="inlineStr">
        <is>
          <t>HAGFORS</t>
        </is>
      </c>
      <c r="F19606" t="inlineStr">
        <is>
          <t>Bergvik skog väst AB</t>
        </is>
      </c>
      <c r="G19606" t="n">
        <v>5.1</v>
      </c>
      <c r="H19606" t="n">
        <v>0</v>
      </c>
      <c r="I19606" t="n">
        <v>0</v>
      </c>
      <c r="J19606" t="n">
        <v>0</v>
      </c>
      <c r="K19606" t="n">
        <v>0</v>
      </c>
      <c r="L19606" t="n">
        <v>0</v>
      </c>
      <c r="M19606" t="n">
        <v>0</v>
      </c>
      <c r="N19606" t="n">
        <v>0</v>
      </c>
      <c r="O19606" t="n">
        <v>0</v>
      </c>
      <c r="P19606" t="n">
        <v>0</v>
      </c>
      <c r="Q19606" t="n">
        <v>0</v>
      </c>
      <c r="R19606" s="2" t="inlineStr"/>
    </row>
    <row r="19607" ht="15" customHeight="1">
      <c r="A19607" t="inlineStr">
        <is>
          <t>A 16872-2025</t>
        </is>
      </c>
      <c r="B19607" s="1" t="n">
        <v>45754</v>
      </c>
      <c r="C19607" s="1" t="n">
        <v>45810</v>
      </c>
      <c r="D19607" t="inlineStr">
        <is>
          <t>VÄRMLANDS LÄN</t>
        </is>
      </c>
      <c r="E19607" t="inlineStr">
        <is>
          <t>TORSBY</t>
        </is>
      </c>
      <c r="G19607" t="n">
        <v>16.6</v>
      </c>
      <c r="H19607" t="n">
        <v>0</v>
      </c>
      <c r="I19607" t="n">
        <v>0</v>
      </c>
      <c r="J19607" t="n">
        <v>0</v>
      </c>
      <c r="K19607" t="n">
        <v>0</v>
      </c>
      <c r="L19607" t="n">
        <v>0</v>
      </c>
      <c r="M19607" t="n">
        <v>0</v>
      </c>
      <c r="N19607" t="n">
        <v>0</v>
      </c>
      <c r="O19607" t="n">
        <v>0</v>
      </c>
      <c r="P19607" t="n">
        <v>0</v>
      </c>
      <c r="Q19607" t="n">
        <v>0</v>
      </c>
      <c r="R19607" s="2" t="inlineStr"/>
    </row>
    <row r="19608" ht="15" customHeight="1">
      <c r="A19608" t="inlineStr">
        <is>
          <t>A 17065-2025</t>
        </is>
      </c>
      <c r="B19608" s="1" t="n">
        <v>45754</v>
      </c>
      <c r="C19608" s="1" t="n">
        <v>45810</v>
      </c>
      <c r="D19608" t="inlineStr">
        <is>
          <t>VÄRMLANDS LÄN</t>
        </is>
      </c>
      <c r="E19608" t="inlineStr">
        <is>
          <t>TORSBY</t>
        </is>
      </c>
      <c r="G19608" t="n">
        <v>2.2</v>
      </c>
      <c r="H19608" t="n">
        <v>0</v>
      </c>
      <c r="I19608" t="n">
        <v>0</v>
      </c>
      <c r="J19608" t="n">
        <v>0</v>
      </c>
      <c r="K19608" t="n">
        <v>0</v>
      </c>
      <c r="L19608" t="n">
        <v>0</v>
      </c>
      <c r="M19608" t="n">
        <v>0</v>
      </c>
      <c r="N19608" t="n">
        <v>0</v>
      </c>
      <c r="O19608" t="n">
        <v>0</v>
      </c>
      <c r="P19608" t="n">
        <v>0</v>
      </c>
      <c r="Q19608" t="n">
        <v>0</v>
      </c>
      <c r="R19608" s="2" t="inlineStr"/>
    </row>
    <row r="19609" ht="15" customHeight="1">
      <c r="A19609" t="inlineStr">
        <is>
          <t>A 16840-2025</t>
        </is>
      </c>
      <c r="B19609" s="1" t="n">
        <v>45754</v>
      </c>
      <c r="C19609" s="1" t="n">
        <v>45810</v>
      </c>
      <c r="D19609" t="inlineStr">
        <is>
          <t>VÄRMLANDS LÄN</t>
        </is>
      </c>
      <c r="E19609" t="inlineStr">
        <is>
          <t>HAGFORS</t>
        </is>
      </c>
      <c r="F19609" t="inlineStr">
        <is>
          <t>Bergvik skog väst AB</t>
        </is>
      </c>
      <c r="G19609" t="n">
        <v>9.199999999999999</v>
      </c>
      <c r="H19609" t="n">
        <v>0</v>
      </c>
      <c r="I19609" t="n">
        <v>0</v>
      </c>
      <c r="J19609" t="n">
        <v>0</v>
      </c>
      <c r="K19609" t="n">
        <v>0</v>
      </c>
      <c r="L19609" t="n">
        <v>0</v>
      </c>
      <c r="M19609" t="n">
        <v>0</v>
      </c>
      <c r="N19609" t="n">
        <v>0</v>
      </c>
      <c r="O19609" t="n">
        <v>0</v>
      </c>
      <c r="P19609" t="n">
        <v>0</v>
      </c>
      <c r="Q19609" t="n">
        <v>0</v>
      </c>
      <c r="R19609" s="2" t="inlineStr"/>
    </row>
    <row r="19610" ht="15" customHeight="1">
      <c r="A19610" t="inlineStr">
        <is>
          <t>A 16803-2025</t>
        </is>
      </c>
      <c r="B19610" s="1" t="n">
        <v>45754</v>
      </c>
      <c r="C19610" s="1" t="n">
        <v>45810</v>
      </c>
      <c r="D19610" t="inlineStr">
        <is>
          <t>VÄRMLANDS LÄN</t>
        </is>
      </c>
      <c r="E19610" t="inlineStr">
        <is>
          <t>HAGFORS</t>
        </is>
      </c>
      <c r="F19610" t="inlineStr">
        <is>
          <t>Bergvik skog väst AB</t>
        </is>
      </c>
      <c r="G19610" t="n">
        <v>2.2</v>
      </c>
      <c r="H19610" t="n">
        <v>0</v>
      </c>
      <c r="I19610" t="n">
        <v>0</v>
      </c>
      <c r="J19610" t="n">
        <v>0</v>
      </c>
      <c r="K19610" t="n">
        <v>0</v>
      </c>
      <c r="L19610" t="n">
        <v>0</v>
      </c>
      <c r="M19610" t="n">
        <v>0</v>
      </c>
      <c r="N19610" t="n">
        <v>0</v>
      </c>
      <c r="O19610" t="n">
        <v>0</v>
      </c>
      <c r="P19610" t="n">
        <v>0</v>
      </c>
      <c r="Q19610" t="n">
        <v>0</v>
      </c>
      <c r="R19610" s="2" t="inlineStr"/>
    </row>
    <row r="19611" ht="15" customHeight="1">
      <c r="A19611" t="inlineStr">
        <is>
          <t>A 16712-2025</t>
        </is>
      </c>
      <c r="B19611" s="1" t="n">
        <v>45754</v>
      </c>
      <c r="C19611" s="1" t="n">
        <v>45810</v>
      </c>
      <c r="D19611" t="inlineStr">
        <is>
          <t>VÄRMLANDS LÄN</t>
        </is>
      </c>
      <c r="E19611" t="inlineStr">
        <is>
          <t>SUNNE</t>
        </is>
      </c>
      <c r="G19611" t="n">
        <v>4.5</v>
      </c>
      <c r="H19611" t="n">
        <v>0</v>
      </c>
      <c r="I19611" t="n">
        <v>0</v>
      </c>
      <c r="J19611" t="n">
        <v>0</v>
      </c>
      <c r="K19611" t="n">
        <v>0</v>
      </c>
      <c r="L19611" t="n">
        <v>0</v>
      </c>
      <c r="M19611" t="n">
        <v>0</v>
      </c>
      <c r="N19611" t="n">
        <v>0</v>
      </c>
      <c r="O19611" t="n">
        <v>0</v>
      </c>
      <c r="P19611" t="n">
        <v>0</v>
      </c>
      <c r="Q19611" t="n">
        <v>0</v>
      </c>
      <c r="R19611" s="2" t="inlineStr"/>
    </row>
    <row r="19612" ht="15" customHeight="1">
      <c r="A19612" t="inlineStr">
        <is>
          <t>A 16743-2025</t>
        </is>
      </c>
      <c r="B19612" s="1" t="n">
        <v>45754</v>
      </c>
      <c r="C19612" s="1" t="n">
        <v>45810</v>
      </c>
      <c r="D19612" t="inlineStr">
        <is>
          <t>VÄRMLANDS LÄN</t>
        </is>
      </c>
      <c r="E19612" t="inlineStr">
        <is>
          <t>EDA</t>
        </is>
      </c>
      <c r="G19612" t="n">
        <v>1.3</v>
      </c>
      <c r="H19612" t="n">
        <v>0</v>
      </c>
      <c r="I19612" t="n">
        <v>0</v>
      </c>
      <c r="J19612" t="n">
        <v>0</v>
      </c>
      <c r="K19612" t="n">
        <v>0</v>
      </c>
      <c r="L19612" t="n">
        <v>0</v>
      </c>
      <c r="M19612" t="n">
        <v>0</v>
      </c>
      <c r="N19612" t="n">
        <v>0</v>
      </c>
      <c r="O19612" t="n">
        <v>0</v>
      </c>
      <c r="P19612" t="n">
        <v>0</v>
      </c>
      <c r="Q19612" t="n">
        <v>0</v>
      </c>
      <c r="R19612" s="2" t="inlineStr"/>
    </row>
    <row r="19613" ht="15" customHeight="1">
      <c r="A19613" t="inlineStr">
        <is>
          <t>A 16757-2025</t>
        </is>
      </c>
      <c r="B19613" s="1" t="n">
        <v>45754</v>
      </c>
      <c r="C19613" s="1" t="n">
        <v>45810</v>
      </c>
      <c r="D19613" t="inlineStr">
        <is>
          <t>VÄRMLANDS LÄN</t>
        </is>
      </c>
      <c r="E19613" t="inlineStr">
        <is>
          <t>ARVIKA</t>
        </is>
      </c>
      <c r="G19613" t="n">
        <v>6.3</v>
      </c>
      <c r="H19613" t="n">
        <v>0</v>
      </c>
      <c r="I19613" t="n">
        <v>0</v>
      </c>
      <c r="J19613" t="n">
        <v>0</v>
      </c>
      <c r="K19613" t="n">
        <v>0</v>
      </c>
      <c r="L19613" t="n">
        <v>0</v>
      </c>
      <c r="M19613" t="n">
        <v>0</v>
      </c>
      <c r="N19613" t="n">
        <v>0</v>
      </c>
      <c r="O19613" t="n">
        <v>0</v>
      </c>
      <c r="P19613" t="n">
        <v>0</v>
      </c>
      <c r="Q19613" t="n">
        <v>0</v>
      </c>
      <c r="R19613" s="2" t="inlineStr"/>
    </row>
    <row r="19614" ht="15" customHeight="1">
      <c r="A19614" t="inlineStr">
        <is>
          <t>A 16755-2025</t>
        </is>
      </c>
      <c r="B19614" s="1" t="n">
        <v>45754</v>
      </c>
      <c r="C19614" s="1" t="n">
        <v>45810</v>
      </c>
      <c r="D19614" t="inlineStr">
        <is>
          <t>VÄRMLANDS LÄN</t>
        </is>
      </c>
      <c r="E19614" t="inlineStr">
        <is>
          <t>HAGFORS</t>
        </is>
      </c>
      <c r="F19614" t="inlineStr">
        <is>
          <t>Bergvik skog väst AB</t>
        </is>
      </c>
      <c r="G19614" t="n">
        <v>7.7</v>
      </c>
      <c r="H19614" t="n">
        <v>0</v>
      </c>
      <c r="I19614" t="n">
        <v>0</v>
      </c>
      <c r="J19614" t="n">
        <v>0</v>
      </c>
      <c r="K19614" t="n">
        <v>0</v>
      </c>
      <c r="L19614" t="n">
        <v>0</v>
      </c>
      <c r="M19614" t="n">
        <v>0</v>
      </c>
      <c r="N19614" t="n">
        <v>0</v>
      </c>
      <c r="O19614" t="n">
        <v>0</v>
      </c>
      <c r="P19614" t="n">
        <v>0</v>
      </c>
      <c r="Q19614" t="n">
        <v>0</v>
      </c>
      <c r="R19614" s="2" t="inlineStr"/>
    </row>
    <row r="19615" ht="15" customHeight="1">
      <c r="A19615" t="inlineStr">
        <is>
          <t>A 16762-2025</t>
        </is>
      </c>
      <c r="B19615" s="1" t="n">
        <v>45754</v>
      </c>
      <c r="C19615" s="1" t="n">
        <v>45810</v>
      </c>
      <c r="D19615" t="inlineStr">
        <is>
          <t>VÄRMLANDS LÄN</t>
        </is>
      </c>
      <c r="E19615" t="inlineStr">
        <is>
          <t>ARVIKA</t>
        </is>
      </c>
      <c r="G19615" t="n">
        <v>1</v>
      </c>
      <c r="H19615" t="n">
        <v>0</v>
      </c>
      <c r="I19615" t="n">
        <v>0</v>
      </c>
      <c r="J19615" t="n">
        <v>0</v>
      </c>
      <c r="K19615" t="n">
        <v>0</v>
      </c>
      <c r="L19615" t="n">
        <v>0</v>
      </c>
      <c r="M19615" t="n">
        <v>0</v>
      </c>
      <c r="N19615" t="n">
        <v>0</v>
      </c>
      <c r="O19615" t="n">
        <v>0</v>
      </c>
      <c r="P19615" t="n">
        <v>0</v>
      </c>
      <c r="Q19615" t="n">
        <v>0</v>
      </c>
      <c r="R19615" s="2" t="inlineStr"/>
    </row>
    <row r="19616" ht="15" customHeight="1">
      <c r="A19616" t="inlineStr">
        <is>
          <t>A 16714-2025</t>
        </is>
      </c>
      <c r="B19616" s="1" t="n">
        <v>45754</v>
      </c>
      <c r="C19616" s="1" t="n">
        <v>45810</v>
      </c>
      <c r="D19616" t="inlineStr">
        <is>
          <t>VÄRMLANDS LÄN</t>
        </is>
      </c>
      <c r="E19616" t="inlineStr">
        <is>
          <t>STORFORS</t>
        </is>
      </c>
      <c r="F19616" t="inlineStr">
        <is>
          <t>Bergvik skog väst AB</t>
        </is>
      </c>
      <c r="G19616" t="n">
        <v>5.2</v>
      </c>
      <c r="H19616" t="n">
        <v>0</v>
      </c>
      <c r="I19616" t="n">
        <v>0</v>
      </c>
      <c r="J19616" t="n">
        <v>0</v>
      </c>
      <c r="K19616" t="n">
        <v>0</v>
      </c>
      <c r="L19616" t="n">
        <v>0</v>
      </c>
      <c r="M19616" t="n">
        <v>0</v>
      </c>
      <c r="N19616" t="n">
        <v>0</v>
      </c>
      <c r="O19616" t="n">
        <v>0</v>
      </c>
      <c r="P19616" t="n">
        <v>0</v>
      </c>
      <c r="Q19616" t="n">
        <v>0</v>
      </c>
      <c r="R19616" s="2" t="inlineStr"/>
    </row>
    <row r="19617" ht="15" customHeight="1">
      <c r="A19617" t="inlineStr">
        <is>
          <t>A 17062-2025</t>
        </is>
      </c>
      <c r="B19617" s="1" t="n">
        <v>45754</v>
      </c>
      <c r="C19617" s="1" t="n">
        <v>45810</v>
      </c>
      <c r="D19617" t="inlineStr">
        <is>
          <t>VÄRMLANDS LÄN</t>
        </is>
      </c>
      <c r="E19617" t="inlineStr">
        <is>
          <t>TORSBY</t>
        </is>
      </c>
      <c r="G19617" t="n">
        <v>2.6</v>
      </c>
      <c r="H19617" t="n">
        <v>0</v>
      </c>
      <c r="I19617" t="n">
        <v>0</v>
      </c>
      <c r="J19617" t="n">
        <v>0</v>
      </c>
      <c r="K19617" t="n">
        <v>0</v>
      </c>
      <c r="L19617" t="n">
        <v>0</v>
      </c>
      <c r="M19617" t="n">
        <v>0</v>
      </c>
      <c r="N19617" t="n">
        <v>0</v>
      </c>
      <c r="O19617" t="n">
        <v>0</v>
      </c>
      <c r="P19617" t="n">
        <v>0</v>
      </c>
      <c r="Q19617" t="n">
        <v>0</v>
      </c>
      <c r="R19617" s="2" t="inlineStr"/>
    </row>
    <row r="19618" ht="15" customHeight="1">
      <c r="A19618" t="inlineStr">
        <is>
          <t>A 17039-2025</t>
        </is>
      </c>
      <c r="B19618" s="1" t="n">
        <v>45754</v>
      </c>
      <c r="C19618" s="1" t="n">
        <v>45810</v>
      </c>
      <c r="D19618" t="inlineStr">
        <is>
          <t>VÄRMLANDS LÄN</t>
        </is>
      </c>
      <c r="E19618" t="inlineStr">
        <is>
          <t>TORSBY</t>
        </is>
      </c>
      <c r="G19618" t="n">
        <v>6.7</v>
      </c>
      <c r="H19618" t="n">
        <v>0</v>
      </c>
      <c r="I19618" t="n">
        <v>0</v>
      </c>
      <c r="J19618" t="n">
        <v>0</v>
      </c>
      <c r="K19618" t="n">
        <v>0</v>
      </c>
      <c r="L19618" t="n">
        <v>0</v>
      </c>
      <c r="M19618" t="n">
        <v>0</v>
      </c>
      <c r="N19618" t="n">
        <v>0</v>
      </c>
      <c r="O19618" t="n">
        <v>0</v>
      </c>
      <c r="P19618" t="n">
        <v>0</v>
      </c>
      <c r="Q19618" t="n">
        <v>0</v>
      </c>
      <c r="R19618" s="2" t="inlineStr"/>
    </row>
    <row r="19619" ht="15" customHeight="1">
      <c r="A19619" t="inlineStr">
        <is>
          <t>A 17053-2025</t>
        </is>
      </c>
      <c r="B19619" s="1" t="n">
        <v>45754</v>
      </c>
      <c r="C19619" s="1" t="n">
        <v>45810</v>
      </c>
      <c r="D19619" t="inlineStr">
        <is>
          <t>VÄRMLANDS LÄN</t>
        </is>
      </c>
      <c r="E19619" t="inlineStr">
        <is>
          <t>TORSBY</t>
        </is>
      </c>
      <c r="G19619" t="n">
        <v>3.7</v>
      </c>
      <c r="H19619" t="n">
        <v>0</v>
      </c>
      <c r="I19619" t="n">
        <v>0</v>
      </c>
      <c r="J19619" t="n">
        <v>0</v>
      </c>
      <c r="K19619" t="n">
        <v>0</v>
      </c>
      <c r="L19619" t="n">
        <v>0</v>
      </c>
      <c r="M19619" t="n">
        <v>0</v>
      </c>
      <c r="N19619" t="n">
        <v>0</v>
      </c>
      <c r="O19619" t="n">
        <v>0</v>
      </c>
      <c r="P19619" t="n">
        <v>0</v>
      </c>
      <c r="Q19619" t="n">
        <v>0</v>
      </c>
      <c r="R19619" s="2" t="inlineStr"/>
    </row>
    <row r="19620" ht="15" customHeight="1">
      <c r="A19620" t="inlineStr">
        <is>
          <t>A 16791-2025</t>
        </is>
      </c>
      <c r="B19620" s="1" t="n">
        <v>45754</v>
      </c>
      <c r="C19620" s="1" t="n">
        <v>45810</v>
      </c>
      <c r="D19620" t="inlineStr">
        <is>
          <t>VÄRMLANDS LÄN</t>
        </is>
      </c>
      <c r="E19620" t="inlineStr">
        <is>
          <t>ÅRJÄNG</t>
        </is>
      </c>
      <c r="G19620" t="n">
        <v>2.1</v>
      </c>
      <c r="H19620" t="n">
        <v>0</v>
      </c>
      <c r="I19620" t="n">
        <v>0</v>
      </c>
      <c r="J19620" t="n">
        <v>0</v>
      </c>
      <c r="K19620" t="n">
        <v>0</v>
      </c>
      <c r="L19620" t="n">
        <v>0</v>
      </c>
      <c r="M19620" t="n">
        <v>0</v>
      </c>
      <c r="N19620" t="n">
        <v>0</v>
      </c>
      <c r="O19620" t="n">
        <v>0</v>
      </c>
      <c r="P19620" t="n">
        <v>0</v>
      </c>
      <c r="Q19620" t="n">
        <v>0</v>
      </c>
      <c r="R19620" s="2" t="inlineStr"/>
    </row>
    <row r="19621" ht="15" customHeight="1">
      <c r="A19621" t="inlineStr">
        <is>
          <t>A 17022-2025</t>
        </is>
      </c>
      <c r="B19621" s="1" t="n">
        <v>45755</v>
      </c>
      <c r="C19621" s="1" t="n">
        <v>45810</v>
      </c>
      <c r="D19621" t="inlineStr">
        <is>
          <t>VÄRMLANDS LÄN</t>
        </is>
      </c>
      <c r="E19621" t="inlineStr">
        <is>
          <t>ARVIKA</t>
        </is>
      </c>
      <c r="G19621" t="n">
        <v>1.5</v>
      </c>
      <c r="H19621" t="n">
        <v>0</v>
      </c>
      <c r="I19621" t="n">
        <v>0</v>
      </c>
      <c r="J19621" t="n">
        <v>0</v>
      </c>
      <c r="K19621" t="n">
        <v>0</v>
      </c>
      <c r="L19621" t="n">
        <v>0</v>
      </c>
      <c r="M19621" t="n">
        <v>0</v>
      </c>
      <c r="N19621" t="n">
        <v>0</v>
      </c>
      <c r="O19621" t="n">
        <v>0</v>
      </c>
      <c r="P19621" t="n">
        <v>0</v>
      </c>
      <c r="Q19621" t="n">
        <v>0</v>
      </c>
      <c r="R19621" s="2" t="inlineStr"/>
    </row>
    <row r="19622" ht="15" customHeight="1">
      <c r="A19622" t="inlineStr">
        <is>
          <t>A 17135-2025</t>
        </is>
      </c>
      <c r="B19622" s="1" t="n">
        <v>45755</v>
      </c>
      <c r="C19622" s="1" t="n">
        <v>45810</v>
      </c>
      <c r="D19622" t="inlineStr">
        <is>
          <t>VÄRMLANDS LÄN</t>
        </is>
      </c>
      <c r="E19622" t="inlineStr">
        <is>
          <t>FORSHAGA</t>
        </is>
      </c>
      <c r="G19622" t="n">
        <v>10.3</v>
      </c>
      <c r="H19622" t="n">
        <v>0</v>
      </c>
      <c r="I19622" t="n">
        <v>0</v>
      </c>
      <c r="J19622" t="n">
        <v>0</v>
      </c>
      <c r="K19622" t="n">
        <v>0</v>
      </c>
      <c r="L19622" t="n">
        <v>0</v>
      </c>
      <c r="M19622" t="n">
        <v>0</v>
      </c>
      <c r="N19622" t="n">
        <v>0</v>
      </c>
      <c r="O19622" t="n">
        <v>0</v>
      </c>
      <c r="P19622" t="n">
        <v>0</v>
      </c>
      <c r="Q19622" t="n">
        <v>0</v>
      </c>
      <c r="R19622" s="2" t="inlineStr"/>
    </row>
    <row r="19623" ht="15" customHeight="1">
      <c r="A19623" t="inlineStr">
        <is>
          <t>A 16885-2025</t>
        </is>
      </c>
      <c r="B19623" s="1" t="n">
        <v>45755</v>
      </c>
      <c r="C19623" s="1" t="n">
        <v>45810</v>
      </c>
      <c r="D19623" t="inlineStr">
        <is>
          <t>VÄRMLANDS LÄN</t>
        </is>
      </c>
      <c r="E19623" t="inlineStr">
        <is>
          <t>FORSHAGA</t>
        </is>
      </c>
      <c r="G19623" t="n">
        <v>7.1</v>
      </c>
      <c r="H19623" t="n">
        <v>0</v>
      </c>
      <c r="I19623" t="n">
        <v>0</v>
      </c>
      <c r="J19623" t="n">
        <v>0</v>
      </c>
      <c r="K19623" t="n">
        <v>0</v>
      </c>
      <c r="L19623" t="n">
        <v>0</v>
      </c>
      <c r="M19623" t="n">
        <v>0</v>
      </c>
      <c r="N19623" t="n">
        <v>0</v>
      </c>
      <c r="O19623" t="n">
        <v>0</v>
      </c>
      <c r="P19623" t="n">
        <v>0</v>
      </c>
      <c r="Q19623" t="n">
        <v>0</v>
      </c>
      <c r="R19623" s="2" t="inlineStr"/>
    </row>
    <row r="19624" ht="15" customHeight="1">
      <c r="A19624" t="inlineStr">
        <is>
          <t>A 16946-2025</t>
        </is>
      </c>
      <c r="B19624" s="1" t="n">
        <v>45755</v>
      </c>
      <c r="C19624" s="1" t="n">
        <v>45810</v>
      </c>
      <c r="D19624" t="inlineStr">
        <is>
          <t>VÄRMLANDS LÄN</t>
        </is>
      </c>
      <c r="E19624" t="inlineStr">
        <is>
          <t>EDA</t>
        </is>
      </c>
      <c r="G19624" t="n">
        <v>1.8</v>
      </c>
      <c r="H19624" t="n">
        <v>0</v>
      </c>
      <c r="I19624" t="n">
        <v>0</v>
      </c>
      <c r="J19624" t="n">
        <v>0</v>
      </c>
      <c r="K19624" t="n">
        <v>0</v>
      </c>
      <c r="L19624" t="n">
        <v>0</v>
      </c>
      <c r="M19624" t="n">
        <v>0</v>
      </c>
      <c r="N19624" t="n">
        <v>0</v>
      </c>
      <c r="O19624" t="n">
        <v>0</v>
      </c>
      <c r="P19624" t="n">
        <v>0</v>
      </c>
      <c r="Q19624" t="n">
        <v>0</v>
      </c>
      <c r="R19624" s="2" t="inlineStr"/>
    </row>
    <row r="19625" ht="15" customHeight="1">
      <c r="A19625" t="inlineStr">
        <is>
          <t>A 16994-2025</t>
        </is>
      </c>
      <c r="B19625" s="1" t="n">
        <v>45755</v>
      </c>
      <c r="C19625" s="1" t="n">
        <v>45810</v>
      </c>
      <c r="D19625" t="inlineStr">
        <is>
          <t>VÄRMLANDS LÄN</t>
        </is>
      </c>
      <c r="E19625" t="inlineStr">
        <is>
          <t>TORSBY</t>
        </is>
      </c>
      <c r="G19625" t="n">
        <v>2.1</v>
      </c>
      <c r="H19625" t="n">
        <v>0</v>
      </c>
      <c r="I19625" t="n">
        <v>0</v>
      </c>
      <c r="J19625" t="n">
        <v>0</v>
      </c>
      <c r="K19625" t="n">
        <v>0</v>
      </c>
      <c r="L19625" t="n">
        <v>0</v>
      </c>
      <c r="M19625" t="n">
        <v>0</v>
      </c>
      <c r="N19625" t="n">
        <v>0</v>
      </c>
      <c r="O19625" t="n">
        <v>0</v>
      </c>
      <c r="P19625" t="n">
        <v>0</v>
      </c>
      <c r="Q19625" t="n">
        <v>0</v>
      </c>
      <c r="R19625" s="2" t="inlineStr"/>
    </row>
    <row r="19626" ht="15" customHeight="1">
      <c r="A19626" t="inlineStr">
        <is>
          <t>A 17082-2025</t>
        </is>
      </c>
      <c r="B19626" s="1" t="n">
        <v>45755</v>
      </c>
      <c r="C19626" s="1" t="n">
        <v>45810</v>
      </c>
      <c r="D19626" t="inlineStr">
        <is>
          <t>VÄRMLANDS LÄN</t>
        </is>
      </c>
      <c r="E19626" t="inlineStr">
        <is>
          <t>KARLSTAD</t>
        </is>
      </c>
      <c r="G19626" t="n">
        <v>2.2</v>
      </c>
      <c r="H19626" t="n">
        <v>0</v>
      </c>
      <c r="I19626" t="n">
        <v>0</v>
      </c>
      <c r="J19626" t="n">
        <v>0</v>
      </c>
      <c r="K19626" t="n">
        <v>0</v>
      </c>
      <c r="L19626" t="n">
        <v>0</v>
      </c>
      <c r="M19626" t="n">
        <v>0</v>
      </c>
      <c r="N19626" t="n">
        <v>0</v>
      </c>
      <c r="O19626" t="n">
        <v>0</v>
      </c>
      <c r="P19626" t="n">
        <v>0</v>
      </c>
      <c r="Q19626" t="n">
        <v>0</v>
      </c>
      <c r="R19626" s="2" t="inlineStr"/>
    </row>
    <row r="19627" ht="15" customHeight="1">
      <c r="A19627" t="inlineStr">
        <is>
          <t>A 17043-2025</t>
        </is>
      </c>
      <c r="B19627" s="1" t="n">
        <v>45755</v>
      </c>
      <c r="C19627" s="1" t="n">
        <v>45810</v>
      </c>
      <c r="D19627" t="inlineStr">
        <is>
          <t>VÄRMLANDS LÄN</t>
        </is>
      </c>
      <c r="E19627" t="inlineStr">
        <is>
          <t>SUNNE</t>
        </is>
      </c>
      <c r="G19627" t="n">
        <v>0.8</v>
      </c>
      <c r="H19627" t="n">
        <v>0</v>
      </c>
      <c r="I19627" t="n">
        <v>0</v>
      </c>
      <c r="J19627" t="n">
        <v>0</v>
      </c>
      <c r="K19627" t="n">
        <v>0</v>
      </c>
      <c r="L19627" t="n">
        <v>0</v>
      </c>
      <c r="M19627" t="n">
        <v>0</v>
      </c>
      <c r="N19627" t="n">
        <v>0</v>
      </c>
      <c r="O19627" t="n">
        <v>0</v>
      </c>
      <c r="P19627" t="n">
        <v>0</v>
      </c>
      <c r="Q19627" t="n">
        <v>0</v>
      </c>
      <c r="R19627" s="2" t="inlineStr"/>
    </row>
    <row r="19628" ht="15" customHeight="1">
      <c r="A19628" t="inlineStr">
        <is>
          <t>A 17108-2025</t>
        </is>
      </c>
      <c r="B19628" s="1" t="n">
        <v>45755</v>
      </c>
      <c r="C19628" s="1" t="n">
        <v>45810</v>
      </c>
      <c r="D19628" t="inlineStr">
        <is>
          <t>VÄRMLANDS LÄN</t>
        </is>
      </c>
      <c r="E19628" t="inlineStr">
        <is>
          <t>ARVIKA</t>
        </is>
      </c>
      <c r="G19628" t="n">
        <v>1.5</v>
      </c>
      <c r="H19628" t="n">
        <v>0</v>
      </c>
      <c r="I19628" t="n">
        <v>0</v>
      </c>
      <c r="J19628" t="n">
        <v>0</v>
      </c>
      <c r="K19628" t="n">
        <v>0</v>
      </c>
      <c r="L19628" t="n">
        <v>0</v>
      </c>
      <c r="M19628" t="n">
        <v>0</v>
      </c>
      <c r="N19628" t="n">
        <v>0</v>
      </c>
      <c r="O19628" t="n">
        <v>0</v>
      </c>
      <c r="P19628" t="n">
        <v>0</v>
      </c>
      <c r="Q19628" t="n">
        <v>0</v>
      </c>
      <c r="R19628" s="2" t="inlineStr"/>
    </row>
    <row r="19629" ht="15" customHeight="1">
      <c r="A19629" t="inlineStr">
        <is>
          <t>A 17117-2025</t>
        </is>
      </c>
      <c r="B19629" s="1" t="n">
        <v>45755</v>
      </c>
      <c r="C19629" s="1" t="n">
        <v>45810</v>
      </c>
      <c r="D19629" t="inlineStr">
        <is>
          <t>VÄRMLANDS LÄN</t>
        </is>
      </c>
      <c r="E19629" t="inlineStr">
        <is>
          <t>FORSHAGA</t>
        </is>
      </c>
      <c r="G19629" t="n">
        <v>1.6</v>
      </c>
      <c r="H19629" t="n">
        <v>0</v>
      </c>
      <c r="I19629" t="n">
        <v>0</v>
      </c>
      <c r="J19629" t="n">
        <v>0</v>
      </c>
      <c r="K19629" t="n">
        <v>0</v>
      </c>
      <c r="L19629" t="n">
        <v>0</v>
      </c>
      <c r="M19629" t="n">
        <v>0</v>
      </c>
      <c r="N19629" t="n">
        <v>0</v>
      </c>
      <c r="O19629" t="n">
        <v>0</v>
      </c>
      <c r="P19629" t="n">
        <v>0</v>
      </c>
      <c r="Q19629" t="n">
        <v>0</v>
      </c>
      <c r="R19629" s="2" t="inlineStr"/>
    </row>
    <row r="19630" ht="15" customHeight="1">
      <c r="A19630" t="inlineStr">
        <is>
          <t>A 17122-2025</t>
        </is>
      </c>
      <c r="B19630" s="1" t="n">
        <v>45755</v>
      </c>
      <c r="C19630" s="1" t="n">
        <v>45810</v>
      </c>
      <c r="D19630" t="inlineStr">
        <is>
          <t>VÄRMLANDS LÄN</t>
        </is>
      </c>
      <c r="E19630" t="inlineStr">
        <is>
          <t>ARVIKA</t>
        </is>
      </c>
      <c r="G19630" t="n">
        <v>2.4</v>
      </c>
      <c r="H19630" t="n">
        <v>0</v>
      </c>
      <c r="I19630" t="n">
        <v>0</v>
      </c>
      <c r="J19630" t="n">
        <v>0</v>
      </c>
      <c r="K19630" t="n">
        <v>0</v>
      </c>
      <c r="L19630" t="n">
        <v>0</v>
      </c>
      <c r="M19630" t="n">
        <v>0</v>
      </c>
      <c r="N19630" t="n">
        <v>0</v>
      </c>
      <c r="O19630" t="n">
        <v>0</v>
      </c>
      <c r="P19630" t="n">
        <v>0</v>
      </c>
      <c r="Q19630" t="n">
        <v>0</v>
      </c>
      <c r="R19630" s="2" t="inlineStr"/>
    </row>
    <row r="19631" ht="15" customHeight="1">
      <c r="A19631" t="inlineStr">
        <is>
          <t>A 16949-2025</t>
        </is>
      </c>
      <c r="B19631" s="1" t="n">
        <v>45755</v>
      </c>
      <c r="C19631" s="1" t="n">
        <v>45810</v>
      </c>
      <c r="D19631" t="inlineStr">
        <is>
          <t>VÄRMLANDS LÄN</t>
        </is>
      </c>
      <c r="E19631" t="inlineStr">
        <is>
          <t>TORSBY</t>
        </is>
      </c>
      <c r="F19631" t="inlineStr">
        <is>
          <t>Bergvik skog väst AB</t>
        </is>
      </c>
      <c r="G19631" t="n">
        <v>3.7</v>
      </c>
      <c r="H19631" t="n">
        <v>0</v>
      </c>
      <c r="I19631" t="n">
        <v>0</v>
      </c>
      <c r="J19631" t="n">
        <v>0</v>
      </c>
      <c r="K19631" t="n">
        <v>0</v>
      </c>
      <c r="L19631" t="n">
        <v>0</v>
      </c>
      <c r="M19631" t="n">
        <v>0</v>
      </c>
      <c r="N19631" t="n">
        <v>0</v>
      </c>
      <c r="O19631" t="n">
        <v>0</v>
      </c>
      <c r="P19631" t="n">
        <v>0</v>
      </c>
      <c r="Q19631" t="n">
        <v>0</v>
      </c>
      <c r="R19631" s="2" t="inlineStr"/>
    </row>
    <row r="19632" ht="15" customHeight="1">
      <c r="A19632" t="inlineStr">
        <is>
          <t>A 17018-2025</t>
        </is>
      </c>
      <c r="B19632" s="1" t="n">
        <v>45755</v>
      </c>
      <c r="C19632" s="1" t="n">
        <v>45810</v>
      </c>
      <c r="D19632" t="inlineStr">
        <is>
          <t>VÄRMLANDS LÄN</t>
        </is>
      </c>
      <c r="E19632" t="inlineStr">
        <is>
          <t>TORSBY</t>
        </is>
      </c>
      <c r="G19632" t="n">
        <v>2.8</v>
      </c>
      <c r="H19632" t="n">
        <v>0</v>
      </c>
      <c r="I19632" t="n">
        <v>0</v>
      </c>
      <c r="J19632" t="n">
        <v>0</v>
      </c>
      <c r="K19632" t="n">
        <v>0</v>
      </c>
      <c r="L19632" t="n">
        <v>0</v>
      </c>
      <c r="M19632" t="n">
        <v>0</v>
      </c>
      <c r="N19632" t="n">
        <v>0</v>
      </c>
      <c r="O19632" t="n">
        <v>0</v>
      </c>
      <c r="P19632" t="n">
        <v>0</v>
      </c>
      <c r="Q19632" t="n">
        <v>0</v>
      </c>
      <c r="R19632" s="2" t="inlineStr"/>
    </row>
    <row r="19633" ht="15" customHeight="1">
      <c r="A19633" t="inlineStr">
        <is>
          <t>A 17142-2025</t>
        </is>
      </c>
      <c r="B19633" s="1" t="n">
        <v>45755</v>
      </c>
      <c r="C19633" s="1" t="n">
        <v>45810</v>
      </c>
      <c r="D19633" t="inlineStr">
        <is>
          <t>VÄRMLANDS LÄN</t>
        </is>
      </c>
      <c r="E19633" t="inlineStr">
        <is>
          <t>ARVIKA</t>
        </is>
      </c>
      <c r="G19633" t="n">
        <v>1.5</v>
      </c>
      <c r="H19633" t="n">
        <v>0</v>
      </c>
      <c r="I19633" t="n">
        <v>0</v>
      </c>
      <c r="J19633" t="n">
        <v>0</v>
      </c>
      <c r="K19633" t="n">
        <v>0</v>
      </c>
      <c r="L19633" t="n">
        <v>0</v>
      </c>
      <c r="M19633" t="n">
        <v>0</v>
      </c>
      <c r="N19633" t="n">
        <v>0</v>
      </c>
      <c r="O19633" t="n">
        <v>0</v>
      </c>
      <c r="P19633" t="n">
        <v>0</v>
      </c>
      <c r="Q19633" t="n">
        <v>0</v>
      </c>
      <c r="R19633" s="2" t="inlineStr"/>
    </row>
    <row r="19634" ht="15" customHeight="1">
      <c r="A19634" t="inlineStr">
        <is>
          <t>A 17123-2025</t>
        </is>
      </c>
      <c r="B19634" s="1" t="n">
        <v>45755</v>
      </c>
      <c r="C19634" s="1" t="n">
        <v>45810</v>
      </c>
      <c r="D19634" t="inlineStr">
        <is>
          <t>VÄRMLANDS LÄN</t>
        </is>
      </c>
      <c r="E19634" t="inlineStr">
        <is>
          <t>ARVIKA</t>
        </is>
      </c>
      <c r="G19634" t="n">
        <v>1.1</v>
      </c>
      <c r="H19634" t="n">
        <v>0</v>
      </c>
      <c r="I19634" t="n">
        <v>0</v>
      </c>
      <c r="J19634" t="n">
        <v>0</v>
      </c>
      <c r="K19634" t="n">
        <v>0</v>
      </c>
      <c r="L19634" t="n">
        <v>0</v>
      </c>
      <c r="M19634" t="n">
        <v>0</v>
      </c>
      <c r="N19634" t="n">
        <v>0</v>
      </c>
      <c r="O19634" t="n">
        <v>0</v>
      </c>
      <c r="P19634" t="n">
        <v>0</v>
      </c>
      <c r="Q19634" t="n">
        <v>0</v>
      </c>
      <c r="R19634" s="2" t="inlineStr"/>
    </row>
    <row r="19635" ht="15" customHeight="1">
      <c r="A19635" t="inlineStr">
        <is>
          <t>A 16977-2025</t>
        </is>
      </c>
      <c r="B19635" s="1" t="n">
        <v>45755</v>
      </c>
      <c r="C19635" s="1" t="n">
        <v>45810</v>
      </c>
      <c r="D19635" t="inlineStr">
        <is>
          <t>VÄRMLANDS LÄN</t>
        </is>
      </c>
      <c r="E19635" t="inlineStr">
        <is>
          <t>ÅRJÄNG</t>
        </is>
      </c>
      <c r="G19635" t="n">
        <v>1.7</v>
      </c>
      <c r="H19635" t="n">
        <v>0</v>
      </c>
      <c r="I19635" t="n">
        <v>0</v>
      </c>
      <c r="J19635" t="n">
        <v>0</v>
      </c>
      <c r="K19635" t="n">
        <v>0</v>
      </c>
      <c r="L19635" t="n">
        <v>0</v>
      </c>
      <c r="M19635" t="n">
        <v>0</v>
      </c>
      <c r="N19635" t="n">
        <v>0</v>
      </c>
      <c r="O19635" t="n">
        <v>0</v>
      </c>
      <c r="P19635" t="n">
        <v>0</v>
      </c>
      <c r="Q19635" t="n">
        <v>0</v>
      </c>
      <c r="R19635" s="2" t="inlineStr"/>
    </row>
    <row r="19636" ht="15" customHeight="1">
      <c r="A19636" t="inlineStr">
        <is>
          <t>A 17094-2025</t>
        </is>
      </c>
      <c r="B19636" s="1" t="n">
        <v>45755</v>
      </c>
      <c r="C19636" s="1" t="n">
        <v>45810</v>
      </c>
      <c r="D19636" t="inlineStr">
        <is>
          <t>VÄRMLANDS LÄN</t>
        </is>
      </c>
      <c r="E19636" t="inlineStr">
        <is>
          <t>SUNNE</t>
        </is>
      </c>
      <c r="G19636" t="n">
        <v>1</v>
      </c>
      <c r="H19636" t="n">
        <v>0</v>
      </c>
      <c r="I19636" t="n">
        <v>0</v>
      </c>
      <c r="J19636" t="n">
        <v>0</v>
      </c>
      <c r="K19636" t="n">
        <v>0</v>
      </c>
      <c r="L19636" t="n">
        <v>0</v>
      </c>
      <c r="M19636" t="n">
        <v>0</v>
      </c>
      <c r="N19636" t="n">
        <v>0</v>
      </c>
      <c r="O19636" t="n">
        <v>0</v>
      </c>
      <c r="P19636" t="n">
        <v>0</v>
      </c>
      <c r="Q19636" t="n">
        <v>0</v>
      </c>
      <c r="R19636" s="2" t="inlineStr"/>
    </row>
    <row r="19637" ht="15" customHeight="1">
      <c r="A19637" t="inlineStr">
        <is>
          <t>A 16966-2025</t>
        </is>
      </c>
      <c r="B19637" s="1" t="n">
        <v>45755</v>
      </c>
      <c r="C19637" s="1" t="n">
        <v>45810</v>
      </c>
      <c r="D19637" t="inlineStr">
        <is>
          <t>VÄRMLANDS LÄN</t>
        </is>
      </c>
      <c r="E19637" t="inlineStr">
        <is>
          <t>FILIPSTAD</t>
        </is>
      </c>
      <c r="F19637" t="inlineStr">
        <is>
          <t>Bergvik skog väst AB</t>
        </is>
      </c>
      <c r="G19637" t="n">
        <v>8.5</v>
      </c>
      <c r="H19637" t="n">
        <v>0</v>
      </c>
      <c r="I19637" t="n">
        <v>0</v>
      </c>
      <c r="J19637" t="n">
        <v>0</v>
      </c>
      <c r="K19637" t="n">
        <v>0</v>
      </c>
      <c r="L19637" t="n">
        <v>0</v>
      </c>
      <c r="M19637" t="n">
        <v>0</v>
      </c>
      <c r="N19637" t="n">
        <v>0</v>
      </c>
      <c r="O19637" t="n">
        <v>0</v>
      </c>
      <c r="P19637" t="n">
        <v>0</v>
      </c>
      <c r="Q19637" t="n">
        <v>0</v>
      </c>
      <c r="R19637" s="2" t="inlineStr"/>
    </row>
    <row r="19638" ht="15" customHeight="1">
      <c r="A19638" t="inlineStr">
        <is>
          <t>A 17300-2025</t>
        </is>
      </c>
      <c r="B19638" s="1" t="n">
        <v>45756</v>
      </c>
      <c r="C19638" s="1" t="n">
        <v>45810</v>
      </c>
      <c r="D19638" t="inlineStr">
        <is>
          <t>VÄRMLANDS LÄN</t>
        </is>
      </c>
      <c r="E19638" t="inlineStr">
        <is>
          <t>KRISTINEHAMN</t>
        </is>
      </c>
      <c r="F19638" t="inlineStr">
        <is>
          <t>Sveaskog</t>
        </is>
      </c>
      <c r="G19638" t="n">
        <v>2</v>
      </c>
      <c r="H19638" t="n">
        <v>0</v>
      </c>
      <c r="I19638" t="n">
        <v>0</v>
      </c>
      <c r="J19638" t="n">
        <v>0</v>
      </c>
      <c r="K19638" t="n">
        <v>0</v>
      </c>
      <c r="L19638" t="n">
        <v>0</v>
      </c>
      <c r="M19638" t="n">
        <v>0</v>
      </c>
      <c r="N19638" t="n">
        <v>0</v>
      </c>
      <c r="O19638" t="n">
        <v>0</v>
      </c>
      <c r="P19638" t="n">
        <v>0</v>
      </c>
      <c r="Q19638" t="n">
        <v>0</v>
      </c>
      <c r="R19638" s="2" t="inlineStr"/>
    </row>
    <row r="19639" ht="15" customHeight="1">
      <c r="A19639" t="inlineStr">
        <is>
          <t>A 17232-2025</t>
        </is>
      </c>
      <c r="B19639" s="1" t="n">
        <v>45756</v>
      </c>
      <c r="C19639" s="1" t="n">
        <v>45810</v>
      </c>
      <c r="D19639" t="inlineStr">
        <is>
          <t>VÄRMLANDS LÄN</t>
        </is>
      </c>
      <c r="E19639" t="inlineStr">
        <is>
          <t>KRISTINEHAMN</t>
        </is>
      </c>
      <c r="F19639" t="inlineStr">
        <is>
          <t>Sveaskog</t>
        </is>
      </c>
      <c r="G19639" t="n">
        <v>5.3</v>
      </c>
      <c r="H19639" t="n">
        <v>0</v>
      </c>
      <c r="I19639" t="n">
        <v>0</v>
      </c>
      <c r="J19639" t="n">
        <v>0</v>
      </c>
      <c r="K19639" t="n">
        <v>0</v>
      </c>
      <c r="L19639" t="n">
        <v>0</v>
      </c>
      <c r="M19639" t="n">
        <v>0</v>
      </c>
      <c r="N19639" t="n">
        <v>0</v>
      </c>
      <c r="O19639" t="n">
        <v>0</v>
      </c>
      <c r="P19639" t="n">
        <v>0</v>
      </c>
      <c r="Q19639" t="n">
        <v>0</v>
      </c>
      <c r="R19639" s="2" t="inlineStr"/>
    </row>
    <row r="19640" ht="15" customHeight="1">
      <c r="A19640" t="inlineStr">
        <is>
          <t>A 17245-2025</t>
        </is>
      </c>
      <c r="B19640" s="1" t="n">
        <v>45756</v>
      </c>
      <c r="C19640" s="1" t="n">
        <v>45810</v>
      </c>
      <c r="D19640" t="inlineStr">
        <is>
          <t>VÄRMLANDS LÄN</t>
        </is>
      </c>
      <c r="E19640" t="inlineStr">
        <is>
          <t>KRISTINEHAMN</t>
        </is>
      </c>
      <c r="F19640" t="inlineStr">
        <is>
          <t>Sveaskog</t>
        </is>
      </c>
      <c r="G19640" t="n">
        <v>2.2</v>
      </c>
      <c r="H19640" t="n">
        <v>0</v>
      </c>
      <c r="I19640" t="n">
        <v>0</v>
      </c>
      <c r="J19640" t="n">
        <v>0</v>
      </c>
      <c r="K19640" t="n">
        <v>0</v>
      </c>
      <c r="L19640" t="n">
        <v>0</v>
      </c>
      <c r="M19640" t="n">
        <v>0</v>
      </c>
      <c r="N19640" t="n">
        <v>0</v>
      </c>
      <c r="O19640" t="n">
        <v>0</v>
      </c>
      <c r="P19640" t="n">
        <v>0</v>
      </c>
      <c r="Q19640" t="n">
        <v>0</v>
      </c>
      <c r="R19640" s="2" t="inlineStr"/>
    </row>
    <row r="19641" ht="15" customHeight="1">
      <c r="A19641" t="inlineStr">
        <is>
          <t>A 17374-2025</t>
        </is>
      </c>
      <c r="B19641" s="1" t="n">
        <v>45756</v>
      </c>
      <c r="C19641" s="1" t="n">
        <v>45810</v>
      </c>
      <c r="D19641" t="inlineStr">
        <is>
          <t>VÄRMLANDS LÄN</t>
        </is>
      </c>
      <c r="E19641" t="inlineStr">
        <is>
          <t>SUNNE</t>
        </is>
      </c>
      <c r="G19641" t="n">
        <v>2</v>
      </c>
      <c r="H19641" t="n">
        <v>0</v>
      </c>
      <c r="I19641" t="n">
        <v>0</v>
      </c>
      <c r="J19641" t="n">
        <v>0</v>
      </c>
      <c r="K19641" t="n">
        <v>0</v>
      </c>
      <c r="L19641" t="n">
        <v>0</v>
      </c>
      <c r="M19641" t="n">
        <v>0</v>
      </c>
      <c r="N19641" t="n">
        <v>0</v>
      </c>
      <c r="O19641" t="n">
        <v>0</v>
      </c>
      <c r="P19641" t="n">
        <v>0</v>
      </c>
      <c r="Q19641" t="n">
        <v>0</v>
      </c>
      <c r="R19641" s="2" t="inlineStr"/>
    </row>
    <row r="19642" ht="15" customHeight="1">
      <c r="A19642" t="inlineStr">
        <is>
          <t>A 17230-2025</t>
        </is>
      </c>
      <c r="B19642" s="1" t="n">
        <v>45756</v>
      </c>
      <c r="C19642" s="1" t="n">
        <v>45810</v>
      </c>
      <c r="D19642" t="inlineStr">
        <is>
          <t>VÄRMLANDS LÄN</t>
        </is>
      </c>
      <c r="E19642" t="inlineStr">
        <is>
          <t>SÄFFLE</t>
        </is>
      </c>
      <c r="G19642" t="n">
        <v>2.3</v>
      </c>
      <c r="H19642" t="n">
        <v>0</v>
      </c>
      <c r="I19642" t="n">
        <v>0</v>
      </c>
      <c r="J19642" t="n">
        <v>0</v>
      </c>
      <c r="K19642" t="n">
        <v>0</v>
      </c>
      <c r="L19642" t="n">
        <v>0</v>
      </c>
      <c r="M19642" t="n">
        <v>0</v>
      </c>
      <c r="N19642" t="n">
        <v>0</v>
      </c>
      <c r="O19642" t="n">
        <v>0</v>
      </c>
      <c r="P19642" t="n">
        <v>0</v>
      </c>
      <c r="Q19642" t="n">
        <v>0</v>
      </c>
      <c r="R19642" s="2" t="inlineStr"/>
    </row>
    <row r="19643" ht="15" customHeight="1">
      <c r="A19643" t="inlineStr">
        <is>
          <t>A 17262-2025</t>
        </is>
      </c>
      <c r="B19643" s="1" t="n">
        <v>45756</v>
      </c>
      <c r="C19643" s="1" t="n">
        <v>45810</v>
      </c>
      <c r="D19643" t="inlineStr">
        <is>
          <t>VÄRMLANDS LÄN</t>
        </is>
      </c>
      <c r="E19643" t="inlineStr">
        <is>
          <t>EDA</t>
        </is>
      </c>
      <c r="G19643" t="n">
        <v>1.9</v>
      </c>
      <c r="H19643" t="n">
        <v>0</v>
      </c>
      <c r="I19643" t="n">
        <v>0</v>
      </c>
      <c r="J19643" t="n">
        <v>0</v>
      </c>
      <c r="K19643" t="n">
        <v>0</v>
      </c>
      <c r="L19643" t="n">
        <v>0</v>
      </c>
      <c r="M19643" t="n">
        <v>0</v>
      </c>
      <c r="N19643" t="n">
        <v>0</v>
      </c>
      <c r="O19643" t="n">
        <v>0</v>
      </c>
      <c r="P19643" t="n">
        <v>0</v>
      </c>
      <c r="Q19643" t="n">
        <v>0</v>
      </c>
      <c r="R19643" s="2" t="inlineStr"/>
    </row>
    <row r="19644" ht="15" customHeight="1">
      <c r="A19644" t="inlineStr">
        <is>
          <t>A 17364-2025</t>
        </is>
      </c>
      <c r="B19644" s="1" t="n">
        <v>45756</v>
      </c>
      <c r="C19644" s="1" t="n">
        <v>45810</v>
      </c>
      <c r="D19644" t="inlineStr">
        <is>
          <t>VÄRMLANDS LÄN</t>
        </is>
      </c>
      <c r="E19644" t="inlineStr">
        <is>
          <t>EDA</t>
        </is>
      </c>
      <c r="G19644" t="n">
        <v>5</v>
      </c>
      <c r="H19644" t="n">
        <v>0</v>
      </c>
      <c r="I19644" t="n">
        <v>0</v>
      </c>
      <c r="J19644" t="n">
        <v>0</v>
      </c>
      <c r="K19644" t="n">
        <v>0</v>
      </c>
      <c r="L19644" t="n">
        <v>0</v>
      </c>
      <c r="M19644" t="n">
        <v>0</v>
      </c>
      <c r="N19644" t="n">
        <v>0</v>
      </c>
      <c r="O19644" t="n">
        <v>0</v>
      </c>
      <c r="P19644" t="n">
        <v>0</v>
      </c>
      <c r="Q19644" t="n">
        <v>0</v>
      </c>
      <c r="R19644" s="2" t="inlineStr"/>
    </row>
    <row r="19645" ht="15" customHeight="1">
      <c r="A19645" t="inlineStr">
        <is>
          <t>A 17231-2025</t>
        </is>
      </c>
      <c r="B19645" s="1" t="n">
        <v>45756</v>
      </c>
      <c r="C19645" s="1" t="n">
        <v>45810</v>
      </c>
      <c r="D19645" t="inlineStr">
        <is>
          <t>VÄRMLANDS LÄN</t>
        </is>
      </c>
      <c r="E19645" t="inlineStr">
        <is>
          <t>SÄFFLE</t>
        </is>
      </c>
      <c r="G19645" t="n">
        <v>7.1</v>
      </c>
      <c r="H19645" t="n">
        <v>0</v>
      </c>
      <c r="I19645" t="n">
        <v>0</v>
      </c>
      <c r="J19645" t="n">
        <v>0</v>
      </c>
      <c r="K19645" t="n">
        <v>0</v>
      </c>
      <c r="L19645" t="n">
        <v>0</v>
      </c>
      <c r="M19645" t="n">
        <v>0</v>
      </c>
      <c r="N19645" t="n">
        <v>0</v>
      </c>
      <c r="O19645" t="n">
        <v>0</v>
      </c>
      <c r="P19645" t="n">
        <v>0</v>
      </c>
      <c r="Q19645" t="n">
        <v>0</v>
      </c>
      <c r="R19645" s="2" t="inlineStr"/>
    </row>
    <row r="19646" ht="15" customHeight="1">
      <c r="A19646" t="inlineStr">
        <is>
          <t>A 17317-2025</t>
        </is>
      </c>
      <c r="B19646" s="1" t="n">
        <v>45756</v>
      </c>
      <c r="C19646" s="1" t="n">
        <v>45810</v>
      </c>
      <c r="D19646" t="inlineStr">
        <is>
          <t>VÄRMLANDS LÄN</t>
        </is>
      </c>
      <c r="E19646" t="inlineStr">
        <is>
          <t>STORFORS</t>
        </is>
      </c>
      <c r="G19646" t="n">
        <v>2.5</v>
      </c>
      <c r="H19646" t="n">
        <v>0</v>
      </c>
      <c r="I19646" t="n">
        <v>0</v>
      </c>
      <c r="J19646" t="n">
        <v>0</v>
      </c>
      <c r="K19646" t="n">
        <v>0</v>
      </c>
      <c r="L19646" t="n">
        <v>0</v>
      </c>
      <c r="M19646" t="n">
        <v>0</v>
      </c>
      <c r="N19646" t="n">
        <v>0</v>
      </c>
      <c r="O19646" t="n">
        <v>0</v>
      </c>
      <c r="P19646" t="n">
        <v>0</v>
      </c>
      <c r="Q19646" t="n">
        <v>0</v>
      </c>
      <c r="R19646" s="2" t="inlineStr"/>
    </row>
    <row r="19647" ht="15" customHeight="1">
      <c r="A19647" t="inlineStr">
        <is>
          <t>A 17240-2025</t>
        </is>
      </c>
      <c r="B19647" s="1" t="n">
        <v>45756</v>
      </c>
      <c r="C19647" s="1" t="n">
        <v>45810</v>
      </c>
      <c r="D19647" t="inlineStr">
        <is>
          <t>VÄRMLANDS LÄN</t>
        </is>
      </c>
      <c r="E19647" t="inlineStr">
        <is>
          <t>KIL</t>
        </is>
      </c>
      <c r="G19647" t="n">
        <v>2.3</v>
      </c>
      <c r="H19647" t="n">
        <v>0</v>
      </c>
      <c r="I19647" t="n">
        <v>0</v>
      </c>
      <c r="J19647" t="n">
        <v>0</v>
      </c>
      <c r="K19647" t="n">
        <v>0</v>
      </c>
      <c r="L19647" t="n">
        <v>0</v>
      </c>
      <c r="M19647" t="n">
        <v>0</v>
      </c>
      <c r="N19647" t="n">
        <v>0</v>
      </c>
      <c r="O19647" t="n">
        <v>0</v>
      </c>
      <c r="P19647" t="n">
        <v>0</v>
      </c>
      <c r="Q19647" t="n">
        <v>0</v>
      </c>
      <c r="R19647" s="2" t="inlineStr"/>
    </row>
    <row r="19648" ht="15" customHeight="1">
      <c r="A19648" t="inlineStr">
        <is>
          <t>A 17246-2025</t>
        </is>
      </c>
      <c r="B19648" s="1" t="n">
        <v>45756</v>
      </c>
      <c r="C19648" s="1" t="n">
        <v>45810</v>
      </c>
      <c r="D19648" t="inlineStr">
        <is>
          <t>VÄRMLANDS LÄN</t>
        </is>
      </c>
      <c r="E19648" t="inlineStr">
        <is>
          <t>EDA</t>
        </is>
      </c>
      <c r="G19648" t="n">
        <v>0.7</v>
      </c>
      <c r="H19648" t="n">
        <v>0</v>
      </c>
      <c r="I19648" t="n">
        <v>0</v>
      </c>
      <c r="J19648" t="n">
        <v>0</v>
      </c>
      <c r="K19648" t="n">
        <v>0</v>
      </c>
      <c r="L19648" t="n">
        <v>0</v>
      </c>
      <c r="M19648" t="n">
        <v>0</v>
      </c>
      <c r="N19648" t="n">
        <v>0</v>
      </c>
      <c r="O19648" t="n">
        <v>0</v>
      </c>
      <c r="P19648" t="n">
        <v>0</v>
      </c>
      <c r="Q19648" t="n">
        <v>0</v>
      </c>
      <c r="R19648" s="2" t="inlineStr"/>
    </row>
    <row r="19649" ht="15" customHeight="1">
      <c r="A19649" t="inlineStr">
        <is>
          <t>A 17198-2025</t>
        </is>
      </c>
      <c r="B19649" s="1" t="n">
        <v>45756</v>
      </c>
      <c r="C19649" s="1" t="n">
        <v>45810</v>
      </c>
      <c r="D19649" t="inlineStr">
        <is>
          <t>VÄRMLANDS LÄN</t>
        </is>
      </c>
      <c r="E19649" t="inlineStr">
        <is>
          <t>SÄFFLE</t>
        </is>
      </c>
      <c r="G19649" t="n">
        <v>1.5</v>
      </c>
      <c r="H19649" t="n">
        <v>0</v>
      </c>
      <c r="I19649" t="n">
        <v>0</v>
      </c>
      <c r="J19649" t="n">
        <v>0</v>
      </c>
      <c r="K19649" t="n">
        <v>0</v>
      </c>
      <c r="L19649" t="n">
        <v>0</v>
      </c>
      <c r="M19649" t="n">
        <v>0</v>
      </c>
      <c r="N19649" t="n">
        <v>0</v>
      </c>
      <c r="O19649" t="n">
        <v>0</v>
      </c>
      <c r="P19649" t="n">
        <v>0</v>
      </c>
      <c r="Q19649" t="n">
        <v>0</v>
      </c>
      <c r="R19649" s="2" t="inlineStr"/>
    </row>
    <row r="19650" ht="15" customHeight="1">
      <c r="A19650" t="inlineStr">
        <is>
          <t>A 17200-2025</t>
        </is>
      </c>
      <c r="B19650" s="1" t="n">
        <v>45756</v>
      </c>
      <c r="C19650" s="1" t="n">
        <v>45810</v>
      </c>
      <c r="D19650" t="inlineStr">
        <is>
          <t>VÄRMLANDS LÄN</t>
        </is>
      </c>
      <c r="E19650" t="inlineStr">
        <is>
          <t>SÄFFLE</t>
        </is>
      </c>
      <c r="G19650" t="n">
        <v>1.3</v>
      </c>
      <c r="H19650" t="n">
        <v>0</v>
      </c>
      <c r="I19650" t="n">
        <v>0</v>
      </c>
      <c r="J19650" t="n">
        <v>0</v>
      </c>
      <c r="K19650" t="n">
        <v>0</v>
      </c>
      <c r="L19650" t="n">
        <v>0</v>
      </c>
      <c r="M19650" t="n">
        <v>0</v>
      </c>
      <c r="N19650" t="n">
        <v>0</v>
      </c>
      <c r="O19650" t="n">
        <v>0</v>
      </c>
      <c r="P19650" t="n">
        <v>0</v>
      </c>
      <c r="Q19650" t="n">
        <v>0</v>
      </c>
      <c r="R19650" s="2" t="inlineStr"/>
    </row>
    <row r="19651" ht="15" customHeight="1">
      <c r="A19651" t="inlineStr">
        <is>
          <t>A 17233-2025</t>
        </is>
      </c>
      <c r="B19651" s="1" t="n">
        <v>45756</v>
      </c>
      <c r="C19651" s="1" t="n">
        <v>45810</v>
      </c>
      <c r="D19651" t="inlineStr">
        <is>
          <t>VÄRMLANDS LÄN</t>
        </is>
      </c>
      <c r="E19651" t="inlineStr">
        <is>
          <t>SÄFFLE</t>
        </is>
      </c>
      <c r="G19651" t="n">
        <v>5.7</v>
      </c>
      <c r="H19651" t="n">
        <v>0</v>
      </c>
      <c r="I19651" t="n">
        <v>0</v>
      </c>
      <c r="J19651" t="n">
        <v>0</v>
      </c>
      <c r="K19651" t="n">
        <v>0</v>
      </c>
      <c r="L19651" t="n">
        <v>0</v>
      </c>
      <c r="M19651" t="n">
        <v>0</v>
      </c>
      <c r="N19651" t="n">
        <v>0</v>
      </c>
      <c r="O19651" t="n">
        <v>0</v>
      </c>
      <c r="P19651" t="n">
        <v>0</v>
      </c>
      <c r="Q19651" t="n">
        <v>0</v>
      </c>
      <c r="R19651" s="2" t="inlineStr"/>
    </row>
    <row r="19652" ht="15" customHeight="1">
      <c r="A19652" t="inlineStr">
        <is>
          <t>A 17238-2025</t>
        </is>
      </c>
      <c r="B19652" s="1" t="n">
        <v>45756</v>
      </c>
      <c r="C19652" s="1" t="n">
        <v>45810</v>
      </c>
      <c r="D19652" t="inlineStr">
        <is>
          <t>VÄRMLANDS LÄN</t>
        </is>
      </c>
      <c r="E19652" t="inlineStr">
        <is>
          <t>SÄFFLE</t>
        </is>
      </c>
      <c r="G19652" t="n">
        <v>2.8</v>
      </c>
      <c r="H19652" t="n">
        <v>0</v>
      </c>
      <c r="I19652" t="n">
        <v>0</v>
      </c>
      <c r="J19652" t="n">
        <v>0</v>
      </c>
      <c r="K19652" t="n">
        <v>0</v>
      </c>
      <c r="L19652" t="n">
        <v>0</v>
      </c>
      <c r="M19652" t="n">
        <v>0</v>
      </c>
      <c r="N19652" t="n">
        <v>0</v>
      </c>
      <c r="O19652" t="n">
        <v>0</v>
      </c>
      <c r="P19652" t="n">
        <v>0</v>
      </c>
      <c r="Q19652" t="n">
        <v>0</v>
      </c>
      <c r="R19652" s="2" t="inlineStr"/>
    </row>
    <row r="19653" ht="15" customHeight="1">
      <c r="A19653" t="inlineStr">
        <is>
          <t>A 17311-2025</t>
        </is>
      </c>
      <c r="B19653" s="1" t="n">
        <v>45756</v>
      </c>
      <c r="C19653" s="1" t="n">
        <v>45810</v>
      </c>
      <c r="D19653" t="inlineStr">
        <is>
          <t>VÄRMLANDS LÄN</t>
        </is>
      </c>
      <c r="E19653" t="inlineStr">
        <is>
          <t>STORFORS</t>
        </is>
      </c>
      <c r="G19653" t="n">
        <v>3.8</v>
      </c>
      <c r="H19653" t="n">
        <v>0</v>
      </c>
      <c r="I19653" t="n">
        <v>0</v>
      </c>
      <c r="J19653" t="n">
        <v>0</v>
      </c>
      <c r="K19653" t="n">
        <v>0</v>
      </c>
      <c r="L19653" t="n">
        <v>0</v>
      </c>
      <c r="M19653" t="n">
        <v>0</v>
      </c>
      <c r="N19653" t="n">
        <v>0</v>
      </c>
      <c r="O19653" t="n">
        <v>0</v>
      </c>
      <c r="P19653" t="n">
        <v>0</v>
      </c>
      <c r="Q19653" t="n">
        <v>0</v>
      </c>
      <c r="R19653" s="2" t="inlineStr"/>
    </row>
    <row r="19654" ht="15" customHeight="1">
      <c r="A19654" t="inlineStr">
        <is>
          <t>A 17318-2025</t>
        </is>
      </c>
      <c r="B19654" s="1" t="n">
        <v>45756</v>
      </c>
      <c r="C19654" s="1" t="n">
        <v>45810</v>
      </c>
      <c r="D19654" t="inlineStr">
        <is>
          <t>VÄRMLANDS LÄN</t>
        </is>
      </c>
      <c r="E19654" t="inlineStr">
        <is>
          <t>FILIPSTAD</t>
        </is>
      </c>
      <c r="F19654" t="inlineStr">
        <is>
          <t>Bergvik skog väst AB</t>
        </is>
      </c>
      <c r="G19654" t="n">
        <v>10</v>
      </c>
      <c r="H19654" t="n">
        <v>0</v>
      </c>
      <c r="I19654" t="n">
        <v>0</v>
      </c>
      <c r="J19654" t="n">
        <v>0</v>
      </c>
      <c r="K19654" t="n">
        <v>0</v>
      </c>
      <c r="L19654" t="n">
        <v>0</v>
      </c>
      <c r="M19654" t="n">
        <v>0</v>
      </c>
      <c r="N19654" t="n">
        <v>0</v>
      </c>
      <c r="O19654" t="n">
        <v>0</v>
      </c>
      <c r="P19654" t="n">
        <v>0</v>
      </c>
      <c r="Q19654" t="n">
        <v>0</v>
      </c>
      <c r="R19654" s="2" t="inlineStr"/>
    </row>
    <row r="19655" ht="15" customHeight="1">
      <c r="A19655" t="inlineStr">
        <is>
          <t>A 17190-2025</t>
        </is>
      </c>
      <c r="B19655" s="1" t="n">
        <v>45756</v>
      </c>
      <c r="C19655" s="1" t="n">
        <v>45810</v>
      </c>
      <c r="D19655" t="inlineStr">
        <is>
          <t>VÄRMLANDS LÄN</t>
        </is>
      </c>
      <c r="E19655" t="inlineStr">
        <is>
          <t>KARLSTAD</t>
        </is>
      </c>
      <c r="F19655" t="inlineStr">
        <is>
          <t>Bergvik skog väst AB</t>
        </is>
      </c>
      <c r="G19655" t="n">
        <v>1.6</v>
      </c>
      <c r="H19655" t="n">
        <v>0</v>
      </c>
      <c r="I19655" t="n">
        <v>0</v>
      </c>
      <c r="J19655" t="n">
        <v>0</v>
      </c>
      <c r="K19655" t="n">
        <v>0</v>
      </c>
      <c r="L19655" t="n">
        <v>0</v>
      </c>
      <c r="M19655" t="n">
        <v>0</v>
      </c>
      <c r="N19655" t="n">
        <v>0</v>
      </c>
      <c r="O19655" t="n">
        <v>0</v>
      </c>
      <c r="P19655" t="n">
        <v>0</v>
      </c>
      <c r="Q19655" t="n">
        <v>0</v>
      </c>
      <c r="R19655" s="2" t="inlineStr"/>
    </row>
    <row r="19656" ht="15" customHeight="1">
      <c r="A19656" t="inlineStr">
        <is>
          <t>A 17239-2025</t>
        </is>
      </c>
      <c r="B19656" s="1" t="n">
        <v>45756</v>
      </c>
      <c r="C19656" s="1" t="n">
        <v>45810</v>
      </c>
      <c r="D19656" t="inlineStr">
        <is>
          <t>VÄRMLANDS LÄN</t>
        </is>
      </c>
      <c r="E19656" t="inlineStr">
        <is>
          <t>GRUMS</t>
        </is>
      </c>
      <c r="G19656" t="n">
        <v>2.2</v>
      </c>
      <c r="H19656" t="n">
        <v>0</v>
      </c>
      <c r="I19656" t="n">
        <v>0</v>
      </c>
      <c r="J19656" t="n">
        <v>0</v>
      </c>
      <c r="K19656" t="n">
        <v>0</v>
      </c>
      <c r="L19656" t="n">
        <v>0</v>
      </c>
      <c r="M19656" t="n">
        <v>0</v>
      </c>
      <c r="N19656" t="n">
        <v>0</v>
      </c>
      <c r="O19656" t="n">
        <v>0</v>
      </c>
      <c r="P19656" t="n">
        <v>0</v>
      </c>
      <c r="Q19656" t="n">
        <v>0</v>
      </c>
      <c r="R19656" s="2" t="inlineStr"/>
    </row>
    <row r="19657" ht="15" customHeight="1">
      <c r="A19657" t="inlineStr">
        <is>
          <t>A 17259-2025</t>
        </is>
      </c>
      <c r="B19657" s="1" t="n">
        <v>45756</v>
      </c>
      <c r="C19657" s="1" t="n">
        <v>45810</v>
      </c>
      <c r="D19657" t="inlineStr">
        <is>
          <t>VÄRMLANDS LÄN</t>
        </is>
      </c>
      <c r="E19657" t="inlineStr">
        <is>
          <t>EDA</t>
        </is>
      </c>
      <c r="G19657" t="n">
        <v>2</v>
      </c>
      <c r="H19657" t="n">
        <v>0</v>
      </c>
      <c r="I19657" t="n">
        <v>0</v>
      </c>
      <c r="J19657" t="n">
        <v>0</v>
      </c>
      <c r="K19657" t="n">
        <v>0</v>
      </c>
      <c r="L19657" t="n">
        <v>0</v>
      </c>
      <c r="M19657" t="n">
        <v>0</v>
      </c>
      <c r="N19657" t="n">
        <v>0</v>
      </c>
      <c r="O19657" t="n">
        <v>0</v>
      </c>
      <c r="P19657" t="n">
        <v>0</v>
      </c>
      <c r="Q19657" t="n">
        <v>0</v>
      </c>
      <c r="R19657" s="2" t="inlineStr"/>
    </row>
    <row r="19658" ht="15" customHeight="1">
      <c r="A19658" t="inlineStr">
        <is>
          <t>A 17299-2025</t>
        </is>
      </c>
      <c r="B19658" s="1" t="n">
        <v>45756</v>
      </c>
      <c r="C19658" s="1" t="n">
        <v>45810</v>
      </c>
      <c r="D19658" t="inlineStr">
        <is>
          <t>VÄRMLANDS LÄN</t>
        </is>
      </c>
      <c r="E19658" t="inlineStr">
        <is>
          <t>KRISTINEHAMN</t>
        </is>
      </c>
      <c r="F19658" t="inlineStr">
        <is>
          <t>Sveaskog</t>
        </is>
      </c>
      <c r="G19658" t="n">
        <v>2.2</v>
      </c>
      <c r="H19658" t="n">
        <v>0</v>
      </c>
      <c r="I19658" t="n">
        <v>0</v>
      </c>
      <c r="J19658" t="n">
        <v>0</v>
      </c>
      <c r="K19658" t="n">
        <v>0</v>
      </c>
      <c r="L19658" t="n">
        <v>0</v>
      </c>
      <c r="M19658" t="n">
        <v>0</v>
      </c>
      <c r="N19658" t="n">
        <v>0</v>
      </c>
      <c r="O19658" t="n">
        <v>0</v>
      </c>
      <c r="P19658" t="n">
        <v>0</v>
      </c>
      <c r="Q19658" t="n">
        <v>0</v>
      </c>
      <c r="R19658" s="2" t="inlineStr"/>
    </row>
    <row r="19659" ht="15" customHeight="1">
      <c r="A19659" t="inlineStr">
        <is>
          <t>A 17175-2025</t>
        </is>
      </c>
      <c r="B19659" s="1" t="n">
        <v>45756</v>
      </c>
      <c r="C19659" s="1" t="n">
        <v>45810</v>
      </c>
      <c r="D19659" t="inlineStr">
        <is>
          <t>VÄRMLANDS LÄN</t>
        </is>
      </c>
      <c r="E19659" t="inlineStr">
        <is>
          <t>TORSBY</t>
        </is>
      </c>
      <c r="G19659" t="n">
        <v>0.9</v>
      </c>
      <c r="H19659" t="n">
        <v>0</v>
      </c>
      <c r="I19659" t="n">
        <v>0</v>
      </c>
      <c r="J19659" t="n">
        <v>0</v>
      </c>
      <c r="K19659" t="n">
        <v>0</v>
      </c>
      <c r="L19659" t="n">
        <v>0</v>
      </c>
      <c r="M19659" t="n">
        <v>0</v>
      </c>
      <c r="N19659" t="n">
        <v>0</v>
      </c>
      <c r="O19659" t="n">
        <v>0</v>
      </c>
      <c r="P19659" t="n">
        <v>0</v>
      </c>
      <c r="Q19659" t="n">
        <v>0</v>
      </c>
      <c r="R19659" s="2" t="inlineStr"/>
    </row>
    <row r="19660" ht="15" customHeight="1">
      <c r="A19660" t="inlineStr">
        <is>
          <t>A 17153-2025</t>
        </is>
      </c>
      <c r="B19660" s="1" t="n">
        <v>45756</v>
      </c>
      <c r="C19660" s="1" t="n">
        <v>45810</v>
      </c>
      <c r="D19660" t="inlineStr">
        <is>
          <t>VÄRMLANDS LÄN</t>
        </is>
      </c>
      <c r="E19660" t="inlineStr">
        <is>
          <t>TORSBY</t>
        </is>
      </c>
      <c r="F19660" t="inlineStr">
        <is>
          <t>Bergvik skog väst AB</t>
        </is>
      </c>
      <c r="G19660" t="n">
        <v>3.7</v>
      </c>
      <c r="H19660" t="n">
        <v>0</v>
      </c>
      <c r="I19660" t="n">
        <v>0</v>
      </c>
      <c r="J19660" t="n">
        <v>0</v>
      </c>
      <c r="K19660" t="n">
        <v>0</v>
      </c>
      <c r="L19660" t="n">
        <v>0</v>
      </c>
      <c r="M19660" t="n">
        <v>0</v>
      </c>
      <c r="N19660" t="n">
        <v>0</v>
      </c>
      <c r="O19660" t="n">
        <v>0</v>
      </c>
      <c r="P19660" t="n">
        <v>0</v>
      </c>
      <c r="Q19660" t="n">
        <v>0</v>
      </c>
      <c r="R19660" s="2" t="inlineStr"/>
    </row>
    <row r="19661" ht="15" customHeight="1">
      <c r="A19661" t="inlineStr">
        <is>
          <t>A 17296-2025</t>
        </is>
      </c>
      <c r="B19661" s="1" t="n">
        <v>45756</v>
      </c>
      <c r="C19661" s="1" t="n">
        <v>45810</v>
      </c>
      <c r="D19661" t="inlineStr">
        <is>
          <t>VÄRMLANDS LÄN</t>
        </is>
      </c>
      <c r="E19661" t="inlineStr">
        <is>
          <t>KRISTINEHAMN</t>
        </is>
      </c>
      <c r="F19661" t="inlineStr">
        <is>
          <t>Sveaskog</t>
        </is>
      </c>
      <c r="G19661" t="n">
        <v>9.9</v>
      </c>
      <c r="H19661" t="n">
        <v>0</v>
      </c>
      <c r="I19661" t="n">
        <v>0</v>
      </c>
      <c r="J19661" t="n">
        <v>0</v>
      </c>
      <c r="K19661" t="n">
        <v>0</v>
      </c>
      <c r="L19661" t="n">
        <v>0</v>
      </c>
      <c r="M19661" t="n">
        <v>0</v>
      </c>
      <c r="N19661" t="n">
        <v>0</v>
      </c>
      <c r="O19661" t="n">
        <v>0</v>
      </c>
      <c r="P19661" t="n">
        <v>0</v>
      </c>
      <c r="Q19661" t="n">
        <v>0</v>
      </c>
      <c r="R19661" s="2" t="inlineStr"/>
    </row>
    <row r="19662" ht="15" customHeight="1">
      <c r="A19662" t="inlineStr">
        <is>
          <t>A 17329-2025</t>
        </is>
      </c>
      <c r="B19662" s="1" t="n">
        <v>45756</v>
      </c>
      <c r="C19662" s="1" t="n">
        <v>45810</v>
      </c>
      <c r="D19662" t="inlineStr">
        <is>
          <t>VÄRMLANDS LÄN</t>
        </is>
      </c>
      <c r="E19662" t="inlineStr">
        <is>
          <t>KIL</t>
        </is>
      </c>
      <c r="G19662" t="n">
        <v>3.9</v>
      </c>
      <c r="H19662" t="n">
        <v>0</v>
      </c>
      <c r="I19662" t="n">
        <v>0</v>
      </c>
      <c r="J19662" t="n">
        <v>0</v>
      </c>
      <c r="K19662" t="n">
        <v>0</v>
      </c>
      <c r="L19662" t="n">
        <v>0</v>
      </c>
      <c r="M19662" t="n">
        <v>0</v>
      </c>
      <c r="N19662" t="n">
        <v>0</v>
      </c>
      <c r="O19662" t="n">
        <v>0</v>
      </c>
      <c r="P19662" t="n">
        <v>0</v>
      </c>
      <c r="Q19662" t="n">
        <v>0</v>
      </c>
      <c r="R19662" s="2" t="inlineStr"/>
    </row>
    <row r="19663" ht="15" customHeight="1">
      <c r="A19663" t="inlineStr">
        <is>
          <t>A 17437-2025</t>
        </is>
      </c>
      <c r="B19663" s="1" t="n">
        <v>45757</v>
      </c>
      <c r="C19663" s="1" t="n">
        <v>45810</v>
      </c>
      <c r="D19663" t="inlineStr">
        <is>
          <t>VÄRMLANDS LÄN</t>
        </is>
      </c>
      <c r="E19663" t="inlineStr">
        <is>
          <t>GRUMS</t>
        </is>
      </c>
      <c r="G19663" t="n">
        <v>1.3</v>
      </c>
      <c r="H19663" t="n">
        <v>0</v>
      </c>
      <c r="I19663" t="n">
        <v>0</v>
      </c>
      <c r="J19663" t="n">
        <v>0</v>
      </c>
      <c r="K19663" t="n">
        <v>0</v>
      </c>
      <c r="L19663" t="n">
        <v>0</v>
      </c>
      <c r="M19663" t="n">
        <v>0</v>
      </c>
      <c r="N19663" t="n">
        <v>0</v>
      </c>
      <c r="O19663" t="n">
        <v>0</v>
      </c>
      <c r="P19663" t="n">
        <v>0</v>
      </c>
      <c r="Q19663" t="n">
        <v>0</v>
      </c>
      <c r="R19663" s="2" t="inlineStr"/>
    </row>
    <row r="19664" ht="15" customHeight="1">
      <c r="A19664" t="inlineStr">
        <is>
          <t>A 17443-2025</t>
        </is>
      </c>
      <c r="B19664" s="1" t="n">
        <v>45757</v>
      </c>
      <c r="C19664" s="1" t="n">
        <v>45810</v>
      </c>
      <c r="D19664" t="inlineStr">
        <is>
          <t>VÄRMLANDS LÄN</t>
        </is>
      </c>
      <c r="E19664" t="inlineStr">
        <is>
          <t>GRUMS</t>
        </is>
      </c>
      <c r="G19664" t="n">
        <v>1</v>
      </c>
      <c r="H19664" t="n">
        <v>0</v>
      </c>
      <c r="I19664" t="n">
        <v>0</v>
      </c>
      <c r="J19664" t="n">
        <v>0</v>
      </c>
      <c r="K19664" t="n">
        <v>0</v>
      </c>
      <c r="L19664" t="n">
        <v>0</v>
      </c>
      <c r="M19664" t="n">
        <v>0</v>
      </c>
      <c r="N19664" t="n">
        <v>0</v>
      </c>
      <c r="O19664" t="n">
        <v>0</v>
      </c>
      <c r="P19664" t="n">
        <v>0</v>
      </c>
      <c r="Q19664" t="n">
        <v>0</v>
      </c>
      <c r="R19664" s="2" t="inlineStr"/>
    </row>
    <row r="19665" ht="15" customHeight="1">
      <c r="A19665" t="inlineStr">
        <is>
          <t>A 17473-2025</t>
        </is>
      </c>
      <c r="B19665" s="1" t="n">
        <v>45757</v>
      </c>
      <c r="C19665" s="1" t="n">
        <v>45810</v>
      </c>
      <c r="D19665" t="inlineStr">
        <is>
          <t>VÄRMLANDS LÄN</t>
        </is>
      </c>
      <c r="E19665" t="inlineStr">
        <is>
          <t>KIL</t>
        </is>
      </c>
      <c r="G19665" t="n">
        <v>2.5</v>
      </c>
      <c r="H19665" t="n">
        <v>0</v>
      </c>
      <c r="I19665" t="n">
        <v>0</v>
      </c>
      <c r="J19665" t="n">
        <v>0</v>
      </c>
      <c r="K19665" t="n">
        <v>0</v>
      </c>
      <c r="L19665" t="n">
        <v>0</v>
      </c>
      <c r="M19665" t="n">
        <v>0</v>
      </c>
      <c r="N19665" t="n">
        <v>0</v>
      </c>
      <c r="O19665" t="n">
        <v>0</v>
      </c>
      <c r="P19665" t="n">
        <v>0</v>
      </c>
      <c r="Q19665" t="n">
        <v>0</v>
      </c>
      <c r="R19665" s="2" t="inlineStr"/>
    </row>
    <row r="19666" ht="15" customHeight="1">
      <c r="A19666" t="inlineStr">
        <is>
          <t>A 17549-2025</t>
        </is>
      </c>
      <c r="B19666" s="1" t="n">
        <v>45757</v>
      </c>
      <c r="C19666" s="1" t="n">
        <v>45810</v>
      </c>
      <c r="D19666" t="inlineStr">
        <is>
          <t>VÄRMLANDS LÄN</t>
        </is>
      </c>
      <c r="E19666" t="inlineStr">
        <is>
          <t>KARLSTAD</t>
        </is>
      </c>
      <c r="G19666" t="n">
        <v>4</v>
      </c>
      <c r="H19666" t="n">
        <v>0</v>
      </c>
      <c r="I19666" t="n">
        <v>0</v>
      </c>
      <c r="J19666" t="n">
        <v>0</v>
      </c>
      <c r="K19666" t="n">
        <v>0</v>
      </c>
      <c r="L19666" t="n">
        <v>0</v>
      </c>
      <c r="M19666" t="n">
        <v>0</v>
      </c>
      <c r="N19666" t="n">
        <v>0</v>
      </c>
      <c r="O19666" t="n">
        <v>0</v>
      </c>
      <c r="P19666" t="n">
        <v>0</v>
      </c>
      <c r="Q19666" t="n">
        <v>0</v>
      </c>
      <c r="R19666" s="2" t="inlineStr"/>
    </row>
    <row r="19667" ht="15" customHeight="1">
      <c r="A19667" t="inlineStr">
        <is>
          <t>A 17501-2025</t>
        </is>
      </c>
      <c r="B19667" s="1" t="n">
        <v>45757</v>
      </c>
      <c r="C19667" s="1" t="n">
        <v>45810</v>
      </c>
      <c r="D19667" t="inlineStr">
        <is>
          <t>VÄRMLANDS LÄN</t>
        </is>
      </c>
      <c r="E19667" t="inlineStr">
        <is>
          <t>FILIPSTAD</t>
        </is>
      </c>
      <c r="F19667" t="inlineStr">
        <is>
          <t>Bergvik skog väst AB</t>
        </is>
      </c>
      <c r="G19667" t="n">
        <v>1.5</v>
      </c>
      <c r="H19667" t="n">
        <v>0</v>
      </c>
      <c r="I19667" t="n">
        <v>0</v>
      </c>
      <c r="J19667" t="n">
        <v>0</v>
      </c>
      <c r="K19667" t="n">
        <v>0</v>
      </c>
      <c r="L19667" t="n">
        <v>0</v>
      </c>
      <c r="M19667" t="n">
        <v>0</v>
      </c>
      <c r="N19667" t="n">
        <v>0</v>
      </c>
      <c r="O19667" t="n">
        <v>0</v>
      </c>
      <c r="P19667" t="n">
        <v>0</v>
      </c>
      <c r="Q19667" t="n">
        <v>0</v>
      </c>
      <c r="R19667" s="2" t="inlineStr"/>
    </row>
    <row r="19668" ht="15" customHeight="1">
      <c r="A19668" t="inlineStr">
        <is>
          <t>A 17426-2025</t>
        </is>
      </c>
      <c r="B19668" s="1" t="n">
        <v>45757</v>
      </c>
      <c r="C19668" s="1" t="n">
        <v>45810</v>
      </c>
      <c r="D19668" t="inlineStr">
        <is>
          <t>VÄRMLANDS LÄN</t>
        </is>
      </c>
      <c r="E19668" t="inlineStr">
        <is>
          <t>ÅRJÄNG</t>
        </is>
      </c>
      <c r="G19668" t="n">
        <v>1.6</v>
      </c>
      <c r="H19668" t="n">
        <v>0</v>
      </c>
      <c r="I19668" t="n">
        <v>0</v>
      </c>
      <c r="J19668" t="n">
        <v>0</v>
      </c>
      <c r="K19668" t="n">
        <v>0</v>
      </c>
      <c r="L19668" t="n">
        <v>0</v>
      </c>
      <c r="M19668" t="n">
        <v>0</v>
      </c>
      <c r="N19668" t="n">
        <v>0</v>
      </c>
      <c r="O19668" t="n">
        <v>0</v>
      </c>
      <c r="P19668" t="n">
        <v>0</v>
      </c>
      <c r="Q19668" t="n">
        <v>0</v>
      </c>
      <c r="R19668" s="2" t="inlineStr"/>
    </row>
    <row r="19669" ht="15" customHeight="1">
      <c r="A19669" t="inlineStr">
        <is>
          <t>A 17382-2025</t>
        </is>
      </c>
      <c r="B19669" s="1" t="n">
        <v>45757</v>
      </c>
      <c r="C19669" s="1" t="n">
        <v>45810</v>
      </c>
      <c r="D19669" t="inlineStr">
        <is>
          <t>VÄRMLANDS LÄN</t>
        </is>
      </c>
      <c r="E19669" t="inlineStr">
        <is>
          <t>EDA</t>
        </is>
      </c>
      <c r="G19669" t="n">
        <v>3.1</v>
      </c>
      <c r="H19669" t="n">
        <v>0</v>
      </c>
      <c r="I19669" t="n">
        <v>0</v>
      </c>
      <c r="J19669" t="n">
        <v>0</v>
      </c>
      <c r="K19669" t="n">
        <v>0</v>
      </c>
      <c r="L19669" t="n">
        <v>0</v>
      </c>
      <c r="M19669" t="n">
        <v>0</v>
      </c>
      <c r="N19669" t="n">
        <v>0</v>
      </c>
      <c r="O19669" t="n">
        <v>0</v>
      </c>
      <c r="P19669" t="n">
        <v>0</v>
      </c>
      <c r="Q19669" t="n">
        <v>0</v>
      </c>
      <c r="R19669" s="2" t="inlineStr"/>
    </row>
    <row r="19670" ht="15" customHeight="1">
      <c r="A19670" t="inlineStr">
        <is>
          <t>A 17573-2025</t>
        </is>
      </c>
      <c r="B19670" s="1" t="n">
        <v>45757</v>
      </c>
      <c r="C19670" s="1" t="n">
        <v>45810</v>
      </c>
      <c r="D19670" t="inlineStr">
        <is>
          <t>VÄRMLANDS LÄN</t>
        </is>
      </c>
      <c r="E19670" t="inlineStr">
        <is>
          <t>GRUMS</t>
        </is>
      </c>
      <c r="G19670" t="n">
        <v>0.7</v>
      </c>
      <c r="H19670" t="n">
        <v>0</v>
      </c>
      <c r="I19670" t="n">
        <v>0</v>
      </c>
      <c r="J19670" t="n">
        <v>0</v>
      </c>
      <c r="K19670" t="n">
        <v>0</v>
      </c>
      <c r="L19670" t="n">
        <v>0</v>
      </c>
      <c r="M19670" t="n">
        <v>0</v>
      </c>
      <c r="N19670" t="n">
        <v>0</v>
      </c>
      <c r="O19670" t="n">
        <v>0</v>
      </c>
      <c r="P19670" t="n">
        <v>0</v>
      </c>
      <c r="Q19670" t="n">
        <v>0</v>
      </c>
      <c r="R19670" s="2" t="inlineStr"/>
    </row>
    <row r="19671" ht="15" customHeight="1">
      <c r="A19671" t="inlineStr">
        <is>
          <t>A 17565-2025</t>
        </is>
      </c>
      <c r="B19671" s="1" t="n">
        <v>45757</v>
      </c>
      <c r="C19671" s="1" t="n">
        <v>45810</v>
      </c>
      <c r="D19671" t="inlineStr">
        <is>
          <t>VÄRMLANDS LÄN</t>
        </is>
      </c>
      <c r="E19671" t="inlineStr">
        <is>
          <t>GRUMS</t>
        </is>
      </c>
      <c r="G19671" t="n">
        <v>1.1</v>
      </c>
      <c r="H19671" t="n">
        <v>0</v>
      </c>
      <c r="I19671" t="n">
        <v>0</v>
      </c>
      <c r="J19671" t="n">
        <v>0</v>
      </c>
      <c r="K19671" t="n">
        <v>0</v>
      </c>
      <c r="L19671" t="n">
        <v>0</v>
      </c>
      <c r="M19671" t="n">
        <v>0</v>
      </c>
      <c r="N19671" t="n">
        <v>0</v>
      </c>
      <c r="O19671" t="n">
        <v>0</v>
      </c>
      <c r="P19671" t="n">
        <v>0</v>
      </c>
      <c r="Q19671" t="n">
        <v>0</v>
      </c>
      <c r="R19671" s="2" t="inlineStr"/>
    </row>
    <row r="19672" ht="15" customHeight="1">
      <c r="A19672" t="inlineStr">
        <is>
          <t>A 17399-2025</t>
        </is>
      </c>
      <c r="B19672" s="1" t="n">
        <v>45757</v>
      </c>
      <c r="C19672" s="1" t="n">
        <v>45810</v>
      </c>
      <c r="D19672" t="inlineStr">
        <is>
          <t>VÄRMLANDS LÄN</t>
        </is>
      </c>
      <c r="E19672" t="inlineStr">
        <is>
          <t>GRUMS</t>
        </is>
      </c>
      <c r="G19672" t="n">
        <v>1.4</v>
      </c>
      <c r="H19672" t="n">
        <v>0</v>
      </c>
      <c r="I19672" t="n">
        <v>0</v>
      </c>
      <c r="J19672" t="n">
        <v>0</v>
      </c>
      <c r="K19672" t="n">
        <v>0</v>
      </c>
      <c r="L19672" t="n">
        <v>0</v>
      </c>
      <c r="M19672" t="n">
        <v>0</v>
      </c>
      <c r="N19672" t="n">
        <v>0</v>
      </c>
      <c r="O19672" t="n">
        <v>0</v>
      </c>
      <c r="P19672" t="n">
        <v>0</v>
      </c>
      <c r="Q19672" t="n">
        <v>0</v>
      </c>
      <c r="R19672" s="2" t="inlineStr"/>
    </row>
    <row r="19673" ht="15" customHeight="1">
      <c r="A19673" t="inlineStr">
        <is>
          <t>A 17604-2025</t>
        </is>
      </c>
      <c r="B19673" s="1" t="n">
        <v>45757</v>
      </c>
      <c r="C19673" s="1" t="n">
        <v>45810</v>
      </c>
      <c r="D19673" t="inlineStr">
        <is>
          <t>VÄRMLANDS LÄN</t>
        </is>
      </c>
      <c r="E19673" t="inlineStr">
        <is>
          <t>SUNNE</t>
        </is>
      </c>
      <c r="F19673" t="inlineStr">
        <is>
          <t>Övriga Aktiebolag</t>
        </is>
      </c>
      <c r="G19673" t="n">
        <v>12.3</v>
      </c>
      <c r="H19673" t="n">
        <v>0</v>
      </c>
      <c r="I19673" t="n">
        <v>0</v>
      </c>
      <c r="J19673" t="n">
        <v>0</v>
      </c>
      <c r="K19673" t="n">
        <v>0</v>
      </c>
      <c r="L19673" t="n">
        <v>0</v>
      </c>
      <c r="M19673" t="n">
        <v>0</v>
      </c>
      <c r="N19673" t="n">
        <v>0</v>
      </c>
      <c r="O19673" t="n">
        <v>0</v>
      </c>
      <c r="P19673" t="n">
        <v>0</v>
      </c>
      <c r="Q19673" t="n">
        <v>0</v>
      </c>
      <c r="R19673" s="2" t="inlineStr"/>
    </row>
    <row r="19674" ht="15" customHeight="1">
      <c r="A19674" t="inlineStr">
        <is>
          <t>A 17431-2025</t>
        </is>
      </c>
      <c r="B19674" s="1" t="n">
        <v>45757</v>
      </c>
      <c r="C19674" s="1" t="n">
        <v>45810</v>
      </c>
      <c r="D19674" t="inlineStr">
        <is>
          <t>VÄRMLANDS LÄN</t>
        </is>
      </c>
      <c r="E19674" t="inlineStr">
        <is>
          <t>SÄFFLE</t>
        </is>
      </c>
      <c r="G19674" t="n">
        <v>1.8</v>
      </c>
      <c r="H19674" t="n">
        <v>0</v>
      </c>
      <c r="I19674" t="n">
        <v>0</v>
      </c>
      <c r="J19674" t="n">
        <v>0</v>
      </c>
      <c r="K19674" t="n">
        <v>0</v>
      </c>
      <c r="L19674" t="n">
        <v>0</v>
      </c>
      <c r="M19674" t="n">
        <v>0</v>
      </c>
      <c r="N19674" t="n">
        <v>0</v>
      </c>
      <c r="O19674" t="n">
        <v>0</v>
      </c>
      <c r="P19674" t="n">
        <v>0</v>
      </c>
      <c r="Q19674" t="n">
        <v>0</v>
      </c>
      <c r="R19674" s="2" t="inlineStr"/>
    </row>
    <row r="19675" ht="15" customHeight="1">
      <c r="A19675" t="inlineStr">
        <is>
          <t>A 17620-2025</t>
        </is>
      </c>
      <c r="B19675" s="1" t="n">
        <v>45757</v>
      </c>
      <c r="C19675" s="1" t="n">
        <v>45810</v>
      </c>
      <c r="D19675" t="inlineStr">
        <is>
          <t>VÄRMLANDS LÄN</t>
        </is>
      </c>
      <c r="E19675" t="inlineStr">
        <is>
          <t>ARVIKA</t>
        </is>
      </c>
      <c r="G19675" t="n">
        <v>0.9</v>
      </c>
      <c r="H19675" t="n">
        <v>0</v>
      </c>
      <c r="I19675" t="n">
        <v>0</v>
      </c>
      <c r="J19675" t="n">
        <v>0</v>
      </c>
      <c r="K19675" t="n">
        <v>0</v>
      </c>
      <c r="L19675" t="n">
        <v>0</v>
      </c>
      <c r="M19675" t="n">
        <v>0</v>
      </c>
      <c r="N19675" t="n">
        <v>0</v>
      </c>
      <c r="O19675" t="n">
        <v>0</v>
      </c>
      <c r="P19675" t="n">
        <v>0</v>
      </c>
      <c r="Q19675" t="n">
        <v>0</v>
      </c>
      <c r="R19675" s="2" t="inlineStr"/>
    </row>
    <row r="19676" ht="15" customHeight="1">
      <c r="A19676" t="inlineStr">
        <is>
          <t>A 17533-2025</t>
        </is>
      </c>
      <c r="B19676" s="1" t="n">
        <v>45757</v>
      </c>
      <c r="C19676" s="1" t="n">
        <v>45810</v>
      </c>
      <c r="D19676" t="inlineStr">
        <is>
          <t>VÄRMLANDS LÄN</t>
        </is>
      </c>
      <c r="E19676" t="inlineStr">
        <is>
          <t>KARLSTAD</t>
        </is>
      </c>
      <c r="G19676" t="n">
        <v>1.6</v>
      </c>
      <c r="H19676" t="n">
        <v>0</v>
      </c>
      <c r="I19676" t="n">
        <v>0</v>
      </c>
      <c r="J19676" t="n">
        <v>0</v>
      </c>
      <c r="K19676" t="n">
        <v>0</v>
      </c>
      <c r="L19676" t="n">
        <v>0</v>
      </c>
      <c r="M19676" t="n">
        <v>0</v>
      </c>
      <c r="N19676" t="n">
        <v>0</v>
      </c>
      <c r="O19676" t="n">
        <v>0</v>
      </c>
      <c r="P19676" t="n">
        <v>0</v>
      </c>
      <c r="Q19676" t="n">
        <v>0</v>
      </c>
      <c r="R19676" s="2" t="inlineStr"/>
    </row>
    <row r="19677" ht="15" customHeight="1">
      <c r="A19677" t="inlineStr">
        <is>
          <t>A 17572-2025</t>
        </is>
      </c>
      <c r="B19677" s="1" t="n">
        <v>45757</v>
      </c>
      <c r="C19677" s="1" t="n">
        <v>45810</v>
      </c>
      <c r="D19677" t="inlineStr">
        <is>
          <t>VÄRMLANDS LÄN</t>
        </is>
      </c>
      <c r="E19677" t="inlineStr">
        <is>
          <t>GRUMS</t>
        </is>
      </c>
      <c r="G19677" t="n">
        <v>1.6</v>
      </c>
      <c r="H19677" t="n">
        <v>0</v>
      </c>
      <c r="I19677" t="n">
        <v>0</v>
      </c>
      <c r="J19677" t="n">
        <v>0</v>
      </c>
      <c r="K19677" t="n">
        <v>0</v>
      </c>
      <c r="L19677" t="n">
        <v>0</v>
      </c>
      <c r="M19677" t="n">
        <v>0</v>
      </c>
      <c r="N19677" t="n">
        <v>0</v>
      </c>
      <c r="O19677" t="n">
        <v>0</v>
      </c>
      <c r="P19677" t="n">
        <v>0</v>
      </c>
      <c r="Q19677" t="n">
        <v>0</v>
      </c>
      <c r="R19677" s="2" t="inlineStr"/>
    </row>
    <row r="19678" ht="15" customHeight="1">
      <c r="A19678" t="inlineStr">
        <is>
          <t>A 17577-2025</t>
        </is>
      </c>
      <c r="B19678" s="1" t="n">
        <v>45757</v>
      </c>
      <c r="C19678" s="1" t="n">
        <v>45810</v>
      </c>
      <c r="D19678" t="inlineStr">
        <is>
          <t>VÄRMLANDS LÄN</t>
        </is>
      </c>
      <c r="E19678" t="inlineStr">
        <is>
          <t>GRUMS</t>
        </is>
      </c>
      <c r="G19678" t="n">
        <v>0.7</v>
      </c>
      <c r="H19678" t="n">
        <v>0</v>
      </c>
      <c r="I19678" t="n">
        <v>0</v>
      </c>
      <c r="J19678" t="n">
        <v>0</v>
      </c>
      <c r="K19678" t="n">
        <v>0</v>
      </c>
      <c r="L19678" t="n">
        <v>0</v>
      </c>
      <c r="M19678" t="n">
        <v>0</v>
      </c>
      <c r="N19678" t="n">
        <v>0</v>
      </c>
      <c r="O19678" t="n">
        <v>0</v>
      </c>
      <c r="P19678" t="n">
        <v>0</v>
      </c>
      <c r="Q19678" t="n">
        <v>0</v>
      </c>
      <c r="R19678" s="2" t="inlineStr"/>
    </row>
    <row r="19679" ht="15" customHeight="1">
      <c r="A19679" t="inlineStr">
        <is>
          <t>A 17440-2025</t>
        </is>
      </c>
      <c r="B19679" s="1" t="n">
        <v>45757</v>
      </c>
      <c r="C19679" s="1" t="n">
        <v>45810</v>
      </c>
      <c r="D19679" t="inlineStr">
        <is>
          <t>VÄRMLANDS LÄN</t>
        </is>
      </c>
      <c r="E19679" t="inlineStr">
        <is>
          <t>MUNKFORS</t>
        </is>
      </c>
      <c r="F19679" t="inlineStr">
        <is>
          <t>Bergvik skog väst AB</t>
        </is>
      </c>
      <c r="G19679" t="n">
        <v>5.2</v>
      </c>
      <c r="H19679" t="n">
        <v>0</v>
      </c>
      <c r="I19679" t="n">
        <v>0</v>
      </c>
      <c r="J19679" t="n">
        <v>0</v>
      </c>
      <c r="K19679" t="n">
        <v>0</v>
      </c>
      <c r="L19679" t="n">
        <v>0</v>
      </c>
      <c r="M19679" t="n">
        <v>0</v>
      </c>
      <c r="N19679" t="n">
        <v>0</v>
      </c>
      <c r="O19679" t="n">
        <v>0</v>
      </c>
      <c r="P19679" t="n">
        <v>0</v>
      </c>
      <c r="Q19679" t="n">
        <v>0</v>
      </c>
      <c r="R19679" s="2" t="inlineStr"/>
    </row>
    <row r="19680" ht="15" customHeight="1">
      <c r="A19680" t="inlineStr">
        <is>
          <t>A 17417-2025</t>
        </is>
      </c>
      <c r="B19680" s="1" t="n">
        <v>45757</v>
      </c>
      <c r="C19680" s="1" t="n">
        <v>45810</v>
      </c>
      <c r="D19680" t="inlineStr">
        <is>
          <t>VÄRMLANDS LÄN</t>
        </is>
      </c>
      <c r="E19680" t="inlineStr">
        <is>
          <t>TORSBY</t>
        </is>
      </c>
      <c r="G19680" t="n">
        <v>7.6</v>
      </c>
      <c r="H19680" t="n">
        <v>0</v>
      </c>
      <c r="I19680" t="n">
        <v>0</v>
      </c>
      <c r="J19680" t="n">
        <v>0</v>
      </c>
      <c r="K19680" t="n">
        <v>0</v>
      </c>
      <c r="L19680" t="n">
        <v>0</v>
      </c>
      <c r="M19680" t="n">
        <v>0</v>
      </c>
      <c r="N19680" t="n">
        <v>0</v>
      </c>
      <c r="O19680" t="n">
        <v>0</v>
      </c>
      <c r="P19680" t="n">
        <v>0</v>
      </c>
      <c r="Q19680" t="n">
        <v>0</v>
      </c>
      <c r="R19680" s="2" t="inlineStr"/>
    </row>
    <row r="19681" ht="15" customHeight="1">
      <c r="A19681" t="inlineStr">
        <is>
          <t>A 17763-2025</t>
        </is>
      </c>
      <c r="B19681" s="1" t="n">
        <v>45758</v>
      </c>
      <c r="C19681" s="1" t="n">
        <v>45810</v>
      </c>
      <c r="D19681" t="inlineStr">
        <is>
          <t>VÄRMLANDS LÄN</t>
        </is>
      </c>
      <c r="E19681" t="inlineStr">
        <is>
          <t>FILIPSTAD</t>
        </is>
      </c>
      <c r="F19681" t="inlineStr">
        <is>
          <t>Bergvik skog väst AB</t>
        </is>
      </c>
      <c r="G19681" t="n">
        <v>13.1</v>
      </c>
      <c r="H19681" t="n">
        <v>0</v>
      </c>
      <c r="I19681" t="n">
        <v>0</v>
      </c>
      <c r="J19681" t="n">
        <v>0</v>
      </c>
      <c r="K19681" t="n">
        <v>0</v>
      </c>
      <c r="L19681" t="n">
        <v>0</v>
      </c>
      <c r="M19681" t="n">
        <v>0</v>
      </c>
      <c r="N19681" t="n">
        <v>0</v>
      </c>
      <c r="O19681" t="n">
        <v>0</v>
      </c>
      <c r="P19681" t="n">
        <v>0</v>
      </c>
      <c r="Q19681" t="n">
        <v>0</v>
      </c>
      <c r="R19681" s="2" t="inlineStr"/>
    </row>
    <row r="19682" ht="15" customHeight="1">
      <c r="A19682" t="inlineStr">
        <is>
          <t>A 17742-2025</t>
        </is>
      </c>
      <c r="B19682" s="1" t="n">
        <v>45758</v>
      </c>
      <c r="C19682" s="1" t="n">
        <v>45810</v>
      </c>
      <c r="D19682" t="inlineStr">
        <is>
          <t>VÄRMLANDS LÄN</t>
        </is>
      </c>
      <c r="E19682" t="inlineStr">
        <is>
          <t>EDA</t>
        </is>
      </c>
      <c r="G19682" t="n">
        <v>0.5</v>
      </c>
      <c r="H19682" t="n">
        <v>0</v>
      </c>
      <c r="I19682" t="n">
        <v>0</v>
      </c>
      <c r="J19682" t="n">
        <v>0</v>
      </c>
      <c r="K19682" t="n">
        <v>0</v>
      </c>
      <c r="L19682" t="n">
        <v>0</v>
      </c>
      <c r="M19682" t="n">
        <v>0</v>
      </c>
      <c r="N19682" t="n">
        <v>0</v>
      </c>
      <c r="O19682" t="n">
        <v>0</v>
      </c>
      <c r="P19682" t="n">
        <v>0</v>
      </c>
      <c r="Q19682" t="n">
        <v>0</v>
      </c>
      <c r="R19682" s="2" t="inlineStr"/>
    </row>
    <row r="19683" ht="15" customHeight="1">
      <c r="A19683" t="inlineStr">
        <is>
          <t>A 17743-2025</t>
        </is>
      </c>
      <c r="B19683" s="1" t="n">
        <v>45758</v>
      </c>
      <c r="C19683" s="1" t="n">
        <v>45810</v>
      </c>
      <c r="D19683" t="inlineStr">
        <is>
          <t>VÄRMLANDS LÄN</t>
        </is>
      </c>
      <c r="E19683" t="inlineStr">
        <is>
          <t>EDA</t>
        </is>
      </c>
      <c r="G19683" t="n">
        <v>1</v>
      </c>
      <c r="H19683" t="n">
        <v>0</v>
      </c>
      <c r="I19683" t="n">
        <v>0</v>
      </c>
      <c r="J19683" t="n">
        <v>0</v>
      </c>
      <c r="K19683" t="n">
        <v>0</v>
      </c>
      <c r="L19683" t="n">
        <v>0</v>
      </c>
      <c r="M19683" t="n">
        <v>0</v>
      </c>
      <c r="N19683" t="n">
        <v>0</v>
      </c>
      <c r="O19683" t="n">
        <v>0</v>
      </c>
      <c r="P19683" t="n">
        <v>0</v>
      </c>
      <c r="Q19683" t="n">
        <v>0</v>
      </c>
      <c r="R19683" s="2" t="inlineStr"/>
    </row>
    <row r="19684" ht="15" customHeight="1">
      <c r="A19684" t="inlineStr">
        <is>
          <t>A 17746-2025</t>
        </is>
      </c>
      <c r="B19684" s="1" t="n">
        <v>45758</v>
      </c>
      <c r="C19684" s="1" t="n">
        <v>45810</v>
      </c>
      <c r="D19684" t="inlineStr">
        <is>
          <t>VÄRMLANDS LÄN</t>
        </is>
      </c>
      <c r="E19684" t="inlineStr">
        <is>
          <t>EDA</t>
        </is>
      </c>
      <c r="G19684" t="n">
        <v>0.7</v>
      </c>
      <c r="H19684" t="n">
        <v>0</v>
      </c>
      <c r="I19684" t="n">
        <v>0</v>
      </c>
      <c r="J19684" t="n">
        <v>0</v>
      </c>
      <c r="K19684" t="n">
        <v>0</v>
      </c>
      <c r="L19684" t="n">
        <v>0</v>
      </c>
      <c r="M19684" t="n">
        <v>0</v>
      </c>
      <c r="N19684" t="n">
        <v>0</v>
      </c>
      <c r="O19684" t="n">
        <v>0</v>
      </c>
      <c r="P19684" t="n">
        <v>0</v>
      </c>
      <c r="Q19684" t="n">
        <v>0</v>
      </c>
      <c r="R19684" s="2" t="inlineStr"/>
    </row>
    <row r="19685" ht="15" customHeight="1">
      <c r="A19685" t="inlineStr">
        <is>
          <t>A 17750-2025</t>
        </is>
      </c>
      <c r="B19685" s="1" t="n">
        <v>45758</v>
      </c>
      <c r="C19685" s="1" t="n">
        <v>45810</v>
      </c>
      <c r="D19685" t="inlineStr">
        <is>
          <t>VÄRMLANDS LÄN</t>
        </is>
      </c>
      <c r="E19685" t="inlineStr">
        <is>
          <t>TORSBY</t>
        </is>
      </c>
      <c r="F19685" t="inlineStr">
        <is>
          <t>Kommuner</t>
        </is>
      </c>
      <c r="G19685" t="n">
        <v>0.8</v>
      </c>
      <c r="H19685" t="n">
        <v>0</v>
      </c>
      <c r="I19685" t="n">
        <v>0</v>
      </c>
      <c r="J19685" t="n">
        <v>0</v>
      </c>
      <c r="K19685" t="n">
        <v>0</v>
      </c>
      <c r="L19685" t="n">
        <v>0</v>
      </c>
      <c r="M19685" t="n">
        <v>0</v>
      </c>
      <c r="N19685" t="n">
        <v>0</v>
      </c>
      <c r="O19685" t="n">
        <v>0</v>
      </c>
      <c r="P19685" t="n">
        <v>0</v>
      </c>
      <c r="Q19685" t="n">
        <v>0</v>
      </c>
      <c r="R19685" s="2" t="inlineStr"/>
    </row>
    <row r="19686" ht="15" customHeight="1">
      <c r="A19686" t="inlineStr">
        <is>
          <t>A 17676-2025</t>
        </is>
      </c>
      <c r="B19686" s="1" t="n">
        <v>45758</v>
      </c>
      <c r="C19686" s="1" t="n">
        <v>45810</v>
      </c>
      <c r="D19686" t="inlineStr">
        <is>
          <t>VÄRMLANDS LÄN</t>
        </is>
      </c>
      <c r="E19686" t="inlineStr">
        <is>
          <t>TORSBY</t>
        </is>
      </c>
      <c r="G19686" t="n">
        <v>1.7</v>
      </c>
      <c r="H19686" t="n">
        <v>0</v>
      </c>
      <c r="I19686" t="n">
        <v>0</v>
      </c>
      <c r="J19686" t="n">
        <v>0</v>
      </c>
      <c r="K19686" t="n">
        <v>0</v>
      </c>
      <c r="L19686" t="n">
        <v>0</v>
      </c>
      <c r="M19686" t="n">
        <v>0</v>
      </c>
      <c r="N19686" t="n">
        <v>0</v>
      </c>
      <c r="O19686" t="n">
        <v>0</v>
      </c>
      <c r="P19686" t="n">
        <v>0</v>
      </c>
      <c r="Q19686" t="n">
        <v>0</v>
      </c>
      <c r="R19686" s="2" t="inlineStr"/>
    </row>
    <row r="19687" ht="15" customHeight="1">
      <c r="A19687" t="inlineStr">
        <is>
          <t>A 17756-2025</t>
        </is>
      </c>
      <c r="B19687" s="1" t="n">
        <v>45758</v>
      </c>
      <c r="C19687" s="1" t="n">
        <v>45810</v>
      </c>
      <c r="D19687" t="inlineStr">
        <is>
          <t>VÄRMLANDS LÄN</t>
        </is>
      </c>
      <c r="E19687" t="inlineStr">
        <is>
          <t>EDA</t>
        </is>
      </c>
      <c r="G19687" t="n">
        <v>2.6</v>
      </c>
      <c r="H19687" t="n">
        <v>0</v>
      </c>
      <c r="I19687" t="n">
        <v>0</v>
      </c>
      <c r="J19687" t="n">
        <v>0</v>
      </c>
      <c r="K19687" t="n">
        <v>0</v>
      </c>
      <c r="L19687" t="n">
        <v>0</v>
      </c>
      <c r="M19687" t="n">
        <v>0</v>
      </c>
      <c r="N19687" t="n">
        <v>0</v>
      </c>
      <c r="O19687" t="n">
        <v>0</v>
      </c>
      <c r="P19687" t="n">
        <v>0</v>
      </c>
      <c r="Q19687" t="n">
        <v>0</v>
      </c>
      <c r="R19687" s="2" t="inlineStr"/>
    </row>
    <row r="19688" ht="15" customHeight="1">
      <c r="A19688" t="inlineStr">
        <is>
          <t>A 17733-2025</t>
        </is>
      </c>
      <c r="B19688" s="1" t="n">
        <v>45758</v>
      </c>
      <c r="C19688" s="1" t="n">
        <v>45810</v>
      </c>
      <c r="D19688" t="inlineStr">
        <is>
          <t>VÄRMLANDS LÄN</t>
        </is>
      </c>
      <c r="E19688" t="inlineStr">
        <is>
          <t>HAGFORS</t>
        </is>
      </c>
      <c r="F19688" t="inlineStr">
        <is>
          <t>Bergvik skog väst AB</t>
        </is>
      </c>
      <c r="G19688" t="n">
        <v>1.3</v>
      </c>
      <c r="H19688" t="n">
        <v>0</v>
      </c>
      <c r="I19688" t="n">
        <v>0</v>
      </c>
      <c r="J19688" t="n">
        <v>0</v>
      </c>
      <c r="K19688" t="n">
        <v>0</v>
      </c>
      <c r="L19688" t="n">
        <v>0</v>
      </c>
      <c r="M19688" t="n">
        <v>0</v>
      </c>
      <c r="N19688" t="n">
        <v>0</v>
      </c>
      <c r="O19688" t="n">
        <v>0</v>
      </c>
      <c r="P19688" t="n">
        <v>0</v>
      </c>
      <c r="Q19688" t="n">
        <v>0</v>
      </c>
      <c r="R19688" s="2" t="inlineStr"/>
    </row>
    <row r="19689" ht="15" customHeight="1">
      <c r="A19689" t="inlineStr">
        <is>
          <t>A 17696-2025</t>
        </is>
      </c>
      <c r="B19689" s="1" t="n">
        <v>45758</v>
      </c>
      <c r="C19689" s="1" t="n">
        <v>45810</v>
      </c>
      <c r="D19689" t="inlineStr">
        <is>
          <t>VÄRMLANDS LÄN</t>
        </is>
      </c>
      <c r="E19689" t="inlineStr">
        <is>
          <t>HAGFORS</t>
        </is>
      </c>
      <c r="G19689" t="n">
        <v>2.7</v>
      </c>
      <c r="H19689" t="n">
        <v>0</v>
      </c>
      <c r="I19689" t="n">
        <v>0</v>
      </c>
      <c r="J19689" t="n">
        <v>0</v>
      </c>
      <c r="K19689" t="n">
        <v>0</v>
      </c>
      <c r="L19689" t="n">
        <v>0</v>
      </c>
      <c r="M19689" t="n">
        <v>0</v>
      </c>
      <c r="N19689" t="n">
        <v>0</v>
      </c>
      <c r="O19689" t="n">
        <v>0</v>
      </c>
      <c r="P19689" t="n">
        <v>0</v>
      </c>
      <c r="Q19689" t="n">
        <v>0</v>
      </c>
      <c r="R19689" s="2" t="inlineStr"/>
    </row>
    <row r="19690" ht="15" customHeight="1">
      <c r="A19690" t="inlineStr">
        <is>
          <t>A 17884-2025</t>
        </is>
      </c>
      <c r="B19690" s="1" t="n">
        <v>45758</v>
      </c>
      <c r="C19690" s="1" t="n">
        <v>45810</v>
      </c>
      <c r="D19690" t="inlineStr">
        <is>
          <t>VÄRMLANDS LÄN</t>
        </is>
      </c>
      <c r="E19690" t="inlineStr">
        <is>
          <t>HAGFORS</t>
        </is>
      </c>
      <c r="G19690" t="n">
        <v>0.7</v>
      </c>
      <c r="H19690" t="n">
        <v>0</v>
      </c>
      <c r="I19690" t="n">
        <v>0</v>
      </c>
      <c r="J19690" t="n">
        <v>0</v>
      </c>
      <c r="K19690" t="n">
        <v>0</v>
      </c>
      <c r="L19690" t="n">
        <v>0</v>
      </c>
      <c r="M19690" t="n">
        <v>0</v>
      </c>
      <c r="N19690" t="n">
        <v>0</v>
      </c>
      <c r="O19690" t="n">
        <v>0</v>
      </c>
      <c r="P19690" t="n">
        <v>0</v>
      </c>
      <c r="Q19690" t="n">
        <v>0</v>
      </c>
      <c r="R19690" s="2" t="inlineStr"/>
    </row>
    <row r="19691" ht="15" customHeight="1">
      <c r="A19691" t="inlineStr">
        <is>
          <t>A 17759-2025</t>
        </is>
      </c>
      <c r="B19691" s="1" t="n">
        <v>45758</v>
      </c>
      <c r="C19691" s="1" t="n">
        <v>45810</v>
      </c>
      <c r="D19691" t="inlineStr">
        <is>
          <t>VÄRMLANDS LÄN</t>
        </is>
      </c>
      <c r="E19691" t="inlineStr">
        <is>
          <t>EDA</t>
        </is>
      </c>
      <c r="G19691" t="n">
        <v>0.7</v>
      </c>
      <c r="H19691" t="n">
        <v>0</v>
      </c>
      <c r="I19691" t="n">
        <v>0</v>
      </c>
      <c r="J19691" t="n">
        <v>0</v>
      </c>
      <c r="K19691" t="n">
        <v>0</v>
      </c>
      <c r="L19691" t="n">
        <v>0</v>
      </c>
      <c r="M19691" t="n">
        <v>0</v>
      </c>
      <c r="N19691" t="n">
        <v>0</v>
      </c>
      <c r="O19691" t="n">
        <v>0</v>
      </c>
      <c r="P19691" t="n">
        <v>0</v>
      </c>
      <c r="Q19691" t="n">
        <v>0</v>
      </c>
      <c r="R19691" s="2" t="inlineStr"/>
    </row>
    <row r="19692" ht="15" customHeight="1">
      <c r="A19692" t="inlineStr">
        <is>
          <t>A 17769-2025</t>
        </is>
      </c>
      <c r="B19692" s="1" t="n">
        <v>45758</v>
      </c>
      <c r="C19692" s="1" t="n">
        <v>45810</v>
      </c>
      <c r="D19692" t="inlineStr">
        <is>
          <t>VÄRMLANDS LÄN</t>
        </is>
      </c>
      <c r="E19692" t="inlineStr">
        <is>
          <t>ÅRJÄNG</t>
        </is>
      </c>
      <c r="G19692" t="n">
        <v>1.4</v>
      </c>
      <c r="H19692" t="n">
        <v>0</v>
      </c>
      <c r="I19692" t="n">
        <v>0</v>
      </c>
      <c r="J19692" t="n">
        <v>0</v>
      </c>
      <c r="K19692" t="n">
        <v>0</v>
      </c>
      <c r="L19692" t="n">
        <v>0</v>
      </c>
      <c r="M19692" t="n">
        <v>0</v>
      </c>
      <c r="N19692" t="n">
        <v>0</v>
      </c>
      <c r="O19692" t="n">
        <v>0</v>
      </c>
      <c r="P19692" t="n">
        <v>0</v>
      </c>
      <c r="Q19692" t="n">
        <v>0</v>
      </c>
      <c r="R19692" s="2" t="inlineStr"/>
    </row>
    <row r="19693" ht="15" customHeight="1">
      <c r="A19693" t="inlineStr">
        <is>
          <t>A 17841-2025</t>
        </is>
      </c>
      <c r="B19693" s="1" t="n">
        <v>45758</v>
      </c>
      <c r="C19693" s="1" t="n">
        <v>45810</v>
      </c>
      <c r="D19693" t="inlineStr">
        <is>
          <t>VÄRMLANDS LÄN</t>
        </is>
      </c>
      <c r="E19693" t="inlineStr">
        <is>
          <t>TORSBY</t>
        </is>
      </c>
      <c r="G19693" t="n">
        <v>0.7</v>
      </c>
      <c r="H19693" t="n">
        <v>0</v>
      </c>
      <c r="I19693" t="n">
        <v>0</v>
      </c>
      <c r="J19693" t="n">
        <v>0</v>
      </c>
      <c r="K19693" t="n">
        <v>0</v>
      </c>
      <c r="L19693" t="n">
        <v>0</v>
      </c>
      <c r="M19693" t="n">
        <v>0</v>
      </c>
      <c r="N19693" t="n">
        <v>0</v>
      </c>
      <c r="O19693" t="n">
        <v>0</v>
      </c>
      <c r="P19693" t="n">
        <v>0</v>
      </c>
      <c r="Q19693" t="n">
        <v>0</v>
      </c>
      <c r="R19693" s="2" t="inlineStr"/>
    </row>
    <row r="19694" ht="15" customHeight="1">
      <c r="A19694" t="inlineStr">
        <is>
          <t>A 17754-2025</t>
        </is>
      </c>
      <c r="B19694" s="1" t="n">
        <v>45758</v>
      </c>
      <c r="C19694" s="1" t="n">
        <v>45810</v>
      </c>
      <c r="D19694" t="inlineStr">
        <is>
          <t>VÄRMLANDS LÄN</t>
        </is>
      </c>
      <c r="E19694" t="inlineStr">
        <is>
          <t>TORSBY</t>
        </is>
      </c>
      <c r="F19694" t="inlineStr">
        <is>
          <t>Bergvik skog väst AB</t>
        </is>
      </c>
      <c r="G19694" t="n">
        <v>3.5</v>
      </c>
      <c r="H19694" t="n">
        <v>0</v>
      </c>
      <c r="I19694" t="n">
        <v>0</v>
      </c>
      <c r="J19694" t="n">
        <v>0</v>
      </c>
      <c r="K19694" t="n">
        <v>0</v>
      </c>
      <c r="L19694" t="n">
        <v>0</v>
      </c>
      <c r="M19694" t="n">
        <v>0</v>
      </c>
      <c r="N19694" t="n">
        <v>0</v>
      </c>
      <c r="O19694" t="n">
        <v>0</v>
      </c>
      <c r="P19694" t="n">
        <v>0</v>
      </c>
      <c r="Q19694" t="n">
        <v>0</v>
      </c>
      <c r="R19694" s="2" t="inlineStr"/>
    </row>
    <row r="19695" ht="15" customHeight="1">
      <c r="A19695" t="inlineStr">
        <is>
          <t>A 17691-2025</t>
        </is>
      </c>
      <c r="B19695" s="1" t="n">
        <v>45758</v>
      </c>
      <c r="C19695" s="1" t="n">
        <v>45810</v>
      </c>
      <c r="D19695" t="inlineStr">
        <is>
          <t>VÄRMLANDS LÄN</t>
        </is>
      </c>
      <c r="E19695" t="inlineStr">
        <is>
          <t>SUNNE</t>
        </is>
      </c>
      <c r="G19695" t="n">
        <v>1.9</v>
      </c>
      <c r="H19695" t="n">
        <v>0</v>
      </c>
      <c r="I19695" t="n">
        <v>0</v>
      </c>
      <c r="J19695" t="n">
        <v>0</v>
      </c>
      <c r="K19695" t="n">
        <v>0</v>
      </c>
      <c r="L19695" t="n">
        <v>0</v>
      </c>
      <c r="M19695" t="n">
        <v>0</v>
      </c>
      <c r="N19695" t="n">
        <v>0</v>
      </c>
      <c r="O19695" t="n">
        <v>0</v>
      </c>
      <c r="P19695" t="n">
        <v>0</v>
      </c>
      <c r="Q19695" t="n">
        <v>0</v>
      </c>
      <c r="R19695" s="2" t="inlineStr"/>
    </row>
    <row r="19696" ht="15" customHeight="1">
      <c r="A19696" t="inlineStr">
        <is>
          <t>A 17817-2025</t>
        </is>
      </c>
      <c r="B19696" s="1" t="n">
        <v>45758</v>
      </c>
      <c r="C19696" s="1" t="n">
        <v>45810</v>
      </c>
      <c r="D19696" t="inlineStr">
        <is>
          <t>VÄRMLANDS LÄN</t>
        </is>
      </c>
      <c r="E19696" t="inlineStr">
        <is>
          <t>SUNNE</t>
        </is>
      </c>
      <c r="G19696" t="n">
        <v>1.7</v>
      </c>
      <c r="H19696" t="n">
        <v>0</v>
      </c>
      <c r="I19696" t="n">
        <v>0</v>
      </c>
      <c r="J19696" t="n">
        <v>0</v>
      </c>
      <c r="K19696" t="n">
        <v>0</v>
      </c>
      <c r="L19696" t="n">
        <v>0</v>
      </c>
      <c r="M19696" t="n">
        <v>0</v>
      </c>
      <c r="N19696" t="n">
        <v>0</v>
      </c>
      <c r="O19696" t="n">
        <v>0</v>
      </c>
      <c r="P19696" t="n">
        <v>0</v>
      </c>
      <c r="Q19696" t="n">
        <v>0</v>
      </c>
      <c r="R19696" s="2" t="inlineStr"/>
    </row>
    <row r="19697" ht="15" customHeight="1">
      <c r="A19697" t="inlineStr">
        <is>
          <t>A 17659-2025</t>
        </is>
      </c>
      <c r="B19697" s="1" t="n">
        <v>45758</v>
      </c>
      <c r="C19697" s="1" t="n">
        <v>45810</v>
      </c>
      <c r="D19697" t="inlineStr">
        <is>
          <t>VÄRMLANDS LÄN</t>
        </is>
      </c>
      <c r="E19697" t="inlineStr">
        <is>
          <t>HAGFORS</t>
        </is>
      </c>
      <c r="F19697" t="inlineStr">
        <is>
          <t>Bergvik skog väst AB</t>
        </is>
      </c>
      <c r="G19697" t="n">
        <v>1.3</v>
      </c>
      <c r="H19697" t="n">
        <v>0</v>
      </c>
      <c r="I19697" t="n">
        <v>0</v>
      </c>
      <c r="J19697" t="n">
        <v>0</v>
      </c>
      <c r="K19697" t="n">
        <v>0</v>
      </c>
      <c r="L19697" t="n">
        <v>0</v>
      </c>
      <c r="M19697" t="n">
        <v>0</v>
      </c>
      <c r="N19697" t="n">
        <v>0</v>
      </c>
      <c r="O19697" t="n">
        <v>0</v>
      </c>
      <c r="P19697" t="n">
        <v>0</v>
      </c>
      <c r="Q19697" t="n">
        <v>0</v>
      </c>
      <c r="R19697" s="2" t="inlineStr"/>
    </row>
    <row r="19698" ht="15" customHeight="1">
      <c r="A19698" t="inlineStr">
        <is>
          <t>A 17808-2025</t>
        </is>
      </c>
      <c r="B19698" s="1" t="n">
        <v>45758</v>
      </c>
      <c r="C19698" s="1" t="n">
        <v>45810</v>
      </c>
      <c r="D19698" t="inlineStr">
        <is>
          <t>VÄRMLANDS LÄN</t>
        </is>
      </c>
      <c r="E19698" t="inlineStr">
        <is>
          <t>SÄFFLE</t>
        </is>
      </c>
      <c r="G19698" t="n">
        <v>2.7</v>
      </c>
      <c r="H19698" t="n">
        <v>0</v>
      </c>
      <c r="I19698" t="n">
        <v>0</v>
      </c>
      <c r="J19698" t="n">
        <v>0</v>
      </c>
      <c r="K19698" t="n">
        <v>0</v>
      </c>
      <c r="L19698" t="n">
        <v>0</v>
      </c>
      <c r="M19698" t="n">
        <v>0</v>
      </c>
      <c r="N19698" t="n">
        <v>0</v>
      </c>
      <c r="O19698" t="n">
        <v>0</v>
      </c>
      <c r="P19698" t="n">
        <v>0</v>
      </c>
      <c r="Q19698" t="n">
        <v>0</v>
      </c>
      <c r="R19698" s="2" t="inlineStr"/>
    </row>
    <row r="19699" ht="15" customHeight="1">
      <c r="A19699" t="inlineStr">
        <is>
          <t>A 17827-2025</t>
        </is>
      </c>
      <c r="B19699" s="1" t="n">
        <v>45758</v>
      </c>
      <c r="C19699" s="1" t="n">
        <v>45810</v>
      </c>
      <c r="D19699" t="inlineStr">
        <is>
          <t>VÄRMLANDS LÄN</t>
        </is>
      </c>
      <c r="E19699" t="inlineStr">
        <is>
          <t>ÅRJÄNG</t>
        </is>
      </c>
      <c r="G19699" t="n">
        <v>1.4</v>
      </c>
      <c r="H19699" t="n">
        <v>0</v>
      </c>
      <c r="I19699" t="n">
        <v>0</v>
      </c>
      <c r="J19699" t="n">
        <v>0</v>
      </c>
      <c r="K19699" t="n">
        <v>0</v>
      </c>
      <c r="L19699" t="n">
        <v>0</v>
      </c>
      <c r="M19699" t="n">
        <v>0</v>
      </c>
      <c r="N19699" t="n">
        <v>0</v>
      </c>
      <c r="O19699" t="n">
        <v>0</v>
      </c>
      <c r="P19699" t="n">
        <v>0</v>
      </c>
      <c r="Q19699" t="n">
        <v>0</v>
      </c>
      <c r="R19699" s="2" t="inlineStr"/>
    </row>
    <row r="19700" ht="15" customHeight="1">
      <c r="A19700" t="inlineStr">
        <is>
          <t>A 17882-2025</t>
        </is>
      </c>
      <c r="B19700" s="1" t="n">
        <v>45758</v>
      </c>
      <c r="C19700" s="1" t="n">
        <v>45810</v>
      </c>
      <c r="D19700" t="inlineStr">
        <is>
          <t>VÄRMLANDS LÄN</t>
        </is>
      </c>
      <c r="E19700" t="inlineStr">
        <is>
          <t>HAGFORS</t>
        </is>
      </c>
      <c r="G19700" t="n">
        <v>1.7</v>
      </c>
      <c r="H19700" t="n">
        <v>0</v>
      </c>
      <c r="I19700" t="n">
        <v>0</v>
      </c>
      <c r="J19700" t="n">
        <v>0</v>
      </c>
      <c r="K19700" t="n">
        <v>0</v>
      </c>
      <c r="L19700" t="n">
        <v>0</v>
      </c>
      <c r="M19700" t="n">
        <v>0</v>
      </c>
      <c r="N19700" t="n">
        <v>0</v>
      </c>
      <c r="O19700" t="n">
        <v>0</v>
      </c>
      <c r="P19700" t="n">
        <v>0</v>
      </c>
      <c r="Q19700" t="n">
        <v>0</v>
      </c>
      <c r="R19700" s="2" t="inlineStr"/>
    </row>
    <row r="19701" ht="15" customHeight="1">
      <c r="A19701" t="inlineStr">
        <is>
          <t>A 17662-2025</t>
        </is>
      </c>
      <c r="B19701" s="1" t="n">
        <v>45758</v>
      </c>
      <c r="C19701" s="1" t="n">
        <v>45810</v>
      </c>
      <c r="D19701" t="inlineStr">
        <is>
          <t>VÄRMLANDS LÄN</t>
        </is>
      </c>
      <c r="E19701" t="inlineStr">
        <is>
          <t>HAGFORS</t>
        </is>
      </c>
      <c r="F19701" t="inlineStr">
        <is>
          <t>Bergvik skog väst AB</t>
        </is>
      </c>
      <c r="G19701" t="n">
        <v>4.9</v>
      </c>
      <c r="H19701" t="n">
        <v>0</v>
      </c>
      <c r="I19701" t="n">
        <v>0</v>
      </c>
      <c r="J19701" t="n">
        <v>0</v>
      </c>
      <c r="K19701" t="n">
        <v>0</v>
      </c>
      <c r="L19701" t="n">
        <v>0</v>
      </c>
      <c r="M19701" t="n">
        <v>0</v>
      </c>
      <c r="N19701" t="n">
        <v>0</v>
      </c>
      <c r="O19701" t="n">
        <v>0</v>
      </c>
      <c r="P19701" t="n">
        <v>0</v>
      </c>
      <c r="Q19701" t="n">
        <v>0</v>
      </c>
      <c r="R19701" s="2" t="inlineStr"/>
    </row>
    <row r="19702" ht="15" customHeight="1">
      <c r="A19702" t="inlineStr">
        <is>
          <t>A 17720-2025</t>
        </is>
      </c>
      <c r="B19702" s="1" t="n">
        <v>45758</v>
      </c>
      <c r="C19702" s="1" t="n">
        <v>45810</v>
      </c>
      <c r="D19702" t="inlineStr">
        <is>
          <t>VÄRMLANDS LÄN</t>
        </is>
      </c>
      <c r="E19702" t="inlineStr">
        <is>
          <t>FILIPSTAD</t>
        </is>
      </c>
      <c r="F19702" t="inlineStr">
        <is>
          <t>Bergvik skog väst AB</t>
        </is>
      </c>
      <c r="G19702" t="n">
        <v>3.8</v>
      </c>
      <c r="H19702" t="n">
        <v>0</v>
      </c>
      <c r="I19702" t="n">
        <v>0</v>
      </c>
      <c r="J19702" t="n">
        <v>0</v>
      </c>
      <c r="K19702" t="n">
        <v>0</v>
      </c>
      <c r="L19702" t="n">
        <v>0</v>
      </c>
      <c r="M19702" t="n">
        <v>0</v>
      </c>
      <c r="N19702" t="n">
        <v>0</v>
      </c>
      <c r="O19702" t="n">
        <v>0</v>
      </c>
      <c r="P19702" t="n">
        <v>0</v>
      </c>
      <c r="Q19702" t="n">
        <v>0</v>
      </c>
      <c r="R19702" s="2" t="inlineStr"/>
    </row>
    <row r="19703" ht="15" customHeight="1">
      <c r="A19703" t="inlineStr">
        <is>
          <t>A 17862-2025</t>
        </is>
      </c>
      <c r="B19703" s="1" t="n">
        <v>45758</v>
      </c>
      <c r="C19703" s="1" t="n">
        <v>45810</v>
      </c>
      <c r="D19703" t="inlineStr">
        <is>
          <t>VÄRMLANDS LÄN</t>
        </is>
      </c>
      <c r="E19703" t="inlineStr">
        <is>
          <t>KARLSTAD</t>
        </is>
      </c>
      <c r="G19703" t="n">
        <v>1.2</v>
      </c>
      <c r="H19703" t="n">
        <v>0</v>
      </c>
      <c r="I19703" t="n">
        <v>0</v>
      </c>
      <c r="J19703" t="n">
        <v>0</v>
      </c>
      <c r="K19703" t="n">
        <v>0</v>
      </c>
      <c r="L19703" t="n">
        <v>0</v>
      </c>
      <c r="M19703" t="n">
        <v>0</v>
      </c>
      <c r="N19703" t="n">
        <v>0</v>
      </c>
      <c r="O19703" t="n">
        <v>0</v>
      </c>
      <c r="P19703" t="n">
        <v>0</v>
      </c>
      <c r="Q19703" t="n">
        <v>0</v>
      </c>
      <c r="R19703" s="2" t="inlineStr"/>
    </row>
    <row r="19704" ht="15" customHeight="1">
      <c r="A19704" t="inlineStr">
        <is>
          <t>A 17654-2025</t>
        </is>
      </c>
      <c r="B19704" s="1" t="n">
        <v>45758</v>
      </c>
      <c r="C19704" s="1" t="n">
        <v>45810</v>
      </c>
      <c r="D19704" t="inlineStr">
        <is>
          <t>VÄRMLANDS LÄN</t>
        </is>
      </c>
      <c r="E19704" t="inlineStr">
        <is>
          <t>SUNNE</t>
        </is>
      </c>
      <c r="G19704" t="n">
        <v>2.1</v>
      </c>
      <c r="H19704" t="n">
        <v>0</v>
      </c>
      <c r="I19704" t="n">
        <v>0</v>
      </c>
      <c r="J19704" t="n">
        <v>0</v>
      </c>
      <c r="K19704" t="n">
        <v>0</v>
      </c>
      <c r="L19704" t="n">
        <v>0</v>
      </c>
      <c r="M19704" t="n">
        <v>0</v>
      </c>
      <c r="N19704" t="n">
        <v>0</v>
      </c>
      <c r="O19704" t="n">
        <v>0</v>
      </c>
      <c r="P19704" t="n">
        <v>0</v>
      </c>
      <c r="Q19704" t="n">
        <v>0</v>
      </c>
      <c r="R19704" s="2" t="inlineStr"/>
    </row>
    <row r="19705" ht="15" customHeight="1">
      <c r="A19705" t="inlineStr">
        <is>
          <t>A 17957-2025</t>
        </is>
      </c>
      <c r="B19705" s="1" t="n">
        <v>45761</v>
      </c>
      <c r="C19705" s="1" t="n">
        <v>45810</v>
      </c>
      <c r="D19705" t="inlineStr">
        <is>
          <t>VÄRMLANDS LÄN</t>
        </is>
      </c>
      <c r="E19705" t="inlineStr">
        <is>
          <t>ARVIKA</t>
        </is>
      </c>
      <c r="G19705" t="n">
        <v>1.5</v>
      </c>
      <c r="H19705" t="n">
        <v>0</v>
      </c>
      <c r="I19705" t="n">
        <v>0</v>
      </c>
      <c r="J19705" t="n">
        <v>0</v>
      </c>
      <c r="K19705" t="n">
        <v>0</v>
      </c>
      <c r="L19705" t="n">
        <v>0</v>
      </c>
      <c r="M19705" t="n">
        <v>0</v>
      </c>
      <c r="N19705" t="n">
        <v>0</v>
      </c>
      <c r="O19705" t="n">
        <v>0</v>
      </c>
      <c r="P19705" t="n">
        <v>0</v>
      </c>
      <c r="Q19705" t="n">
        <v>0</v>
      </c>
      <c r="R19705" s="2" t="inlineStr"/>
    </row>
    <row r="19706" ht="15" customHeight="1">
      <c r="A19706" t="inlineStr">
        <is>
          <t>A 18238-2025</t>
        </is>
      </c>
      <c r="B19706" s="1" t="n">
        <v>45762</v>
      </c>
      <c r="C19706" s="1" t="n">
        <v>45810</v>
      </c>
      <c r="D19706" t="inlineStr">
        <is>
          <t>VÄRMLANDS LÄN</t>
        </is>
      </c>
      <c r="E19706" t="inlineStr">
        <is>
          <t>ARVIKA</t>
        </is>
      </c>
      <c r="G19706" t="n">
        <v>2.6</v>
      </c>
      <c r="H19706" t="n">
        <v>0</v>
      </c>
      <c r="I19706" t="n">
        <v>0</v>
      </c>
      <c r="J19706" t="n">
        <v>0</v>
      </c>
      <c r="K19706" t="n">
        <v>0</v>
      </c>
      <c r="L19706" t="n">
        <v>0</v>
      </c>
      <c r="M19706" t="n">
        <v>0</v>
      </c>
      <c r="N19706" t="n">
        <v>0</v>
      </c>
      <c r="O19706" t="n">
        <v>0</v>
      </c>
      <c r="P19706" t="n">
        <v>0</v>
      </c>
      <c r="Q19706" t="n">
        <v>0</v>
      </c>
      <c r="R19706" s="2" t="inlineStr"/>
    </row>
    <row r="19707" ht="15" customHeight="1">
      <c r="A19707" t="inlineStr">
        <is>
          <t>A 18019-2025</t>
        </is>
      </c>
      <c r="B19707" s="1" t="n">
        <v>45761</v>
      </c>
      <c r="C19707" s="1" t="n">
        <v>45810</v>
      </c>
      <c r="D19707" t="inlineStr">
        <is>
          <t>VÄRMLANDS LÄN</t>
        </is>
      </c>
      <c r="E19707" t="inlineStr">
        <is>
          <t>SUNNE</t>
        </is>
      </c>
      <c r="F19707" t="inlineStr">
        <is>
          <t>Övriga Aktiebolag</t>
        </is>
      </c>
      <c r="G19707" t="n">
        <v>0.8</v>
      </c>
      <c r="H19707" t="n">
        <v>0</v>
      </c>
      <c r="I19707" t="n">
        <v>0</v>
      </c>
      <c r="J19707" t="n">
        <v>0</v>
      </c>
      <c r="K19707" t="n">
        <v>0</v>
      </c>
      <c r="L19707" t="n">
        <v>0</v>
      </c>
      <c r="M19707" t="n">
        <v>0</v>
      </c>
      <c r="N19707" t="n">
        <v>0</v>
      </c>
      <c r="O19707" t="n">
        <v>0</v>
      </c>
      <c r="P19707" t="n">
        <v>0</v>
      </c>
      <c r="Q19707" t="n">
        <v>0</v>
      </c>
      <c r="R19707" s="2" t="inlineStr"/>
    </row>
    <row r="19708" ht="15" customHeight="1">
      <c r="A19708" t="inlineStr">
        <is>
          <t>A 17972-2025</t>
        </is>
      </c>
      <c r="B19708" s="1" t="n">
        <v>45761</v>
      </c>
      <c r="C19708" s="1" t="n">
        <v>45810</v>
      </c>
      <c r="D19708" t="inlineStr">
        <is>
          <t>VÄRMLANDS LÄN</t>
        </is>
      </c>
      <c r="E19708" t="inlineStr">
        <is>
          <t>GRUMS</t>
        </is>
      </c>
      <c r="G19708" t="n">
        <v>0.7</v>
      </c>
      <c r="H19708" t="n">
        <v>0</v>
      </c>
      <c r="I19708" t="n">
        <v>0</v>
      </c>
      <c r="J19708" t="n">
        <v>0</v>
      </c>
      <c r="K19708" t="n">
        <v>0</v>
      </c>
      <c r="L19708" t="n">
        <v>0</v>
      </c>
      <c r="M19708" t="n">
        <v>0</v>
      </c>
      <c r="N19708" t="n">
        <v>0</v>
      </c>
      <c r="O19708" t="n">
        <v>0</v>
      </c>
      <c r="P19708" t="n">
        <v>0</v>
      </c>
      <c r="Q19708" t="n">
        <v>0</v>
      </c>
      <c r="R19708" s="2" t="inlineStr"/>
    </row>
    <row r="19709" ht="15" customHeight="1">
      <c r="A19709" t="inlineStr">
        <is>
          <t>A 18172-2025</t>
        </is>
      </c>
      <c r="B19709" s="1" t="n">
        <v>45761</v>
      </c>
      <c r="C19709" s="1" t="n">
        <v>45810</v>
      </c>
      <c r="D19709" t="inlineStr">
        <is>
          <t>VÄRMLANDS LÄN</t>
        </is>
      </c>
      <c r="E19709" t="inlineStr">
        <is>
          <t>ARVIKA</t>
        </is>
      </c>
      <c r="G19709" t="n">
        <v>4.3</v>
      </c>
      <c r="H19709" t="n">
        <v>0</v>
      </c>
      <c r="I19709" t="n">
        <v>0</v>
      </c>
      <c r="J19709" t="n">
        <v>0</v>
      </c>
      <c r="K19709" t="n">
        <v>0</v>
      </c>
      <c r="L19709" t="n">
        <v>0</v>
      </c>
      <c r="M19709" t="n">
        <v>0</v>
      </c>
      <c r="N19709" t="n">
        <v>0</v>
      </c>
      <c r="O19709" t="n">
        <v>0</v>
      </c>
      <c r="P19709" t="n">
        <v>0</v>
      </c>
      <c r="Q19709" t="n">
        <v>0</v>
      </c>
      <c r="R19709" s="2" t="inlineStr"/>
    </row>
    <row r="19710" ht="15" customHeight="1">
      <c r="A19710" t="inlineStr">
        <is>
          <t>A 18184-2025</t>
        </is>
      </c>
      <c r="B19710" s="1" t="n">
        <v>45761</v>
      </c>
      <c r="C19710" s="1" t="n">
        <v>45810</v>
      </c>
      <c r="D19710" t="inlineStr">
        <is>
          <t>VÄRMLANDS LÄN</t>
        </is>
      </c>
      <c r="E19710" t="inlineStr">
        <is>
          <t>ARVIKA</t>
        </is>
      </c>
      <c r="G19710" t="n">
        <v>5.1</v>
      </c>
      <c r="H19710" t="n">
        <v>0</v>
      </c>
      <c r="I19710" t="n">
        <v>0</v>
      </c>
      <c r="J19710" t="n">
        <v>0</v>
      </c>
      <c r="K19710" t="n">
        <v>0</v>
      </c>
      <c r="L19710" t="n">
        <v>0</v>
      </c>
      <c r="M19710" t="n">
        <v>0</v>
      </c>
      <c r="N19710" t="n">
        <v>0</v>
      </c>
      <c r="O19710" t="n">
        <v>0</v>
      </c>
      <c r="P19710" t="n">
        <v>0</v>
      </c>
      <c r="Q19710" t="n">
        <v>0</v>
      </c>
      <c r="R19710" s="2" t="inlineStr"/>
    </row>
    <row r="19711" ht="15" customHeight="1">
      <c r="A19711" t="inlineStr">
        <is>
          <t>A 18229-2025</t>
        </is>
      </c>
      <c r="B19711" s="1" t="n">
        <v>45761</v>
      </c>
      <c r="C19711" s="1" t="n">
        <v>45810</v>
      </c>
      <c r="D19711" t="inlineStr">
        <is>
          <t>VÄRMLANDS LÄN</t>
        </is>
      </c>
      <c r="E19711" t="inlineStr">
        <is>
          <t>FORSHAGA</t>
        </is>
      </c>
      <c r="G19711" t="n">
        <v>0.6</v>
      </c>
      <c r="H19711" t="n">
        <v>0</v>
      </c>
      <c r="I19711" t="n">
        <v>0</v>
      </c>
      <c r="J19711" t="n">
        <v>0</v>
      </c>
      <c r="K19711" t="n">
        <v>0</v>
      </c>
      <c r="L19711" t="n">
        <v>0</v>
      </c>
      <c r="M19711" t="n">
        <v>0</v>
      </c>
      <c r="N19711" t="n">
        <v>0</v>
      </c>
      <c r="O19711" t="n">
        <v>0</v>
      </c>
      <c r="P19711" t="n">
        <v>0</v>
      </c>
      <c r="Q19711" t="n">
        <v>0</v>
      </c>
      <c r="R19711" s="2" t="inlineStr"/>
    </row>
    <row r="19712" ht="15" customHeight="1">
      <c r="A19712" t="inlineStr">
        <is>
          <t>A 18169-2025</t>
        </is>
      </c>
      <c r="B19712" s="1" t="n">
        <v>45761</v>
      </c>
      <c r="C19712" s="1" t="n">
        <v>45810</v>
      </c>
      <c r="D19712" t="inlineStr">
        <is>
          <t>VÄRMLANDS LÄN</t>
        </is>
      </c>
      <c r="E19712" t="inlineStr">
        <is>
          <t>KARLSTAD</t>
        </is>
      </c>
      <c r="G19712" t="n">
        <v>2.3</v>
      </c>
      <c r="H19712" t="n">
        <v>0</v>
      </c>
      <c r="I19712" t="n">
        <v>0</v>
      </c>
      <c r="J19712" t="n">
        <v>0</v>
      </c>
      <c r="K19712" t="n">
        <v>0</v>
      </c>
      <c r="L19712" t="n">
        <v>0</v>
      </c>
      <c r="M19712" t="n">
        <v>0</v>
      </c>
      <c r="N19712" t="n">
        <v>0</v>
      </c>
      <c r="O19712" t="n">
        <v>0</v>
      </c>
      <c r="P19712" t="n">
        <v>0</v>
      </c>
      <c r="Q19712" t="n">
        <v>0</v>
      </c>
      <c r="R19712" s="2" t="inlineStr"/>
    </row>
    <row r="19713" ht="15" customHeight="1">
      <c r="A19713" t="inlineStr">
        <is>
          <t>A 18221-2025</t>
        </is>
      </c>
      <c r="B19713" s="1" t="n">
        <v>45761</v>
      </c>
      <c r="C19713" s="1" t="n">
        <v>45810</v>
      </c>
      <c r="D19713" t="inlineStr">
        <is>
          <t>VÄRMLANDS LÄN</t>
        </is>
      </c>
      <c r="E19713" t="inlineStr">
        <is>
          <t>HAGFORS</t>
        </is>
      </c>
      <c r="F19713" t="inlineStr">
        <is>
          <t>Bergvik skog väst AB</t>
        </is>
      </c>
      <c r="G19713" t="n">
        <v>0.9</v>
      </c>
      <c r="H19713" t="n">
        <v>0</v>
      </c>
      <c r="I19713" t="n">
        <v>0</v>
      </c>
      <c r="J19713" t="n">
        <v>0</v>
      </c>
      <c r="K19713" t="n">
        <v>0</v>
      </c>
      <c r="L19713" t="n">
        <v>0</v>
      </c>
      <c r="M19713" t="n">
        <v>0</v>
      </c>
      <c r="N19713" t="n">
        <v>0</v>
      </c>
      <c r="O19713" t="n">
        <v>0</v>
      </c>
      <c r="P19713" t="n">
        <v>0</v>
      </c>
      <c r="Q19713" t="n">
        <v>0</v>
      </c>
      <c r="R19713" s="2" t="inlineStr"/>
    </row>
    <row r="19714" ht="15" customHeight="1">
      <c r="A19714" t="inlineStr">
        <is>
          <t>A 18078-2025</t>
        </is>
      </c>
      <c r="B19714" s="1" t="n">
        <v>45761</v>
      </c>
      <c r="C19714" s="1" t="n">
        <v>45810</v>
      </c>
      <c r="D19714" t="inlineStr">
        <is>
          <t>VÄRMLANDS LÄN</t>
        </is>
      </c>
      <c r="E19714" t="inlineStr">
        <is>
          <t>ARVIKA</t>
        </is>
      </c>
      <c r="F19714" t="inlineStr">
        <is>
          <t>Bergvik skog väst AB</t>
        </is>
      </c>
      <c r="G19714" t="n">
        <v>20.9</v>
      </c>
      <c r="H19714" t="n">
        <v>0</v>
      </c>
      <c r="I19714" t="n">
        <v>0</v>
      </c>
      <c r="J19714" t="n">
        <v>0</v>
      </c>
      <c r="K19714" t="n">
        <v>0</v>
      </c>
      <c r="L19714" t="n">
        <v>0</v>
      </c>
      <c r="M19714" t="n">
        <v>0</v>
      </c>
      <c r="N19714" t="n">
        <v>0</v>
      </c>
      <c r="O19714" t="n">
        <v>0</v>
      </c>
      <c r="P19714" t="n">
        <v>0</v>
      </c>
      <c r="Q19714" t="n">
        <v>0</v>
      </c>
      <c r="R19714" s="2" t="inlineStr"/>
    </row>
    <row r="19715" ht="15" customHeight="1">
      <c r="A19715" t="inlineStr">
        <is>
          <t>A 18040-2025</t>
        </is>
      </c>
      <c r="B19715" s="1" t="n">
        <v>45761</v>
      </c>
      <c r="C19715" s="1" t="n">
        <v>45810</v>
      </c>
      <c r="D19715" t="inlineStr">
        <is>
          <t>VÄRMLANDS LÄN</t>
        </is>
      </c>
      <c r="E19715" t="inlineStr">
        <is>
          <t>SÄFFLE</t>
        </is>
      </c>
      <c r="G19715" t="n">
        <v>1.4</v>
      </c>
      <c r="H19715" t="n">
        <v>0</v>
      </c>
      <c r="I19715" t="n">
        <v>0</v>
      </c>
      <c r="J19715" t="n">
        <v>0</v>
      </c>
      <c r="K19715" t="n">
        <v>0</v>
      </c>
      <c r="L19715" t="n">
        <v>0</v>
      </c>
      <c r="M19715" t="n">
        <v>0</v>
      </c>
      <c r="N19715" t="n">
        <v>0</v>
      </c>
      <c r="O19715" t="n">
        <v>0</v>
      </c>
      <c r="P19715" t="n">
        <v>0</v>
      </c>
      <c r="Q19715" t="n">
        <v>0</v>
      </c>
      <c r="R19715" s="2" t="inlineStr"/>
    </row>
    <row r="19716" ht="15" customHeight="1">
      <c r="A19716" t="inlineStr">
        <is>
          <t>A 18160-2025</t>
        </is>
      </c>
      <c r="B19716" s="1" t="n">
        <v>45761</v>
      </c>
      <c r="C19716" s="1" t="n">
        <v>45810</v>
      </c>
      <c r="D19716" t="inlineStr">
        <is>
          <t>VÄRMLANDS LÄN</t>
        </is>
      </c>
      <c r="E19716" t="inlineStr">
        <is>
          <t>HAGFORS</t>
        </is>
      </c>
      <c r="F19716" t="inlineStr">
        <is>
          <t>Bergvik skog väst AB</t>
        </is>
      </c>
      <c r="G19716" t="n">
        <v>11</v>
      </c>
      <c r="H19716" t="n">
        <v>0</v>
      </c>
      <c r="I19716" t="n">
        <v>0</v>
      </c>
      <c r="J19716" t="n">
        <v>0</v>
      </c>
      <c r="K19716" t="n">
        <v>0</v>
      </c>
      <c r="L19716" t="n">
        <v>0</v>
      </c>
      <c r="M19716" t="n">
        <v>0</v>
      </c>
      <c r="N19716" t="n">
        <v>0</v>
      </c>
      <c r="O19716" t="n">
        <v>0</v>
      </c>
      <c r="P19716" t="n">
        <v>0</v>
      </c>
      <c r="Q19716" t="n">
        <v>0</v>
      </c>
      <c r="R19716" s="2" t="inlineStr"/>
    </row>
    <row r="19717" ht="15" customHeight="1">
      <c r="A19717" t="inlineStr">
        <is>
          <t>A 18171-2025</t>
        </is>
      </c>
      <c r="B19717" s="1" t="n">
        <v>45761</v>
      </c>
      <c r="C19717" s="1" t="n">
        <v>45810</v>
      </c>
      <c r="D19717" t="inlineStr">
        <is>
          <t>VÄRMLANDS LÄN</t>
        </is>
      </c>
      <c r="E19717" t="inlineStr">
        <is>
          <t>SUNNE</t>
        </is>
      </c>
      <c r="F19717" t="inlineStr">
        <is>
          <t>Bergvik skog väst AB</t>
        </is>
      </c>
      <c r="G19717" t="n">
        <v>7.5</v>
      </c>
      <c r="H19717" t="n">
        <v>0</v>
      </c>
      <c r="I19717" t="n">
        <v>0</v>
      </c>
      <c r="J19717" t="n">
        <v>0</v>
      </c>
      <c r="K19717" t="n">
        <v>0</v>
      </c>
      <c r="L19717" t="n">
        <v>0</v>
      </c>
      <c r="M19717" t="n">
        <v>0</v>
      </c>
      <c r="N19717" t="n">
        <v>0</v>
      </c>
      <c r="O19717" t="n">
        <v>0</v>
      </c>
      <c r="P19717" t="n">
        <v>0</v>
      </c>
      <c r="Q19717" t="n">
        <v>0</v>
      </c>
      <c r="R19717" s="2" t="inlineStr"/>
    </row>
    <row r="19718" ht="15" customHeight="1">
      <c r="A19718" t="inlineStr">
        <is>
          <t>A 17984-2025</t>
        </is>
      </c>
      <c r="B19718" s="1" t="n">
        <v>45761</v>
      </c>
      <c r="C19718" s="1" t="n">
        <v>45810</v>
      </c>
      <c r="D19718" t="inlineStr">
        <is>
          <t>VÄRMLANDS LÄN</t>
        </is>
      </c>
      <c r="E19718" t="inlineStr">
        <is>
          <t>MUNKFORS</t>
        </is>
      </c>
      <c r="F19718" t="inlineStr">
        <is>
          <t>Bergvik skog väst AB</t>
        </is>
      </c>
      <c r="G19718" t="n">
        <v>17.8</v>
      </c>
      <c r="H19718" t="n">
        <v>0</v>
      </c>
      <c r="I19718" t="n">
        <v>0</v>
      </c>
      <c r="J19718" t="n">
        <v>0</v>
      </c>
      <c r="K19718" t="n">
        <v>0</v>
      </c>
      <c r="L19718" t="n">
        <v>0</v>
      </c>
      <c r="M19718" t="n">
        <v>0</v>
      </c>
      <c r="N19718" t="n">
        <v>0</v>
      </c>
      <c r="O19718" t="n">
        <v>0</v>
      </c>
      <c r="P19718" t="n">
        <v>0</v>
      </c>
      <c r="Q19718" t="n">
        <v>0</v>
      </c>
      <c r="R19718" s="2" t="inlineStr"/>
    </row>
    <row r="19719" ht="15" customHeight="1">
      <c r="A19719" t="inlineStr">
        <is>
          <t>A 18104-2025</t>
        </is>
      </c>
      <c r="B19719" s="1" t="n">
        <v>45761</v>
      </c>
      <c r="C19719" s="1" t="n">
        <v>45810</v>
      </c>
      <c r="D19719" t="inlineStr">
        <is>
          <t>VÄRMLANDS LÄN</t>
        </is>
      </c>
      <c r="E19719" t="inlineStr">
        <is>
          <t>ARVIKA</t>
        </is>
      </c>
      <c r="F19719" t="inlineStr">
        <is>
          <t>Bergvik skog väst AB</t>
        </is>
      </c>
      <c r="G19719" t="n">
        <v>11.1</v>
      </c>
      <c r="H19719" t="n">
        <v>0</v>
      </c>
      <c r="I19719" t="n">
        <v>0</v>
      </c>
      <c r="J19719" t="n">
        <v>0</v>
      </c>
      <c r="K19719" t="n">
        <v>0</v>
      </c>
      <c r="L19719" t="n">
        <v>0</v>
      </c>
      <c r="M19719" t="n">
        <v>0</v>
      </c>
      <c r="N19719" t="n">
        <v>0</v>
      </c>
      <c r="O19719" t="n">
        <v>0</v>
      </c>
      <c r="P19719" t="n">
        <v>0</v>
      </c>
      <c r="Q19719" t="n">
        <v>0</v>
      </c>
      <c r="R19719" s="2" t="inlineStr"/>
    </row>
    <row r="19720" ht="15" customHeight="1">
      <c r="A19720" t="inlineStr">
        <is>
          <t>A 18224-2025</t>
        </is>
      </c>
      <c r="B19720" s="1" t="n">
        <v>45761</v>
      </c>
      <c r="C19720" s="1" t="n">
        <v>45810</v>
      </c>
      <c r="D19720" t="inlineStr">
        <is>
          <t>VÄRMLANDS LÄN</t>
        </is>
      </c>
      <c r="E19720" t="inlineStr">
        <is>
          <t>HAGFORS</t>
        </is>
      </c>
      <c r="F19720" t="inlineStr">
        <is>
          <t>Bergvik skog väst AB</t>
        </is>
      </c>
      <c r="G19720" t="n">
        <v>14</v>
      </c>
      <c r="H19720" t="n">
        <v>0</v>
      </c>
      <c r="I19720" t="n">
        <v>0</v>
      </c>
      <c r="J19720" t="n">
        <v>0</v>
      </c>
      <c r="K19720" t="n">
        <v>0</v>
      </c>
      <c r="L19720" t="n">
        <v>0</v>
      </c>
      <c r="M19720" t="n">
        <v>0</v>
      </c>
      <c r="N19720" t="n">
        <v>0</v>
      </c>
      <c r="O19720" t="n">
        <v>0</v>
      </c>
      <c r="P19720" t="n">
        <v>0</v>
      </c>
      <c r="Q19720" t="n">
        <v>0</v>
      </c>
      <c r="R19720" s="2" t="inlineStr"/>
    </row>
    <row r="19721" ht="15" customHeight="1">
      <c r="A19721" t="inlineStr">
        <is>
          <t>A 18041-2025</t>
        </is>
      </c>
      <c r="B19721" s="1" t="n">
        <v>45761</v>
      </c>
      <c r="C19721" s="1" t="n">
        <v>45810</v>
      </c>
      <c r="D19721" t="inlineStr">
        <is>
          <t>VÄRMLANDS LÄN</t>
        </is>
      </c>
      <c r="E19721" t="inlineStr">
        <is>
          <t>HAGFORS</t>
        </is>
      </c>
      <c r="F19721" t="inlineStr">
        <is>
          <t>Bergvik skog väst AB</t>
        </is>
      </c>
      <c r="G19721" t="n">
        <v>2.2</v>
      </c>
      <c r="H19721" t="n">
        <v>0</v>
      </c>
      <c r="I19721" t="n">
        <v>0</v>
      </c>
      <c r="J19721" t="n">
        <v>0</v>
      </c>
      <c r="K19721" t="n">
        <v>0</v>
      </c>
      <c r="L19721" t="n">
        <v>0</v>
      </c>
      <c r="M19721" t="n">
        <v>0</v>
      </c>
      <c r="N19721" t="n">
        <v>0</v>
      </c>
      <c r="O19721" t="n">
        <v>0</v>
      </c>
      <c r="P19721" t="n">
        <v>0</v>
      </c>
      <c r="Q19721" t="n">
        <v>0</v>
      </c>
      <c r="R19721" s="2" t="inlineStr"/>
    </row>
    <row r="19722" ht="15" customHeight="1">
      <c r="A19722" t="inlineStr">
        <is>
          <t>A 18117-2025</t>
        </is>
      </c>
      <c r="B19722" s="1" t="n">
        <v>45761</v>
      </c>
      <c r="C19722" s="1" t="n">
        <v>45810</v>
      </c>
      <c r="D19722" t="inlineStr">
        <is>
          <t>VÄRMLANDS LÄN</t>
        </is>
      </c>
      <c r="E19722" t="inlineStr">
        <is>
          <t>KIL</t>
        </is>
      </c>
      <c r="G19722" t="n">
        <v>0.6</v>
      </c>
      <c r="H19722" t="n">
        <v>0</v>
      </c>
      <c r="I19722" t="n">
        <v>0</v>
      </c>
      <c r="J19722" t="n">
        <v>0</v>
      </c>
      <c r="K19722" t="n">
        <v>0</v>
      </c>
      <c r="L19722" t="n">
        <v>0</v>
      </c>
      <c r="M19722" t="n">
        <v>0</v>
      </c>
      <c r="N19722" t="n">
        <v>0</v>
      </c>
      <c r="O19722" t="n">
        <v>0</v>
      </c>
      <c r="P19722" t="n">
        <v>0</v>
      </c>
      <c r="Q19722" t="n">
        <v>0</v>
      </c>
      <c r="R19722" s="2" t="inlineStr"/>
    </row>
    <row r="19723" ht="15" customHeight="1">
      <c r="A19723" t="inlineStr">
        <is>
          <t>A 18096-2025</t>
        </is>
      </c>
      <c r="B19723" s="1" t="n">
        <v>45761</v>
      </c>
      <c r="C19723" s="1" t="n">
        <v>45810</v>
      </c>
      <c r="D19723" t="inlineStr">
        <is>
          <t>VÄRMLANDS LÄN</t>
        </is>
      </c>
      <c r="E19723" t="inlineStr">
        <is>
          <t>TORSBY</t>
        </is>
      </c>
      <c r="G19723" t="n">
        <v>3.6</v>
      </c>
      <c r="H19723" t="n">
        <v>0</v>
      </c>
      <c r="I19723" t="n">
        <v>0</v>
      </c>
      <c r="J19723" t="n">
        <v>0</v>
      </c>
      <c r="K19723" t="n">
        <v>0</v>
      </c>
      <c r="L19723" t="n">
        <v>0</v>
      </c>
      <c r="M19723" t="n">
        <v>0</v>
      </c>
      <c r="N19723" t="n">
        <v>0</v>
      </c>
      <c r="O19723" t="n">
        <v>0</v>
      </c>
      <c r="P19723" t="n">
        <v>0</v>
      </c>
      <c r="Q19723" t="n">
        <v>0</v>
      </c>
      <c r="R19723" s="2" t="inlineStr"/>
    </row>
    <row r="19724" ht="15" customHeight="1">
      <c r="A19724" t="inlineStr">
        <is>
          <t>A 18115-2025</t>
        </is>
      </c>
      <c r="B19724" s="1" t="n">
        <v>45761</v>
      </c>
      <c r="C19724" s="1" t="n">
        <v>45810</v>
      </c>
      <c r="D19724" t="inlineStr">
        <is>
          <t>VÄRMLANDS LÄN</t>
        </is>
      </c>
      <c r="E19724" t="inlineStr">
        <is>
          <t>TORSBY</t>
        </is>
      </c>
      <c r="G19724" t="n">
        <v>2.5</v>
      </c>
      <c r="H19724" t="n">
        <v>0</v>
      </c>
      <c r="I19724" t="n">
        <v>0</v>
      </c>
      <c r="J19724" t="n">
        <v>0</v>
      </c>
      <c r="K19724" t="n">
        <v>0</v>
      </c>
      <c r="L19724" t="n">
        <v>0</v>
      </c>
      <c r="M19724" t="n">
        <v>0</v>
      </c>
      <c r="N19724" t="n">
        <v>0</v>
      </c>
      <c r="O19724" t="n">
        <v>0</v>
      </c>
      <c r="P19724" t="n">
        <v>0</v>
      </c>
      <c r="Q19724" t="n">
        <v>0</v>
      </c>
      <c r="R19724" s="2" t="inlineStr"/>
    </row>
    <row r="19725" ht="15" customHeight="1">
      <c r="A19725" t="inlineStr">
        <is>
          <t>A 18342-2025</t>
        </is>
      </c>
      <c r="B19725" s="1" t="n">
        <v>45762</v>
      </c>
      <c r="C19725" s="1" t="n">
        <v>45810</v>
      </c>
      <c r="D19725" t="inlineStr">
        <is>
          <t>VÄRMLANDS LÄN</t>
        </is>
      </c>
      <c r="E19725" t="inlineStr">
        <is>
          <t>KARLSTAD</t>
        </is>
      </c>
      <c r="G19725" t="n">
        <v>1.7</v>
      </c>
      <c r="H19725" t="n">
        <v>0</v>
      </c>
      <c r="I19725" t="n">
        <v>0</v>
      </c>
      <c r="J19725" t="n">
        <v>0</v>
      </c>
      <c r="K19725" t="n">
        <v>0</v>
      </c>
      <c r="L19725" t="n">
        <v>0</v>
      </c>
      <c r="M19725" t="n">
        <v>0</v>
      </c>
      <c r="N19725" t="n">
        <v>0</v>
      </c>
      <c r="O19725" t="n">
        <v>0</v>
      </c>
      <c r="P19725" t="n">
        <v>0</v>
      </c>
      <c r="Q19725" t="n">
        <v>0</v>
      </c>
      <c r="R19725" s="2" t="inlineStr"/>
    </row>
    <row r="19726" ht="15" customHeight="1">
      <c r="A19726" t="inlineStr">
        <is>
          <t>A 18358-2025</t>
        </is>
      </c>
      <c r="B19726" s="1" t="n">
        <v>45762</v>
      </c>
      <c r="C19726" s="1" t="n">
        <v>45810</v>
      </c>
      <c r="D19726" t="inlineStr">
        <is>
          <t>VÄRMLANDS LÄN</t>
        </is>
      </c>
      <c r="E19726" t="inlineStr">
        <is>
          <t>SUNNE</t>
        </is>
      </c>
      <c r="F19726" t="inlineStr">
        <is>
          <t>Bergvik skog väst AB</t>
        </is>
      </c>
      <c r="G19726" t="n">
        <v>5.9</v>
      </c>
      <c r="H19726" t="n">
        <v>0</v>
      </c>
      <c r="I19726" t="n">
        <v>0</v>
      </c>
      <c r="J19726" t="n">
        <v>0</v>
      </c>
      <c r="K19726" t="n">
        <v>0</v>
      </c>
      <c r="L19726" t="n">
        <v>0</v>
      </c>
      <c r="M19726" t="n">
        <v>0</v>
      </c>
      <c r="N19726" t="n">
        <v>0</v>
      </c>
      <c r="O19726" t="n">
        <v>0</v>
      </c>
      <c r="P19726" t="n">
        <v>0</v>
      </c>
      <c r="Q19726" t="n">
        <v>0</v>
      </c>
      <c r="R19726" s="2" t="inlineStr"/>
    </row>
    <row r="19727" ht="15" customHeight="1">
      <c r="A19727" t="inlineStr">
        <is>
          <t>A 18312-2025</t>
        </is>
      </c>
      <c r="B19727" s="1" t="n">
        <v>45762</v>
      </c>
      <c r="C19727" s="1" t="n">
        <v>45810</v>
      </c>
      <c r="D19727" t="inlineStr">
        <is>
          <t>VÄRMLANDS LÄN</t>
        </is>
      </c>
      <c r="E19727" t="inlineStr">
        <is>
          <t>ARVIKA</t>
        </is>
      </c>
      <c r="G19727" t="n">
        <v>3.3</v>
      </c>
      <c r="H19727" t="n">
        <v>0</v>
      </c>
      <c r="I19727" t="n">
        <v>0</v>
      </c>
      <c r="J19727" t="n">
        <v>0</v>
      </c>
      <c r="K19727" t="n">
        <v>0</v>
      </c>
      <c r="L19727" t="n">
        <v>0</v>
      </c>
      <c r="M19727" t="n">
        <v>0</v>
      </c>
      <c r="N19727" t="n">
        <v>0</v>
      </c>
      <c r="O19727" t="n">
        <v>0</v>
      </c>
      <c r="P19727" t="n">
        <v>0</v>
      </c>
      <c r="Q19727" t="n">
        <v>0</v>
      </c>
      <c r="R19727" s="2" t="inlineStr"/>
    </row>
    <row r="19728" ht="15" customHeight="1">
      <c r="A19728" t="inlineStr">
        <is>
          <t>A 18314-2025</t>
        </is>
      </c>
      <c r="B19728" s="1" t="n">
        <v>45762</v>
      </c>
      <c r="C19728" s="1" t="n">
        <v>45810</v>
      </c>
      <c r="D19728" t="inlineStr">
        <is>
          <t>VÄRMLANDS LÄN</t>
        </is>
      </c>
      <c r="E19728" t="inlineStr">
        <is>
          <t>TORSBY</t>
        </is>
      </c>
      <c r="G19728" t="n">
        <v>0.7</v>
      </c>
      <c r="H19728" t="n">
        <v>0</v>
      </c>
      <c r="I19728" t="n">
        <v>0</v>
      </c>
      <c r="J19728" t="n">
        <v>0</v>
      </c>
      <c r="K19728" t="n">
        <v>0</v>
      </c>
      <c r="L19728" t="n">
        <v>0</v>
      </c>
      <c r="M19728" t="n">
        <v>0</v>
      </c>
      <c r="N19728" t="n">
        <v>0</v>
      </c>
      <c r="O19728" t="n">
        <v>0</v>
      </c>
      <c r="P19728" t="n">
        <v>0</v>
      </c>
      <c r="Q19728" t="n">
        <v>0</v>
      </c>
      <c r="R19728" s="2" t="inlineStr"/>
    </row>
    <row r="19729" ht="15" customHeight="1">
      <c r="A19729" t="inlineStr">
        <is>
          <t>A 18407-2025</t>
        </is>
      </c>
      <c r="B19729" s="1" t="n">
        <v>45762</v>
      </c>
      <c r="C19729" s="1" t="n">
        <v>45810</v>
      </c>
      <c r="D19729" t="inlineStr">
        <is>
          <t>VÄRMLANDS LÄN</t>
        </is>
      </c>
      <c r="E19729" t="inlineStr">
        <is>
          <t>SUNNE</t>
        </is>
      </c>
      <c r="G19729" t="n">
        <v>2.7</v>
      </c>
      <c r="H19729" t="n">
        <v>0</v>
      </c>
      <c r="I19729" t="n">
        <v>0</v>
      </c>
      <c r="J19729" t="n">
        <v>0</v>
      </c>
      <c r="K19729" t="n">
        <v>0</v>
      </c>
      <c r="L19729" t="n">
        <v>0</v>
      </c>
      <c r="M19729" t="n">
        <v>0</v>
      </c>
      <c r="N19729" t="n">
        <v>0</v>
      </c>
      <c r="O19729" t="n">
        <v>0</v>
      </c>
      <c r="P19729" t="n">
        <v>0</v>
      </c>
      <c r="Q19729" t="n">
        <v>0</v>
      </c>
      <c r="R19729" s="2" t="inlineStr"/>
    </row>
    <row r="19730" ht="15" customHeight="1">
      <c r="A19730" t="inlineStr">
        <is>
          <t>A 18359-2025</t>
        </is>
      </c>
      <c r="B19730" s="1" t="n">
        <v>45762</v>
      </c>
      <c r="C19730" s="1" t="n">
        <v>45810</v>
      </c>
      <c r="D19730" t="inlineStr">
        <is>
          <t>VÄRMLANDS LÄN</t>
        </is>
      </c>
      <c r="E19730" t="inlineStr">
        <is>
          <t>SUNNE</t>
        </is>
      </c>
      <c r="F19730" t="inlineStr">
        <is>
          <t>Bergvik skog väst AB</t>
        </is>
      </c>
      <c r="G19730" t="n">
        <v>2.1</v>
      </c>
      <c r="H19730" t="n">
        <v>0</v>
      </c>
      <c r="I19730" t="n">
        <v>0</v>
      </c>
      <c r="J19730" t="n">
        <v>0</v>
      </c>
      <c r="K19730" t="n">
        <v>0</v>
      </c>
      <c r="L19730" t="n">
        <v>0</v>
      </c>
      <c r="M19730" t="n">
        <v>0</v>
      </c>
      <c r="N19730" t="n">
        <v>0</v>
      </c>
      <c r="O19730" t="n">
        <v>0</v>
      </c>
      <c r="P19730" t="n">
        <v>0</v>
      </c>
      <c r="Q19730" t="n">
        <v>0</v>
      </c>
      <c r="R19730" s="2" t="inlineStr"/>
    </row>
    <row r="19731" ht="15" customHeight="1">
      <c r="A19731" t="inlineStr">
        <is>
          <t>A 18439-2025</t>
        </is>
      </c>
      <c r="B19731" s="1" t="n">
        <v>45762</v>
      </c>
      <c r="C19731" s="1" t="n">
        <v>45810</v>
      </c>
      <c r="D19731" t="inlineStr">
        <is>
          <t>VÄRMLANDS LÄN</t>
        </is>
      </c>
      <c r="E19731" t="inlineStr">
        <is>
          <t>FORSHAGA</t>
        </is>
      </c>
      <c r="F19731" t="inlineStr">
        <is>
          <t>Bergvik skog väst AB</t>
        </is>
      </c>
      <c r="G19731" t="n">
        <v>1.2</v>
      </c>
      <c r="H19731" t="n">
        <v>0</v>
      </c>
      <c r="I19731" t="n">
        <v>0</v>
      </c>
      <c r="J19731" t="n">
        <v>0</v>
      </c>
      <c r="K19731" t="n">
        <v>0</v>
      </c>
      <c r="L19731" t="n">
        <v>0</v>
      </c>
      <c r="M19731" t="n">
        <v>0</v>
      </c>
      <c r="N19731" t="n">
        <v>0</v>
      </c>
      <c r="O19731" t="n">
        <v>0</v>
      </c>
      <c r="P19731" t="n">
        <v>0</v>
      </c>
      <c r="Q19731" t="n">
        <v>0</v>
      </c>
      <c r="R19731" s="2" t="inlineStr"/>
    </row>
    <row r="19732" ht="15" customHeight="1">
      <c r="A19732" t="inlineStr">
        <is>
          <t>A 18480-2025</t>
        </is>
      </c>
      <c r="B19732" s="1" t="n">
        <v>45763</v>
      </c>
      <c r="C19732" s="1" t="n">
        <v>45810</v>
      </c>
      <c r="D19732" t="inlineStr">
        <is>
          <t>VÄRMLANDS LÄN</t>
        </is>
      </c>
      <c r="E19732" t="inlineStr">
        <is>
          <t>TORSBY</t>
        </is>
      </c>
      <c r="G19732" t="n">
        <v>2.8</v>
      </c>
      <c r="H19732" t="n">
        <v>0</v>
      </c>
      <c r="I19732" t="n">
        <v>0</v>
      </c>
      <c r="J19732" t="n">
        <v>0</v>
      </c>
      <c r="K19732" t="n">
        <v>0</v>
      </c>
      <c r="L19732" t="n">
        <v>0</v>
      </c>
      <c r="M19732" t="n">
        <v>0</v>
      </c>
      <c r="N19732" t="n">
        <v>0</v>
      </c>
      <c r="O19732" t="n">
        <v>0</v>
      </c>
      <c r="P19732" t="n">
        <v>0</v>
      </c>
      <c r="Q19732" t="n">
        <v>0</v>
      </c>
      <c r="R19732" s="2" t="inlineStr"/>
    </row>
    <row r="19733" ht="15" customHeight="1">
      <c r="A19733" t="inlineStr">
        <is>
          <t>A 18341-2025</t>
        </is>
      </c>
      <c r="B19733" s="1" t="n">
        <v>45762</v>
      </c>
      <c r="C19733" s="1" t="n">
        <v>45810</v>
      </c>
      <c r="D19733" t="inlineStr">
        <is>
          <t>VÄRMLANDS LÄN</t>
        </is>
      </c>
      <c r="E19733" t="inlineStr">
        <is>
          <t>GRUMS</t>
        </is>
      </c>
      <c r="G19733" t="n">
        <v>3.1</v>
      </c>
      <c r="H19733" t="n">
        <v>0</v>
      </c>
      <c r="I19733" t="n">
        <v>0</v>
      </c>
      <c r="J19733" t="n">
        <v>0</v>
      </c>
      <c r="K19733" t="n">
        <v>0</v>
      </c>
      <c r="L19733" t="n">
        <v>0</v>
      </c>
      <c r="M19733" t="n">
        <v>0</v>
      </c>
      <c r="N19733" t="n">
        <v>0</v>
      </c>
      <c r="O19733" t="n">
        <v>0</v>
      </c>
      <c r="P19733" t="n">
        <v>0</v>
      </c>
      <c r="Q19733" t="n">
        <v>0</v>
      </c>
      <c r="R19733" s="2" t="inlineStr"/>
    </row>
    <row r="19734" ht="15" customHeight="1">
      <c r="A19734" t="inlineStr">
        <is>
          <t>A 18477-2025</t>
        </is>
      </c>
      <c r="B19734" s="1" t="n">
        <v>45762</v>
      </c>
      <c r="C19734" s="1" t="n">
        <v>45810</v>
      </c>
      <c r="D19734" t="inlineStr">
        <is>
          <t>VÄRMLANDS LÄN</t>
        </is>
      </c>
      <c r="E19734" t="inlineStr">
        <is>
          <t>ARVIKA</t>
        </is>
      </c>
      <c r="G19734" t="n">
        <v>2.2</v>
      </c>
      <c r="H19734" t="n">
        <v>0</v>
      </c>
      <c r="I19734" t="n">
        <v>0</v>
      </c>
      <c r="J19734" t="n">
        <v>0</v>
      </c>
      <c r="K19734" t="n">
        <v>0</v>
      </c>
      <c r="L19734" t="n">
        <v>0</v>
      </c>
      <c r="M19734" t="n">
        <v>0</v>
      </c>
      <c r="N19734" t="n">
        <v>0</v>
      </c>
      <c r="O19734" t="n">
        <v>0</v>
      </c>
      <c r="P19734" t="n">
        <v>0</v>
      </c>
      <c r="Q19734" t="n">
        <v>0</v>
      </c>
      <c r="R19734" s="2" t="inlineStr"/>
    </row>
    <row r="19735" ht="15" customHeight="1">
      <c r="A19735" t="inlineStr">
        <is>
          <t>A 18309-2025</t>
        </is>
      </c>
      <c r="B19735" s="1" t="n">
        <v>45762</v>
      </c>
      <c r="C19735" s="1" t="n">
        <v>45810</v>
      </c>
      <c r="D19735" t="inlineStr">
        <is>
          <t>VÄRMLANDS LÄN</t>
        </is>
      </c>
      <c r="E19735" t="inlineStr">
        <is>
          <t>ÅRJÄNG</t>
        </is>
      </c>
      <c r="G19735" t="n">
        <v>6.2</v>
      </c>
      <c r="H19735" t="n">
        <v>0</v>
      </c>
      <c r="I19735" t="n">
        <v>0</v>
      </c>
      <c r="J19735" t="n">
        <v>0</v>
      </c>
      <c r="K19735" t="n">
        <v>0</v>
      </c>
      <c r="L19735" t="n">
        <v>0</v>
      </c>
      <c r="M19735" t="n">
        <v>0</v>
      </c>
      <c r="N19735" t="n">
        <v>0</v>
      </c>
      <c r="O19735" t="n">
        <v>0</v>
      </c>
      <c r="P19735" t="n">
        <v>0</v>
      </c>
      <c r="Q19735" t="n">
        <v>0</v>
      </c>
      <c r="R19735" s="2" t="inlineStr"/>
    </row>
    <row r="19736" ht="15" customHeight="1">
      <c r="A19736" t="inlineStr">
        <is>
          <t>A 18325-2025</t>
        </is>
      </c>
      <c r="B19736" s="1" t="n">
        <v>45762</v>
      </c>
      <c r="C19736" s="1" t="n">
        <v>45810</v>
      </c>
      <c r="D19736" t="inlineStr">
        <is>
          <t>VÄRMLANDS LÄN</t>
        </is>
      </c>
      <c r="E19736" t="inlineStr">
        <is>
          <t>GRUMS</t>
        </is>
      </c>
      <c r="G19736" t="n">
        <v>1.5</v>
      </c>
      <c r="H19736" t="n">
        <v>0</v>
      </c>
      <c r="I19736" t="n">
        <v>0</v>
      </c>
      <c r="J19736" t="n">
        <v>0</v>
      </c>
      <c r="K19736" t="n">
        <v>0</v>
      </c>
      <c r="L19736" t="n">
        <v>0</v>
      </c>
      <c r="M19736" t="n">
        <v>0</v>
      </c>
      <c r="N19736" t="n">
        <v>0</v>
      </c>
      <c r="O19736" t="n">
        <v>0</v>
      </c>
      <c r="P19736" t="n">
        <v>0</v>
      </c>
      <c r="Q19736" t="n">
        <v>0</v>
      </c>
      <c r="R19736" s="2" t="inlineStr"/>
    </row>
    <row r="19737" ht="15" customHeight="1">
      <c r="A19737" t="inlineStr">
        <is>
          <t>A 18444-2025</t>
        </is>
      </c>
      <c r="B19737" s="1" t="n">
        <v>45762</v>
      </c>
      <c r="C19737" s="1" t="n">
        <v>45810</v>
      </c>
      <c r="D19737" t="inlineStr">
        <is>
          <t>VÄRMLANDS LÄN</t>
        </is>
      </c>
      <c r="E19737" t="inlineStr">
        <is>
          <t>SUNNE</t>
        </is>
      </c>
      <c r="G19737" t="n">
        <v>0.7</v>
      </c>
      <c r="H19737" t="n">
        <v>0</v>
      </c>
      <c r="I19737" t="n">
        <v>0</v>
      </c>
      <c r="J19737" t="n">
        <v>0</v>
      </c>
      <c r="K19737" t="n">
        <v>0</v>
      </c>
      <c r="L19737" t="n">
        <v>0</v>
      </c>
      <c r="M19737" t="n">
        <v>0</v>
      </c>
      <c r="N19737" t="n">
        <v>0</v>
      </c>
      <c r="O19737" t="n">
        <v>0</v>
      </c>
      <c r="P19737" t="n">
        <v>0</v>
      </c>
      <c r="Q19737" t="n">
        <v>0</v>
      </c>
      <c r="R19737" s="2" t="inlineStr"/>
    </row>
    <row r="19738" ht="15" customHeight="1">
      <c r="A19738" t="inlineStr">
        <is>
          <t>A 18239-2025</t>
        </is>
      </c>
      <c r="B19738" s="1" t="n">
        <v>45762</v>
      </c>
      <c r="C19738" s="1" t="n">
        <v>45810</v>
      </c>
      <c r="D19738" t="inlineStr">
        <is>
          <t>VÄRMLANDS LÄN</t>
        </is>
      </c>
      <c r="E19738" t="inlineStr">
        <is>
          <t>KARLSTAD</t>
        </is>
      </c>
      <c r="G19738" t="n">
        <v>1.8</v>
      </c>
      <c r="H19738" t="n">
        <v>0</v>
      </c>
      <c r="I19738" t="n">
        <v>0</v>
      </c>
      <c r="J19738" t="n">
        <v>0</v>
      </c>
      <c r="K19738" t="n">
        <v>0</v>
      </c>
      <c r="L19738" t="n">
        <v>0</v>
      </c>
      <c r="M19738" t="n">
        <v>0</v>
      </c>
      <c r="N19738" t="n">
        <v>0</v>
      </c>
      <c r="O19738" t="n">
        <v>0</v>
      </c>
      <c r="P19738" t="n">
        <v>0</v>
      </c>
      <c r="Q19738" t="n">
        <v>0</v>
      </c>
      <c r="R19738" s="2" t="inlineStr"/>
    </row>
    <row r="19739" ht="15" customHeight="1">
      <c r="A19739" t="inlineStr">
        <is>
          <t>A 18258-2025</t>
        </is>
      </c>
      <c r="B19739" s="1" t="n">
        <v>45762</v>
      </c>
      <c r="C19739" s="1" t="n">
        <v>45810</v>
      </c>
      <c r="D19739" t="inlineStr">
        <is>
          <t>VÄRMLANDS LÄN</t>
        </is>
      </c>
      <c r="E19739" t="inlineStr">
        <is>
          <t>TORSBY</t>
        </is>
      </c>
      <c r="G19739" t="n">
        <v>1.3</v>
      </c>
      <c r="H19739" t="n">
        <v>0</v>
      </c>
      <c r="I19739" t="n">
        <v>0</v>
      </c>
      <c r="J19739" t="n">
        <v>0</v>
      </c>
      <c r="K19739" t="n">
        <v>0</v>
      </c>
      <c r="L19739" t="n">
        <v>0</v>
      </c>
      <c r="M19739" t="n">
        <v>0</v>
      </c>
      <c r="N19739" t="n">
        <v>0</v>
      </c>
      <c r="O19739" t="n">
        <v>0</v>
      </c>
      <c r="P19739" t="n">
        <v>0</v>
      </c>
      <c r="Q19739" t="n">
        <v>0</v>
      </c>
      <c r="R19739" s="2" t="inlineStr"/>
    </row>
    <row r="19740" ht="15" customHeight="1">
      <c r="A19740" t="inlineStr">
        <is>
          <t>A 18389-2025</t>
        </is>
      </c>
      <c r="B19740" s="1" t="n">
        <v>45762</v>
      </c>
      <c r="C19740" s="1" t="n">
        <v>45810</v>
      </c>
      <c r="D19740" t="inlineStr">
        <is>
          <t>VÄRMLANDS LÄN</t>
        </is>
      </c>
      <c r="E19740" t="inlineStr">
        <is>
          <t>SUNNE</t>
        </is>
      </c>
      <c r="F19740" t="inlineStr">
        <is>
          <t>Bergvik skog väst AB</t>
        </is>
      </c>
      <c r="G19740" t="n">
        <v>1.1</v>
      </c>
      <c r="H19740" t="n">
        <v>0</v>
      </c>
      <c r="I19740" t="n">
        <v>0</v>
      </c>
      <c r="J19740" t="n">
        <v>0</v>
      </c>
      <c r="K19740" t="n">
        <v>0</v>
      </c>
      <c r="L19740" t="n">
        <v>0</v>
      </c>
      <c r="M19740" t="n">
        <v>0</v>
      </c>
      <c r="N19740" t="n">
        <v>0</v>
      </c>
      <c r="O19740" t="n">
        <v>0</v>
      </c>
      <c r="P19740" t="n">
        <v>0</v>
      </c>
      <c r="Q19740" t="n">
        <v>0</v>
      </c>
      <c r="R19740" s="2" t="inlineStr"/>
    </row>
    <row r="19741" ht="15" customHeight="1">
      <c r="A19741" t="inlineStr">
        <is>
          <t>A 18388-2025</t>
        </is>
      </c>
      <c r="B19741" s="1" t="n">
        <v>45762</v>
      </c>
      <c r="C19741" s="1" t="n">
        <v>45810</v>
      </c>
      <c r="D19741" t="inlineStr">
        <is>
          <t>VÄRMLANDS LÄN</t>
        </is>
      </c>
      <c r="E19741" t="inlineStr">
        <is>
          <t>ÅRJÄNG</t>
        </is>
      </c>
      <c r="G19741" t="n">
        <v>0.5</v>
      </c>
      <c r="H19741" t="n">
        <v>0</v>
      </c>
      <c r="I19741" t="n">
        <v>0</v>
      </c>
      <c r="J19741" t="n">
        <v>0</v>
      </c>
      <c r="K19741" t="n">
        <v>0</v>
      </c>
      <c r="L19741" t="n">
        <v>0</v>
      </c>
      <c r="M19741" t="n">
        <v>0</v>
      </c>
      <c r="N19741" t="n">
        <v>0</v>
      </c>
      <c r="O19741" t="n">
        <v>0</v>
      </c>
      <c r="P19741" t="n">
        <v>0</v>
      </c>
      <c r="Q19741" t="n">
        <v>0</v>
      </c>
      <c r="R19741" s="2" t="inlineStr"/>
    </row>
    <row r="19742" ht="15" customHeight="1">
      <c r="A19742" t="inlineStr">
        <is>
          <t>A 18402-2025</t>
        </is>
      </c>
      <c r="B19742" s="1" t="n">
        <v>45762</v>
      </c>
      <c r="C19742" s="1" t="n">
        <v>45810</v>
      </c>
      <c r="D19742" t="inlineStr">
        <is>
          <t>VÄRMLANDS LÄN</t>
        </is>
      </c>
      <c r="E19742" t="inlineStr">
        <is>
          <t>TORSBY</t>
        </is>
      </c>
      <c r="G19742" t="n">
        <v>3.9</v>
      </c>
      <c r="H19742" t="n">
        <v>0</v>
      </c>
      <c r="I19742" t="n">
        <v>0</v>
      </c>
      <c r="J19742" t="n">
        <v>0</v>
      </c>
      <c r="K19742" t="n">
        <v>0</v>
      </c>
      <c r="L19742" t="n">
        <v>0</v>
      </c>
      <c r="M19742" t="n">
        <v>0</v>
      </c>
      <c r="N19742" t="n">
        <v>0</v>
      </c>
      <c r="O19742" t="n">
        <v>0</v>
      </c>
      <c r="P19742" t="n">
        <v>0</v>
      </c>
      <c r="Q19742" t="n">
        <v>0</v>
      </c>
      <c r="R19742" s="2" t="inlineStr"/>
    </row>
    <row r="19743" ht="15" customHeight="1">
      <c r="A19743" t="inlineStr">
        <is>
          <t>A 18434-2025</t>
        </is>
      </c>
      <c r="B19743" s="1" t="n">
        <v>45762</v>
      </c>
      <c r="C19743" s="1" t="n">
        <v>45810</v>
      </c>
      <c r="D19743" t="inlineStr">
        <is>
          <t>VÄRMLANDS LÄN</t>
        </is>
      </c>
      <c r="E19743" t="inlineStr">
        <is>
          <t>SUNNE</t>
        </is>
      </c>
      <c r="G19743" t="n">
        <v>2</v>
      </c>
      <c r="H19743" t="n">
        <v>0</v>
      </c>
      <c r="I19743" t="n">
        <v>0</v>
      </c>
      <c r="J19743" t="n">
        <v>0</v>
      </c>
      <c r="K19743" t="n">
        <v>0</v>
      </c>
      <c r="L19743" t="n">
        <v>0</v>
      </c>
      <c r="M19743" t="n">
        <v>0</v>
      </c>
      <c r="N19743" t="n">
        <v>0</v>
      </c>
      <c r="O19743" t="n">
        <v>0</v>
      </c>
      <c r="P19743" t="n">
        <v>0</v>
      </c>
      <c r="Q19743" t="n">
        <v>0</v>
      </c>
      <c r="R19743" s="2" t="inlineStr"/>
    </row>
    <row r="19744" ht="15" customHeight="1">
      <c r="A19744" t="inlineStr">
        <is>
          <t>A 18356-2025</t>
        </is>
      </c>
      <c r="B19744" s="1" t="n">
        <v>45762</v>
      </c>
      <c r="C19744" s="1" t="n">
        <v>45810</v>
      </c>
      <c r="D19744" t="inlineStr">
        <is>
          <t>VÄRMLANDS LÄN</t>
        </is>
      </c>
      <c r="E19744" t="inlineStr">
        <is>
          <t>SUNNE</t>
        </is>
      </c>
      <c r="F19744" t="inlineStr">
        <is>
          <t>Bergvik skog väst AB</t>
        </is>
      </c>
      <c r="G19744" t="n">
        <v>3.4</v>
      </c>
      <c r="H19744" t="n">
        <v>0</v>
      </c>
      <c r="I19744" t="n">
        <v>0</v>
      </c>
      <c r="J19744" t="n">
        <v>0</v>
      </c>
      <c r="K19744" t="n">
        <v>0</v>
      </c>
      <c r="L19744" t="n">
        <v>0</v>
      </c>
      <c r="M19744" t="n">
        <v>0</v>
      </c>
      <c r="N19744" t="n">
        <v>0</v>
      </c>
      <c r="O19744" t="n">
        <v>0</v>
      </c>
      <c r="P19744" t="n">
        <v>0</v>
      </c>
      <c r="Q19744" t="n">
        <v>0</v>
      </c>
      <c r="R19744" s="2" t="inlineStr"/>
    </row>
    <row r="19745" ht="15" customHeight="1">
      <c r="A19745" t="inlineStr">
        <is>
          <t>A 18353-2025</t>
        </is>
      </c>
      <c r="B19745" s="1" t="n">
        <v>45762</v>
      </c>
      <c r="C19745" s="1" t="n">
        <v>45810</v>
      </c>
      <c r="D19745" t="inlineStr">
        <is>
          <t>VÄRMLANDS LÄN</t>
        </is>
      </c>
      <c r="E19745" t="inlineStr">
        <is>
          <t>SUNNE</t>
        </is>
      </c>
      <c r="F19745" t="inlineStr">
        <is>
          <t>Bergvik skog väst AB</t>
        </is>
      </c>
      <c r="G19745" t="n">
        <v>2.5</v>
      </c>
      <c r="H19745" t="n">
        <v>0</v>
      </c>
      <c r="I19745" t="n">
        <v>0</v>
      </c>
      <c r="J19745" t="n">
        <v>0</v>
      </c>
      <c r="K19745" t="n">
        <v>0</v>
      </c>
      <c r="L19745" t="n">
        <v>0</v>
      </c>
      <c r="M19745" t="n">
        <v>0</v>
      </c>
      <c r="N19745" t="n">
        <v>0</v>
      </c>
      <c r="O19745" t="n">
        <v>0</v>
      </c>
      <c r="P19745" t="n">
        <v>0</v>
      </c>
      <c r="Q19745" t="n">
        <v>0</v>
      </c>
      <c r="R19745" s="2" t="inlineStr"/>
    </row>
    <row r="19746" ht="15" customHeight="1">
      <c r="A19746" t="inlineStr">
        <is>
          <t>A 18321-2025</t>
        </is>
      </c>
      <c r="B19746" s="1" t="n">
        <v>45762</v>
      </c>
      <c r="C19746" s="1" t="n">
        <v>45810</v>
      </c>
      <c r="D19746" t="inlineStr">
        <is>
          <t>VÄRMLANDS LÄN</t>
        </is>
      </c>
      <c r="E19746" t="inlineStr">
        <is>
          <t>GRUMS</t>
        </is>
      </c>
      <c r="G19746" t="n">
        <v>1</v>
      </c>
      <c r="H19746" t="n">
        <v>0</v>
      </c>
      <c r="I19746" t="n">
        <v>0</v>
      </c>
      <c r="J19746" t="n">
        <v>0</v>
      </c>
      <c r="K19746" t="n">
        <v>0</v>
      </c>
      <c r="L19746" t="n">
        <v>0</v>
      </c>
      <c r="M19746" t="n">
        <v>0</v>
      </c>
      <c r="N19746" t="n">
        <v>0</v>
      </c>
      <c r="O19746" t="n">
        <v>0</v>
      </c>
      <c r="P19746" t="n">
        <v>0</v>
      </c>
      <c r="Q19746" t="n">
        <v>0</v>
      </c>
      <c r="R19746" s="2" t="inlineStr"/>
    </row>
    <row r="19747" ht="15" customHeight="1">
      <c r="A19747" t="inlineStr">
        <is>
          <t>A 18426-2025</t>
        </is>
      </c>
      <c r="B19747" s="1" t="n">
        <v>45762</v>
      </c>
      <c r="C19747" s="1" t="n">
        <v>45810</v>
      </c>
      <c r="D19747" t="inlineStr">
        <is>
          <t>VÄRMLANDS LÄN</t>
        </is>
      </c>
      <c r="E19747" t="inlineStr">
        <is>
          <t>SUNNE</t>
        </is>
      </c>
      <c r="G19747" t="n">
        <v>8</v>
      </c>
      <c r="H19747" t="n">
        <v>0</v>
      </c>
      <c r="I19747" t="n">
        <v>0</v>
      </c>
      <c r="J19747" t="n">
        <v>0</v>
      </c>
      <c r="K19747" t="n">
        <v>0</v>
      </c>
      <c r="L19747" t="n">
        <v>0</v>
      </c>
      <c r="M19747" t="n">
        <v>0</v>
      </c>
      <c r="N19747" t="n">
        <v>0</v>
      </c>
      <c r="O19747" t="n">
        <v>0</v>
      </c>
      <c r="P19747" t="n">
        <v>0</v>
      </c>
      <c r="Q19747" t="n">
        <v>0</v>
      </c>
      <c r="R19747" s="2" t="inlineStr"/>
    </row>
    <row r="19748" ht="15" customHeight="1">
      <c r="A19748" t="inlineStr">
        <is>
          <t>A 18269-2025</t>
        </is>
      </c>
      <c r="B19748" s="1" t="n">
        <v>45762</v>
      </c>
      <c r="C19748" s="1" t="n">
        <v>45810</v>
      </c>
      <c r="D19748" t="inlineStr">
        <is>
          <t>VÄRMLANDS LÄN</t>
        </is>
      </c>
      <c r="E19748" t="inlineStr">
        <is>
          <t>ARVIKA</t>
        </is>
      </c>
      <c r="G19748" t="n">
        <v>1.1</v>
      </c>
      <c r="H19748" t="n">
        <v>0</v>
      </c>
      <c r="I19748" t="n">
        <v>0</v>
      </c>
      <c r="J19748" t="n">
        <v>0</v>
      </c>
      <c r="K19748" t="n">
        <v>0</v>
      </c>
      <c r="L19748" t="n">
        <v>0</v>
      </c>
      <c r="M19748" t="n">
        <v>0</v>
      </c>
      <c r="N19748" t="n">
        <v>0</v>
      </c>
      <c r="O19748" t="n">
        <v>0</v>
      </c>
      <c r="P19748" t="n">
        <v>0</v>
      </c>
      <c r="Q19748" t="n">
        <v>0</v>
      </c>
      <c r="R19748" s="2" t="inlineStr"/>
    </row>
    <row r="19749" ht="15" customHeight="1">
      <c r="A19749" t="inlineStr">
        <is>
          <t>A 18447-2025</t>
        </is>
      </c>
      <c r="B19749" s="1" t="n">
        <v>45762</v>
      </c>
      <c r="C19749" s="1" t="n">
        <v>45810</v>
      </c>
      <c r="D19749" t="inlineStr">
        <is>
          <t>VÄRMLANDS LÄN</t>
        </is>
      </c>
      <c r="E19749" t="inlineStr">
        <is>
          <t>TORSBY</t>
        </is>
      </c>
      <c r="G19749" t="n">
        <v>12.8</v>
      </c>
      <c r="H19749" t="n">
        <v>0</v>
      </c>
      <c r="I19749" t="n">
        <v>0</v>
      </c>
      <c r="J19749" t="n">
        <v>0</v>
      </c>
      <c r="K19749" t="n">
        <v>0</v>
      </c>
      <c r="L19749" t="n">
        <v>0</v>
      </c>
      <c r="M19749" t="n">
        <v>0</v>
      </c>
      <c r="N19749" t="n">
        <v>0</v>
      </c>
      <c r="O19749" t="n">
        <v>0</v>
      </c>
      <c r="P19749" t="n">
        <v>0</v>
      </c>
      <c r="Q19749" t="n">
        <v>0</v>
      </c>
      <c r="R19749" s="2" t="inlineStr"/>
    </row>
    <row r="19750" ht="15" customHeight="1">
      <c r="A19750" t="inlineStr">
        <is>
          <t>A 18462-2025</t>
        </is>
      </c>
      <c r="B19750" s="1" t="n">
        <v>45762</v>
      </c>
      <c r="C19750" s="1" t="n">
        <v>45810</v>
      </c>
      <c r="D19750" t="inlineStr">
        <is>
          <t>VÄRMLANDS LÄN</t>
        </is>
      </c>
      <c r="E19750" t="inlineStr">
        <is>
          <t>TORSBY</t>
        </is>
      </c>
      <c r="G19750" t="n">
        <v>7.1</v>
      </c>
      <c r="H19750" t="n">
        <v>0</v>
      </c>
      <c r="I19750" t="n">
        <v>0</v>
      </c>
      <c r="J19750" t="n">
        <v>0</v>
      </c>
      <c r="K19750" t="n">
        <v>0</v>
      </c>
      <c r="L19750" t="n">
        <v>0</v>
      </c>
      <c r="M19750" t="n">
        <v>0</v>
      </c>
      <c r="N19750" t="n">
        <v>0</v>
      </c>
      <c r="O19750" t="n">
        <v>0</v>
      </c>
      <c r="P19750" t="n">
        <v>0</v>
      </c>
      <c r="Q19750" t="n">
        <v>0</v>
      </c>
      <c r="R19750" s="2" t="inlineStr"/>
    </row>
    <row r="19751" ht="15" customHeight="1">
      <c r="A19751" t="inlineStr">
        <is>
          <t>A 18331-2025</t>
        </is>
      </c>
      <c r="B19751" s="1" t="n">
        <v>45762</v>
      </c>
      <c r="C19751" s="1" t="n">
        <v>45810</v>
      </c>
      <c r="D19751" t="inlineStr">
        <is>
          <t>VÄRMLANDS LÄN</t>
        </is>
      </c>
      <c r="E19751" t="inlineStr">
        <is>
          <t>TORSBY</t>
        </is>
      </c>
      <c r="G19751" t="n">
        <v>3.4</v>
      </c>
      <c r="H19751" t="n">
        <v>0</v>
      </c>
      <c r="I19751" t="n">
        <v>0</v>
      </c>
      <c r="J19751" t="n">
        <v>0</v>
      </c>
      <c r="K19751" t="n">
        <v>0</v>
      </c>
      <c r="L19751" t="n">
        <v>0</v>
      </c>
      <c r="M19751" t="n">
        <v>0</v>
      </c>
      <c r="N19751" t="n">
        <v>0</v>
      </c>
      <c r="O19751" t="n">
        <v>0</v>
      </c>
      <c r="P19751" t="n">
        <v>0</v>
      </c>
      <c r="Q19751" t="n">
        <v>0</v>
      </c>
      <c r="R19751" s="2" t="inlineStr"/>
    </row>
    <row r="19752" ht="15" customHeight="1">
      <c r="A19752" t="inlineStr">
        <is>
          <t>A 18365-2025</t>
        </is>
      </c>
      <c r="B19752" s="1" t="n">
        <v>45762</v>
      </c>
      <c r="C19752" s="1" t="n">
        <v>45810</v>
      </c>
      <c r="D19752" t="inlineStr">
        <is>
          <t>VÄRMLANDS LÄN</t>
        </is>
      </c>
      <c r="E19752" t="inlineStr">
        <is>
          <t>TORSBY</t>
        </is>
      </c>
      <c r="G19752" t="n">
        <v>3.9</v>
      </c>
      <c r="H19752" t="n">
        <v>0</v>
      </c>
      <c r="I19752" t="n">
        <v>0</v>
      </c>
      <c r="J19752" t="n">
        <v>0</v>
      </c>
      <c r="K19752" t="n">
        <v>0</v>
      </c>
      <c r="L19752" t="n">
        <v>0</v>
      </c>
      <c r="M19752" t="n">
        <v>0</v>
      </c>
      <c r="N19752" t="n">
        <v>0</v>
      </c>
      <c r="O19752" t="n">
        <v>0</v>
      </c>
      <c r="P19752" t="n">
        <v>0</v>
      </c>
      <c r="Q19752" t="n">
        <v>0</v>
      </c>
      <c r="R19752" s="2" t="inlineStr"/>
    </row>
    <row r="19753" ht="15" customHeight="1">
      <c r="A19753" t="inlineStr">
        <is>
          <t>A 18759-2025</t>
        </is>
      </c>
      <c r="B19753" s="1" t="n">
        <v>45763</v>
      </c>
      <c r="C19753" s="1" t="n">
        <v>45810</v>
      </c>
      <c r="D19753" t="inlineStr">
        <is>
          <t>VÄRMLANDS LÄN</t>
        </is>
      </c>
      <c r="E19753" t="inlineStr">
        <is>
          <t>KARLSTAD</t>
        </is>
      </c>
      <c r="G19753" t="n">
        <v>5.5</v>
      </c>
      <c r="H19753" t="n">
        <v>0</v>
      </c>
      <c r="I19753" t="n">
        <v>0</v>
      </c>
      <c r="J19753" t="n">
        <v>0</v>
      </c>
      <c r="K19753" t="n">
        <v>0</v>
      </c>
      <c r="L19753" t="n">
        <v>0</v>
      </c>
      <c r="M19753" t="n">
        <v>0</v>
      </c>
      <c r="N19753" t="n">
        <v>0</v>
      </c>
      <c r="O19753" t="n">
        <v>0</v>
      </c>
      <c r="P19753" t="n">
        <v>0</v>
      </c>
      <c r="Q19753" t="n">
        <v>0</v>
      </c>
      <c r="R19753" s="2" t="inlineStr"/>
    </row>
    <row r="19754" ht="15" customHeight="1">
      <c r="A19754" t="inlineStr">
        <is>
          <t>A 18765-2025</t>
        </is>
      </c>
      <c r="B19754" s="1" t="n">
        <v>45763</v>
      </c>
      <c r="C19754" s="1" t="n">
        <v>45810</v>
      </c>
      <c r="D19754" t="inlineStr">
        <is>
          <t>VÄRMLANDS LÄN</t>
        </is>
      </c>
      <c r="E19754" t="inlineStr">
        <is>
          <t>KRISTINEHAMN</t>
        </is>
      </c>
      <c r="G19754" t="n">
        <v>5.1</v>
      </c>
      <c r="H19754" t="n">
        <v>0</v>
      </c>
      <c r="I19754" t="n">
        <v>0</v>
      </c>
      <c r="J19754" t="n">
        <v>0</v>
      </c>
      <c r="K19754" t="n">
        <v>0</v>
      </c>
      <c r="L19754" t="n">
        <v>0</v>
      </c>
      <c r="M19754" t="n">
        <v>0</v>
      </c>
      <c r="N19754" t="n">
        <v>0</v>
      </c>
      <c r="O19754" t="n">
        <v>0</v>
      </c>
      <c r="P19754" t="n">
        <v>0</v>
      </c>
      <c r="Q19754" t="n">
        <v>0</v>
      </c>
      <c r="R19754" s="2" t="inlineStr"/>
    </row>
    <row r="19755" ht="15" customHeight="1">
      <c r="A19755" t="inlineStr">
        <is>
          <t>A 18727-2025</t>
        </is>
      </c>
      <c r="B19755" s="1" t="n">
        <v>45763</v>
      </c>
      <c r="C19755" s="1" t="n">
        <v>45810</v>
      </c>
      <c r="D19755" t="inlineStr">
        <is>
          <t>VÄRMLANDS LÄN</t>
        </is>
      </c>
      <c r="E19755" t="inlineStr">
        <is>
          <t>KARLSTAD</t>
        </is>
      </c>
      <c r="G19755" t="n">
        <v>5</v>
      </c>
      <c r="H19755" t="n">
        <v>0</v>
      </c>
      <c r="I19755" t="n">
        <v>0</v>
      </c>
      <c r="J19755" t="n">
        <v>0</v>
      </c>
      <c r="K19755" t="n">
        <v>0</v>
      </c>
      <c r="L19755" t="n">
        <v>0</v>
      </c>
      <c r="M19755" t="n">
        <v>0</v>
      </c>
      <c r="N19755" t="n">
        <v>0</v>
      </c>
      <c r="O19755" t="n">
        <v>0</v>
      </c>
      <c r="P19755" t="n">
        <v>0</v>
      </c>
      <c r="Q19755" t="n">
        <v>0</v>
      </c>
      <c r="R19755" s="2" t="inlineStr"/>
    </row>
    <row r="19756" ht="15" customHeight="1">
      <c r="A19756" t="inlineStr">
        <is>
          <t>A 18524-2025</t>
        </is>
      </c>
      <c r="B19756" s="1" t="n">
        <v>45763</v>
      </c>
      <c r="C19756" s="1" t="n">
        <v>45810</v>
      </c>
      <c r="D19756" t="inlineStr">
        <is>
          <t>VÄRMLANDS LÄN</t>
        </is>
      </c>
      <c r="E19756" t="inlineStr">
        <is>
          <t>MUNKFORS</t>
        </is>
      </c>
      <c r="F19756" t="inlineStr">
        <is>
          <t>Bergvik skog väst AB</t>
        </is>
      </c>
      <c r="G19756" t="n">
        <v>3.6</v>
      </c>
      <c r="H19756" t="n">
        <v>0</v>
      </c>
      <c r="I19756" t="n">
        <v>0</v>
      </c>
      <c r="J19756" t="n">
        <v>0</v>
      </c>
      <c r="K19756" t="n">
        <v>0</v>
      </c>
      <c r="L19756" t="n">
        <v>0</v>
      </c>
      <c r="M19756" t="n">
        <v>0</v>
      </c>
      <c r="N19756" t="n">
        <v>0</v>
      </c>
      <c r="O19756" t="n">
        <v>0</v>
      </c>
      <c r="P19756" t="n">
        <v>0</v>
      </c>
      <c r="Q19756" t="n">
        <v>0</v>
      </c>
      <c r="R19756" s="2" t="inlineStr"/>
    </row>
    <row r="19757" ht="15" customHeight="1">
      <c r="A19757" t="inlineStr">
        <is>
          <t>A 18530-2025</t>
        </is>
      </c>
      <c r="B19757" s="1" t="n">
        <v>45763</v>
      </c>
      <c r="C19757" s="1" t="n">
        <v>45810</v>
      </c>
      <c r="D19757" t="inlineStr">
        <is>
          <t>VÄRMLANDS LÄN</t>
        </is>
      </c>
      <c r="E19757" t="inlineStr">
        <is>
          <t>MUNKFORS</t>
        </is>
      </c>
      <c r="F19757" t="inlineStr">
        <is>
          <t>Bergvik skog väst AB</t>
        </is>
      </c>
      <c r="G19757" t="n">
        <v>1.7</v>
      </c>
      <c r="H19757" t="n">
        <v>0</v>
      </c>
      <c r="I19757" t="n">
        <v>0</v>
      </c>
      <c r="J19757" t="n">
        <v>0</v>
      </c>
      <c r="K19757" t="n">
        <v>0</v>
      </c>
      <c r="L19757" t="n">
        <v>0</v>
      </c>
      <c r="M19757" t="n">
        <v>0</v>
      </c>
      <c r="N19757" t="n">
        <v>0</v>
      </c>
      <c r="O19757" t="n">
        <v>0</v>
      </c>
      <c r="P19757" t="n">
        <v>0</v>
      </c>
      <c r="Q19757" t="n">
        <v>0</v>
      </c>
      <c r="R19757" s="2" t="inlineStr"/>
    </row>
    <row r="19758" ht="15" customHeight="1">
      <c r="A19758" t="inlineStr">
        <is>
          <t>A 18775-2025</t>
        </is>
      </c>
      <c r="B19758" s="1" t="n">
        <v>45763</v>
      </c>
      <c r="C19758" s="1" t="n">
        <v>45810</v>
      </c>
      <c r="D19758" t="inlineStr">
        <is>
          <t>VÄRMLANDS LÄN</t>
        </is>
      </c>
      <c r="E19758" t="inlineStr">
        <is>
          <t>KRISTINEHAMN</t>
        </is>
      </c>
      <c r="G19758" t="n">
        <v>3.6</v>
      </c>
      <c r="H19758" t="n">
        <v>0</v>
      </c>
      <c r="I19758" t="n">
        <v>0</v>
      </c>
      <c r="J19758" t="n">
        <v>0</v>
      </c>
      <c r="K19758" t="n">
        <v>0</v>
      </c>
      <c r="L19758" t="n">
        <v>0</v>
      </c>
      <c r="M19758" t="n">
        <v>0</v>
      </c>
      <c r="N19758" t="n">
        <v>0</v>
      </c>
      <c r="O19758" t="n">
        <v>0</v>
      </c>
      <c r="P19758" t="n">
        <v>0</v>
      </c>
      <c r="Q19758" t="n">
        <v>0</v>
      </c>
      <c r="R19758" s="2" t="inlineStr"/>
    </row>
    <row r="19759" ht="15" customHeight="1">
      <c r="A19759" t="inlineStr">
        <is>
          <t>A 18549-2025</t>
        </is>
      </c>
      <c r="B19759" s="1" t="n">
        <v>45763</v>
      </c>
      <c r="C19759" s="1" t="n">
        <v>45810</v>
      </c>
      <c r="D19759" t="inlineStr">
        <is>
          <t>VÄRMLANDS LÄN</t>
        </is>
      </c>
      <c r="E19759" t="inlineStr">
        <is>
          <t>SÄFFLE</t>
        </is>
      </c>
      <c r="G19759" t="n">
        <v>1.4</v>
      </c>
      <c r="H19759" t="n">
        <v>0</v>
      </c>
      <c r="I19759" t="n">
        <v>0</v>
      </c>
      <c r="J19759" t="n">
        <v>0</v>
      </c>
      <c r="K19759" t="n">
        <v>0</v>
      </c>
      <c r="L19759" t="n">
        <v>0</v>
      </c>
      <c r="M19759" t="n">
        <v>0</v>
      </c>
      <c r="N19759" t="n">
        <v>0</v>
      </c>
      <c r="O19759" t="n">
        <v>0</v>
      </c>
      <c r="P19759" t="n">
        <v>0</v>
      </c>
      <c r="Q19759" t="n">
        <v>0</v>
      </c>
      <c r="R19759" s="2" t="inlineStr"/>
    </row>
    <row r="19760" ht="15" customHeight="1">
      <c r="A19760" t="inlineStr">
        <is>
          <t>A 18558-2025</t>
        </is>
      </c>
      <c r="B19760" s="1" t="n">
        <v>45763</v>
      </c>
      <c r="C19760" s="1" t="n">
        <v>45810</v>
      </c>
      <c r="D19760" t="inlineStr">
        <is>
          <t>VÄRMLANDS LÄN</t>
        </is>
      </c>
      <c r="E19760" t="inlineStr">
        <is>
          <t>TORSBY</t>
        </is>
      </c>
      <c r="F19760" t="inlineStr">
        <is>
          <t>Bergvik skog väst AB</t>
        </is>
      </c>
      <c r="G19760" t="n">
        <v>7.7</v>
      </c>
      <c r="H19760" t="n">
        <v>0</v>
      </c>
      <c r="I19760" t="n">
        <v>0</v>
      </c>
      <c r="J19760" t="n">
        <v>0</v>
      </c>
      <c r="K19760" t="n">
        <v>0</v>
      </c>
      <c r="L19760" t="n">
        <v>0</v>
      </c>
      <c r="M19760" t="n">
        <v>0</v>
      </c>
      <c r="N19760" t="n">
        <v>0</v>
      </c>
      <c r="O19760" t="n">
        <v>0</v>
      </c>
      <c r="P19760" t="n">
        <v>0</v>
      </c>
      <c r="Q19760" t="n">
        <v>0</v>
      </c>
      <c r="R19760" s="2" t="inlineStr"/>
    </row>
    <row r="19761" ht="15" customHeight="1">
      <c r="A19761" t="inlineStr">
        <is>
          <t>A 18575-2025</t>
        </is>
      </c>
      <c r="B19761" s="1" t="n">
        <v>45763</v>
      </c>
      <c r="C19761" s="1" t="n">
        <v>45810</v>
      </c>
      <c r="D19761" t="inlineStr">
        <is>
          <t>VÄRMLANDS LÄN</t>
        </is>
      </c>
      <c r="E19761" t="inlineStr">
        <is>
          <t>HAGFORS</t>
        </is>
      </c>
      <c r="F19761" t="inlineStr">
        <is>
          <t>Bergvik skog väst AB</t>
        </is>
      </c>
      <c r="G19761" t="n">
        <v>2.8</v>
      </c>
      <c r="H19761" t="n">
        <v>0</v>
      </c>
      <c r="I19761" t="n">
        <v>0</v>
      </c>
      <c r="J19761" t="n">
        <v>0</v>
      </c>
      <c r="K19761" t="n">
        <v>0</v>
      </c>
      <c r="L19761" t="n">
        <v>0</v>
      </c>
      <c r="M19761" t="n">
        <v>0</v>
      </c>
      <c r="N19761" t="n">
        <v>0</v>
      </c>
      <c r="O19761" t="n">
        <v>0</v>
      </c>
      <c r="P19761" t="n">
        <v>0</v>
      </c>
      <c r="Q19761" t="n">
        <v>0</v>
      </c>
      <c r="R19761" s="2" t="inlineStr"/>
    </row>
    <row r="19762" ht="15" customHeight="1">
      <c r="A19762" t="inlineStr">
        <is>
          <t>A 18501-2025</t>
        </is>
      </c>
      <c r="B19762" s="1" t="n">
        <v>45763</v>
      </c>
      <c r="C19762" s="1" t="n">
        <v>45810</v>
      </c>
      <c r="D19762" t="inlineStr">
        <is>
          <t>VÄRMLANDS LÄN</t>
        </is>
      </c>
      <c r="E19762" t="inlineStr">
        <is>
          <t>TORSBY</t>
        </is>
      </c>
      <c r="F19762" t="inlineStr">
        <is>
          <t>Bergvik skog väst AB</t>
        </is>
      </c>
      <c r="G19762" t="n">
        <v>5.7</v>
      </c>
      <c r="H19762" t="n">
        <v>0</v>
      </c>
      <c r="I19762" t="n">
        <v>0</v>
      </c>
      <c r="J19762" t="n">
        <v>0</v>
      </c>
      <c r="K19762" t="n">
        <v>0</v>
      </c>
      <c r="L19762" t="n">
        <v>0</v>
      </c>
      <c r="M19762" t="n">
        <v>0</v>
      </c>
      <c r="N19762" t="n">
        <v>0</v>
      </c>
      <c r="O19762" t="n">
        <v>0</v>
      </c>
      <c r="P19762" t="n">
        <v>0</v>
      </c>
      <c r="Q19762" t="n">
        <v>0</v>
      </c>
      <c r="R19762" s="2" t="inlineStr"/>
    </row>
    <row r="19763" ht="15" customHeight="1">
      <c r="A19763" t="inlineStr">
        <is>
          <t>A 18504-2025</t>
        </is>
      </c>
      <c r="B19763" s="1" t="n">
        <v>45763</v>
      </c>
      <c r="C19763" s="1" t="n">
        <v>45810</v>
      </c>
      <c r="D19763" t="inlineStr">
        <is>
          <t>VÄRMLANDS LÄN</t>
        </is>
      </c>
      <c r="E19763" t="inlineStr">
        <is>
          <t>KRISTINEHAMN</t>
        </is>
      </c>
      <c r="G19763" t="n">
        <v>2.4</v>
      </c>
      <c r="H19763" t="n">
        <v>0</v>
      </c>
      <c r="I19763" t="n">
        <v>0</v>
      </c>
      <c r="J19763" t="n">
        <v>0</v>
      </c>
      <c r="K19763" t="n">
        <v>0</v>
      </c>
      <c r="L19763" t="n">
        <v>0</v>
      </c>
      <c r="M19763" t="n">
        <v>0</v>
      </c>
      <c r="N19763" t="n">
        <v>0</v>
      </c>
      <c r="O19763" t="n">
        <v>0</v>
      </c>
      <c r="P19763" t="n">
        <v>0</v>
      </c>
      <c r="Q19763" t="n">
        <v>0</v>
      </c>
      <c r="R19763" s="2" t="inlineStr"/>
    </row>
    <row r="19764" ht="15" customHeight="1">
      <c r="A19764" t="inlineStr">
        <is>
          <t>A 18584-2025</t>
        </is>
      </c>
      <c r="B19764" s="1" t="n">
        <v>45763</v>
      </c>
      <c r="C19764" s="1" t="n">
        <v>45810</v>
      </c>
      <c r="D19764" t="inlineStr">
        <is>
          <t>VÄRMLANDS LÄN</t>
        </is>
      </c>
      <c r="E19764" t="inlineStr">
        <is>
          <t>TORSBY</t>
        </is>
      </c>
      <c r="F19764" t="inlineStr">
        <is>
          <t>Kyrkan</t>
        </is>
      </c>
      <c r="G19764" t="n">
        <v>4.5</v>
      </c>
      <c r="H19764" t="n">
        <v>0</v>
      </c>
      <c r="I19764" t="n">
        <v>0</v>
      </c>
      <c r="J19764" t="n">
        <v>0</v>
      </c>
      <c r="K19764" t="n">
        <v>0</v>
      </c>
      <c r="L19764" t="n">
        <v>0</v>
      </c>
      <c r="M19764" t="n">
        <v>0</v>
      </c>
      <c r="N19764" t="n">
        <v>0</v>
      </c>
      <c r="O19764" t="n">
        <v>0</v>
      </c>
      <c r="P19764" t="n">
        <v>0</v>
      </c>
      <c r="Q19764" t="n">
        <v>0</v>
      </c>
      <c r="R19764" s="2" t="inlineStr"/>
    </row>
    <row r="19765" ht="15" customHeight="1">
      <c r="A19765" t="inlineStr">
        <is>
          <t>A 18534-2025</t>
        </is>
      </c>
      <c r="B19765" s="1" t="n">
        <v>45763</v>
      </c>
      <c r="C19765" s="1" t="n">
        <v>45810</v>
      </c>
      <c r="D19765" t="inlineStr">
        <is>
          <t>VÄRMLANDS LÄN</t>
        </is>
      </c>
      <c r="E19765" t="inlineStr">
        <is>
          <t>FILIPSTAD</t>
        </is>
      </c>
      <c r="F19765" t="inlineStr">
        <is>
          <t>Bergvik skog väst AB</t>
        </is>
      </c>
      <c r="G19765" t="n">
        <v>6.3</v>
      </c>
      <c r="H19765" t="n">
        <v>0</v>
      </c>
      <c r="I19765" t="n">
        <v>0</v>
      </c>
      <c r="J19765" t="n">
        <v>0</v>
      </c>
      <c r="K19765" t="n">
        <v>0</v>
      </c>
      <c r="L19765" t="n">
        <v>0</v>
      </c>
      <c r="M19765" t="n">
        <v>0</v>
      </c>
      <c r="N19765" t="n">
        <v>0</v>
      </c>
      <c r="O19765" t="n">
        <v>0</v>
      </c>
      <c r="P19765" t="n">
        <v>0</v>
      </c>
      <c r="Q19765" t="n">
        <v>0</v>
      </c>
      <c r="R19765" s="2" t="inlineStr"/>
    </row>
    <row r="19766" ht="15" customHeight="1">
      <c r="A19766" t="inlineStr">
        <is>
          <t>A 18964-2025</t>
        </is>
      </c>
      <c r="B19766" s="1" t="n">
        <v>45763</v>
      </c>
      <c r="C19766" s="1" t="n">
        <v>45810</v>
      </c>
      <c r="D19766" t="inlineStr">
        <is>
          <t>VÄRMLANDS LÄN</t>
        </is>
      </c>
      <c r="E19766" t="inlineStr">
        <is>
          <t>SUNNE</t>
        </is>
      </c>
      <c r="G19766" t="n">
        <v>0.8</v>
      </c>
      <c r="H19766" t="n">
        <v>0</v>
      </c>
      <c r="I19766" t="n">
        <v>0</v>
      </c>
      <c r="J19766" t="n">
        <v>0</v>
      </c>
      <c r="K19766" t="n">
        <v>0</v>
      </c>
      <c r="L19766" t="n">
        <v>0</v>
      </c>
      <c r="M19766" t="n">
        <v>0</v>
      </c>
      <c r="N19766" t="n">
        <v>0</v>
      </c>
      <c r="O19766" t="n">
        <v>0</v>
      </c>
      <c r="P19766" t="n">
        <v>0</v>
      </c>
      <c r="Q19766" t="n">
        <v>0</v>
      </c>
      <c r="R19766" s="2" t="inlineStr"/>
    </row>
    <row r="19767" ht="15" customHeight="1">
      <c r="A19767" t="inlineStr">
        <is>
          <t>A 18622-2025</t>
        </is>
      </c>
      <c r="B19767" s="1" t="n">
        <v>45763</v>
      </c>
      <c r="C19767" s="1" t="n">
        <v>45810</v>
      </c>
      <c r="D19767" t="inlineStr">
        <is>
          <t>VÄRMLANDS LÄN</t>
        </is>
      </c>
      <c r="E19767" t="inlineStr">
        <is>
          <t>SÄFFLE</t>
        </is>
      </c>
      <c r="G19767" t="n">
        <v>2.5</v>
      </c>
      <c r="H19767" t="n">
        <v>0</v>
      </c>
      <c r="I19767" t="n">
        <v>0</v>
      </c>
      <c r="J19767" t="n">
        <v>0</v>
      </c>
      <c r="K19767" t="n">
        <v>0</v>
      </c>
      <c r="L19767" t="n">
        <v>0</v>
      </c>
      <c r="M19767" t="n">
        <v>0</v>
      </c>
      <c r="N19767" t="n">
        <v>0</v>
      </c>
      <c r="O19767" t="n">
        <v>0</v>
      </c>
      <c r="P19767" t="n">
        <v>0</v>
      </c>
      <c r="Q19767" t="n">
        <v>0</v>
      </c>
      <c r="R19767" s="2" t="inlineStr"/>
    </row>
    <row r="19768" ht="15" customHeight="1">
      <c r="A19768" t="inlineStr">
        <is>
          <t>A 18585-2025</t>
        </is>
      </c>
      <c r="B19768" s="1" t="n">
        <v>45763</v>
      </c>
      <c r="C19768" s="1" t="n">
        <v>45810</v>
      </c>
      <c r="D19768" t="inlineStr">
        <is>
          <t>VÄRMLANDS LÄN</t>
        </is>
      </c>
      <c r="E19768" t="inlineStr">
        <is>
          <t>HAGFORS</t>
        </is>
      </c>
      <c r="F19768" t="inlineStr">
        <is>
          <t>Kyrkan</t>
        </is>
      </c>
      <c r="G19768" t="n">
        <v>7.9</v>
      </c>
      <c r="H19768" t="n">
        <v>0</v>
      </c>
      <c r="I19768" t="n">
        <v>0</v>
      </c>
      <c r="J19768" t="n">
        <v>0</v>
      </c>
      <c r="K19768" t="n">
        <v>0</v>
      </c>
      <c r="L19768" t="n">
        <v>0</v>
      </c>
      <c r="M19768" t="n">
        <v>0</v>
      </c>
      <c r="N19768" t="n">
        <v>0</v>
      </c>
      <c r="O19768" t="n">
        <v>0</v>
      </c>
      <c r="P19768" t="n">
        <v>0</v>
      </c>
      <c r="Q19768" t="n">
        <v>0</v>
      </c>
      <c r="R19768" s="2" t="inlineStr"/>
    </row>
    <row r="19769" ht="15" customHeight="1">
      <c r="A19769" t="inlineStr">
        <is>
          <t>A 18779-2025</t>
        </is>
      </c>
      <c r="B19769" s="1" t="n">
        <v>45763</v>
      </c>
      <c r="C19769" s="1" t="n">
        <v>45810</v>
      </c>
      <c r="D19769" t="inlineStr">
        <is>
          <t>VÄRMLANDS LÄN</t>
        </is>
      </c>
      <c r="E19769" t="inlineStr">
        <is>
          <t>KRISTINEHAMN</t>
        </is>
      </c>
      <c r="G19769" t="n">
        <v>1.8</v>
      </c>
      <c r="H19769" t="n">
        <v>0</v>
      </c>
      <c r="I19769" t="n">
        <v>0</v>
      </c>
      <c r="J19769" t="n">
        <v>0</v>
      </c>
      <c r="K19769" t="n">
        <v>0</v>
      </c>
      <c r="L19769" t="n">
        <v>0</v>
      </c>
      <c r="M19769" t="n">
        <v>0</v>
      </c>
      <c r="N19769" t="n">
        <v>0</v>
      </c>
      <c r="O19769" t="n">
        <v>0</v>
      </c>
      <c r="P19769" t="n">
        <v>0</v>
      </c>
      <c r="Q19769" t="n">
        <v>0</v>
      </c>
      <c r="R19769" s="2" t="inlineStr"/>
    </row>
    <row r="19770" ht="15" customHeight="1">
      <c r="A19770" t="inlineStr">
        <is>
          <t>A 18642-2025</t>
        </is>
      </c>
      <c r="B19770" s="1" t="n">
        <v>45763</v>
      </c>
      <c r="C19770" s="1" t="n">
        <v>45810</v>
      </c>
      <c r="D19770" t="inlineStr">
        <is>
          <t>VÄRMLANDS LÄN</t>
        </is>
      </c>
      <c r="E19770" t="inlineStr">
        <is>
          <t>EDA</t>
        </is>
      </c>
      <c r="G19770" t="n">
        <v>1.6</v>
      </c>
      <c r="H19770" t="n">
        <v>0</v>
      </c>
      <c r="I19770" t="n">
        <v>0</v>
      </c>
      <c r="J19770" t="n">
        <v>0</v>
      </c>
      <c r="K19770" t="n">
        <v>0</v>
      </c>
      <c r="L19770" t="n">
        <v>0</v>
      </c>
      <c r="M19770" t="n">
        <v>0</v>
      </c>
      <c r="N19770" t="n">
        <v>0</v>
      </c>
      <c r="O19770" t="n">
        <v>0</v>
      </c>
      <c r="P19770" t="n">
        <v>0</v>
      </c>
      <c r="Q19770" t="n">
        <v>0</v>
      </c>
      <c r="R19770" s="2" t="inlineStr"/>
    </row>
    <row r="19771" ht="15" customHeight="1">
      <c r="A19771" t="inlineStr">
        <is>
          <t>A 18684-2025</t>
        </is>
      </c>
      <c r="B19771" s="1" t="n">
        <v>45763</v>
      </c>
      <c r="C19771" s="1" t="n">
        <v>45810</v>
      </c>
      <c r="D19771" t="inlineStr">
        <is>
          <t>VÄRMLANDS LÄN</t>
        </is>
      </c>
      <c r="E19771" t="inlineStr">
        <is>
          <t>TORSBY</t>
        </is>
      </c>
      <c r="G19771" t="n">
        <v>4.5</v>
      </c>
      <c r="H19771" t="n">
        <v>0</v>
      </c>
      <c r="I19771" t="n">
        <v>0</v>
      </c>
      <c r="J19771" t="n">
        <v>0</v>
      </c>
      <c r="K19771" t="n">
        <v>0</v>
      </c>
      <c r="L19771" t="n">
        <v>0</v>
      </c>
      <c r="M19771" t="n">
        <v>0</v>
      </c>
      <c r="N19771" t="n">
        <v>0</v>
      </c>
      <c r="O19771" t="n">
        <v>0</v>
      </c>
      <c r="P19771" t="n">
        <v>0</v>
      </c>
      <c r="Q19771" t="n">
        <v>0</v>
      </c>
      <c r="R19771" s="2" t="inlineStr"/>
    </row>
    <row r="19772" ht="15" customHeight="1">
      <c r="A19772" t="inlineStr">
        <is>
          <t>A 18564-2025</t>
        </is>
      </c>
      <c r="B19772" s="1" t="n">
        <v>45763</v>
      </c>
      <c r="C19772" s="1" t="n">
        <v>45810</v>
      </c>
      <c r="D19772" t="inlineStr">
        <is>
          <t>VÄRMLANDS LÄN</t>
        </is>
      </c>
      <c r="E19772" t="inlineStr">
        <is>
          <t>TORSBY</t>
        </is>
      </c>
      <c r="G19772" t="n">
        <v>0.9</v>
      </c>
      <c r="H19772" t="n">
        <v>0</v>
      </c>
      <c r="I19772" t="n">
        <v>0</v>
      </c>
      <c r="J19772" t="n">
        <v>0</v>
      </c>
      <c r="K19772" t="n">
        <v>0</v>
      </c>
      <c r="L19772" t="n">
        <v>0</v>
      </c>
      <c r="M19772" t="n">
        <v>0</v>
      </c>
      <c r="N19772" t="n">
        <v>0</v>
      </c>
      <c r="O19772" t="n">
        <v>0</v>
      </c>
      <c r="P19772" t="n">
        <v>0</v>
      </c>
      <c r="Q19772" t="n">
        <v>0</v>
      </c>
      <c r="R19772" s="2" t="inlineStr"/>
    </row>
    <row r="19773" ht="15" customHeight="1">
      <c r="A19773" t="inlineStr">
        <is>
          <t>A 18628-2025</t>
        </is>
      </c>
      <c r="B19773" s="1" t="n">
        <v>45763</v>
      </c>
      <c r="C19773" s="1" t="n">
        <v>45810</v>
      </c>
      <c r="D19773" t="inlineStr">
        <is>
          <t>VÄRMLANDS LÄN</t>
        </is>
      </c>
      <c r="E19773" t="inlineStr">
        <is>
          <t>HAGFORS</t>
        </is>
      </c>
      <c r="G19773" t="n">
        <v>0.9</v>
      </c>
      <c r="H19773" t="n">
        <v>0</v>
      </c>
      <c r="I19773" t="n">
        <v>0</v>
      </c>
      <c r="J19773" t="n">
        <v>0</v>
      </c>
      <c r="K19773" t="n">
        <v>0</v>
      </c>
      <c r="L19773" t="n">
        <v>0</v>
      </c>
      <c r="M19773" t="n">
        <v>0</v>
      </c>
      <c r="N19773" t="n">
        <v>0</v>
      </c>
      <c r="O19773" t="n">
        <v>0</v>
      </c>
      <c r="P19773" t="n">
        <v>0</v>
      </c>
      <c r="Q19773" t="n">
        <v>0</v>
      </c>
      <c r="R19773" s="2" t="inlineStr"/>
    </row>
    <row r="19774" ht="15" customHeight="1">
      <c r="A19774" t="inlineStr">
        <is>
          <t>A 18630-2025</t>
        </is>
      </c>
      <c r="B19774" s="1" t="n">
        <v>45763</v>
      </c>
      <c r="C19774" s="1" t="n">
        <v>45810</v>
      </c>
      <c r="D19774" t="inlineStr">
        <is>
          <t>VÄRMLANDS LÄN</t>
        </is>
      </c>
      <c r="E19774" t="inlineStr">
        <is>
          <t>HAGFORS</t>
        </is>
      </c>
      <c r="G19774" t="n">
        <v>1.5</v>
      </c>
      <c r="H19774" t="n">
        <v>0</v>
      </c>
      <c r="I19774" t="n">
        <v>0</v>
      </c>
      <c r="J19774" t="n">
        <v>0</v>
      </c>
      <c r="K19774" t="n">
        <v>0</v>
      </c>
      <c r="L19774" t="n">
        <v>0</v>
      </c>
      <c r="M19774" t="n">
        <v>0</v>
      </c>
      <c r="N19774" t="n">
        <v>0</v>
      </c>
      <c r="O19774" t="n">
        <v>0</v>
      </c>
      <c r="P19774" t="n">
        <v>0</v>
      </c>
      <c r="Q19774" t="n">
        <v>0</v>
      </c>
      <c r="R19774" s="2" t="inlineStr"/>
    </row>
    <row r="19775" ht="15" customHeight="1">
      <c r="A19775" t="inlineStr">
        <is>
          <t>A 18629-2025</t>
        </is>
      </c>
      <c r="B19775" s="1" t="n">
        <v>45763</v>
      </c>
      <c r="C19775" s="1" t="n">
        <v>45810</v>
      </c>
      <c r="D19775" t="inlineStr">
        <is>
          <t>VÄRMLANDS LÄN</t>
        </is>
      </c>
      <c r="E19775" t="inlineStr">
        <is>
          <t>HAGFORS</t>
        </is>
      </c>
      <c r="G19775" t="n">
        <v>1.2</v>
      </c>
      <c r="H19775" t="n">
        <v>0</v>
      </c>
      <c r="I19775" t="n">
        <v>0</v>
      </c>
      <c r="J19775" t="n">
        <v>0</v>
      </c>
      <c r="K19775" t="n">
        <v>0</v>
      </c>
      <c r="L19775" t="n">
        <v>0</v>
      </c>
      <c r="M19775" t="n">
        <v>0</v>
      </c>
      <c r="N19775" t="n">
        <v>0</v>
      </c>
      <c r="O19775" t="n">
        <v>0</v>
      </c>
      <c r="P19775" t="n">
        <v>0</v>
      </c>
      <c r="Q19775" t="n">
        <v>0</v>
      </c>
      <c r="R19775" s="2" t="inlineStr"/>
    </row>
    <row r="19776" ht="15" customHeight="1">
      <c r="A19776" t="inlineStr">
        <is>
          <t>A 18595-2025</t>
        </is>
      </c>
      <c r="B19776" s="1" t="n">
        <v>45763</v>
      </c>
      <c r="C19776" s="1" t="n">
        <v>45810</v>
      </c>
      <c r="D19776" t="inlineStr">
        <is>
          <t>VÄRMLANDS LÄN</t>
        </is>
      </c>
      <c r="E19776" t="inlineStr">
        <is>
          <t>TORSBY</t>
        </is>
      </c>
      <c r="F19776" t="inlineStr">
        <is>
          <t>Kyrkan</t>
        </is>
      </c>
      <c r="G19776" t="n">
        <v>7.9</v>
      </c>
      <c r="H19776" t="n">
        <v>0</v>
      </c>
      <c r="I19776" t="n">
        <v>0</v>
      </c>
      <c r="J19776" t="n">
        <v>0</v>
      </c>
      <c r="K19776" t="n">
        <v>0</v>
      </c>
      <c r="L19776" t="n">
        <v>0</v>
      </c>
      <c r="M19776" t="n">
        <v>0</v>
      </c>
      <c r="N19776" t="n">
        <v>0</v>
      </c>
      <c r="O19776" t="n">
        <v>0</v>
      </c>
      <c r="P19776" t="n">
        <v>0</v>
      </c>
      <c r="Q19776" t="n">
        <v>0</v>
      </c>
      <c r="R19776" s="2" t="inlineStr"/>
    </row>
    <row r="19777" ht="15" customHeight="1">
      <c r="A19777" t="inlineStr">
        <is>
          <t>A 18676-2025</t>
        </is>
      </c>
      <c r="B19777" s="1" t="n">
        <v>45763</v>
      </c>
      <c r="C19777" s="1" t="n">
        <v>45810</v>
      </c>
      <c r="D19777" t="inlineStr">
        <is>
          <t>VÄRMLANDS LÄN</t>
        </is>
      </c>
      <c r="E19777" t="inlineStr">
        <is>
          <t>TORSBY</t>
        </is>
      </c>
      <c r="G19777" t="n">
        <v>1.8</v>
      </c>
      <c r="H19777" t="n">
        <v>0</v>
      </c>
      <c r="I19777" t="n">
        <v>0</v>
      </c>
      <c r="J19777" t="n">
        <v>0</v>
      </c>
      <c r="K19777" t="n">
        <v>0</v>
      </c>
      <c r="L19777" t="n">
        <v>0</v>
      </c>
      <c r="M19777" t="n">
        <v>0</v>
      </c>
      <c r="N19777" t="n">
        <v>0</v>
      </c>
      <c r="O19777" t="n">
        <v>0</v>
      </c>
      <c r="P19777" t="n">
        <v>0</v>
      </c>
      <c r="Q19777" t="n">
        <v>0</v>
      </c>
      <c r="R19777" s="2" t="inlineStr"/>
    </row>
    <row r="19778" ht="15" customHeight="1">
      <c r="A19778" t="inlineStr">
        <is>
          <t>A 18576-2025</t>
        </is>
      </c>
      <c r="B19778" s="1" t="n">
        <v>45763</v>
      </c>
      <c r="C19778" s="1" t="n">
        <v>45810</v>
      </c>
      <c r="D19778" t="inlineStr">
        <is>
          <t>VÄRMLANDS LÄN</t>
        </is>
      </c>
      <c r="E19778" t="inlineStr">
        <is>
          <t>TORSBY</t>
        </is>
      </c>
      <c r="G19778" t="n">
        <v>0.6</v>
      </c>
      <c r="H19778" t="n">
        <v>0</v>
      </c>
      <c r="I19778" t="n">
        <v>0</v>
      </c>
      <c r="J19778" t="n">
        <v>0</v>
      </c>
      <c r="K19778" t="n">
        <v>0</v>
      </c>
      <c r="L19778" t="n">
        <v>0</v>
      </c>
      <c r="M19778" t="n">
        <v>0</v>
      </c>
      <c r="N19778" t="n">
        <v>0</v>
      </c>
      <c r="O19778" t="n">
        <v>0</v>
      </c>
      <c r="P19778" t="n">
        <v>0</v>
      </c>
      <c r="Q19778" t="n">
        <v>0</v>
      </c>
      <c r="R19778" s="2" t="inlineStr"/>
    </row>
    <row r="19779" ht="15" customHeight="1">
      <c r="A19779" t="inlineStr">
        <is>
          <t>A 18540-2025</t>
        </is>
      </c>
      <c r="B19779" s="1" t="n">
        <v>45763</v>
      </c>
      <c r="C19779" s="1" t="n">
        <v>45810</v>
      </c>
      <c r="D19779" t="inlineStr">
        <is>
          <t>VÄRMLANDS LÄN</t>
        </is>
      </c>
      <c r="E19779" t="inlineStr">
        <is>
          <t>FILIPSTAD</t>
        </is>
      </c>
      <c r="F19779" t="inlineStr">
        <is>
          <t>Bergvik skog väst AB</t>
        </is>
      </c>
      <c r="G19779" t="n">
        <v>2.3</v>
      </c>
      <c r="H19779" t="n">
        <v>0</v>
      </c>
      <c r="I19779" t="n">
        <v>0</v>
      </c>
      <c r="J19779" t="n">
        <v>0</v>
      </c>
      <c r="K19779" t="n">
        <v>0</v>
      </c>
      <c r="L19779" t="n">
        <v>0</v>
      </c>
      <c r="M19779" t="n">
        <v>0</v>
      </c>
      <c r="N19779" t="n">
        <v>0</v>
      </c>
      <c r="O19779" t="n">
        <v>0</v>
      </c>
      <c r="P19779" t="n">
        <v>0</v>
      </c>
      <c r="Q19779" t="n">
        <v>0</v>
      </c>
      <c r="R19779" s="2" t="inlineStr"/>
    </row>
    <row r="19780" ht="15" customHeight="1">
      <c r="A19780" t="inlineStr">
        <is>
          <t>A 19028-2025</t>
        </is>
      </c>
      <c r="B19780" s="1" t="n">
        <v>45764</v>
      </c>
      <c r="C19780" s="1" t="n">
        <v>45810</v>
      </c>
      <c r="D19780" t="inlineStr">
        <is>
          <t>VÄRMLANDS LÄN</t>
        </is>
      </c>
      <c r="E19780" t="inlineStr">
        <is>
          <t>SUNNE</t>
        </is>
      </c>
      <c r="G19780" t="n">
        <v>3.8</v>
      </c>
      <c r="H19780" t="n">
        <v>0</v>
      </c>
      <c r="I19780" t="n">
        <v>0</v>
      </c>
      <c r="J19780" t="n">
        <v>0</v>
      </c>
      <c r="K19780" t="n">
        <v>0</v>
      </c>
      <c r="L19780" t="n">
        <v>0</v>
      </c>
      <c r="M19780" t="n">
        <v>0</v>
      </c>
      <c r="N19780" t="n">
        <v>0</v>
      </c>
      <c r="O19780" t="n">
        <v>0</v>
      </c>
      <c r="P19780" t="n">
        <v>0</v>
      </c>
      <c r="Q19780" t="n">
        <v>0</v>
      </c>
      <c r="R19780" s="2" t="inlineStr"/>
    </row>
    <row r="19781" ht="15" customHeight="1">
      <c r="A19781" t="inlineStr">
        <is>
          <t>A 19024-2025</t>
        </is>
      </c>
      <c r="B19781" s="1" t="n">
        <v>45764</v>
      </c>
      <c r="C19781" s="1" t="n">
        <v>45810</v>
      </c>
      <c r="D19781" t="inlineStr">
        <is>
          <t>VÄRMLANDS LÄN</t>
        </is>
      </c>
      <c r="E19781" t="inlineStr">
        <is>
          <t>SUNNE</t>
        </is>
      </c>
      <c r="G19781" t="n">
        <v>1.6</v>
      </c>
      <c r="H19781" t="n">
        <v>0</v>
      </c>
      <c r="I19781" t="n">
        <v>0</v>
      </c>
      <c r="J19781" t="n">
        <v>0</v>
      </c>
      <c r="K19781" t="n">
        <v>0</v>
      </c>
      <c r="L19781" t="n">
        <v>0</v>
      </c>
      <c r="M19781" t="n">
        <v>0</v>
      </c>
      <c r="N19781" t="n">
        <v>0</v>
      </c>
      <c r="O19781" t="n">
        <v>0</v>
      </c>
      <c r="P19781" t="n">
        <v>0</v>
      </c>
      <c r="Q19781" t="n">
        <v>0</v>
      </c>
      <c r="R19781" s="2" t="inlineStr"/>
    </row>
    <row r="19782" ht="15" customHeight="1">
      <c r="A19782" t="inlineStr">
        <is>
          <t>A 19049-2025</t>
        </is>
      </c>
      <c r="B19782" s="1" t="n">
        <v>45764</v>
      </c>
      <c r="C19782" s="1" t="n">
        <v>45810</v>
      </c>
      <c r="D19782" t="inlineStr">
        <is>
          <t>VÄRMLANDS LÄN</t>
        </is>
      </c>
      <c r="E19782" t="inlineStr">
        <is>
          <t>EDA</t>
        </is>
      </c>
      <c r="G19782" t="n">
        <v>1.2</v>
      </c>
      <c r="H19782" t="n">
        <v>0</v>
      </c>
      <c r="I19782" t="n">
        <v>0</v>
      </c>
      <c r="J19782" t="n">
        <v>0</v>
      </c>
      <c r="K19782" t="n">
        <v>0</v>
      </c>
      <c r="L19782" t="n">
        <v>0</v>
      </c>
      <c r="M19782" t="n">
        <v>0</v>
      </c>
      <c r="N19782" t="n">
        <v>0</v>
      </c>
      <c r="O19782" t="n">
        <v>0</v>
      </c>
      <c r="P19782" t="n">
        <v>0</v>
      </c>
      <c r="Q19782" t="n">
        <v>0</v>
      </c>
      <c r="R19782" s="2" t="inlineStr"/>
    </row>
    <row r="19783" ht="15" customHeight="1">
      <c r="A19783" t="inlineStr">
        <is>
          <t>A 19052-2025</t>
        </is>
      </c>
      <c r="B19783" s="1" t="n">
        <v>45764</v>
      </c>
      <c r="C19783" s="1" t="n">
        <v>45810</v>
      </c>
      <c r="D19783" t="inlineStr">
        <is>
          <t>VÄRMLANDS LÄN</t>
        </is>
      </c>
      <c r="E19783" t="inlineStr">
        <is>
          <t>EDA</t>
        </is>
      </c>
      <c r="G19783" t="n">
        <v>0.7</v>
      </c>
      <c r="H19783" t="n">
        <v>0</v>
      </c>
      <c r="I19783" t="n">
        <v>0</v>
      </c>
      <c r="J19783" t="n">
        <v>0</v>
      </c>
      <c r="K19783" t="n">
        <v>0</v>
      </c>
      <c r="L19783" t="n">
        <v>0</v>
      </c>
      <c r="M19783" t="n">
        <v>0</v>
      </c>
      <c r="N19783" t="n">
        <v>0</v>
      </c>
      <c r="O19783" t="n">
        <v>0</v>
      </c>
      <c r="P19783" t="n">
        <v>0</v>
      </c>
      <c r="Q19783" t="n">
        <v>0</v>
      </c>
      <c r="R19783" s="2" t="inlineStr"/>
    </row>
    <row r="19784" ht="15" customHeight="1">
      <c r="A19784" t="inlineStr">
        <is>
          <t>A 19016-2025</t>
        </is>
      </c>
      <c r="B19784" s="1" t="n">
        <v>45764</v>
      </c>
      <c r="C19784" s="1" t="n">
        <v>45810</v>
      </c>
      <c r="D19784" t="inlineStr">
        <is>
          <t>VÄRMLANDS LÄN</t>
        </is>
      </c>
      <c r="E19784" t="inlineStr">
        <is>
          <t>SUNNE</t>
        </is>
      </c>
      <c r="F19784" t="inlineStr">
        <is>
          <t>Bergvik skog väst AB</t>
        </is>
      </c>
      <c r="G19784" t="n">
        <v>2.6</v>
      </c>
      <c r="H19784" t="n">
        <v>0</v>
      </c>
      <c r="I19784" t="n">
        <v>0</v>
      </c>
      <c r="J19784" t="n">
        <v>0</v>
      </c>
      <c r="K19784" t="n">
        <v>0</v>
      </c>
      <c r="L19784" t="n">
        <v>0</v>
      </c>
      <c r="M19784" t="n">
        <v>0</v>
      </c>
      <c r="N19784" t="n">
        <v>0</v>
      </c>
      <c r="O19784" t="n">
        <v>0</v>
      </c>
      <c r="P19784" t="n">
        <v>0</v>
      </c>
      <c r="Q19784" t="n">
        <v>0</v>
      </c>
      <c r="R19784" s="2" t="inlineStr"/>
    </row>
    <row r="19785" ht="15" customHeight="1">
      <c r="A19785" t="inlineStr">
        <is>
          <t>A 19022-2025</t>
        </is>
      </c>
      <c r="B19785" s="1" t="n">
        <v>45764</v>
      </c>
      <c r="C19785" s="1" t="n">
        <v>45810</v>
      </c>
      <c r="D19785" t="inlineStr">
        <is>
          <t>VÄRMLANDS LÄN</t>
        </is>
      </c>
      <c r="E19785" t="inlineStr">
        <is>
          <t>SUNNE</t>
        </is>
      </c>
      <c r="G19785" t="n">
        <v>2.3</v>
      </c>
      <c r="H19785" t="n">
        <v>0</v>
      </c>
      <c r="I19785" t="n">
        <v>0</v>
      </c>
      <c r="J19785" t="n">
        <v>0</v>
      </c>
      <c r="K19785" t="n">
        <v>0</v>
      </c>
      <c r="L19785" t="n">
        <v>0</v>
      </c>
      <c r="M19785" t="n">
        <v>0</v>
      </c>
      <c r="N19785" t="n">
        <v>0</v>
      </c>
      <c r="O19785" t="n">
        <v>0</v>
      </c>
      <c r="P19785" t="n">
        <v>0</v>
      </c>
      <c r="Q19785" t="n">
        <v>0</v>
      </c>
      <c r="R19785" s="2" t="inlineStr"/>
    </row>
    <row r="19786" ht="15" customHeight="1">
      <c r="A19786" t="inlineStr">
        <is>
          <t>A 18820-2025</t>
        </is>
      </c>
      <c r="B19786" s="1" t="n">
        <v>45764</v>
      </c>
      <c r="C19786" s="1" t="n">
        <v>45810</v>
      </c>
      <c r="D19786" t="inlineStr">
        <is>
          <t>VÄRMLANDS LÄN</t>
        </is>
      </c>
      <c r="E19786" t="inlineStr">
        <is>
          <t>SÄFFLE</t>
        </is>
      </c>
      <c r="G19786" t="n">
        <v>1</v>
      </c>
      <c r="H19786" t="n">
        <v>0</v>
      </c>
      <c r="I19786" t="n">
        <v>0</v>
      </c>
      <c r="J19786" t="n">
        <v>0</v>
      </c>
      <c r="K19786" t="n">
        <v>0</v>
      </c>
      <c r="L19786" t="n">
        <v>0</v>
      </c>
      <c r="M19786" t="n">
        <v>0</v>
      </c>
      <c r="N19786" t="n">
        <v>0</v>
      </c>
      <c r="O19786" t="n">
        <v>0</v>
      </c>
      <c r="P19786" t="n">
        <v>0</v>
      </c>
      <c r="Q19786" t="n">
        <v>0</v>
      </c>
      <c r="R19786" s="2" t="inlineStr"/>
    </row>
    <row r="19787" ht="15" customHeight="1">
      <c r="A19787" t="inlineStr">
        <is>
          <t>A 18811-2025</t>
        </is>
      </c>
      <c r="B19787" s="1" t="n">
        <v>45764</v>
      </c>
      <c r="C19787" s="1" t="n">
        <v>45810</v>
      </c>
      <c r="D19787" t="inlineStr">
        <is>
          <t>VÄRMLANDS LÄN</t>
        </is>
      </c>
      <c r="E19787" t="inlineStr">
        <is>
          <t>FORSHAGA</t>
        </is>
      </c>
      <c r="G19787" t="n">
        <v>2</v>
      </c>
      <c r="H19787" t="n">
        <v>0</v>
      </c>
      <c r="I19787" t="n">
        <v>0</v>
      </c>
      <c r="J19787" t="n">
        <v>0</v>
      </c>
      <c r="K19787" t="n">
        <v>0</v>
      </c>
      <c r="L19787" t="n">
        <v>0</v>
      </c>
      <c r="M19787" t="n">
        <v>0</v>
      </c>
      <c r="N19787" t="n">
        <v>0</v>
      </c>
      <c r="O19787" t="n">
        <v>0</v>
      </c>
      <c r="P19787" t="n">
        <v>0</v>
      </c>
      <c r="Q19787" t="n">
        <v>0</v>
      </c>
      <c r="R19787" s="2" t="inlineStr"/>
    </row>
    <row r="19788" ht="15" customHeight="1">
      <c r="A19788" t="inlineStr">
        <is>
          <t>A 18907-2025</t>
        </is>
      </c>
      <c r="B19788" s="1" t="n">
        <v>45764</v>
      </c>
      <c r="C19788" s="1" t="n">
        <v>45810</v>
      </c>
      <c r="D19788" t="inlineStr">
        <is>
          <t>VÄRMLANDS LÄN</t>
        </is>
      </c>
      <c r="E19788" t="inlineStr">
        <is>
          <t>HAGFORS</t>
        </is>
      </c>
      <c r="F19788" t="inlineStr">
        <is>
          <t>Bergvik skog väst AB</t>
        </is>
      </c>
      <c r="G19788" t="n">
        <v>3.8</v>
      </c>
      <c r="H19788" t="n">
        <v>0</v>
      </c>
      <c r="I19788" t="n">
        <v>0</v>
      </c>
      <c r="J19788" t="n">
        <v>0</v>
      </c>
      <c r="K19788" t="n">
        <v>0</v>
      </c>
      <c r="L19788" t="n">
        <v>0</v>
      </c>
      <c r="M19788" t="n">
        <v>0</v>
      </c>
      <c r="N19788" t="n">
        <v>0</v>
      </c>
      <c r="O19788" t="n">
        <v>0</v>
      </c>
      <c r="P19788" t="n">
        <v>0</v>
      </c>
      <c r="Q19788" t="n">
        <v>0</v>
      </c>
      <c r="R19788" s="2" t="inlineStr"/>
    </row>
    <row r="19789" ht="15" customHeight="1">
      <c r="A19789" t="inlineStr">
        <is>
          <t>A 19058-2025</t>
        </is>
      </c>
      <c r="B19789" s="1" t="n">
        <v>45764</v>
      </c>
      <c r="C19789" s="1" t="n">
        <v>45810</v>
      </c>
      <c r="D19789" t="inlineStr">
        <is>
          <t>VÄRMLANDS LÄN</t>
        </is>
      </c>
      <c r="E19789" t="inlineStr">
        <is>
          <t>EDA</t>
        </is>
      </c>
      <c r="G19789" t="n">
        <v>2.3</v>
      </c>
      <c r="H19789" t="n">
        <v>0</v>
      </c>
      <c r="I19789" t="n">
        <v>0</v>
      </c>
      <c r="J19789" t="n">
        <v>0</v>
      </c>
      <c r="K19789" t="n">
        <v>0</v>
      </c>
      <c r="L19789" t="n">
        <v>0</v>
      </c>
      <c r="M19789" t="n">
        <v>0</v>
      </c>
      <c r="N19789" t="n">
        <v>0</v>
      </c>
      <c r="O19789" t="n">
        <v>0</v>
      </c>
      <c r="P19789" t="n">
        <v>0</v>
      </c>
      <c r="Q19789" t="n">
        <v>0</v>
      </c>
      <c r="R19789" s="2" t="inlineStr"/>
    </row>
    <row r="19790" ht="15" customHeight="1">
      <c r="A19790" t="inlineStr">
        <is>
          <t>A 18818-2025</t>
        </is>
      </c>
      <c r="B19790" s="1" t="n">
        <v>45764</v>
      </c>
      <c r="C19790" s="1" t="n">
        <v>45810</v>
      </c>
      <c r="D19790" t="inlineStr">
        <is>
          <t>VÄRMLANDS LÄN</t>
        </is>
      </c>
      <c r="E19790" t="inlineStr">
        <is>
          <t>EDA</t>
        </is>
      </c>
      <c r="G19790" t="n">
        <v>4.5</v>
      </c>
      <c r="H19790" t="n">
        <v>0</v>
      </c>
      <c r="I19790" t="n">
        <v>0</v>
      </c>
      <c r="J19790" t="n">
        <v>0</v>
      </c>
      <c r="K19790" t="n">
        <v>0</v>
      </c>
      <c r="L19790" t="n">
        <v>0</v>
      </c>
      <c r="M19790" t="n">
        <v>0</v>
      </c>
      <c r="N19790" t="n">
        <v>0</v>
      </c>
      <c r="O19790" t="n">
        <v>0</v>
      </c>
      <c r="P19790" t="n">
        <v>0</v>
      </c>
      <c r="Q19790" t="n">
        <v>0</v>
      </c>
      <c r="R19790" s="2" t="inlineStr"/>
    </row>
    <row r="19791" ht="15" customHeight="1">
      <c r="A19791" t="inlineStr">
        <is>
          <t>A 18822-2025</t>
        </is>
      </c>
      <c r="B19791" s="1" t="n">
        <v>45764</v>
      </c>
      <c r="C19791" s="1" t="n">
        <v>45810</v>
      </c>
      <c r="D19791" t="inlineStr">
        <is>
          <t>VÄRMLANDS LÄN</t>
        </is>
      </c>
      <c r="E19791" t="inlineStr">
        <is>
          <t>SÄFFLE</t>
        </is>
      </c>
      <c r="G19791" t="n">
        <v>0.7</v>
      </c>
      <c r="H19791" t="n">
        <v>0</v>
      </c>
      <c r="I19791" t="n">
        <v>0</v>
      </c>
      <c r="J19791" t="n">
        <v>0</v>
      </c>
      <c r="K19791" t="n">
        <v>0</v>
      </c>
      <c r="L19791" t="n">
        <v>0</v>
      </c>
      <c r="M19791" t="n">
        <v>0</v>
      </c>
      <c r="N19791" t="n">
        <v>0</v>
      </c>
      <c r="O19791" t="n">
        <v>0</v>
      </c>
      <c r="P19791" t="n">
        <v>0</v>
      </c>
      <c r="Q19791" t="n">
        <v>0</v>
      </c>
      <c r="R19791" s="2" t="inlineStr"/>
    </row>
    <row r="19792" ht="15" customHeight="1">
      <c r="A19792" t="inlineStr">
        <is>
          <t>A 18817-2025</t>
        </is>
      </c>
      <c r="B19792" s="1" t="n">
        <v>45764</v>
      </c>
      <c r="C19792" s="1" t="n">
        <v>45810</v>
      </c>
      <c r="D19792" t="inlineStr">
        <is>
          <t>VÄRMLANDS LÄN</t>
        </is>
      </c>
      <c r="E19792" t="inlineStr">
        <is>
          <t>ARVIKA</t>
        </is>
      </c>
      <c r="F19792" t="inlineStr">
        <is>
          <t>Bergvik skog väst AB</t>
        </is>
      </c>
      <c r="G19792" t="n">
        <v>1</v>
      </c>
      <c r="H19792" t="n">
        <v>0</v>
      </c>
      <c r="I19792" t="n">
        <v>0</v>
      </c>
      <c r="J19792" t="n">
        <v>0</v>
      </c>
      <c r="K19792" t="n">
        <v>0</v>
      </c>
      <c r="L19792" t="n">
        <v>0</v>
      </c>
      <c r="M19792" t="n">
        <v>0</v>
      </c>
      <c r="N19792" t="n">
        <v>0</v>
      </c>
      <c r="O19792" t="n">
        <v>0</v>
      </c>
      <c r="P19792" t="n">
        <v>0</v>
      </c>
      <c r="Q19792" t="n">
        <v>0</v>
      </c>
      <c r="R19792" s="2" t="inlineStr"/>
    </row>
    <row r="19793" ht="15" customHeight="1">
      <c r="A19793" t="inlineStr">
        <is>
          <t>A 18925-2025</t>
        </is>
      </c>
      <c r="B19793" s="1" t="n">
        <v>45764</v>
      </c>
      <c r="C19793" s="1" t="n">
        <v>45810</v>
      </c>
      <c r="D19793" t="inlineStr">
        <is>
          <t>VÄRMLANDS LÄN</t>
        </is>
      </c>
      <c r="E19793" t="inlineStr">
        <is>
          <t>SUNNE</t>
        </is>
      </c>
      <c r="F19793" t="inlineStr">
        <is>
          <t>Bergvik skog väst AB</t>
        </is>
      </c>
      <c r="G19793" t="n">
        <v>2.6</v>
      </c>
      <c r="H19793" t="n">
        <v>0</v>
      </c>
      <c r="I19793" t="n">
        <v>0</v>
      </c>
      <c r="J19793" t="n">
        <v>0</v>
      </c>
      <c r="K19793" t="n">
        <v>0</v>
      </c>
      <c r="L19793" t="n">
        <v>0</v>
      </c>
      <c r="M19793" t="n">
        <v>0</v>
      </c>
      <c r="N19793" t="n">
        <v>0</v>
      </c>
      <c r="O19793" t="n">
        <v>0</v>
      </c>
      <c r="P19793" t="n">
        <v>0</v>
      </c>
      <c r="Q19793" t="n">
        <v>0</v>
      </c>
      <c r="R19793" s="2" t="inlineStr"/>
    </row>
    <row r="19794" ht="15" customHeight="1">
      <c r="A19794" t="inlineStr">
        <is>
          <t>A 18934-2025</t>
        </is>
      </c>
      <c r="B19794" s="1" t="n">
        <v>45764</v>
      </c>
      <c r="C19794" s="1" t="n">
        <v>45810</v>
      </c>
      <c r="D19794" t="inlineStr">
        <is>
          <t>VÄRMLANDS LÄN</t>
        </is>
      </c>
      <c r="E19794" t="inlineStr">
        <is>
          <t>HAGFORS</t>
        </is>
      </c>
      <c r="F19794" t="inlineStr">
        <is>
          <t>Bergvik skog väst AB</t>
        </is>
      </c>
      <c r="G19794" t="n">
        <v>2.9</v>
      </c>
      <c r="H19794" t="n">
        <v>0</v>
      </c>
      <c r="I19794" t="n">
        <v>0</v>
      </c>
      <c r="J19794" t="n">
        <v>0</v>
      </c>
      <c r="K19794" t="n">
        <v>0</v>
      </c>
      <c r="L19794" t="n">
        <v>0</v>
      </c>
      <c r="M19794" t="n">
        <v>0</v>
      </c>
      <c r="N19794" t="n">
        <v>0</v>
      </c>
      <c r="O19794" t="n">
        <v>0</v>
      </c>
      <c r="P19794" t="n">
        <v>0</v>
      </c>
      <c r="Q19794" t="n">
        <v>0</v>
      </c>
      <c r="R19794" s="2" t="inlineStr"/>
    </row>
    <row r="19795" ht="15" customHeight="1">
      <c r="A19795" t="inlineStr">
        <is>
          <t>A 18973-2025</t>
        </is>
      </c>
      <c r="B19795" s="1" t="n">
        <v>45764</v>
      </c>
      <c r="C19795" s="1" t="n">
        <v>45810</v>
      </c>
      <c r="D19795" t="inlineStr">
        <is>
          <t>VÄRMLANDS LÄN</t>
        </is>
      </c>
      <c r="E19795" t="inlineStr">
        <is>
          <t>TORSBY</t>
        </is>
      </c>
      <c r="G19795" t="n">
        <v>2</v>
      </c>
      <c r="H19795" t="n">
        <v>0</v>
      </c>
      <c r="I19795" t="n">
        <v>0</v>
      </c>
      <c r="J19795" t="n">
        <v>0</v>
      </c>
      <c r="K19795" t="n">
        <v>0</v>
      </c>
      <c r="L19795" t="n">
        <v>0</v>
      </c>
      <c r="M19795" t="n">
        <v>0</v>
      </c>
      <c r="N19795" t="n">
        <v>0</v>
      </c>
      <c r="O19795" t="n">
        <v>0</v>
      </c>
      <c r="P19795" t="n">
        <v>0</v>
      </c>
      <c r="Q19795" t="n">
        <v>0</v>
      </c>
      <c r="R19795" s="2" t="inlineStr"/>
    </row>
    <row r="19796" ht="15" customHeight="1">
      <c r="A19796" t="inlineStr">
        <is>
          <t>A 18801-2025</t>
        </is>
      </c>
      <c r="B19796" s="1" t="n">
        <v>45764</v>
      </c>
      <c r="C19796" s="1" t="n">
        <v>45810</v>
      </c>
      <c r="D19796" t="inlineStr">
        <is>
          <t>VÄRMLANDS LÄN</t>
        </is>
      </c>
      <c r="E19796" t="inlineStr">
        <is>
          <t>SUNNE</t>
        </is>
      </c>
      <c r="F19796" t="inlineStr">
        <is>
          <t>Bergvik skog väst AB</t>
        </is>
      </c>
      <c r="G19796" t="n">
        <v>1.4</v>
      </c>
      <c r="H19796" t="n">
        <v>0</v>
      </c>
      <c r="I19796" t="n">
        <v>0</v>
      </c>
      <c r="J19796" t="n">
        <v>0</v>
      </c>
      <c r="K19796" t="n">
        <v>0</v>
      </c>
      <c r="L19796" t="n">
        <v>0</v>
      </c>
      <c r="M19796" t="n">
        <v>0</v>
      </c>
      <c r="N19796" t="n">
        <v>0</v>
      </c>
      <c r="O19796" t="n">
        <v>0</v>
      </c>
      <c r="P19796" t="n">
        <v>0</v>
      </c>
      <c r="Q19796" t="n">
        <v>0</v>
      </c>
      <c r="R19796" s="2" t="inlineStr"/>
    </row>
    <row r="19797" ht="15" customHeight="1">
      <c r="A19797" t="inlineStr">
        <is>
          <t>A 18977-2025</t>
        </is>
      </c>
      <c r="B19797" s="1" t="n">
        <v>45764</v>
      </c>
      <c r="C19797" s="1" t="n">
        <v>45810</v>
      </c>
      <c r="D19797" t="inlineStr">
        <is>
          <t>VÄRMLANDS LÄN</t>
        </is>
      </c>
      <c r="E19797" t="inlineStr">
        <is>
          <t>TORSBY</t>
        </is>
      </c>
      <c r="F19797" t="inlineStr">
        <is>
          <t>Bergvik skog väst AB</t>
        </is>
      </c>
      <c r="G19797" t="n">
        <v>24.8</v>
      </c>
      <c r="H19797" t="n">
        <v>0</v>
      </c>
      <c r="I19797" t="n">
        <v>0</v>
      </c>
      <c r="J19797" t="n">
        <v>0</v>
      </c>
      <c r="K19797" t="n">
        <v>0</v>
      </c>
      <c r="L19797" t="n">
        <v>0</v>
      </c>
      <c r="M19797" t="n">
        <v>0</v>
      </c>
      <c r="N19797" t="n">
        <v>0</v>
      </c>
      <c r="O19797" t="n">
        <v>0</v>
      </c>
      <c r="P19797" t="n">
        <v>0</v>
      </c>
      <c r="Q19797" t="n">
        <v>0</v>
      </c>
      <c r="R19797" s="2" t="inlineStr"/>
    </row>
    <row r="19798" ht="15" customHeight="1">
      <c r="A19798" t="inlineStr">
        <is>
          <t>A 18872-2025</t>
        </is>
      </c>
      <c r="B19798" s="1" t="n">
        <v>45764</v>
      </c>
      <c r="C19798" s="1" t="n">
        <v>45810</v>
      </c>
      <c r="D19798" t="inlineStr">
        <is>
          <t>VÄRMLANDS LÄN</t>
        </is>
      </c>
      <c r="E19798" t="inlineStr">
        <is>
          <t>SUNNE</t>
        </is>
      </c>
      <c r="F19798" t="inlineStr">
        <is>
          <t>Bergvik skog väst AB</t>
        </is>
      </c>
      <c r="G19798" t="n">
        <v>2.3</v>
      </c>
      <c r="H19798" t="n">
        <v>0</v>
      </c>
      <c r="I19798" t="n">
        <v>0</v>
      </c>
      <c r="J19798" t="n">
        <v>0</v>
      </c>
      <c r="K19798" t="n">
        <v>0</v>
      </c>
      <c r="L19798" t="n">
        <v>0</v>
      </c>
      <c r="M19798" t="n">
        <v>0</v>
      </c>
      <c r="N19798" t="n">
        <v>0</v>
      </c>
      <c r="O19798" t="n">
        <v>0</v>
      </c>
      <c r="P19798" t="n">
        <v>0</v>
      </c>
      <c r="Q19798" t="n">
        <v>0</v>
      </c>
      <c r="R19798" s="2" t="inlineStr"/>
    </row>
    <row r="19799" ht="15" customHeight="1">
      <c r="A19799" t="inlineStr">
        <is>
          <t>A 18783-2025</t>
        </is>
      </c>
      <c r="B19799" s="1" t="n">
        <v>45764</v>
      </c>
      <c r="C19799" s="1" t="n">
        <v>45810</v>
      </c>
      <c r="D19799" t="inlineStr">
        <is>
          <t>VÄRMLANDS LÄN</t>
        </is>
      </c>
      <c r="E19799" t="inlineStr">
        <is>
          <t>SUNNE</t>
        </is>
      </c>
      <c r="G19799" t="n">
        <v>1.1</v>
      </c>
      <c r="H19799" t="n">
        <v>0</v>
      </c>
      <c r="I19799" t="n">
        <v>0</v>
      </c>
      <c r="J19799" t="n">
        <v>0</v>
      </c>
      <c r="K19799" t="n">
        <v>0</v>
      </c>
      <c r="L19799" t="n">
        <v>0</v>
      </c>
      <c r="M19799" t="n">
        <v>0</v>
      </c>
      <c r="N19799" t="n">
        <v>0</v>
      </c>
      <c r="O19799" t="n">
        <v>0</v>
      </c>
      <c r="P19799" t="n">
        <v>0</v>
      </c>
      <c r="Q19799" t="n">
        <v>0</v>
      </c>
      <c r="R19799" s="2" t="inlineStr"/>
    </row>
    <row r="19800" ht="15" customHeight="1">
      <c r="A19800" t="inlineStr">
        <is>
          <t>A 19059-2025</t>
        </is>
      </c>
      <c r="B19800" s="1" t="n">
        <v>45764</v>
      </c>
      <c r="C19800" s="1" t="n">
        <v>45810</v>
      </c>
      <c r="D19800" t="inlineStr">
        <is>
          <t>VÄRMLANDS LÄN</t>
        </is>
      </c>
      <c r="E19800" t="inlineStr">
        <is>
          <t>EDA</t>
        </is>
      </c>
      <c r="G19800" t="n">
        <v>2.5</v>
      </c>
      <c r="H19800" t="n">
        <v>0</v>
      </c>
      <c r="I19800" t="n">
        <v>0</v>
      </c>
      <c r="J19800" t="n">
        <v>0</v>
      </c>
      <c r="K19800" t="n">
        <v>0</v>
      </c>
      <c r="L19800" t="n">
        <v>0</v>
      </c>
      <c r="M19800" t="n">
        <v>0</v>
      </c>
      <c r="N19800" t="n">
        <v>0</v>
      </c>
      <c r="O19800" t="n">
        <v>0</v>
      </c>
      <c r="P19800" t="n">
        <v>0</v>
      </c>
      <c r="Q19800" t="n">
        <v>0</v>
      </c>
      <c r="R19800" s="2" t="inlineStr"/>
    </row>
    <row r="19801" ht="15" customHeight="1">
      <c r="A19801" t="inlineStr">
        <is>
          <t>A 18853-2025</t>
        </is>
      </c>
      <c r="B19801" s="1" t="n">
        <v>45764</v>
      </c>
      <c r="C19801" s="1" t="n">
        <v>45810</v>
      </c>
      <c r="D19801" t="inlineStr">
        <is>
          <t>VÄRMLANDS LÄN</t>
        </is>
      </c>
      <c r="E19801" t="inlineStr">
        <is>
          <t>HAGFORS</t>
        </is>
      </c>
      <c r="F19801" t="inlineStr">
        <is>
          <t>Bergvik skog väst AB</t>
        </is>
      </c>
      <c r="G19801" t="n">
        <v>7</v>
      </c>
      <c r="H19801" t="n">
        <v>0</v>
      </c>
      <c r="I19801" t="n">
        <v>0</v>
      </c>
      <c r="J19801" t="n">
        <v>0</v>
      </c>
      <c r="K19801" t="n">
        <v>0</v>
      </c>
      <c r="L19801" t="n">
        <v>0</v>
      </c>
      <c r="M19801" t="n">
        <v>0</v>
      </c>
      <c r="N19801" t="n">
        <v>0</v>
      </c>
      <c r="O19801" t="n">
        <v>0</v>
      </c>
      <c r="P19801" t="n">
        <v>0</v>
      </c>
      <c r="Q19801" t="n">
        <v>0</v>
      </c>
      <c r="R19801" s="2" t="inlineStr"/>
    </row>
    <row r="19802" ht="15" customHeight="1">
      <c r="A19802" t="inlineStr">
        <is>
          <t>A 18935-2025</t>
        </is>
      </c>
      <c r="B19802" s="1" t="n">
        <v>45764</v>
      </c>
      <c r="C19802" s="1" t="n">
        <v>45810</v>
      </c>
      <c r="D19802" t="inlineStr">
        <is>
          <t>VÄRMLANDS LÄN</t>
        </is>
      </c>
      <c r="E19802" t="inlineStr">
        <is>
          <t>HAGFORS</t>
        </is>
      </c>
      <c r="F19802" t="inlineStr">
        <is>
          <t>Bergvik skog väst AB</t>
        </is>
      </c>
      <c r="G19802" t="n">
        <v>3.1</v>
      </c>
      <c r="H19802" t="n">
        <v>0</v>
      </c>
      <c r="I19802" t="n">
        <v>0</v>
      </c>
      <c r="J19802" t="n">
        <v>0</v>
      </c>
      <c r="K19802" t="n">
        <v>0</v>
      </c>
      <c r="L19802" t="n">
        <v>0</v>
      </c>
      <c r="M19802" t="n">
        <v>0</v>
      </c>
      <c r="N19802" t="n">
        <v>0</v>
      </c>
      <c r="O19802" t="n">
        <v>0</v>
      </c>
      <c r="P19802" t="n">
        <v>0</v>
      </c>
      <c r="Q19802" t="n">
        <v>0</v>
      </c>
      <c r="R19802" s="2" t="inlineStr"/>
    </row>
    <row r="19803" ht="15" customHeight="1">
      <c r="A19803" t="inlineStr">
        <is>
          <t>A 19069-2025</t>
        </is>
      </c>
      <c r="B19803" s="1" t="n">
        <v>45765</v>
      </c>
      <c r="C19803" s="1" t="n">
        <v>45810</v>
      </c>
      <c r="D19803" t="inlineStr">
        <is>
          <t>VÄRMLANDS LÄN</t>
        </is>
      </c>
      <c r="E19803" t="inlineStr">
        <is>
          <t>FORSHAGA</t>
        </is>
      </c>
      <c r="G19803" t="n">
        <v>4.8</v>
      </c>
      <c r="H19803" t="n">
        <v>0</v>
      </c>
      <c r="I19803" t="n">
        <v>0</v>
      </c>
      <c r="J19803" t="n">
        <v>0</v>
      </c>
      <c r="K19803" t="n">
        <v>0</v>
      </c>
      <c r="L19803" t="n">
        <v>0</v>
      </c>
      <c r="M19803" t="n">
        <v>0</v>
      </c>
      <c r="N19803" t="n">
        <v>0</v>
      </c>
      <c r="O19803" t="n">
        <v>0</v>
      </c>
      <c r="P19803" t="n">
        <v>0</v>
      </c>
      <c r="Q19803" t="n">
        <v>0</v>
      </c>
      <c r="R19803" s="2" t="inlineStr"/>
    </row>
    <row r="19804" ht="15" customHeight="1">
      <c r="A19804" t="inlineStr">
        <is>
          <t>A 19072-2025</t>
        </is>
      </c>
      <c r="B19804" s="1" t="n">
        <v>45765</v>
      </c>
      <c r="C19804" s="1" t="n">
        <v>45810</v>
      </c>
      <c r="D19804" t="inlineStr">
        <is>
          <t>VÄRMLANDS LÄN</t>
        </is>
      </c>
      <c r="E19804" t="inlineStr">
        <is>
          <t>HAGFORS</t>
        </is>
      </c>
      <c r="G19804" t="n">
        <v>1.7</v>
      </c>
      <c r="H19804" t="n">
        <v>0</v>
      </c>
      <c r="I19804" t="n">
        <v>0</v>
      </c>
      <c r="J19804" t="n">
        <v>0</v>
      </c>
      <c r="K19804" t="n">
        <v>0</v>
      </c>
      <c r="L19804" t="n">
        <v>0</v>
      </c>
      <c r="M19804" t="n">
        <v>0</v>
      </c>
      <c r="N19804" t="n">
        <v>0</v>
      </c>
      <c r="O19804" t="n">
        <v>0</v>
      </c>
      <c r="P19804" t="n">
        <v>0</v>
      </c>
      <c r="Q19804" t="n">
        <v>0</v>
      </c>
      <c r="R19804" s="2" t="inlineStr"/>
    </row>
    <row r="19805" ht="15" customHeight="1">
      <c r="A19805" t="inlineStr">
        <is>
          <t>A 19096-2025</t>
        </is>
      </c>
      <c r="B19805" s="1" t="n">
        <v>45767</v>
      </c>
      <c r="C19805" s="1" t="n">
        <v>45810</v>
      </c>
      <c r="D19805" t="inlineStr">
        <is>
          <t>VÄRMLANDS LÄN</t>
        </is>
      </c>
      <c r="E19805" t="inlineStr">
        <is>
          <t>FILIPSTAD</t>
        </is>
      </c>
      <c r="F19805" t="inlineStr">
        <is>
          <t>Bergvik skog väst AB</t>
        </is>
      </c>
      <c r="G19805" t="n">
        <v>3.9</v>
      </c>
      <c r="H19805" t="n">
        <v>0</v>
      </c>
      <c r="I19805" t="n">
        <v>0</v>
      </c>
      <c r="J19805" t="n">
        <v>0</v>
      </c>
      <c r="K19805" t="n">
        <v>0</v>
      </c>
      <c r="L19805" t="n">
        <v>0</v>
      </c>
      <c r="M19805" t="n">
        <v>0</v>
      </c>
      <c r="N19805" t="n">
        <v>0</v>
      </c>
      <c r="O19805" t="n">
        <v>0</v>
      </c>
      <c r="P19805" t="n">
        <v>0</v>
      </c>
      <c r="Q19805" t="n">
        <v>0</v>
      </c>
      <c r="R19805" s="2" t="inlineStr"/>
    </row>
    <row r="19806" ht="15" customHeight="1">
      <c r="A19806" t="inlineStr">
        <is>
          <t>A 19088-2025</t>
        </is>
      </c>
      <c r="B19806" s="1" t="n">
        <v>45767</v>
      </c>
      <c r="C19806" s="1" t="n">
        <v>45810</v>
      </c>
      <c r="D19806" t="inlineStr">
        <is>
          <t>VÄRMLANDS LÄN</t>
        </is>
      </c>
      <c r="E19806" t="inlineStr">
        <is>
          <t>KARLSTAD</t>
        </is>
      </c>
      <c r="G19806" t="n">
        <v>1.2</v>
      </c>
      <c r="H19806" t="n">
        <v>0</v>
      </c>
      <c r="I19806" t="n">
        <v>0</v>
      </c>
      <c r="J19806" t="n">
        <v>0</v>
      </c>
      <c r="K19806" t="n">
        <v>0</v>
      </c>
      <c r="L19806" t="n">
        <v>0</v>
      </c>
      <c r="M19806" t="n">
        <v>0</v>
      </c>
      <c r="N19806" t="n">
        <v>0</v>
      </c>
      <c r="O19806" t="n">
        <v>0</v>
      </c>
      <c r="P19806" t="n">
        <v>0</v>
      </c>
      <c r="Q19806" t="n">
        <v>0</v>
      </c>
      <c r="R19806" s="2" t="inlineStr"/>
    </row>
    <row r="19807" ht="15" customHeight="1">
      <c r="A19807" t="inlineStr">
        <is>
          <t>A 19089-2025</t>
        </is>
      </c>
      <c r="B19807" s="1" t="n">
        <v>45767</v>
      </c>
      <c r="C19807" s="1" t="n">
        <v>45810</v>
      </c>
      <c r="D19807" t="inlineStr">
        <is>
          <t>VÄRMLANDS LÄN</t>
        </is>
      </c>
      <c r="E19807" t="inlineStr">
        <is>
          <t>KARLSTAD</t>
        </is>
      </c>
      <c r="G19807" t="n">
        <v>0.2</v>
      </c>
      <c r="H19807" t="n">
        <v>0</v>
      </c>
      <c r="I19807" t="n">
        <v>0</v>
      </c>
      <c r="J19807" t="n">
        <v>0</v>
      </c>
      <c r="K19807" t="n">
        <v>0</v>
      </c>
      <c r="L19807" t="n">
        <v>0</v>
      </c>
      <c r="M19807" t="n">
        <v>0</v>
      </c>
      <c r="N19807" t="n">
        <v>0</v>
      </c>
      <c r="O19807" t="n">
        <v>0</v>
      </c>
      <c r="P19807" t="n">
        <v>0</v>
      </c>
      <c r="Q19807" t="n">
        <v>0</v>
      </c>
      <c r="R19807" s="2" t="inlineStr"/>
    </row>
    <row r="19808" ht="15" customHeight="1">
      <c r="A19808" t="inlineStr">
        <is>
          <t>A 19112-2025</t>
        </is>
      </c>
      <c r="B19808" s="1" t="n">
        <v>45768</v>
      </c>
      <c r="C19808" s="1" t="n">
        <v>45810</v>
      </c>
      <c r="D19808" t="inlineStr">
        <is>
          <t>VÄRMLANDS LÄN</t>
        </is>
      </c>
      <c r="E19808" t="inlineStr">
        <is>
          <t>TORSBY</t>
        </is>
      </c>
      <c r="G19808" t="n">
        <v>1.5</v>
      </c>
      <c r="H19808" t="n">
        <v>0</v>
      </c>
      <c r="I19808" t="n">
        <v>0</v>
      </c>
      <c r="J19808" t="n">
        <v>0</v>
      </c>
      <c r="K19808" t="n">
        <v>0</v>
      </c>
      <c r="L19808" t="n">
        <v>0</v>
      </c>
      <c r="M19808" t="n">
        <v>0</v>
      </c>
      <c r="N19808" t="n">
        <v>0</v>
      </c>
      <c r="O19808" t="n">
        <v>0</v>
      </c>
      <c r="P19808" t="n">
        <v>0</v>
      </c>
      <c r="Q19808" t="n">
        <v>0</v>
      </c>
      <c r="R19808" s="2" t="inlineStr"/>
    </row>
    <row r="19809" ht="15" customHeight="1">
      <c r="A19809" t="inlineStr">
        <is>
          <t>A 19113-2025</t>
        </is>
      </c>
      <c r="B19809" s="1" t="n">
        <v>45768</v>
      </c>
      <c r="C19809" s="1" t="n">
        <v>45810</v>
      </c>
      <c r="D19809" t="inlineStr">
        <is>
          <t>VÄRMLANDS LÄN</t>
        </is>
      </c>
      <c r="E19809" t="inlineStr">
        <is>
          <t>TORSBY</t>
        </is>
      </c>
      <c r="G19809" t="n">
        <v>2.5</v>
      </c>
      <c r="H19809" t="n">
        <v>0</v>
      </c>
      <c r="I19809" t="n">
        <v>0</v>
      </c>
      <c r="J19809" t="n">
        <v>0</v>
      </c>
      <c r="K19809" t="n">
        <v>0</v>
      </c>
      <c r="L19809" t="n">
        <v>0</v>
      </c>
      <c r="M19809" t="n">
        <v>0</v>
      </c>
      <c r="N19809" t="n">
        <v>0</v>
      </c>
      <c r="O19809" t="n">
        <v>0</v>
      </c>
      <c r="P19809" t="n">
        <v>0</v>
      </c>
      <c r="Q19809" t="n">
        <v>0</v>
      </c>
      <c r="R19809" s="2" t="inlineStr"/>
    </row>
    <row r="19810" ht="15" customHeight="1">
      <c r="A19810" t="inlineStr">
        <is>
          <t>A 19114-2025</t>
        </is>
      </c>
      <c r="B19810" s="1" t="n">
        <v>45768</v>
      </c>
      <c r="C19810" s="1" t="n">
        <v>45810</v>
      </c>
      <c r="D19810" t="inlineStr">
        <is>
          <t>VÄRMLANDS LÄN</t>
        </is>
      </c>
      <c r="E19810" t="inlineStr">
        <is>
          <t>SÄFFLE</t>
        </is>
      </c>
      <c r="G19810" t="n">
        <v>1.7</v>
      </c>
      <c r="H19810" t="n">
        <v>0</v>
      </c>
      <c r="I19810" t="n">
        <v>0</v>
      </c>
      <c r="J19810" t="n">
        <v>0</v>
      </c>
      <c r="K19810" t="n">
        <v>0</v>
      </c>
      <c r="L19810" t="n">
        <v>0</v>
      </c>
      <c r="M19810" t="n">
        <v>0</v>
      </c>
      <c r="N19810" t="n">
        <v>0</v>
      </c>
      <c r="O19810" t="n">
        <v>0</v>
      </c>
      <c r="P19810" t="n">
        <v>0</v>
      </c>
      <c r="Q19810" t="n">
        <v>0</v>
      </c>
      <c r="R19810" s="2" t="inlineStr"/>
    </row>
    <row r="19811" ht="15" customHeight="1">
      <c r="A19811" t="inlineStr">
        <is>
          <t>A 19253-2025</t>
        </is>
      </c>
      <c r="B19811" s="1" t="n">
        <v>45769</v>
      </c>
      <c r="C19811" s="1" t="n">
        <v>45810</v>
      </c>
      <c r="D19811" t="inlineStr">
        <is>
          <t>VÄRMLANDS LÄN</t>
        </is>
      </c>
      <c r="E19811" t="inlineStr">
        <is>
          <t>TORSBY</t>
        </is>
      </c>
      <c r="G19811" t="n">
        <v>3.9</v>
      </c>
      <c r="H19811" t="n">
        <v>0</v>
      </c>
      <c r="I19811" t="n">
        <v>0</v>
      </c>
      <c r="J19811" t="n">
        <v>0</v>
      </c>
      <c r="K19811" t="n">
        <v>0</v>
      </c>
      <c r="L19811" t="n">
        <v>0</v>
      </c>
      <c r="M19811" t="n">
        <v>0</v>
      </c>
      <c r="N19811" t="n">
        <v>0</v>
      </c>
      <c r="O19811" t="n">
        <v>0</v>
      </c>
      <c r="P19811" t="n">
        <v>0</v>
      </c>
      <c r="Q19811" t="n">
        <v>0</v>
      </c>
      <c r="R19811" s="2" t="inlineStr"/>
    </row>
    <row r="19812" ht="15" customHeight="1">
      <c r="A19812" t="inlineStr">
        <is>
          <t>A 19271-2025</t>
        </is>
      </c>
      <c r="B19812" s="1" t="n">
        <v>45769</v>
      </c>
      <c r="C19812" s="1" t="n">
        <v>45810</v>
      </c>
      <c r="D19812" t="inlineStr">
        <is>
          <t>VÄRMLANDS LÄN</t>
        </is>
      </c>
      <c r="E19812" t="inlineStr">
        <is>
          <t>SÄFFLE</t>
        </is>
      </c>
      <c r="F19812" t="inlineStr">
        <is>
          <t>Bergvik skog väst AB</t>
        </is>
      </c>
      <c r="G19812" t="n">
        <v>1</v>
      </c>
      <c r="H19812" t="n">
        <v>0</v>
      </c>
      <c r="I19812" t="n">
        <v>0</v>
      </c>
      <c r="J19812" t="n">
        <v>0</v>
      </c>
      <c r="K19812" t="n">
        <v>0</v>
      </c>
      <c r="L19812" t="n">
        <v>0</v>
      </c>
      <c r="M19812" t="n">
        <v>0</v>
      </c>
      <c r="N19812" t="n">
        <v>0</v>
      </c>
      <c r="O19812" t="n">
        <v>0</v>
      </c>
      <c r="P19812" t="n">
        <v>0</v>
      </c>
      <c r="Q19812" t="n">
        <v>0</v>
      </c>
      <c r="R19812" s="2" t="inlineStr"/>
    </row>
    <row r="19813" ht="15" customHeight="1">
      <c r="A19813" t="inlineStr">
        <is>
          <t>A 19159-2025</t>
        </is>
      </c>
      <c r="B19813" s="1" t="n">
        <v>45769</v>
      </c>
      <c r="C19813" s="1" t="n">
        <v>45810</v>
      </c>
      <c r="D19813" t="inlineStr">
        <is>
          <t>VÄRMLANDS LÄN</t>
        </is>
      </c>
      <c r="E19813" t="inlineStr">
        <is>
          <t>TORSBY</t>
        </is>
      </c>
      <c r="F19813" t="inlineStr">
        <is>
          <t>Bergvik skog väst AB</t>
        </is>
      </c>
      <c r="G19813" t="n">
        <v>10.2</v>
      </c>
      <c r="H19813" t="n">
        <v>0</v>
      </c>
      <c r="I19813" t="n">
        <v>0</v>
      </c>
      <c r="J19813" t="n">
        <v>0</v>
      </c>
      <c r="K19813" t="n">
        <v>0</v>
      </c>
      <c r="L19813" t="n">
        <v>0</v>
      </c>
      <c r="M19813" t="n">
        <v>0</v>
      </c>
      <c r="N19813" t="n">
        <v>0</v>
      </c>
      <c r="O19813" t="n">
        <v>0</v>
      </c>
      <c r="P19813" t="n">
        <v>0</v>
      </c>
      <c r="Q19813" t="n">
        <v>0</v>
      </c>
      <c r="R19813" s="2" t="inlineStr"/>
    </row>
    <row r="19814" ht="15" customHeight="1">
      <c r="A19814" t="inlineStr">
        <is>
          <t>A 19292-2025</t>
        </is>
      </c>
      <c r="B19814" s="1" t="n">
        <v>45769</v>
      </c>
      <c r="C19814" s="1" t="n">
        <v>45810</v>
      </c>
      <c r="D19814" t="inlineStr">
        <is>
          <t>VÄRMLANDS LÄN</t>
        </is>
      </c>
      <c r="E19814" t="inlineStr">
        <is>
          <t>KRISTINEHAMN</t>
        </is>
      </c>
      <c r="F19814" t="inlineStr">
        <is>
          <t>Kyrkan</t>
        </is>
      </c>
      <c r="G19814" t="n">
        <v>0.8</v>
      </c>
      <c r="H19814" t="n">
        <v>0</v>
      </c>
      <c r="I19814" t="n">
        <v>0</v>
      </c>
      <c r="J19814" t="n">
        <v>0</v>
      </c>
      <c r="K19814" t="n">
        <v>0</v>
      </c>
      <c r="L19814" t="n">
        <v>0</v>
      </c>
      <c r="M19814" t="n">
        <v>0</v>
      </c>
      <c r="N19814" t="n">
        <v>0</v>
      </c>
      <c r="O19814" t="n">
        <v>0</v>
      </c>
      <c r="P19814" t="n">
        <v>0</v>
      </c>
      <c r="Q19814" t="n">
        <v>0</v>
      </c>
      <c r="R19814" s="2" t="inlineStr"/>
    </row>
    <row r="19815" ht="15" customHeight="1">
      <c r="A19815" t="inlineStr">
        <is>
          <t>A 19198-2025</t>
        </is>
      </c>
      <c r="B19815" s="1" t="n">
        <v>45769</v>
      </c>
      <c r="C19815" s="1" t="n">
        <v>45810</v>
      </c>
      <c r="D19815" t="inlineStr">
        <is>
          <t>VÄRMLANDS LÄN</t>
        </is>
      </c>
      <c r="E19815" t="inlineStr">
        <is>
          <t>SUNNE</t>
        </is>
      </c>
      <c r="G19815" t="n">
        <v>3.6</v>
      </c>
      <c r="H19815" t="n">
        <v>0</v>
      </c>
      <c r="I19815" t="n">
        <v>0</v>
      </c>
      <c r="J19815" t="n">
        <v>0</v>
      </c>
      <c r="K19815" t="n">
        <v>0</v>
      </c>
      <c r="L19815" t="n">
        <v>0</v>
      </c>
      <c r="M19815" t="n">
        <v>0</v>
      </c>
      <c r="N19815" t="n">
        <v>0</v>
      </c>
      <c r="O19815" t="n">
        <v>0</v>
      </c>
      <c r="P19815" t="n">
        <v>0</v>
      </c>
      <c r="Q19815" t="n">
        <v>0</v>
      </c>
      <c r="R19815" s="2" t="inlineStr"/>
    </row>
    <row r="19816" ht="15" customHeight="1">
      <c r="A19816" t="inlineStr">
        <is>
          <t>A 19144-2025</t>
        </is>
      </c>
      <c r="B19816" s="1" t="n">
        <v>45769</v>
      </c>
      <c r="C19816" s="1" t="n">
        <v>45810</v>
      </c>
      <c r="D19816" t="inlineStr">
        <is>
          <t>VÄRMLANDS LÄN</t>
        </is>
      </c>
      <c r="E19816" t="inlineStr">
        <is>
          <t>SUNNE</t>
        </is>
      </c>
      <c r="G19816" t="n">
        <v>0.8</v>
      </c>
      <c r="H19816" t="n">
        <v>0</v>
      </c>
      <c r="I19816" t="n">
        <v>0</v>
      </c>
      <c r="J19816" t="n">
        <v>0</v>
      </c>
      <c r="K19816" t="n">
        <v>0</v>
      </c>
      <c r="L19816" t="n">
        <v>0</v>
      </c>
      <c r="M19816" t="n">
        <v>0</v>
      </c>
      <c r="N19816" t="n">
        <v>0</v>
      </c>
      <c r="O19816" t="n">
        <v>0</v>
      </c>
      <c r="P19816" t="n">
        <v>0</v>
      </c>
      <c r="Q19816" t="n">
        <v>0</v>
      </c>
      <c r="R19816" s="2" t="inlineStr"/>
    </row>
    <row r="19817" ht="15" customHeight="1">
      <c r="A19817" t="inlineStr">
        <is>
          <t>A 19148-2025</t>
        </is>
      </c>
      <c r="B19817" s="1" t="n">
        <v>45769</v>
      </c>
      <c r="C19817" s="1" t="n">
        <v>45810</v>
      </c>
      <c r="D19817" t="inlineStr">
        <is>
          <t>VÄRMLANDS LÄN</t>
        </is>
      </c>
      <c r="E19817" t="inlineStr">
        <is>
          <t>TORSBY</t>
        </is>
      </c>
      <c r="G19817" t="n">
        <v>1.4</v>
      </c>
      <c r="H19817" t="n">
        <v>0</v>
      </c>
      <c r="I19817" t="n">
        <v>0</v>
      </c>
      <c r="J19817" t="n">
        <v>0</v>
      </c>
      <c r="K19817" t="n">
        <v>0</v>
      </c>
      <c r="L19817" t="n">
        <v>0</v>
      </c>
      <c r="M19817" t="n">
        <v>0</v>
      </c>
      <c r="N19817" t="n">
        <v>0</v>
      </c>
      <c r="O19817" t="n">
        <v>0</v>
      </c>
      <c r="P19817" t="n">
        <v>0</v>
      </c>
      <c r="Q19817" t="n">
        <v>0</v>
      </c>
      <c r="R19817" s="2" t="inlineStr"/>
    </row>
    <row r="19818" ht="15" customHeight="1">
      <c r="A19818" t="inlineStr">
        <is>
          <t>A 19410-2025</t>
        </is>
      </c>
      <c r="B19818" s="1" t="n">
        <v>45769</v>
      </c>
      <c r="C19818" s="1" t="n">
        <v>45810</v>
      </c>
      <c r="D19818" t="inlineStr">
        <is>
          <t>VÄRMLANDS LÄN</t>
        </is>
      </c>
      <c r="E19818" t="inlineStr">
        <is>
          <t>KARLSTAD</t>
        </is>
      </c>
      <c r="G19818" t="n">
        <v>1.6</v>
      </c>
      <c r="H19818" t="n">
        <v>0</v>
      </c>
      <c r="I19818" t="n">
        <v>0</v>
      </c>
      <c r="J19818" t="n">
        <v>0</v>
      </c>
      <c r="K19818" t="n">
        <v>0</v>
      </c>
      <c r="L19818" t="n">
        <v>0</v>
      </c>
      <c r="M19818" t="n">
        <v>0</v>
      </c>
      <c r="N19818" t="n">
        <v>0</v>
      </c>
      <c r="O19818" t="n">
        <v>0</v>
      </c>
      <c r="P19818" t="n">
        <v>0</v>
      </c>
      <c r="Q19818" t="n">
        <v>0</v>
      </c>
      <c r="R19818" s="2" t="inlineStr"/>
    </row>
    <row r="19819" ht="15" customHeight="1">
      <c r="A19819" t="inlineStr">
        <is>
          <t>A 19379-2025</t>
        </is>
      </c>
      <c r="B19819" s="1" t="n">
        <v>45769</v>
      </c>
      <c r="C19819" s="1" t="n">
        <v>45810</v>
      </c>
      <c r="D19819" t="inlineStr">
        <is>
          <t>VÄRMLANDS LÄN</t>
        </is>
      </c>
      <c r="E19819" t="inlineStr">
        <is>
          <t>ARVIKA</t>
        </is>
      </c>
      <c r="G19819" t="n">
        <v>3.4</v>
      </c>
      <c r="H19819" t="n">
        <v>0</v>
      </c>
      <c r="I19819" t="n">
        <v>0</v>
      </c>
      <c r="J19819" t="n">
        <v>0</v>
      </c>
      <c r="K19819" t="n">
        <v>0</v>
      </c>
      <c r="L19819" t="n">
        <v>0</v>
      </c>
      <c r="M19819" t="n">
        <v>0</v>
      </c>
      <c r="N19819" t="n">
        <v>0</v>
      </c>
      <c r="O19819" t="n">
        <v>0</v>
      </c>
      <c r="P19819" t="n">
        <v>0</v>
      </c>
      <c r="Q19819" t="n">
        <v>0</v>
      </c>
      <c r="R19819" s="2" t="inlineStr"/>
    </row>
    <row r="19820" ht="15" customHeight="1">
      <c r="A19820" t="inlineStr">
        <is>
          <t>A 19248-2025</t>
        </is>
      </c>
      <c r="B19820" s="1" t="n">
        <v>45769</v>
      </c>
      <c r="C19820" s="1" t="n">
        <v>45810</v>
      </c>
      <c r="D19820" t="inlineStr">
        <is>
          <t>VÄRMLANDS LÄN</t>
        </is>
      </c>
      <c r="E19820" t="inlineStr">
        <is>
          <t>ÅRJÄNG</t>
        </is>
      </c>
      <c r="G19820" t="n">
        <v>5.3</v>
      </c>
      <c r="H19820" t="n">
        <v>0</v>
      </c>
      <c r="I19820" t="n">
        <v>0</v>
      </c>
      <c r="J19820" t="n">
        <v>0</v>
      </c>
      <c r="K19820" t="n">
        <v>0</v>
      </c>
      <c r="L19820" t="n">
        <v>0</v>
      </c>
      <c r="M19820" t="n">
        <v>0</v>
      </c>
      <c r="N19820" t="n">
        <v>0</v>
      </c>
      <c r="O19820" t="n">
        <v>0</v>
      </c>
      <c r="P19820" t="n">
        <v>0</v>
      </c>
      <c r="Q19820" t="n">
        <v>0</v>
      </c>
      <c r="R19820" s="2" t="inlineStr"/>
    </row>
    <row r="19821" ht="15" customHeight="1">
      <c r="A19821" t="inlineStr">
        <is>
          <t>A 19218-2025</t>
        </is>
      </c>
      <c r="B19821" s="1" t="n">
        <v>45769</v>
      </c>
      <c r="C19821" s="1" t="n">
        <v>45810</v>
      </c>
      <c r="D19821" t="inlineStr">
        <is>
          <t>VÄRMLANDS LÄN</t>
        </is>
      </c>
      <c r="E19821" t="inlineStr">
        <is>
          <t>SÄFFLE</t>
        </is>
      </c>
      <c r="G19821" t="n">
        <v>2</v>
      </c>
      <c r="H19821" t="n">
        <v>0</v>
      </c>
      <c r="I19821" t="n">
        <v>0</v>
      </c>
      <c r="J19821" t="n">
        <v>0</v>
      </c>
      <c r="K19821" t="n">
        <v>0</v>
      </c>
      <c r="L19821" t="n">
        <v>0</v>
      </c>
      <c r="M19821" t="n">
        <v>0</v>
      </c>
      <c r="N19821" t="n">
        <v>0</v>
      </c>
      <c r="O19821" t="n">
        <v>0</v>
      </c>
      <c r="P19821" t="n">
        <v>0</v>
      </c>
      <c r="Q19821" t="n">
        <v>0</v>
      </c>
      <c r="R19821" s="2" t="inlineStr"/>
    </row>
    <row r="19822" ht="15" customHeight="1">
      <c r="A19822" t="inlineStr">
        <is>
          <t>A 19273-2025</t>
        </is>
      </c>
      <c r="B19822" s="1" t="n">
        <v>45769</v>
      </c>
      <c r="C19822" s="1" t="n">
        <v>45810</v>
      </c>
      <c r="D19822" t="inlineStr">
        <is>
          <t>VÄRMLANDS LÄN</t>
        </is>
      </c>
      <c r="E19822" t="inlineStr">
        <is>
          <t>SÄFFLE</t>
        </is>
      </c>
      <c r="F19822" t="inlineStr">
        <is>
          <t>Bergvik skog väst AB</t>
        </is>
      </c>
      <c r="G19822" t="n">
        <v>11.6</v>
      </c>
      <c r="H19822" t="n">
        <v>0</v>
      </c>
      <c r="I19822" t="n">
        <v>0</v>
      </c>
      <c r="J19822" t="n">
        <v>0</v>
      </c>
      <c r="K19822" t="n">
        <v>0</v>
      </c>
      <c r="L19822" t="n">
        <v>0</v>
      </c>
      <c r="M19822" t="n">
        <v>0</v>
      </c>
      <c r="N19822" t="n">
        <v>0</v>
      </c>
      <c r="O19822" t="n">
        <v>0</v>
      </c>
      <c r="P19822" t="n">
        <v>0</v>
      </c>
      <c r="Q19822" t="n">
        <v>0</v>
      </c>
      <c r="R19822" s="2" t="inlineStr"/>
    </row>
    <row r="19823" ht="15" customHeight="1">
      <c r="A19823" t="inlineStr">
        <is>
          <t>A 19155-2025</t>
        </is>
      </c>
      <c r="B19823" s="1" t="n">
        <v>45769</v>
      </c>
      <c r="C19823" s="1" t="n">
        <v>45810</v>
      </c>
      <c r="D19823" t="inlineStr">
        <is>
          <t>VÄRMLANDS LÄN</t>
        </is>
      </c>
      <c r="E19823" t="inlineStr">
        <is>
          <t>GRUMS</t>
        </is>
      </c>
      <c r="G19823" t="n">
        <v>1.9</v>
      </c>
      <c r="H19823" t="n">
        <v>0</v>
      </c>
      <c r="I19823" t="n">
        <v>0</v>
      </c>
      <c r="J19823" t="n">
        <v>0</v>
      </c>
      <c r="K19823" t="n">
        <v>0</v>
      </c>
      <c r="L19823" t="n">
        <v>0</v>
      </c>
      <c r="M19823" t="n">
        <v>0</v>
      </c>
      <c r="N19823" t="n">
        <v>0</v>
      </c>
      <c r="O19823" t="n">
        <v>0</v>
      </c>
      <c r="P19823" t="n">
        <v>0</v>
      </c>
      <c r="Q19823" t="n">
        <v>0</v>
      </c>
      <c r="R19823" s="2" t="inlineStr"/>
    </row>
    <row r="19824" ht="15" customHeight="1">
      <c r="A19824" t="inlineStr">
        <is>
          <t>A 19242-2025</t>
        </is>
      </c>
      <c r="B19824" s="1" t="n">
        <v>45769</v>
      </c>
      <c r="C19824" s="1" t="n">
        <v>45810</v>
      </c>
      <c r="D19824" t="inlineStr">
        <is>
          <t>VÄRMLANDS LÄN</t>
        </is>
      </c>
      <c r="E19824" t="inlineStr">
        <is>
          <t>ÅRJÄNG</t>
        </is>
      </c>
      <c r="G19824" t="n">
        <v>17.5</v>
      </c>
      <c r="H19824" t="n">
        <v>0</v>
      </c>
      <c r="I19824" t="n">
        <v>0</v>
      </c>
      <c r="J19824" t="n">
        <v>0</v>
      </c>
      <c r="K19824" t="n">
        <v>0</v>
      </c>
      <c r="L19824" t="n">
        <v>0</v>
      </c>
      <c r="M19824" t="n">
        <v>0</v>
      </c>
      <c r="N19824" t="n">
        <v>0</v>
      </c>
      <c r="O19824" t="n">
        <v>0</v>
      </c>
      <c r="P19824" t="n">
        <v>0</v>
      </c>
      <c r="Q19824" t="n">
        <v>0</v>
      </c>
      <c r="R19824" s="2" t="inlineStr"/>
    </row>
    <row r="19825" ht="15" customHeight="1">
      <c r="A19825" t="inlineStr">
        <is>
          <t>A 19388-2025</t>
        </is>
      </c>
      <c r="B19825" s="1" t="n">
        <v>45769</v>
      </c>
      <c r="C19825" s="1" t="n">
        <v>45810</v>
      </c>
      <c r="D19825" t="inlineStr">
        <is>
          <t>VÄRMLANDS LÄN</t>
        </is>
      </c>
      <c r="E19825" t="inlineStr">
        <is>
          <t>HAGFORS</t>
        </is>
      </c>
      <c r="G19825" t="n">
        <v>7.8</v>
      </c>
      <c r="H19825" t="n">
        <v>0</v>
      </c>
      <c r="I19825" t="n">
        <v>0</v>
      </c>
      <c r="J19825" t="n">
        <v>0</v>
      </c>
      <c r="K19825" t="n">
        <v>0</v>
      </c>
      <c r="L19825" t="n">
        <v>0</v>
      </c>
      <c r="M19825" t="n">
        <v>0</v>
      </c>
      <c r="N19825" t="n">
        <v>0</v>
      </c>
      <c r="O19825" t="n">
        <v>0</v>
      </c>
      <c r="P19825" t="n">
        <v>0</v>
      </c>
      <c r="Q19825" t="n">
        <v>0</v>
      </c>
      <c r="R19825" s="2" t="inlineStr"/>
    </row>
    <row r="19826" ht="15" customHeight="1">
      <c r="A19826" t="inlineStr">
        <is>
          <t>A 19391-2025</t>
        </is>
      </c>
      <c r="B19826" s="1" t="n">
        <v>45769</v>
      </c>
      <c r="C19826" s="1" t="n">
        <v>45810</v>
      </c>
      <c r="D19826" t="inlineStr">
        <is>
          <t>VÄRMLANDS LÄN</t>
        </is>
      </c>
      <c r="E19826" t="inlineStr">
        <is>
          <t>HAGFORS</t>
        </is>
      </c>
      <c r="G19826" t="n">
        <v>6.2</v>
      </c>
      <c r="H19826" t="n">
        <v>0</v>
      </c>
      <c r="I19826" t="n">
        <v>0</v>
      </c>
      <c r="J19826" t="n">
        <v>0</v>
      </c>
      <c r="K19826" t="n">
        <v>0</v>
      </c>
      <c r="L19826" t="n">
        <v>0</v>
      </c>
      <c r="M19826" t="n">
        <v>0</v>
      </c>
      <c r="N19826" t="n">
        <v>0</v>
      </c>
      <c r="O19826" t="n">
        <v>0</v>
      </c>
      <c r="P19826" t="n">
        <v>0</v>
      </c>
      <c r="Q19826" t="n">
        <v>0</v>
      </c>
      <c r="R19826" s="2" t="inlineStr"/>
    </row>
    <row r="19827" ht="15" customHeight="1">
      <c r="A19827" t="inlineStr">
        <is>
          <t>A 19270-2025</t>
        </is>
      </c>
      <c r="B19827" s="1" t="n">
        <v>45769</v>
      </c>
      <c r="C19827" s="1" t="n">
        <v>45810</v>
      </c>
      <c r="D19827" t="inlineStr">
        <is>
          <t>VÄRMLANDS LÄN</t>
        </is>
      </c>
      <c r="E19827" t="inlineStr">
        <is>
          <t>SÄFFLE</t>
        </is>
      </c>
      <c r="F19827" t="inlineStr">
        <is>
          <t>Bergvik skog väst AB</t>
        </is>
      </c>
      <c r="G19827" t="n">
        <v>0.9</v>
      </c>
      <c r="H19827" t="n">
        <v>0</v>
      </c>
      <c r="I19827" t="n">
        <v>0</v>
      </c>
      <c r="J19827" t="n">
        <v>0</v>
      </c>
      <c r="K19827" t="n">
        <v>0</v>
      </c>
      <c r="L19827" t="n">
        <v>0</v>
      </c>
      <c r="M19827" t="n">
        <v>0</v>
      </c>
      <c r="N19827" t="n">
        <v>0</v>
      </c>
      <c r="O19827" t="n">
        <v>0</v>
      </c>
      <c r="P19827" t="n">
        <v>0</v>
      </c>
      <c r="Q19827" t="n">
        <v>0</v>
      </c>
      <c r="R19827" s="2" t="inlineStr"/>
    </row>
    <row r="19828" ht="15" customHeight="1">
      <c r="A19828" t="inlineStr">
        <is>
          <t>A 19136-2025</t>
        </is>
      </c>
      <c r="B19828" s="1" t="n">
        <v>45769</v>
      </c>
      <c r="C19828" s="1" t="n">
        <v>45810</v>
      </c>
      <c r="D19828" t="inlineStr">
        <is>
          <t>VÄRMLANDS LÄN</t>
        </is>
      </c>
      <c r="E19828" t="inlineStr">
        <is>
          <t>KIL</t>
        </is>
      </c>
      <c r="G19828" t="n">
        <v>3</v>
      </c>
      <c r="H19828" t="n">
        <v>0</v>
      </c>
      <c r="I19828" t="n">
        <v>0</v>
      </c>
      <c r="J19828" t="n">
        <v>0</v>
      </c>
      <c r="K19828" t="n">
        <v>0</v>
      </c>
      <c r="L19828" t="n">
        <v>0</v>
      </c>
      <c r="M19828" t="n">
        <v>0</v>
      </c>
      <c r="N19828" t="n">
        <v>0</v>
      </c>
      <c r="O19828" t="n">
        <v>0</v>
      </c>
      <c r="P19828" t="n">
        <v>0</v>
      </c>
      <c r="Q19828" t="n">
        <v>0</v>
      </c>
      <c r="R19828" s="2" t="inlineStr"/>
    </row>
    <row r="19829" ht="15" customHeight="1">
      <c r="A19829" t="inlineStr">
        <is>
          <t>A 19215-2025</t>
        </is>
      </c>
      <c r="B19829" s="1" t="n">
        <v>45769</v>
      </c>
      <c r="C19829" s="1" t="n">
        <v>45810</v>
      </c>
      <c r="D19829" t="inlineStr">
        <is>
          <t>VÄRMLANDS LÄN</t>
        </is>
      </c>
      <c r="E19829" t="inlineStr">
        <is>
          <t>SÄFFLE</t>
        </is>
      </c>
      <c r="G19829" t="n">
        <v>5.6</v>
      </c>
      <c r="H19829" t="n">
        <v>0</v>
      </c>
      <c r="I19829" t="n">
        <v>0</v>
      </c>
      <c r="J19829" t="n">
        <v>0</v>
      </c>
      <c r="K19829" t="n">
        <v>0</v>
      </c>
      <c r="L19829" t="n">
        <v>0</v>
      </c>
      <c r="M19829" t="n">
        <v>0</v>
      </c>
      <c r="N19829" t="n">
        <v>0</v>
      </c>
      <c r="O19829" t="n">
        <v>0</v>
      </c>
      <c r="P19829" t="n">
        <v>0</v>
      </c>
      <c r="Q19829" t="n">
        <v>0</v>
      </c>
      <c r="R19829" s="2" t="inlineStr"/>
    </row>
    <row r="19830" ht="15" customHeight="1">
      <c r="A19830" t="inlineStr">
        <is>
          <t>A 19369-2025</t>
        </is>
      </c>
      <c r="B19830" s="1" t="n">
        <v>45769</v>
      </c>
      <c r="C19830" s="1" t="n">
        <v>45810</v>
      </c>
      <c r="D19830" t="inlineStr">
        <is>
          <t>VÄRMLANDS LÄN</t>
        </is>
      </c>
      <c r="E19830" t="inlineStr">
        <is>
          <t>KARLSTAD</t>
        </is>
      </c>
      <c r="G19830" t="n">
        <v>0.7</v>
      </c>
      <c r="H19830" t="n">
        <v>0</v>
      </c>
      <c r="I19830" t="n">
        <v>0</v>
      </c>
      <c r="J19830" t="n">
        <v>0</v>
      </c>
      <c r="K19830" t="n">
        <v>0</v>
      </c>
      <c r="L19830" t="n">
        <v>0</v>
      </c>
      <c r="M19830" t="n">
        <v>0</v>
      </c>
      <c r="N19830" t="n">
        <v>0</v>
      </c>
      <c r="O19830" t="n">
        <v>0</v>
      </c>
      <c r="P19830" t="n">
        <v>0</v>
      </c>
      <c r="Q19830" t="n">
        <v>0</v>
      </c>
      <c r="R19830" s="2" t="inlineStr"/>
    </row>
    <row r="19831" ht="15" customHeight="1">
      <c r="A19831" t="inlineStr">
        <is>
          <t>A 19214-2025</t>
        </is>
      </c>
      <c r="B19831" s="1" t="n">
        <v>45769</v>
      </c>
      <c r="C19831" s="1" t="n">
        <v>45810</v>
      </c>
      <c r="D19831" t="inlineStr">
        <is>
          <t>VÄRMLANDS LÄN</t>
        </is>
      </c>
      <c r="E19831" t="inlineStr">
        <is>
          <t>TORSBY</t>
        </is>
      </c>
      <c r="F19831" t="inlineStr">
        <is>
          <t>Bergvik skog väst AB</t>
        </is>
      </c>
      <c r="G19831" t="n">
        <v>0.9</v>
      </c>
      <c r="H19831" t="n">
        <v>0</v>
      </c>
      <c r="I19831" t="n">
        <v>0</v>
      </c>
      <c r="J19831" t="n">
        <v>0</v>
      </c>
      <c r="K19831" t="n">
        <v>0</v>
      </c>
      <c r="L19831" t="n">
        <v>0</v>
      </c>
      <c r="M19831" t="n">
        <v>0</v>
      </c>
      <c r="N19831" t="n">
        <v>0</v>
      </c>
      <c r="O19831" t="n">
        <v>0</v>
      </c>
      <c r="P19831" t="n">
        <v>0</v>
      </c>
      <c r="Q19831" t="n">
        <v>0</v>
      </c>
      <c r="R19831" s="2" t="inlineStr"/>
    </row>
    <row r="19832" ht="15" customHeight="1">
      <c r="A19832" t="inlineStr">
        <is>
          <t>A 19351-2025</t>
        </is>
      </c>
      <c r="B19832" s="1" t="n">
        <v>45769</v>
      </c>
      <c r="C19832" s="1" t="n">
        <v>45810</v>
      </c>
      <c r="D19832" t="inlineStr">
        <is>
          <t>VÄRMLANDS LÄN</t>
        </is>
      </c>
      <c r="E19832" t="inlineStr">
        <is>
          <t>FILIPSTAD</t>
        </is>
      </c>
      <c r="G19832" t="n">
        <v>1.1</v>
      </c>
      <c r="H19832" t="n">
        <v>0</v>
      </c>
      <c r="I19832" t="n">
        <v>0</v>
      </c>
      <c r="J19832" t="n">
        <v>0</v>
      </c>
      <c r="K19832" t="n">
        <v>0</v>
      </c>
      <c r="L19832" t="n">
        <v>0</v>
      </c>
      <c r="M19832" t="n">
        <v>0</v>
      </c>
      <c r="N19832" t="n">
        <v>0</v>
      </c>
      <c r="O19832" t="n">
        <v>0</v>
      </c>
      <c r="P19832" t="n">
        <v>0</v>
      </c>
      <c r="Q19832" t="n">
        <v>0</v>
      </c>
      <c r="R19832" s="2" t="inlineStr"/>
    </row>
    <row r="19833" ht="15" customHeight="1">
      <c r="A19833" t="inlineStr">
        <is>
          <t>A 19395-2025</t>
        </is>
      </c>
      <c r="B19833" s="1" t="n">
        <v>45769</v>
      </c>
      <c r="C19833" s="1" t="n">
        <v>45810</v>
      </c>
      <c r="D19833" t="inlineStr">
        <is>
          <t>VÄRMLANDS LÄN</t>
        </is>
      </c>
      <c r="E19833" t="inlineStr">
        <is>
          <t>KARLSTAD</t>
        </is>
      </c>
      <c r="F19833" t="inlineStr">
        <is>
          <t>Bergvik skog väst AB</t>
        </is>
      </c>
      <c r="G19833" t="n">
        <v>3.8</v>
      </c>
      <c r="H19833" t="n">
        <v>0</v>
      </c>
      <c r="I19833" t="n">
        <v>0</v>
      </c>
      <c r="J19833" t="n">
        <v>0</v>
      </c>
      <c r="K19833" t="n">
        <v>0</v>
      </c>
      <c r="L19833" t="n">
        <v>0</v>
      </c>
      <c r="M19833" t="n">
        <v>0</v>
      </c>
      <c r="N19833" t="n">
        <v>0</v>
      </c>
      <c r="O19833" t="n">
        <v>0</v>
      </c>
      <c r="P19833" t="n">
        <v>0</v>
      </c>
      <c r="Q19833" t="n">
        <v>0</v>
      </c>
      <c r="R19833" s="2" t="inlineStr"/>
    </row>
    <row r="19834" ht="15" customHeight="1">
      <c r="A19834" t="inlineStr">
        <is>
          <t>A 19409-2025</t>
        </is>
      </c>
      <c r="B19834" s="1" t="n">
        <v>45769</v>
      </c>
      <c r="C19834" s="1" t="n">
        <v>45810</v>
      </c>
      <c r="D19834" t="inlineStr">
        <is>
          <t>VÄRMLANDS LÄN</t>
        </is>
      </c>
      <c r="E19834" t="inlineStr">
        <is>
          <t>SUNNE</t>
        </is>
      </c>
      <c r="G19834" t="n">
        <v>1.6</v>
      </c>
      <c r="H19834" t="n">
        <v>0</v>
      </c>
      <c r="I19834" t="n">
        <v>0</v>
      </c>
      <c r="J19834" t="n">
        <v>0</v>
      </c>
      <c r="K19834" t="n">
        <v>0</v>
      </c>
      <c r="L19834" t="n">
        <v>0</v>
      </c>
      <c r="M19834" t="n">
        <v>0</v>
      </c>
      <c r="N19834" t="n">
        <v>0</v>
      </c>
      <c r="O19834" t="n">
        <v>0</v>
      </c>
      <c r="P19834" t="n">
        <v>0</v>
      </c>
      <c r="Q19834" t="n">
        <v>0</v>
      </c>
      <c r="R19834" s="2" t="inlineStr"/>
    </row>
    <row r="19835" ht="15" customHeight="1">
      <c r="A19835" t="inlineStr">
        <is>
          <t>A 19188-2025</t>
        </is>
      </c>
      <c r="B19835" s="1" t="n">
        <v>45769</v>
      </c>
      <c r="C19835" s="1" t="n">
        <v>45810</v>
      </c>
      <c r="D19835" t="inlineStr">
        <is>
          <t>VÄRMLANDS LÄN</t>
        </is>
      </c>
      <c r="E19835" t="inlineStr">
        <is>
          <t>EDA</t>
        </is>
      </c>
      <c r="F19835" t="inlineStr">
        <is>
          <t>Bergvik skog väst AB</t>
        </is>
      </c>
      <c r="G19835" t="n">
        <v>0.8</v>
      </c>
      <c r="H19835" t="n">
        <v>0</v>
      </c>
      <c r="I19835" t="n">
        <v>0</v>
      </c>
      <c r="J19835" t="n">
        <v>0</v>
      </c>
      <c r="K19835" t="n">
        <v>0</v>
      </c>
      <c r="L19835" t="n">
        <v>0</v>
      </c>
      <c r="M19835" t="n">
        <v>0</v>
      </c>
      <c r="N19835" t="n">
        <v>0</v>
      </c>
      <c r="O19835" t="n">
        <v>0</v>
      </c>
      <c r="P19835" t="n">
        <v>0</v>
      </c>
      <c r="Q19835" t="n">
        <v>0</v>
      </c>
      <c r="R19835" s="2" t="inlineStr"/>
    </row>
    <row r="19836" ht="15" customHeight="1">
      <c r="A19836" t="inlineStr">
        <is>
          <t>A 19244-2025</t>
        </is>
      </c>
      <c r="B19836" s="1" t="n">
        <v>45769</v>
      </c>
      <c r="C19836" s="1" t="n">
        <v>45810</v>
      </c>
      <c r="D19836" t="inlineStr">
        <is>
          <t>VÄRMLANDS LÄN</t>
        </is>
      </c>
      <c r="E19836" t="inlineStr">
        <is>
          <t>FILIPSTAD</t>
        </is>
      </c>
      <c r="F19836" t="inlineStr">
        <is>
          <t>Bergvik skog väst AB</t>
        </is>
      </c>
      <c r="G19836" t="n">
        <v>3</v>
      </c>
      <c r="H19836" t="n">
        <v>0</v>
      </c>
      <c r="I19836" t="n">
        <v>0</v>
      </c>
      <c r="J19836" t="n">
        <v>0</v>
      </c>
      <c r="K19836" t="n">
        <v>0</v>
      </c>
      <c r="L19836" t="n">
        <v>0</v>
      </c>
      <c r="M19836" t="n">
        <v>0</v>
      </c>
      <c r="N19836" t="n">
        <v>0</v>
      </c>
      <c r="O19836" t="n">
        <v>0</v>
      </c>
      <c r="P19836" t="n">
        <v>0</v>
      </c>
      <c r="Q19836" t="n">
        <v>0</v>
      </c>
      <c r="R19836" s="2" t="inlineStr"/>
    </row>
    <row r="19837" ht="15" customHeight="1">
      <c r="A19837" t="inlineStr">
        <is>
          <t>A 19390-2025</t>
        </is>
      </c>
      <c r="B19837" s="1" t="n">
        <v>45769</v>
      </c>
      <c r="C19837" s="1" t="n">
        <v>45810</v>
      </c>
      <c r="D19837" t="inlineStr">
        <is>
          <t>VÄRMLANDS LÄN</t>
        </is>
      </c>
      <c r="E19837" t="inlineStr">
        <is>
          <t>ARVIKA</t>
        </is>
      </c>
      <c r="F19837" t="inlineStr">
        <is>
          <t>Bergvik skog väst AB</t>
        </is>
      </c>
      <c r="G19837" t="n">
        <v>3.9</v>
      </c>
      <c r="H19837" t="n">
        <v>0</v>
      </c>
      <c r="I19837" t="n">
        <v>0</v>
      </c>
      <c r="J19837" t="n">
        <v>0</v>
      </c>
      <c r="K19837" t="n">
        <v>0</v>
      </c>
      <c r="L19837" t="n">
        <v>0</v>
      </c>
      <c r="M19837" t="n">
        <v>0</v>
      </c>
      <c r="N19837" t="n">
        <v>0</v>
      </c>
      <c r="O19837" t="n">
        <v>0</v>
      </c>
      <c r="P19837" t="n">
        <v>0</v>
      </c>
      <c r="Q19837" t="n">
        <v>0</v>
      </c>
      <c r="R19837" s="2" t="inlineStr"/>
    </row>
    <row r="19838" ht="15" customHeight="1">
      <c r="A19838" t="inlineStr">
        <is>
          <t>A 19172-2025</t>
        </is>
      </c>
      <c r="B19838" s="1" t="n">
        <v>45769</v>
      </c>
      <c r="C19838" s="1" t="n">
        <v>45810</v>
      </c>
      <c r="D19838" t="inlineStr">
        <is>
          <t>VÄRMLANDS LÄN</t>
        </is>
      </c>
      <c r="E19838" t="inlineStr">
        <is>
          <t>EDA</t>
        </is>
      </c>
      <c r="F19838" t="inlineStr">
        <is>
          <t>Bergvik skog väst AB</t>
        </is>
      </c>
      <c r="G19838" t="n">
        <v>1.4</v>
      </c>
      <c r="H19838" t="n">
        <v>0</v>
      </c>
      <c r="I19838" t="n">
        <v>0</v>
      </c>
      <c r="J19838" t="n">
        <v>0</v>
      </c>
      <c r="K19838" t="n">
        <v>0</v>
      </c>
      <c r="L19838" t="n">
        <v>0</v>
      </c>
      <c r="M19838" t="n">
        <v>0</v>
      </c>
      <c r="N19838" t="n">
        <v>0</v>
      </c>
      <c r="O19838" t="n">
        <v>0</v>
      </c>
      <c r="P19838" t="n">
        <v>0</v>
      </c>
      <c r="Q19838" t="n">
        <v>0</v>
      </c>
      <c r="R19838" s="2" t="inlineStr"/>
    </row>
    <row r="19839" ht="15" customHeight="1">
      <c r="A19839" t="inlineStr">
        <is>
          <t>A 19177-2025</t>
        </is>
      </c>
      <c r="B19839" s="1" t="n">
        <v>45769</v>
      </c>
      <c r="C19839" s="1" t="n">
        <v>45810</v>
      </c>
      <c r="D19839" t="inlineStr">
        <is>
          <t>VÄRMLANDS LÄN</t>
        </is>
      </c>
      <c r="E19839" t="inlineStr">
        <is>
          <t>ARVIKA</t>
        </is>
      </c>
      <c r="F19839" t="inlineStr">
        <is>
          <t>Bergvik skog väst AB</t>
        </is>
      </c>
      <c r="G19839" t="n">
        <v>3</v>
      </c>
      <c r="H19839" t="n">
        <v>0</v>
      </c>
      <c r="I19839" t="n">
        <v>0</v>
      </c>
      <c r="J19839" t="n">
        <v>0</v>
      </c>
      <c r="K19839" t="n">
        <v>0</v>
      </c>
      <c r="L19839" t="n">
        <v>0</v>
      </c>
      <c r="M19839" t="n">
        <v>0</v>
      </c>
      <c r="N19839" t="n">
        <v>0</v>
      </c>
      <c r="O19839" t="n">
        <v>0</v>
      </c>
      <c r="P19839" t="n">
        <v>0</v>
      </c>
      <c r="Q19839" t="n">
        <v>0</v>
      </c>
      <c r="R19839" s="2" t="inlineStr"/>
    </row>
    <row r="19840" ht="15" customHeight="1">
      <c r="A19840" t="inlineStr">
        <is>
          <t>A 19216-2025</t>
        </is>
      </c>
      <c r="B19840" s="1" t="n">
        <v>45769</v>
      </c>
      <c r="C19840" s="1" t="n">
        <v>45810</v>
      </c>
      <c r="D19840" t="inlineStr">
        <is>
          <t>VÄRMLANDS LÄN</t>
        </is>
      </c>
      <c r="E19840" t="inlineStr">
        <is>
          <t>ARVIKA</t>
        </is>
      </c>
      <c r="F19840" t="inlineStr">
        <is>
          <t>Bergvik skog väst AB</t>
        </is>
      </c>
      <c r="G19840" t="n">
        <v>1.7</v>
      </c>
      <c r="H19840" t="n">
        <v>0</v>
      </c>
      <c r="I19840" t="n">
        <v>0</v>
      </c>
      <c r="J19840" t="n">
        <v>0</v>
      </c>
      <c r="K19840" t="n">
        <v>0</v>
      </c>
      <c r="L19840" t="n">
        <v>0</v>
      </c>
      <c r="M19840" t="n">
        <v>0</v>
      </c>
      <c r="N19840" t="n">
        <v>0</v>
      </c>
      <c r="O19840" t="n">
        <v>0</v>
      </c>
      <c r="P19840" t="n">
        <v>0</v>
      </c>
      <c r="Q19840" t="n">
        <v>0</v>
      </c>
      <c r="R19840" s="2" t="inlineStr"/>
    </row>
    <row r="19841" ht="15" customHeight="1">
      <c r="A19841" t="inlineStr">
        <is>
          <t>A 19158-2025</t>
        </is>
      </c>
      <c r="B19841" s="1" t="n">
        <v>45769</v>
      </c>
      <c r="C19841" s="1" t="n">
        <v>45810</v>
      </c>
      <c r="D19841" t="inlineStr">
        <is>
          <t>VÄRMLANDS LÄN</t>
        </is>
      </c>
      <c r="E19841" t="inlineStr">
        <is>
          <t>ARVIKA</t>
        </is>
      </c>
      <c r="F19841" t="inlineStr">
        <is>
          <t>Bergvik skog väst AB</t>
        </is>
      </c>
      <c r="G19841" t="n">
        <v>3.4</v>
      </c>
      <c r="H19841" t="n">
        <v>0</v>
      </c>
      <c r="I19841" t="n">
        <v>0</v>
      </c>
      <c r="J19841" t="n">
        <v>0</v>
      </c>
      <c r="K19841" t="n">
        <v>0</v>
      </c>
      <c r="L19841" t="n">
        <v>0</v>
      </c>
      <c r="M19841" t="n">
        <v>0</v>
      </c>
      <c r="N19841" t="n">
        <v>0</v>
      </c>
      <c r="O19841" t="n">
        <v>0</v>
      </c>
      <c r="P19841" t="n">
        <v>0</v>
      </c>
      <c r="Q19841" t="n">
        <v>0</v>
      </c>
      <c r="R19841" s="2" t="inlineStr"/>
    </row>
    <row r="19842" ht="15" customHeight="1">
      <c r="A19842" t="inlineStr">
        <is>
          <t>A 19515-2025</t>
        </is>
      </c>
      <c r="B19842" s="1" t="n">
        <v>45770</v>
      </c>
      <c r="C19842" s="1" t="n">
        <v>45810</v>
      </c>
      <c r="D19842" t="inlineStr">
        <is>
          <t>VÄRMLANDS LÄN</t>
        </is>
      </c>
      <c r="E19842" t="inlineStr">
        <is>
          <t>HAGFORS</t>
        </is>
      </c>
      <c r="G19842" t="n">
        <v>2.7</v>
      </c>
      <c r="H19842" t="n">
        <v>0</v>
      </c>
      <c r="I19842" t="n">
        <v>0</v>
      </c>
      <c r="J19842" t="n">
        <v>0</v>
      </c>
      <c r="K19842" t="n">
        <v>0</v>
      </c>
      <c r="L19842" t="n">
        <v>0</v>
      </c>
      <c r="M19842" t="n">
        <v>0</v>
      </c>
      <c r="N19842" t="n">
        <v>0</v>
      </c>
      <c r="O19842" t="n">
        <v>0</v>
      </c>
      <c r="P19842" t="n">
        <v>0</v>
      </c>
      <c r="Q19842" t="n">
        <v>0</v>
      </c>
      <c r="R19842" s="2" t="inlineStr"/>
    </row>
    <row r="19843" ht="15" customHeight="1">
      <c r="A19843" t="inlineStr">
        <is>
          <t>A 19630-2025</t>
        </is>
      </c>
      <c r="B19843" s="1" t="n">
        <v>45770</v>
      </c>
      <c r="C19843" s="1" t="n">
        <v>45810</v>
      </c>
      <c r="D19843" t="inlineStr">
        <is>
          <t>VÄRMLANDS LÄN</t>
        </is>
      </c>
      <c r="E19843" t="inlineStr">
        <is>
          <t>TORSBY</t>
        </is>
      </c>
      <c r="G19843" t="n">
        <v>3.1</v>
      </c>
      <c r="H19843" t="n">
        <v>0</v>
      </c>
      <c r="I19843" t="n">
        <v>0</v>
      </c>
      <c r="J19843" t="n">
        <v>0</v>
      </c>
      <c r="K19843" t="n">
        <v>0</v>
      </c>
      <c r="L19843" t="n">
        <v>0</v>
      </c>
      <c r="M19843" t="n">
        <v>0</v>
      </c>
      <c r="N19843" t="n">
        <v>0</v>
      </c>
      <c r="O19843" t="n">
        <v>0</v>
      </c>
      <c r="P19843" t="n">
        <v>0</v>
      </c>
      <c r="Q19843" t="n">
        <v>0</v>
      </c>
      <c r="R19843" s="2" t="inlineStr"/>
    </row>
    <row r="19844" ht="15" customHeight="1">
      <c r="A19844" t="inlineStr">
        <is>
          <t>A 19653-2025</t>
        </is>
      </c>
      <c r="B19844" s="1" t="n">
        <v>45770</v>
      </c>
      <c r="C19844" s="1" t="n">
        <v>45810</v>
      </c>
      <c r="D19844" t="inlineStr">
        <is>
          <t>VÄRMLANDS LÄN</t>
        </is>
      </c>
      <c r="E19844" t="inlineStr">
        <is>
          <t>TORSBY</t>
        </is>
      </c>
      <c r="G19844" t="n">
        <v>1.3</v>
      </c>
      <c r="H19844" t="n">
        <v>0</v>
      </c>
      <c r="I19844" t="n">
        <v>0</v>
      </c>
      <c r="J19844" t="n">
        <v>0</v>
      </c>
      <c r="K19844" t="n">
        <v>0</v>
      </c>
      <c r="L19844" t="n">
        <v>0</v>
      </c>
      <c r="M19844" t="n">
        <v>0</v>
      </c>
      <c r="N19844" t="n">
        <v>0</v>
      </c>
      <c r="O19844" t="n">
        <v>0</v>
      </c>
      <c r="P19844" t="n">
        <v>0</v>
      </c>
      <c r="Q19844" t="n">
        <v>0</v>
      </c>
      <c r="R19844" s="2" t="inlineStr"/>
    </row>
    <row r="19845" ht="15" customHeight="1">
      <c r="A19845" t="inlineStr">
        <is>
          <t>A 19575-2025</t>
        </is>
      </c>
      <c r="B19845" s="1" t="n">
        <v>45770</v>
      </c>
      <c r="C19845" s="1" t="n">
        <v>45810</v>
      </c>
      <c r="D19845" t="inlineStr">
        <is>
          <t>VÄRMLANDS LÄN</t>
        </is>
      </c>
      <c r="E19845" t="inlineStr">
        <is>
          <t>TORSBY</t>
        </is>
      </c>
      <c r="F19845" t="inlineStr">
        <is>
          <t>Bergvik skog väst AB</t>
        </is>
      </c>
      <c r="G19845" t="n">
        <v>1.8</v>
      </c>
      <c r="H19845" t="n">
        <v>0</v>
      </c>
      <c r="I19845" t="n">
        <v>0</v>
      </c>
      <c r="J19845" t="n">
        <v>0</v>
      </c>
      <c r="K19845" t="n">
        <v>0</v>
      </c>
      <c r="L19845" t="n">
        <v>0</v>
      </c>
      <c r="M19845" t="n">
        <v>0</v>
      </c>
      <c r="N19845" t="n">
        <v>0</v>
      </c>
      <c r="O19845" t="n">
        <v>0</v>
      </c>
      <c r="P19845" t="n">
        <v>0</v>
      </c>
      <c r="Q19845" t="n">
        <v>0</v>
      </c>
      <c r="R19845" s="2" t="inlineStr"/>
    </row>
    <row r="19846" ht="15" customHeight="1">
      <c r="A19846" t="inlineStr">
        <is>
          <t>A 19591-2025</t>
        </is>
      </c>
      <c r="B19846" s="1" t="n">
        <v>45770</v>
      </c>
      <c r="C19846" s="1" t="n">
        <v>45810</v>
      </c>
      <c r="D19846" t="inlineStr">
        <is>
          <t>VÄRMLANDS LÄN</t>
        </is>
      </c>
      <c r="E19846" t="inlineStr">
        <is>
          <t>ARVIKA</t>
        </is>
      </c>
      <c r="G19846" t="n">
        <v>2.4</v>
      </c>
      <c r="H19846" t="n">
        <v>0</v>
      </c>
      <c r="I19846" t="n">
        <v>0</v>
      </c>
      <c r="J19846" t="n">
        <v>0</v>
      </c>
      <c r="K19846" t="n">
        <v>0</v>
      </c>
      <c r="L19846" t="n">
        <v>0</v>
      </c>
      <c r="M19846" t="n">
        <v>0</v>
      </c>
      <c r="N19846" t="n">
        <v>0</v>
      </c>
      <c r="O19846" t="n">
        <v>0</v>
      </c>
      <c r="P19846" t="n">
        <v>0</v>
      </c>
      <c r="Q19846" t="n">
        <v>0</v>
      </c>
      <c r="R19846" s="2" t="inlineStr"/>
    </row>
    <row r="19847" ht="15" customHeight="1">
      <c r="A19847" t="inlineStr">
        <is>
          <t>A 19638-2025</t>
        </is>
      </c>
      <c r="B19847" s="1" t="n">
        <v>45770</v>
      </c>
      <c r="C19847" s="1" t="n">
        <v>45810</v>
      </c>
      <c r="D19847" t="inlineStr">
        <is>
          <t>VÄRMLANDS LÄN</t>
        </is>
      </c>
      <c r="E19847" t="inlineStr">
        <is>
          <t>KRISTINEHAMN</t>
        </is>
      </c>
      <c r="G19847" t="n">
        <v>6.4</v>
      </c>
      <c r="H19847" t="n">
        <v>0</v>
      </c>
      <c r="I19847" t="n">
        <v>0</v>
      </c>
      <c r="J19847" t="n">
        <v>0</v>
      </c>
      <c r="K19847" t="n">
        <v>0</v>
      </c>
      <c r="L19847" t="n">
        <v>0</v>
      </c>
      <c r="M19847" t="n">
        <v>0</v>
      </c>
      <c r="N19847" t="n">
        <v>0</v>
      </c>
      <c r="O19847" t="n">
        <v>0</v>
      </c>
      <c r="P19847" t="n">
        <v>0</v>
      </c>
      <c r="Q19847" t="n">
        <v>0</v>
      </c>
      <c r="R19847" s="2" t="inlineStr"/>
    </row>
    <row r="19848" ht="15" customHeight="1">
      <c r="A19848" t="inlineStr">
        <is>
          <t>A 19621-2025</t>
        </is>
      </c>
      <c r="B19848" s="1" t="n">
        <v>45770</v>
      </c>
      <c r="C19848" s="1" t="n">
        <v>45810</v>
      </c>
      <c r="D19848" t="inlineStr">
        <is>
          <t>VÄRMLANDS LÄN</t>
        </is>
      </c>
      <c r="E19848" t="inlineStr">
        <is>
          <t>ÅRJÄNG</t>
        </is>
      </c>
      <c r="F19848" t="inlineStr">
        <is>
          <t>Övriga Aktiebolag</t>
        </is>
      </c>
      <c r="G19848" t="n">
        <v>7.7</v>
      </c>
      <c r="H19848" t="n">
        <v>0</v>
      </c>
      <c r="I19848" t="n">
        <v>0</v>
      </c>
      <c r="J19848" t="n">
        <v>0</v>
      </c>
      <c r="K19848" t="n">
        <v>0</v>
      </c>
      <c r="L19848" t="n">
        <v>0</v>
      </c>
      <c r="M19848" t="n">
        <v>0</v>
      </c>
      <c r="N19848" t="n">
        <v>0</v>
      </c>
      <c r="O19848" t="n">
        <v>0</v>
      </c>
      <c r="P19848" t="n">
        <v>0</v>
      </c>
      <c r="Q19848" t="n">
        <v>0</v>
      </c>
      <c r="R19848" s="2" t="inlineStr"/>
    </row>
    <row r="19849" ht="15" customHeight="1">
      <c r="A19849" t="inlineStr">
        <is>
          <t>A 19625-2025</t>
        </is>
      </c>
      <c r="B19849" s="1" t="n">
        <v>45770</v>
      </c>
      <c r="C19849" s="1" t="n">
        <v>45810</v>
      </c>
      <c r="D19849" t="inlineStr">
        <is>
          <t>VÄRMLANDS LÄN</t>
        </is>
      </c>
      <c r="E19849" t="inlineStr">
        <is>
          <t>TORSBY</t>
        </is>
      </c>
      <c r="G19849" t="n">
        <v>4</v>
      </c>
      <c r="H19849" t="n">
        <v>0</v>
      </c>
      <c r="I19849" t="n">
        <v>0</v>
      </c>
      <c r="J19849" t="n">
        <v>0</v>
      </c>
      <c r="K19849" t="n">
        <v>0</v>
      </c>
      <c r="L19849" t="n">
        <v>0</v>
      </c>
      <c r="M19849" t="n">
        <v>0</v>
      </c>
      <c r="N19849" t="n">
        <v>0</v>
      </c>
      <c r="O19849" t="n">
        <v>0</v>
      </c>
      <c r="P19849" t="n">
        <v>0</v>
      </c>
      <c r="Q19849" t="n">
        <v>0</v>
      </c>
      <c r="R19849" s="2" t="inlineStr"/>
    </row>
    <row r="19850" ht="15" customHeight="1">
      <c r="A19850" t="inlineStr">
        <is>
          <t>A 19539-2025</t>
        </is>
      </c>
      <c r="B19850" s="1" t="n">
        <v>45770</v>
      </c>
      <c r="C19850" s="1" t="n">
        <v>45810</v>
      </c>
      <c r="D19850" t="inlineStr">
        <is>
          <t>VÄRMLANDS LÄN</t>
        </is>
      </c>
      <c r="E19850" t="inlineStr">
        <is>
          <t>FILIPSTAD</t>
        </is>
      </c>
      <c r="F19850" t="inlineStr">
        <is>
          <t>Bergvik skog väst AB</t>
        </is>
      </c>
      <c r="G19850" t="n">
        <v>2.5</v>
      </c>
      <c r="H19850" t="n">
        <v>0</v>
      </c>
      <c r="I19850" t="n">
        <v>0</v>
      </c>
      <c r="J19850" t="n">
        <v>0</v>
      </c>
      <c r="K19850" t="n">
        <v>0</v>
      </c>
      <c r="L19850" t="n">
        <v>0</v>
      </c>
      <c r="M19850" t="n">
        <v>0</v>
      </c>
      <c r="N19850" t="n">
        <v>0</v>
      </c>
      <c r="O19850" t="n">
        <v>0</v>
      </c>
      <c r="P19850" t="n">
        <v>0</v>
      </c>
      <c r="Q19850" t="n">
        <v>0</v>
      </c>
      <c r="R19850" s="2" t="inlineStr"/>
    </row>
    <row r="19851" ht="15" customHeight="1">
      <c r="A19851" t="inlineStr">
        <is>
          <t>A 19662-2025</t>
        </is>
      </c>
      <c r="B19851" s="1" t="n">
        <v>45770</v>
      </c>
      <c r="C19851" s="1" t="n">
        <v>45810</v>
      </c>
      <c r="D19851" t="inlineStr">
        <is>
          <t>VÄRMLANDS LÄN</t>
        </is>
      </c>
      <c r="E19851" t="inlineStr">
        <is>
          <t>TORSBY</t>
        </is>
      </c>
      <c r="F19851" t="inlineStr">
        <is>
          <t>Bergvik skog väst AB</t>
        </is>
      </c>
      <c r="G19851" t="n">
        <v>11.6</v>
      </c>
      <c r="H19851" t="n">
        <v>0</v>
      </c>
      <c r="I19851" t="n">
        <v>0</v>
      </c>
      <c r="J19851" t="n">
        <v>0</v>
      </c>
      <c r="K19851" t="n">
        <v>0</v>
      </c>
      <c r="L19851" t="n">
        <v>0</v>
      </c>
      <c r="M19851" t="n">
        <v>0</v>
      </c>
      <c r="N19851" t="n">
        <v>0</v>
      </c>
      <c r="O19851" t="n">
        <v>0</v>
      </c>
      <c r="P19851" t="n">
        <v>0</v>
      </c>
      <c r="Q19851" t="n">
        <v>0</v>
      </c>
      <c r="R19851" s="2" t="inlineStr"/>
    </row>
    <row r="19852" ht="15" customHeight="1">
      <c r="A19852" t="inlineStr">
        <is>
          <t>A 19438-2025</t>
        </is>
      </c>
      <c r="B19852" s="1" t="n">
        <v>45770</v>
      </c>
      <c r="C19852" s="1" t="n">
        <v>45810</v>
      </c>
      <c r="D19852" t="inlineStr">
        <is>
          <t>VÄRMLANDS LÄN</t>
        </is>
      </c>
      <c r="E19852" t="inlineStr">
        <is>
          <t>EDA</t>
        </is>
      </c>
      <c r="F19852" t="inlineStr">
        <is>
          <t>Bergvik skog väst AB</t>
        </is>
      </c>
      <c r="G19852" t="n">
        <v>1.1</v>
      </c>
      <c r="H19852" t="n">
        <v>0</v>
      </c>
      <c r="I19852" t="n">
        <v>0</v>
      </c>
      <c r="J19852" t="n">
        <v>0</v>
      </c>
      <c r="K19852" t="n">
        <v>0</v>
      </c>
      <c r="L19852" t="n">
        <v>0</v>
      </c>
      <c r="M19852" t="n">
        <v>0</v>
      </c>
      <c r="N19852" t="n">
        <v>0</v>
      </c>
      <c r="O19852" t="n">
        <v>0</v>
      </c>
      <c r="P19852" t="n">
        <v>0</v>
      </c>
      <c r="Q19852" t="n">
        <v>0</v>
      </c>
      <c r="R19852" s="2" t="inlineStr"/>
    </row>
    <row r="19853" ht="15" customHeight="1">
      <c r="A19853" t="inlineStr">
        <is>
          <t>A 19586-2025</t>
        </is>
      </c>
      <c r="B19853" s="1" t="n">
        <v>45770</v>
      </c>
      <c r="C19853" s="1" t="n">
        <v>45810</v>
      </c>
      <c r="D19853" t="inlineStr">
        <is>
          <t>VÄRMLANDS LÄN</t>
        </is>
      </c>
      <c r="E19853" t="inlineStr">
        <is>
          <t>ARVIKA</t>
        </is>
      </c>
      <c r="G19853" t="n">
        <v>4</v>
      </c>
      <c r="H19853" t="n">
        <v>0</v>
      </c>
      <c r="I19853" t="n">
        <v>0</v>
      </c>
      <c r="J19853" t="n">
        <v>0</v>
      </c>
      <c r="K19853" t="n">
        <v>0</v>
      </c>
      <c r="L19853" t="n">
        <v>0</v>
      </c>
      <c r="M19853" t="n">
        <v>0</v>
      </c>
      <c r="N19853" t="n">
        <v>0</v>
      </c>
      <c r="O19853" t="n">
        <v>0</v>
      </c>
      <c r="P19853" t="n">
        <v>0</v>
      </c>
      <c r="Q19853" t="n">
        <v>0</v>
      </c>
      <c r="R19853" s="2" t="inlineStr"/>
    </row>
    <row r="19854" ht="15" customHeight="1">
      <c r="A19854" t="inlineStr">
        <is>
          <t>A 19445-2025</t>
        </is>
      </c>
      <c r="B19854" s="1" t="n">
        <v>45770</v>
      </c>
      <c r="C19854" s="1" t="n">
        <v>45810</v>
      </c>
      <c r="D19854" t="inlineStr">
        <is>
          <t>VÄRMLANDS LÄN</t>
        </is>
      </c>
      <c r="E19854" t="inlineStr">
        <is>
          <t>FILIPSTAD</t>
        </is>
      </c>
      <c r="G19854" t="n">
        <v>2</v>
      </c>
      <c r="H19854" t="n">
        <v>0</v>
      </c>
      <c r="I19854" t="n">
        <v>0</v>
      </c>
      <c r="J19854" t="n">
        <v>0</v>
      </c>
      <c r="K19854" t="n">
        <v>0</v>
      </c>
      <c r="L19854" t="n">
        <v>0</v>
      </c>
      <c r="M19854" t="n">
        <v>0</v>
      </c>
      <c r="N19854" t="n">
        <v>0</v>
      </c>
      <c r="O19854" t="n">
        <v>0</v>
      </c>
      <c r="P19854" t="n">
        <v>0</v>
      </c>
      <c r="Q19854" t="n">
        <v>0</v>
      </c>
      <c r="R19854" s="2" t="inlineStr"/>
    </row>
    <row r="19855" ht="15" customHeight="1">
      <c r="A19855" t="inlineStr">
        <is>
          <t>A 19521-2025</t>
        </is>
      </c>
      <c r="B19855" s="1" t="n">
        <v>45770</v>
      </c>
      <c r="C19855" s="1" t="n">
        <v>45810</v>
      </c>
      <c r="D19855" t="inlineStr">
        <is>
          <t>VÄRMLANDS LÄN</t>
        </is>
      </c>
      <c r="E19855" t="inlineStr">
        <is>
          <t>HAGFORS</t>
        </is>
      </c>
      <c r="G19855" t="n">
        <v>1.1</v>
      </c>
      <c r="H19855" t="n">
        <v>0</v>
      </c>
      <c r="I19855" t="n">
        <v>0</v>
      </c>
      <c r="J19855" t="n">
        <v>0</v>
      </c>
      <c r="K19855" t="n">
        <v>0</v>
      </c>
      <c r="L19855" t="n">
        <v>0</v>
      </c>
      <c r="M19855" t="n">
        <v>0</v>
      </c>
      <c r="N19855" t="n">
        <v>0</v>
      </c>
      <c r="O19855" t="n">
        <v>0</v>
      </c>
      <c r="P19855" t="n">
        <v>0</v>
      </c>
      <c r="Q19855" t="n">
        <v>0</v>
      </c>
      <c r="R19855" s="2" t="inlineStr"/>
    </row>
    <row r="19856" ht="15" customHeight="1">
      <c r="A19856" t="inlineStr">
        <is>
          <t>A 19683-2025</t>
        </is>
      </c>
      <c r="B19856" s="1" t="n">
        <v>45770</v>
      </c>
      <c r="C19856" s="1" t="n">
        <v>45810</v>
      </c>
      <c r="D19856" t="inlineStr">
        <is>
          <t>VÄRMLANDS LÄN</t>
        </is>
      </c>
      <c r="E19856" t="inlineStr">
        <is>
          <t>ARVIKA</t>
        </is>
      </c>
      <c r="G19856" t="n">
        <v>1</v>
      </c>
      <c r="H19856" t="n">
        <v>0</v>
      </c>
      <c r="I19856" t="n">
        <v>0</v>
      </c>
      <c r="J19856" t="n">
        <v>0</v>
      </c>
      <c r="K19856" t="n">
        <v>0</v>
      </c>
      <c r="L19856" t="n">
        <v>0</v>
      </c>
      <c r="M19856" t="n">
        <v>0</v>
      </c>
      <c r="N19856" t="n">
        <v>0</v>
      </c>
      <c r="O19856" t="n">
        <v>0</v>
      </c>
      <c r="P19856" t="n">
        <v>0</v>
      </c>
      <c r="Q19856" t="n">
        <v>0</v>
      </c>
      <c r="R19856" s="2" t="inlineStr"/>
    </row>
    <row r="19857" ht="15" customHeight="1">
      <c r="A19857" t="inlineStr">
        <is>
          <t>A 19442-2025</t>
        </is>
      </c>
      <c r="B19857" s="1" t="n">
        <v>45770</v>
      </c>
      <c r="C19857" s="1" t="n">
        <v>45810</v>
      </c>
      <c r="D19857" t="inlineStr">
        <is>
          <t>VÄRMLANDS LÄN</t>
        </is>
      </c>
      <c r="E19857" t="inlineStr">
        <is>
          <t>EDA</t>
        </is>
      </c>
      <c r="G19857" t="n">
        <v>1.3</v>
      </c>
      <c r="H19857" t="n">
        <v>0</v>
      </c>
      <c r="I19857" t="n">
        <v>0</v>
      </c>
      <c r="J19857" t="n">
        <v>0</v>
      </c>
      <c r="K19857" t="n">
        <v>0</v>
      </c>
      <c r="L19857" t="n">
        <v>0</v>
      </c>
      <c r="M19857" t="n">
        <v>0</v>
      </c>
      <c r="N19857" t="n">
        <v>0</v>
      </c>
      <c r="O19857" t="n">
        <v>0</v>
      </c>
      <c r="P19857" t="n">
        <v>0</v>
      </c>
      <c r="Q19857" t="n">
        <v>0</v>
      </c>
      <c r="R19857" s="2" t="inlineStr"/>
    </row>
    <row r="19858" ht="15" customHeight="1">
      <c r="A19858" t="inlineStr">
        <is>
          <t>A 19543-2025</t>
        </is>
      </c>
      <c r="B19858" s="1" t="n">
        <v>45770</v>
      </c>
      <c r="C19858" s="1" t="n">
        <v>45810</v>
      </c>
      <c r="D19858" t="inlineStr">
        <is>
          <t>VÄRMLANDS LÄN</t>
        </is>
      </c>
      <c r="E19858" t="inlineStr">
        <is>
          <t>SUNNE</t>
        </is>
      </c>
      <c r="G19858" t="n">
        <v>2.4</v>
      </c>
      <c r="H19858" t="n">
        <v>0</v>
      </c>
      <c r="I19858" t="n">
        <v>0</v>
      </c>
      <c r="J19858" t="n">
        <v>0</v>
      </c>
      <c r="K19858" t="n">
        <v>0</v>
      </c>
      <c r="L19858" t="n">
        <v>0</v>
      </c>
      <c r="M19858" t="n">
        <v>0</v>
      </c>
      <c r="N19858" t="n">
        <v>0</v>
      </c>
      <c r="O19858" t="n">
        <v>0</v>
      </c>
      <c r="P19858" t="n">
        <v>0</v>
      </c>
      <c r="Q19858" t="n">
        <v>0</v>
      </c>
      <c r="R19858" s="2" t="inlineStr"/>
    </row>
    <row r="19859" ht="15" customHeight="1">
      <c r="A19859" t="inlineStr">
        <is>
          <t>A 19877-2025</t>
        </is>
      </c>
      <c r="B19859" s="1" t="n">
        <v>45771</v>
      </c>
      <c r="C19859" s="1" t="n">
        <v>45810</v>
      </c>
      <c r="D19859" t="inlineStr">
        <is>
          <t>VÄRMLANDS LÄN</t>
        </is>
      </c>
      <c r="E19859" t="inlineStr">
        <is>
          <t>ÅRJÄNG</t>
        </is>
      </c>
      <c r="G19859" t="n">
        <v>6.3</v>
      </c>
      <c r="H19859" t="n">
        <v>0</v>
      </c>
      <c r="I19859" t="n">
        <v>0</v>
      </c>
      <c r="J19859" t="n">
        <v>0</v>
      </c>
      <c r="K19859" t="n">
        <v>0</v>
      </c>
      <c r="L19859" t="n">
        <v>0</v>
      </c>
      <c r="M19859" t="n">
        <v>0</v>
      </c>
      <c r="N19859" t="n">
        <v>0</v>
      </c>
      <c r="O19859" t="n">
        <v>0</v>
      </c>
      <c r="P19859" t="n">
        <v>0</v>
      </c>
      <c r="Q19859" t="n">
        <v>0</v>
      </c>
      <c r="R19859" s="2" t="inlineStr"/>
    </row>
    <row r="19860" ht="15" customHeight="1">
      <c r="A19860" t="inlineStr">
        <is>
          <t>A 19908-2025</t>
        </is>
      </c>
      <c r="B19860" s="1" t="n">
        <v>45771</v>
      </c>
      <c r="C19860" s="1" t="n">
        <v>45810</v>
      </c>
      <c r="D19860" t="inlineStr">
        <is>
          <t>VÄRMLANDS LÄN</t>
        </is>
      </c>
      <c r="E19860" t="inlineStr">
        <is>
          <t>SUNNE</t>
        </is>
      </c>
      <c r="G19860" t="n">
        <v>1.2</v>
      </c>
      <c r="H19860" t="n">
        <v>0</v>
      </c>
      <c r="I19860" t="n">
        <v>0</v>
      </c>
      <c r="J19860" t="n">
        <v>0</v>
      </c>
      <c r="K19860" t="n">
        <v>0</v>
      </c>
      <c r="L19860" t="n">
        <v>0</v>
      </c>
      <c r="M19860" t="n">
        <v>0</v>
      </c>
      <c r="N19860" t="n">
        <v>0</v>
      </c>
      <c r="O19860" t="n">
        <v>0</v>
      </c>
      <c r="P19860" t="n">
        <v>0</v>
      </c>
      <c r="Q19860" t="n">
        <v>0</v>
      </c>
      <c r="R19860" s="2" t="inlineStr"/>
    </row>
    <row r="19861" ht="15" customHeight="1">
      <c r="A19861" t="inlineStr">
        <is>
          <t>A 20005-2025</t>
        </is>
      </c>
      <c r="B19861" s="1" t="n">
        <v>45772</v>
      </c>
      <c r="C19861" s="1" t="n">
        <v>45810</v>
      </c>
      <c r="D19861" t="inlineStr">
        <is>
          <t>VÄRMLANDS LÄN</t>
        </is>
      </c>
      <c r="E19861" t="inlineStr">
        <is>
          <t>KARLSTAD</t>
        </is>
      </c>
      <c r="F19861" t="inlineStr">
        <is>
          <t>Kyrkan</t>
        </is>
      </c>
      <c r="G19861" t="n">
        <v>4.3</v>
      </c>
      <c r="H19861" t="n">
        <v>0</v>
      </c>
      <c r="I19861" t="n">
        <v>0</v>
      </c>
      <c r="J19861" t="n">
        <v>0</v>
      </c>
      <c r="K19861" t="n">
        <v>0</v>
      </c>
      <c r="L19861" t="n">
        <v>0</v>
      </c>
      <c r="M19861" t="n">
        <v>0</v>
      </c>
      <c r="N19861" t="n">
        <v>0</v>
      </c>
      <c r="O19861" t="n">
        <v>0</v>
      </c>
      <c r="P19861" t="n">
        <v>0</v>
      </c>
      <c r="Q19861" t="n">
        <v>0</v>
      </c>
      <c r="R19861" s="2" t="inlineStr"/>
    </row>
    <row r="19862" ht="15" customHeight="1">
      <c r="A19862" t="inlineStr">
        <is>
          <t>A 19787-2025</t>
        </is>
      </c>
      <c r="B19862" s="1" t="n">
        <v>45771</v>
      </c>
      <c r="C19862" s="1" t="n">
        <v>45810</v>
      </c>
      <c r="D19862" t="inlineStr">
        <is>
          <t>VÄRMLANDS LÄN</t>
        </is>
      </c>
      <c r="E19862" t="inlineStr">
        <is>
          <t>TORSBY</t>
        </is>
      </c>
      <c r="F19862" t="inlineStr">
        <is>
          <t>Bergvik skog väst AB</t>
        </is>
      </c>
      <c r="G19862" t="n">
        <v>1.3</v>
      </c>
      <c r="H19862" t="n">
        <v>0</v>
      </c>
      <c r="I19862" t="n">
        <v>0</v>
      </c>
      <c r="J19862" t="n">
        <v>0</v>
      </c>
      <c r="K19862" t="n">
        <v>0</v>
      </c>
      <c r="L19862" t="n">
        <v>0</v>
      </c>
      <c r="M19862" t="n">
        <v>0</v>
      </c>
      <c r="N19862" t="n">
        <v>0</v>
      </c>
      <c r="O19862" t="n">
        <v>0</v>
      </c>
      <c r="P19862" t="n">
        <v>0</v>
      </c>
      <c r="Q19862" t="n">
        <v>0</v>
      </c>
      <c r="R19862" s="2" t="inlineStr"/>
    </row>
    <row r="19863" ht="15" customHeight="1">
      <c r="A19863" t="inlineStr">
        <is>
          <t>A 19791-2025</t>
        </is>
      </c>
      <c r="B19863" s="1" t="n">
        <v>45771</v>
      </c>
      <c r="C19863" s="1" t="n">
        <v>45810</v>
      </c>
      <c r="D19863" t="inlineStr">
        <is>
          <t>VÄRMLANDS LÄN</t>
        </is>
      </c>
      <c r="E19863" t="inlineStr">
        <is>
          <t>TORSBY</t>
        </is>
      </c>
      <c r="F19863" t="inlineStr">
        <is>
          <t>Bergvik skog väst AB</t>
        </is>
      </c>
      <c r="G19863" t="n">
        <v>2.8</v>
      </c>
      <c r="H19863" t="n">
        <v>0</v>
      </c>
      <c r="I19863" t="n">
        <v>0</v>
      </c>
      <c r="J19863" t="n">
        <v>0</v>
      </c>
      <c r="K19863" t="n">
        <v>0</v>
      </c>
      <c r="L19863" t="n">
        <v>0</v>
      </c>
      <c r="M19863" t="n">
        <v>0</v>
      </c>
      <c r="N19863" t="n">
        <v>0</v>
      </c>
      <c r="O19863" t="n">
        <v>0</v>
      </c>
      <c r="P19863" t="n">
        <v>0</v>
      </c>
      <c r="Q19863" t="n">
        <v>0</v>
      </c>
      <c r="R19863" s="2" t="inlineStr"/>
    </row>
    <row r="19864" ht="15" customHeight="1">
      <c r="A19864" t="inlineStr">
        <is>
          <t>A 19964-2025</t>
        </is>
      </c>
      <c r="B19864" s="1" t="n">
        <v>45771</v>
      </c>
      <c r="C19864" s="1" t="n">
        <v>45810</v>
      </c>
      <c r="D19864" t="inlineStr">
        <is>
          <t>VÄRMLANDS LÄN</t>
        </is>
      </c>
      <c r="E19864" t="inlineStr">
        <is>
          <t>TORSBY</t>
        </is>
      </c>
      <c r="F19864" t="inlineStr">
        <is>
          <t>Bergvik skog väst AB</t>
        </is>
      </c>
      <c r="G19864" t="n">
        <v>23.8</v>
      </c>
      <c r="H19864" t="n">
        <v>0</v>
      </c>
      <c r="I19864" t="n">
        <v>0</v>
      </c>
      <c r="J19864" t="n">
        <v>0</v>
      </c>
      <c r="K19864" t="n">
        <v>0</v>
      </c>
      <c r="L19864" t="n">
        <v>0</v>
      </c>
      <c r="M19864" t="n">
        <v>0</v>
      </c>
      <c r="N19864" t="n">
        <v>0</v>
      </c>
      <c r="O19864" t="n">
        <v>0</v>
      </c>
      <c r="P19864" t="n">
        <v>0</v>
      </c>
      <c r="Q19864" t="n">
        <v>0</v>
      </c>
      <c r="R19864" s="2" t="inlineStr"/>
    </row>
    <row r="19865" ht="15" customHeight="1">
      <c r="A19865" t="inlineStr">
        <is>
          <t>A 19743-2025</t>
        </is>
      </c>
      <c r="B19865" s="1" t="n">
        <v>45771</v>
      </c>
      <c r="C19865" s="1" t="n">
        <v>45810</v>
      </c>
      <c r="D19865" t="inlineStr">
        <is>
          <t>VÄRMLANDS LÄN</t>
        </is>
      </c>
      <c r="E19865" t="inlineStr">
        <is>
          <t>TORSBY</t>
        </is>
      </c>
      <c r="G19865" t="n">
        <v>2</v>
      </c>
      <c r="H19865" t="n">
        <v>0</v>
      </c>
      <c r="I19865" t="n">
        <v>0</v>
      </c>
      <c r="J19865" t="n">
        <v>0</v>
      </c>
      <c r="K19865" t="n">
        <v>0</v>
      </c>
      <c r="L19865" t="n">
        <v>0</v>
      </c>
      <c r="M19865" t="n">
        <v>0</v>
      </c>
      <c r="N19865" t="n">
        <v>0</v>
      </c>
      <c r="O19865" t="n">
        <v>0</v>
      </c>
      <c r="P19865" t="n">
        <v>0</v>
      </c>
      <c r="Q19865" t="n">
        <v>0</v>
      </c>
      <c r="R19865" s="2" t="inlineStr"/>
    </row>
    <row r="19866" ht="15" customHeight="1">
      <c r="A19866" t="inlineStr">
        <is>
          <t>A 19838-2025</t>
        </is>
      </c>
      <c r="B19866" s="1" t="n">
        <v>45771</v>
      </c>
      <c r="C19866" s="1" t="n">
        <v>45810</v>
      </c>
      <c r="D19866" t="inlineStr">
        <is>
          <t>VÄRMLANDS LÄN</t>
        </is>
      </c>
      <c r="E19866" t="inlineStr">
        <is>
          <t>SÄFFLE</t>
        </is>
      </c>
      <c r="G19866" t="n">
        <v>5.7</v>
      </c>
      <c r="H19866" t="n">
        <v>0</v>
      </c>
      <c r="I19866" t="n">
        <v>0</v>
      </c>
      <c r="J19866" t="n">
        <v>0</v>
      </c>
      <c r="K19866" t="n">
        <v>0</v>
      </c>
      <c r="L19866" t="n">
        <v>0</v>
      </c>
      <c r="M19866" t="n">
        <v>0</v>
      </c>
      <c r="N19866" t="n">
        <v>0</v>
      </c>
      <c r="O19866" t="n">
        <v>0</v>
      </c>
      <c r="P19866" t="n">
        <v>0</v>
      </c>
      <c r="Q19866" t="n">
        <v>0</v>
      </c>
      <c r="R19866" s="2" t="inlineStr"/>
    </row>
    <row r="19867" ht="15" customHeight="1">
      <c r="A19867" t="inlineStr">
        <is>
          <t>A 19763-2025</t>
        </is>
      </c>
      <c r="B19867" s="1" t="n">
        <v>45771</v>
      </c>
      <c r="C19867" s="1" t="n">
        <v>45810</v>
      </c>
      <c r="D19867" t="inlineStr">
        <is>
          <t>VÄRMLANDS LÄN</t>
        </is>
      </c>
      <c r="E19867" t="inlineStr">
        <is>
          <t>TORSBY</t>
        </is>
      </c>
      <c r="F19867" t="inlineStr">
        <is>
          <t>Bergvik skog väst AB</t>
        </is>
      </c>
      <c r="G19867" t="n">
        <v>1.9</v>
      </c>
      <c r="H19867" t="n">
        <v>0</v>
      </c>
      <c r="I19867" t="n">
        <v>0</v>
      </c>
      <c r="J19867" t="n">
        <v>0</v>
      </c>
      <c r="K19867" t="n">
        <v>0</v>
      </c>
      <c r="L19867" t="n">
        <v>0</v>
      </c>
      <c r="M19867" t="n">
        <v>0</v>
      </c>
      <c r="N19867" t="n">
        <v>0</v>
      </c>
      <c r="O19867" t="n">
        <v>0</v>
      </c>
      <c r="P19867" t="n">
        <v>0</v>
      </c>
      <c r="Q19867" t="n">
        <v>0</v>
      </c>
      <c r="R19867" s="2" t="inlineStr"/>
    </row>
    <row r="19868" ht="15" customHeight="1">
      <c r="A19868" t="inlineStr">
        <is>
          <t>A 19966-2025</t>
        </is>
      </c>
      <c r="B19868" s="1" t="n">
        <v>45771</v>
      </c>
      <c r="C19868" s="1" t="n">
        <v>45810</v>
      </c>
      <c r="D19868" t="inlineStr">
        <is>
          <t>VÄRMLANDS LÄN</t>
        </is>
      </c>
      <c r="E19868" t="inlineStr">
        <is>
          <t>KRISTINEHAMN</t>
        </is>
      </c>
      <c r="G19868" t="n">
        <v>1.8</v>
      </c>
      <c r="H19868" t="n">
        <v>0</v>
      </c>
      <c r="I19868" t="n">
        <v>0</v>
      </c>
      <c r="J19868" t="n">
        <v>0</v>
      </c>
      <c r="K19868" t="n">
        <v>0</v>
      </c>
      <c r="L19868" t="n">
        <v>0</v>
      </c>
      <c r="M19868" t="n">
        <v>0</v>
      </c>
      <c r="N19868" t="n">
        <v>0</v>
      </c>
      <c r="O19868" t="n">
        <v>0</v>
      </c>
      <c r="P19868" t="n">
        <v>0</v>
      </c>
      <c r="Q19868" t="n">
        <v>0</v>
      </c>
      <c r="R19868" s="2" t="inlineStr"/>
    </row>
    <row r="19869" ht="15" customHeight="1">
      <c r="A19869" t="inlineStr">
        <is>
          <t>A 19881-2025</t>
        </is>
      </c>
      <c r="B19869" s="1" t="n">
        <v>45771</v>
      </c>
      <c r="C19869" s="1" t="n">
        <v>45810</v>
      </c>
      <c r="D19869" t="inlineStr">
        <is>
          <t>VÄRMLANDS LÄN</t>
        </is>
      </c>
      <c r="E19869" t="inlineStr">
        <is>
          <t>FILIPSTAD</t>
        </is>
      </c>
      <c r="G19869" t="n">
        <v>9</v>
      </c>
      <c r="H19869" t="n">
        <v>0</v>
      </c>
      <c r="I19869" t="n">
        <v>0</v>
      </c>
      <c r="J19869" t="n">
        <v>0</v>
      </c>
      <c r="K19869" t="n">
        <v>0</v>
      </c>
      <c r="L19869" t="n">
        <v>0</v>
      </c>
      <c r="M19869" t="n">
        <v>0</v>
      </c>
      <c r="N19869" t="n">
        <v>0</v>
      </c>
      <c r="O19869" t="n">
        <v>0</v>
      </c>
      <c r="P19869" t="n">
        <v>0</v>
      </c>
      <c r="Q19869" t="n">
        <v>0</v>
      </c>
      <c r="R19869" s="2" t="inlineStr"/>
    </row>
    <row r="19870" ht="15" customHeight="1">
      <c r="A19870" t="inlineStr">
        <is>
          <t>A 19974-2025</t>
        </is>
      </c>
      <c r="B19870" s="1" t="n">
        <v>45771</v>
      </c>
      <c r="C19870" s="1" t="n">
        <v>45810</v>
      </c>
      <c r="D19870" t="inlineStr">
        <is>
          <t>VÄRMLANDS LÄN</t>
        </is>
      </c>
      <c r="E19870" t="inlineStr">
        <is>
          <t>KRISTINEHAMN</t>
        </is>
      </c>
      <c r="G19870" t="n">
        <v>7.1</v>
      </c>
      <c r="H19870" t="n">
        <v>0</v>
      </c>
      <c r="I19870" t="n">
        <v>0</v>
      </c>
      <c r="J19870" t="n">
        <v>0</v>
      </c>
      <c r="K19870" t="n">
        <v>0</v>
      </c>
      <c r="L19870" t="n">
        <v>0</v>
      </c>
      <c r="M19870" t="n">
        <v>0</v>
      </c>
      <c r="N19870" t="n">
        <v>0</v>
      </c>
      <c r="O19870" t="n">
        <v>0</v>
      </c>
      <c r="P19870" t="n">
        <v>0</v>
      </c>
      <c r="Q19870" t="n">
        <v>0</v>
      </c>
      <c r="R19870" s="2" t="inlineStr"/>
    </row>
    <row r="19871" ht="15" customHeight="1">
      <c r="A19871" t="inlineStr">
        <is>
          <t>A 19907-2025</t>
        </is>
      </c>
      <c r="B19871" s="1" t="n">
        <v>45771</v>
      </c>
      <c r="C19871" s="1" t="n">
        <v>45810</v>
      </c>
      <c r="D19871" t="inlineStr">
        <is>
          <t>VÄRMLANDS LÄN</t>
        </is>
      </c>
      <c r="E19871" t="inlineStr">
        <is>
          <t>FILIPSTAD</t>
        </is>
      </c>
      <c r="F19871" t="inlineStr">
        <is>
          <t>Bergvik skog väst AB</t>
        </is>
      </c>
      <c r="G19871" t="n">
        <v>21.4</v>
      </c>
      <c r="H19871" t="n">
        <v>0</v>
      </c>
      <c r="I19871" t="n">
        <v>0</v>
      </c>
      <c r="J19871" t="n">
        <v>0</v>
      </c>
      <c r="K19871" t="n">
        <v>0</v>
      </c>
      <c r="L19871" t="n">
        <v>0</v>
      </c>
      <c r="M19871" t="n">
        <v>0</v>
      </c>
      <c r="N19871" t="n">
        <v>0</v>
      </c>
      <c r="O19871" t="n">
        <v>0</v>
      </c>
      <c r="P19871" t="n">
        <v>0</v>
      </c>
      <c r="Q19871" t="n">
        <v>0</v>
      </c>
      <c r="R19871" s="2" t="inlineStr"/>
    </row>
    <row r="19872" ht="15" customHeight="1">
      <c r="A19872" t="inlineStr">
        <is>
          <t>A 19933-2025</t>
        </is>
      </c>
      <c r="B19872" s="1" t="n">
        <v>45771</v>
      </c>
      <c r="C19872" s="1" t="n">
        <v>45810</v>
      </c>
      <c r="D19872" t="inlineStr">
        <is>
          <t>VÄRMLANDS LÄN</t>
        </is>
      </c>
      <c r="E19872" t="inlineStr">
        <is>
          <t>FILIPSTAD</t>
        </is>
      </c>
      <c r="F19872" t="inlineStr">
        <is>
          <t>Bergvik skog väst AB</t>
        </is>
      </c>
      <c r="G19872" t="n">
        <v>2.9</v>
      </c>
      <c r="H19872" t="n">
        <v>0</v>
      </c>
      <c r="I19872" t="n">
        <v>0</v>
      </c>
      <c r="J19872" t="n">
        <v>0</v>
      </c>
      <c r="K19872" t="n">
        <v>0</v>
      </c>
      <c r="L19872" t="n">
        <v>0</v>
      </c>
      <c r="M19872" t="n">
        <v>0</v>
      </c>
      <c r="N19872" t="n">
        <v>0</v>
      </c>
      <c r="O19872" t="n">
        <v>0</v>
      </c>
      <c r="P19872" t="n">
        <v>0</v>
      </c>
      <c r="Q19872" t="n">
        <v>0</v>
      </c>
      <c r="R19872" s="2" t="inlineStr"/>
    </row>
    <row r="19873" ht="15" customHeight="1">
      <c r="A19873" t="inlineStr">
        <is>
          <t>A 19705-2025</t>
        </is>
      </c>
      <c r="B19873" s="1" t="n">
        <v>45771</v>
      </c>
      <c r="C19873" s="1" t="n">
        <v>45810</v>
      </c>
      <c r="D19873" t="inlineStr">
        <is>
          <t>VÄRMLANDS LÄN</t>
        </is>
      </c>
      <c r="E19873" t="inlineStr">
        <is>
          <t>FILIPSTAD</t>
        </is>
      </c>
      <c r="F19873" t="inlineStr">
        <is>
          <t>Bergvik skog väst AB</t>
        </is>
      </c>
      <c r="G19873" t="n">
        <v>6.9</v>
      </c>
      <c r="H19873" t="n">
        <v>0</v>
      </c>
      <c r="I19873" t="n">
        <v>0</v>
      </c>
      <c r="J19873" t="n">
        <v>0</v>
      </c>
      <c r="K19873" t="n">
        <v>0</v>
      </c>
      <c r="L19873" t="n">
        <v>0</v>
      </c>
      <c r="M19873" t="n">
        <v>0</v>
      </c>
      <c r="N19873" t="n">
        <v>0</v>
      </c>
      <c r="O19873" t="n">
        <v>0</v>
      </c>
      <c r="P19873" t="n">
        <v>0</v>
      </c>
      <c r="Q19873" t="n">
        <v>0</v>
      </c>
      <c r="R19873" s="2" t="inlineStr"/>
    </row>
    <row r="19874" ht="15" customHeight="1">
      <c r="A19874" t="inlineStr">
        <is>
          <t>A 19846-2025</t>
        </is>
      </c>
      <c r="B19874" s="1" t="n">
        <v>45771</v>
      </c>
      <c r="C19874" s="1" t="n">
        <v>45810</v>
      </c>
      <c r="D19874" t="inlineStr">
        <is>
          <t>VÄRMLANDS LÄN</t>
        </is>
      </c>
      <c r="E19874" t="inlineStr">
        <is>
          <t>ÅRJÄNG</t>
        </is>
      </c>
      <c r="G19874" t="n">
        <v>3.1</v>
      </c>
      <c r="H19874" t="n">
        <v>0</v>
      </c>
      <c r="I19874" t="n">
        <v>0</v>
      </c>
      <c r="J19874" t="n">
        <v>0</v>
      </c>
      <c r="K19874" t="n">
        <v>0</v>
      </c>
      <c r="L19874" t="n">
        <v>0</v>
      </c>
      <c r="M19874" t="n">
        <v>0</v>
      </c>
      <c r="N19874" t="n">
        <v>0</v>
      </c>
      <c r="O19874" t="n">
        <v>0</v>
      </c>
      <c r="P19874" t="n">
        <v>0</v>
      </c>
      <c r="Q19874" t="n">
        <v>0</v>
      </c>
      <c r="R19874" s="2" t="inlineStr"/>
    </row>
    <row r="19875" ht="15" customHeight="1">
      <c r="A19875" t="inlineStr">
        <is>
          <t>A 19865-2025</t>
        </is>
      </c>
      <c r="B19875" s="1" t="n">
        <v>45771</v>
      </c>
      <c r="C19875" s="1" t="n">
        <v>45810</v>
      </c>
      <c r="D19875" t="inlineStr">
        <is>
          <t>VÄRMLANDS LÄN</t>
        </is>
      </c>
      <c r="E19875" t="inlineStr">
        <is>
          <t>SÄFFLE</t>
        </is>
      </c>
      <c r="G19875" t="n">
        <v>1.4</v>
      </c>
      <c r="H19875" t="n">
        <v>0</v>
      </c>
      <c r="I19875" t="n">
        <v>0</v>
      </c>
      <c r="J19875" t="n">
        <v>0</v>
      </c>
      <c r="K19875" t="n">
        <v>0</v>
      </c>
      <c r="L19875" t="n">
        <v>0</v>
      </c>
      <c r="M19875" t="n">
        <v>0</v>
      </c>
      <c r="N19875" t="n">
        <v>0</v>
      </c>
      <c r="O19875" t="n">
        <v>0</v>
      </c>
      <c r="P19875" t="n">
        <v>0</v>
      </c>
      <c r="Q19875" t="n">
        <v>0</v>
      </c>
      <c r="R19875" s="2" t="inlineStr"/>
    </row>
    <row r="19876" ht="15" customHeight="1">
      <c r="A19876" t="inlineStr">
        <is>
          <t>A 19878-2025</t>
        </is>
      </c>
      <c r="B19876" s="1" t="n">
        <v>45771</v>
      </c>
      <c r="C19876" s="1" t="n">
        <v>45810</v>
      </c>
      <c r="D19876" t="inlineStr">
        <is>
          <t>VÄRMLANDS LÄN</t>
        </is>
      </c>
      <c r="E19876" t="inlineStr">
        <is>
          <t>TORSBY</t>
        </is>
      </c>
      <c r="G19876" t="n">
        <v>4.2</v>
      </c>
      <c r="H19876" t="n">
        <v>0</v>
      </c>
      <c r="I19876" t="n">
        <v>0</v>
      </c>
      <c r="J19876" t="n">
        <v>0</v>
      </c>
      <c r="K19876" t="n">
        <v>0</v>
      </c>
      <c r="L19876" t="n">
        <v>0</v>
      </c>
      <c r="M19876" t="n">
        <v>0</v>
      </c>
      <c r="N19876" t="n">
        <v>0</v>
      </c>
      <c r="O19876" t="n">
        <v>0</v>
      </c>
      <c r="P19876" t="n">
        <v>0</v>
      </c>
      <c r="Q19876" t="n">
        <v>0</v>
      </c>
      <c r="R19876" s="2" t="inlineStr"/>
    </row>
    <row r="19877" ht="15" customHeight="1">
      <c r="A19877" t="inlineStr">
        <is>
          <t>A 19927-2025</t>
        </is>
      </c>
      <c r="B19877" s="1" t="n">
        <v>45771</v>
      </c>
      <c r="C19877" s="1" t="n">
        <v>45810</v>
      </c>
      <c r="D19877" t="inlineStr">
        <is>
          <t>VÄRMLANDS LÄN</t>
        </is>
      </c>
      <c r="E19877" t="inlineStr">
        <is>
          <t>EDA</t>
        </is>
      </c>
      <c r="G19877" t="n">
        <v>1.1</v>
      </c>
      <c r="H19877" t="n">
        <v>0</v>
      </c>
      <c r="I19877" t="n">
        <v>0</v>
      </c>
      <c r="J19877" t="n">
        <v>0</v>
      </c>
      <c r="K19877" t="n">
        <v>0</v>
      </c>
      <c r="L19877" t="n">
        <v>0</v>
      </c>
      <c r="M19877" t="n">
        <v>0</v>
      </c>
      <c r="N19877" t="n">
        <v>0</v>
      </c>
      <c r="O19877" t="n">
        <v>0</v>
      </c>
      <c r="P19877" t="n">
        <v>0</v>
      </c>
      <c r="Q19877" t="n">
        <v>0</v>
      </c>
      <c r="R19877" s="2" t="inlineStr"/>
    </row>
    <row r="19878" ht="15" customHeight="1">
      <c r="A19878" t="inlineStr">
        <is>
          <t>A 19843-2025</t>
        </is>
      </c>
      <c r="B19878" s="1" t="n">
        <v>45771</v>
      </c>
      <c r="C19878" s="1" t="n">
        <v>45810</v>
      </c>
      <c r="D19878" t="inlineStr">
        <is>
          <t>VÄRMLANDS LÄN</t>
        </is>
      </c>
      <c r="E19878" t="inlineStr">
        <is>
          <t>ÅRJÄNG</t>
        </is>
      </c>
      <c r="G19878" t="n">
        <v>1.4</v>
      </c>
      <c r="H19878" t="n">
        <v>0</v>
      </c>
      <c r="I19878" t="n">
        <v>0</v>
      </c>
      <c r="J19878" t="n">
        <v>0</v>
      </c>
      <c r="K19878" t="n">
        <v>0</v>
      </c>
      <c r="L19878" t="n">
        <v>0</v>
      </c>
      <c r="M19878" t="n">
        <v>0</v>
      </c>
      <c r="N19878" t="n">
        <v>0</v>
      </c>
      <c r="O19878" t="n">
        <v>0</v>
      </c>
      <c r="P19878" t="n">
        <v>0</v>
      </c>
      <c r="Q19878" t="n">
        <v>0</v>
      </c>
      <c r="R19878" s="2" t="inlineStr"/>
    </row>
    <row r="19879" ht="15" customHeight="1">
      <c r="A19879" t="inlineStr">
        <is>
          <t>A 19722-2025</t>
        </is>
      </c>
      <c r="B19879" s="1" t="n">
        <v>45771</v>
      </c>
      <c r="C19879" s="1" t="n">
        <v>45810</v>
      </c>
      <c r="D19879" t="inlineStr">
        <is>
          <t>VÄRMLANDS LÄN</t>
        </is>
      </c>
      <c r="E19879" t="inlineStr">
        <is>
          <t>ARVIKA</t>
        </is>
      </c>
      <c r="G19879" t="n">
        <v>1.9</v>
      </c>
      <c r="H19879" t="n">
        <v>0</v>
      </c>
      <c r="I19879" t="n">
        <v>0</v>
      </c>
      <c r="J19879" t="n">
        <v>0</v>
      </c>
      <c r="K19879" t="n">
        <v>0</v>
      </c>
      <c r="L19879" t="n">
        <v>0</v>
      </c>
      <c r="M19879" t="n">
        <v>0</v>
      </c>
      <c r="N19879" t="n">
        <v>0</v>
      </c>
      <c r="O19879" t="n">
        <v>0</v>
      </c>
      <c r="P19879" t="n">
        <v>0</v>
      </c>
      <c r="Q19879" t="n">
        <v>0</v>
      </c>
      <c r="R19879" s="2" t="inlineStr"/>
    </row>
    <row r="19880" ht="15" customHeight="1">
      <c r="A19880" t="inlineStr">
        <is>
          <t>A 19869-2025</t>
        </is>
      </c>
      <c r="B19880" s="1" t="n">
        <v>45771</v>
      </c>
      <c r="C19880" s="1" t="n">
        <v>45810</v>
      </c>
      <c r="D19880" t="inlineStr">
        <is>
          <t>VÄRMLANDS LÄN</t>
        </is>
      </c>
      <c r="E19880" t="inlineStr">
        <is>
          <t>SÄFFLE</t>
        </is>
      </c>
      <c r="G19880" t="n">
        <v>1.1</v>
      </c>
      <c r="H19880" t="n">
        <v>0</v>
      </c>
      <c r="I19880" t="n">
        <v>0</v>
      </c>
      <c r="J19880" t="n">
        <v>0</v>
      </c>
      <c r="K19880" t="n">
        <v>0</v>
      </c>
      <c r="L19880" t="n">
        <v>0</v>
      </c>
      <c r="M19880" t="n">
        <v>0</v>
      </c>
      <c r="N19880" t="n">
        <v>0</v>
      </c>
      <c r="O19880" t="n">
        <v>0</v>
      </c>
      <c r="P19880" t="n">
        <v>0</v>
      </c>
      <c r="Q19880" t="n">
        <v>0</v>
      </c>
      <c r="R19880" s="2" t="inlineStr"/>
    </row>
    <row r="19881" ht="15" customHeight="1">
      <c r="A19881" t="inlineStr">
        <is>
          <t>A 19994-2025</t>
        </is>
      </c>
      <c r="B19881" s="1" t="n">
        <v>45771</v>
      </c>
      <c r="C19881" s="1" t="n">
        <v>45810</v>
      </c>
      <c r="D19881" t="inlineStr">
        <is>
          <t>VÄRMLANDS LÄN</t>
        </is>
      </c>
      <c r="E19881" t="inlineStr">
        <is>
          <t>MUNKFORS</t>
        </is>
      </c>
      <c r="G19881" t="n">
        <v>0.9</v>
      </c>
      <c r="H19881" t="n">
        <v>0</v>
      </c>
      <c r="I19881" t="n">
        <v>0</v>
      </c>
      <c r="J19881" t="n">
        <v>0</v>
      </c>
      <c r="K19881" t="n">
        <v>0</v>
      </c>
      <c r="L19881" t="n">
        <v>0</v>
      </c>
      <c r="M19881" t="n">
        <v>0</v>
      </c>
      <c r="N19881" t="n">
        <v>0</v>
      </c>
      <c r="O19881" t="n">
        <v>0</v>
      </c>
      <c r="P19881" t="n">
        <v>0</v>
      </c>
      <c r="Q19881" t="n">
        <v>0</v>
      </c>
      <c r="R19881" s="2" t="inlineStr"/>
    </row>
    <row r="19882" ht="15" customHeight="1">
      <c r="A19882" t="inlineStr">
        <is>
          <t>A 19815-2025</t>
        </is>
      </c>
      <c r="B19882" s="1" t="n">
        <v>45771</v>
      </c>
      <c r="C19882" s="1" t="n">
        <v>45810</v>
      </c>
      <c r="D19882" t="inlineStr">
        <is>
          <t>VÄRMLANDS LÄN</t>
        </is>
      </c>
      <c r="E19882" t="inlineStr">
        <is>
          <t>SÄFFLE</t>
        </is>
      </c>
      <c r="G19882" t="n">
        <v>7.2</v>
      </c>
      <c r="H19882" t="n">
        <v>0</v>
      </c>
      <c r="I19882" t="n">
        <v>0</v>
      </c>
      <c r="J19882" t="n">
        <v>0</v>
      </c>
      <c r="K19882" t="n">
        <v>0</v>
      </c>
      <c r="L19882" t="n">
        <v>0</v>
      </c>
      <c r="M19882" t="n">
        <v>0</v>
      </c>
      <c r="N19882" t="n">
        <v>0</v>
      </c>
      <c r="O19882" t="n">
        <v>0</v>
      </c>
      <c r="P19882" t="n">
        <v>0</v>
      </c>
      <c r="Q19882" t="n">
        <v>0</v>
      </c>
      <c r="R19882" s="2" t="inlineStr"/>
    </row>
    <row r="19883" ht="15" customHeight="1">
      <c r="A19883" t="inlineStr">
        <is>
          <t>A 20060-2025</t>
        </is>
      </c>
      <c r="B19883" s="1" t="n">
        <v>45772</v>
      </c>
      <c r="C19883" s="1" t="n">
        <v>45810</v>
      </c>
      <c r="D19883" t="inlineStr">
        <is>
          <t>VÄRMLANDS LÄN</t>
        </is>
      </c>
      <c r="E19883" t="inlineStr">
        <is>
          <t>TORSBY</t>
        </is>
      </c>
      <c r="G19883" t="n">
        <v>0.5</v>
      </c>
      <c r="H19883" t="n">
        <v>0</v>
      </c>
      <c r="I19883" t="n">
        <v>0</v>
      </c>
      <c r="J19883" t="n">
        <v>0</v>
      </c>
      <c r="K19883" t="n">
        <v>0</v>
      </c>
      <c r="L19883" t="n">
        <v>0</v>
      </c>
      <c r="M19883" t="n">
        <v>0</v>
      </c>
      <c r="N19883" t="n">
        <v>0</v>
      </c>
      <c r="O19883" t="n">
        <v>0</v>
      </c>
      <c r="P19883" t="n">
        <v>0</v>
      </c>
      <c r="Q19883" t="n">
        <v>0</v>
      </c>
      <c r="R19883" s="2" t="inlineStr"/>
    </row>
    <row r="19884" ht="15" customHeight="1">
      <c r="A19884" t="inlineStr">
        <is>
          <t>A 20196-2025</t>
        </is>
      </c>
      <c r="B19884" s="1" t="n">
        <v>45772</v>
      </c>
      <c r="C19884" s="1" t="n">
        <v>45810</v>
      </c>
      <c r="D19884" t="inlineStr">
        <is>
          <t>VÄRMLANDS LÄN</t>
        </is>
      </c>
      <c r="E19884" t="inlineStr">
        <is>
          <t>ARVIKA</t>
        </is>
      </c>
      <c r="G19884" t="n">
        <v>1.7</v>
      </c>
      <c r="H19884" t="n">
        <v>0</v>
      </c>
      <c r="I19884" t="n">
        <v>0</v>
      </c>
      <c r="J19884" t="n">
        <v>0</v>
      </c>
      <c r="K19884" t="n">
        <v>0</v>
      </c>
      <c r="L19884" t="n">
        <v>0</v>
      </c>
      <c r="M19884" t="n">
        <v>0</v>
      </c>
      <c r="N19884" t="n">
        <v>0</v>
      </c>
      <c r="O19884" t="n">
        <v>0</v>
      </c>
      <c r="P19884" t="n">
        <v>0</v>
      </c>
      <c r="Q19884" t="n">
        <v>0</v>
      </c>
      <c r="R19884" s="2" t="inlineStr"/>
    </row>
    <row r="19885" ht="15" customHeight="1">
      <c r="A19885" t="inlineStr">
        <is>
          <t>A 20081-2025</t>
        </is>
      </c>
      <c r="B19885" s="1" t="n">
        <v>45772</v>
      </c>
      <c r="C19885" s="1" t="n">
        <v>45810</v>
      </c>
      <c r="D19885" t="inlineStr">
        <is>
          <t>VÄRMLANDS LÄN</t>
        </is>
      </c>
      <c r="E19885" t="inlineStr">
        <is>
          <t>HAGFORS</t>
        </is>
      </c>
      <c r="F19885" t="inlineStr">
        <is>
          <t>Bergvik skog väst AB</t>
        </is>
      </c>
      <c r="G19885" t="n">
        <v>0.5</v>
      </c>
      <c r="H19885" t="n">
        <v>0</v>
      </c>
      <c r="I19885" t="n">
        <v>0</v>
      </c>
      <c r="J19885" t="n">
        <v>0</v>
      </c>
      <c r="K19885" t="n">
        <v>0</v>
      </c>
      <c r="L19885" t="n">
        <v>0</v>
      </c>
      <c r="M19885" t="n">
        <v>0</v>
      </c>
      <c r="N19885" t="n">
        <v>0</v>
      </c>
      <c r="O19885" t="n">
        <v>0</v>
      </c>
      <c r="P19885" t="n">
        <v>0</v>
      </c>
      <c r="Q19885" t="n">
        <v>0</v>
      </c>
      <c r="R19885" s="2" t="inlineStr"/>
    </row>
    <row r="19886" ht="15" customHeight="1">
      <c r="A19886" t="inlineStr">
        <is>
          <t>A 20119-2025</t>
        </is>
      </c>
      <c r="B19886" s="1" t="n">
        <v>45772</v>
      </c>
      <c r="C19886" s="1" t="n">
        <v>45810</v>
      </c>
      <c r="D19886" t="inlineStr">
        <is>
          <t>VÄRMLANDS LÄN</t>
        </is>
      </c>
      <c r="E19886" t="inlineStr">
        <is>
          <t>HAGFORS</t>
        </is>
      </c>
      <c r="F19886" t="inlineStr">
        <is>
          <t>Bergvik skog väst AB</t>
        </is>
      </c>
      <c r="G19886" t="n">
        <v>4.1</v>
      </c>
      <c r="H19886" t="n">
        <v>0</v>
      </c>
      <c r="I19886" t="n">
        <v>0</v>
      </c>
      <c r="J19886" t="n">
        <v>0</v>
      </c>
      <c r="K19886" t="n">
        <v>0</v>
      </c>
      <c r="L19886" t="n">
        <v>0</v>
      </c>
      <c r="M19886" t="n">
        <v>0</v>
      </c>
      <c r="N19886" t="n">
        <v>0</v>
      </c>
      <c r="O19886" t="n">
        <v>0</v>
      </c>
      <c r="P19886" t="n">
        <v>0</v>
      </c>
      <c r="Q19886" t="n">
        <v>0</v>
      </c>
      <c r="R19886" s="2" t="inlineStr"/>
    </row>
    <row r="19887" ht="15" customHeight="1">
      <c r="A19887" t="inlineStr">
        <is>
          <t>A 20255-2025</t>
        </is>
      </c>
      <c r="B19887" s="1" t="n">
        <v>45772</v>
      </c>
      <c r="C19887" s="1" t="n">
        <v>45810</v>
      </c>
      <c r="D19887" t="inlineStr">
        <is>
          <t>VÄRMLANDS LÄN</t>
        </is>
      </c>
      <c r="E19887" t="inlineStr">
        <is>
          <t>TORSBY</t>
        </is>
      </c>
      <c r="G19887" t="n">
        <v>9</v>
      </c>
      <c r="H19887" t="n">
        <v>0</v>
      </c>
      <c r="I19887" t="n">
        <v>0</v>
      </c>
      <c r="J19887" t="n">
        <v>0</v>
      </c>
      <c r="K19887" t="n">
        <v>0</v>
      </c>
      <c r="L19887" t="n">
        <v>0</v>
      </c>
      <c r="M19887" t="n">
        <v>0</v>
      </c>
      <c r="N19887" t="n">
        <v>0</v>
      </c>
      <c r="O19887" t="n">
        <v>0</v>
      </c>
      <c r="P19887" t="n">
        <v>0</v>
      </c>
      <c r="Q19887" t="n">
        <v>0</v>
      </c>
      <c r="R19887" s="2" t="inlineStr"/>
    </row>
    <row r="19888" ht="15" customHeight="1">
      <c r="A19888" t="inlineStr">
        <is>
          <t>A 20195-2025</t>
        </is>
      </c>
      <c r="B19888" s="1" t="n">
        <v>45772</v>
      </c>
      <c r="C19888" s="1" t="n">
        <v>45810</v>
      </c>
      <c r="D19888" t="inlineStr">
        <is>
          <t>VÄRMLANDS LÄN</t>
        </is>
      </c>
      <c r="E19888" t="inlineStr">
        <is>
          <t>ARVIKA</t>
        </is>
      </c>
      <c r="G19888" t="n">
        <v>1.1</v>
      </c>
      <c r="H19888" t="n">
        <v>0</v>
      </c>
      <c r="I19888" t="n">
        <v>0</v>
      </c>
      <c r="J19888" t="n">
        <v>0</v>
      </c>
      <c r="K19888" t="n">
        <v>0</v>
      </c>
      <c r="L19888" t="n">
        <v>0</v>
      </c>
      <c r="M19888" t="n">
        <v>0</v>
      </c>
      <c r="N19888" t="n">
        <v>0</v>
      </c>
      <c r="O19888" t="n">
        <v>0</v>
      </c>
      <c r="P19888" t="n">
        <v>0</v>
      </c>
      <c r="Q19888" t="n">
        <v>0</v>
      </c>
      <c r="R19888" s="2" t="inlineStr"/>
    </row>
    <row r="19889" ht="15" customHeight="1">
      <c r="A19889" t="inlineStr">
        <is>
          <t>A 20017-2025</t>
        </is>
      </c>
      <c r="B19889" s="1" t="n">
        <v>45772</v>
      </c>
      <c r="C19889" s="1" t="n">
        <v>45810</v>
      </c>
      <c r="D19889" t="inlineStr">
        <is>
          <t>VÄRMLANDS LÄN</t>
        </is>
      </c>
      <c r="E19889" t="inlineStr">
        <is>
          <t>SUNNE</t>
        </is>
      </c>
      <c r="F19889" t="inlineStr">
        <is>
          <t>Övriga statliga verk och myndigheter</t>
        </is>
      </c>
      <c r="G19889" t="n">
        <v>1.7</v>
      </c>
      <c r="H19889" t="n">
        <v>0</v>
      </c>
      <c r="I19889" t="n">
        <v>0</v>
      </c>
      <c r="J19889" t="n">
        <v>0</v>
      </c>
      <c r="K19889" t="n">
        <v>0</v>
      </c>
      <c r="L19889" t="n">
        <v>0</v>
      </c>
      <c r="M19889" t="n">
        <v>0</v>
      </c>
      <c r="N19889" t="n">
        <v>0</v>
      </c>
      <c r="O19889" t="n">
        <v>0</v>
      </c>
      <c r="P19889" t="n">
        <v>0</v>
      </c>
      <c r="Q19889" t="n">
        <v>0</v>
      </c>
      <c r="R19889" s="2" t="inlineStr"/>
    </row>
    <row r="19890" ht="15" customHeight="1">
      <c r="A19890" t="inlineStr">
        <is>
          <t>A 20071-2025</t>
        </is>
      </c>
      <c r="B19890" s="1" t="n">
        <v>45772</v>
      </c>
      <c r="C19890" s="1" t="n">
        <v>45810</v>
      </c>
      <c r="D19890" t="inlineStr">
        <is>
          <t>VÄRMLANDS LÄN</t>
        </is>
      </c>
      <c r="E19890" t="inlineStr">
        <is>
          <t>ARVIKA</t>
        </is>
      </c>
      <c r="G19890" t="n">
        <v>1.6</v>
      </c>
      <c r="H19890" t="n">
        <v>0</v>
      </c>
      <c r="I19890" t="n">
        <v>0</v>
      </c>
      <c r="J19890" t="n">
        <v>0</v>
      </c>
      <c r="K19890" t="n">
        <v>0</v>
      </c>
      <c r="L19890" t="n">
        <v>0</v>
      </c>
      <c r="M19890" t="n">
        <v>0</v>
      </c>
      <c r="N19890" t="n">
        <v>0</v>
      </c>
      <c r="O19890" t="n">
        <v>0</v>
      </c>
      <c r="P19890" t="n">
        <v>0</v>
      </c>
      <c r="Q19890" t="n">
        <v>0</v>
      </c>
      <c r="R19890" s="2" t="inlineStr"/>
    </row>
    <row r="19891" ht="15" customHeight="1">
      <c r="A19891" t="inlineStr">
        <is>
          <t>A 20145-2025</t>
        </is>
      </c>
      <c r="B19891" s="1" t="n">
        <v>45772</v>
      </c>
      <c r="C19891" s="1" t="n">
        <v>45810</v>
      </c>
      <c r="D19891" t="inlineStr">
        <is>
          <t>VÄRMLANDS LÄN</t>
        </is>
      </c>
      <c r="E19891" t="inlineStr">
        <is>
          <t>KRISTINEHAMN</t>
        </is>
      </c>
      <c r="F19891" t="inlineStr">
        <is>
          <t>Sveaskog</t>
        </is>
      </c>
      <c r="G19891" t="n">
        <v>2.7</v>
      </c>
      <c r="H19891" t="n">
        <v>0</v>
      </c>
      <c r="I19891" t="n">
        <v>0</v>
      </c>
      <c r="J19891" t="n">
        <v>0</v>
      </c>
      <c r="K19891" t="n">
        <v>0</v>
      </c>
      <c r="L19891" t="n">
        <v>0</v>
      </c>
      <c r="M19891" t="n">
        <v>0</v>
      </c>
      <c r="N19891" t="n">
        <v>0</v>
      </c>
      <c r="O19891" t="n">
        <v>0</v>
      </c>
      <c r="P19891" t="n">
        <v>0</v>
      </c>
      <c r="Q19891" t="n">
        <v>0</v>
      </c>
      <c r="R19891" s="2" t="inlineStr"/>
    </row>
    <row r="19892" ht="15" customHeight="1">
      <c r="A19892" t="inlineStr">
        <is>
          <t>A 20156-2025</t>
        </is>
      </c>
      <c r="B19892" s="1" t="n">
        <v>45772</v>
      </c>
      <c r="C19892" s="1" t="n">
        <v>45810</v>
      </c>
      <c r="D19892" t="inlineStr">
        <is>
          <t>VÄRMLANDS LÄN</t>
        </is>
      </c>
      <c r="E19892" t="inlineStr">
        <is>
          <t>HAGFORS</t>
        </is>
      </c>
      <c r="G19892" t="n">
        <v>4.8</v>
      </c>
      <c r="H19892" t="n">
        <v>0</v>
      </c>
      <c r="I19892" t="n">
        <v>0</v>
      </c>
      <c r="J19892" t="n">
        <v>0</v>
      </c>
      <c r="K19892" t="n">
        <v>0</v>
      </c>
      <c r="L19892" t="n">
        <v>0</v>
      </c>
      <c r="M19892" t="n">
        <v>0</v>
      </c>
      <c r="N19892" t="n">
        <v>0</v>
      </c>
      <c r="O19892" t="n">
        <v>0</v>
      </c>
      <c r="P19892" t="n">
        <v>0</v>
      </c>
      <c r="Q19892" t="n">
        <v>0</v>
      </c>
      <c r="R19892" s="2" t="inlineStr"/>
    </row>
    <row r="19893" ht="15" customHeight="1">
      <c r="A19893" t="inlineStr">
        <is>
          <t>A 20086-2025</t>
        </is>
      </c>
      <c r="B19893" s="1" t="n">
        <v>45772</v>
      </c>
      <c r="C19893" s="1" t="n">
        <v>45810</v>
      </c>
      <c r="D19893" t="inlineStr">
        <is>
          <t>VÄRMLANDS LÄN</t>
        </is>
      </c>
      <c r="E19893" t="inlineStr">
        <is>
          <t>HAGFORS</t>
        </is>
      </c>
      <c r="F19893" t="inlineStr">
        <is>
          <t>Bergvik skog väst AB</t>
        </is>
      </c>
      <c r="G19893" t="n">
        <v>2.2</v>
      </c>
      <c r="H19893" t="n">
        <v>0</v>
      </c>
      <c r="I19893" t="n">
        <v>0</v>
      </c>
      <c r="J19893" t="n">
        <v>0</v>
      </c>
      <c r="K19893" t="n">
        <v>0</v>
      </c>
      <c r="L19893" t="n">
        <v>0</v>
      </c>
      <c r="M19893" t="n">
        <v>0</v>
      </c>
      <c r="N19893" t="n">
        <v>0</v>
      </c>
      <c r="O19893" t="n">
        <v>0</v>
      </c>
      <c r="P19893" t="n">
        <v>0</v>
      </c>
      <c r="Q19893" t="n">
        <v>0</v>
      </c>
      <c r="R19893" s="2" t="inlineStr"/>
    </row>
    <row r="19894" ht="15" customHeight="1">
      <c r="A19894" t="inlineStr">
        <is>
          <t>A 20092-2025</t>
        </is>
      </c>
      <c r="B19894" s="1" t="n">
        <v>45772</v>
      </c>
      <c r="C19894" s="1" t="n">
        <v>45810</v>
      </c>
      <c r="D19894" t="inlineStr">
        <is>
          <t>VÄRMLANDS LÄN</t>
        </is>
      </c>
      <c r="E19894" t="inlineStr">
        <is>
          <t>HAGFORS</t>
        </is>
      </c>
      <c r="F19894" t="inlineStr">
        <is>
          <t>Bergvik skog väst AB</t>
        </is>
      </c>
      <c r="G19894" t="n">
        <v>3.8</v>
      </c>
      <c r="H19894" t="n">
        <v>0</v>
      </c>
      <c r="I19894" t="n">
        <v>0</v>
      </c>
      <c r="J19894" t="n">
        <v>0</v>
      </c>
      <c r="K19894" t="n">
        <v>0</v>
      </c>
      <c r="L19894" t="n">
        <v>0</v>
      </c>
      <c r="M19894" t="n">
        <v>0</v>
      </c>
      <c r="N19894" t="n">
        <v>0</v>
      </c>
      <c r="O19894" t="n">
        <v>0</v>
      </c>
      <c r="P19894" t="n">
        <v>0</v>
      </c>
      <c r="Q19894" t="n">
        <v>0</v>
      </c>
      <c r="R19894" s="2" t="inlineStr"/>
    </row>
    <row r="19895" ht="15" customHeight="1">
      <c r="A19895" t="inlineStr">
        <is>
          <t>A 20032-2025</t>
        </is>
      </c>
      <c r="B19895" s="1" t="n">
        <v>45772</v>
      </c>
      <c r="C19895" s="1" t="n">
        <v>45810</v>
      </c>
      <c r="D19895" t="inlineStr">
        <is>
          <t>VÄRMLANDS LÄN</t>
        </is>
      </c>
      <c r="E19895" t="inlineStr">
        <is>
          <t>SUNNE</t>
        </is>
      </c>
      <c r="G19895" t="n">
        <v>1.2</v>
      </c>
      <c r="H19895" t="n">
        <v>0</v>
      </c>
      <c r="I19895" t="n">
        <v>0</v>
      </c>
      <c r="J19895" t="n">
        <v>0</v>
      </c>
      <c r="K19895" t="n">
        <v>0</v>
      </c>
      <c r="L19895" t="n">
        <v>0</v>
      </c>
      <c r="M19895" t="n">
        <v>0</v>
      </c>
      <c r="N19895" t="n">
        <v>0</v>
      </c>
      <c r="O19895" t="n">
        <v>0</v>
      </c>
      <c r="P19895" t="n">
        <v>0</v>
      </c>
      <c r="Q19895" t="n">
        <v>0</v>
      </c>
      <c r="R19895" s="2" t="inlineStr"/>
    </row>
    <row r="19896" ht="15" customHeight="1">
      <c r="A19896" t="inlineStr">
        <is>
          <t>A 20042-2025</t>
        </is>
      </c>
      <c r="B19896" s="1" t="n">
        <v>45772</v>
      </c>
      <c r="C19896" s="1" t="n">
        <v>45810</v>
      </c>
      <c r="D19896" t="inlineStr">
        <is>
          <t>VÄRMLANDS LÄN</t>
        </is>
      </c>
      <c r="E19896" t="inlineStr">
        <is>
          <t>HAGFORS</t>
        </is>
      </c>
      <c r="F19896" t="inlineStr">
        <is>
          <t>Bergvik skog väst AB</t>
        </is>
      </c>
      <c r="G19896" t="n">
        <v>2</v>
      </c>
      <c r="H19896" t="n">
        <v>0</v>
      </c>
      <c r="I19896" t="n">
        <v>0</v>
      </c>
      <c r="J19896" t="n">
        <v>0</v>
      </c>
      <c r="K19896" t="n">
        <v>0</v>
      </c>
      <c r="L19896" t="n">
        <v>0</v>
      </c>
      <c r="M19896" t="n">
        <v>0</v>
      </c>
      <c r="N19896" t="n">
        <v>0</v>
      </c>
      <c r="O19896" t="n">
        <v>0</v>
      </c>
      <c r="P19896" t="n">
        <v>0</v>
      </c>
      <c r="Q19896" t="n">
        <v>0</v>
      </c>
      <c r="R19896" s="2" t="inlineStr"/>
    </row>
    <row r="19897" ht="15" customHeight="1">
      <c r="A19897" t="inlineStr">
        <is>
          <t>A 20066-2025</t>
        </is>
      </c>
      <c r="B19897" s="1" t="n">
        <v>45772</v>
      </c>
      <c r="C19897" s="1" t="n">
        <v>45810</v>
      </c>
      <c r="D19897" t="inlineStr">
        <is>
          <t>VÄRMLANDS LÄN</t>
        </is>
      </c>
      <c r="E19897" t="inlineStr">
        <is>
          <t>ARVIKA</t>
        </is>
      </c>
      <c r="F19897" t="inlineStr">
        <is>
          <t>Bergvik skog väst AB</t>
        </is>
      </c>
      <c r="G19897" t="n">
        <v>5.3</v>
      </c>
      <c r="H19897" t="n">
        <v>0</v>
      </c>
      <c r="I19897" t="n">
        <v>0</v>
      </c>
      <c r="J19897" t="n">
        <v>0</v>
      </c>
      <c r="K19897" t="n">
        <v>0</v>
      </c>
      <c r="L19897" t="n">
        <v>0</v>
      </c>
      <c r="M19897" t="n">
        <v>0</v>
      </c>
      <c r="N19897" t="n">
        <v>0</v>
      </c>
      <c r="O19897" t="n">
        <v>0</v>
      </c>
      <c r="P19897" t="n">
        <v>0</v>
      </c>
      <c r="Q19897" t="n">
        <v>0</v>
      </c>
      <c r="R19897" s="2" t="inlineStr"/>
    </row>
    <row r="19898" ht="15" customHeight="1">
      <c r="A19898" t="inlineStr">
        <is>
          <t>A 20096-2025</t>
        </is>
      </c>
      <c r="B19898" s="1" t="n">
        <v>45772</v>
      </c>
      <c r="C19898" s="1" t="n">
        <v>45810</v>
      </c>
      <c r="D19898" t="inlineStr">
        <is>
          <t>VÄRMLANDS LÄN</t>
        </is>
      </c>
      <c r="E19898" t="inlineStr">
        <is>
          <t>ARVIKA</t>
        </is>
      </c>
      <c r="F19898" t="inlineStr">
        <is>
          <t>Bergvik skog väst AB</t>
        </is>
      </c>
      <c r="G19898" t="n">
        <v>4</v>
      </c>
      <c r="H19898" t="n">
        <v>0</v>
      </c>
      <c r="I19898" t="n">
        <v>0</v>
      </c>
      <c r="J19898" t="n">
        <v>0</v>
      </c>
      <c r="K19898" t="n">
        <v>0</v>
      </c>
      <c r="L19898" t="n">
        <v>0</v>
      </c>
      <c r="M19898" t="n">
        <v>0</v>
      </c>
      <c r="N19898" t="n">
        <v>0</v>
      </c>
      <c r="O19898" t="n">
        <v>0</v>
      </c>
      <c r="P19898" t="n">
        <v>0</v>
      </c>
      <c r="Q19898" t="n">
        <v>0</v>
      </c>
      <c r="R19898" s="2" t="inlineStr"/>
    </row>
    <row r="19899" ht="15" customHeight="1">
      <c r="A19899" t="inlineStr">
        <is>
          <t>A 20149-2025</t>
        </is>
      </c>
      <c r="B19899" s="1" t="n">
        <v>45772</v>
      </c>
      <c r="C19899" s="1" t="n">
        <v>45810</v>
      </c>
      <c r="D19899" t="inlineStr">
        <is>
          <t>VÄRMLANDS LÄN</t>
        </is>
      </c>
      <c r="E19899" t="inlineStr">
        <is>
          <t>TORSBY</t>
        </is>
      </c>
      <c r="F19899" t="inlineStr">
        <is>
          <t>Bergvik skog väst AB</t>
        </is>
      </c>
      <c r="G19899" t="n">
        <v>2.4</v>
      </c>
      <c r="H19899" t="n">
        <v>0</v>
      </c>
      <c r="I19899" t="n">
        <v>0</v>
      </c>
      <c r="J19899" t="n">
        <v>0</v>
      </c>
      <c r="K19899" t="n">
        <v>0</v>
      </c>
      <c r="L19899" t="n">
        <v>0</v>
      </c>
      <c r="M19899" t="n">
        <v>0</v>
      </c>
      <c r="N19899" t="n">
        <v>0</v>
      </c>
      <c r="O19899" t="n">
        <v>0</v>
      </c>
      <c r="P19899" t="n">
        <v>0</v>
      </c>
      <c r="Q19899" t="n">
        <v>0</v>
      </c>
      <c r="R19899" s="2" t="inlineStr"/>
    </row>
    <row r="19900" ht="15" customHeight="1">
      <c r="A19900" t="inlineStr">
        <is>
          <t>A 20020-2025</t>
        </is>
      </c>
      <c r="B19900" s="1" t="n">
        <v>45772</v>
      </c>
      <c r="C19900" s="1" t="n">
        <v>45810</v>
      </c>
      <c r="D19900" t="inlineStr">
        <is>
          <t>VÄRMLANDS LÄN</t>
        </is>
      </c>
      <c r="E19900" t="inlineStr">
        <is>
          <t>ARVIKA</t>
        </is>
      </c>
      <c r="F19900" t="inlineStr">
        <is>
          <t>Bergvik skog väst AB</t>
        </is>
      </c>
      <c r="G19900" t="n">
        <v>1.2</v>
      </c>
      <c r="H19900" t="n">
        <v>0</v>
      </c>
      <c r="I19900" t="n">
        <v>0</v>
      </c>
      <c r="J19900" t="n">
        <v>0</v>
      </c>
      <c r="K19900" t="n">
        <v>0</v>
      </c>
      <c r="L19900" t="n">
        <v>0</v>
      </c>
      <c r="M19900" t="n">
        <v>0</v>
      </c>
      <c r="N19900" t="n">
        <v>0</v>
      </c>
      <c r="O19900" t="n">
        <v>0</v>
      </c>
      <c r="P19900" t="n">
        <v>0</v>
      </c>
      <c r="Q19900" t="n">
        <v>0</v>
      </c>
      <c r="R19900" s="2" t="inlineStr"/>
    </row>
    <row r="19901" ht="15" customHeight="1">
      <c r="A19901" t="inlineStr">
        <is>
          <t>A 20085-2025</t>
        </is>
      </c>
      <c r="B19901" s="1" t="n">
        <v>45772</v>
      </c>
      <c r="C19901" s="1" t="n">
        <v>45810</v>
      </c>
      <c r="D19901" t="inlineStr">
        <is>
          <t>VÄRMLANDS LÄN</t>
        </is>
      </c>
      <c r="E19901" t="inlineStr">
        <is>
          <t>STORFORS</t>
        </is>
      </c>
      <c r="F19901" t="inlineStr">
        <is>
          <t>Bergvik skog väst AB</t>
        </is>
      </c>
      <c r="G19901" t="n">
        <v>3.5</v>
      </c>
      <c r="H19901" t="n">
        <v>0</v>
      </c>
      <c r="I19901" t="n">
        <v>0</v>
      </c>
      <c r="J19901" t="n">
        <v>0</v>
      </c>
      <c r="K19901" t="n">
        <v>0</v>
      </c>
      <c r="L19901" t="n">
        <v>0</v>
      </c>
      <c r="M19901" t="n">
        <v>0</v>
      </c>
      <c r="N19901" t="n">
        <v>0</v>
      </c>
      <c r="O19901" t="n">
        <v>0</v>
      </c>
      <c r="P19901" t="n">
        <v>0</v>
      </c>
      <c r="Q19901" t="n">
        <v>0</v>
      </c>
      <c r="R19901" s="2" t="inlineStr"/>
    </row>
    <row r="19902" ht="15" customHeight="1">
      <c r="A19902" t="inlineStr">
        <is>
          <t>A 20188-2025</t>
        </is>
      </c>
      <c r="B19902" s="1" t="n">
        <v>45772</v>
      </c>
      <c r="C19902" s="1" t="n">
        <v>45810</v>
      </c>
      <c r="D19902" t="inlineStr">
        <is>
          <t>VÄRMLANDS LÄN</t>
        </is>
      </c>
      <c r="E19902" t="inlineStr">
        <is>
          <t>ARVIKA</t>
        </is>
      </c>
      <c r="F19902" t="inlineStr">
        <is>
          <t>Bergvik skog väst AB</t>
        </is>
      </c>
      <c r="G19902" t="n">
        <v>4</v>
      </c>
      <c r="H19902" t="n">
        <v>0</v>
      </c>
      <c r="I19902" t="n">
        <v>0</v>
      </c>
      <c r="J19902" t="n">
        <v>0</v>
      </c>
      <c r="K19902" t="n">
        <v>0</v>
      </c>
      <c r="L19902" t="n">
        <v>0</v>
      </c>
      <c r="M19902" t="n">
        <v>0</v>
      </c>
      <c r="N19902" t="n">
        <v>0</v>
      </c>
      <c r="O19902" t="n">
        <v>0</v>
      </c>
      <c r="P19902" t="n">
        <v>0</v>
      </c>
      <c r="Q19902" t="n">
        <v>0</v>
      </c>
      <c r="R19902" s="2" t="inlineStr"/>
    </row>
    <row r="19903" ht="15" customHeight="1">
      <c r="A19903" t="inlineStr">
        <is>
          <t>A 20040-2025</t>
        </is>
      </c>
      <c r="B19903" s="1" t="n">
        <v>45772</v>
      </c>
      <c r="C19903" s="1" t="n">
        <v>45810</v>
      </c>
      <c r="D19903" t="inlineStr">
        <is>
          <t>VÄRMLANDS LÄN</t>
        </is>
      </c>
      <c r="E19903" t="inlineStr">
        <is>
          <t>FILIPSTAD</t>
        </is>
      </c>
      <c r="F19903" t="inlineStr">
        <is>
          <t>Bergvik skog väst AB</t>
        </is>
      </c>
      <c r="G19903" t="n">
        <v>7.6</v>
      </c>
      <c r="H19903" t="n">
        <v>0</v>
      </c>
      <c r="I19903" t="n">
        <v>0</v>
      </c>
      <c r="J19903" t="n">
        <v>0</v>
      </c>
      <c r="K19903" t="n">
        <v>0</v>
      </c>
      <c r="L19903" t="n">
        <v>0</v>
      </c>
      <c r="M19903" t="n">
        <v>0</v>
      </c>
      <c r="N19903" t="n">
        <v>0</v>
      </c>
      <c r="O19903" t="n">
        <v>0</v>
      </c>
      <c r="P19903" t="n">
        <v>0</v>
      </c>
      <c r="Q19903" t="n">
        <v>0</v>
      </c>
      <c r="R19903" s="2" t="inlineStr"/>
    </row>
    <row r="19904" ht="15" customHeight="1">
      <c r="A19904" t="inlineStr">
        <is>
          <t>A 20171-2025</t>
        </is>
      </c>
      <c r="B19904" s="1" t="n">
        <v>45772</v>
      </c>
      <c r="C19904" s="1" t="n">
        <v>45810</v>
      </c>
      <c r="D19904" t="inlineStr">
        <is>
          <t>VÄRMLANDS LÄN</t>
        </is>
      </c>
      <c r="E19904" t="inlineStr">
        <is>
          <t>ARVIKA</t>
        </is>
      </c>
      <c r="F19904" t="inlineStr">
        <is>
          <t>Bergvik skog väst AB</t>
        </is>
      </c>
      <c r="G19904" t="n">
        <v>0.7</v>
      </c>
      <c r="H19904" t="n">
        <v>0</v>
      </c>
      <c r="I19904" t="n">
        <v>0</v>
      </c>
      <c r="J19904" t="n">
        <v>0</v>
      </c>
      <c r="K19904" t="n">
        <v>0</v>
      </c>
      <c r="L19904" t="n">
        <v>0</v>
      </c>
      <c r="M19904" t="n">
        <v>0</v>
      </c>
      <c r="N19904" t="n">
        <v>0</v>
      </c>
      <c r="O19904" t="n">
        <v>0</v>
      </c>
      <c r="P19904" t="n">
        <v>0</v>
      </c>
      <c r="Q19904" t="n">
        <v>0</v>
      </c>
      <c r="R19904" s="2" t="inlineStr"/>
    </row>
    <row r="19905" ht="15" customHeight="1">
      <c r="A19905" t="inlineStr">
        <is>
          <t>A 20191-2025</t>
        </is>
      </c>
      <c r="B19905" s="1" t="n">
        <v>45772</v>
      </c>
      <c r="C19905" s="1" t="n">
        <v>45810</v>
      </c>
      <c r="D19905" t="inlineStr">
        <is>
          <t>VÄRMLANDS LÄN</t>
        </is>
      </c>
      <c r="E19905" t="inlineStr">
        <is>
          <t>TORSBY</t>
        </is>
      </c>
      <c r="F19905" t="inlineStr">
        <is>
          <t>Bergvik skog väst AB</t>
        </is>
      </c>
      <c r="G19905" t="n">
        <v>1.4</v>
      </c>
      <c r="H19905" t="n">
        <v>0</v>
      </c>
      <c r="I19905" t="n">
        <v>0</v>
      </c>
      <c r="J19905" t="n">
        <v>0</v>
      </c>
      <c r="K19905" t="n">
        <v>0</v>
      </c>
      <c r="L19905" t="n">
        <v>0</v>
      </c>
      <c r="M19905" t="n">
        <v>0</v>
      </c>
      <c r="N19905" t="n">
        <v>0</v>
      </c>
      <c r="O19905" t="n">
        <v>0</v>
      </c>
      <c r="P19905" t="n">
        <v>0</v>
      </c>
      <c r="Q19905" t="n">
        <v>0</v>
      </c>
      <c r="R19905" s="2" t="inlineStr"/>
    </row>
    <row r="19906" ht="15" customHeight="1">
      <c r="A19906" t="inlineStr">
        <is>
          <t>A 20269-2025</t>
        </is>
      </c>
      <c r="B19906" s="1" t="n">
        <v>45773</v>
      </c>
      <c r="C19906" s="1" t="n">
        <v>45810</v>
      </c>
      <c r="D19906" t="inlineStr">
        <is>
          <t>VÄRMLANDS LÄN</t>
        </is>
      </c>
      <c r="E19906" t="inlineStr">
        <is>
          <t>SUNNE</t>
        </is>
      </c>
      <c r="G19906" t="n">
        <v>0.9</v>
      </c>
      <c r="H19906" t="n">
        <v>0</v>
      </c>
      <c r="I19906" t="n">
        <v>0</v>
      </c>
      <c r="J19906" t="n">
        <v>0</v>
      </c>
      <c r="K19906" t="n">
        <v>0</v>
      </c>
      <c r="L19906" t="n">
        <v>0</v>
      </c>
      <c r="M19906" t="n">
        <v>0</v>
      </c>
      <c r="N19906" t="n">
        <v>0</v>
      </c>
      <c r="O19906" t="n">
        <v>0</v>
      </c>
      <c r="P19906" t="n">
        <v>0</v>
      </c>
      <c r="Q19906" t="n">
        <v>0</v>
      </c>
      <c r="R19906" s="2" t="inlineStr"/>
    </row>
    <row r="19907" ht="15" customHeight="1">
      <c r="A19907" t="inlineStr">
        <is>
          <t>A 20285-2025</t>
        </is>
      </c>
      <c r="B19907" s="1" t="n">
        <v>45774</v>
      </c>
      <c r="C19907" s="1" t="n">
        <v>45810</v>
      </c>
      <c r="D19907" t="inlineStr">
        <is>
          <t>VÄRMLANDS LÄN</t>
        </is>
      </c>
      <c r="E19907" t="inlineStr">
        <is>
          <t>SUNNE</t>
        </is>
      </c>
      <c r="G19907" t="n">
        <v>0.9</v>
      </c>
      <c r="H19907" t="n">
        <v>0</v>
      </c>
      <c r="I19907" t="n">
        <v>0</v>
      </c>
      <c r="J19907" t="n">
        <v>0</v>
      </c>
      <c r="K19907" t="n">
        <v>0</v>
      </c>
      <c r="L19907" t="n">
        <v>0</v>
      </c>
      <c r="M19907" t="n">
        <v>0</v>
      </c>
      <c r="N19907" t="n">
        <v>0</v>
      </c>
      <c r="O19907" t="n">
        <v>0</v>
      </c>
      <c r="P19907" t="n">
        <v>0</v>
      </c>
      <c r="Q19907" t="n">
        <v>0</v>
      </c>
      <c r="R19907" s="2" t="inlineStr"/>
    </row>
    <row r="19908" ht="15" customHeight="1">
      <c r="A19908" t="inlineStr">
        <is>
          <t>A 20309-2025</t>
        </is>
      </c>
      <c r="B19908" s="1" t="n">
        <v>45775</v>
      </c>
      <c r="C19908" s="1" t="n">
        <v>45810</v>
      </c>
      <c r="D19908" t="inlineStr">
        <is>
          <t>VÄRMLANDS LÄN</t>
        </is>
      </c>
      <c r="E19908" t="inlineStr">
        <is>
          <t>TORSBY</t>
        </is>
      </c>
      <c r="F19908" t="inlineStr">
        <is>
          <t>Bergvik skog väst AB</t>
        </is>
      </c>
      <c r="G19908" t="n">
        <v>1.3</v>
      </c>
      <c r="H19908" t="n">
        <v>0</v>
      </c>
      <c r="I19908" t="n">
        <v>0</v>
      </c>
      <c r="J19908" t="n">
        <v>0</v>
      </c>
      <c r="K19908" t="n">
        <v>0</v>
      </c>
      <c r="L19908" t="n">
        <v>0</v>
      </c>
      <c r="M19908" t="n">
        <v>0</v>
      </c>
      <c r="N19908" t="n">
        <v>0</v>
      </c>
      <c r="O19908" t="n">
        <v>0</v>
      </c>
      <c r="P19908" t="n">
        <v>0</v>
      </c>
      <c r="Q19908" t="n">
        <v>0</v>
      </c>
      <c r="R19908" s="2" t="inlineStr"/>
    </row>
    <row r="19909" ht="15" customHeight="1">
      <c r="A19909" t="inlineStr">
        <is>
          <t>A 20345-2025</t>
        </is>
      </c>
      <c r="B19909" s="1" t="n">
        <v>45775</v>
      </c>
      <c r="C19909" s="1" t="n">
        <v>45810</v>
      </c>
      <c r="D19909" t="inlineStr">
        <is>
          <t>VÄRMLANDS LÄN</t>
        </is>
      </c>
      <c r="E19909" t="inlineStr">
        <is>
          <t>SUNNE</t>
        </is>
      </c>
      <c r="G19909" t="n">
        <v>3.9</v>
      </c>
      <c r="H19909" t="n">
        <v>0</v>
      </c>
      <c r="I19909" t="n">
        <v>0</v>
      </c>
      <c r="J19909" t="n">
        <v>0</v>
      </c>
      <c r="K19909" t="n">
        <v>0</v>
      </c>
      <c r="L19909" t="n">
        <v>0</v>
      </c>
      <c r="M19909" t="n">
        <v>0</v>
      </c>
      <c r="N19909" t="n">
        <v>0</v>
      </c>
      <c r="O19909" t="n">
        <v>0</v>
      </c>
      <c r="P19909" t="n">
        <v>0</v>
      </c>
      <c r="Q19909" t="n">
        <v>0</v>
      </c>
      <c r="R19909" s="2" t="inlineStr"/>
    </row>
    <row r="19910" ht="15" customHeight="1">
      <c r="A19910" t="inlineStr">
        <is>
          <t>A 20372-2025</t>
        </is>
      </c>
      <c r="B19910" s="1" t="n">
        <v>45775</v>
      </c>
      <c r="C19910" s="1" t="n">
        <v>45810</v>
      </c>
      <c r="D19910" t="inlineStr">
        <is>
          <t>VÄRMLANDS LÄN</t>
        </is>
      </c>
      <c r="E19910" t="inlineStr">
        <is>
          <t>ÅRJÄNG</t>
        </is>
      </c>
      <c r="G19910" t="n">
        <v>0.8</v>
      </c>
      <c r="H19910" t="n">
        <v>0</v>
      </c>
      <c r="I19910" t="n">
        <v>0</v>
      </c>
      <c r="J19910" t="n">
        <v>0</v>
      </c>
      <c r="K19910" t="n">
        <v>0</v>
      </c>
      <c r="L19910" t="n">
        <v>0</v>
      </c>
      <c r="M19910" t="n">
        <v>0</v>
      </c>
      <c r="N19910" t="n">
        <v>0</v>
      </c>
      <c r="O19910" t="n">
        <v>0</v>
      </c>
      <c r="P19910" t="n">
        <v>0</v>
      </c>
      <c r="Q19910" t="n">
        <v>0</v>
      </c>
      <c r="R19910" s="2" t="inlineStr"/>
    </row>
    <row r="19911" ht="15" customHeight="1">
      <c r="A19911" t="inlineStr">
        <is>
          <t>A 20413-2025</t>
        </is>
      </c>
      <c r="B19911" s="1" t="n">
        <v>45775</v>
      </c>
      <c r="C19911" s="1" t="n">
        <v>45810</v>
      </c>
      <c r="D19911" t="inlineStr">
        <is>
          <t>VÄRMLANDS LÄN</t>
        </is>
      </c>
      <c r="E19911" t="inlineStr">
        <is>
          <t>EDA</t>
        </is>
      </c>
      <c r="G19911" t="n">
        <v>0.9</v>
      </c>
      <c r="H19911" t="n">
        <v>0</v>
      </c>
      <c r="I19911" t="n">
        <v>0</v>
      </c>
      <c r="J19911" t="n">
        <v>0</v>
      </c>
      <c r="K19911" t="n">
        <v>0</v>
      </c>
      <c r="L19911" t="n">
        <v>0</v>
      </c>
      <c r="M19911" t="n">
        <v>0</v>
      </c>
      <c r="N19911" t="n">
        <v>0</v>
      </c>
      <c r="O19911" t="n">
        <v>0</v>
      </c>
      <c r="P19911" t="n">
        <v>0</v>
      </c>
      <c r="Q19911" t="n">
        <v>0</v>
      </c>
      <c r="R19911" s="2" t="inlineStr"/>
    </row>
    <row r="19912" ht="15" customHeight="1">
      <c r="A19912" t="inlineStr">
        <is>
          <t>A 20422-2025</t>
        </is>
      </c>
      <c r="B19912" s="1" t="n">
        <v>45775</v>
      </c>
      <c r="C19912" s="1" t="n">
        <v>45810</v>
      </c>
      <c r="D19912" t="inlineStr">
        <is>
          <t>VÄRMLANDS LÄN</t>
        </is>
      </c>
      <c r="E19912" t="inlineStr">
        <is>
          <t>EDA</t>
        </is>
      </c>
      <c r="G19912" t="n">
        <v>0.8</v>
      </c>
      <c r="H19912" t="n">
        <v>0</v>
      </c>
      <c r="I19912" t="n">
        <v>0</v>
      </c>
      <c r="J19912" t="n">
        <v>0</v>
      </c>
      <c r="K19912" t="n">
        <v>0</v>
      </c>
      <c r="L19912" t="n">
        <v>0</v>
      </c>
      <c r="M19912" t="n">
        <v>0</v>
      </c>
      <c r="N19912" t="n">
        <v>0</v>
      </c>
      <c r="O19912" t="n">
        <v>0</v>
      </c>
      <c r="P19912" t="n">
        <v>0</v>
      </c>
      <c r="Q19912" t="n">
        <v>0</v>
      </c>
      <c r="R19912" s="2" t="inlineStr"/>
    </row>
    <row r="19913" ht="15" customHeight="1">
      <c r="A19913" t="inlineStr">
        <is>
          <t>A 20434-2025</t>
        </is>
      </c>
      <c r="B19913" s="1" t="n">
        <v>45775</v>
      </c>
      <c r="C19913" s="1" t="n">
        <v>45810</v>
      </c>
      <c r="D19913" t="inlineStr">
        <is>
          <t>VÄRMLANDS LÄN</t>
        </is>
      </c>
      <c r="E19913" t="inlineStr">
        <is>
          <t>ARVIKA</t>
        </is>
      </c>
      <c r="F19913" t="inlineStr">
        <is>
          <t>Bergvik skog väst AB</t>
        </is>
      </c>
      <c r="G19913" t="n">
        <v>1.3</v>
      </c>
      <c r="H19913" t="n">
        <v>0</v>
      </c>
      <c r="I19913" t="n">
        <v>0</v>
      </c>
      <c r="J19913" t="n">
        <v>0</v>
      </c>
      <c r="K19913" t="n">
        <v>0</v>
      </c>
      <c r="L19913" t="n">
        <v>0</v>
      </c>
      <c r="M19913" t="n">
        <v>0</v>
      </c>
      <c r="N19913" t="n">
        <v>0</v>
      </c>
      <c r="O19913" t="n">
        <v>0</v>
      </c>
      <c r="P19913" t="n">
        <v>0</v>
      </c>
      <c r="Q19913" t="n">
        <v>0</v>
      </c>
      <c r="R19913" s="2" t="inlineStr"/>
    </row>
    <row r="19914" ht="15" customHeight="1">
      <c r="A19914" t="inlineStr">
        <is>
          <t>A 20605-2025</t>
        </is>
      </c>
      <c r="B19914" s="1" t="n">
        <v>45775</v>
      </c>
      <c r="C19914" s="1" t="n">
        <v>45810</v>
      </c>
      <c r="D19914" t="inlineStr">
        <is>
          <t>VÄRMLANDS LÄN</t>
        </is>
      </c>
      <c r="E19914" t="inlineStr">
        <is>
          <t>SUNNE</t>
        </is>
      </c>
      <c r="G19914" t="n">
        <v>2.9</v>
      </c>
      <c r="H19914" t="n">
        <v>0</v>
      </c>
      <c r="I19914" t="n">
        <v>0</v>
      </c>
      <c r="J19914" t="n">
        <v>0</v>
      </c>
      <c r="K19914" t="n">
        <v>0</v>
      </c>
      <c r="L19914" t="n">
        <v>0</v>
      </c>
      <c r="M19914" t="n">
        <v>0</v>
      </c>
      <c r="N19914" t="n">
        <v>0</v>
      </c>
      <c r="O19914" t="n">
        <v>0</v>
      </c>
      <c r="P19914" t="n">
        <v>0</v>
      </c>
      <c r="Q19914" t="n">
        <v>0</v>
      </c>
      <c r="R19914" s="2" t="inlineStr"/>
    </row>
    <row r="19915" ht="15" customHeight="1">
      <c r="A19915" t="inlineStr">
        <is>
          <t>A 20416-2025</t>
        </is>
      </c>
      <c r="B19915" s="1" t="n">
        <v>45775</v>
      </c>
      <c r="C19915" s="1" t="n">
        <v>45810</v>
      </c>
      <c r="D19915" t="inlineStr">
        <is>
          <t>VÄRMLANDS LÄN</t>
        </is>
      </c>
      <c r="E19915" t="inlineStr">
        <is>
          <t>SÄFFLE</t>
        </is>
      </c>
      <c r="G19915" t="n">
        <v>0.9</v>
      </c>
      <c r="H19915" t="n">
        <v>0</v>
      </c>
      <c r="I19915" t="n">
        <v>0</v>
      </c>
      <c r="J19915" t="n">
        <v>0</v>
      </c>
      <c r="K19915" t="n">
        <v>0</v>
      </c>
      <c r="L19915" t="n">
        <v>0</v>
      </c>
      <c r="M19915" t="n">
        <v>0</v>
      </c>
      <c r="N19915" t="n">
        <v>0</v>
      </c>
      <c r="O19915" t="n">
        <v>0</v>
      </c>
      <c r="P19915" t="n">
        <v>0</v>
      </c>
      <c r="Q19915" t="n">
        <v>0</v>
      </c>
      <c r="R19915" s="2" t="inlineStr"/>
    </row>
    <row r="19916" ht="15" customHeight="1">
      <c r="A19916" t="inlineStr">
        <is>
          <t>A 20504-2025</t>
        </is>
      </c>
      <c r="B19916" s="1" t="n">
        <v>45775</v>
      </c>
      <c r="C19916" s="1" t="n">
        <v>45810</v>
      </c>
      <c r="D19916" t="inlineStr">
        <is>
          <t>VÄRMLANDS LÄN</t>
        </is>
      </c>
      <c r="E19916" t="inlineStr">
        <is>
          <t>SUNNE</t>
        </is>
      </c>
      <c r="G19916" t="n">
        <v>2</v>
      </c>
      <c r="H19916" t="n">
        <v>0</v>
      </c>
      <c r="I19916" t="n">
        <v>0</v>
      </c>
      <c r="J19916" t="n">
        <v>0</v>
      </c>
      <c r="K19916" t="n">
        <v>0</v>
      </c>
      <c r="L19916" t="n">
        <v>0</v>
      </c>
      <c r="M19916" t="n">
        <v>0</v>
      </c>
      <c r="N19916" t="n">
        <v>0</v>
      </c>
      <c r="O19916" t="n">
        <v>0</v>
      </c>
      <c r="P19916" t="n">
        <v>0</v>
      </c>
      <c r="Q19916" t="n">
        <v>0</v>
      </c>
      <c r="R19916" s="2" t="inlineStr"/>
    </row>
    <row r="19917" ht="15" customHeight="1">
      <c r="A19917" t="inlineStr">
        <is>
          <t>A 20410-2025</t>
        </is>
      </c>
      <c r="B19917" s="1" t="n">
        <v>45775</v>
      </c>
      <c r="C19917" s="1" t="n">
        <v>45810</v>
      </c>
      <c r="D19917" t="inlineStr">
        <is>
          <t>VÄRMLANDS LÄN</t>
        </is>
      </c>
      <c r="E19917" t="inlineStr">
        <is>
          <t>SÄFFLE</t>
        </is>
      </c>
      <c r="G19917" t="n">
        <v>4.6</v>
      </c>
      <c r="H19917" t="n">
        <v>0</v>
      </c>
      <c r="I19917" t="n">
        <v>0</v>
      </c>
      <c r="J19917" t="n">
        <v>0</v>
      </c>
      <c r="K19917" t="n">
        <v>0</v>
      </c>
      <c r="L19917" t="n">
        <v>0</v>
      </c>
      <c r="M19917" t="n">
        <v>0</v>
      </c>
      <c r="N19917" t="n">
        <v>0</v>
      </c>
      <c r="O19917" t="n">
        <v>0</v>
      </c>
      <c r="P19917" t="n">
        <v>0</v>
      </c>
      <c r="Q19917" t="n">
        <v>0</v>
      </c>
      <c r="R19917" s="2" t="inlineStr"/>
    </row>
    <row r="19918" ht="15" customHeight="1">
      <c r="A19918" t="inlineStr">
        <is>
          <t>A 20402-2025</t>
        </is>
      </c>
      <c r="B19918" s="1" t="n">
        <v>45775</v>
      </c>
      <c r="C19918" s="1" t="n">
        <v>45810</v>
      </c>
      <c r="D19918" t="inlineStr">
        <is>
          <t>VÄRMLANDS LÄN</t>
        </is>
      </c>
      <c r="E19918" t="inlineStr">
        <is>
          <t>SÄFFLE</t>
        </is>
      </c>
      <c r="G19918" t="n">
        <v>1.2</v>
      </c>
      <c r="H19918" t="n">
        <v>0</v>
      </c>
      <c r="I19918" t="n">
        <v>0</v>
      </c>
      <c r="J19918" t="n">
        <v>0</v>
      </c>
      <c r="K19918" t="n">
        <v>0</v>
      </c>
      <c r="L19918" t="n">
        <v>0</v>
      </c>
      <c r="M19918" t="n">
        <v>0</v>
      </c>
      <c r="N19918" t="n">
        <v>0</v>
      </c>
      <c r="O19918" t="n">
        <v>0</v>
      </c>
      <c r="P19918" t="n">
        <v>0</v>
      </c>
      <c r="Q19918" t="n">
        <v>0</v>
      </c>
      <c r="R19918" s="2" t="inlineStr"/>
    </row>
    <row r="19919" ht="15" customHeight="1">
      <c r="A19919" t="inlineStr">
        <is>
          <t>A 20509-2025</t>
        </is>
      </c>
      <c r="B19919" s="1" t="n">
        <v>45775</v>
      </c>
      <c r="C19919" s="1" t="n">
        <v>45810</v>
      </c>
      <c r="D19919" t="inlineStr">
        <is>
          <t>VÄRMLANDS LÄN</t>
        </is>
      </c>
      <c r="E19919" t="inlineStr">
        <is>
          <t>KARLSTAD</t>
        </is>
      </c>
      <c r="G19919" t="n">
        <v>4.3</v>
      </c>
      <c r="H19919" t="n">
        <v>0</v>
      </c>
      <c r="I19919" t="n">
        <v>0</v>
      </c>
      <c r="J19919" t="n">
        <v>0</v>
      </c>
      <c r="K19919" t="n">
        <v>0</v>
      </c>
      <c r="L19919" t="n">
        <v>0</v>
      </c>
      <c r="M19919" t="n">
        <v>0</v>
      </c>
      <c r="N19919" t="n">
        <v>0</v>
      </c>
      <c r="O19919" t="n">
        <v>0</v>
      </c>
      <c r="P19919" t="n">
        <v>0</v>
      </c>
      <c r="Q19919" t="n">
        <v>0</v>
      </c>
      <c r="R19919" s="2" t="inlineStr"/>
    </row>
    <row r="19920" ht="15" customHeight="1">
      <c r="A19920" t="inlineStr">
        <is>
          <t>A 20457-2025</t>
        </is>
      </c>
      <c r="B19920" s="1" t="n">
        <v>45775</v>
      </c>
      <c r="C19920" s="1" t="n">
        <v>45810</v>
      </c>
      <c r="D19920" t="inlineStr">
        <is>
          <t>VÄRMLANDS LÄN</t>
        </is>
      </c>
      <c r="E19920" t="inlineStr">
        <is>
          <t>SUNNE</t>
        </is>
      </c>
      <c r="F19920" t="inlineStr">
        <is>
          <t>Övriga Aktiebolag</t>
        </is>
      </c>
      <c r="G19920" t="n">
        <v>1</v>
      </c>
      <c r="H19920" t="n">
        <v>0</v>
      </c>
      <c r="I19920" t="n">
        <v>0</v>
      </c>
      <c r="J19920" t="n">
        <v>0</v>
      </c>
      <c r="K19920" t="n">
        <v>0</v>
      </c>
      <c r="L19920" t="n">
        <v>0</v>
      </c>
      <c r="M19920" t="n">
        <v>0</v>
      </c>
      <c r="N19920" t="n">
        <v>0</v>
      </c>
      <c r="O19920" t="n">
        <v>0</v>
      </c>
      <c r="P19920" t="n">
        <v>0</v>
      </c>
      <c r="Q19920" t="n">
        <v>0</v>
      </c>
      <c r="R19920" s="2" t="inlineStr"/>
    </row>
    <row r="19921" ht="15" customHeight="1">
      <c r="A19921" t="inlineStr">
        <is>
          <t>A 20322-2025</t>
        </is>
      </c>
      <c r="B19921" s="1" t="n">
        <v>45775</v>
      </c>
      <c r="C19921" s="1" t="n">
        <v>45810</v>
      </c>
      <c r="D19921" t="inlineStr">
        <is>
          <t>VÄRMLANDS LÄN</t>
        </is>
      </c>
      <c r="E19921" t="inlineStr">
        <is>
          <t>SÄFFLE</t>
        </is>
      </c>
      <c r="G19921" t="n">
        <v>5</v>
      </c>
      <c r="H19921" t="n">
        <v>0</v>
      </c>
      <c r="I19921" t="n">
        <v>0</v>
      </c>
      <c r="J19921" t="n">
        <v>0</v>
      </c>
      <c r="K19921" t="n">
        <v>0</v>
      </c>
      <c r="L19921" t="n">
        <v>0</v>
      </c>
      <c r="M19921" t="n">
        <v>0</v>
      </c>
      <c r="N19921" t="n">
        <v>0</v>
      </c>
      <c r="O19921" t="n">
        <v>0</v>
      </c>
      <c r="P19921" t="n">
        <v>0</v>
      </c>
      <c r="Q19921" t="n">
        <v>0</v>
      </c>
      <c r="R19921" s="2" t="inlineStr"/>
    </row>
    <row r="19922" ht="15" customHeight="1">
      <c r="A19922" t="inlineStr">
        <is>
          <t>A 20582-2025</t>
        </is>
      </c>
      <c r="B19922" s="1" t="n">
        <v>45775</v>
      </c>
      <c r="C19922" s="1" t="n">
        <v>45810</v>
      </c>
      <c r="D19922" t="inlineStr">
        <is>
          <t>VÄRMLANDS LÄN</t>
        </is>
      </c>
      <c r="E19922" t="inlineStr">
        <is>
          <t>ARVIKA</t>
        </is>
      </c>
      <c r="G19922" t="n">
        <v>4</v>
      </c>
      <c r="H19922" t="n">
        <v>0</v>
      </c>
      <c r="I19922" t="n">
        <v>0</v>
      </c>
      <c r="J19922" t="n">
        <v>0</v>
      </c>
      <c r="K19922" t="n">
        <v>0</v>
      </c>
      <c r="L19922" t="n">
        <v>0</v>
      </c>
      <c r="M19922" t="n">
        <v>0</v>
      </c>
      <c r="N19922" t="n">
        <v>0</v>
      </c>
      <c r="O19922" t="n">
        <v>0</v>
      </c>
      <c r="P19922" t="n">
        <v>0</v>
      </c>
      <c r="Q19922" t="n">
        <v>0</v>
      </c>
      <c r="R19922" s="2" t="inlineStr"/>
    </row>
    <row r="19923" ht="15" customHeight="1">
      <c r="A19923" t="inlineStr">
        <is>
          <t>A 20498-2025</t>
        </is>
      </c>
      <c r="B19923" s="1" t="n">
        <v>45775</v>
      </c>
      <c r="C19923" s="1" t="n">
        <v>45810</v>
      </c>
      <c r="D19923" t="inlineStr">
        <is>
          <t>VÄRMLANDS LÄN</t>
        </is>
      </c>
      <c r="E19923" t="inlineStr">
        <is>
          <t>ARVIKA</t>
        </is>
      </c>
      <c r="F19923" t="inlineStr">
        <is>
          <t>Bergvik skog väst AB</t>
        </is>
      </c>
      <c r="G19923" t="n">
        <v>2.9</v>
      </c>
      <c r="H19923" t="n">
        <v>0</v>
      </c>
      <c r="I19923" t="n">
        <v>0</v>
      </c>
      <c r="J19923" t="n">
        <v>0</v>
      </c>
      <c r="K19923" t="n">
        <v>0</v>
      </c>
      <c r="L19923" t="n">
        <v>0</v>
      </c>
      <c r="M19923" t="n">
        <v>0</v>
      </c>
      <c r="N19923" t="n">
        <v>0</v>
      </c>
      <c r="O19923" t="n">
        <v>0</v>
      </c>
      <c r="P19923" t="n">
        <v>0</v>
      </c>
      <c r="Q19923" t="n">
        <v>0</v>
      </c>
      <c r="R19923" s="2" t="inlineStr"/>
    </row>
    <row r="19924" ht="15" customHeight="1">
      <c r="A19924" t="inlineStr">
        <is>
          <t>A 20521-2025</t>
        </is>
      </c>
      <c r="B19924" s="1" t="n">
        <v>45775</v>
      </c>
      <c r="C19924" s="1" t="n">
        <v>45810</v>
      </c>
      <c r="D19924" t="inlineStr">
        <is>
          <t>VÄRMLANDS LÄN</t>
        </is>
      </c>
      <c r="E19924" t="inlineStr">
        <is>
          <t>ARVIKA</t>
        </is>
      </c>
      <c r="F19924" t="inlineStr">
        <is>
          <t>Bergvik skog väst AB</t>
        </is>
      </c>
      <c r="G19924" t="n">
        <v>11.4</v>
      </c>
      <c r="H19924" t="n">
        <v>0</v>
      </c>
      <c r="I19924" t="n">
        <v>0</v>
      </c>
      <c r="J19924" t="n">
        <v>0</v>
      </c>
      <c r="K19924" t="n">
        <v>0</v>
      </c>
      <c r="L19924" t="n">
        <v>0</v>
      </c>
      <c r="M19924" t="n">
        <v>0</v>
      </c>
      <c r="N19924" t="n">
        <v>0</v>
      </c>
      <c r="O19924" t="n">
        <v>0</v>
      </c>
      <c r="P19924" t="n">
        <v>0</v>
      </c>
      <c r="Q19924" t="n">
        <v>0</v>
      </c>
      <c r="R19924" s="2" t="inlineStr"/>
    </row>
    <row r="19925" ht="15" customHeight="1">
      <c r="A19925" t="inlineStr">
        <is>
          <t>A 20349-2025</t>
        </is>
      </c>
      <c r="B19925" s="1" t="n">
        <v>45775</v>
      </c>
      <c r="C19925" s="1" t="n">
        <v>45810</v>
      </c>
      <c r="D19925" t="inlineStr">
        <is>
          <t>VÄRMLANDS LÄN</t>
        </is>
      </c>
      <c r="E19925" t="inlineStr">
        <is>
          <t>ARVIKA</t>
        </is>
      </c>
      <c r="F19925" t="inlineStr">
        <is>
          <t>Bergvik skog väst AB</t>
        </is>
      </c>
      <c r="G19925" t="n">
        <v>1.8</v>
      </c>
      <c r="H19925" t="n">
        <v>0</v>
      </c>
      <c r="I19925" t="n">
        <v>0</v>
      </c>
      <c r="J19925" t="n">
        <v>0</v>
      </c>
      <c r="K19925" t="n">
        <v>0</v>
      </c>
      <c r="L19925" t="n">
        <v>0</v>
      </c>
      <c r="M19925" t="n">
        <v>0</v>
      </c>
      <c r="N19925" t="n">
        <v>0</v>
      </c>
      <c r="O19925" t="n">
        <v>0</v>
      </c>
      <c r="P19925" t="n">
        <v>0</v>
      </c>
      <c r="Q19925" t="n">
        <v>0</v>
      </c>
      <c r="R19925" s="2" t="inlineStr"/>
    </row>
    <row r="19926" ht="15" customHeight="1">
      <c r="A19926" t="inlineStr">
        <is>
          <t>A 20598-2025</t>
        </is>
      </c>
      <c r="B19926" s="1" t="n">
        <v>45775</v>
      </c>
      <c r="C19926" s="1" t="n">
        <v>45810</v>
      </c>
      <c r="D19926" t="inlineStr">
        <is>
          <t>VÄRMLANDS LÄN</t>
        </is>
      </c>
      <c r="E19926" t="inlineStr">
        <is>
          <t>EDA</t>
        </is>
      </c>
      <c r="G19926" t="n">
        <v>8</v>
      </c>
      <c r="H19926" t="n">
        <v>0</v>
      </c>
      <c r="I19926" t="n">
        <v>0</v>
      </c>
      <c r="J19926" t="n">
        <v>0</v>
      </c>
      <c r="K19926" t="n">
        <v>0</v>
      </c>
      <c r="L19926" t="n">
        <v>0</v>
      </c>
      <c r="M19926" t="n">
        <v>0</v>
      </c>
      <c r="N19926" t="n">
        <v>0</v>
      </c>
      <c r="O19926" t="n">
        <v>0</v>
      </c>
      <c r="P19926" t="n">
        <v>0</v>
      </c>
      <c r="Q19926" t="n">
        <v>0</v>
      </c>
      <c r="R19926" s="2" t="inlineStr"/>
    </row>
    <row r="19927" ht="15" customHeight="1">
      <c r="A19927" t="inlineStr">
        <is>
          <t>A 20357-2025</t>
        </is>
      </c>
      <c r="B19927" s="1" t="n">
        <v>45775</v>
      </c>
      <c r="C19927" s="1" t="n">
        <v>45810</v>
      </c>
      <c r="D19927" t="inlineStr">
        <is>
          <t>VÄRMLANDS LÄN</t>
        </is>
      </c>
      <c r="E19927" t="inlineStr">
        <is>
          <t>ARVIKA</t>
        </is>
      </c>
      <c r="F19927" t="inlineStr">
        <is>
          <t>Bergvik skog väst AB</t>
        </is>
      </c>
      <c r="G19927" t="n">
        <v>2.4</v>
      </c>
      <c r="H19927" t="n">
        <v>0</v>
      </c>
      <c r="I19927" t="n">
        <v>0</v>
      </c>
      <c r="J19927" t="n">
        <v>0</v>
      </c>
      <c r="K19927" t="n">
        <v>0</v>
      </c>
      <c r="L19927" t="n">
        <v>0</v>
      </c>
      <c r="M19927" t="n">
        <v>0</v>
      </c>
      <c r="N19927" t="n">
        <v>0</v>
      </c>
      <c r="O19927" t="n">
        <v>0</v>
      </c>
      <c r="P19927" t="n">
        <v>0</v>
      </c>
      <c r="Q19927" t="n">
        <v>0</v>
      </c>
      <c r="R19927" s="2" t="inlineStr"/>
    </row>
    <row r="19928" ht="15" customHeight="1">
      <c r="A19928" t="inlineStr">
        <is>
          <t>A 20601-2025</t>
        </is>
      </c>
      <c r="B19928" s="1" t="n">
        <v>45775</v>
      </c>
      <c r="C19928" s="1" t="n">
        <v>45810</v>
      </c>
      <c r="D19928" t="inlineStr">
        <is>
          <t>VÄRMLANDS LÄN</t>
        </is>
      </c>
      <c r="E19928" t="inlineStr">
        <is>
          <t>EDA</t>
        </is>
      </c>
      <c r="G19928" t="n">
        <v>12.7</v>
      </c>
      <c r="H19928" t="n">
        <v>0</v>
      </c>
      <c r="I19928" t="n">
        <v>0</v>
      </c>
      <c r="J19928" t="n">
        <v>0</v>
      </c>
      <c r="K19928" t="n">
        <v>0</v>
      </c>
      <c r="L19928" t="n">
        <v>0</v>
      </c>
      <c r="M19928" t="n">
        <v>0</v>
      </c>
      <c r="N19928" t="n">
        <v>0</v>
      </c>
      <c r="O19928" t="n">
        <v>0</v>
      </c>
      <c r="P19928" t="n">
        <v>0</v>
      </c>
      <c r="Q19928" t="n">
        <v>0</v>
      </c>
      <c r="R19928" s="2" t="inlineStr"/>
    </row>
    <row r="19929" ht="15" customHeight="1">
      <c r="A19929" t="inlineStr">
        <is>
          <t>A 20375-2025</t>
        </is>
      </c>
      <c r="B19929" s="1" t="n">
        <v>45775</v>
      </c>
      <c r="C19929" s="1" t="n">
        <v>45810</v>
      </c>
      <c r="D19929" t="inlineStr">
        <is>
          <t>VÄRMLANDS LÄN</t>
        </is>
      </c>
      <c r="E19929" t="inlineStr">
        <is>
          <t>ARVIKA</t>
        </is>
      </c>
      <c r="F19929" t="inlineStr">
        <is>
          <t>Bergvik skog väst AB</t>
        </is>
      </c>
      <c r="G19929" t="n">
        <v>0.7</v>
      </c>
      <c r="H19929" t="n">
        <v>0</v>
      </c>
      <c r="I19929" t="n">
        <v>0</v>
      </c>
      <c r="J19929" t="n">
        <v>0</v>
      </c>
      <c r="K19929" t="n">
        <v>0</v>
      </c>
      <c r="L19929" t="n">
        <v>0</v>
      </c>
      <c r="M19929" t="n">
        <v>0</v>
      </c>
      <c r="N19929" t="n">
        <v>0</v>
      </c>
      <c r="O19929" t="n">
        <v>0</v>
      </c>
      <c r="P19929" t="n">
        <v>0</v>
      </c>
      <c r="Q19929" t="n">
        <v>0</v>
      </c>
      <c r="R19929" s="2" t="inlineStr"/>
    </row>
    <row r="19930" ht="15" customHeight="1">
      <c r="A19930" t="inlineStr">
        <is>
          <t>A 20554-2025</t>
        </is>
      </c>
      <c r="B19930" s="1" t="n">
        <v>45775</v>
      </c>
      <c r="C19930" s="1" t="n">
        <v>45810</v>
      </c>
      <c r="D19930" t="inlineStr">
        <is>
          <t>VÄRMLANDS LÄN</t>
        </is>
      </c>
      <c r="E19930" t="inlineStr">
        <is>
          <t>FILIPSTAD</t>
        </is>
      </c>
      <c r="F19930" t="inlineStr">
        <is>
          <t>Bergvik skog väst AB</t>
        </is>
      </c>
      <c r="G19930" t="n">
        <v>2.3</v>
      </c>
      <c r="H19930" t="n">
        <v>0</v>
      </c>
      <c r="I19930" t="n">
        <v>0</v>
      </c>
      <c r="J19930" t="n">
        <v>0</v>
      </c>
      <c r="K19930" t="n">
        <v>0</v>
      </c>
      <c r="L19930" t="n">
        <v>0</v>
      </c>
      <c r="M19930" t="n">
        <v>0</v>
      </c>
      <c r="N19930" t="n">
        <v>0</v>
      </c>
      <c r="O19930" t="n">
        <v>0</v>
      </c>
      <c r="P19930" t="n">
        <v>0</v>
      </c>
      <c r="Q19930" t="n">
        <v>0</v>
      </c>
      <c r="R19930" s="2" t="inlineStr"/>
    </row>
    <row r="19931" ht="15" customHeight="1">
      <c r="A19931" t="inlineStr">
        <is>
          <t>A 20487-2025</t>
        </is>
      </c>
      <c r="B19931" s="1" t="n">
        <v>45775</v>
      </c>
      <c r="C19931" s="1" t="n">
        <v>45810</v>
      </c>
      <c r="D19931" t="inlineStr">
        <is>
          <t>VÄRMLANDS LÄN</t>
        </is>
      </c>
      <c r="E19931" t="inlineStr">
        <is>
          <t>HAGFORS</t>
        </is>
      </c>
      <c r="F19931" t="inlineStr">
        <is>
          <t>Bergvik skog väst AB</t>
        </is>
      </c>
      <c r="G19931" t="n">
        <v>4.8</v>
      </c>
      <c r="H19931" t="n">
        <v>0</v>
      </c>
      <c r="I19931" t="n">
        <v>0</v>
      </c>
      <c r="J19931" t="n">
        <v>0</v>
      </c>
      <c r="K19931" t="n">
        <v>0</v>
      </c>
      <c r="L19931" t="n">
        <v>0</v>
      </c>
      <c r="M19931" t="n">
        <v>0</v>
      </c>
      <c r="N19931" t="n">
        <v>0</v>
      </c>
      <c r="O19931" t="n">
        <v>0</v>
      </c>
      <c r="P19931" t="n">
        <v>0</v>
      </c>
      <c r="Q19931" t="n">
        <v>0</v>
      </c>
      <c r="R19931" s="2" t="inlineStr"/>
    </row>
    <row r="19932" ht="15" customHeight="1">
      <c r="A19932" t="inlineStr">
        <is>
          <t>A 20318-2025</t>
        </is>
      </c>
      <c r="B19932" s="1" t="n">
        <v>45775</v>
      </c>
      <c r="C19932" s="1" t="n">
        <v>45810</v>
      </c>
      <c r="D19932" t="inlineStr">
        <is>
          <t>VÄRMLANDS LÄN</t>
        </is>
      </c>
      <c r="E19932" t="inlineStr">
        <is>
          <t>ARVIKA</t>
        </is>
      </c>
      <c r="F19932" t="inlineStr">
        <is>
          <t>Bergvik skog väst AB</t>
        </is>
      </c>
      <c r="G19932" t="n">
        <v>2.9</v>
      </c>
      <c r="H19932" t="n">
        <v>0</v>
      </c>
      <c r="I19932" t="n">
        <v>0</v>
      </c>
      <c r="J19932" t="n">
        <v>0</v>
      </c>
      <c r="K19932" t="n">
        <v>0</v>
      </c>
      <c r="L19932" t="n">
        <v>0</v>
      </c>
      <c r="M19932" t="n">
        <v>0</v>
      </c>
      <c r="N19932" t="n">
        <v>0</v>
      </c>
      <c r="O19932" t="n">
        <v>0</v>
      </c>
      <c r="P19932" t="n">
        <v>0</v>
      </c>
      <c r="Q19932" t="n">
        <v>0</v>
      </c>
      <c r="R19932" s="2" t="inlineStr"/>
    </row>
    <row r="19933" ht="15" customHeight="1">
      <c r="A19933" t="inlineStr">
        <is>
          <t>A 20606-2025</t>
        </is>
      </c>
      <c r="B19933" s="1" t="n">
        <v>45775</v>
      </c>
      <c r="C19933" s="1" t="n">
        <v>45810</v>
      </c>
      <c r="D19933" t="inlineStr">
        <is>
          <t>VÄRMLANDS LÄN</t>
        </is>
      </c>
      <c r="E19933" t="inlineStr">
        <is>
          <t>FILIPSTAD</t>
        </is>
      </c>
      <c r="F19933" t="inlineStr">
        <is>
          <t>Bergvik skog väst AB</t>
        </is>
      </c>
      <c r="G19933" t="n">
        <v>0.9</v>
      </c>
      <c r="H19933" t="n">
        <v>0</v>
      </c>
      <c r="I19933" t="n">
        <v>0</v>
      </c>
      <c r="J19933" t="n">
        <v>0</v>
      </c>
      <c r="K19933" t="n">
        <v>0</v>
      </c>
      <c r="L19933" t="n">
        <v>0</v>
      </c>
      <c r="M19933" t="n">
        <v>0</v>
      </c>
      <c r="N19933" t="n">
        <v>0</v>
      </c>
      <c r="O19933" t="n">
        <v>0</v>
      </c>
      <c r="P19933" t="n">
        <v>0</v>
      </c>
      <c r="Q19933" t="n">
        <v>0</v>
      </c>
      <c r="R19933" s="2" t="inlineStr"/>
    </row>
    <row r="19934" ht="15" customHeight="1">
      <c r="A19934" t="inlineStr">
        <is>
          <t>A 20313-2025</t>
        </is>
      </c>
      <c r="B19934" s="1" t="n">
        <v>45775</v>
      </c>
      <c r="C19934" s="1" t="n">
        <v>45810</v>
      </c>
      <c r="D19934" t="inlineStr">
        <is>
          <t>VÄRMLANDS LÄN</t>
        </is>
      </c>
      <c r="E19934" t="inlineStr">
        <is>
          <t>HAGFORS</t>
        </is>
      </c>
      <c r="G19934" t="n">
        <v>4.4</v>
      </c>
      <c r="H19934" t="n">
        <v>0</v>
      </c>
      <c r="I19934" t="n">
        <v>0</v>
      </c>
      <c r="J19934" t="n">
        <v>0</v>
      </c>
      <c r="K19934" t="n">
        <v>0</v>
      </c>
      <c r="L19934" t="n">
        <v>0</v>
      </c>
      <c r="M19934" t="n">
        <v>0</v>
      </c>
      <c r="N19934" t="n">
        <v>0</v>
      </c>
      <c r="O19934" t="n">
        <v>0</v>
      </c>
      <c r="P19934" t="n">
        <v>0</v>
      </c>
      <c r="Q19934" t="n">
        <v>0</v>
      </c>
      <c r="R19934" s="2" t="inlineStr"/>
    </row>
    <row r="19935" ht="15" customHeight="1">
      <c r="A19935" t="inlineStr">
        <is>
          <t>A 20461-2025</t>
        </is>
      </c>
      <c r="B19935" s="1" t="n">
        <v>45775</v>
      </c>
      <c r="C19935" s="1" t="n">
        <v>45810</v>
      </c>
      <c r="D19935" t="inlineStr">
        <is>
          <t>VÄRMLANDS LÄN</t>
        </is>
      </c>
      <c r="E19935" t="inlineStr">
        <is>
          <t>TORSBY</t>
        </is>
      </c>
      <c r="G19935" t="n">
        <v>16</v>
      </c>
      <c r="H19935" t="n">
        <v>0</v>
      </c>
      <c r="I19935" t="n">
        <v>0</v>
      </c>
      <c r="J19935" t="n">
        <v>0</v>
      </c>
      <c r="K19935" t="n">
        <v>0</v>
      </c>
      <c r="L19935" t="n">
        <v>0</v>
      </c>
      <c r="M19935" t="n">
        <v>0</v>
      </c>
      <c r="N19935" t="n">
        <v>0</v>
      </c>
      <c r="O19935" t="n">
        <v>0</v>
      </c>
      <c r="P19935" t="n">
        <v>0</v>
      </c>
      <c r="Q19935" t="n">
        <v>0</v>
      </c>
      <c r="R19935" s="2" t="inlineStr"/>
    </row>
    <row r="19936" ht="15" customHeight="1">
      <c r="A19936" t="inlineStr">
        <is>
          <t>A 20319-2025</t>
        </is>
      </c>
      <c r="B19936" s="1" t="n">
        <v>45775</v>
      </c>
      <c r="C19936" s="1" t="n">
        <v>45810</v>
      </c>
      <c r="D19936" t="inlineStr">
        <is>
          <t>VÄRMLANDS LÄN</t>
        </is>
      </c>
      <c r="E19936" t="inlineStr">
        <is>
          <t>ARVIKA</t>
        </is>
      </c>
      <c r="F19936" t="inlineStr">
        <is>
          <t>Bergvik skog väst AB</t>
        </is>
      </c>
      <c r="G19936" t="n">
        <v>2.9</v>
      </c>
      <c r="H19936" t="n">
        <v>0</v>
      </c>
      <c r="I19936" t="n">
        <v>0</v>
      </c>
      <c r="J19936" t="n">
        <v>0</v>
      </c>
      <c r="K19936" t="n">
        <v>0</v>
      </c>
      <c r="L19936" t="n">
        <v>0</v>
      </c>
      <c r="M19936" t="n">
        <v>0</v>
      </c>
      <c r="N19936" t="n">
        <v>0</v>
      </c>
      <c r="O19936" t="n">
        <v>0</v>
      </c>
      <c r="P19936" t="n">
        <v>0</v>
      </c>
      <c r="Q19936" t="n">
        <v>0</v>
      </c>
      <c r="R19936" s="2" t="inlineStr"/>
    </row>
    <row r="19937" ht="15" customHeight="1">
      <c r="A19937" t="inlineStr">
        <is>
          <t>A 20369-2025</t>
        </is>
      </c>
      <c r="B19937" s="1" t="n">
        <v>45775</v>
      </c>
      <c r="C19937" s="1" t="n">
        <v>45810</v>
      </c>
      <c r="D19937" t="inlineStr">
        <is>
          <t>VÄRMLANDS LÄN</t>
        </is>
      </c>
      <c r="E19937" t="inlineStr">
        <is>
          <t>HAGFORS</t>
        </is>
      </c>
      <c r="F19937" t="inlineStr">
        <is>
          <t>Bergvik skog väst AB</t>
        </is>
      </c>
      <c r="G19937" t="n">
        <v>8.1</v>
      </c>
      <c r="H19937" t="n">
        <v>0</v>
      </c>
      <c r="I19937" t="n">
        <v>0</v>
      </c>
      <c r="J19937" t="n">
        <v>0</v>
      </c>
      <c r="K19937" t="n">
        <v>0</v>
      </c>
      <c r="L19937" t="n">
        <v>0</v>
      </c>
      <c r="M19937" t="n">
        <v>0</v>
      </c>
      <c r="N19937" t="n">
        <v>0</v>
      </c>
      <c r="O19937" t="n">
        <v>0</v>
      </c>
      <c r="P19937" t="n">
        <v>0</v>
      </c>
      <c r="Q19937" t="n">
        <v>0</v>
      </c>
      <c r="R19937" s="2" t="inlineStr"/>
    </row>
    <row r="19938" ht="15" customHeight="1">
      <c r="A19938" t="inlineStr">
        <is>
          <t>A 20424-2025</t>
        </is>
      </c>
      <c r="B19938" s="1" t="n">
        <v>45775</v>
      </c>
      <c r="C19938" s="1" t="n">
        <v>45810</v>
      </c>
      <c r="D19938" t="inlineStr">
        <is>
          <t>VÄRMLANDS LÄN</t>
        </is>
      </c>
      <c r="E19938" t="inlineStr">
        <is>
          <t>EDA</t>
        </is>
      </c>
      <c r="G19938" t="n">
        <v>1.1</v>
      </c>
      <c r="H19938" t="n">
        <v>0</v>
      </c>
      <c r="I19938" t="n">
        <v>0</v>
      </c>
      <c r="J19938" t="n">
        <v>0</v>
      </c>
      <c r="K19938" t="n">
        <v>0</v>
      </c>
      <c r="L19938" t="n">
        <v>0</v>
      </c>
      <c r="M19938" t="n">
        <v>0</v>
      </c>
      <c r="N19938" t="n">
        <v>0</v>
      </c>
      <c r="O19938" t="n">
        <v>0</v>
      </c>
      <c r="P19938" t="n">
        <v>0</v>
      </c>
      <c r="Q19938" t="n">
        <v>0</v>
      </c>
      <c r="R19938" s="2" t="inlineStr"/>
    </row>
    <row r="19939" ht="15" customHeight="1">
      <c r="A19939" t="inlineStr">
        <is>
          <t>A 20308-2025</t>
        </is>
      </c>
      <c r="B19939" s="1" t="n">
        <v>45775</v>
      </c>
      <c r="C19939" s="1" t="n">
        <v>45810</v>
      </c>
      <c r="D19939" t="inlineStr">
        <is>
          <t>VÄRMLANDS LÄN</t>
        </is>
      </c>
      <c r="E19939" t="inlineStr">
        <is>
          <t>KRISTINEHAMN</t>
        </is>
      </c>
      <c r="G19939" t="n">
        <v>9.1</v>
      </c>
      <c r="H19939" t="n">
        <v>0</v>
      </c>
      <c r="I19939" t="n">
        <v>0</v>
      </c>
      <c r="J19939" t="n">
        <v>0</v>
      </c>
      <c r="K19939" t="n">
        <v>0</v>
      </c>
      <c r="L19939" t="n">
        <v>0</v>
      </c>
      <c r="M19939" t="n">
        <v>0</v>
      </c>
      <c r="N19939" t="n">
        <v>0</v>
      </c>
      <c r="O19939" t="n">
        <v>0</v>
      </c>
      <c r="P19939" t="n">
        <v>0</v>
      </c>
      <c r="Q19939" t="n">
        <v>0</v>
      </c>
      <c r="R19939" s="2" t="inlineStr"/>
    </row>
    <row r="19940" ht="15" customHeight="1">
      <c r="A19940" t="inlineStr">
        <is>
          <t>A 20386-2025</t>
        </is>
      </c>
      <c r="B19940" s="1" t="n">
        <v>45775</v>
      </c>
      <c r="C19940" s="1" t="n">
        <v>45810</v>
      </c>
      <c r="D19940" t="inlineStr">
        <is>
          <t>VÄRMLANDS LÄN</t>
        </is>
      </c>
      <c r="E19940" t="inlineStr">
        <is>
          <t>ARVIKA</t>
        </is>
      </c>
      <c r="G19940" t="n">
        <v>0.9</v>
      </c>
      <c r="H19940" t="n">
        <v>0</v>
      </c>
      <c r="I19940" t="n">
        <v>0</v>
      </c>
      <c r="J19940" t="n">
        <v>0</v>
      </c>
      <c r="K19940" t="n">
        <v>0</v>
      </c>
      <c r="L19940" t="n">
        <v>0</v>
      </c>
      <c r="M19940" t="n">
        <v>0</v>
      </c>
      <c r="N19940" t="n">
        <v>0</v>
      </c>
      <c r="O19940" t="n">
        <v>0</v>
      </c>
      <c r="P19940" t="n">
        <v>0</v>
      </c>
      <c r="Q19940" t="n">
        <v>0</v>
      </c>
      <c r="R19940" s="2" t="inlineStr"/>
    </row>
    <row r="19941" ht="15" customHeight="1">
      <c r="A19941" t="inlineStr">
        <is>
          <t>A 20323-2025</t>
        </is>
      </c>
      <c r="B19941" s="1" t="n">
        <v>45775</v>
      </c>
      <c r="C19941" s="1" t="n">
        <v>45810</v>
      </c>
      <c r="D19941" t="inlineStr">
        <is>
          <t>VÄRMLANDS LÄN</t>
        </is>
      </c>
      <c r="E19941" t="inlineStr">
        <is>
          <t>HAGFORS</t>
        </is>
      </c>
      <c r="F19941" t="inlineStr">
        <is>
          <t>Bergvik skog väst AB</t>
        </is>
      </c>
      <c r="G19941" t="n">
        <v>1.6</v>
      </c>
      <c r="H19941" t="n">
        <v>0</v>
      </c>
      <c r="I19941" t="n">
        <v>0</v>
      </c>
      <c r="J19941" t="n">
        <v>0</v>
      </c>
      <c r="K19941" t="n">
        <v>0</v>
      </c>
      <c r="L19941" t="n">
        <v>0</v>
      </c>
      <c r="M19941" t="n">
        <v>0</v>
      </c>
      <c r="N19941" t="n">
        <v>0</v>
      </c>
      <c r="O19941" t="n">
        <v>0</v>
      </c>
      <c r="P19941" t="n">
        <v>0</v>
      </c>
      <c r="Q19941" t="n">
        <v>0</v>
      </c>
      <c r="R19941" s="2" t="inlineStr"/>
    </row>
    <row r="19942" ht="15" customHeight="1">
      <c r="A19942" t="inlineStr">
        <is>
          <t>A 20528-2025</t>
        </is>
      </c>
      <c r="B19942" s="1" t="n">
        <v>45775</v>
      </c>
      <c r="C19942" s="1" t="n">
        <v>45810</v>
      </c>
      <c r="D19942" t="inlineStr">
        <is>
          <t>VÄRMLANDS LÄN</t>
        </is>
      </c>
      <c r="E19942" t="inlineStr">
        <is>
          <t>FILIPSTAD</t>
        </is>
      </c>
      <c r="F19942" t="inlineStr">
        <is>
          <t>Bergvik skog väst AB</t>
        </is>
      </c>
      <c r="G19942" t="n">
        <v>2.9</v>
      </c>
      <c r="H19942" t="n">
        <v>0</v>
      </c>
      <c r="I19942" t="n">
        <v>0</v>
      </c>
      <c r="J19942" t="n">
        <v>0</v>
      </c>
      <c r="K19942" t="n">
        <v>0</v>
      </c>
      <c r="L19942" t="n">
        <v>0</v>
      </c>
      <c r="M19942" t="n">
        <v>0</v>
      </c>
      <c r="N19942" t="n">
        <v>0</v>
      </c>
      <c r="O19942" t="n">
        <v>0</v>
      </c>
      <c r="P19942" t="n">
        <v>0</v>
      </c>
      <c r="Q19942" t="n">
        <v>0</v>
      </c>
      <c r="R19942" s="2" t="inlineStr"/>
    </row>
    <row r="19943" ht="15" customHeight="1">
      <c r="A19943" t="inlineStr">
        <is>
          <t>A 20816-2025</t>
        </is>
      </c>
      <c r="B19943" s="1" t="n">
        <v>45776</v>
      </c>
      <c r="C19943" s="1" t="n">
        <v>45810</v>
      </c>
      <c r="D19943" t="inlineStr">
        <is>
          <t>VÄRMLANDS LÄN</t>
        </is>
      </c>
      <c r="E19943" t="inlineStr">
        <is>
          <t>TORSBY</t>
        </is>
      </c>
      <c r="F19943" t="inlineStr">
        <is>
          <t>Bergvik skog väst AB</t>
        </is>
      </c>
      <c r="G19943" t="n">
        <v>2.9</v>
      </c>
      <c r="H19943" t="n">
        <v>0</v>
      </c>
      <c r="I19943" t="n">
        <v>0</v>
      </c>
      <c r="J19943" t="n">
        <v>0</v>
      </c>
      <c r="K19943" t="n">
        <v>0</v>
      </c>
      <c r="L19943" t="n">
        <v>0</v>
      </c>
      <c r="M19943" t="n">
        <v>0</v>
      </c>
      <c r="N19943" t="n">
        <v>0</v>
      </c>
      <c r="O19943" t="n">
        <v>0</v>
      </c>
      <c r="P19943" t="n">
        <v>0</v>
      </c>
      <c r="Q19943" t="n">
        <v>0</v>
      </c>
      <c r="R19943" s="2" t="inlineStr"/>
    </row>
    <row r="19944" ht="15" customHeight="1">
      <c r="A19944" t="inlineStr">
        <is>
          <t>A 20773-2025</t>
        </is>
      </c>
      <c r="B19944" s="1" t="n">
        <v>45776</v>
      </c>
      <c r="C19944" s="1" t="n">
        <v>45810</v>
      </c>
      <c r="D19944" t="inlineStr">
        <is>
          <t>VÄRMLANDS LÄN</t>
        </is>
      </c>
      <c r="E19944" t="inlineStr">
        <is>
          <t>TORSBY</t>
        </is>
      </c>
      <c r="F19944" t="inlineStr">
        <is>
          <t>Bergvik skog väst AB</t>
        </is>
      </c>
      <c r="G19944" t="n">
        <v>4.2</v>
      </c>
      <c r="H19944" t="n">
        <v>0</v>
      </c>
      <c r="I19944" t="n">
        <v>0</v>
      </c>
      <c r="J19944" t="n">
        <v>0</v>
      </c>
      <c r="K19944" t="n">
        <v>0</v>
      </c>
      <c r="L19944" t="n">
        <v>0</v>
      </c>
      <c r="M19944" t="n">
        <v>0</v>
      </c>
      <c r="N19944" t="n">
        <v>0</v>
      </c>
      <c r="O19944" t="n">
        <v>0</v>
      </c>
      <c r="P19944" t="n">
        <v>0</v>
      </c>
      <c r="Q19944" t="n">
        <v>0</v>
      </c>
      <c r="R19944" s="2" t="inlineStr"/>
    </row>
    <row r="19945" ht="15" customHeight="1">
      <c r="A19945" t="inlineStr">
        <is>
          <t>A 20784-2025</t>
        </is>
      </c>
      <c r="B19945" s="1" t="n">
        <v>45776</v>
      </c>
      <c r="C19945" s="1" t="n">
        <v>45810</v>
      </c>
      <c r="D19945" t="inlineStr">
        <is>
          <t>VÄRMLANDS LÄN</t>
        </is>
      </c>
      <c r="E19945" t="inlineStr">
        <is>
          <t>GRUMS</t>
        </is>
      </c>
      <c r="G19945" t="n">
        <v>9.5</v>
      </c>
      <c r="H19945" t="n">
        <v>0</v>
      </c>
      <c r="I19945" t="n">
        <v>0</v>
      </c>
      <c r="J19945" t="n">
        <v>0</v>
      </c>
      <c r="K19945" t="n">
        <v>0</v>
      </c>
      <c r="L19945" t="n">
        <v>0</v>
      </c>
      <c r="M19945" t="n">
        <v>0</v>
      </c>
      <c r="N19945" t="n">
        <v>0</v>
      </c>
      <c r="O19945" t="n">
        <v>0</v>
      </c>
      <c r="P19945" t="n">
        <v>0</v>
      </c>
      <c r="Q19945" t="n">
        <v>0</v>
      </c>
      <c r="R19945" s="2" t="inlineStr"/>
    </row>
    <row r="19946" ht="15" customHeight="1">
      <c r="A19946" t="inlineStr">
        <is>
          <t>A 20634-2025</t>
        </is>
      </c>
      <c r="B19946" s="1" t="n">
        <v>45776</v>
      </c>
      <c r="C19946" s="1" t="n">
        <v>45810</v>
      </c>
      <c r="D19946" t="inlineStr">
        <is>
          <t>VÄRMLANDS LÄN</t>
        </is>
      </c>
      <c r="E19946" t="inlineStr">
        <is>
          <t>ARVIKA</t>
        </is>
      </c>
      <c r="G19946" t="n">
        <v>1</v>
      </c>
      <c r="H19946" t="n">
        <v>0</v>
      </c>
      <c r="I19946" t="n">
        <v>0</v>
      </c>
      <c r="J19946" t="n">
        <v>0</v>
      </c>
      <c r="K19946" t="n">
        <v>0</v>
      </c>
      <c r="L19946" t="n">
        <v>0</v>
      </c>
      <c r="M19946" t="n">
        <v>0</v>
      </c>
      <c r="N19946" t="n">
        <v>0</v>
      </c>
      <c r="O19946" t="n">
        <v>0</v>
      </c>
      <c r="P19946" t="n">
        <v>0</v>
      </c>
      <c r="Q19946" t="n">
        <v>0</v>
      </c>
      <c r="R19946" s="2" t="inlineStr"/>
    </row>
    <row r="19947" ht="15" customHeight="1">
      <c r="A19947" t="inlineStr">
        <is>
          <t>A 20622-2025</t>
        </is>
      </c>
      <c r="B19947" s="1" t="n">
        <v>45776</v>
      </c>
      <c r="C19947" s="1" t="n">
        <v>45810</v>
      </c>
      <c r="D19947" t="inlineStr">
        <is>
          <t>VÄRMLANDS LÄN</t>
        </is>
      </c>
      <c r="E19947" t="inlineStr">
        <is>
          <t>SUNNE</t>
        </is>
      </c>
      <c r="G19947" t="n">
        <v>0.9</v>
      </c>
      <c r="H19947" t="n">
        <v>0</v>
      </c>
      <c r="I19947" t="n">
        <v>0</v>
      </c>
      <c r="J19947" t="n">
        <v>0</v>
      </c>
      <c r="K19947" t="n">
        <v>0</v>
      </c>
      <c r="L19947" t="n">
        <v>0</v>
      </c>
      <c r="M19947" t="n">
        <v>0</v>
      </c>
      <c r="N19947" t="n">
        <v>0</v>
      </c>
      <c r="O19947" t="n">
        <v>0</v>
      </c>
      <c r="P19947" t="n">
        <v>0</v>
      </c>
      <c r="Q19947" t="n">
        <v>0</v>
      </c>
      <c r="R19947" s="2" t="inlineStr"/>
    </row>
    <row r="19948" ht="15" customHeight="1">
      <c r="A19948" t="inlineStr">
        <is>
          <t>A 20688-2025</t>
        </is>
      </c>
      <c r="B19948" s="1" t="n">
        <v>45776</v>
      </c>
      <c r="C19948" s="1" t="n">
        <v>45810</v>
      </c>
      <c r="D19948" t="inlineStr">
        <is>
          <t>VÄRMLANDS LÄN</t>
        </is>
      </c>
      <c r="E19948" t="inlineStr">
        <is>
          <t>HAGFORS</t>
        </is>
      </c>
      <c r="F19948" t="inlineStr">
        <is>
          <t>Bergvik skog väst AB</t>
        </is>
      </c>
      <c r="G19948" t="n">
        <v>1.9</v>
      </c>
      <c r="H19948" t="n">
        <v>0</v>
      </c>
      <c r="I19948" t="n">
        <v>0</v>
      </c>
      <c r="J19948" t="n">
        <v>0</v>
      </c>
      <c r="K19948" t="n">
        <v>0</v>
      </c>
      <c r="L19948" t="n">
        <v>0</v>
      </c>
      <c r="M19948" t="n">
        <v>0</v>
      </c>
      <c r="N19948" t="n">
        <v>0</v>
      </c>
      <c r="O19948" t="n">
        <v>0</v>
      </c>
      <c r="P19948" t="n">
        <v>0</v>
      </c>
      <c r="Q19948" t="n">
        <v>0</v>
      </c>
      <c r="R19948" s="2" t="inlineStr"/>
    </row>
    <row r="19949" ht="15" customHeight="1">
      <c r="A19949" t="inlineStr">
        <is>
          <t>A 20735-2025</t>
        </is>
      </c>
      <c r="B19949" s="1" t="n">
        <v>45776</v>
      </c>
      <c r="C19949" s="1" t="n">
        <v>45810</v>
      </c>
      <c r="D19949" t="inlineStr">
        <is>
          <t>VÄRMLANDS LÄN</t>
        </is>
      </c>
      <c r="E19949" t="inlineStr">
        <is>
          <t>ARVIKA</t>
        </is>
      </c>
      <c r="G19949" t="n">
        <v>3.6</v>
      </c>
      <c r="H19949" t="n">
        <v>0</v>
      </c>
      <c r="I19949" t="n">
        <v>0</v>
      </c>
      <c r="J19949" t="n">
        <v>0</v>
      </c>
      <c r="K19949" t="n">
        <v>0</v>
      </c>
      <c r="L19949" t="n">
        <v>0</v>
      </c>
      <c r="M19949" t="n">
        <v>0</v>
      </c>
      <c r="N19949" t="n">
        <v>0</v>
      </c>
      <c r="O19949" t="n">
        <v>0</v>
      </c>
      <c r="P19949" t="n">
        <v>0</v>
      </c>
      <c r="Q19949" t="n">
        <v>0</v>
      </c>
      <c r="R19949" s="2" t="inlineStr"/>
    </row>
    <row r="19950" ht="15" customHeight="1">
      <c r="A19950" t="inlineStr">
        <is>
          <t>A 20837-2025</t>
        </is>
      </c>
      <c r="B19950" s="1" t="n">
        <v>45776</v>
      </c>
      <c r="C19950" s="1" t="n">
        <v>45810</v>
      </c>
      <c r="D19950" t="inlineStr">
        <is>
          <t>VÄRMLANDS LÄN</t>
        </is>
      </c>
      <c r="E19950" t="inlineStr">
        <is>
          <t>KRISTINEHAMN</t>
        </is>
      </c>
      <c r="G19950" t="n">
        <v>0.7</v>
      </c>
      <c r="H19950" t="n">
        <v>0</v>
      </c>
      <c r="I19950" t="n">
        <v>0</v>
      </c>
      <c r="J19950" t="n">
        <v>0</v>
      </c>
      <c r="K19950" t="n">
        <v>0</v>
      </c>
      <c r="L19950" t="n">
        <v>0</v>
      </c>
      <c r="M19950" t="n">
        <v>0</v>
      </c>
      <c r="N19950" t="n">
        <v>0</v>
      </c>
      <c r="O19950" t="n">
        <v>0</v>
      </c>
      <c r="P19950" t="n">
        <v>0</v>
      </c>
      <c r="Q19950" t="n">
        <v>0</v>
      </c>
      <c r="R19950" s="2" t="inlineStr"/>
    </row>
    <row r="19951" ht="15" customHeight="1">
      <c r="A19951" t="inlineStr">
        <is>
          <t>A 20740-2025</t>
        </is>
      </c>
      <c r="B19951" s="1" t="n">
        <v>45776</v>
      </c>
      <c r="C19951" s="1" t="n">
        <v>45810</v>
      </c>
      <c r="D19951" t="inlineStr">
        <is>
          <t>VÄRMLANDS LÄN</t>
        </is>
      </c>
      <c r="E19951" t="inlineStr">
        <is>
          <t>TORSBY</t>
        </is>
      </c>
      <c r="F19951" t="inlineStr">
        <is>
          <t>Bergvik skog väst AB</t>
        </is>
      </c>
      <c r="G19951" t="n">
        <v>3.7</v>
      </c>
      <c r="H19951" t="n">
        <v>0</v>
      </c>
      <c r="I19951" t="n">
        <v>0</v>
      </c>
      <c r="J19951" t="n">
        <v>0</v>
      </c>
      <c r="K19951" t="n">
        <v>0</v>
      </c>
      <c r="L19951" t="n">
        <v>0</v>
      </c>
      <c r="M19951" t="n">
        <v>0</v>
      </c>
      <c r="N19951" t="n">
        <v>0</v>
      </c>
      <c r="O19951" t="n">
        <v>0</v>
      </c>
      <c r="P19951" t="n">
        <v>0</v>
      </c>
      <c r="Q19951" t="n">
        <v>0</v>
      </c>
      <c r="R19951" s="2" t="inlineStr"/>
    </row>
    <row r="19952" ht="15" customHeight="1">
      <c r="A19952" t="inlineStr">
        <is>
          <t>A 20624-2025</t>
        </is>
      </c>
      <c r="B19952" s="1" t="n">
        <v>45776</v>
      </c>
      <c r="C19952" s="1" t="n">
        <v>45810</v>
      </c>
      <c r="D19952" t="inlineStr">
        <is>
          <t>VÄRMLANDS LÄN</t>
        </is>
      </c>
      <c r="E19952" t="inlineStr">
        <is>
          <t>HAGFORS</t>
        </is>
      </c>
      <c r="G19952" t="n">
        <v>3.1</v>
      </c>
      <c r="H19952" t="n">
        <v>0</v>
      </c>
      <c r="I19952" t="n">
        <v>0</v>
      </c>
      <c r="J19952" t="n">
        <v>0</v>
      </c>
      <c r="K19952" t="n">
        <v>0</v>
      </c>
      <c r="L19952" t="n">
        <v>0</v>
      </c>
      <c r="M19952" t="n">
        <v>0</v>
      </c>
      <c r="N19952" t="n">
        <v>0</v>
      </c>
      <c r="O19952" t="n">
        <v>0</v>
      </c>
      <c r="P19952" t="n">
        <v>0</v>
      </c>
      <c r="Q19952" t="n">
        <v>0</v>
      </c>
      <c r="R19952" s="2" t="inlineStr"/>
    </row>
    <row r="19953" ht="15" customHeight="1">
      <c r="A19953" t="inlineStr">
        <is>
          <t>A 20843-2025</t>
        </is>
      </c>
      <c r="B19953" s="1" t="n">
        <v>45777</v>
      </c>
      <c r="C19953" s="1" t="n">
        <v>45810</v>
      </c>
      <c r="D19953" t="inlineStr">
        <is>
          <t>VÄRMLANDS LÄN</t>
        </is>
      </c>
      <c r="E19953" t="inlineStr">
        <is>
          <t>TORSBY</t>
        </is>
      </c>
      <c r="G19953" t="n">
        <v>2.9</v>
      </c>
      <c r="H19953" t="n">
        <v>0</v>
      </c>
      <c r="I19953" t="n">
        <v>0</v>
      </c>
      <c r="J19953" t="n">
        <v>0</v>
      </c>
      <c r="K19953" t="n">
        <v>0</v>
      </c>
      <c r="L19953" t="n">
        <v>0</v>
      </c>
      <c r="M19953" t="n">
        <v>0</v>
      </c>
      <c r="N19953" t="n">
        <v>0</v>
      </c>
      <c r="O19953" t="n">
        <v>0</v>
      </c>
      <c r="P19953" t="n">
        <v>0</v>
      </c>
      <c r="Q19953" t="n">
        <v>0</v>
      </c>
      <c r="R19953" s="2" t="inlineStr"/>
    </row>
    <row r="19954" ht="15" customHeight="1">
      <c r="A19954" t="inlineStr">
        <is>
          <t>A 20747-2025</t>
        </is>
      </c>
      <c r="B19954" s="1" t="n">
        <v>45776</v>
      </c>
      <c r="C19954" s="1" t="n">
        <v>45810</v>
      </c>
      <c r="D19954" t="inlineStr">
        <is>
          <t>VÄRMLANDS LÄN</t>
        </is>
      </c>
      <c r="E19954" t="inlineStr">
        <is>
          <t>ÅRJÄNG</t>
        </is>
      </c>
      <c r="G19954" t="n">
        <v>12.2</v>
      </c>
      <c r="H19954" t="n">
        <v>0</v>
      </c>
      <c r="I19954" t="n">
        <v>0</v>
      </c>
      <c r="J19954" t="n">
        <v>0</v>
      </c>
      <c r="K19954" t="n">
        <v>0</v>
      </c>
      <c r="L19954" t="n">
        <v>0</v>
      </c>
      <c r="M19954" t="n">
        <v>0</v>
      </c>
      <c r="N19954" t="n">
        <v>0</v>
      </c>
      <c r="O19954" t="n">
        <v>0</v>
      </c>
      <c r="P19954" t="n">
        <v>0</v>
      </c>
      <c r="Q19954" t="n">
        <v>0</v>
      </c>
      <c r="R19954" s="2" t="inlineStr"/>
    </row>
    <row r="19955" ht="15" customHeight="1">
      <c r="A19955" t="inlineStr">
        <is>
          <t>A 20774-2025</t>
        </is>
      </c>
      <c r="B19955" s="1" t="n">
        <v>45776</v>
      </c>
      <c r="C19955" s="1" t="n">
        <v>45810</v>
      </c>
      <c r="D19955" t="inlineStr">
        <is>
          <t>VÄRMLANDS LÄN</t>
        </is>
      </c>
      <c r="E19955" t="inlineStr">
        <is>
          <t>SUNNE</t>
        </is>
      </c>
      <c r="G19955" t="n">
        <v>0.8</v>
      </c>
      <c r="H19955" t="n">
        <v>0</v>
      </c>
      <c r="I19955" t="n">
        <v>0</v>
      </c>
      <c r="J19955" t="n">
        <v>0</v>
      </c>
      <c r="K19955" t="n">
        <v>0</v>
      </c>
      <c r="L19955" t="n">
        <v>0</v>
      </c>
      <c r="M19955" t="n">
        <v>0</v>
      </c>
      <c r="N19955" t="n">
        <v>0</v>
      </c>
      <c r="O19955" t="n">
        <v>0</v>
      </c>
      <c r="P19955" t="n">
        <v>0</v>
      </c>
      <c r="Q19955" t="n">
        <v>0</v>
      </c>
      <c r="R19955" s="2" t="inlineStr"/>
    </row>
    <row r="19956" ht="15" customHeight="1">
      <c r="A19956" t="inlineStr">
        <is>
          <t>A 20746-2025</t>
        </is>
      </c>
      <c r="B19956" s="1" t="n">
        <v>45776</v>
      </c>
      <c r="C19956" s="1" t="n">
        <v>45810</v>
      </c>
      <c r="D19956" t="inlineStr">
        <is>
          <t>VÄRMLANDS LÄN</t>
        </is>
      </c>
      <c r="E19956" t="inlineStr">
        <is>
          <t>HAGFORS</t>
        </is>
      </c>
      <c r="F19956" t="inlineStr">
        <is>
          <t>Bergvik skog väst AB</t>
        </is>
      </c>
      <c r="G19956" t="n">
        <v>10.4</v>
      </c>
      <c r="H19956" t="n">
        <v>0</v>
      </c>
      <c r="I19956" t="n">
        <v>0</v>
      </c>
      <c r="J19956" t="n">
        <v>0</v>
      </c>
      <c r="K19956" t="n">
        <v>0</v>
      </c>
      <c r="L19956" t="n">
        <v>0</v>
      </c>
      <c r="M19956" t="n">
        <v>0</v>
      </c>
      <c r="N19956" t="n">
        <v>0</v>
      </c>
      <c r="O19956" t="n">
        <v>0</v>
      </c>
      <c r="P19956" t="n">
        <v>0</v>
      </c>
      <c r="Q19956" t="n">
        <v>0</v>
      </c>
      <c r="R19956" s="2" t="inlineStr"/>
    </row>
    <row r="19957" ht="15" customHeight="1">
      <c r="A19957" t="inlineStr">
        <is>
          <t>A 20811-2025</t>
        </is>
      </c>
      <c r="B19957" s="1" t="n">
        <v>45776</v>
      </c>
      <c r="C19957" s="1" t="n">
        <v>45810</v>
      </c>
      <c r="D19957" t="inlineStr">
        <is>
          <t>VÄRMLANDS LÄN</t>
        </is>
      </c>
      <c r="E19957" t="inlineStr">
        <is>
          <t>FILIPSTAD</t>
        </is>
      </c>
      <c r="G19957" t="n">
        <v>1</v>
      </c>
      <c r="H19957" t="n">
        <v>0</v>
      </c>
      <c r="I19957" t="n">
        <v>0</v>
      </c>
      <c r="J19957" t="n">
        <v>0</v>
      </c>
      <c r="K19957" t="n">
        <v>0</v>
      </c>
      <c r="L19957" t="n">
        <v>0</v>
      </c>
      <c r="M19957" t="n">
        <v>0</v>
      </c>
      <c r="N19957" t="n">
        <v>0</v>
      </c>
      <c r="O19957" t="n">
        <v>0</v>
      </c>
      <c r="P19957" t="n">
        <v>0</v>
      </c>
      <c r="Q19957" t="n">
        <v>0</v>
      </c>
      <c r="R19957" s="2" t="inlineStr"/>
    </row>
    <row r="19958" ht="15" customHeight="1">
      <c r="A19958" t="inlineStr">
        <is>
          <t>A 20914-2025</t>
        </is>
      </c>
      <c r="B19958" s="1" t="n">
        <v>45777</v>
      </c>
      <c r="C19958" s="1" t="n">
        <v>45810</v>
      </c>
      <c r="D19958" t="inlineStr">
        <is>
          <t>VÄRMLANDS LÄN</t>
        </is>
      </c>
      <c r="E19958" t="inlineStr">
        <is>
          <t>TORSBY</t>
        </is>
      </c>
      <c r="F19958" t="inlineStr">
        <is>
          <t>Bergvik skog väst AB</t>
        </is>
      </c>
      <c r="G19958" t="n">
        <v>2.8</v>
      </c>
      <c r="H19958" t="n">
        <v>0</v>
      </c>
      <c r="I19958" t="n">
        <v>0</v>
      </c>
      <c r="J19958" t="n">
        <v>0</v>
      </c>
      <c r="K19958" t="n">
        <v>0</v>
      </c>
      <c r="L19958" t="n">
        <v>0</v>
      </c>
      <c r="M19958" t="n">
        <v>0</v>
      </c>
      <c r="N19958" t="n">
        <v>0</v>
      </c>
      <c r="O19958" t="n">
        <v>0</v>
      </c>
      <c r="P19958" t="n">
        <v>0</v>
      </c>
      <c r="Q19958" t="n">
        <v>0</v>
      </c>
      <c r="R19958" s="2" t="inlineStr"/>
    </row>
    <row r="19959" ht="15" customHeight="1">
      <c r="A19959" t="inlineStr">
        <is>
          <t>A 20845-2025</t>
        </is>
      </c>
      <c r="B19959" s="1" t="n">
        <v>45777</v>
      </c>
      <c r="C19959" s="1" t="n">
        <v>45810</v>
      </c>
      <c r="D19959" t="inlineStr">
        <is>
          <t>VÄRMLANDS LÄN</t>
        </is>
      </c>
      <c r="E19959" t="inlineStr">
        <is>
          <t>KARLSTAD</t>
        </is>
      </c>
      <c r="G19959" t="n">
        <v>0.9</v>
      </c>
      <c r="H19959" t="n">
        <v>0</v>
      </c>
      <c r="I19959" t="n">
        <v>0</v>
      </c>
      <c r="J19959" t="n">
        <v>0</v>
      </c>
      <c r="K19959" t="n">
        <v>0</v>
      </c>
      <c r="L19959" t="n">
        <v>0</v>
      </c>
      <c r="M19959" t="n">
        <v>0</v>
      </c>
      <c r="N19959" t="n">
        <v>0</v>
      </c>
      <c r="O19959" t="n">
        <v>0</v>
      </c>
      <c r="P19959" t="n">
        <v>0</v>
      </c>
      <c r="Q19959" t="n">
        <v>0</v>
      </c>
      <c r="R19959" s="2" t="inlineStr"/>
    </row>
    <row r="19960" ht="15" customHeight="1">
      <c r="A19960" t="inlineStr">
        <is>
          <t>A 20862-2025</t>
        </is>
      </c>
      <c r="B19960" s="1" t="n">
        <v>45777</v>
      </c>
      <c r="C19960" s="1" t="n">
        <v>45810</v>
      </c>
      <c r="D19960" t="inlineStr">
        <is>
          <t>VÄRMLANDS LÄN</t>
        </is>
      </c>
      <c r="E19960" t="inlineStr">
        <is>
          <t>HAGFORS</t>
        </is>
      </c>
      <c r="F19960" t="inlineStr">
        <is>
          <t>Bergvik skog väst AB</t>
        </is>
      </c>
      <c r="G19960" t="n">
        <v>2.2</v>
      </c>
      <c r="H19960" t="n">
        <v>0</v>
      </c>
      <c r="I19960" t="n">
        <v>0</v>
      </c>
      <c r="J19960" t="n">
        <v>0</v>
      </c>
      <c r="K19960" t="n">
        <v>0</v>
      </c>
      <c r="L19960" t="n">
        <v>0</v>
      </c>
      <c r="M19960" t="n">
        <v>0</v>
      </c>
      <c r="N19960" t="n">
        <v>0</v>
      </c>
      <c r="O19960" t="n">
        <v>0</v>
      </c>
      <c r="P19960" t="n">
        <v>0</v>
      </c>
      <c r="Q19960" t="n">
        <v>0</v>
      </c>
      <c r="R19960" s="2" t="inlineStr"/>
    </row>
    <row r="19961" ht="15" customHeight="1">
      <c r="A19961" t="inlineStr">
        <is>
          <t>A 20848-2025</t>
        </is>
      </c>
      <c r="B19961" s="1" t="n">
        <v>45777</v>
      </c>
      <c r="C19961" s="1" t="n">
        <v>45810</v>
      </c>
      <c r="D19961" t="inlineStr">
        <is>
          <t>VÄRMLANDS LÄN</t>
        </is>
      </c>
      <c r="E19961" t="inlineStr">
        <is>
          <t>TORSBY</t>
        </is>
      </c>
      <c r="F19961" t="inlineStr">
        <is>
          <t>Bergvik skog väst AB</t>
        </is>
      </c>
      <c r="G19961" t="n">
        <v>1.6</v>
      </c>
      <c r="H19961" t="n">
        <v>0</v>
      </c>
      <c r="I19961" t="n">
        <v>0</v>
      </c>
      <c r="J19961" t="n">
        <v>0</v>
      </c>
      <c r="K19961" t="n">
        <v>0</v>
      </c>
      <c r="L19961" t="n">
        <v>0</v>
      </c>
      <c r="M19961" t="n">
        <v>0</v>
      </c>
      <c r="N19961" t="n">
        <v>0</v>
      </c>
      <c r="O19961" t="n">
        <v>0</v>
      </c>
      <c r="P19961" t="n">
        <v>0</v>
      </c>
      <c r="Q19961" t="n">
        <v>0</v>
      </c>
      <c r="R19961" s="2" t="inlineStr"/>
    </row>
    <row r="19962" ht="15" customHeight="1">
      <c r="A19962" t="inlineStr">
        <is>
          <t>A 20957-2025</t>
        </is>
      </c>
      <c r="B19962" s="1" t="n">
        <v>45777</v>
      </c>
      <c r="C19962" s="1" t="n">
        <v>45810</v>
      </c>
      <c r="D19962" t="inlineStr">
        <is>
          <t>VÄRMLANDS LÄN</t>
        </is>
      </c>
      <c r="E19962" t="inlineStr">
        <is>
          <t>ÅRJÄNG</t>
        </is>
      </c>
      <c r="G19962" t="n">
        <v>6.2</v>
      </c>
      <c r="H19962" t="n">
        <v>0</v>
      </c>
      <c r="I19962" t="n">
        <v>0</v>
      </c>
      <c r="J19962" t="n">
        <v>0</v>
      </c>
      <c r="K19962" t="n">
        <v>0</v>
      </c>
      <c r="L19962" t="n">
        <v>0</v>
      </c>
      <c r="M19962" t="n">
        <v>0</v>
      </c>
      <c r="N19962" t="n">
        <v>0</v>
      </c>
      <c r="O19962" t="n">
        <v>0</v>
      </c>
      <c r="P19962" t="n">
        <v>0</v>
      </c>
      <c r="Q19962" t="n">
        <v>0</v>
      </c>
      <c r="R19962" s="2" t="inlineStr"/>
    </row>
    <row r="19963" ht="15" customHeight="1">
      <c r="A19963" t="inlineStr">
        <is>
          <t>A 21059-2025</t>
        </is>
      </c>
      <c r="B19963" s="1" t="n">
        <v>45777</v>
      </c>
      <c r="C19963" s="1" t="n">
        <v>45810</v>
      </c>
      <c r="D19963" t="inlineStr">
        <is>
          <t>VÄRMLANDS LÄN</t>
        </is>
      </c>
      <c r="E19963" t="inlineStr">
        <is>
          <t>KRISTINEHAMN</t>
        </is>
      </c>
      <c r="G19963" t="n">
        <v>1.2</v>
      </c>
      <c r="H19963" t="n">
        <v>0</v>
      </c>
      <c r="I19963" t="n">
        <v>0</v>
      </c>
      <c r="J19963" t="n">
        <v>0</v>
      </c>
      <c r="K19963" t="n">
        <v>0</v>
      </c>
      <c r="L19963" t="n">
        <v>0</v>
      </c>
      <c r="M19963" t="n">
        <v>0</v>
      </c>
      <c r="N19963" t="n">
        <v>0</v>
      </c>
      <c r="O19963" t="n">
        <v>0</v>
      </c>
      <c r="P19963" t="n">
        <v>0</v>
      </c>
      <c r="Q19963" t="n">
        <v>0</v>
      </c>
      <c r="R19963" s="2" t="inlineStr"/>
    </row>
    <row r="19964" ht="15" customHeight="1">
      <c r="A19964" t="inlineStr">
        <is>
          <t>A 20975-2025</t>
        </is>
      </c>
      <c r="B19964" s="1" t="n">
        <v>45777</v>
      </c>
      <c r="C19964" s="1" t="n">
        <v>45810</v>
      </c>
      <c r="D19964" t="inlineStr">
        <is>
          <t>VÄRMLANDS LÄN</t>
        </is>
      </c>
      <c r="E19964" t="inlineStr">
        <is>
          <t>ÅRJÄNG</t>
        </is>
      </c>
      <c r="G19964" t="n">
        <v>1.3</v>
      </c>
      <c r="H19964" t="n">
        <v>0</v>
      </c>
      <c r="I19964" t="n">
        <v>0</v>
      </c>
      <c r="J19964" t="n">
        <v>0</v>
      </c>
      <c r="K19964" t="n">
        <v>0</v>
      </c>
      <c r="L19964" t="n">
        <v>0</v>
      </c>
      <c r="M19964" t="n">
        <v>0</v>
      </c>
      <c r="N19964" t="n">
        <v>0</v>
      </c>
      <c r="O19964" t="n">
        <v>0</v>
      </c>
      <c r="P19964" t="n">
        <v>0</v>
      </c>
      <c r="Q19964" t="n">
        <v>0</v>
      </c>
      <c r="R19964" s="2" t="inlineStr"/>
    </row>
    <row r="19965" ht="15" customHeight="1">
      <c r="A19965" t="inlineStr">
        <is>
          <t>A 21065-2025</t>
        </is>
      </c>
      <c r="B19965" s="1" t="n">
        <v>45777</v>
      </c>
      <c r="C19965" s="1" t="n">
        <v>45810</v>
      </c>
      <c r="D19965" t="inlineStr">
        <is>
          <t>VÄRMLANDS LÄN</t>
        </is>
      </c>
      <c r="E19965" t="inlineStr">
        <is>
          <t>KRISTINEHAMN</t>
        </is>
      </c>
      <c r="G19965" t="n">
        <v>5.6</v>
      </c>
      <c r="H19965" t="n">
        <v>0</v>
      </c>
      <c r="I19965" t="n">
        <v>0</v>
      </c>
      <c r="J19965" t="n">
        <v>0</v>
      </c>
      <c r="K19965" t="n">
        <v>0</v>
      </c>
      <c r="L19965" t="n">
        <v>0</v>
      </c>
      <c r="M19965" t="n">
        <v>0</v>
      </c>
      <c r="N19965" t="n">
        <v>0</v>
      </c>
      <c r="O19965" t="n">
        <v>0</v>
      </c>
      <c r="P19965" t="n">
        <v>0</v>
      </c>
      <c r="Q19965" t="n">
        <v>0</v>
      </c>
      <c r="R19965" s="2" t="inlineStr"/>
    </row>
    <row r="19966" ht="15" customHeight="1">
      <c r="A19966" t="inlineStr">
        <is>
          <t>A 21066-2025</t>
        </is>
      </c>
      <c r="B19966" s="1" t="n">
        <v>45777</v>
      </c>
      <c r="C19966" s="1" t="n">
        <v>45810</v>
      </c>
      <c r="D19966" t="inlineStr">
        <is>
          <t>VÄRMLANDS LÄN</t>
        </is>
      </c>
      <c r="E19966" t="inlineStr">
        <is>
          <t>EDA</t>
        </is>
      </c>
      <c r="G19966" t="n">
        <v>0.9</v>
      </c>
      <c r="H19966" t="n">
        <v>0</v>
      </c>
      <c r="I19966" t="n">
        <v>0</v>
      </c>
      <c r="J19966" t="n">
        <v>0</v>
      </c>
      <c r="K19966" t="n">
        <v>0</v>
      </c>
      <c r="L19966" t="n">
        <v>0</v>
      </c>
      <c r="M19966" t="n">
        <v>0</v>
      </c>
      <c r="N19966" t="n">
        <v>0</v>
      </c>
      <c r="O19966" t="n">
        <v>0</v>
      </c>
      <c r="P19966" t="n">
        <v>0</v>
      </c>
      <c r="Q19966" t="n">
        <v>0</v>
      </c>
      <c r="R19966" s="2" t="inlineStr"/>
    </row>
    <row r="19967" ht="15" customHeight="1">
      <c r="A19967" t="inlineStr">
        <is>
          <t>A 21067-2025</t>
        </is>
      </c>
      <c r="B19967" s="1" t="n">
        <v>45777</v>
      </c>
      <c r="C19967" s="1" t="n">
        <v>45810</v>
      </c>
      <c r="D19967" t="inlineStr">
        <is>
          <t>VÄRMLANDS LÄN</t>
        </is>
      </c>
      <c r="E19967" t="inlineStr">
        <is>
          <t>HAGFORS</t>
        </is>
      </c>
      <c r="G19967" t="n">
        <v>2.2</v>
      </c>
      <c r="H19967" t="n">
        <v>0</v>
      </c>
      <c r="I19967" t="n">
        <v>0</v>
      </c>
      <c r="J19967" t="n">
        <v>0</v>
      </c>
      <c r="K19967" t="n">
        <v>0</v>
      </c>
      <c r="L19967" t="n">
        <v>0</v>
      </c>
      <c r="M19967" t="n">
        <v>0</v>
      </c>
      <c r="N19967" t="n">
        <v>0</v>
      </c>
      <c r="O19967" t="n">
        <v>0</v>
      </c>
      <c r="P19967" t="n">
        <v>0</v>
      </c>
      <c r="Q19967" t="n">
        <v>0</v>
      </c>
      <c r="R19967" s="2" t="inlineStr"/>
    </row>
    <row r="19968" ht="15" customHeight="1">
      <c r="A19968" t="inlineStr">
        <is>
          <t>A 20878-2025</t>
        </is>
      </c>
      <c r="B19968" s="1" t="n">
        <v>45777</v>
      </c>
      <c r="C19968" s="1" t="n">
        <v>45810</v>
      </c>
      <c r="D19968" t="inlineStr">
        <is>
          <t>VÄRMLANDS LÄN</t>
        </is>
      </c>
      <c r="E19968" t="inlineStr">
        <is>
          <t>FILIPSTAD</t>
        </is>
      </c>
      <c r="F19968" t="inlineStr">
        <is>
          <t>Bergvik skog väst AB</t>
        </is>
      </c>
      <c r="G19968" t="n">
        <v>7.8</v>
      </c>
      <c r="H19968" t="n">
        <v>0</v>
      </c>
      <c r="I19968" t="n">
        <v>0</v>
      </c>
      <c r="J19968" t="n">
        <v>0</v>
      </c>
      <c r="K19968" t="n">
        <v>0</v>
      </c>
      <c r="L19968" t="n">
        <v>0</v>
      </c>
      <c r="M19968" t="n">
        <v>0</v>
      </c>
      <c r="N19968" t="n">
        <v>0</v>
      </c>
      <c r="O19968" t="n">
        <v>0</v>
      </c>
      <c r="P19968" t="n">
        <v>0</v>
      </c>
      <c r="Q19968" t="n">
        <v>0</v>
      </c>
      <c r="R19968" s="2" t="inlineStr"/>
    </row>
    <row r="19969" ht="15" customHeight="1">
      <c r="A19969" t="inlineStr">
        <is>
          <t>A 20917-2025</t>
        </is>
      </c>
      <c r="B19969" s="1" t="n">
        <v>45777</v>
      </c>
      <c r="C19969" s="1" t="n">
        <v>45810</v>
      </c>
      <c r="D19969" t="inlineStr">
        <is>
          <t>VÄRMLANDS LÄN</t>
        </is>
      </c>
      <c r="E19969" t="inlineStr">
        <is>
          <t>TORSBY</t>
        </is>
      </c>
      <c r="F19969" t="inlineStr">
        <is>
          <t>Bergvik skog väst AB</t>
        </is>
      </c>
      <c r="G19969" t="n">
        <v>1.1</v>
      </c>
      <c r="H19969" t="n">
        <v>0</v>
      </c>
      <c r="I19969" t="n">
        <v>0</v>
      </c>
      <c r="J19969" t="n">
        <v>0</v>
      </c>
      <c r="K19969" t="n">
        <v>0</v>
      </c>
      <c r="L19969" t="n">
        <v>0</v>
      </c>
      <c r="M19969" t="n">
        <v>0</v>
      </c>
      <c r="N19969" t="n">
        <v>0</v>
      </c>
      <c r="O19969" t="n">
        <v>0</v>
      </c>
      <c r="P19969" t="n">
        <v>0</v>
      </c>
      <c r="Q19969" t="n">
        <v>0</v>
      </c>
      <c r="R19969" s="2" t="inlineStr"/>
    </row>
    <row r="19970" ht="15" customHeight="1">
      <c r="A19970" t="inlineStr">
        <is>
          <t>A 21140-2025</t>
        </is>
      </c>
      <c r="B19970" s="1" t="n">
        <v>45778</v>
      </c>
      <c r="C19970" s="1" t="n">
        <v>45810</v>
      </c>
      <c r="D19970" t="inlineStr">
        <is>
          <t>VÄRMLANDS LÄN</t>
        </is>
      </c>
      <c r="E19970" t="inlineStr">
        <is>
          <t>EDA</t>
        </is>
      </c>
      <c r="G19970" t="n">
        <v>1.4</v>
      </c>
      <c r="H19970" t="n">
        <v>0</v>
      </c>
      <c r="I19970" t="n">
        <v>0</v>
      </c>
      <c r="J19970" t="n">
        <v>0</v>
      </c>
      <c r="K19970" t="n">
        <v>0</v>
      </c>
      <c r="L19970" t="n">
        <v>0</v>
      </c>
      <c r="M19970" t="n">
        <v>0</v>
      </c>
      <c r="N19970" t="n">
        <v>0</v>
      </c>
      <c r="O19970" t="n">
        <v>0</v>
      </c>
      <c r="P19970" t="n">
        <v>0</v>
      </c>
      <c r="Q19970" t="n">
        <v>0</v>
      </c>
      <c r="R19970" s="2" t="inlineStr"/>
    </row>
    <row r="19971" ht="15" customHeight="1">
      <c r="A19971" t="inlineStr">
        <is>
          <t>A 21138-2025</t>
        </is>
      </c>
      <c r="B19971" s="1" t="n">
        <v>45778</v>
      </c>
      <c r="C19971" s="1" t="n">
        <v>45810</v>
      </c>
      <c r="D19971" t="inlineStr">
        <is>
          <t>VÄRMLANDS LÄN</t>
        </is>
      </c>
      <c r="E19971" t="inlineStr">
        <is>
          <t>EDA</t>
        </is>
      </c>
      <c r="G19971" t="n">
        <v>0.9</v>
      </c>
      <c r="H19971" t="n">
        <v>0</v>
      </c>
      <c r="I19971" t="n">
        <v>0</v>
      </c>
      <c r="J19971" t="n">
        <v>0</v>
      </c>
      <c r="K19971" t="n">
        <v>0</v>
      </c>
      <c r="L19971" t="n">
        <v>0</v>
      </c>
      <c r="M19971" t="n">
        <v>0</v>
      </c>
      <c r="N19971" t="n">
        <v>0</v>
      </c>
      <c r="O19971" t="n">
        <v>0</v>
      </c>
      <c r="P19971" t="n">
        <v>0</v>
      </c>
      <c r="Q19971" t="n">
        <v>0</v>
      </c>
      <c r="R19971" s="2" t="inlineStr"/>
    </row>
    <row r="19972" ht="15" customHeight="1">
      <c r="A19972" t="inlineStr">
        <is>
          <t>A 21139-2025</t>
        </is>
      </c>
      <c r="B19972" s="1" t="n">
        <v>45778</v>
      </c>
      <c r="C19972" s="1" t="n">
        <v>45810</v>
      </c>
      <c r="D19972" t="inlineStr">
        <is>
          <t>VÄRMLANDS LÄN</t>
        </is>
      </c>
      <c r="E19972" t="inlineStr">
        <is>
          <t>EDA</t>
        </is>
      </c>
      <c r="G19972" t="n">
        <v>0.8</v>
      </c>
      <c r="H19972" t="n">
        <v>0</v>
      </c>
      <c r="I19972" t="n">
        <v>0</v>
      </c>
      <c r="J19972" t="n">
        <v>0</v>
      </c>
      <c r="K19972" t="n">
        <v>0</v>
      </c>
      <c r="L19972" t="n">
        <v>0</v>
      </c>
      <c r="M19972" t="n">
        <v>0</v>
      </c>
      <c r="N19972" t="n">
        <v>0</v>
      </c>
      <c r="O19972" t="n">
        <v>0</v>
      </c>
      <c r="P19972" t="n">
        <v>0</v>
      </c>
      <c r="Q19972" t="n">
        <v>0</v>
      </c>
      <c r="R19972" s="2" t="inlineStr"/>
    </row>
    <row r="19973" ht="15" customHeight="1">
      <c r="A19973" t="inlineStr">
        <is>
          <t>A 21255-2025</t>
        </is>
      </c>
      <c r="B19973" s="1" t="n">
        <v>45779</v>
      </c>
      <c r="C19973" s="1" t="n">
        <v>45810</v>
      </c>
      <c r="D19973" t="inlineStr">
        <is>
          <t>VÄRMLANDS LÄN</t>
        </is>
      </c>
      <c r="E19973" t="inlineStr">
        <is>
          <t>KRISTINEHAMN</t>
        </is>
      </c>
      <c r="F19973" t="inlineStr">
        <is>
          <t>Sveaskog</t>
        </is>
      </c>
      <c r="G19973" t="n">
        <v>2.4</v>
      </c>
      <c r="H19973" t="n">
        <v>0</v>
      </c>
      <c r="I19973" t="n">
        <v>0</v>
      </c>
      <c r="J19973" t="n">
        <v>0</v>
      </c>
      <c r="K19973" t="n">
        <v>0</v>
      </c>
      <c r="L19973" t="n">
        <v>0</v>
      </c>
      <c r="M19973" t="n">
        <v>0</v>
      </c>
      <c r="N19973" t="n">
        <v>0</v>
      </c>
      <c r="O19973" t="n">
        <v>0</v>
      </c>
      <c r="P19973" t="n">
        <v>0</v>
      </c>
      <c r="Q19973" t="n">
        <v>0</v>
      </c>
      <c r="R19973" s="2" t="inlineStr"/>
    </row>
    <row r="19974" ht="15" customHeight="1">
      <c r="A19974" t="inlineStr">
        <is>
          <t>A 21258-2025</t>
        </is>
      </c>
      <c r="B19974" s="1" t="n">
        <v>45779</v>
      </c>
      <c r="C19974" s="1" t="n">
        <v>45810</v>
      </c>
      <c r="D19974" t="inlineStr">
        <is>
          <t>VÄRMLANDS LÄN</t>
        </is>
      </c>
      <c r="E19974" t="inlineStr">
        <is>
          <t>ÅRJÄNG</t>
        </is>
      </c>
      <c r="G19974" t="n">
        <v>2.9</v>
      </c>
      <c r="H19974" t="n">
        <v>0</v>
      </c>
      <c r="I19974" t="n">
        <v>0</v>
      </c>
      <c r="J19974" t="n">
        <v>0</v>
      </c>
      <c r="K19974" t="n">
        <v>0</v>
      </c>
      <c r="L19974" t="n">
        <v>0</v>
      </c>
      <c r="M19974" t="n">
        <v>0</v>
      </c>
      <c r="N19974" t="n">
        <v>0</v>
      </c>
      <c r="O19974" t="n">
        <v>0</v>
      </c>
      <c r="P19974" t="n">
        <v>0</v>
      </c>
      <c r="Q19974" t="n">
        <v>0</v>
      </c>
      <c r="R19974" s="2" t="inlineStr"/>
    </row>
    <row r="19975" ht="15" customHeight="1">
      <c r="A19975" t="inlineStr">
        <is>
          <t>A 21273-2025</t>
        </is>
      </c>
      <c r="B19975" s="1" t="n">
        <v>45779</v>
      </c>
      <c r="C19975" s="1" t="n">
        <v>45810</v>
      </c>
      <c r="D19975" t="inlineStr">
        <is>
          <t>VÄRMLANDS LÄN</t>
        </is>
      </c>
      <c r="E19975" t="inlineStr">
        <is>
          <t>SÄFFLE</t>
        </is>
      </c>
      <c r="G19975" t="n">
        <v>1</v>
      </c>
      <c r="H19975" t="n">
        <v>0</v>
      </c>
      <c r="I19975" t="n">
        <v>0</v>
      </c>
      <c r="J19975" t="n">
        <v>0</v>
      </c>
      <c r="K19975" t="n">
        <v>0</v>
      </c>
      <c r="L19975" t="n">
        <v>0</v>
      </c>
      <c r="M19975" t="n">
        <v>0</v>
      </c>
      <c r="N19975" t="n">
        <v>0</v>
      </c>
      <c r="O19975" t="n">
        <v>0</v>
      </c>
      <c r="P19975" t="n">
        <v>0</v>
      </c>
      <c r="Q19975" t="n">
        <v>0</v>
      </c>
      <c r="R19975" s="2" t="inlineStr"/>
    </row>
    <row r="19976" ht="15" customHeight="1">
      <c r="A19976" t="inlineStr">
        <is>
          <t>A 21256-2025</t>
        </is>
      </c>
      <c r="B19976" s="1" t="n">
        <v>45779</v>
      </c>
      <c r="C19976" s="1" t="n">
        <v>45810</v>
      </c>
      <c r="D19976" t="inlineStr">
        <is>
          <t>VÄRMLANDS LÄN</t>
        </is>
      </c>
      <c r="E19976" t="inlineStr">
        <is>
          <t>KRISTINEHAMN</t>
        </is>
      </c>
      <c r="F19976" t="inlineStr">
        <is>
          <t>Sveaskog</t>
        </is>
      </c>
      <c r="G19976" t="n">
        <v>5</v>
      </c>
      <c r="H19976" t="n">
        <v>0</v>
      </c>
      <c r="I19976" t="n">
        <v>0</v>
      </c>
      <c r="J19976" t="n">
        <v>0</v>
      </c>
      <c r="K19976" t="n">
        <v>0</v>
      </c>
      <c r="L19976" t="n">
        <v>0</v>
      </c>
      <c r="M19976" t="n">
        <v>0</v>
      </c>
      <c r="N19976" t="n">
        <v>0</v>
      </c>
      <c r="O19976" t="n">
        <v>0</v>
      </c>
      <c r="P19976" t="n">
        <v>0</v>
      </c>
      <c r="Q19976" t="n">
        <v>0</v>
      </c>
      <c r="R19976" s="2" t="inlineStr"/>
    </row>
    <row r="19977" ht="15" customHeight="1">
      <c r="A19977" t="inlineStr">
        <is>
          <t>A 21274-2025</t>
        </is>
      </c>
      <c r="B19977" s="1" t="n">
        <v>45779</v>
      </c>
      <c r="C19977" s="1" t="n">
        <v>45810</v>
      </c>
      <c r="D19977" t="inlineStr">
        <is>
          <t>VÄRMLANDS LÄN</t>
        </is>
      </c>
      <c r="E19977" t="inlineStr">
        <is>
          <t>TORSBY</t>
        </is>
      </c>
      <c r="F19977" t="inlineStr">
        <is>
          <t>Bergvik skog väst AB</t>
        </is>
      </c>
      <c r="G19977" t="n">
        <v>12</v>
      </c>
      <c r="H19977" t="n">
        <v>0</v>
      </c>
      <c r="I19977" t="n">
        <v>0</v>
      </c>
      <c r="J19977" t="n">
        <v>0</v>
      </c>
      <c r="K19977" t="n">
        <v>0</v>
      </c>
      <c r="L19977" t="n">
        <v>0</v>
      </c>
      <c r="M19977" t="n">
        <v>0</v>
      </c>
      <c r="N19977" t="n">
        <v>0</v>
      </c>
      <c r="O19977" t="n">
        <v>0</v>
      </c>
      <c r="P19977" t="n">
        <v>0</v>
      </c>
      <c r="Q19977" t="n">
        <v>0</v>
      </c>
      <c r="R19977" s="2" t="inlineStr"/>
    </row>
    <row r="19978" ht="15" customHeight="1">
      <c r="A19978" t="inlineStr">
        <is>
          <t>A 21312-2025</t>
        </is>
      </c>
      <c r="B19978" s="1" t="n">
        <v>45782</v>
      </c>
      <c r="C19978" s="1" t="n">
        <v>45810</v>
      </c>
      <c r="D19978" t="inlineStr">
        <is>
          <t>VÄRMLANDS LÄN</t>
        </is>
      </c>
      <c r="E19978" t="inlineStr">
        <is>
          <t>SUNNE</t>
        </is>
      </c>
      <c r="G19978" t="n">
        <v>4.9</v>
      </c>
      <c r="H19978" t="n">
        <v>0</v>
      </c>
      <c r="I19978" t="n">
        <v>0</v>
      </c>
      <c r="J19978" t="n">
        <v>0</v>
      </c>
      <c r="K19978" t="n">
        <v>0</v>
      </c>
      <c r="L19978" t="n">
        <v>0</v>
      </c>
      <c r="M19978" t="n">
        <v>0</v>
      </c>
      <c r="N19978" t="n">
        <v>0</v>
      </c>
      <c r="O19978" t="n">
        <v>0</v>
      </c>
      <c r="P19978" t="n">
        <v>0</v>
      </c>
      <c r="Q19978" t="n">
        <v>0</v>
      </c>
      <c r="R19978" s="2" t="inlineStr"/>
    </row>
    <row r="19979" ht="15" customHeight="1">
      <c r="A19979" t="inlineStr">
        <is>
          <t>A 21324-2025</t>
        </is>
      </c>
      <c r="B19979" s="1" t="n">
        <v>45782</v>
      </c>
      <c r="C19979" s="1" t="n">
        <v>45810</v>
      </c>
      <c r="D19979" t="inlineStr">
        <is>
          <t>VÄRMLANDS LÄN</t>
        </is>
      </c>
      <c r="E19979" t="inlineStr">
        <is>
          <t>TORSBY</t>
        </is>
      </c>
      <c r="F19979" t="inlineStr">
        <is>
          <t>Bergvik skog väst AB</t>
        </is>
      </c>
      <c r="G19979" t="n">
        <v>2.1</v>
      </c>
      <c r="H19979" t="n">
        <v>0</v>
      </c>
      <c r="I19979" t="n">
        <v>0</v>
      </c>
      <c r="J19979" t="n">
        <v>0</v>
      </c>
      <c r="K19979" t="n">
        <v>0</v>
      </c>
      <c r="L19979" t="n">
        <v>0</v>
      </c>
      <c r="M19979" t="n">
        <v>0</v>
      </c>
      <c r="N19979" t="n">
        <v>0</v>
      </c>
      <c r="O19979" t="n">
        <v>0</v>
      </c>
      <c r="P19979" t="n">
        <v>0</v>
      </c>
      <c r="Q19979" t="n">
        <v>0</v>
      </c>
      <c r="R19979" s="2" t="inlineStr"/>
    </row>
    <row r="19980" ht="15" customHeight="1">
      <c r="A19980" t="inlineStr">
        <is>
          <t>A 21400-2025</t>
        </is>
      </c>
      <c r="B19980" s="1" t="n">
        <v>45782</v>
      </c>
      <c r="C19980" s="1" t="n">
        <v>45810</v>
      </c>
      <c r="D19980" t="inlineStr">
        <is>
          <t>VÄRMLANDS LÄN</t>
        </is>
      </c>
      <c r="E19980" t="inlineStr">
        <is>
          <t>SUNNE</t>
        </is>
      </c>
      <c r="G19980" t="n">
        <v>12.2</v>
      </c>
      <c r="H19980" t="n">
        <v>0</v>
      </c>
      <c r="I19980" t="n">
        <v>0</v>
      </c>
      <c r="J19980" t="n">
        <v>0</v>
      </c>
      <c r="K19980" t="n">
        <v>0</v>
      </c>
      <c r="L19980" t="n">
        <v>0</v>
      </c>
      <c r="M19980" t="n">
        <v>0</v>
      </c>
      <c r="N19980" t="n">
        <v>0</v>
      </c>
      <c r="O19980" t="n">
        <v>0</v>
      </c>
      <c r="P19980" t="n">
        <v>0</v>
      </c>
      <c r="Q19980" t="n">
        <v>0</v>
      </c>
      <c r="R19980" s="2" t="inlineStr"/>
    </row>
    <row r="19981" ht="15" customHeight="1">
      <c r="A19981" t="inlineStr">
        <is>
          <t>A 21529-2025</t>
        </is>
      </c>
      <c r="B19981" s="1" t="n">
        <v>45782</v>
      </c>
      <c r="C19981" s="1" t="n">
        <v>45810</v>
      </c>
      <c r="D19981" t="inlineStr">
        <is>
          <t>VÄRMLANDS LÄN</t>
        </is>
      </c>
      <c r="E19981" t="inlineStr">
        <is>
          <t>TORSBY</t>
        </is>
      </c>
      <c r="G19981" t="n">
        <v>1.3</v>
      </c>
      <c r="H19981" t="n">
        <v>0</v>
      </c>
      <c r="I19981" t="n">
        <v>0</v>
      </c>
      <c r="J19981" t="n">
        <v>0</v>
      </c>
      <c r="K19981" t="n">
        <v>0</v>
      </c>
      <c r="L19981" t="n">
        <v>0</v>
      </c>
      <c r="M19981" t="n">
        <v>0</v>
      </c>
      <c r="N19981" t="n">
        <v>0</v>
      </c>
      <c r="O19981" t="n">
        <v>0</v>
      </c>
      <c r="P19981" t="n">
        <v>0</v>
      </c>
      <c r="Q19981" t="n">
        <v>0</v>
      </c>
      <c r="R19981" s="2" t="inlineStr"/>
    </row>
    <row r="19982" ht="15" customHeight="1">
      <c r="A19982" t="inlineStr">
        <is>
          <t>A 21576-2025</t>
        </is>
      </c>
      <c r="B19982" s="1" t="n">
        <v>45782</v>
      </c>
      <c r="C19982" s="1" t="n">
        <v>45810</v>
      </c>
      <c r="D19982" t="inlineStr">
        <is>
          <t>VÄRMLANDS LÄN</t>
        </is>
      </c>
      <c r="E19982" t="inlineStr">
        <is>
          <t>TORSBY</t>
        </is>
      </c>
      <c r="G19982" t="n">
        <v>3.5</v>
      </c>
      <c r="H19982" t="n">
        <v>0</v>
      </c>
      <c r="I19982" t="n">
        <v>0</v>
      </c>
      <c r="J19982" t="n">
        <v>0</v>
      </c>
      <c r="K19982" t="n">
        <v>0</v>
      </c>
      <c r="L19982" t="n">
        <v>0</v>
      </c>
      <c r="M19982" t="n">
        <v>0</v>
      </c>
      <c r="N19982" t="n">
        <v>0</v>
      </c>
      <c r="O19982" t="n">
        <v>0</v>
      </c>
      <c r="P19982" t="n">
        <v>0</v>
      </c>
      <c r="Q19982" t="n">
        <v>0</v>
      </c>
      <c r="R19982" s="2" t="inlineStr"/>
    </row>
    <row r="19983" ht="15" customHeight="1">
      <c r="A19983" t="inlineStr">
        <is>
          <t>A 21402-2025</t>
        </is>
      </c>
      <c r="B19983" s="1" t="n">
        <v>45782</v>
      </c>
      <c r="C19983" s="1" t="n">
        <v>45810</v>
      </c>
      <c r="D19983" t="inlineStr">
        <is>
          <t>VÄRMLANDS LÄN</t>
        </is>
      </c>
      <c r="E19983" t="inlineStr">
        <is>
          <t>SUNNE</t>
        </is>
      </c>
      <c r="G19983" t="n">
        <v>2.3</v>
      </c>
      <c r="H19983" t="n">
        <v>0</v>
      </c>
      <c r="I19983" t="n">
        <v>0</v>
      </c>
      <c r="J19983" t="n">
        <v>0</v>
      </c>
      <c r="K19983" t="n">
        <v>0</v>
      </c>
      <c r="L19983" t="n">
        <v>0</v>
      </c>
      <c r="M19983" t="n">
        <v>0</v>
      </c>
      <c r="N19983" t="n">
        <v>0</v>
      </c>
      <c r="O19983" t="n">
        <v>0</v>
      </c>
      <c r="P19983" t="n">
        <v>0</v>
      </c>
      <c r="Q19983" t="n">
        <v>0</v>
      </c>
      <c r="R19983" s="2" t="inlineStr"/>
    </row>
    <row r="19984" ht="15" customHeight="1">
      <c r="A19984" t="inlineStr">
        <is>
          <t>A 21443-2025</t>
        </is>
      </c>
      <c r="B19984" s="1" t="n">
        <v>45782</v>
      </c>
      <c r="C19984" s="1" t="n">
        <v>45810</v>
      </c>
      <c r="D19984" t="inlineStr">
        <is>
          <t>VÄRMLANDS LÄN</t>
        </is>
      </c>
      <c r="E19984" t="inlineStr">
        <is>
          <t>KARLSTAD</t>
        </is>
      </c>
      <c r="G19984" t="n">
        <v>1.7</v>
      </c>
      <c r="H19984" t="n">
        <v>0</v>
      </c>
      <c r="I19984" t="n">
        <v>0</v>
      </c>
      <c r="J19984" t="n">
        <v>0</v>
      </c>
      <c r="K19984" t="n">
        <v>0</v>
      </c>
      <c r="L19984" t="n">
        <v>0</v>
      </c>
      <c r="M19984" t="n">
        <v>0</v>
      </c>
      <c r="N19984" t="n">
        <v>0</v>
      </c>
      <c r="O19984" t="n">
        <v>0</v>
      </c>
      <c r="P19984" t="n">
        <v>0</v>
      </c>
      <c r="Q19984" t="n">
        <v>0</v>
      </c>
      <c r="R19984" s="2" t="inlineStr"/>
    </row>
    <row r="19985" ht="15" customHeight="1">
      <c r="A19985" t="inlineStr">
        <is>
          <t>A 21384-2025</t>
        </is>
      </c>
      <c r="B19985" s="1" t="n">
        <v>45782</v>
      </c>
      <c r="C19985" s="1" t="n">
        <v>45810</v>
      </c>
      <c r="D19985" t="inlineStr">
        <is>
          <t>VÄRMLANDS LÄN</t>
        </is>
      </c>
      <c r="E19985" t="inlineStr">
        <is>
          <t>KRISTINEHAMN</t>
        </is>
      </c>
      <c r="G19985" t="n">
        <v>1.7</v>
      </c>
      <c r="H19985" t="n">
        <v>0</v>
      </c>
      <c r="I19985" t="n">
        <v>0</v>
      </c>
      <c r="J19985" t="n">
        <v>0</v>
      </c>
      <c r="K19985" t="n">
        <v>0</v>
      </c>
      <c r="L19985" t="n">
        <v>0</v>
      </c>
      <c r="M19985" t="n">
        <v>0</v>
      </c>
      <c r="N19985" t="n">
        <v>0</v>
      </c>
      <c r="O19985" t="n">
        <v>0</v>
      </c>
      <c r="P19985" t="n">
        <v>0</v>
      </c>
      <c r="Q19985" t="n">
        <v>0</v>
      </c>
      <c r="R19985" s="2" t="inlineStr"/>
    </row>
    <row r="19986" ht="15" customHeight="1">
      <c r="A19986" t="inlineStr">
        <is>
          <t>A 21462-2025</t>
        </is>
      </c>
      <c r="B19986" s="1" t="n">
        <v>45782</v>
      </c>
      <c r="C19986" s="1" t="n">
        <v>45810</v>
      </c>
      <c r="D19986" t="inlineStr">
        <is>
          <t>VÄRMLANDS LÄN</t>
        </is>
      </c>
      <c r="E19986" t="inlineStr">
        <is>
          <t>TORSBY</t>
        </is>
      </c>
      <c r="G19986" t="n">
        <v>0.7</v>
      </c>
      <c r="H19986" t="n">
        <v>0</v>
      </c>
      <c r="I19986" t="n">
        <v>0</v>
      </c>
      <c r="J19986" t="n">
        <v>0</v>
      </c>
      <c r="K19986" t="n">
        <v>0</v>
      </c>
      <c r="L19986" t="n">
        <v>0</v>
      </c>
      <c r="M19986" t="n">
        <v>0</v>
      </c>
      <c r="N19986" t="n">
        <v>0</v>
      </c>
      <c r="O19986" t="n">
        <v>0</v>
      </c>
      <c r="P19986" t="n">
        <v>0</v>
      </c>
      <c r="Q19986" t="n">
        <v>0</v>
      </c>
      <c r="R19986" s="2" t="inlineStr"/>
    </row>
    <row r="19987" ht="15" customHeight="1">
      <c r="A19987" t="inlineStr">
        <is>
          <t>A 21463-2025</t>
        </is>
      </c>
      <c r="B19987" s="1" t="n">
        <v>45782</v>
      </c>
      <c r="C19987" s="1" t="n">
        <v>45810</v>
      </c>
      <c r="D19987" t="inlineStr">
        <is>
          <t>VÄRMLANDS LÄN</t>
        </is>
      </c>
      <c r="E19987" t="inlineStr">
        <is>
          <t>SUNNE</t>
        </is>
      </c>
      <c r="G19987" t="n">
        <v>2.5</v>
      </c>
      <c r="H19987" t="n">
        <v>0</v>
      </c>
      <c r="I19987" t="n">
        <v>0</v>
      </c>
      <c r="J19987" t="n">
        <v>0</v>
      </c>
      <c r="K19987" t="n">
        <v>0</v>
      </c>
      <c r="L19987" t="n">
        <v>0</v>
      </c>
      <c r="M19987" t="n">
        <v>0</v>
      </c>
      <c r="N19987" t="n">
        <v>0</v>
      </c>
      <c r="O19987" t="n">
        <v>0</v>
      </c>
      <c r="P19987" t="n">
        <v>0</v>
      </c>
      <c r="Q19987" t="n">
        <v>0</v>
      </c>
      <c r="R19987" s="2" t="inlineStr"/>
    </row>
    <row r="19988" ht="15" customHeight="1">
      <c r="A19988" t="inlineStr">
        <is>
          <t>A 21414-2025</t>
        </is>
      </c>
      <c r="B19988" s="1" t="n">
        <v>45782</v>
      </c>
      <c r="C19988" s="1" t="n">
        <v>45810</v>
      </c>
      <c r="D19988" t="inlineStr">
        <is>
          <t>VÄRMLANDS LÄN</t>
        </is>
      </c>
      <c r="E19988" t="inlineStr">
        <is>
          <t>SUNNE</t>
        </is>
      </c>
      <c r="G19988" t="n">
        <v>2.5</v>
      </c>
      <c r="H19988" t="n">
        <v>0</v>
      </c>
      <c r="I19988" t="n">
        <v>0</v>
      </c>
      <c r="J19988" t="n">
        <v>0</v>
      </c>
      <c r="K19988" t="n">
        <v>0</v>
      </c>
      <c r="L19988" t="n">
        <v>0</v>
      </c>
      <c r="M19988" t="n">
        <v>0</v>
      </c>
      <c r="N19988" t="n">
        <v>0</v>
      </c>
      <c r="O19988" t="n">
        <v>0</v>
      </c>
      <c r="P19988" t="n">
        <v>0</v>
      </c>
      <c r="Q19988" t="n">
        <v>0</v>
      </c>
      <c r="R19988" s="2" t="inlineStr"/>
    </row>
    <row r="19989" ht="15" customHeight="1">
      <c r="A19989" t="inlineStr">
        <is>
          <t>A 21495-2025</t>
        </is>
      </c>
      <c r="B19989" s="1" t="n">
        <v>45782</v>
      </c>
      <c r="C19989" s="1" t="n">
        <v>45810</v>
      </c>
      <c r="D19989" t="inlineStr">
        <is>
          <t>VÄRMLANDS LÄN</t>
        </is>
      </c>
      <c r="E19989" t="inlineStr">
        <is>
          <t>SUNNE</t>
        </is>
      </c>
      <c r="G19989" t="n">
        <v>1</v>
      </c>
      <c r="H19989" t="n">
        <v>0</v>
      </c>
      <c r="I19989" t="n">
        <v>0</v>
      </c>
      <c r="J19989" t="n">
        <v>0</v>
      </c>
      <c r="K19989" t="n">
        <v>0</v>
      </c>
      <c r="L19989" t="n">
        <v>0</v>
      </c>
      <c r="M19989" t="n">
        <v>0</v>
      </c>
      <c r="N19989" t="n">
        <v>0</v>
      </c>
      <c r="O19989" t="n">
        <v>0</v>
      </c>
      <c r="P19989" t="n">
        <v>0</v>
      </c>
      <c r="Q19989" t="n">
        <v>0</v>
      </c>
      <c r="R19989" s="2" t="inlineStr"/>
    </row>
    <row r="19990" ht="15" customHeight="1">
      <c r="A19990" t="inlineStr">
        <is>
          <t>A 21531-2025</t>
        </is>
      </c>
      <c r="B19990" s="1" t="n">
        <v>45782</v>
      </c>
      <c r="C19990" s="1" t="n">
        <v>45810</v>
      </c>
      <c r="D19990" t="inlineStr">
        <is>
          <t>VÄRMLANDS LÄN</t>
        </is>
      </c>
      <c r="E19990" t="inlineStr">
        <is>
          <t>KARLSTAD</t>
        </is>
      </c>
      <c r="G19990" t="n">
        <v>2.8</v>
      </c>
      <c r="H19990" t="n">
        <v>0</v>
      </c>
      <c r="I19990" t="n">
        <v>0</v>
      </c>
      <c r="J19990" t="n">
        <v>0</v>
      </c>
      <c r="K19990" t="n">
        <v>0</v>
      </c>
      <c r="L19990" t="n">
        <v>0</v>
      </c>
      <c r="M19990" t="n">
        <v>0</v>
      </c>
      <c r="N19990" t="n">
        <v>0</v>
      </c>
      <c r="O19990" t="n">
        <v>0</v>
      </c>
      <c r="P19990" t="n">
        <v>0</v>
      </c>
      <c r="Q19990" t="n">
        <v>0</v>
      </c>
      <c r="R19990" s="2" t="inlineStr"/>
    </row>
    <row r="19991" ht="15" customHeight="1">
      <c r="A19991" t="inlineStr">
        <is>
          <t>A 21580-2025</t>
        </is>
      </c>
      <c r="B19991" s="1" t="n">
        <v>45783</v>
      </c>
      <c r="C19991" s="1" t="n">
        <v>45810</v>
      </c>
      <c r="D19991" t="inlineStr">
        <is>
          <t>VÄRMLANDS LÄN</t>
        </is>
      </c>
      <c r="E19991" t="inlineStr">
        <is>
          <t>ARVIKA</t>
        </is>
      </c>
      <c r="G19991" t="n">
        <v>1.1</v>
      </c>
      <c r="H19991" t="n">
        <v>0</v>
      </c>
      <c r="I19991" t="n">
        <v>0</v>
      </c>
      <c r="J19991" t="n">
        <v>0</v>
      </c>
      <c r="K19991" t="n">
        <v>0</v>
      </c>
      <c r="L19991" t="n">
        <v>0</v>
      </c>
      <c r="M19991" t="n">
        <v>0</v>
      </c>
      <c r="N19991" t="n">
        <v>0</v>
      </c>
      <c r="O19991" t="n">
        <v>0</v>
      </c>
      <c r="P19991" t="n">
        <v>0</v>
      </c>
      <c r="Q19991" t="n">
        <v>0</v>
      </c>
      <c r="R19991" s="2" t="inlineStr"/>
    </row>
    <row r="19992" ht="15" customHeight="1">
      <c r="A19992" t="inlineStr">
        <is>
          <t>A 21442-2025</t>
        </is>
      </c>
      <c r="B19992" s="1" t="n">
        <v>45782</v>
      </c>
      <c r="C19992" s="1" t="n">
        <v>45810</v>
      </c>
      <c r="D19992" t="inlineStr">
        <is>
          <t>VÄRMLANDS LÄN</t>
        </is>
      </c>
      <c r="E19992" t="inlineStr">
        <is>
          <t>KARLSTAD</t>
        </is>
      </c>
      <c r="G19992" t="n">
        <v>6</v>
      </c>
      <c r="H19992" t="n">
        <v>0</v>
      </c>
      <c r="I19992" t="n">
        <v>0</v>
      </c>
      <c r="J19992" t="n">
        <v>0</v>
      </c>
      <c r="K19992" t="n">
        <v>0</v>
      </c>
      <c r="L19992" t="n">
        <v>0</v>
      </c>
      <c r="M19992" t="n">
        <v>0</v>
      </c>
      <c r="N19992" t="n">
        <v>0</v>
      </c>
      <c r="O19992" t="n">
        <v>0</v>
      </c>
      <c r="P19992" t="n">
        <v>0</v>
      </c>
      <c r="Q19992" t="n">
        <v>0</v>
      </c>
      <c r="R19992" s="2" t="inlineStr"/>
    </row>
    <row r="19993" ht="15" customHeight="1">
      <c r="A19993" t="inlineStr">
        <is>
          <t>A 21476-2025</t>
        </is>
      </c>
      <c r="B19993" s="1" t="n">
        <v>45782</v>
      </c>
      <c r="C19993" s="1" t="n">
        <v>45810</v>
      </c>
      <c r="D19993" t="inlineStr">
        <is>
          <t>VÄRMLANDS LÄN</t>
        </is>
      </c>
      <c r="E19993" t="inlineStr">
        <is>
          <t>SÄFFLE</t>
        </is>
      </c>
      <c r="G19993" t="n">
        <v>0.8</v>
      </c>
      <c r="H19993" t="n">
        <v>0</v>
      </c>
      <c r="I19993" t="n">
        <v>0</v>
      </c>
      <c r="J19993" t="n">
        <v>0</v>
      </c>
      <c r="K19993" t="n">
        <v>0</v>
      </c>
      <c r="L19993" t="n">
        <v>0</v>
      </c>
      <c r="M19993" t="n">
        <v>0</v>
      </c>
      <c r="N19993" t="n">
        <v>0</v>
      </c>
      <c r="O19993" t="n">
        <v>0</v>
      </c>
      <c r="P19993" t="n">
        <v>0</v>
      </c>
      <c r="Q19993" t="n">
        <v>0</v>
      </c>
      <c r="R19993" s="2" t="inlineStr"/>
    </row>
    <row r="19994" ht="15" customHeight="1">
      <c r="A19994" t="inlineStr">
        <is>
          <t>A 21497-2025</t>
        </is>
      </c>
      <c r="B19994" s="1" t="n">
        <v>45782</v>
      </c>
      <c r="C19994" s="1" t="n">
        <v>45810</v>
      </c>
      <c r="D19994" t="inlineStr">
        <is>
          <t>VÄRMLANDS LÄN</t>
        </is>
      </c>
      <c r="E19994" t="inlineStr">
        <is>
          <t>SÄFFLE</t>
        </is>
      </c>
      <c r="G19994" t="n">
        <v>0.9</v>
      </c>
      <c r="H19994" t="n">
        <v>0</v>
      </c>
      <c r="I19994" t="n">
        <v>0</v>
      </c>
      <c r="J19994" t="n">
        <v>0</v>
      </c>
      <c r="K19994" t="n">
        <v>0</v>
      </c>
      <c r="L19994" t="n">
        <v>0</v>
      </c>
      <c r="M19994" t="n">
        <v>0</v>
      </c>
      <c r="N19994" t="n">
        <v>0</v>
      </c>
      <c r="O19994" t="n">
        <v>0</v>
      </c>
      <c r="P19994" t="n">
        <v>0</v>
      </c>
      <c r="Q19994" t="n">
        <v>0</v>
      </c>
      <c r="R19994" s="2" t="inlineStr"/>
    </row>
    <row r="19995" ht="15" customHeight="1">
      <c r="A19995" t="inlineStr">
        <is>
          <t>A 21502-2025</t>
        </is>
      </c>
      <c r="B19995" s="1" t="n">
        <v>45782</v>
      </c>
      <c r="C19995" s="1" t="n">
        <v>45810</v>
      </c>
      <c r="D19995" t="inlineStr">
        <is>
          <t>VÄRMLANDS LÄN</t>
        </is>
      </c>
      <c r="E19995" t="inlineStr">
        <is>
          <t>SUNNE</t>
        </is>
      </c>
      <c r="G19995" t="n">
        <v>2.4</v>
      </c>
      <c r="H19995" t="n">
        <v>0</v>
      </c>
      <c r="I19995" t="n">
        <v>0</v>
      </c>
      <c r="J19995" t="n">
        <v>0</v>
      </c>
      <c r="K19995" t="n">
        <v>0</v>
      </c>
      <c r="L19995" t="n">
        <v>0</v>
      </c>
      <c r="M19995" t="n">
        <v>0</v>
      </c>
      <c r="N19995" t="n">
        <v>0</v>
      </c>
      <c r="O19995" t="n">
        <v>0</v>
      </c>
      <c r="P19995" t="n">
        <v>0</v>
      </c>
      <c r="Q19995" t="n">
        <v>0</v>
      </c>
      <c r="R19995" s="2" t="inlineStr"/>
    </row>
    <row r="19996" ht="15" customHeight="1">
      <c r="A19996" t="inlineStr">
        <is>
          <t>A 21329-2025</t>
        </is>
      </c>
      <c r="B19996" s="1" t="n">
        <v>45782</v>
      </c>
      <c r="C19996" s="1" t="n">
        <v>45810</v>
      </c>
      <c r="D19996" t="inlineStr">
        <is>
          <t>VÄRMLANDS LÄN</t>
        </is>
      </c>
      <c r="E19996" t="inlineStr">
        <is>
          <t>ARVIKA</t>
        </is>
      </c>
      <c r="G19996" t="n">
        <v>0.7</v>
      </c>
      <c r="H19996" t="n">
        <v>0</v>
      </c>
      <c r="I19996" t="n">
        <v>0</v>
      </c>
      <c r="J19996" t="n">
        <v>0</v>
      </c>
      <c r="K19996" t="n">
        <v>0</v>
      </c>
      <c r="L19996" t="n">
        <v>0</v>
      </c>
      <c r="M19996" t="n">
        <v>0</v>
      </c>
      <c r="N19996" t="n">
        <v>0</v>
      </c>
      <c r="O19996" t="n">
        <v>0</v>
      </c>
      <c r="P19996" t="n">
        <v>0</v>
      </c>
      <c r="Q19996" t="n">
        <v>0</v>
      </c>
      <c r="R19996" s="2" t="inlineStr"/>
    </row>
    <row r="19997" ht="15" customHeight="1">
      <c r="A19997" t="inlineStr">
        <is>
          <t>A 21693-2025</t>
        </is>
      </c>
      <c r="B19997" s="1" t="n">
        <v>45783</v>
      </c>
      <c r="C19997" s="1" t="n">
        <v>45810</v>
      </c>
      <c r="D19997" t="inlineStr">
        <is>
          <t>VÄRMLANDS LÄN</t>
        </is>
      </c>
      <c r="E19997" t="inlineStr">
        <is>
          <t>ARVIKA</t>
        </is>
      </c>
      <c r="G19997" t="n">
        <v>2.3</v>
      </c>
      <c r="H19997" t="n">
        <v>0</v>
      </c>
      <c r="I19997" t="n">
        <v>0</v>
      </c>
      <c r="J19997" t="n">
        <v>0</v>
      </c>
      <c r="K19997" t="n">
        <v>0</v>
      </c>
      <c r="L19997" t="n">
        <v>0</v>
      </c>
      <c r="M19997" t="n">
        <v>0</v>
      </c>
      <c r="N19997" t="n">
        <v>0</v>
      </c>
      <c r="O19997" t="n">
        <v>0</v>
      </c>
      <c r="P19997" t="n">
        <v>0</v>
      </c>
      <c r="Q19997" t="n">
        <v>0</v>
      </c>
      <c r="R19997" s="2" t="inlineStr"/>
    </row>
    <row r="19998" ht="15" customHeight="1">
      <c r="A19998" t="inlineStr">
        <is>
          <t>A 21723-2025</t>
        </is>
      </c>
      <c r="B19998" s="1" t="n">
        <v>45783</v>
      </c>
      <c r="C19998" s="1" t="n">
        <v>45810</v>
      </c>
      <c r="D19998" t="inlineStr">
        <is>
          <t>VÄRMLANDS LÄN</t>
        </is>
      </c>
      <c r="E19998" t="inlineStr">
        <is>
          <t>HAGFORS</t>
        </is>
      </c>
      <c r="G19998" t="n">
        <v>0.9</v>
      </c>
      <c r="H19998" t="n">
        <v>0</v>
      </c>
      <c r="I19998" t="n">
        <v>0</v>
      </c>
      <c r="J19998" t="n">
        <v>0</v>
      </c>
      <c r="K19998" t="n">
        <v>0</v>
      </c>
      <c r="L19998" t="n">
        <v>0</v>
      </c>
      <c r="M19998" t="n">
        <v>0</v>
      </c>
      <c r="N19998" t="n">
        <v>0</v>
      </c>
      <c r="O19998" t="n">
        <v>0</v>
      </c>
      <c r="P19998" t="n">
        <v>0</v>
      </c>
      <c r="Q19998" t="n">
        <v>0</v>
      </c>
      <c r="R19998" s="2" t="inlineStr"/>
    </row>
    <row r="19999" ht="15" customHeight="1">
      <c r="A19999" t="inlineStr">
        <is>
          <t>A 21753-2025</t>
        </is>
      </c>
      <c r="B19999" s="1" t="n">
        <v>45783</v>
      </c>
      <c r="C19999" s="1" t="n">
        <v>45810</v>
      </c>
      <c r="D19999" t="inlineStr">
        <is>
          <t>VÄRMLANDS LÄN</t>
        </is>
      </c>
      <c r="E19999" t="inlineStr">
        <is>
          <t>MUNKFORS</t>
        </is>
      </c>
      <c r="G19999" t="n">
        <v>2.7</v>
      </c>
      <c r="H19999" t="n">
        <v>0</v>
      </c>
      <c r="I19999" t="n">
        <v>0</v>
      </c>
      <c r="J19999" t="n">
        <v>0</v>
      </c>
      <c r="K19999" t="n">
        <v>0</v>
      </c>
      <c r="L19999" t="n">
        <v>0</v>
      </c>
      <c r="M19999" t="n">
        <v>0</v>
      </c>
      <c r="N19999" t="n">
        <v>0</v>
      </c>
      <c r="O19999" t="n">
        <v>0</v>
      </c>
      <c r="P19999" t="n">
        <v>0</v>
      </c>
      <c r="Q19999" t="n">
        <v>0</v>
      </c>
      <c r="R19999" s="2" t="inlineStr"/>
    </row>
    <row r="20000" ht="15" customHeight="1">
      <c r="A20000" t="inlineStr">
        <is>
          <t>A 21729-2025</t>
        </is>
      </c>
      <c r="B20000" s="1" t="n">
        <v>45783</v>
      </c>
      <c r="C20000" s="1" t="n">
        <v>45810</v>
      </c>
      <c r="D20000" t="inlineStr">
        <is>
          <t>VÄRMLANDS LÄN</t>
        </is>
      </c>
      <c r="E20000" t="inlineStr">
        <is>
          <t>HAGFORS</t>
        </is>
      </c>
      <c r="G20000" t="n">
        <v>4.1</v>
      </c>
      <c r="H20000" t="n">
        <v>0</v>
      </c>
      <c r="I20000" t="n">
        <v>0</v>
      </c>
      <c r="J20000" t="n">
        <v>0</v>
      </c>
      <c r="K20000" t="n">
        <v>0</v>
      </c>
      <c r="L20000" t="n">
        <v>0</v>
      </c>
      <c r="M20000" t="n">
        <v>0</v>
      </c>
      <c r="N20000" t="n">
        <v>0</v>
      </c>
      <c r="O20000" t="n">
        <v>0</v>
      </c>
      <c r="P20000" t="n">
        <v>0</v>
      </c>
      <c r="Q20000" t="n">
        <v>0</v>
      </c>
      <c r="R20000" s="2" t="inlineStr"/>
    </row>
    <row r="20001" ht="15" customHeight="1">
      <c r="A20001" t="inlineStr">
        <is>
          <t>A 21810-2025</t>
        </is>
      </c>
      <c r="B20001" s="1" t="n">
        <v>45783</v>
      </c>
      <c r="C20001" s="1" t="n">
        <v>45810</v>
      </c>
      <c r="D20001" t="inlineStr">
        <is>
          <t>VÄRMLANDS LÄN</t>
        </is>
      </c>
      <c r="E20001" t="inlineStr">
        <is>
          <t>SUNNE</t>
        </is>
      </c>
      <c r="G20001" t="n">
        <v>2.3</v>
      </c>
      <c r="H20001" t="n">
        <v>0</v>
      </c>
      <c r="I20001" t="n">
        <v>0</v>
      </c>
      <c r="J20001" t="n">
        <v>0</v>
      </c>
      <c r="K20001" t="n">
        <v>0</v>
      </c>
      <c r="L20001" t="n">
        <v>0</v>
      </c>
      <c r="M20001" t="n">
        <v>0</v>
      </c>
      <c r="N20001" t="n">
        <v>0</v>
      </c>
      <c r="O20001" t="n">
        <v>0</v>
      </c>
      <c r="P20001" t="n">
        <v>0</v>
      </c>
      <c r="Q20001" t="n">
        <v>0</v>
      </c>
      <c r="R20001" s="2" t="inlineStr"/>
    </row>
    <row r="20002" ht="15" customHeight="1">
      <c r="A20002" t="inlineStr">
        <is>
          <t>A 21609-2025</t>
        </is>
      </c>
      <c r="B20002" s="1" t="n">
        <v>45783</v>
      </c>
      <c r="C20002" s="1" t="n">
        <v>45810</v>
      </c>
      <c r="D20002" t="inlineStr">
        <is>
          <t>VÄRMLANDS LÄN</t>
        </is>
      </c>
      <c r="E20002" t="inlineStr">
        <is>
          <t>MUNKFORS</t>
        </is>
      </c>
      <c r="G20002" t="n">
        <v>12.9</v>
      </c>
      <c r="H20002" t="n">
        <v>0</v>
      </c>
      <c r="I20002" t="n">
        <v>0</v>
      </c>
      <c r="J20002" t="n">
        <v>0</v>
      </c>
      <c r="K20002" t="n">
        <v>0</v>
      </c>
      <c r="L20002" t="n">
        <v>0</v>
      </c>
      <c r="M20002" t="n">
        <v>0</v>
      </c>
      <c r="N20002" t="n">
        <v>0</v>
      </c>
      <c r="O20002" t="n">
        <v>0</v>
      </c>
      <c r="P20002" t="n">
        <v>0</v>
      </c>
      <c r="Q20002" t="n">
        <v>0</v>
      </c>
      <c r="R20002" s="2" t="inlineStr"/>
    </row>
    <row r="20003" ht="15" customHeight="1">
      <c r="A20003" t="inlineStr">
        <is>
          <t>A 21724-2025</t>
        </is>
      </c>
      <c r="B20003" s="1" t="n">
        <v>45783</v>
      </c>
      <c r="C20003" s="1" t="n">
        <v>45810</v>
      </c>
      <c r="D20003" t="inlineStr">
        <is>
          <t>VÄRMLANDS LÄN</t>
        </is>
      </c>
      <c r="E20003" t="inlineStr">
        <is>
          <t>HAGFORS</t>
        </is>
      </c>
      <c r="G20003" t="n">
        <v>2.1</v>
      </c>
      <c r="H20003" t="n">
        <v>0</v>
      </c>
      <c r="I20003" t="n">
        <v>0</v>
      </c>
      <c r="J20003" t="n">
        <v>0</v>
      </c>
      <c r="K20003" t="n">
        <v>0</v>
      </c>
      <c r="L20003" t="n">
        <v>0</v>
      </c>
      <c r="M20003" t="n">
        <v>0</v>
      </c>
      <c r="N20003" t="n">
        <v>0</v>
      </c>
      <c r="O20003" t="n">
        <v>0</v>
      </c>
      <c r="P20003" t="n">
        <v>0</v>
      </c>
      <c r="Q20003" t="n">
        <v>0</v>
      </c>
      <c r="R20003" s="2" t="inlineStr"/>
    </row>
    <row r="20004" ht="15" customHeight="1">
      <c r="A20004" t="inlineStr">
        <is>
          <t>A 21614-2025</t>
        </is>
      </c>
      <c r="B20004" s="1" t="n">
        <v>45783</v>
      </c>
      <c r="C20004" s="1" t="n">
        <v>45810</v>
      </c>
      <c r="D20004" t="inlineStr">
        <is>
          <t>VÄRMLANDS LÄN</t>
        </is>
      </c>
      <c r="E20004" t="inlineStr">
        <is>
          <t>MUNKFORS</t>
        </is>
      </c>
      <c r="G20004" t="n">
        <v>3</v>
      </c>
      <c r="H20004" t="n">
        <v>0</v>
      </c>
      <c r="I20004" t="n">
        <v>0</v>
      </c>
      <c r="J20004" t="n">
        <v>0</v>
      </c>
      <c r="K20004" t="n">
        <v>0</v>
      </c>
      <c r="L20004" t="n">
        <v>0</v>
      </c>
      <c r="M20004" t="n">
        <v>0</v>
      </c>
      <c r="N20004" t="n">
        <v>0</v>
      </c>
      <c r="O20004" t="n">
        <v>0</v>
      </c>
      <c r="P20004" t="n">
        <v>0</v>
      </c>
      <c r="Q20004" t="n">
        <v>0</v>
      </c>
      <c r="R20004" s="2" t="inlineStr"/>
    </row>
    <row r="20005" ht="15" customHeight="1">
      <c r="A20005" t="inlineStr">
        <is>
          <t>A 21808-2025</t>
        </is>
      </c>
      <c r="B20005" s="1" t="n">
        <v>45783</v>
      </c>
      <c r="C20005" s="1" t="n">
        <v>45810</v>
      </c>
      <c r="D20005" t="inlineStr">
        <is>
          <t>VÄRMLANDS LÄN</t>
        </is>
      </c>
      <c r="E20005" t="inlineStr">
        <is>
          <t>TORSBY</t>
        </is>
      </c>
      <c r="G20005" t="n">
        <v>0.6</v>
      </c>
      <c r="H20005" t="n">
        <v>0</v>
      </c>
      <c r="I20005" t="n">
        <v>0</v>
      </c>
      <c r="J20005" t="n">
        <v>0</v>
      </c>
      <c r="K20005" t="n">
        <v>0</v>
      </c>
      <c r="L20005" t="n">
        <v>0</v>
      </c>
      <c r="M20005" t="n">
        <v>0</v>
      </c>
      <c r="N20005" t="n">
        <v>0</v>
      </c>
      <c r="O20005" t="n">
        <v>0</v>
      </c>
      <c r="P20005" t="n">
        <v>0</v>
      </c>
      <c r="Q20005" t="n">
        <v>0</v>
      </c>
      <c r="R20005" s="2" t="inlineStr"/>
    </row>
    <row r="20006" ht="15" customHeight="1">
      <c r="A20006" t="inlineStr">
        <is>
          <t>A 21718-2025</t>
        </is>
      </c>
      <c r="B20006" s="1" t="n">
        <v>45783</v>
      </c>
      <c r="C20006" s="1" t="n">
        <v>45810</v>
      </c>
      <c r="D20006" t="inlineStr">
        <is>
          <t>VÄRMLANDS LÄN</t>
        </is>
      </c>
      <c r="E20006" t="inlineStr">
        <is>
          <t>EDA</t>
        </is>
      </c>
      <c r="G20006" t="n">
        <v>4.8</v>
      </c>
      <c r="H20006" t="n">
        <v>0</v>
      </c>
      <c r="I20006" t="n">
        <v>0</v>
      </c>
      <c r="J20006" t="n">
        <v>0</v>
      </c>
      <c r="K20006" t="n">
        <v>0</v>
      </c>
      <c r="L20006" t="n">
        <v>0</v>
      </c>
      <c r="M20006" t="n">
        <v>0</v>
      </c>
      <c r="N20006" t="n">
        <v>0</v>
      </c>
      <c r="O20006" t="n">
        <v>0</v>
      </c>
      <c r="P20006" t="n">
        <v>0</v>
      </c>
      <c r="Q20006" t="n">
        <v>0</v>
      </c>
      <c r="R20006" s="2" t="inlineStr"/>
    </row>
    <row r="20007" ht="15" customHeight="1">
      <c r="A20007" t="inlineStr">
        <is>
          <t>A 21602-2025</t>
        </is>
      </c>
      <c r="B20007" s="1" t="n">
        <v>45783</v>
      </c>
      <c r="C20007" s="1" t="n">
        <v>45810</v>
      </c>
      <c r="D20007" t="inlineStr">
        <is>
          <t>VÄRMLANDS LÄN</t>
        </is>
      </c>
      <c r="E20007" t="inlineStr">
        <is>
          <t>KRISTINEHAMN</t>
        </is>
      </c>
      <c r="F20007" t="inlineStr">
        <is>
          <t>Sveaskog</t>
        </is>
      </c>
      <c r="G20007" t="n">
        <v>1</v>
      </c>
      <c r="H20007" t="n">
        <v>0</v>
      </c>
      <c r="I20007" t="n">
        <v>0</v>
      </c>
      <c r="J20007" t="n">
        <v>0</v>
      </c>
      <c r="K20007" t="n">
        <v>0</v>
      </c>
      <c r="L20007" t="n">
        <v>0</v>
      </c>
      <c r="M20007" t="n">
        <v>0</v>
      </c>
      <c r="N20007" t="n">
        <v>0</v>
      </c>
      <c r="O20007" t="n">
        <v>0</v>
      </c>
      <c r="P20007" t="n">
        <v>0</v>
      </c>
      <c r="Q20007" t="n">
        <v>0</v>
      </c>
      <c r="R20007" s="2" t="inlineStr"/>
    </row>
    <row r="20008" ht="15" customHeight="1">
      <c r="A20008" t="inlineStr">
        <is>
          <t>A 21759-2025</t>
        </is>
      </c>
      <c r="B20008" s="1" t="n">
        <v>45783</v>
      </c>
      <c r="C20008" s="1" t="n">
        <v>45810</v>
      </c>
      <c r="D20008" t="inlineStr">
        <is>
          <t>VÄRMLANDS LÄN</t>
        </is>
      </c>
      <c r="E20008" t="inlineStr">
        <is>
          <t>TORSBY</t>
        </is>
      </c>
      <c r="G20008" t="n">
        <v>8.300000000000001</v>
      </c>
      <c r="H20008" t="n">
        <v>0</v>
      </c>
      <c r="I20008" t="n">
        <v>0</v>
      </c>
      <c r="J20008" t="n">
        <v>0</v>
      </c>
      <c r="K20008" t="n">
        <v>0</v>
      </c>
      <c r="L20008" t="n">
        <v>0</v>
      </c>
      <c r="M20008" t="n">
        <v>0</v>
      </c>
      <c r="N20008" t="n">
        <v>0</v>
      </c>
      <c r="O20008" t="n">
        <v>0</v>
      </c>
      <c r="P20008" t="n">
        <v>0</v>
      </c>
      <c r="Q20008" t="n">
        <v>0</v>
      </c>
      <c r="R20008" s="2" t="inlineStr"/>
    </row>
    <row r="20009" ht="15" customHeight="1">
      <c r="A20009" t="inlineStr">
        <is>
          <t>A 21690-2025</t>
        </is>
      </c>
      <c r="B20009" s="1" t="n">
        <v>45783</v>
      </c>
      <c r="C20009" s="1" t="n">
        <v>45810</v>
      </c>
      <c r="D20009" t="inlineStr">
        <is>
          <t>VÄRMLANDS LÄN</t>
        </is>
      </c>
      <c r="E20009" t="inlineStr">
        <is>
          <t>HAGFORS</t>
        </is>
      </c>
      <c r="G20009" t="n">
        <v>1.7</v>
      </c>
      <c r="H20009" t="n">
        <v>0</v>
      </c>
      <c r="I20009" t="n">
        <v>0</v>
      </c>
      <c r="J20009" t="n">
        <v>0</v>
      </c>
      <c r="K20009" t="n">
        <v>0</v>
      </c>
      <c r="L20009" t="n">
        <v>0</v>
      </c>
      <c r="M20009" t="n">
        <v>0</v>
      </c>
      <c r="N20009" t="n">
        <v>0</v>
      </c>
      <c r="O20009" t="n">
        <v>0</v>
      </c>
      <c r="P20009" t="n">
        <v>0</v>
      </c>
      <c r="Q20009" t="n">
        <v>0</v>
      </c>
      <c r="R20009" s="2" t="inlineStr"/>
    </row>
    <row r="20010" ht="15" customHeight="1">
      <c r="A20010" t="inlineStr">
        <is>
          <t>A 21780-2025</t>
        </is>
      </c>
      <c r="B20010" s="1" t="n">
        <v>45783</v>
      </c>
      <c r="C20010" s="1" t="n">
        <v>45810</v>
      </c>
      <c r="D20010" t="inlineStr">
        <is>
          <t>VÄRMLANDS LÄN</t>
        </is>
      </c>
      <c r="E20010" t="inlineStr">
        <is>
          <t>ARVIKA</t>
        </is>
      </c>
      <c r="G20010" t="n">
        <v>11.8</v>
      </c>
      <c r="H20010" t="n">
        <v>0</v>
      </c>
      <c r="I20010" t="n">
        <v>0</v>
      </c>
      <c r="J20010" t="n">
        <v>0</v>
      </c>
      <c r="K20010" t="n">
        <v>0</v>
      </c>
      <c r="L20010" t="n">
        <v>0</v>
      </c>
      <c r="M20010" t="n">
        <v>0</v>
      </c>
      <c r="N20010" t="n">
        <v>0</v>
      </c>
      <c r="O20010" t="n">
        <v>0</v>
      </c>
      <c r="P20010" t="n">
        <v>0</v>
      </c>
      <c r="Q20010" t="n">
        <v>0</v>
      </c>
      <c r="R20010" s="2" t="inlineStr"/>
    </row>
    <row r="20011" ht="15" customHeight="1">
      <c r="A20011" t="inlineStr">
        <is>
          <t>A 21806-2025</t>
        </is>
      </c>
      <c r="B20011" s="1" t="n">
        <v>45783</v>
      </c>
      <c r="C20011" s="1" t="n">
        <v>45810</v>
      </c>
      <c r="D20011" t="inlineStr">
        <is>
          <t>VÄRMLANDS LÄN</t>
        </is>
      </c>
      <c r="E20011" t="inlineStr">
        <is>
          <t>SUNNE</t>
        </is>
      </c>
      <c r="G20011" t="n">
        <v>3</v>
      </c>
      <c r="H20011" t="n">
        <v>0</v>
      </c>
      <c r="I20011" t="n">
        <v>0</v>
      </c>
      <c r="J20011" t="n">
        <v>0</v>
      </c>
      <c r="K20011" t="n">
        <v>0</v>
      </c>
      <c r="L20011" t="n">
        <v>0</v>
      </c>
      <c r="M20011" t="n">
        <v>0</v>
      </c>
      <c r="N20011" t="n">
        <v>0</v>
      </c>
      <c r="O20011" t="n">
        <v>0</v>
      </c>
      <c r="P20011" t="n">
        <v>0</v>
      </c>
      <c r="Q20011" t="n">
        <v>0</v>
      </c>
      <c r="R20011" s="2" t="inlineStr"/>
    </row>
    <row r="20012" ht="15" customHeight="1">
      <c r="A20012" t="inlineStr">
        <is>
          <t>A 21745-2025</t>
        </is>
      </c>
      <c r="B20012" s="1" t="n">
        <v>45783</v>
      </c>
      <c r="C20012" s="1" t="n">
        <v>45810</v>
      </c>
      <c r="D20012" t="inlineStr">
        <is>
          <t>VÄRMLANDS LÄN</t>
        </is>
      </c>
      <c r="E20012" t="inlineStr">
        <is>
          <t>SÄFFLE</t>
        </is>
      </c>
      <c r="G20012" t="n">
        <v>3.4</v>
      </c>
      <c r="H20012" t="n">
        <v>0</v>
      </c>
      <c r="I20012" t="n">
        <v>0</v>
      </c>
      <c r="J20012" t="n">
        <v>0</v>
      </c>
      <c r="K20012" t="n">
        <v>0</v>
      </c>
      <c r="L20012" t="n">
        <v>0</v>
      </c>
      <c r="M20012" t="n">
        <v>0</v>
      </c>
      <c r="N20012" t="n">
        <v>0</v>
      </c>
      <c r="O20012" t="n">
        <v>0</v>
      </c>
      <c r="P20012" t="n">
        <v>0</v>
      </c>
      <c r="Q20012" t="n">
        <v>0</v>
      </c>
      <c r="R20012" s="2" t="inlineStr"/>
    </row>
    <row r="20013" ht="15" customHeight="1">
      <c r="A20013" t="inlineStr">
        <is>
          <t>A 21758-2025</t>
        </is>
      </c>
      <c r="B20013" s="1" t="n">
        <v>45783</v>
      </c>
      <c r="C20013" s="1" t="n">
        <v>45810</v>
      </c>
      <c r="D20013" t="inlineStr">
        <is>
          <t>VÄRMLANDS LÄN</t>
        </is>
      </c>
      <c r="E20013" t="inlineStr">
        <is>
          <t>TORSBY</t>
        </is>
      </c>
      <c r="G20013" t="n">
        <v>5.7</v>
      </c>
      <c r="H20013" t="n">
        <v>0</v>
      </c>
      <c r="I20013" t="n">
        <v>0</v>
      </c>
      <c r="J20013" t="n">
        <v>0</v>
      </c>
      <c r="K20013" t="n">
        <v>0</v>
      </c>
      <c r="L20013" t="n">
        <v>0</v>
      </c>
      <c r="M20013" t="n">
        <v>0</v>
      </c>
      <c r="N20013" t="n">
        <v>0</v>
      </c>
      <c r="O20013" t="n">
        <v>0</v>
      </c>
      <c r="P20013" t="n">
        <v>0</v>
      </c>
      <c r="Q20013" t="n">
        <v>0</v>
      </c>
      <c r="R20013" s="2" t="inlineStr"/>
    </row>
    <row r="20014" ht="15" customHeight="1">
      <c r="A20014" t="inlineStr">
        <is>
          <t>A 21870-2025</t>
        </is>
      </c>
      <c r="B20014" s="1" t="n">
        <v>45784</v>
      </c>
      <c r="C20014" s="1" t="n">
        <v>45810</v>
      </c>
      <c r="D20014" t="inlineStr">
        <is>
          <t>VÄRMLANDS LÄN</t>
        </is>
      </c>
      <c r="E20014" t="inlineStr">
        <is>
          <t>TORSBY</t>
        </is>
      </c>
      <c r="G20014" t="n">
        <v>29.4</v>
      </c>
      <c r="H20014" t="n">
        <v>0</v>
      </c>
      <c r="I20014" t="n">
        <v>0</v>
      </c>
      <c r="J20014" t="n">
        <v>0</v>
      </c>
      <c r="K20014" t="n">
        <v>0</v>
      </c>
      <c r="L20014" t="n">
        <v>0</v>
      </c>
      <c r="M20014" t="n">
        <v>0</v>
      </c>
      <c r="N20014" t="n">
        <v>0</v>
      </c>
      <c r="O20014" t="n">
        <v>0</v>
      </c>
      <c r="P20014" t="n">
        <v>0</v>
      </c>
      <c r="Q20014" t="n">
        <v>0</v>
      </c>
      <c r="R20014" s="2" t="inlineStr"/>
    </row>
    <row r="20015" ht="15" customHeight="1">
      <c r="A20015" t="inlineStr">
        <is>
          <t>A 22008-2025</t>
        </is>
      </c>
      <c r="B20015" s="1" t="n">
        <v>45784</v>
      </c>
      <c r="C20015" s="1" t="n">
        <v>45810</v>
      </c>
      <c r="D20015" t="inlineStr">
        <is>
          <t>VÄRMLANDS LÄN</t>
        </is>
      </c>
      <c r="E20015" t="inlineStr">
        <is>
          <t>KIL</t>
        </is>
      </c>
      <c r="G20015" t="n">
        <v>1.4</v>
      </c>
      <c r="H20015" t="n">
        <v>0</v>
      </c>
      <c r="I20015" t="n">
        <v>0</v>
      </c>
      <c r="J20015" t="n">
        <v>0</v>
      </c>
      <c r="K20015" t="n">
        <v>0</v>
      </c>
      <c r="L20015" t="n">
        <v>0</v>
      </c>
      <c r="M20015" t="n">
        <v>0</v>
      </c>
      <c r="N20015" t="n">
        <v>0</v>
      </c>
      <c r="O20015" t="n">
        <v>0</v>
      </c>
      <c r="P20015" t="n">
        <v>0</v>
      </c>
      <c r="Q20015" t="n">
        <v>0</v>
      </c>
      <c r="R20015" s="2" t="inlineStr"/>
    </row>
    <row r="20016" ht="15" customHeight="1">
      <c r="A20016" t="inlineStr">
        <is>
          <t>A 22009-2025</t>
        </is>
      </c>
      <c r="B20016" s="1" t="n">
        <v>45784</v>
      </c>
      <c r="C20016" s="1" t="n">
        <v>45810</v>
      </c>
      <c r="D20016" t="inlineStr">
        <is>
          <t>VÄRMLANDS LÄN</t>
        </is>
      </c>
      <c r="E20016" t="inlineStr">
        <is>
          <t>KIL</t>
        </is>
      </c>
      <c r="G20016" t="n">
        <v>1.2</v>
      </c>
      <c r="H20016" t="n">
        <v>0</v>
      </c>
      <c r="I20016" t="n">
        <v>0</v>
      </c>
      <c r="J20016" t="n">
        <v>0</v>
      </c>
      <c r="K20016" t="n">
        <v>0</v>
      </c>
      <c r="L20016" t="n">
        <v>0</v>
      </c>
      <c r="M20016" t="n">
        <v>0</v>
      </c>
      <c r="N20016" t="n">
        <v>0</v>
      </c>
      <c r="O20016" t="n">
        <v>0</v>
      </c>
      <c r="P20016" t="n">
        <v>0</v>
      </c>
      <c r="Q20016" t="n">
        <v>0</v>
      </c>
      <c r="R20016" s="2" t="inlineStr"/>
    </row>
    <row r="20017" ht="15" customHeight="1">
      <c r="A20017" t="inlineStr">
        <is>
          <t>A 21974-2025</t>
        </is>
      </c>
      <c r="B20017" s="1" t="n">
        <v>45784</v>
      </c>
      <c r="C20017" s="1" t="n">
        <v>45810</v>
      </c>
      <c r="D20017" t="inlineStr">
        <is>
          <t>VÄRMLANDS LÄN</t>
        </is>
      </c>
      <c r="E20017" t="inlineStr">
        <is>
          <t>TORSBY</t>
        </is>
      </c>
      <c r="F20017" t="inlineStr">
        <is>
          <t>Bergvik skog väst AB</t>
        </is>
      </c>
      <c r="G20017" t="n">
        <v>6.9</v>
      </c>
      <c r="H20017" t="n">
        <v>0</v>
      </c>
      <c r="I20017" t="n">
        <v>0</v>
      </c>
      <c r="J20017" t="n">
        <v>0</v>
      </c>
      <c r="K20017" t="n">
        <v>0</v>
      </c>
      <c r="L20017" t="n">
        <v>0</v>
      </c>
      <c r="M20017" t="n">
        <v>0</v>
      </c>
      <c r="N20017" t="n">
        <v>0</v>
      </c>
      <c r="O20017" t="n">
        <v>0</v>
      </c>
      <c r="P20017" t="n">
        <v>0</v>
      </c>
      <c r="Q20017" t="n">
        <v>0</v>
      </c>
      <c r="R20017" s="2" t="inlineStr"/>
    </row>
    <row r="20018" ht="15" customHeight="1">
      <c r="A20018" t="inlineStr">
        <is>
          <t>A 21849-2025</t>
        </is>
      </c>
      <c r="B20018" s="1" t="n">
        <v>45784</v>
      </c>
      <c r="C20018" s="1" t="n">
        <v>45810</v>
      </c>
      <c r="D20018" t="inlineStr">
        <is>
          <t>VÄRMLANDS LÄN</t>
        </is>
      </c>
      <c r="E20018" t="inlineStr">
        <is>
          <t>KARLSTAD</t>
        </is>
      </c>
      <c r="G20018" t="n">
        <v>3.6</v>
      </c>
      <c r="H20018" t="n">
        <v>0</v>
      </c>
      <c r="I20018" t="n">
        <v>0</v>
      </c>
      <c r="J20018" t="n">
        <v>0</v>
      </c>
      <c r="K20018" t="n">
        <v>0</v>
      </c>
      <c r="L20018" t="n">
        <v>0</v>
      </c>
      <c r="M20018" t="n">
        <v>0</v>
      </c>
      <c r="N20018" t="n">
        <v>0</v>
      </c>
      <c r="O20018" t="n">
        <v>0</v>
      </c>
      <c r="P20018" t="n">
        <v>0</v>
      </c>
      <c r="Q20018" t="n">
        <v>0</v>
      </c>
      <c r="R20018" s="2" t="inlineStr"/>
    </row>
    <row r="20019" ht="15" customHeight="1">
      <c r="A20019" t="inlineStr">
        <is>
          <t>A 21858-2025</t>
        </is>
      </c>
      <c r="B20019" s="1" t="n">
        <v>45784</v>
      </c>
      <c r="C20019" s="1" t="n">
        <v>45810</v>
      </c>
      <c r="D20019" t="inlineStr">
        <is>
          <t>VÄRMLANDS LÄN</t>
        </is>
      </c>
      <c r="E20019" t="inlineStr">
        <is>
          <t>TORSBY</t>
        </is>
      </c>
      <c r="F20019" t="inlineStr">
        <is>
          <t>Bergvik skog väst AB</t>
        </is>
      </c>
      <c r="G20019" t="n">
        <v>1.5</v>
      </c>
      <c r="H20019" t="n">
        <v>0</v>
      </c>
      <c r="I20019" t="n">
        <v>0</v>
      </c>
      <c r="J20019" t="n">
        <v>0</v>
      </c>
      <c r="K20019" t="n">
        <v>0</v>
      </c>
      <c r="L20019" t="n">
        <v>0</v>
      </c>
      <c r="M20019" t="n">
        <v>0</v>
      </c>
      <c r="N20019" t="n">
        <v>0</v>
      </c>
      <c r="O20019" t="n">
        <v>0</v>
      </c>
      <c r="P20019" t="n">
        <v>0</v>
      </c>
      <c r="Q20019" t="n">
        <v>0</v>
      </c>
      <c r="R20019" s="2" t="inlineStr"/>
    </row>
    <row r="20020" ht="15" customHeight="1">
      <c r="A20020" t="inlineStr">
        <is>
          <t>A 21836-2025</t>
        </is>
      </c>
      <c r="B20020" s="1" t="n">
        <v>45784</v>
      </c>
      <c r="C20020" s="1" t="n">
        <v>45810</v>
      </c>
      <c r="D20020" t="inlineStr">
        <is>
          <t>VÄRMLANDS LÄN</t>
        </is>
      </c>
      <c r="E20020" t="inlineStr">
        <is>
          <t>FORSHAGA</t>
        </is>
      </c>
      <c r="G20020" t="n">
        <v>4.2</v>
      </c>
      <c r="H20020" t="n">
        <v>0</v>
      </c>
      <c r="I20020" t="n">
        <v>0</v>
      </c>
      <c r="J20020" t="n">
        <v>0</v>
      </c>
      <c r="K20020" t="n">
        <v>0</v>
      </c>
      <c r="L20020" t="n">
        <v>0</v>
      </c>
      <c r="M20020" t="n">
        <v>0</v>
      </c>
      <c r="N20020" t="n">
        <v>0</v>
      </c>
      <c r="O20020" t="n">
        <v>0</v>
      </c>
      <c r="P20020" t="n">
        <v>0</v>
      </c>
      <c r="Q20020" t="n">
        <v>0</v>
      </c>
      <c r="R20020" s="2" t="inlineStr"/>
    </row>
    <row r="20021" ht="15" customHeight="1">
      <c r="A20021" t="inlineStr">
        <is>
          <t>A 21838-2025</t>
        </is>
      </c>
      <c r="B20021" s="1" t="n">
        <v>45784</v>
      </c>
      <c r="C20021" s="1" t="n">
        <v>45810</v>
      </c>
      <c r="D20021" t="inlineStr">
        <is>
          <t>VÄRMLANDS LÄN</t>
        </is>
      </c>
      <c r="E20021" t="inlineStr">
        <is>
          <t>KARLSTAD</t>
        </is>
      </c>
      <c r="G20021" t="n">
        <v>2.8</v>
      </c>
      <c r="H20021" t="n">
        <v>0</v>
      </c>
      <c r="I20021" t="n">
        <v>0</v>
      </c>
      <c r="J20021" t="n">
        <v>0</v>
      </c>
      <c r="K20021" t="n">
        <v>0</v>
      </c>
      <c r="L20021" t="n">
        <v>0</v>
      </c>
      <c r="M20021" t="n">
        <v>0</v>
      </c>
      <c r="N20021" t="n">
        <v>0</v>
      </c>
      <c r="O20021" t="n">
        <v>0</v>
      </c>
      <c r="P20021" t="n">
        <v>0</v>
      </c>
      <c r="Q20021" t="n">
        <v>0</v>
      </c>
      <c r="R20021" s="2" t="inlineStr"/>
    </row>
    <row r="20022" ht="15" customHeight="1">
      <c r="A20022" t="inlineStr">
        <is>
          <t>A 21860-2025</t>
        </is>
      </c>
      <c r="B20022" s="1" t="n">
        <v>45784</v>
      </c>
      <c r="C20022" s="1" t="n">
        <v>45810</v>
      </c>
      <c r="D20022" t="inlineStr">
        <is>
          <t>VÄRMLANDS LÄN</t>
        </is>
      </c>
      <c r="E20022" t="inlineStr">
        <is>
          <t>TORSBY</t>
        </is>
      </c>
      <c r="G20022" t="n">
        <v>13.7</v>
      </c>
      <c r="H20022" t="n">
        <v>0</v>
      </c>
      <c r="I20022" t="n">
        <v>0</v>
      </c>
      <c r="J20022" t="n">
        <v>0</v>
      </c>
      <c r="K20022" t="n">
        <v>0</v>
      </c>
      <c r="L20022" t="n">
        <v>0</v>
      </c>
      <c r="M20022" t="n">
        <v>0</v>
      </c>
      <c r="N20022" t="n">
        <v>0</v>
      </c>
      <c r="O20022" t="n">
        <v>0</v>
      </c>
      <c r="P20022" t="n">
        <v>0</v>
      </c>
      <c r="Q20022" t="n">
        <v>0</v>
      </c>
      <c r="R20022" s="2" t="inlineStr"/>
    </row>
    <row r="20023" ht="15" customHeight="1">
      <c r="A20023" t="inlineStr">
        <is>
          <t>A 21844-2025</t>
        </is>
      </c>
      <c r="B20023" s="1" t="n">
        <v>45784</v>
      </c>
      <c r="C20023" s="1" t="n">
        <v>45810</v>
      </c>
      <c r="D20023" t="inlineStr">
        <is>
          <t>VÄRMLANDS LÄN</t>
        </is>
      </c>
      <c r="E20023" t="inlineStr">
        <is>
          <t>KARLSTAD</t>
        </is>
      </c>
      <c r="G20023" t="n">
        <v>8.4</v>
      </c>
      <c r="H20023" t="n">
        <v>0</v>
      </c>
      <c r="I20023" t="n">
        <v>0</v>
      </c>
      <c r="J20023" t="n">
        <v>0</v>
      </c>
      <c r="K20023" t="n">
        <v>0</v>
      </c>
      <c r="L20023" t="n">
        <v>0</v>
      </c>
      <c r="M20023" t="n">
        <v>0</v>
      </c>
      <c r="N20023" t="n">
        <v>0</v>
      </c>
      <c r="O20023" t="n">
        <v>0</v>
      </c>
      <c r="P20023" t="n">
        <v>0</v>
      </c>
      <c r="Q20023" t="n">
        <v>0</v>
      </c>
      <c r="R20023" s="2" t="inlineStr"/>
    </row>
    <row r="20024" ht="15" customHeight="1">
      <c r="A20024" t="inlineStr">
        <is>
          <t>A 21866-2025</t>
        </is>
      </c>
      <c r="B20024" s="1" t="n">
        <v>45784</v>
      </c>
      <c r="C20024" s="1" t="n">
        <v>45810</v>
      </c>
      <c r="D20024" t="inlineStr">
        <is>
          <t>VÄRMLANDS LÄN</t>
        </is>
      </c>
      <c r="E20024" t="inlineStr">
        <is>
          <t>KARLSTAD</t>
        </is>
      </c>
      <c r="G20024" t="n">
        <v>0.6</v>
      </c>
      <c r="H20024" t="n">
        <v>0</v>
      </c>
      <c r="I20024" t="n">
        <v>0</v>
      </c>
      <c r="J20024" t="n">
        <v>0</v>
      </c>
      <c r="K20024" t="n">
        <v>0</v>
      </c>
      <c r="L20024" t="n">
        <v>0</v>
      </c>
      <c r="M20024" t="n">
        <v>0</v>
      </c>
      <c r="N20024" t="n">
        <v>0</v>
      </c>
      <c r="O20024" t="n">
        <v>0</v>
      </c>
      <c r="P20024" t="n">
        <v>0</v>
      </c>
      <c r="Q20024" t="n">
        <v>0</v>
      </c>
      <c r="R20024" s="2" t="inlineStr"/>
    </row>
    <row r="20025" ht="15" customHeight="1">
      <c r="A20025" t="inlineStr">
        <is>
          <t>A 21907-2025</t>
        </is>
      </c>
      <c r="B20025" s="1" t="n">
        <v>45784</v>
      </c>
      <c r="C20025" s="1" t="n">
        <v>45810</v>
      </c>
      <c r="D20025" t="inlineStr">
        <is>
          <t>VÄRMLANDS LÄN</t>
        </is>
      </c>
      <c r="E20025" t="inlineStr">
        <is>
          <t>ARVIKA</t>
        </is>
      </c>
      <c r="G20025" t="n">
        <v>1.2</v>
      </c>
      <c r="H20025" t="n">
        <v>0</v>
      </c>
      <c r="I20025" t="n">
        <v>0</v>
      </c>
      <c r="J20025" t="n">
        <v>0</v>
      </c>
      <c r="K20025" t="n">
        <v>0</v>
      </c>
      <c r="L20025" t="n">
        <v>0</v>
      </c>
      <c r="M20025" t="n">
        <v>0</v>
      </c>
      <c r="N20025" t="n">
        <v>0</v>
      </c>
      <c r="O20025" t="n">
        <v>0</v>
      </c>
      <c r="P20025" t="n">
        <v>0</v>
      </c>
      <c r="Q20025" t="n">
        <v>0</v>
      </c>
      <c r="R20025" s="2" t="inlineStr"/>
    </row>
    <row r="20026" ht="15" customHeight="1">
      <c r="A20026" t="inlineStr">
        <is>
          <t>A 21980-2025</t>
        </is>
      </c>
      <c r="B20026" s="1" t="n">
        <v>45784</v>
      </c>
      <c r="C20026" s="1" t="n">
        <v>45810</v>
      </c>
      <c r="D20026" t="inlineStr">
        <is>
          <t>VÄRMLANDS LÄN</t>
        </is>
      </c>
      <c r="E20026" t="inlineStr">
        <is>
          <t>SÄFFLE</t>
        </is>
      </c>
      <c r="G20026" t="n">
        <v>1.5</v>
      </c>
      <c r="H20026" t="n">
        <v>0</v>
      </c>
      <c r="I20026" t="n">
        <v>0</v>
      </c>
      <c r="J20026" t="n">
        <v>0</v>
      </c>
      <c r="K20026" t="n">
        <v>0</v>
      </c>
      <c r="L20026" t="n">
        <v>0</v>
      </c>
      <c r="M20026" t="n">
        <v>0</v>
      </c>
      <c r="N20026" t="n">
        <v>0</v>
      </c>
      <c r="O20026" t="n">
        <v>0</v>
      </c>
      <c r="P20026" t="n">
        <v>0</v>
      </c>
      <c r="Q20026" t="n">
        <v>0</v>
      </c>
      <c r="R20026" s="2" t="inlineStr"/>
    </row>
    <row r="20027" ht="15" customHeight="1">
      <c r="A20027" t="inlineStr">
        <is>
          <t>A 21977-2025</t>
        </is>
      </c>
      <c r="B20027" s="1" t="n">
        <v>45784</v>
      </c>
      <c r="C20027" s="1" t="n">
        <v>45810</v>
      </c>
      <c r="D20027" t="inlineStr">
        <is>
          <t>VÄRMLANDS LÄN</t>
        </is>
      </c>
      <c r="E20027" t="inlineStr">
        <is>
          <t>SÄFFLE</t>
        </is>
      </c>
      <c r="G20027" t="n">
        <v>1.1</v>
      </c>
      <c r="H20027" t="n">
        <v>0</v>
      </c>
      <c r="I20027" t="n">
        <v>0</v>
      </c>
      <c r="J20027" t="n">
        <v>0</v>
      </c>
      <c r="K20027" t="n">
        <v>0</v>
      </c>
      <c r="L20027" t="n">
        <v>0</v>
      </c>
      <c r="M20027" t="n">
        <v>0</v>
      </c>
      <c r="N20027" t="n">
        <v>0</v>
      </c>
      <c r="O20027" t="n">
        <v>0</v>
      </c>
      <c r="P20027" t="n">
        <v>0</v>
      </c>
      <c r="Q20027" t="n">
        <v>0</v>
      </c>
      <c r="R20027" s="2" t="inlineStr"/>
    </row>
    <row r="20028" ht="15" customHeight="1">
      <c r="A20028" t="inlineStr">
        <is>
          <t>A 21963-2025</t>
        </is>
      </c>
      <c r="B20028" s="1" t="n">
        <v>45784</v>
      </c>
      <c r="C20028" s="1" t="n">
        <v>45810</v>
      </c>
      <c r="D20028" t="inlineStr">
        <is>
          <t>VÄRMLANDS LÄN</t>
        </is>
      </c>
      <c r="E20028" t="inlineStr">
        <is>
          <t>TORSBY</t>
        </is>
      </c>
      <c r="F20028" t="inlineStr">
        <is>
          <t>Bergvik skog väst AB</t>
        </is>
      </c>
      <c r="G20028" t="n">
        <v>12.3</v>
      </c>
      <c r="H20028" t="n">
        <v>0</v>
      </c>
      <c r="I20028" t="n">
        <v>0</v>
      </c>
      <c r="J20028" t="n">
        <v>0</v>
      </c>
      <c r="K20028" t="n">
        <v>0</v>
      </c>
      <c r="L20028" t="n">
        <v>0</v>
      </c>
      <c r="M20028" t="n">
        <v>0</v>
      </c>
      <c r="N20028" t="n">
        <v>0</v>
      </c>
      <c r="O20028" t="n">
        <v>0</v>
      </c>
      <c r="P20028" t="n">
        <v>0</v>
      </c>
      <c r="Q20028" t="n">
        <v>0</v>
      </c>
      <c r="R20028" s="2" t="inlineStr"/>
    </row>
    <row r="20029" ht="15" customHeight="1">
      <c r="A20029" t="inlineStr">
        <is>
          <t>A 21840-2025</t>
        </is>
      </c>
      <c r="B20029" s="1" t="n">
        <v>45784</v>
      </c>
      <c r="C20029" s="1" t="n">
        <v>45810</v>
      </c>
      <c r="D20029" t="inlineStr">
        <is>
          <t>VÄRMLANDS LÄN</t>
        </is>
      </c>
      <c r="E20029" t="inlineStr">
        <is>
          <t>KARLSTAD</t>
        </is>
      </c>
      <c r="G20029" t="n">
        <v>0.9</v>
      </c>
      <c r="H20029" t="n">
        <v>0</v>
      </c>
      <c r="I20029" t="n">
        <v>0</v>
      </c>
      <c r="J20029" t="n">
        <v>0</v>
      </c>
      <c r="K20029" t="n">
        <v>0</v>
      </c>
      <c r="L20029" t="n">
        <v>0</v>
      </c>
      <c r="M20029" t="n">
        <v>0</v>
      </c>
      <c r="N20029" t="n">
        <v>0</v>
      </c>
      <c r="O20029" t="n">
        <v>0</v>
      </c>
      <c r="P20029" t="n">
        <v>0</v>
      </c>
      <c r="Q20029" t="n">
        <v>0</v>
      </c>
      <c r="R20029" s="2" t="inlineStr"/>
    </row>
    <row r="20030" ht="15" customHeight="1">
      <c r="A20030" t="inlineStr">
        <is>
          <t>A 21954-2025</t>
        </is>
      </c>
      <c r="B20030" s="1" t="n">
        <v>45784</v>
      </c>
      <c r="C20030" s="1" t="n">
        <v>45810</v>
      </c>
      <c r="D20030" t="inlineStr">
        <is>
          <t>VÄRMLANDS LÄN</t>
        </is>
      </c>
      <c r="E20030" t="inlineStr">
        <is>
          <t>HAGFORS</t>
        </is>
      </c>
      <c r="G20030" t="n">
        <v>1.8</v>
      </c>
      <c r="H20030" t="n">
        <v>0</v>
      </c>
      <c r="I20030" t="n">
        <v>0</v>
      </c>
      <c r="J20030" t="n">
        <v>0</v>
      </c>
      <c r="K20030" t="n">
        <v>0</v>
      </c>
      <c r="L20030" t="n">
        <v>0</v>
      </c>
      <c r="M20030" t="n">
        <v>0</v>
      </c>
      <c r="N20030" t="n">
        <v>0</v>
      </c>
      <c r="O20030" t="n">
        <v>0</v>
      </c>
      <c r="P20030" t="n">
        <v>0</v>
      </c>
      <c r="Q20030" t="n">
        <v>0</v>
      </c>
      <c r="R20030" s="2" t="inlineStr"/>
    </row>
    <row r="20031" ht="15" customHeight="1">
      <c r="A20031" t="inlineStr">
        <is>
          <t>A 21956-2025</t>
        </is>
      </c>
      <c r="B20031" s="1" t="n">
        <v>45784</v>
      </c>
      <c r="C20031" s="1" t="n">
        <v>45810</v>
      </c>
      <c r="D20031" t="inlineStr">
        <is>
          <t>VÄRMLANDS LÄN</t>
        </is>
      </c>
      <c r="E20031" t="inlineStr">
        <is>
          <t>HAGFORS</t>
        </is>
      </c>
      <c r="G20031" t="n">
        <v>0.6</v>
      </c>
      <c r="H20031" t="n">
        <v>0</v>
      </c>
      <c r="I20031" t="n">
        <v>0</v>
      </c>
      <c r="J20031" t="n">
        <v>0</v>
      </c>
      <c r="K20031" t="n">
        <v>0</v>
      </c>
      <c r="L20031" t="n">
        <v>0</v>
      </c>
      <c r="M20031" t="n">
        <v>0</v>
      </c>
      <c r="N20031" t="n">
        <v>0</v>
      </c>
      <c r="O20031" t="n">
        <v>0</v>
      </c>
      <c r="P20031" t="n">
        <v>0</v>
      </c>
      <c r="Q20031" t="n">
        <v>0</v>
      </c>
      <c r="R20031" s="2" t="inlineStr"/>
    </row>
    <row r="20032" ht="15" customHeight="1">
      <c r="A20032" t="inlineStr">
        <is>
          <t>A 22076-2025</t>
        </is>
      </c>
      <c r="B20032" s="1" t="n">
        <v>45785</v>
      </c>
      <c r="C20032" s="1" t="n">
        <v>45810</v>
      </c>
      <c r="D20032" t="inlineStr">
        <is>
          <t>VÄRMLANDS LÄN</t>
        </is>
      </c>
      <c r="E20032" t="inlineStr">
        <is>
          <t>TORSBY</t>
        </is>
      </c>
      <c r="G20032" t="n">
        <v>5.4</v>
      </c>
      <c r="H20032" t="n">
        <v>0</v>
      </c>
      <c r="I20032" t="n">
        <v>0</v>
      </c>
      <c r="J20032" t="n">
        <v>0</v>
      </c>
      <c r="K20032" t="n">
        <v>0</v>
      </c>
      <c r="L20032" t="n">
        <v>0</v>
      </c>
      <c r="M20032" t="n">
        <v>0</v>
      </c>
      <c r="N20032" t="n">
        <v>0</v>
      </c>
      <c r="O20032" t="n">
        <v>0</v>
      </c>
      <c r="P20032" t="n">
        <v>0</v>
      </c>
      <c r="Q20032" t="n">
        <v>0</v>
      </c>
      <c r="R20032" s="2" t="inlineStr"/>
    </row>
    <row r="20033" ht="15" customHeight="1">
      <c r="A20033" t="inlineStr">
        <is>
          <t>A 22124-2025</t>
        </is>
      </c>
      <c r="B20033" s="1" t="n">
        <v>45785</v>
      </c>
      <c r="C20033" s="1" t="n">
        <v>45810</v>
      </c>
      <c r="D20033" t="inlineStr">
        <is>
          <t>VÄRMLANDS LÄN</t>
        </is>
      </c>
      <c r="E20033" t="inlineStr">
        <is>
          <t>SUNNE</t>
        </is>
      </c>
      <c r="G20033" t="n">
        <v>3.1</v>
      </c>
      <c r="H20033" t="n">
        <v>0</v>
      </c>
      <c r="I20033" t="n">
        <v>0</v>
      </c>
      <c r="J20033" t="n">
        <v>0</v>
      </c>
      <c r="K20033" t="n">
        <v>0</v>
      </c>
      <c r="L20033" t="n">
        <v>0</v>
      </c>
      <c r="M20033" t="n">
        <v>0</v>
      </c>
      <c r="N20033" t="n">
        <v>0</v>
      </c>
      <c r="O20033" t="n">
        <v>0</v>
      </c>
      <c r="P20033" t="n">
        <v>0</v>
      </c>
      <c r="Q20033" t="n">
        <v>0</v>
      </c>
      <c r="R20033" s="2" t="inlineStr"/>
    </row>
    <row r="20034" ht="15" customHeight="1">
      <c r="A20034" t="inlineStr">
        <is>
          <t>A 22242-2025</t>
        </is>
      </c>
      <c r="B20034" s="1" t="n">
        <v>45785</v>
      </c>
      <c r="C20034" s="1" t="n">
        <v>45810</v>
      </c>
      <c r="D20034" t="inlineStr">
        <is>
          <t>VÄRMLANDS LÄN</t>
        </is>
      </c>
      <c r="E20034" t="inlineStr">
        <is>
          <t>KARLSTAD</t>
        </is>
      </c>
      <c r="G20034" t="n">
        <v>0.9</v>
      </c>
      <c r="H20034" t="n">
        <v>0</v>
      </c>
      <c r="I20034" t="n">
        <v>0</v>
      </c>
      <c r="J20034" t="n">
        <v>0</v>
      </c>
      <c r="K20034" t="n">
        <v>0</v>
      </c>
      <c r="L20034" t="n">
        <v>0</v>
      </c>
      <c r="M20034" t="n">
        <v>0</v>
      </c>
      <c r="N20034" t="n">
        <v>0</v>
      </c>
      <c r="O20034" t="n">
        <v>0</v>
      </c>
      <c r="P20034" t="n">
        <v>0</v>
      </c>
      <c r="Q20034" t="n">
        <v>0</v>
      </c>
      <c r="R20034" s="2" t="inlineStr"/>
    </row>
    <row r="20035" ht="15" customHeight="1">
      <c r="A20035" t="inlineStr">
        <is>
          <t>A 22091-2025</t>
        </is>
      </c>
      <c r="B20035" s="1" t="n">
        <v>45785</v>
      </c>
      <c r="C20035" s="1" t="n">
        <v>45810</v>
      </c>
      <c r="D20035" t="inlineStr">
        <is>
          <t>VÄRMLANDS LÄN</t>
        </is>
      </c>
      <c r="E20035" t="inlineStr">
        <is>
          <t>HAGFORS</t>
        </is>
      </c>
      <c r="F20035" t="inlineStr">
        <is>
          <t>Kyrkan</t>
        </is>
      </c>
      <c r="G20035" t="n">
        <v>6.8</v>
      </c>
      <c r="H20035" t="n">
        <v>0</v>
      </c>
      <c r="I20035" t="n">
        <v>0</v>
      </c>
      <c r="J20035" t="n">
        <v>0</v>
      </c>
      <c r="K20035" t="n">
        <v>0</v>
      </c>
      <c r="L20035" t="n">
        <v>0</v>
      </c>
      <c r="M20035" t="n">
        <v>0</v>
      </c>
      <c r="N20035" t="n">
        <v>0</v>
      </c>
      <c r="O20035" t="n">
        <v>0</v>
      </c>
      <c r="P20035" t="n">
        <v>0</v>
      </c>
      <c r="Q20035" t="n">
        <v>0</v>
      </c>
      <c r="R20035" s="2" t="inlineStr"/>
    </row>
    <row r="20036" ht="15" customHeight="1">
      <c r="A20036" t="inlineStr">
        <is>
          <t>A 22125-2025</t>
        </is>
      </c>
      <c r="B20036" s="1" t="n">
        <v>45785</v>
      </c>
      <c r="C20036" s="1" t="n">
        <v>45810</v>
      </c>
      <c r="D20036" t="inlineStr">
        <is>
          <t>VÄRMLANDS LÄN</t>
        </is>
      </c>
      <c r="E20036" t="inlineStr">
        <is>
          <t>SUNNE</t>
        </is>
      </c>
      <c r="G20036" t="n">
        <v>1.6</v>
      </c>
      <c r="H20036" t="n">
        <v>0</v>
      </c>
      <c r="I20036" t="n">
        <v>0</v>
      </c>
      <c r="J20036" t="n">
        <v>0</v>
      </c>
      <c r="K20036" t="n">
        <v>0</v>
      </c>
      <c r="L20036" t="n">
        <v>0</v>
      </c>
      <c r="M20036" t="n">
        <v>0</v>
      </c>
      <c r="N20036" t="n">
        <v>0</v>
      </c>
      <c r="O20036" t="n">
        <v>0</v>
      </c>
      <c r="P20036" t="n">
        <v>0</v>
      </c>
      <c r="Q20036" t="n">
        <v>0</v>
      </c>
      <c r="R20036" s="2" t="inlineStr"/>
    </row>
    <row r="20037" ht="15" customHeight="1">
      <c r="A20037" t="inlineStr">
        <is>
          <t>A 22037-2025</t>
        </is>
      </c>
      <c r="B20037" s="1" t="n">
        <v>45785</v>
      </c>
      <c r="C20037" s="1" t="n">
        <v>45810</v>
      </c>
      <c r="D20037" t="inlineStr">
        <is>
          <t>VÄRMLANDS LÄN</t>
        </is>
      </c>
      <c r="E20037" t="inlineStr">
        <is>
          <t>ARVIKA</t>
        </is>
      </c>
      <c r="G20037" t="n">
        <v>2.4</v>
      </c>
      <c r="H20037" t="n">
        <v>0</v>
      </c>
      <c r="I20037" t="n">
        <v>0</v>
      </c>
      <c r="J20037" t="n">
        <v>0</v>
      </c>
      <c r="K20037" t="n">
        <v>0</v>
      </c>
      <c r="L20037" t="n">
        <v>0</v>
      </c>
      <c r="M20037" t="n">
        <v>0</v>
      </c>
      <c r="N20037" t="n">
        <v>0</v>
      </c>
      <c r="O20037" t="n">
        <v>0</v>
      </c>
      <c r="P20037" t="n">
        <v>0</v>
      </c>
      <c r="Q20037" t="n">
        <v>0</v>
      </c>
      <c r="R20037" s="2" t="inlineStr"/>
    </row>
    <row r="20038" ht="15" customHeight="1">
      <c r="A20038" t="inlineStr">
        <is>
          <t>A 22041-2025</t>
        </is>
      </c>
      <c r="B20038" s="1" t="n">
        <v>45785</v>
      </c>
      <c r="C20038" s="1" t="n">
        <v>45810</v>
      </c>
      <c r="D20038" t="inlineStr">
        <is>
          <t>VÄRMLANDS LÄN</t>
        </is>
      </c>
      <c r="E20038" t="inlineStr">
        <is>
          <t>ARVIKA</t>
        </is>
      </c>
      <c r="G20038" t="n">
        <v>2.6</v>
      </c>
      <c r="H20038" t="n">
        <v>0</v>
      </c>
      <c r="I20038" t="n">
        <v>0</v>
      </c>
      <c r="J20038" t="n">
        <v>0</v>
      </c>
      <c r="K20038" t="n">
        <v>0</v>
      </c>
      <c r="L20038" t="n">
        <v>0</v>
      </c>
      <c r="M20038" t="n">
        <v>0</v>
      </c>
      <c r="N20038" t="n">
        <v>0</v>
      </c>
      <c r="O20038" t="n">
        <v>0</v>
      </c>
      <c r="P20038" t="n">
        <v>0</v>
      </c>
      <c r="Q20038" t="n">
        <v>0</v>
      </c>
      <c r="R20038" s="2" t="inlineStr"/>
    </row>
    <row r="20039" ht="15" customHeight="1">
      <c r="A20039" t="inlineStr">
        <is>
          <t>A 22162-2025</t>
        </is>
      </c>
      <c r="B20039" s="1" t="n">
        <v>45785</v>
      </c>
      <c r="C20039" s="1" t="n">
        <v>45810</v>
      </c>
      <c r="D20039" t="inlineStr">
        <is>
          <t>VÄRMLANDS LÄN</t>
        </is>
      </c>
      <c r="E20039" t="inlineStr">
        <is>
          <t>ARVIKA</t>
        </is>
      </c>
      <c r="G20039" t="n">
        <v>1.3</v>
      </c>
      <c r="H20039" t="n">
        <v>0</v>
      </c>
      <c r="I20039" t="n">
        <v>0</v>
      </c>
      <c r="J20039" t="n">
        <v>0</v>
      </c>
      <c r="K20039" t="n">
        <v>0</v>
      </c>
      <c r="L20039" t="n">
        <v>0</v>
      </c>
      <c r="M20039" t="n">
        <v>0</v>
      </c>
      <c r="N20039" t="n">
        <v>0</v>
      </c>
      <c r="O20039" t="n">
        <v>0</v>
      </c>
      <c r="P20039" t="n">
        <v>0</v>
      </c>
      <c r="Q20039" t="n">
        <v>0</v>
      </c>
      <c r="R20039" s="2" t="inlineStr"/>
    </row>
    <row r="20040" ht="15" customHeight="1">
      <c r="A20040" t="inlineStr">
        <is>
          <t>A 22170-2025</t>
        </is>
      </c>
      <c r="B20040" s="1" t="n">
        <v>45785</v>
      </c>
      <c r="C20040" s="1" t="n">
        <v>45810</v>
      </c>
      <c r="D20040" t="inlineStr">
        <is>
          <t>VÄRMLANDS LÄN</t>
        </is>
      </c>
      <c r="E20040" t="inlineStr">
        <is>
          <t>ARVIKA</t>
        </is>
      </c>
      <c r="G20040" t="n">
        <v>2.3</v>
      </c>
      <c r="H20040" t="n">
        <v>0</v>
      </c>
      <c r="I20040" t="n">
        <v>0</v>
      </c>
      <c r="J20040" t="n">
        <v>0</v>
      </c>
      <c r="K20040" t="n">
        <v>0</v>
      </c>
      <c r="L20040" t="n">
        <v>0</v>
      </c>
      <c r="M20040" t="n">
        <v>0</v>
      </c>
      <c r="N20040" t="n">
        <v>0</v>
      </c>
      <c r="O20040" t="n">
        <v>0</v>
      </c>
      <c r="P20040" t="n">
        <v>0</v>
      </c>
      <c r="Q20040" t="n">
        <v>0</v>
      </c>
      <c r="R20040" s="2" t="inlineStr"/>
    </row>
    <row r="20041" ht="15" customHeight="1">
      <c r="A20041" t="inlineStr">
        <is>
          <t>A 22269-2025</t>
        </is>
      </c>
      <c r="B20041" s="1" t="n">
        <v>45785</v>
      </c>
      <c r="C20041" s="1" t="n">
        <v>45810</v>
      </c>
      <c r="D20041" t="inlineStr">
        <is>
          <t>VÄRMLANDS LÄN</t>
        </is>
      </c>
      <c r="E20041" t="inlineStr">
        <is>
          <t>TORSBY</t>
        </is>
      </c>
      <c r="G20041" t="n">
        <v>2.3</v>
      </c>
      <c r="H20041" t="n">
        <v>0</v>
      </c>
      <c r="I20041" t="n">
        <v>0</v>
      </c>
      <c r="J20041" t="n">
        <v>0</v>
      </c>
      <c r="K20041" t="n">
        <v>0</v>
      </c>
      <c r="L20041" t="n">
        <v>0</v>
      </c>
      <c r="M20041" t="n">
        <v>0</v>
      </c>
      <c r="N20041" t="n">
        <v>0</v>
      </c>
      <c r="O20041" t="n">
        <v>0</v>
      </c>
      <c r="P20041" t="n">
        <v>0</v>
      </c>
      <c r="Q20041" t="n">
        <v>0</v>
      </c>
      <c r="R20041" s="2" t="inlineStr"/>
    </row>
    <row r="20042" ht="15" customHeight="1">
      <c r="A20042" t="inlineStr">
        <is>
          <t>A 22228-2025</t>
        </is>
      </c>
      <c r="B20042" s="1" t="n">
        <v>45785</v>
      </c>
      <c r="C20042" s="1" t="n">
        <v>45810</v>
      </c>
      <c r="D20042" t="inlineStr">
        <is>
          <t>VÄRMLANDS LÄN</t>
        </is>
      </c>
      <c r="E20042" t="inlineStr">
        <is>
          <t>SÄFFLE</t>
        </is>
      </c>
      <c r="G20042" t="n">
        <v>19.5</v>
      </c>
      <c r="H20042" t="n">
        <v>0</v>
      </c>
      <c r="I20042" t="n">
        <v>0</v>
      </c>
      <c r="J20042" t="n">
        <v>0</v>
      </c>
      <c r="K20042" t="n">
        <v>0</v>
      </c>
      <c r="L20042" t="n">
        <v>0</v>
      </c>
      <c r="M20042" t="n">
        <v>0</v>
      </c>
      <c r="N20042" t="n">
        <v>0</v>
      </c>
      <c r="O20042" t="n">
        <v>0</v>
      </c>
      <c r="P20042" t="n">
        <v>0</v>
      </c>
      <c r="Q20042" t="n">
        <v>0</v>
      </c>
      <c r="R20042" s="2" t="inlineStr"/>
    </row>
    <row r="20043" ht="15" customHeight="1">
      <c r="A20043" t="inlineStr">
        <is>
          <t>A 22090-2025</t>
        </is>
      </c>
      <c r="B20043" s="1" t="n">
        <v>45785</v>
      </c>
      <c r="C20043" s="1" t="n">
        <v>45810</v>
      </c>
      <c r="D20043" t="inlineStr">
        <is>
          <t>VÄRMLANDS LÄN</t>
        </is>
      </c>
      <c r="E20043" t="inlineStr">
        <is>
          <t>TORSBY</t>
        </is>
      </c>
      <c r="G20043" t="n">
        <v>3.9</v>
      </c>
      <c r="H20043" t="n">
        <v>0</v>
      </c>
      <c r="I20043" t="n">
        <v>0</v>
      </c>
      <c r="J20043" t="n">
        <v>0</v>
      </c>
      <c r="K20043" t="n">
        <v>0</v>
      </c>
      <c r="L20043" t="n">
        <v>0</v>
      </c>
      <c r="M20043" t="n">
        <v>0</v>
      </c>
      <c r="N20043" t="n">
        <v>0</v>
      </c>
      <c r="O20043" t="n">
        <v>0</v>
      </c>
      <c r="P20043" t="n">
        <v>0</v>
      </c>
      <c r="Q20043" t="n">
        <v>0</v>
      </c>
      <c r="R20043" s="2" t="inlineStr"/>
    </row>
    <row r="20044" ht="15" customHeight="1">
      <c r="A20044" t="inlineStr">
        <is>
          <t>A 22231-2025</t>
        </is>
      </c>
      <c r="B20044" s="1" t="n">
        <v>45785</v>
      </c>
      <c r="C20044" s="1" t="n">
        <v>45810</v>
      </c>
      <c r="D20044" t="inlineStr">
        <is>
          <t>VÄRMLANDS LÄN</t>
        </is>
      </c>
      <c r="E20044" t="inlineStr">
        <is>
          <t>HAGFORS</t>
        </is>
      </c>
      <c r="G20044" t="n">
        <v>1.2</v>
      </c>
      <c r="H20044" t="n">
        <v>0</v>
      </c>
      <c r="I20044" t="n">
        <v>0</v>
      </c>
      <c r="J20044" t="n">
        <v>0</v>
      </c>
      <c r="K20044" t="n">
        <v>0</v>
      </c>
      <c r="L20044" t="n">
        <v>0</v>
      </c>
      <c r="M20044" t="n">
        <v>0</v>
      </c>
      <c r="N20044" t="n">
        <v>0</v>
      </c>
      <c r="O20044" t="n">
        <v>0</v>
      </c>
      <c r="P20044" t="n">
        <v>0</v>
      </c>
      <c r="Q20044" t="n">
        <v>0</v>
      </c>
      <c r="R20044" s="2" t="inlineStr"/>
    </row>
    <row r="20045" ht="15" customHeight="1">
      <c r="A20045" t="inlineStr">
        <is>
          <t>A 22169-2025</t>
        </is>
      </c>
      <c r="B20045" s="1" t="n">
        <v>45785</v>
      </c>
      <c r="C20045" s="1" t="n">
        <v>45810</v>
      </c>
      <c r="D20045" t="inlineStr">
        <is>
          <t>VÄRMLANDS LÄN</t>
        </is>
      </c>
      <c r="E20045" t="inlineStr">
        <is>
          <t>SUNNE</t>
        </is>
      </c>
      <c r="G20045" t="n">
        <v>0.7</v>
      </c>
      <c r="H20045" t="n">
        <v>0</v>
      </c>
      <c r="I20045" t="n">
        <v>0</v>
      </c>
      <c r="J20045" t="n">
        <v>0</v>
      </c>
      <c r="K20045" t="n">
        <v>0</v>
      </c>
      <c r="L20045" t="n">
        <v>0</v>
      </c>
      <c r="M20045" t="n">
        <v>0</v>
      </c>
      <c r="N20045" t="n">
        <v>0</v>
      </c>
      <c r="O20045" t="n">
        <v>0</v>
      </c>
      <c r="P20045" t="n">
        <v>0</v>
      </c>
      <c r="Q20045" t="n">
        <v>0</v>
      </c>
      <c r="R20045" s="2" t="inlineStr"/>
    </row>
    <row r="20046" ht="15" customHeight="1">
      <c r="A20046" t="inlineStr">
        <is>
          <t>A 22133-2025</t>
        </is>
      </c>
      <c r="B20046" s="1" t="n">
        <v>45785</v>
      </c>
      <c r="C20046" s="1" t="n">
        <v>45810</v>
      </c>
      <c r="D20046" t="inlineStr">
        <is>
          <t>VÄRMLANDS LÄN</t>
        </is>
      </c>
      <c r="E20046" t="inlineStr">
        <is>
          <t>GRUMS</t>
        </is>
      </c>
      <c r="G20046" t="n">
        <v>4.7</v>
      </c>
      <c r="H20046" t="n">
        <v>0</v>
      </c>
      <c r="I20046" t="n">
        <v>0</v>
      </c>
      <c r="J20046" t="n">
        <v>0</v>
      </c>
      <c r="K20046" t="n">
        <v>0</v>
      </c>
      <c r="L20046" t="n">
        <v>0</v>
      </c>
      <c r="M20046" t="n">
        <v>0</v>
      </c>
      <c r="N20046" t="n">
        <v>0</v>
      </c>
      <c r="O20046" t="n">
        <v>0</v>
      </c>
      <c r="P20046" t="n">
        <v>0</v>
      </c>
      <c r="Q20046" t="n">
        <v>0</v>
      </c>
      <c r="R20046" s="2" t="inlineStr"/>
    </row>
    <row r="20047" ht="15" customHeight="1">
      <c r="A20047" t="inlineStr">
        <is>
          <t>A 22484-2025</t>
        </is>
      </c>
      <c r="B20047" s="1" t="n">
        <v>45786</v>
      </c>
      <c r="C20047" s="1" t="n">
        <v>45810</v>
      </c>
      <c r="D20047" t="inlineStr">
        <is>
          <t>VÄRMLANDS LÄN</t>
        </is>
      </c>
      <c r="E20047" t="inlineStr">
        <is>
          <t>HAGFORS</t>
        </is>
      </c>
      <c r="G20047" t="n">
        <v>4.5</v>
      </c>
      <c r="H20047" t="n">
        <v>0</v>
      </c>
      <c r="I20047" t="n">
        <v>0</v>
      </c>
      <c r="J20047" t="n">
        <v>0</v>
      </c>
      <c r="K20047" t="n">
        <v>0</v>
      </c>
      <c r="L20047" t="n">
        <v>0</v>
      </c>
      <c r="M20047" t="n">
        <v>0</v>
      </c>
      <c r="N20047" t="n">
        <v>0</v>
      </c>
      <c r="O20047" t="n">
        <v>0</v>
      </c>
      <c r="P20047" t="n">
        <v>0</v>
      </c>
      <c r="Q20047" t="n">
        <v>0</v>
      </c>
      <c r="R20047" s="2" t="inlineStr"/>
    </row>
    <row r="20048" ht="15" customHeight="1">
      <c r="A20048" t="inlineStr">
        <is>
          <t>A 22485-2025</t>
        </is>
      </c>
      <c r="B20048" s="1" t="n">
        <v>45786</v>
      </c>
      <c r="C20048" s="1" t="n">
        <v>45810</v>
      </c>
      <c r="D20048" t="inlineStr">
        <is>
          <t>VÄRMLANDS LÄN</t>
        </is>
      </c>
      <c r="E20048" t="inlineStr">
        <is>
          <t>ARVIKA</t>
        </is>
      </c>
      <c r="G20048" t="n">
        <v>1.5</v>
      </c>
      <c r="H20048" t="n">
        <v>0</v>
      </c>
      <c r="I20048" t="n">
        <v>0</v>
      </c>
      <c r="J20048" t="n">
        <v>0</v>
      </c>
      <c r="K20048" t="n">
        <v>0</v>
      </c>
      <c r="L20048" t="n">
        <v>0</v>
      </c>
      <c r="M20048" t="n">
        <v>0</v>
      </c>
      <c r="N20048" t="n">
        <v>0</v>
      </c>
      <c r="O20048" t="n">
        <v>0</v>
      </c>
      <c r="P20048" t="n">
        <v>0</v>
      </c>
      <c r="Q20048" t="n">
        <v>0</v>
      </c>
      <c r="R20048" s="2" t="inlineStr"/>
    </row>
    <row r="20049" ht="15" customHeight="1">
      <c r="A20049" t="inlineStr">
        <is>
          <t>A 22523-2025</t>
        </is>
      </c>
      <c r="B20049" s="1" t="n">
        <v>45786</v>
      </c>
      <c r="C20049" s="1" t="n">
        <v>45810</v>
      </c>
      <c r="D20049" t="inlineStr">
        <is>
          <t>VÄRMLANDS LÄN</t>
        </is>
      </c>
      <c r="E20049" t="inlineStr">
        <is>
          <t>KARLSTAD</t>
        </is>
      </c>
      <c r="G20049" t="n">
        <v>3</v>
      </c>
      <c r="H20049" t="n">
        <v>0</v>
      </c>
      <c r="I20049" t="n">
        <v>0</v>
      </c>
      <c r="J20049" t="n">
        <v>0</v>
      </c>
      <c r="K20049" t="n">
        <v>0</v>
      </c>
      <c r="L20049" t="n">
        <v>0</v>
      </c>
      <c r="M20049" t="n">
        <v>0</v>
      </c>
      <c r="N20049" t="n">
        <v>0</v>
      </c>
      <c r="O20049" t="n">
        <v>0</v>
      </c>
      <c r="P20049" t="n">
        <v>0</v>
      </c>
      <c r="Q20049" t="n">
        <v>0</v>
      </c>
      <c r="R20049" s="2" t="inlineStr"/>
    </row>
    <row r="20050" ht="15" customHeight="1">
      <c r="A20050" t="inlineStr">
        <is>
          <t>A 22276-2025</t>
        </is>
      </c>
      <c r="B20050" s="1" t="n">
        <v>45786</v>
      </c>
      <c r="C20050" s="1" t="n">
        <v>45810</v>
      </c>
      <c r="D20050" t="inlineStr">
        <is>
          <t>VÄRMLANDS LÄN</t>
        </is>
      </c>
      <c r="E20050" t="inlineStr">
        <is>
          <t>ÅRJÄNG</t>
        </is>
      </c>
      <c r="G20050" t="n">
        <v>1.7</v>
      </c>
      <c r="H20050" t="n">
        <v>0</v>
      </c>
      <c r="I20050" t="n">
        <v>0</v>
      </c>
      <c r="J20050" t="n">
        <v>0</v>
      </c>
      <c r="K20050" t="n">
        <v>0</v>
      </c>
      <c r="L20050" t="n">
        <v>0</v>
      </c>
      <c r="M20050" t="n">
        <v>0</v>
      </c>
      <c r="N20050" t="n">
        <v>0</v>
      </c>
      <c r="O20050" t="n">
        <v>0</v>
      </c>
      <c r="P20050" t="n">
        <v>0</v>
      </c>
      <c r="Q20050" t="n">
        <v>0</v>
      </c>
      <c r="R20050" s="2" t="inlineStr"/>
    </row>
    <row r="20051" ht="15" customHeight="1">
      <c r="A20051" t="inlineStr">
        <is>
          <t>A 22281-2025</t>
        </is>
      </c>
      <c r="B20051" s="1" t="n">
        <v>45786</v>
      </c>
      <c r="C20051" s="1" t="n">
        <v>45810</v>
      </c>
      <c r="D20051" t="inlineStr">
        <is>
          <t>VÄRMLANDS LÄN</t>
        </is>
      </c>
      <c r="E20051" t="inlineStr">
        <is>
          <t>ÅRJÄNG</t>
        </is>
      </c>
      <c r="G20051" t="n">
        <v>2.4</v>
      </c>
      <c r="H20051" t="n">
        <v>0</v>
      </c>
      <c r="I20051" t="n">
        <v>0</v>
      </c>
      <c r="J20051" t="n">
        <v>0</v>
      </c>
      <c r="K20051" t="n">
        <v>0</v>
      </c>
      <c r="L20051" t="n">
        <v>0</v>
      </c>
      <c r="M20051" t="n">
        <v>0</v>
      </c>
      <c r="N20051" t="n">
        <v>0</v>
      </c>
      <c r="O20051" t="n">
        <v>0</v>
      </c>
      <c r="P20051" t="n">
        <v>0</v>
      </c>
      <c r="Q20051" t="n">
        <v>0</v>
      </c>
      <c r="R20051" s="2" t="inlineStr"/>
    </row>
    <row r="20052" ht="15" customHeight="1">
      <c r="A20052" t="inlineStr">
        <is>
          <t>A 22521-2025</t>
        </is>
      </c>
      <c r="B20052" s="1" t="n">
        <v>45786</v>
      </c>
      <c r="C20052" s="1" t="n">
        <v>45810</v>
      </c>
      <c r="D20052" t="inlineStr">
        <is>
          <t>VÄRMLANDS LÄN</t>
        </is>
      </c>
      <c r="E20052" t="inlineStr">
        <is>
          <t>ARVIKA</t>
        </is>
      </c>
      <c r="G20052" t="n">
        <v>4.3</v>
      </c>
      <c r="H20052" t="n">
        <v>0</v>
      </c>
      <c r="I20052" t="n">
        <v>0</v>
      </c>
      <c r="J20052" t="n">
        <v>0</v>
      </c>
      <c r="K20052" t="n">
        <v>0</v>
      </c>
      <c r="L20052" t="n">
        <v>0</v>
      </c>
      <c r="M20052" t="n">
        <v>0</v>
      </c>
      <c r="N20052" t="n">
        <v>0</v>
      </c>
      <c r="O20052" t="n">
        <v>0</v>
      </c>
      <c r="P20052" t="n">
        <v>0</v>
      </c>
      <c r="Q20052" t="n">
        <v>0</v>
      </c>
      <c r="R20052" s="2" t="inlineStr"/>
    </row>
    <row r="20053" ht="15" customHeight="1">
      <c r="A20053" t="inlineStr">
        <is>
          <t>A 22386-2025</t>
        </is>
      </c>
      <c r="B20053" s="1" t="n">
        <v>45786</v>
      </c>
      <c r="C20053" s="1" t="n">
        <v>45810</v>
      </c>
      <c r="D20053" t="inlineStr">
        <is>
          <t>VÄRMLANDS LÄN</t>
        </is>
      </c>
      <c r="E20053" t="inlineStr">
        <is>
          <t>TORSBY</t>
        </is>
      </c>
      <c r="G20053" t="n">
        <v>5.2</v>
      </c>
      <c r="H20053" t="n">
        <v>0</v>
      </c>
      <c r="I20053" t="n">
        <v>0</v>
      </c>
      <c r="J20053" t="n">
        <v>0</v>
      </c>
      <c r="K20053" t="n">
        <v>0</v>
      </c>
      <c r="L20053" t="n">
        <v>0</v>
      </c>
      <c r="M20053" t="n">
        <v>0</v>
      </c>
      <c r="N20053" t="n">
        <v>0</v>
      </c>
      <c r="O20053" t="n">
        <v>0</v>
      </c>
      <c r="P20053" t="n">
        <v>0</v>
      </c>
      <c r="Q20053" t="n">
        <v>0</v>
      </c>
      <c r="R20053" s="2" t="inlineStr"/>
    </row>
    <row r="20054" ht="15" customHeight="1">
      <c r="A20054" t="inlineStr">
        <is>
          <t>A 22346-2025</t>
        </is>
      </c>
      <c r="B20054" s="1" t="n">
        <v>45786</v>
      </c>
      <c r="C20054" s="1" t="n">
        <v>45810</v>
      </c>
      <c r="D20054" t="inlineStr">
        <is>
          <t>VÄRMLANDS LÄN</t>
        </is>
      </c>
      <c r="E20054" t="inlineStr">
        <is>
          <t>HAGFORS</t>
        </is>
      </c>
      <c r="G20054" t="n">
        <v>1.5</v>
      </c>
      <c r="H20054" t="n">
        <v>0</v>
      </c>
      <c r="I20054" t="n">
        <v>0</v>
      </c>
      <c r="J20054" t="n">
        <v>0</v>
      </c>
      <c r="K20054" t="n">
        <v>0</v>
      </c>
      <c r="L20054" t="n">
        <v>0</v>
      </c>
      <c r="M20054" t="n">
        <v>0</v>
      </c>
      <c r="N20054" t="n">
        <v>0</v>
      </c>
      <c r="O20054" t="n">
        <v>0</v>
      </c>
      <c r="P20054" t="n">
        <v>0</v>
      </c>
      <c r="Q20054" t="n">
        <v>0</v>
      </c>
      <c r="R20054" s="2" t="inlineStr"/>
    </row>
    <row r="20055" ht="15" customHeight="1">
      <c r="A20055" t="inlineStr">
        <is>
          <t>A 22352-2025</t>
        </is>
      </c>
      <c r="B20055" s="1" t="n">
        <v>45786</v>
      </c>
      <c r="C20055" s="1" t="n">
        <v>45810</v>
      </c>
      <c r="D20055" t="inlineStr">
        <is>
          <t>VÄRMLANDS LÄN</t>
        </is>
      </c>
      <c r="E20055" t="inlineStr">
        <is>
          <t>ÅRJÄNG</t>
        </is>
      </c>
      <c r="G20055" t="n">
        <v>5.4</v>
      </c>
      <c r="H20055" t="n">
        <v>0</v>
      </c>
      <c r="I20055" t="n">
        <v>0</v>
      </c>
      <c r="J20055" t="n">
        <v>0</v>
      </c>
      <c r="K20055" t="n">
        <v>0</v>
      </c>
      <c r="L20055" t="n">
        <v>0</v>
      </c>
      <c r="M20055" t="n">
        <v>0</v>
      </c>
      <c r="N20055" t="n">
        <v>0</v>
      </c>
      <c r="O20055" t="n">
        <v>0</v>
      </c>
      <c r="P20055" t="n">
        <v>0</v>
      </c>
      <c r="Q20055" t="n">
        <v>0</v>
      </c>
      <c r="R20055" s="2" t="inlineStr"/>
    </row>
    <row r="20056" ht="15" customHeight="1">
      <c r="A20056" t="inlineStr">
        <is>
          <t>A 22278-2025</t>
        </is>
      </c>
      <c r="B20056" s="1" t="n">
        <v>45786</v>
      </c>
      <c r="C20056" s="1" t="n">
        <v>45810</v>
      </c>
      <c r="D20056" t="inlineStr">
        <is>
          <t>VÄRMLANDS LÄN</t>
        </is>
      </c>
      <c r="E20056" t="inlineStr">
        <is>
          <t>TORSBY</t>
        </is>
      </c>
      <c r="F20056" t="inlineStr">
        <is>
          <t>Bergvik skog väst AB</t>
        </is>
      </c>
      <c r="G20056" t="n">
        <v>6.9</v>
      </c>
      <c r="H20056" t="n">
        <v>0</v>
      </c>
      <c r="I20056" t="n">
        <v>0</v>
      </c>
      <c r="J20056" t="n">
        <v>0</v>
      </c>
      <c r="K20056" t="n">
        <v>0</v>
      </c>
      <c r="L20056" t="n">
        <v>0</v>
      </c>
      <c r="M20056" t="n">
        <v>0</v>
      </c>
      <c r="N20056" t="n">
        <v>0</v>
      </c>
      <c r="O20056" t="n">
        <v>0</v>
      </c>
      <c r="P20056" t="n">
        <v>0</v>
      </c>
      <c r="Q20056" t="n">
        <v>0</v>
      </c>
      <c r="R20056" s="2" t="inlineStr"/>
    </row>
    <row r="20057" ht="15" customHeight="1">
      <c r="A20057" t="inlineStr">
        <is>
          <t>A 22461-2025</t>
        </is>
      </c>
      <c r="B20057" s="1" t="n">
        <v>45786</v>
      </c>
      <c r="C20057" s="1" t="n">
        <v>45810</v>
      </c>
      <c r="D20057" t="inlineStr">
        <is>
          <t>VÄRMLANDS LÄN</t>
        </is>
      </c>
      <c r="E20057" t="inlineStr">
        <is>
          <t>HAGFORS</t>
        </is>
      </c>
      <c r="G20057" t="n">
        <v>0.8</v>
      </c>
      <c r="H20057" t="n">
        <v>0</v>
      </c>
      <c r="I20057" t="n">
        <v>0</v>
      </c>
      <c r="J20057" t="n">
        <v>0</v>
      </c>
      <c r="K20057" t="n">
        <v>0</v>
      </c>
      <c r="L20057" t="n">
        <v>0</v>
      </c>
      <c r="M20057" t="n">
        <v>0</v>
      </c>
      <c r="N20057" t="n">
        <v>0</v>
      </c>
      <c r="O20057" t="n">
        <v>0</v>
      </c>
      <c r="P20057" t="n">
        <v>0</v>
      </c>
      <c r="Q20057" t="n">
        <v>0</v>
      </c>
      <c r="R20057" s="2" t="inlineStr"/>
    </row>
    <row r="20058" ht="15" customHeight="1">
      <c r="A20058" t="inlineStr">
        <is>
          <t>A 22316-2025</t>
        </is>
      </c>
      <c r="B20058" s="1" t="n">
        <v>45786</v>
      </c>
      <c r="C20058" s="1" t="n">
        <v>45810</v>
      </c>
      <c r="D20058" t="inlineStr">
        <is>
          <t>VÄRMLANDS LÄN</t>
        </is>
      </c>
      <c r="E20058" t="inlineStr">
        <is>
          <t>TORSBY</t>
        </is>
      </c>
      <c r="F20058" t="inlineStr">
        <is>
          <t>Bergvik skog väst AB</t>
        </is>
      </c>
      <c r="G20058" t="n">
        <v>1.6</v>
      </c>
      <c r="H20058" t="n">
        <v>0</v>
      </c>
      <c r="I20058" t="n">
        <v>0</v>
      </c>
      <c r="J20058" t="n">
        <v>0</v>
      </c>
      <c r="K20058" t="n">
        <v>0</v>
      </c>
      <c r="L20058" t="n">
        <v>0</v>
      </c>
      <c r="M20058" t="n">
        <v>0</v>
      </c>
      <c r="N20058" t="n">
        <v>0</v>
      </c>
      <c r="O20058" t="n">
        <v>0</v>
      </c>
      <c r="P20058" t="n">
        <v>0</v>
      </c>
      <c r="Q20058" t="n">
        <v>0</v>
      </c>
      <c r="R20058" s="2" t="inlineStr"/>
    </row>
    <row r="20059" ht="15" customHeight="1">
      <c r="A20059" t="inlineStr">
        <is>
          <t>A 22339-2025</t>
        </is>
      </c>
      <c r="B20059" s="1" t="n">
        <v>45786</v>
      </c>
      <c r="C20059" s="1" t="n">
        <v>45810</v>
      </c>
      <c r="D20059" t="inlineStr">
        <is>
          <t>VÄRMLANDS LÄN</t>
        </is>
      </c>
      <c r="E20059" t="inlineStr">
        <is>
          <t>TORSBY</t>
        </is>
      </c>
      <c r="F20059" t="inlineStr">
        <is>
          <t>Bergvik skog väst AB</t>
        </is>
      </c>
      <c r="G20059" t="n">
        <v>0.6</v>
      </c>
      <c r="H20059" t="n">
        <v>0</v>
      </c>
      <c r="I20059" t="n">
        <v>0</v>
      </c>
      <c r="J20059" t="n">
        <v>0</v>
      </c>
      <c r="K20059" t="n">
        <v>0</v>
      </c>
      <c r="L20059" t="n">
        <v>0</v>
      </c>
      <c r="M20059" t="n">
        <v>0</v>
      </c>
      <c r="N20059" t="n">
        <v>0</v>
      </c>
      <c r="O20059" t="n">
        <v>0</v>
      </c>
      <c r="P20059" t="n">
        <v>0</v>
      </c>
      <c r="Q20059" t="n">
        <v>0</v>
      </c>
      <c r="R20059" s="2" t="inlineStr"/>
    </row>
    <row r="20060" ht="15" customHeight="1">
      <c r="A20060" t="inlineStr">
        <is>
          <t>A 22472-2025</t>
        </is>
      </c>
      <c r="B20060" s="1" t="n">
        <v>45786</v>
      </c>
      <c r="C20060" s="1" t="n">
        <v>45810</v>
      </c>
      <c r="D20060" t="inlineStr">
        <is>
          <t>VÄRMLANDS LÄN</t>
        </is>
      </c>
      <c r="E20060" t="inlineStr">
        <is>
          <t>HAGFORS</t>
        </is>
      </c>
      <c r="G20060" t="n">
        <v>2.8</v>
      </c>
      <c r="H20060" t="n">
        <v>0</v>
      </c>
      <c r="I20060" t="n">
        <v>0</v>
      </c>
      <c r="J20060" t="n">
        <v>0</v>
      </c>
      <c r="K20060" t="n">
        <v>0</v>
      </c>
      <c r="L20060" t="n">
        <v>0</v>
      </c>
      <c r="M20060" t="n">
        <v>0</v>
      </c>
      <c r="N20060" t="n">
        <v>0</v>
      </c>
      <c r="O20060" t="n">
        <v>0</v>
      </c>
      <c r="P20060" t="n">
        <v>0</v>
      </c>
      <c r="Q20060" t="n">
        <v>0</v>
      </c>
      <c r="R20060" s="2" t="inlineStr"/>
    </row>
    <row r="20061" ht="15" customHeight="1">
      <c r="A20061" t="inlineStr">
        <is>
          <t>A 22315-2025</t>
        </is>
      </c>
      <c r="B20061" s="1" t="n">
        <v>45786</v>
      </c>
      <c r="C20061" s="1" t="n">
        <v>45810</v>
      </c>
      <c r="D20061" t="inlineStr">
        <is>
          <t>VÄRMLANDS LÄN</t>
        </is>
      </c>
      <c r="E20061" t="inlineStr">
        <is>
          <t>TORSBY</t>
        </is>
      </c>
      <c r="F20061" t="inlineStr">
        <is>
          <t>Bergvik skog väst AB</t>
        </is>
      </c>
      <c r="G20061" t="n">
        <v>8.1</v>
      </c>
      <c r="H20061" t="n">
        <v>0</v>
      </c>
      <c r="I20061" t="n">
        <v>0</v>
      </c>
      <c r="J20061" t="n">
        <v>0</v>
      </c>
      <c r="K20061" t="n">
        <v>0</v>
      </c>
      <c r="L20061" t="n">
        <v>0</v>
      </c>
      <c r="M20061" t="n">
        <v>0</v>
      </c>
      <c r="N20061" t="n">
        <v>0</v>
      </c>
      <c r="O20061" t="n">
        <v>0</v>
      </c>
      <c r="P20061" t="n">
        <v>0</v>
      </c>
      <c r="Q20061" t="n">
        <v>0</v>
      </c>
      <c r="R20061" s="2" t="inlineStr"/>
    </row>
    <row r="20062" ht="15" customHeight="1">
      <c r="A20062" t="inlineStr">
        <is>
          <t>A 22320-2025</t>
        </is>
      </c>
      <c r="B20062" s="1" t="n">
        <v>45786</v>
      </c>
      <c r="C20062" s="1" t="n">
        <v>45810</v>
      </c>
      <c r="D20062" t="inlineStr">
        <is>
          <t>VÄRMLANDS LÄN</t>
        </is>
      </c>
      <c r="E20062" t="inlineStr">
        <is>
          <t>TORSBY</t>
        </is>
      </c>
      <c r="F20062" t="inlineStr">
        <is>
          <t>Bergvik skog väst AB</t>
        </is>
      </c>
      <c r="G20062" t="n">
        <v>0.6</v>
      </c>
      <c r="H20062" t="n">
        <v>0</v>
      </c>
      <c r="I20062" t="n">
        <v>0</v>
      </c>
      <c r="J20062" t="n">
        <v>0</v>
      </c>
      <c r="K20062" t="n">
        <v>0</v>
      </c>
      <c r="L20062" t="n">
        <v>0</v>
      </c>
      <c r="M20062" t="n">
        <v>0</v>
      </c>
      <c r="N20062" t="n">
        <v>0</v>
      </c>
      <c r="O20062" t="n">
        <v>0</v>
      </c>
      <c r="P20062" t="n">
        <v>0</v>
      </c>
      <c r="Q20062" t="n">
        <v>0</v>
      </c>
      <c r="R20062" s="2" t="inlineStr"/>
    </row>
    <row r="20063" ht="15" customHeight="1">
      <c r="A20063" t="inlineStr">
        <is>
          <t>A 22331-2025</t>
        </is>
      </c>
      <c r="B20063" s="1" t="n">
        <v>45786</v>
      </c>
      <c r="C20063" s="1" t="n">
        <v>45810</v>
      </c>
      <c r="D20063" t="inlineStr">
        <is>
          <t>VÄRMLANDS LÄN</t>
        </is>
      </c>
      <c r="E20063" t="inlineStr">
        <is>
          <t>TORSBY</t>
        </is>
      </c>
      <c r="F20063" t="inlineStr">
        <is>
          <t>Bergvik skog väst AB</t>
        </is>
      </c>
      <c r="G20063" t="n">
        <v>13.5</v>
      </c>
      <c r="H20063" t="n">
        <v>0</v>
      </c>
      <c r="I20063" t="n">
        <v>0</v>
      </c>
      <c r="J20063" t="n">
        <v>0</v>
      </c>
      <c r="K20063" t="n">
        <v>0</v>
      </c>
      <c r="L20063" t="n">
        <v>0</v>
      </c>
      <c r="M20063" t="n">
        <v>0</v>
      </c>
      <c r="N20063" t="n">
        <v>0</v>
      </c>
      <c r="O20063" t="n">
        <v>0</v>
      </c>
      <c r="P20063" t="n">
        <v>0</v>
      </c>
      <c r="Q20063" t="n">
        <v>0</v>
      </c>
      <c r="R20063" s="2" t="inlineStr"/>
    </row>
    <row r="20064" ht="15" customHeight="1">
      <c r="A20064" t="inlineStr">
        <is>
          <t>A 22341-2025</t>
        </is>
      </c>
      <c r="B20064" s="1" t="n">
        <v>45786</v>
      </c>
      <c r="C20064" s="1" t="n">
        <v>45810</v>
      </c>
      <c r="D20064" t="inlineStr">
        <is>
          <t>VÄRMLANDS LÄN</t>
        </is>
      </c>
      <c r="E20064" t="inlineStr">
        <is>
          <t>STORFORS</t>
        </is>
      </c>
      <c r="F20064" t="inlineStr">
        <is>
          <t>Bergvik skog väst AB</t>
        </is>
      </c>
      <c r="G20064" t="n">
        <v>34</v>
      </c>
      <c r="H20064" t="n">
        <v>0</v>
      </c>
      <c r="I20064" t="n">
        <v>0</v>
      </c>
      <c r="J20064" t="n">
        <v>0</v>
      </c>
      <c r="K20064" t="n">
        <v>0</v>
      </c>
      <c r="L20064" t="n">
        <v>0</v>
      </c>
      <c r="M20064" t="n">
        <v>0</v>
      </c>
      <c r="N20064" t="n">
        <v>0</v>
      </c>
      <c r="O20064" t="n">
        <v>0</v>
      </c>
      <c r="P20064" t="n">
        <v>0</v>
      </c>
      <c r="Q20064" t="n">
        <v>0</v>
      </c>
      <c r="R20064" s="2" t="inlineStr"/>
    </row>
    <row r="20065" ht="15" customHeight="1">
      <c r="A20065" t="inlineStr">
        <is>
          <t>A 22537-2025</t>
        </is>
      </c>
      <c r="B20065" s="1" t="n">
        <v>45787</v>
      </c>
      <c r="C20065" s="1" t="n">
        <v>45810</v>
      </c>
      <c r="D20065" t="inlineStr">
        <is>
          <t>VÄRMLANDS LÄN</t>
        </is>
      </c>
      <c r="E20065" t="inlineStr">
        <is>
          <t>GRUMS</t>
        </is>
      </c>
      <c r="G20065" t="n">
        <v>0.8</v>
      </c>
      <c r="H20065" t="n">
        <v>0</v>
      </c>
      <c r="I20065" t="n">
        <v>0</v>
      </c>
      <c r="J20065" t="n">
        <v>0</v>
      </c>
      <c r="K20065" t="n">
        <v>0</v>
      </c>
      <c r="L20065" t="n">
        <v>0</v>
      </c>
      <c r="M20065" t="n">
        <v>0</v>
      </c>
      <c r="N20065" t="n">
        <v>0</v>
      </c>
      <c r="O20065" t="n">
        <v>0</v>
      </c>
      <c r="P20065" t="n">
        <v>0</v>
      </c>
      <c r="Q20065" t="n">
        <v>0</v>
      </c>
      <c r="R20065" s="2" t="inlineStr"/>
    </row>
    <row r="20066" ht="15" customHeight="1">
      <c r="A20066" t="inlineStr">
        <is>
          <t>A 22544-2025</t>
        </is>
      </c>
      <c r="B20066" s="1" t="n">
        <v>45788</v>
      </c>
      <c r="C20066" s="1" t="n">
        <v>45810</v>
      </c>
      <c r="D20066" t="inlineStr">
        <is>
          <t>VÄRMLANDS LÄN</t>
        </is>
      </c>
      <c r="E20066" t="inlineStr">
        <is>
          <t>SUNNE</t>
        </is>
      </c>
      <c r="G20066" t="n">
        <v>6</v>
      </c>
      <c r="H20066" t="n">
        <v>0</v>
      </c>
      <c r="I20066" t="n">
        <v>0</v>
      </c>
      <c r="J20066" t="n">
        <v>0</v>
      </c>
      <c r="K20066" t="n">
        <v>0</v>
      </c>
      <c r="L20066" t="n">
        <v>0</v>
      </c>
      <c r="M20066" t="n">
        <v>0</v>
      </c>
      <c r="N20066" t="n">
        <v>0</v>
      </c>
      <c r="O20066" t="n">
        <v>0</v>
      </c>
      <c r="P20066" t="n">
        <v>0</v>
      </c>
      <c r="Q20066" t="n">
        <v>0</v>
      </c>
      <c r="R20066" s="2" t="inlineStr"/>
    </row>
    <row r="20067" ht="15" customHeight="1">
      <c r="A20067" t="inlineStr">
        <is>
          <t>A 22547-2025</t>
        </is>
      </c>
      <c r="B20067" s="1" t="n">
        <v>45788</v>
      </c>
      <c r="C20067" s="1" t="n">
        <v>45810</v>
      </c>
      <c r="D20067" t="inlineStr">
        <is>
          <t>VÄRMLANDS LÄN</t>
        </is>
      </c>
      <c r="E20067" t="inlineStr">
        <is>
          <t>FILIPSTAD</t>
        </is>
      </c>
      <c r="G20067" t="n">
        <v>3</v>
      </c>
      <c r="H20067" t="n">
        <v>0</v>
      </c>
      <c r="I20067" t="n">
        <v>0</v>
      </c>
      <c r="J20067" t="n">
        <v>0</v>
      </c>
      <c r="K20067" t="n">
        <v>0</v>
      </c>
      <c r="L20067" t="n">
        <v>0</v>
      </c>
      <c r="M20067" t="n">
        <v>0</v>
      </c>
      <c r="N20067" t="n">
        <v>0</v>
      </c>
      <c r="O20067" t="n">
        <v>0</v>
      </c>
      <c r="P20067" t="n">
        <v>0</v>
      </c>
      <c r="Q20067" t="n">
        <v>0</v>
      </c>
      <c r="R20067" s="2" t="inlineStr"/>
    </row>
    <row r="20068" ht="15" customHeight="1">
      <c r="A20068" t="inlineStr">
        <is>
          <t>A 22556-2025</t>
        </is>
      </c>
      <c r="B20068" s="1" t="n">
        <v>45789</v>
      </c>
      <c r="C20068" s="1" t="n">
        <v>45810</v>
      </c>
      <c r="D20068" t="inlineStr">
        <is>
          <t>VÄRMLANDS LÄN</t>
        </is>
      </c>
      <c r="E20068" t="inlineStr">
        <is>
          <t>ÅRJÄNG</t>
        </is>
      </c>
      <c r="G20068" t="n">
        <v>1.9</v>
      </c>
      <c r="H20068" t="n">
        <v>0</v>
      </c>
      <c r="I20068" t="n">
        <v>0</v>
      </c>
      <c r="J20068" t="n">
        <v>0</v>
      </c>
      <c r="K20068" t="n">
        <v>0</v>
      </c>
      <c r="L20068" t="n">
        <v>0</v>
      </c>
      <c r="M20068" t="n">
        <v>0</v>
      </c>
      <c r="N20068" t="n">
        <v>0</v>
      </c>
      <c r="O20068" t="n">
        <v>0</v>
      </c>
      <c r="P20068" t="n">
        <v>0</v>
      </c>
      <c r="Q20068" t="n">
        <v>0</v>
      </c>
      <c r="R20068" s="2" t="inlineStr"/>
    </row>
    <row r="20069" ht="15" customHeight="1">
      <c r="A20069" t="inlineStr">
        <is>
          <t>A 22714-2025</t>
        </is>
      </c>
      <c r="B20069" s="1" t="n">
        <v>45788</v>
      </c>
      <c r="C20069" s="1" t="n">
        <v>45810</v>
      </c>
      <c r="D20069" t="inlineStr">
        <is>
          <t>VÄRMLANDS LÄN</t>
        </is>
      </c>
      <c r="E20069" t="inlineStr">
        <is>
          <t>ARVIKA</t>
        </is>
      </c>
      <c r="G20069" t="n">
        <v>2.3</v>
      </c>
      <c r="H20069" t="n">
        <v>0</v>
      </c>
      <c r="I20069" t="n">
        <v>0</v>
      </c>
      <c r="J20069" t="n">
        <v>0</v>
      </c>
      <c r="K20069" t="n">
        <v>0</v>
      </c>
      <c r="L20069" t="n">
        <v>0</v>
      </c>
      <c r="M20069" t="n">
        <v>0</v>
      </c>
      <c r="N20069" t="n">
        <v>0</v>
      </c>
      <c r="O20069" t="n">
        <v>0</v>
      </c>
      <c r="P20069" t="n">
        <v>0</v>
      </c>
      <c r="Q20069" t="n">
        <v>0</v>
      </c>
      <c r="R20069" s="2" t="inlineStr"/>
    </row>
    <row r="20070" ht="15" customHeight="1">
      <c r="A20070" t="inlineStr">
        <is>
          <t>A 22644-2025</t>
        </is>
      </c>
      <c r="B20070" s="1" t="n">
        <v>45789</v>
      </c>
      <c r="C20070" s="1" t="n">
        <v>45810</v>
      </c>
      <c r="D20070" t="inlineStr">
        <is>
          <t>VÄRMLANDS LÄN</t>
        </is>
      </c>
      <c r="E20070" t="inlineStr">
        <is>
          <t>KARLSTAD</t>
        </is>
      </c>
      <c r="F20070" t="inlineStr">
        <is>
          <t>Bergvik skog väst AB</t>
        </is>
      </c>
      <c r="G20070" t="n">
        <v>13.8</v>
      </c>
      <c r="H20070" t="n">
        <v>0</v>
      </c>
      <c r="I20070" t="n">
        <v>0</v>
      </c>
      <c r="J20070" t="n">
        <v>0</v>
      </c>
      <c r="K20070" t="n">
        <v>0</v>
      </c>
      <c r="L20070" t="n">
        <v>0</v>
      </c>
      <c r="M20070" t="n">
        <v>0</v>
      </c>
      <c r="N20070" t="n">
        <v>0</v>
      </c>
      <c r="O20070" t="n">
        <v>0</v>
      </c>
      <c r="P20070" t="n">
        <v>0</v>
      </c>
      <c r="Q20070" t="n">
        <v>0</v>
      </c>
      <c r="R20070" s="2" t="inlineStr"/>
    </row>
    <row r="20071" ht="15" customHeight="1">
      <c r="A20071" t="inlineStr">
        <is>
          <t>A 22699-2025</t>
        </is>
      </c>
      <c r="B20071" s="1" t="n">
        <v>45789</v>
      </c>
      <c r="C20071" s="1" t="n">
        <v>45810</v>
      </c>
      <c r="D20071" t="inlineStr">
        <is>
          <t>VÄRMLANDS LÄN</t>
        </is>
      </c>
      <c r="E20071" t="inlineStr">
        <is>
          <t>KARLSTAD</t>
        </is>
      </c>
      <c r="F20071" t="inlineStr">
        <is>
          <t>Bergvik skog väst AB</t>
        </is>
      </c>
      <c r="G20071" t="n">
        <v>0.9</v>
      </c>
      <c r="H20071" t="n">
        <v>0</v>
      </c>
      <c r="I20071" t="n">
        <v>0</v>
      </c>
      <c r="J20071" t="n">
        <v>0</v>
      </c>
      <c r="K20071" t="n">
        <v>0</v>
      </c>
      <c r="L20071" t="n">
        <v>0</v>
      </c>
      <c r="M20071" t="n">
        <v>0</v>
      </c>
      <c r="N20071" t="n">
        <v>0</v>
      </c>
      <c r="O20071" t="n">
        <v>0</v>
      </c>
      <c r="P20071" t="n">
        <v>0</v>
      </c>
      <c r="Q20071" t="n">
        <v>0</v>
      </c>
      <c r="R20071" s="2" t="inlineStr"/>
    </row>
    <row r="20072" ht="15" customHeight="1">
      <c r="A20072" t="inlineStr">
        <is>
          <t>A 22717-2025</t>
        </is>
      </c>
      <c r="B20072" s="1" t="n">
        <v>45789</v>
      </c>
      <c r="C20072" s="1" t="n">
        <v>45810</v>
      </c>
      <c r="D20072" t="inlineStr">
        <is>
          <t>VÄRMLANDS LÄN</t>
        </is>
      </c>
      <c r="E20072" t="inlineStr">
        <is>
          <t>SÄFFLE</t>
        </is>
      </c>
      <c r="G20072" t="n">
        <v>1.3</v>
      </c>
      <c r="H20072" t="n">
        <v>0</v>
      </c>
      <c r="I20072" t="n">
        <v>0</v>
      </c>
      <c r="J20072" t="n">
        <v>0</v>
      </c>
      <c r="K20072" t="n">
        <v>0</v>
      </c>
      <c r="L20072" t="n">
        <v>0</v>
      </c>
      <c r="M20072" t="n">
        <v>0</v>
      </c>
      <c r="N20072" t="n">
        <v>0</v>
      </c>
      <c r="O20072" t="n">
        <v>0</v>
      </c>
      <c r="P20072" t="n">
        <v>0</v>
      </c>
      <c r="Q20072" t="n">
        <v>0</v>
      </c>
      <c r="R20072" s="2" t="inlineStr"/>
    </row>
    <row r="20073" ht="15" customHeight="1">
      <c r="A20073" t="inlineStr">
        <is>
          <t>A 22593-2025</t>
        </is>
      </c>
      <c r="B20073" s="1" t="n">
        <v>45789</v>
      </c>
      <c r="C20073" s="1" t="n">
        <v>45810</v>
      </c>
      <c r="D20073" t="inlineStr">
        <is>
          <t>VÄRMLANDS LÄN</t>
        </is>
      </c>
      <c r="E20073" t="inlineStr">
        <is>
          <t>TORSBY</t>
        </is>
      </c>
      <c r="F20073" t="inlineStr">
        <is>
          <t>Bergvik skog väst AB</t>
        </is>
      </c>
      <c r="G20073" t="n">
        <v>0.3</v>
      </c>
      <c r="H20073" t="n">
        <v>0</v>
      </c>
      <c r="I20073" t="n">
        <v>0</v>
      </c>
      <c r="J20073" t="n">
        <v>0</v>
      </c>
      <c r="K20073" t="n">
        <v>0</v>
      </c>
      <c r="L20073" t="n">
        <v>0</v>
      </c>
      <c r="M20073" t="n">
        <v>0</v>
      </c>
      <c r="N20073" t="n">
        <v>0</v>
      </c>
      <c r="O20073" t="n">
        <v>0</v>
      </c>
      <c r="P20073" t="n">
        <v>0</v>
      </c>
      <c r="Q20073" t="n">
        <v>0</v>
      </c>
      <c r="R20073" s="2" t="inlineStr"/>
    </row>
    <row r="20074" ht="15" customHeight="1">
      <c r="A20074" t="inlineStr">
        <is>
          <t>A 22596-2025</t>
        </is>
      </c>
      <c r="B20074" s="1" t="n">
        <v>45789</v>
      </c>
      <c r="C20074" s="1" t="n">
        <v>45810</v>
      </c>
      <c r="D20074" t="inlineStr">
        <is>
          <t>VÄRMLANDS LÄN</t>
        </is>
      </c>
      <c r="E20074" t="inlineStr">
        <is>
          <t>TORSBY</t>
        </is>
      </c>
      <c r="F20074" t="inlineStr">
        <is>
          <t>Bergvik skog väst AB</t>
        </is>
      </c>
      <c r="G20074" t="n">
        <v>2.2</v>
      </c>
      <c r="H20074" t="n">
        <v>0</v>
      </c>
      <c r="I20074" t="n">
        <v>0</v>
      </c>
      <c r="J20074" t="n">
        <v>0</v>
      </c>
      <c r="K20074" t="n">
        <v>0</v>
      </c>
      <c r="L20074" t="n">
        <v>0</v>
      </c>
      <c r="M20074" t="n">
        <v>0</v>
      </c>
      <c r="N20074" t="n">
        <v>0</v>
      </c>
      <c r="O20074" t="n">
        <v>0</v>
      </c>
      <c r="P20074" t="n">
        <v>0</v>
      </c>
      <c r="Q20074" t="n">
        <v>0</v>
      </c>
      <c r="R20074" s="2" t="inlineStr"/>
    </row>
    <row r="20075" ht="15" customHeight="1">
      <c r="A20075" t="inlineStr">
        <is>
          <t>A 22667-2025</t>
        </is>
      </c>
      <c r="B20075" s="1" t="n">
        <v>45789</v>
      </c>
      <c r="C20075" s="1" t="n">
        <v>45810</v>
      </c>
      <c r="D20075" t="inlineStr">
        <is>
          <t>VÄRMLANDS LÄN</t>
        </is>
      </c>
      <c r="E20075" t="inlineStr">
        <is>
          <t>ÅRJÄNG</t>
        </is>
      </c>
      <c r="G20075" t="n">
        <v>4.4</v>
      </c>
      <c r="H20075" t="n">
        <v>0</v>
      </c>
      <c r="I20075" t="n">
        <v>0</v>
      </c>
      <c r="J20075" t="n">
        <v>0</v>
      </c>
      <c r="K20075" t="n">
        <v>0</v>
      </c>
      <c r="L20075" t="n">
        <v>0</v>
      </c>
      <c r="M20075" t="n">
        <v>0</v>
      </c>
      <c r="N20075" t="n">
        <v>0</v>
      </c>
      <c r="O20075" t="n">
        <v>0</v>
      </c>
      <c r="P20075" t="n">
        <v>0</v>
      </c>
      <c r="Q20075" t="n">
        <v>0</v>
      </c>
      <c r="R20075" s="2" t="inlineStr"/>
    </row>
    <row r="20076" ht="15" customHeight="1">
      <c r="A20076" t="inlineStr">
        <is>
          <t>A 22715-2025</t>
        </is>
      </c>
      <c r="B20076" s="1" t="n">
        <v>45789</v>
      </c>
      <c r="C20076" s="1" t="n">
        <v>45810</v>
      </c>
      <c r="D20076" t="inlineStr">
        <is>
          <t>VÄRMLANDS LÄN</t>
        </is>
      </c>
      <c r="E20076" t="inlineStr">
        <is>
          <t>TORSBY</t>
        </is>
      </c>
      <c r="F20076" t="inlineStr">
        <is>
          <t>Kyrkan</t>
        </is>
      </c>
      <c r="G20076" t="n">
        <v>2</v>
      </c>
      <c r="H20076" t="n">
        <v>0</v>
      </c>
      <c r="I20076" t="n">
        <v>0</v>
      </c>
      <c r="J20076" t="n">
        <v>0</v>
      </c>
      <c r="K20076" t="n">
        <v>0</v>
      </c>
      <c r="L20076" t="n">
        <v>0</v>
      </c>
      <c r="M20076" t="n">
        <v>0</v>
      </c>
      <c r="N20076" t="n">
        <v>0</v>
      </c>
      <c r="O20076" t="n">
        <v>0</v>
      </c>
      <c r="P20076" t="n">
        <v>0</v>
      </c>
      <c r="Q20076" t="n">
        <v>0</v>
      </c>
      <c r="R20076" s="2" t="inlineStr"/>
    </row>
    <row r="20077" ht="15" customHeight="1">
      <c r="A20077" t="inlineStr">
        <is>
          <t>A 22727-2025</t>
        </is>
      </c>
      <c r="B20077" s="1" t="n">
        <v>45789</v>
      </c>
      <c r="C20077" s="1" t="n">
        <v>45810</v>
      </c>
      <c r="D20077" t="inlineStr">
        <is>
          <t>VÄRMLANDS LÄN</t>
        </is>
      </c>
      <c r="E20077" t="inlineStr">
        <is>
          <t>ÅRJÄNG</t>
        </is>
      </c>
      <c r="G20077" t="n">
        <v>1.4</v>
      </c>
      <c r="H20077" t="n">
        <v>0</v>
      </c>
      <c r="I20077" t="n">
        <v>0</v>
      </c>
      <c r="J20077" t="n">
        <v>0</v>
      </c>
      <c r="K20077" t="n">
        <v>0</v>
      </c>
      <c r="L20077" t="n">
        <v>0</v>
      </c>
      <c r="M20077" t="n">
        <v>0</v>
      </c>
      <c r="N20077" t="n">
        <v>0</v>
      </c>
      <c r="O20077" t="n">
        <v>0</v>
      </c>
      <c r="P20077" t="n">
        <v>0</v>
      </c>
      <c r="Q20077" t="n">
        <v>0</v>
      </c>
      <c r="R20077" s="2" t="inlineStr"/>
    </row>
    <row r="20078" ht="15" customHeight="1">
      <c r="A20078" t="inlineStr">
        <is>
          <t>A 22835-2025</t>
        </is>
      </c>
      <c r="B20078" s="1" t="n">
        <v>45789</v>
      </c>
      <c r="C20078" s="1" t="n">
        <v>45810</v>
      </c>
      <c r="D20078" t="inlineStr">
        <is>
          <t>VÄRMLANDS LÄN</t>
        </is>
      </c>
      <c r="E20078" t="inlineStr">
        <is>
          <t>ARVIKA</t>
        </is>
      </c>
      <c r="G20078" t="n">
        <v>1.8</v>
      </c>
      <c r="H20078" t="n">
        <v>0</v>
      </c>
      <c r="I20078" t="n">
        <v>0</v>
      </c>
      <c r="J20078" t="n">
        <v>0</v>
      </c>
      <c r="K20078" t="n">
        <v>0</v>
      </c>
      <c r="L20078" t="n">
        <v>0</v>
      </c>
      <c r="M20078" t="n">
        <v>0</v>
      </c>
      <c r="N20078" t="n">
        <v>0</v>
      </c>
      <c r="O20078" t="n">
        <v>0</v>
      </c>
      <c r="P20078" t="n">
        <v>0</v>
      </c>
      <c r="Q20078" t="n">
        <v>0</v>
      </c>
      <c r="R20078" s="2" t="inlineStr"/>
    </row>
    <row r="20079" ht="15" customHeight="1">
      <c r="A20079" t="inlineStr">
        <is>
          <t>A 22558-2025</t>
        </is>
      </c>
      <c r="B20079" s="1" t="n">
        <v>45789</v>
      </c>
      <c r="C20079" s="1" t="n">
        <v>45810</v>
      </c>
      <c r="D20079" t="inlineStr">
        <is>
          <t>VÄRMLANDS LÄN</t>
        </is>
      </c>
      <c r="E20079" t="inlineStr">
        <is>
          <t>FILIPSTAD</t>
        </is>
      </c>
      <c r="G20079" t="n">
        <v>3.6</v>
      </c>
      <c r="H20079" t="n">
        <v>0</v>
      </c>
      <c r="I20079" t="n">
        <v>0</v>
      </c>
      <c r="J20079" t="n">
        <v>0</v>
      </c>
      <c r="K20079" t="n">
        <v>0</v>
      </c>
      <c r="L20079" t="n">
        <v>0</v>
      </c>
      <c r="M20079" t="n">
        <v>0</v>
      </c>
      <c r="N20079" t="n">
        <v>0</v>
      </c>
      <c r="O20079" t="n">
        <v>0</v>
      </c>
      <c r="P20079" t="n">
        <v>0</v>
      </c>
      <c r="Q20079" t="n">
        <v>0</v>
      </c>
      <c r="R20079" s="2" t="inlineStr"/>
    </row>
    <row r="20080" ht="15" customHeight="1">
      <c r="A20080" t="inlineStr">
        <is>
          <t>A 22648-2025</t>
        </is>
      </c>
      <c r="B20080" s="1" t="n">
        <v>45789</v>
      </c>
      <c r="C20080" s="1" t="n">
        <v>45810</v>
      </c>
      <c r="D20080" t="inlineStr">
        <is>
          <t>VÄRMLANDS LÄN</t>
        </is>
      </c>
      <c r="E20080" t="inlineStr">
        <is>
          <t>HAGFORS</t>
        </is>
      </c>
      <c r="G20080" t="n">
        <v>12.3</v>
      </c>
      <c r="H20080" t="n">
        <v>0</v>
      </c>
      <c r="I20080" t="n">
        <v>0</v>
      </c>
      <c r="J20080" t="n">
        <v>0</v>
      </c>
      <c r="K20080" t="n">
        <v>0</v>
      </c>
      <c r="L20080" t="n">
        <v>0</v>
      </c>
      <c r="M20080" t="n">
        <v>0</v>
      </c>
      <c r="N20080" t="n">
        <v>0</v>
      </c>
      <c r="O20080" t="n">
        <v>0</v>
      </c>
      <c r="P20080" t="n">
        <v>0</v>
      </c>
      <c r="Q20080" t="n">
        <v>0</v>
      </c>
      <c r="R20080" s="2" t="inlineStr"/>
    </row>
    <row r="20081" ht="15" customHeight="1">
      <c r="A20081" t="inlineStr">
        <is>
          <t>A 22757-2025</t>
        </is>
      </c>
      <c r="B20081" s="1" t="n">
        <v>45789</v>
      </c>
      <c r="C20081" s="1" t="n">
        <v>45810</v>
      </c>
      <c r="D20081" t="inlineStr">
        <is>
          <t>VÄRMLANDS LÄN</t>
        </is>
      </c>
      <c r="E20081" t="inlineStr">
        <is>
          <t>TORSBY</t>
        </is>
      </c>
      <c r="G20081" t="n">
        <v>7.1</v>
      </c>
      <c r="H20081" t="n">
        <v>0</v>
      </c>
      <c r="I20081" t="n">
        <v>0</v>
      </c>
      <c r="J20081" t="n">
        <v>0</v>
      </c>
      <c r="K20081" t="n">
        <v>0</v>
      </c>
      <c r="L20081" t="n">
        <v>0</v>
      </c>
      <c r="M20081" t="n">
        <v>0</v>
      </c>
      <c r="N20081" t="n">
        <v>0</v>
      </c>
      <c r="O20081" t="n">
        <v>0</v>
      </c>
      <c r="P20081" t="n">
        <v>0</v>
      </c>
      <c r="Q20081" t="n">
        <v>0</v>
      </c>
      <c r="R20081" s="2" t="inlineStr"/>
    </row>
    <row r="20082" ht="15" customHeight="1">
      <c r="A20082" t="inlineStr">
        <is>
          <t>A 22799-2025</t>
        </is>
      </c>
      <c r="B20082" s="1" t="n">
        <v>45789</v>
      </c>
      <c r="C20082" s="1" t="n">
        <v>45810</v>
      </c>
      <c r="D20082" t="inlineStr">
        <is>
          <t>VÄRMLANDS LÄN</t>
        </is>
      </c>
      <c r="E20082" t="inlineStr">
        <is>
          <t>HAGFORS</t>
        </is>
      </c>
      <c r="F20082" t="inlineStr">
        <is>
          <t>Bergvik skog väst AB</t>
        </is>
      </c>
      <c r="G20082" t="n">
        <v>2</v>
      </c>
      <c r="H20082" t="n">
        <v>0</v>
      </c>
      <c r="I20082" t="n">
        <v>0</v>
      </c>
      <c r="J20082" t="n">
        <v>0</v>
      </c>
      <c r="K20082" t="n">
        <v>0</v>
      </c>
      <c r="L20082" t="n">
        <v>0</v>
      </c>
      <c r="M20082" t="n">
        <v>0</v>
      </c>
      <c r="N20082" t="n">
        <v>0</v>
      </c>
      <c r="O20082" t="n">
        <v>0</v>
      </c>
      <c r="P20082" t="n">
        <v>0</v>
      </c>
      <c r="Q20082" t="n">
        <v>0</v>
      </c>
      <c r="R20082" s="2" t="inlineStr"/>
    </row>
    <row r="20083" ht="15" customHeight="1">
      <c r="A20083" t="inlineStr">
        <is>
          <t>A 22708-2025</t>
        </is>
      </c>
      <c r="B20083" s="1" t="n">
        <v>45789</v>
      </c>
      <c r="C20083" s="1" t="n">
        <v>45810</v>
      </c>
      <c r="D20083" t="inlineStr">
        <is>
          <t>VÄRMLANDS LÄN</t>
        </is>
      </c>
      <c r="E20083" t="inlineStr">
        <is>
          <t>TORSBY</t>
        </is>
      </c>
      <c r="G20083" t="n">
        <v>0.9</v>
      </c>
      <c r="H20083" t="n">
        <v>0</v>
      </c>
      <c r="I20083" t="n">
        <v>0</v>
      </c>
      <c r="J20083" t="n">
        <v>0</v>
      </c>
      <c r="K20083" t="n">
        <v>0</v>
      </c>
      <c r="L20083" t="n">
        <v>0</v>
      </c>
      <c r="M20083" t="n">
        <v>0</v>
      </c>
      <c r="N20083" t="n">
        <v>0</v>
      </c>
      <c r="O20083" t="n">
        <v>0</v>
      </c>
      <c r="P20083" t="n">
        <v>0</v>
      </c>
      <c r="Q20083" t="n">
        <v>0</v>
      </c>
      <c r="R20083" s="2" t="inlineStr"/>
    </row>
    <row r="20084" ht="15" customHeight="1">
      <c r="A20084" t="inlineStr">
        <is>
          <t>A 22712-2025</t>
        </is>
      </c>
      <c r="B20084" s="1" t="n">
        <v>45789</v>
      </c>
      <c r="C20084" s="1" t="n">
        <v>45810</v>
      </c>
      <c r="D20084" t="inlineStr">
        <is>
          <t>VÄRMLANDS LÄN</t>
        </is>
      </c>
      <c r="E20084" t="inlineStr">
        <is>
          <t>KRISTINEHAMN</t>
        </is>
      </c>
      <c r="G20084" t="n">
        <v>2.3</v>
      </c>
      <c r="H20084" t="n">
        <v>0</v>
      </c>
      <c r="I20084" t="n">
        <v>0</v>
      </c>
      <c r="J20084" t="n">
        <v>0</v>
      </c>
      <c r="K20084" t="n">
        <v>0</v>
      </c>
      <c r="L20084" t="n">
        <v>0</v>
      </c>
      <c r="M20084" t="n">
        <v>0</v>
      </c>
      <c r="N20084" t="n">
        <v>0</v>
      </c>
      <c r="O20084" t="n">
        <v>0</v>
      </c>
      <c r="P20084" t="n">
        <v>0</v>
      </c>
      <c r="Q20084" t="n">
        <v>0</v>
      </c>
      <c r="R20084" s="2" t="inlineStr"/>
    </row>
    <row r="20085" ht="15" customHeight="1">
      <c r="A20085" t="inlineStr">
        <is>
          <t>A 22585-2025</t>
        </is>
      </c>
      <c r="B20085" s="1" t="n">
        <v>45789</v>
      </c>
      <c r="C20085" s="1" t="n">
        <v>45810</v>
      </c>
      <c r="D20085" t="inlineStr">
        <is>
          <t>VÄRMLANDS LÄN</t>
        </is>
      </c>
      <c r="E20085" t="inlineStr">
        <is>
          <t>KARLSTAD</t>
        </is>
      </c>
      <c r="F20085" t="inlineStr">
        <is>
          <t>Bergvik skog väst AB</t>
        </is>
      </c>
      <c r="G20085" t="n">
        <v>1.6</v>
      </c>
      <c r="H20085" t="n">
        <v>0</v>
      </c>
      <c r="I20085" t="n">
        <v>0</v>
      </c>
      <c r="J20085" t="n">
        <v>0</v>
      </c>
      <c r="K20085" t="n">
        <v>0</v>
      </c>
      <c r="L20085" t="n">
        <v>0</v>
      </c>
      <c r="M20085" t="n">
        <v>0</v>
      </c>
      <c r="N20085" t="n">
        <v>0</v>
      </c>
      <c r="O20085" t="n">
        <v>0</v>
      </c>
      <c r="P20085" t="n">
        <v>0</v>
      </c>
      <c r="Q20085" t="n">
        <v>0</v>
      </c>
      <c r="R20085" s="2" t="inlineStr"/>
    </row>
    <row r="20086" ht="15" customHeight="1">
      <c r="A20086" t="inlineStr">
        <is>
          <t>A 22589-2025</t>
        </is>
      </c>
      <c r="B20086" s="1" t="n">
        <v>45789</v>
      </c>
      <c r="C20086" s="1" t="n">
        <v>45810</v>
      </c>
      <c r="D20086" t="inlineStr">
        <is>
          <t>VÄRMLANDS LÄN</t>
        </is>
      </c>
      <c r="E20086" t="inlineStr">
        <is>
          <t>ARVIKA</t>
        </is>
      </c>
      <c r="F20086" t="inlineStr">
        <is>
          <t>Bergvik skog väst AB</t>
        </is>
      </c>
      <c r="G20086" t="n">
        <v>1.9</v>
      </c>
      <c r="H20086" t="n">
        <v>0</v>
      </c>
      <c r="I20086" t="n">
        <v>0</v>
      </c>
      <c r="J20086" t="n">
        <v>0</v>
      </c>
      <c r="K20086" t="n">
        <v>0</v>
      </c>
      <c r="L20086" t="n">
        <v>0</v>
      </c>
      <c r="M20086" t="n">
        <v>0</v>
      </c>
      <c r="N20086" t="n">
        <v>0</v>
      </c>
      <c r="O20086" t="n">
        <v>0</v>
      </c>
      <c r="P20086" t="n">
        <v>0</v>
      </c>
      <c r="Q20086" t="n">
        <v>0</v>
      </c>
      <c r="R20086" s="2" t="inlineStr"/>
    </row>
    <row r="20087" ht="15" customHeight="1">
      <c r="A20087" t="inlineStr">
        <is>
          <t>A 22834-2025</t>
        </is>
      </c>
      <c r="B20087" s="1" t="n">
        <v>45789</v>
      </c>
      <c r="C20087" s="1" t="n">
        <v>45810</v>
      </c>
      <c r="D20087" t="inlineStr">
        <is>
          <t>VÄRMLANDS LÄN</t>
        </is>
      </c>
      <c r="E20087" t="inlineStr">
        <is>
          <t>ARVIKA</t>
        </is>
      </c>
      <c r="G20087" t="n">
        <v>3.4</v>
      </c>
      <c r="H20087" t="n">
        <v>0</v>
      </c>
      <c r="I20087" t="n">
        <v>0</v>
      </c>
      <c r="J20087" t="n">
        <v>0</v>
      </c>
      <c r="K20087" t="n">
        <v>0</v>
      </c>
      <c r="L20087" t="n">
        <v>0</v>
      </c>
      <c r="M20087" t="n">
        <v>0</v>
      </c>
      <c r="N20087" t="n">
        <v>0</v>
      </c>
      <c r="O20087" t="n">
        <v>0</v>
      </c>
      <c r="P20087" t="n">
        <v>0</v>
      </c>
      <c r="Q20087" t="n">
        <v>0</v>
      </c>
      <c r="R20087" s="2" t="inlineStr"/>
    </row>
    <row r="20088" ht="15" customHeight="1">
      <c r="A20088" t="inlineStr">
        <is>
          <t>A 22836-2025</t>
        </is>
      </c>
      <c r="B20088" s="1" t="n">
        <v>45789</v>
      </c>
      <c r="C20088" s="1" t="n">
        <v>45810</v>
      </c>
      <c r="D20088" t="inlineStr">
        <is>
          <t>VÄRMLANDS LÄN</t>
        </is>
      </c>
      <c r="E20088" t="inlineStr">
        <is>
          <t>ARVIKA</t>
        </is>
      </c>
      <c r="G20088" t="n">
        <v>1.8</v>
      </c>
      <c r="H20088" t="n">
        <v>0</v>
      </c>
      <c r="I20088" t="n">
        <v>0</v>
      </c>
      <c r="J20088" t="n">
        <v>0</v>
      </c>
      <c r="K20088" t="n">
        <v>0</v>
      </c>
      <c r="L20088" t="n">
        <v>0</v>
      </c>
      <c r="M20088" t="n">
        <v>0</v>
      </c>
      <c r="N20088" t="n">
        <v>0</v>
      </c>
      <c r="O20088" t="n">
        <v>0</v>
      </c>
      <c r="P20088" t="n">
        <v>0</v>
      </c>
      <c r="Q20088" t="n">
        <v>0</v>
      </c>
      <c r="R20088" s="2" t="inlineStr"/>
    </row>
    <row r="20089" ht="15" customHeight="1">
      <c r="A20089" t="inlineStr">
        <is>
          <t>A 22718-2025</t>
        </is>
      </c>
      <c r="B20089" s="1" t="n">
        <v>45789</v>
      </c>
      <c r="C20089" s="1" t="n">
        <v>45810</v>
      </c>
      <c r="D20089" t="inlineStr">
        <is>
          <t>VÄRMLANDS LÄN</t>
        </is>
      </c>
      <c r="E20089" t="inlineStr">
        <is>
          <t>SÄFFLE</t>
        </is>
      </c>
      <c r="F20089" t="inlineStr">
        <is>
          <t>Bergvik skog väst AB</t>
        </is>
      </c>
      <c r="G20089" t="n">
        <v>3.9</v>
      </c>
      <c r="H20089" t="n">
        <v>0</v>
      </c>
      <c r="I20089" t="n">
        <v>0</v>
      </c>
      <c r="J20089" t="n">
        <v>0</v>
      </c>
      <c r="K20089" t="n">
        <v>0</v>
      </c>
      <c r="L20089" t="n">
        <v>0</v>
      </c>
      <c r="M20089" t="n">
        <v>0</v>
      </c>
      <c r="N20089" t="n">
        <v>0</v>
      </c>
      <c r="O20089" t="n">
        <v>0</v>
      </c>
      <c r="P20089" t="n">
        <v>0</v>
      </c>
      <c r="Q20089" t="n">
        <v>0</v>
      </c>
      <c r="R20089" s="2" t="inlineStr"/>
    </row>
    <row r="20090" ht="15" customHeight="1">
      <c r="A20090" t="inlineStr">
        <is>
          <t>A 22635-2025</t>
        </is>
      </c>
      <c r="B20090" s="1" t="n">
        <v>45789</v>
      </c>
      <c r="C20090" s="1" t="n">
        <v>45810</v>
      </c>
      <c r="D20090" t="inlineStr">
        <is>
          <t>VÄRMLANDS LÄN</t>
        </is>
      </c>
      <c r="E20090" t="inlineStr">
        <is>
          <t>ÅRJÄNG</t>
        </is>
      </c>
      <c r="G20090" t="n">
        <v>5.2</v>
      </c>
      <c r="H20090" t="n">
        <v>0</v>
      </c>
      <c r="I20090" t="n">
        <v>0</v>
      </c>
      <c r="J20090" t="n">
        <v>0</v>
      </c>
      <c r="K20090" t="n">
        <v>0</v>
      </c>
      <c r="L20090" t="n">
        <v>0</v>
      </c>
      <c r="M20090" t="n">
        <v>0</v>
      </c>
      <c r="N20090" t="n">
        <v>0</v>
      </c>
      <c r="O20090" t="n">
        <v>0</v>
      </c>
      <c r="P20090" t="n">
        <v>0</v>
      </c>
      <c r="Q20090" t="n">
        <v>0</v>
      </c>
      <c r="R20090" s="2" t="inlineStr"/>
    </row>
    <row r="20091" ht="15" customHeight="1">
      <c r="A20091" t="inlineStr">
        <is>
          <t>A 22626-2025</t>
        </is>
      </c>
      <c r="B20091" s="1" t="n">
        <v>45789</v>
      </c>
      <c r="C20091" s="1" t="n">
        <v>45810</v>
      </c>
      <c r="D20091" t="inlineStr">
        <is>
          <t>VÄRMLANDS LÄN</t>
        </is>
      </c>
      <c r="E20091" t="inlineStr">
        <is>
          <t>SUNNE</t>
        </is>
      </c>
      <c r="G20091" t="n">
        <v>4.4</v>
      </c>
      <c r="H20091" t="n">
        <v>0</v>
      </c>
      <c r="I20091" t="n">
        <v>0</v>
      </c>
      <c r="J20091" t="n">
        <v>0</v>
      </c>
      <c r="K20091" t="n">
        <v>0</v>
      </c>
      <c r="L20091" t="n">
        <v>0</v>
      </c>
      <c r="M20091" t="n">
        <v>0</v>
      </c>
      <c r="N20091" t="n">
        <v>0</v>
      </c>
      <c r="O20091" t="n">
        <v>0</v>
      </c>
      <c r="P20091" t="n">
        <v>0</v>
      </c>
      <c r="Q20091" t="n">
        <v>0</v>
      </c>
      <c r="R20091" s="2" t="inlineStr"/>
    </row>
    <row r="20092" ht="15" customHeight="1">
      <c r="A20092" t="inlineStr">
        <is>
          <t>A 22591-2025</t>
        </is>
      </c>
      <c r="B20092" s="1" t="n">
        <v>45789</v>
      </c>
      <c r="C20092" s="1" t="n">
        <v>45810</v>
      </c>
      <c r="D20092" t="inlineStr">
        <is>
          <t>VÄRMLANDS LÄN</t>
        </is>
      </c>
      <c r="E20092" t="inlineStr">
        <is>
          <t>KARLSTAD</t>
        </is>
      </c>
      <c r="G20092" t="n">
        <v>1.7</v>
      </c>
      <c r="H20092" t="n">
        <v>0</v>
      </c>
      <c r="I20092" t="n">
        <v>0</v>
      </c>
      <c r="J20092" t="n">
        <v>0</v>
      </c>
      <c r="K20092" t="n">
        <v>0</v>
      </c>
      <c r="L20092" t="n">
        <v>0</v>
      </c>
      <c r="M20092" t="n">
        <v>0</v>
      </c>
      <c r="N20092" t="n">
        <v>0</v>
      </c>
      <c r="O20092" t="n">
        <v>0</v>
      </c>
      <c r="P20092" t="n">
        <v>0</v>
      </c>
      <c r="Q20092" t="n">
        <v>0</v>
      </c>
      <c r="R20092" s="2" t="inlineStr"/>
    </row>
    <row r="20093" ht="15" customHeight="1">
      <c r="A20093" t="inlineStr">
        <is>
          <t>A 22604-2025</t>
        </is>
      </c>
      <c r="B20093" s="1" t="n">
        <v>45789</v>
      </c>
      <c r="C20093" s="1" t="n">
        <v>45810</v>
      </c>
      <c r="D20093" t="inlineStr">
        <is>
          <t>VÄRMLANDS LÄN</t>
        </is>
      </c>
      <c r="E20093" t="inlineStr">
        <is>
          <t>TORSBY</t>
        </is>
      </c>
      <c r="G20093" t="n">
        <v>13.3</v>
      </c>
      <c r="H20093" t="n">
        <v>0</v>
      </c>
      <c r="I20093" t="n">
        <v>0</v>
      </c>
      <c r="J20093" t="n">
        <v>0</v>
      </c>
      <c r="K20093" t="n">
        <v>0</v>
      </c>
      <c r="L20093" t="n">
        <v>0</v>
      </c>
      <c r="M20093" t="n">
        <v>0</v>
      </c>
      <c r="N20093" t="n">
        <v>0</v>
      </c>
      <c r="O20093" t="n">
        <v>0</v>
      </c>
      <c r="P20093" t="n">
        <v>0</v>
      </c>
      <c r="Q20093" t="n">
        <v>0</v>
      </c>
      <c r="R20093" s="2" t="inlineStr"/>
    </row>
    <row r="20094" ht="15" customHeight="1">
      <c r="A20094" t="inlineStr">
        <is>
          <t>A 22742-2025</t>
        </is>
      </c>
      <c r="B20094" s="1" t="n">
        <v>45789</v>
      </c>
      <c r="C20094" s="1" t="n">
        <v>45810</v>
      </c>
      <c r="D20094" t="inlineStr">
        <is>
          <t>VÄRMLANDS LÄN</t>
        </is>
      </c>
      <c r="E20094" t="inlineStr">
        <is>
          <t>FORSHAGA</t>
        </is>
      </c>
      <c r="F20094" t="inlineStr">
        <is>
          <t>Bergvik skog väst AB</t>
        </is>
      </c>
      <c r="G20094" t="n">
        <v>7.9</v>
      </c>
      <c r="H20094" t="n">
        <v>0</v>
      </c>
      <c r="I20094" t="n">
        <v>0</v>
      </c>
      <c r="J20094" t="n">
        <v>0</v>
      </c>
      <c r="K20094" t="n">
        <v>0</v>
      </c>
      <c r="L20094" t="n">
        <v>0</v>
      </c>
      <c r="M20094" t="n">
        <v>0</v>
      </c>
      <c r="N20094" t="n">
        <v>0</v>
      </c>
      <c r="O20094" t="n">
        <v>0</v>
      </c>
      <c r="P20094" t="n">
        <v>0</v>
      </c>
      <c r="Q20094" t="n">
        <v>0</v>
      </c>
      <c r="R20094" s="2" t="inlineStr"/>
    </row>
    <row r="20095" ht="15" customHeight="1">
      <c r="A20095" t="inlineStr">
        <is>
          <t>A 22660-2025</t>
        </is>
      </c>
      <c r="B20095" s="1" t="n">
        <v>45789</v>
      </c>
      <c r="C20095" s="1" t="n">
        <v>45810</v>
      </c>
      <c r="D20095" t="inlineStr">
        <is>
          <t>VÄRMLANDS LÄN</t>
        </is>
      </c>
      <c r="E20095" t="inlineStr">
        <is>
          <t>SÄFFLE</t>
        </is>
      </c>
      <c r="F20095" t="inlineStr">
        <is>
          <t>Bergvik skog väst AB</t>
        </is>
      </c>
      <c r="G20095" t="n">
        <v>4.3</v>
      </c>
      <c r="H20095" t="n">
        <v>0</v>
      </c>
      <c r="I20095" t="n">
        <v>0</v>
      </c>
      <c r="J20095" t="n">
        <v>0</v>
      </c>
      <c r="K20095" t="n">
        <v>0</v>
      </c>
      <c r="L20095" t="n">
        <v>0</v>
      </c>
      <c r="M20095" t="n">
        <v>0</v>
      </c>
      <c r="N20095" t="n">
        <v>0</v>
      </c>
      <c r="O20095" t="n">
        <v>0</v>
      </c>
      <c r="P20095" t="n">
        <v>0</v>
      </c>
      <c r="Q20095" t="n">
        <v>0</v>
      </c>
      <c r="R20095" s="2" t="inlineStr"/>
    </row>
    <row r="20096" ht="15" customHeight="1">
      <c r="A20096" t="inlineStr">
        <is>
          <t>A 22709-2025</t>
        </is>
      </c>
      <c r="B20096" s="1" t="n">
        <v>45789</v>
      </c>
      <c r="C20096" s="1" t="n">
        <v>45810</v>
      </c>
      <c r="D20096" t="inlineStr">
        <is>
          <t>VÄRMLANDS LÄN</t>
        </is>
      </c>
      <c r="E20096" t="inlineStr">
        <is>
          <t>MUNKFORS</t>
        </is>
      </c>
      <c r="F20096" t="inlineStr">
        <is>
          <t>Bergvik skog väst AB</t>
        </is>
      </c>
      <c r="G20096" t="n">
        <v>5.8</v>
      </c>
      <c r="H20096" t="n">
        <v>0</v>
      </c>
      <c r="I20096" t="n">
        <v>0</v>
      </c>
      <c r="J20096" t="n">
        <v>0</v>
      </c>
      <c r="K20096" t="n">
        <v>0</v>
      </c>
      <c r="L20096" t="n">
        <v>0</v>
      </c>
      <c r="M20096" t="n">
        <v>0</v>
      </c>
      <c r="N20096" t="n">
        <v>0</v>
      </c>
      <c r="O20096" t="n">
        <v>0</v>
      </c>
      <c r="P20096" t="n">
        <v>0</v>
      </c>
      <c r="Q20096" t="n">
        <v>0</v>
      </c>
      <c r="R20096" s="2" t="inlineStr"/>
    </row>
    <row r="20097" ht="15" customHeight="1">
      <c r="A20097" t="inlineStr">
        <is>
          <t>A 22609-2025</t>
        </is>
      </c>
      <c r="B20097" s="1" t="n">
        <v>45789</v>
      </c>
      <c r="C20097" s="1" t="n">
        <v>45810</v>
      </c>
      <c r="D20097" t="inlineStr">
        <is>
          <t>VÄRMLANDS LÄN</t>
        </is>
      </c>
      <c r="E20097" t="inlineStr">
        <is>
          <t>FORSHAGA</t>
        </is>
      </c>
      <c r="F20097" t="inlineStr">
        <is>
          <t>Bergvik skog väst AB</t>
        </is>
      </c>
      <c r="G20097" t="n">
        <v>1.6</v>
      </c>
      <c r="H20097" t="n">
        <v>0</v>
      </c>
      <c r="I20097" t="n">
        <v>0</v>
      </c>
      <c r="J20097" t="n">
        <v>0</v>
      </c>
      <c r="K20097" t="n">
        <v>0</v>
      </c>
      <c r="L20097" t="n">
        <v>0</v>
      </c>
      <c r="M20097" t="n">
        <v>0</v>
      </c>
      <c r="N20097" t="n">
        <v>0</v>
      </c>
      <c r="O20097" t="n">
        <v>0</v>
      </c>
      <c r="P20097" t="n">
        <v>0</v>
      </c>
      <c r="Q20097" t="n">
        <v>0</v>
      </c>
      <c r="R20097" s="2" t="inlineStr"/>
    </row>
    <row r="20098" ht="15" customHeight="1">
      <c r="A20098" t="inlineStr">
        <is>
          <t>A 22619-2025</t>
        </is>
      </c>
      <c r="B20098" s="1" t="n">
        <v>45789</v>
      </c>
      <c r="C20098" s="1" t="n">
        <v>45810</v>
      </c>
      <c r="D20098" t="inlineStr">
        <is>
          <t>VÄRMLANDS LÄN</t>
        </is>
      </c>
      <c r="E20098" t="inlineStr">
        <is>
          <t>FORSHAGA</t>
        </is>
      </c>
      <c r="F20098" t="inlineStr">
        <is>
          <t>Bergvik skog väst AB</t>
        </is>
      </c>
      <c r="G20098" t="n">
        <v>0.4</v>
      </c>
      <c r="H20098" t="n">
        <v>0</v>
      </c>
      <c r="I20098" t="n">
        <v>0</v>
      </c>
      <c r="J20098" t="n">
        <v>0</v>
      </c>
      <c r="K20098" t="n">
        <v>0</v>
      </c>
      <c r="L20098" t="n">
        <v>0</v>
      </c>
      <c r="M20098" t="n">
        <v>0</v>
      </c>
      <c r="N20098" t="n">
        <v>0</v>
      </c>
      <c r="O20098" t="n">
        <v>0</v>
      </c>
      <c r="P20098" t="n">
        <v>0</v>
      </c>
      <c r="Q20098" t="n">
        <v>0</v>
      </c>
      <c r="R20098" s="2" t="inlineStr"/>
    </row>
    <row r="20099" ht="15" customHeight="1">
      <c r="A20099" t="inlineStr">
        <is>
          <t>A 22623-2025</t>
        </is>
      </c>
      <c r="B20099" s="1" t="n">
        <v>45789</v>
      </c>
      <c r="C20099" s="1" t="n">
        <v>45810</v>
      </c>
      <c r="D20099" t="inlineStr">
        <is>
          <t>VÄRMLANDS LÄN</t>
        </is>
      </c>
      <c r="E20099" t="inlineStr">
        <is>
          <t>FORSHAGA</t>
        </is>
      </c>
      <c r="F20099" t="inlineStr">
        <is>
          <t>Bergvik skog väst AB</t>
        </is>
      </c>
      <c r="G20099" t="n">
        <v>3.4</v>
      </c>
      <c r="H20099" t="n">
        <v>0</v>
      </c>
      <c r="I20099" t="n">
        <v>0</v>
      </c>
      <c r="J20099" t="n">
        <v>0</v>
      </c>
      <c r="K20099" t="n">
        <v>0</v>
      </c>
      <c r="L20099" t="n">
        <v>0</v>
      </c>
      <c r="M20099" t="n">
        <v>0</v>
      </c>
      <c r="N20099" t="n">
        <v>0</v>
      </c>
      <c r="O20099" t="n">
        <v>0</v>
      </c>
      <c r="P20099" t="n">
        <v>0</v>
      </c>
      <c r="Q20099" t="n">
        <v>0</v>
      </c>
      <c r="R20099" s="2" t="inlineStr"/>
    </row>
    <row r="20100" ht="15" customHeight="1">
      <c r="A20100" t="inlineStr">
        <is>
          <t>A 22656-2025</t>
        </is>
      </c>
      <c r="B20100" s="1" t="n">
        <v>45789</v>
      </c>
      <c r="C20100" s="1" t="n">
        <v>45810</v>
      </c>
      <c r="D20100" t="inlineStr">
        <is>
          <t>VÄRMLANDS LÄN</t>
        </is>
      </c>
      <c r="E20100" t="inlineStr">
        <is>
          <t>SÄFFLE</t>
        </is>
      </c>
      <c r="F20100" t="inlineStr">
        <is>
          <t>Bergvik skog väst AB</t>
        </is>
      </c>
      <c r="G20100" t="n">
        <v>1</v>
      </c>
      <c r="H20100" t="n">
        <v>0</v>
      </c>
      <c r="I20100" t="n">
        <v>0</v>
      </c>
      <c r="J20100" t="n">
        <v>0</v>
      </c>
      <c r="K20100" t="n">
        <v>0</v>
      </c>
      <c r="L20100" t="n">
        <v>0</v>
      </c>
      <c r="M20100" t="n">
        <v>0</v>
      </c>
      <c r="N20100" t="n">
        <v>0</v>
      </c>
      <c r="O20100" t="n">
        <v>0</v>
      </c>
      <c r="P20100" t="n">
        <v>0</v>
      </c>
      <c r="Q20100" t="n">
        <v>0</v>
      </c>
      <c r="R20100" s="2" t="inlineStr"/>
    </row>
    <row r="20101" ht="15" customHeight="1">
      <c r="A20101" t="inlineStr">
        <is>
          <t>A 22566-2025</t>
        </is>
      </c>
      <c r="B20101" s="1" t="n">
        <v>45789</v>
      </c>
      <c r="C20101" s="1" t="n">
        <v>45810</v>
      </c>
      <c r="D20101" t="inlineStr">
        <is>
          <t>VÄRMLANDS LÄN</t>
        </is>
      </c>
      <c r="E20101" t="inlineStr">
        <is>
          <t>KIL</t>
        </is>
      </c>
      <c r="G20101" t="n">
        <v>1.2</v>
      </c>
      <c r="H20101" t="n">
        <v>0</v>
      </c>
      <c r="I20101" t="n">
        <v>0</v>
      </c>
      <c r="J20101" t="n">
        <v>0</v>
      </c>
      <c r="K20101" t="n">
        <v>0</v>
      </c>
      <c r="L20101" t="n">
        <v>0</v>
      </c>
      <c r="M20101" t="n">
        <v>0</v>
      </c>
      <c r="N20101" t="n">
        <v>0</v>
      </c>
      <c r="O20101" t="n">
        <v>0</v>
      </c>
      <c r="P20101" t="n">
        <v>0</v>
      </c>
      <c r="Q20101" t="n">
        <v>0</v>
      </c>
      <c r="R20101" s="2" t="inlineStr"/>
    </row>
    <row r="20102" ht="15" customHeight="1">
      <c r="A20102" t="inlineStr">
        <is>
          <t>A 22614-2025</t>
        </is>
      </c>
      <c r="B20102" s="1" t="n">
        <v>45789</v>
      </c>
      <c r="C20102" s="1" t="n">
        <v>45810</v>
      </c>
      <c r="D20102" t="inlineStr">
        <is>
          <t>VÄRMLANDS LÄN</t>
        </is>
      </c>
      <c r="E20102" t="inlineStr">
        <is>
          <t>FORSHAGA</t>
        </is>
      </c>
      <c r="F20102" t="inlineStr">
        <is>
          <t>Bergvik skog väst AB</t>
        </is>
      </c>
      <c r="G20102" t="n">
        <v>2.9</v>
      </c>
      <c r="H20102" t="n">
        <v>0</v>
      </c>
      <c r="I20102" t="n">
        <v>0</v>
      </c>
      <c r="J20102" t="n">
        <v>0</v>
      </c>
      <c r="K20102" t="n">
        <v>0</v>
      </c>
      <c r="L20102" t="n">
        <v>0</v>
      </c>
      <c r="M20102" t="n">
        <v>0</v>
      </c>
      <c r="N20102" t="n">
        <v>0</v>
      </c>
      <c r="O20102" t="n">
        <v>0</v>
      </c>
      <c r="P20102" t="n">
        <v>0</v>
      </c>
      <c r="Q20102" t="n">
        <v>0</v>
      </c>
      <c r="R20102" s="2" t="inlineStr"/>
    </row>
    <row r="20103" ht="15" customHeight="1">
      <c r="A20103" t="inlineStr">
        <is>
          <t>A 22628-2025</t>
        </is>
      </c>
      <c r="B20103" s="1" t="n">
        <v>45789</v>
      </c>
      <c r="C20103" s="1" t="n">
        <v>45810</v>
      </c>
      <c r="D20103" t="inlineStr">
        <is>
          <t>VÄRMLANDS LÄN</t>
        </is>
      </c>
      <c r="E20103" t="inlineStr">
        <is>
          <t>FORSHAGA</t>
        </is>
      </c>
      <c r="F20103" t="inlineStr">
        <is>
          <t>Bergvik skog väst AB</t>
        </is>
      </c>
      <c r="G20103" t="n">
        <v>3.4</v>
      </c>
      <c r="H20103" t="n">
        <v>0</v>
      </c>
      <c r="I20103" t="n">
        <v>0</v>
      </c>
      <c r="J20103" t="n">
        <v>0</v>
      </c>
      <c r="K20103" t="n">
        <v>0</v>
      </c>
      <c r="L20103" t="n">
        <v>0</v>
      </c>
      <c r="M20103" t="n">
        <v>0</v>
      </c>
      <c r="N20103" t="n">
        <v>0</v>
      </c>
      <c r="O20103" t="n">
        <v>0</v>
      </c>
      <c r="P20103" t="n">
        <v>0</v>
      </c>
      <c r="Q20103" t="n">
        <v>0</v>
      </c>
      <c r="R20103" s="2" t="inlineStr"/>
    </row>
    <row r="20104" ht="15" customHeight="1">
      <c r="A20104" t="inlineStr">
        <is>
          <t>A 22586-2025</t>
        </is>
      </c>
      <c r="B20104" s="1" t="n">
        <v>45789</v>
      </c>
      <c r="C20104" s="1" t="n">
        <v>45810</v>
      </c>
      <c r="D20104" t="inlineStr">
        <is>
          <t>VÄRMLANDS LÄN</t>
        </is>
      </c>
      <c r="E20104" t="inlineStr">
        <is>
          <t>FORSHAGA</t>
        </is>
      </c>
      <c r="F20104" t="inlineStr">
        <is>
          <t>Bergvik skog väst AB</t>
        </is>
      </c>
      <c r="G20104" t="n">
        <v>0.8</v>
      </c>
      <c r="H20104" t="n">
        <v>0</v>
      </c>
      <c r="I20104" t="n">
        <v>0</v>
      </c>
      <c r="J20104" t="n">
        <v>0</v>
      </c>
      <c r="K20104" t="n">
        <v>0</v>
      </c>
      <c r="L20104" t="n">
        <v>0</v>
      </c>
      <c r="M20104" t="n">
        <v>0</v>
      </c>
      <c r="N20104" t="n">
        <v>0</v>
      </c>
      <c r="O20104" t="n">
        <v>0</v>
      </c>
      <c r="P20104" t="n">
        <v>0</v>
      </c>
      <c r="Q20104" t="n">
        <v>0</v>
      </c>
      <c r="R20104" s="2" t="inlineStr"/>
    </row>
    <row r="20105" ht="15" customHeight="1">
      <c r="A20105" t="inlineStr">
        <is>
          <t>A 22911-2025</t>
        </is>
      </c>
      <c r="B20105" s="1" t="n">
        <v>45790</v>
      </c>
      <c r="C20105" s="1" t="n">
        <v>45810</v>
      </c>
      <c r="D20105" t="inlineStr">
        <is>
          <t>VÄRMLANDS LÄN</t>
        </is>
      </c>
      <c r="E20105" t="inlineStr">
        <is>
          <t>SÄFFLE</t>
        </is>
      </c>
      <c r="F20105" t="inlineStr">
        <is>
          <t>Bergvik skog väst AB</t>
        </is>
      </c>
      <c r="G20105" t="n">
        <v>0.9</v>
      </c>
      <c r="H20105" t="n">
        <v>0</v>
      </c>
      <c r="I20105" t="n">
        <v>0</v>
      </c>
      <c r="J20105" t="n">
        <v>0</v>
      </c>
      <c r="K20105" t="n">
        <v>0</v>
      </c>
      <c r="L20105" t="n">
        <v>0</v>
      </c>
      <c r="M20105" t="n">
        <v>0</v>
      </c>
      <c r="N20105" t="n">
        <v>0</v>
      </c>
      <c r="O20105" t="n">
        <v>0</v>
      </c>
      <c r="P20105" t="n">
        <v>0</v>
      </c>
      <c r="Q20105" t="n">
        <v>0</v>
      </c>
      <c r="R20105" s="2" t="inlineStr"/>
    </row>
    <row r="20106" ht="15" customHeight="1">
      <c r="A20106" t="inlineStr">
        <is>
          <t>A 22944-2025</t>
        </is>
      </c>
      <c r="B20106" s="1" t="n">
        <v>45790</v>
      </c>
      <c r="C20106" s="1" t="n">
        <v>45810</v>
      </c>
      <c r="D20106" t="inlineStr">
        <is>
          <t>VÄRMLANDS LÄN</t>
        </is>
      </c>
      <c r="E20106" t="inlineStr">
        <is>
          <t>MUNKFORS</t>
        </is>
      </c>
      <c r="F20106" t="inlineStr">
        <is>
          <t>Bergvik skog väst AB</t>
        </is>
      </c>
      <c r="G20106" t="n">
        <v>1.5</v>
      </c>
      <c r="H20106" t="n">
        <v>0</v>
      </c>
      <c r="I20106" t="n">
        <v>0</v>
      </c>
      <c r="J20106" t="n">
        <v>0</v>
      </c>
      <c r="K20106" t="n">
        <v>0</v>
      </c>
      <c r="L20106" t="n">
        <v>0</v>
      </c>
      <c r="M20106" t="n">
        <v>0</v>
      </c>
      <c r="N20106" t="n">
        <v>0</v>
      </c>
      <c r="O20106" t="n">
        <v>0</v>
      </c>
      <c r="P20106" t="n">
        <v>0</v>
      </c>
      <c r="Q20106" t="n">
        <v>0</v>
      </c>
      <c r="R20106" s="2" t="inlineStr"/>
    </row>
    <row r="20107" ht="15" customHeight="1">
      <c r="A20107" t="inlineStr">
        <is>
          <t>A 22954-2025</t>
        </is>
      </c>
      <c r="B20107" s="1" t="n">
        <v>45790</v>
      </c>
      <c r="C20107" s="1" t="n">
        <v>45810</v>
      </c>
      <c r="D20107" t="inlineStr">
        <is>
          <t>VÄRMLANDS LÄN</t>
        </is>
      </c>
      <c r="E20107" t="inlineStr">
        <is>
          <t>TORSBY</t>
        </is>
      </c>
      <c r="G20107" t="n">
        <v>5.4</v>
      </c>
      <c r="H20107" t="n">
        <v>0</v>
      </c>
      <c r="I20107" t="n">
        <v>0</v>
      </c>
      <c r="J20107" t="n">
        <v>0</v>
      </c>
      <c r="K20107" t="n">
        <v>0</v>
      </c>
      <c r="L20107" t="n">
        <v>0</v>
      </c>
      <c r="M20107" t="n">
        <v>0</v>
      </c>
      <c r="N20107" t="n">
        <v>0</v>
      </c>
      <c r="O20107" t="n">
        <v>0</v>
      </c>
      <c r="P20107" t="n">
        <v>0</v>
      </c>
      <c r="Q20107" t="n">
        <v>0</v>
      </c>
      <c r="R20107" s="2" t="inlineStr"/>
    </row>
    <row r="20108" ht="15" customHeight="1">
      <c r="A20108" t="inlineStr">
        <is>
          <t>A 22997-2025</t>
        </is>
      </c>
      <c r="B20108" s="1" t="n">
        <v>45790</v>
      </c>
      <c r="C20108" s="1" t="n">
        <v>45810</v>
      </c>
      <c r="D20108" t="inlineStr">
        <is>
          <t>VÄRMLANDS LÄN</t>
        </is>
      </c>
      <c r="E20108" t="inlineStr">
        <is>
          <t>SÄFFLE</t>
        </is>
      </c>
      <c r="F20108" t="inlineStr">
        <is>
          <t>Bergvik skog väst AB</t>
        </is>
      </c>
      <c r="G20108" t="n">
        <v>0.7</v>
      </c>
      <c r="H20108" t="n">
        <v>0</v>
      </c>
      <c r="I20108" t="n">
        <v>0</v>
      </c>
      <c r="J20108" t="n">
        <v>0</v>
      </c>
      <c r="K20108" t="n">
        <v>0</v>
      </c>
      <c r="L20108" t="n">
        <v>0</v>
      </c>
      <c r="M20108" t="n">
        <v>0</v>
      </c>
      <c r="N20108" t="n">
        <v>0</v>
      </c>
      <c r="O20108" t="n">
        <v>0</v>
      </c>
      <c r="P20108" t="n">
        <v>0</v>
      </c>
      <c r="Q20108" t="n">
        <v>0</v>
      </c>
      <c r="R20108" s="2" t="inlineStr"/>
    </row>
    <row r="20109" ht="15" customHeight="1">
      <c r="A20109" t="inlineStr">
        <is>
          <t>A 23002-2025</t>
        </is>
      </c>
      <c r="B20109" s="1" t="n">
        <v>45790</v>
      </c>
      <c r="C20109" s="1" t="n">
        <v>45810</v>
      </c>
      <c r="D20109" t="inlineStr">
        <is>
          <t>VÄRMLANDS LÄN</t>
        </is>
      </c>
      <c r="E20109" t="inlineStr">
        <is>
          <t>SÄFFLE</t>
        </is>
      </c>
      <c r="F20109" t="inlineStr">
        <is>
          <t>Bergvik skog väst AB</t>
        </is>
      </c>
      <c r="G20109" t="n">
        <v>0.8</v>
      </c>
      <c r="H20109" t="n">
        <v>0</v>
      </c>
      <c r="I20109" t="n">
        <v>0</v>
      </c>
      <c r="J20109" t="n">
        <v>0</v>
      </c>
      <c r="K20109" t="n">
        <v>0</v>
      </c>
      <c r="L20109" t="n">
        <v>0</v>
      </c>
      <c r="M20109" t="n">
        <v>0</v>
      </c>
      <c r="N20109" t="n">
        <v>0</v>
      </c>
      <c r="O20109" t="n">
        <v>0</v>
      </c>
      <c r="P20109" t="n">
        <v>0</v>
      </c>
      <c r="Q20109" t="n">
        <v>0</v>
      </c>
      <c r="R20109" s="2" t="inlineStr"/>
    </row>
    <row r="20110" ht="15" customHeight="1">
      <c r="A20110" t="inlineStr">
        <is>
          <t>A 23038-2025</t>
        </is>
      </c>
      <c r="B20110" s="1" t="n">
        <v>45790</v>
      </c>
      <c r="C20110" s="1" t="n">
        <v>45810</v>
      </c>
      <c r="D20110" t="inlineStr">
        <is>
          <t>VÄRMLANDS LÄN</t>
        </is>
      </c>
      <c r="E20110" t="inlineStr">
        <is>
          <t>EDA</t>
        </is>
      </c>
      <c r="F20110" t="inlineStr">
        <is>
          <t>Bergvik skog väst AB</t>
        </is>
      </c>
      <c r="G20110" t="n">
        <v>4.5</v>
      </c>
      <c r="H20110" t="n">
        <v>0</v>
      </c>
      <c r="I20110" t="n">
        <v>0</v>
      </c>
      <c r="J20110" t="n">
        <v>0</v>
      </c>
      <c r="K20110" t="n">
        <v>0</v>
      </c>
      <c r="L20110" t="n">
        <v>0</v>
      </c>
      <c r="M20110" t="n">
        <v>0</v>
      </c>
      <c r="N20110" t="n">
        <v>0</v>
      </c>
      <c r="O20110" t="n">
        <v>0</v>
      </c>
      <c r="P20110" t="n">
        <v>0</v>
      </c>
      <c r="Q20110" t="n">
        <v>0</v>
      </c>
      <c r="R20110" s="2" t="inlineStr"/>
    </row>
    <row r="20111" ht="15" customHeight="1">
      <c r="A20111" t="inlineStr">
        <is>
          <t>A 22967-2025</t>
        </is>
      </c>
      <c r="B20111" s="1" t="n">
        <v>45790</v>
      </c>
      <c r="C20111" s="1" t="n">
        <v>45810</v>
      </c>
      <c r="D20111" t="inlineStr">
        <is>
          <t>VÄRMLANDS LÄN</t>
        </is>
      </c>
      <c r="E20111" t="inlineStr">
        <is>
          <t>SÄFFLE</t>
        </is>
      </c>
      <c r="G20111" t="n">
        <v>1.4</v>
      </c>
      <c r="H20111" t="n">
        <v>0</v>
      </c>
      <c r="I20111" t="n">
        <v>0</v>
      </c>
      <c r="J20111" t="n">
        <v>0</v>
      </c>
      <c r="K20111" t="n">
        <v>0</v>
      </c>
      <c r="L20111" t="n">
        <v>0</v>
      </c>
      <c r="M20111" t="n">
        <v>0</v>
      </c>
      <c r="N20111" t="n">
        <v>0</v>
      </c>
      <c r="O20111" t="n">
        <v>0</v>
      </c>
      <c r="P20111" t="n">
        <v>0</v>
      </c>
      <c r="Q20111" t="n">
        <v>0</v>
      </c>
      <c r="R20111" s="2" t="inlineStr"/>
    </row>
    <row r="20112" ht="15" customHeight="1">
      <c r="A20112" t="inlineStr">
        <is>
          <t>A 23047-2025</t>
        </is>
      </c>
      <c r="B20112" s="1" t="n">
        <v>45790</v>
      </c>
      <c r="C20112" s="1" t="n">
        <v>45810</v>
      </c>
      <c r="D20112" t="inlineStr">
        <is>
          <t>VÄRMLANDS LÄN</t>
        </is>
      </c>
      <c r="E20112" t="inlineStr">
        <is>
          <t>EDA</t>
        </is>
      </c>
      <c r="G20112" t="n">
        <v>1.3</v>
      </c>
      <c r="H20112" t="n">
        <v>0</v>
      </c>
      <c r="I20112" t="n">
        <v>0</v>
      </c>
      <c r="J20112" t="n">
        <v>0</v>
      </c>
      <c r="K20112" t="n">
        <v>0</v>
      </c>
      <c r="L20112" t="n">
        <v>0</v>
      </c>
      <c r="M20112" t="n">
        <v>0</v>
      </c>
      <c r="N20112" t="n">
        <v>0</v>
      </c>
      <c r="O20112" t="n">
        <v>0</v>
      </c>
      <c r="P20112" t="n">
        <v>0</v>
      </c>
      <c r="Q20112" t="n">
        <v>0</v>
      </c>
      <c r="R20112" s="2" t="inlineStr"/>
    </row>
    <row r="20113" ht="15" customHeight="1">
      <c r="A20113" t="inlineStr">
        <is>
          <t>A 22845-2025</t>
        </is>
      </c>
      <c r="B20113" s="1" t="n">
        <v>45790</v>
      </c>
      <c r="C20113" s="1" t="n">
        <v>45810</v>
      </c>
      <c r="D20113" t="inlineStr">
        <is>
          <t>VÄRMLANDS LÄN</t>
        </is>
      </c>
      <c r="E20113" t="inlineStr">
        <is>
          <t>TORSBY</t>
        </is>
      </c>
      <c r="F20113" t="inlineStr">
        <is>
          <t>Bergvik skog väst AB</t>
        </is>
      </c>
      <c r="G20113" t="n">
        <v>3.8</v>
      </c>
      <c r="H20113" t="n">
        <v>0</v>
      </c>
      <c r="I20113" t="n">
        <v>0</v>
      </c>
      <c r="J20113" t="n">
        <v>0</v>
      </c>
      <c r="K20113" t="n">
        <v>0</v>
      </c>
      <c r="L20113" t="n">
        <v>0</v>
      </c>
      <c r="M20113" t="n">
        <v>0</v>
      </c>
      <c r="N20113" t="n">
        <v>0</v>
      </c>
      <c r="O20113" t="n">
        <v>0</v>
      </c>
      <c r="P20113" t="n">
        <v>0</v>
      </c>
      <c r="Q20113" t="n">
        <v>0</v>
      </c>
      <c r="R20113" s="2" t="inlineStr"/>
    </row>
    <row r="20114" ht="15" customHeight="1">
      <c r="A20114" t="inlineStr">
        <is>
          <t>A 22880-2025</t>
        </is>
      </c>
      <c r="B20114" s="1" t="n">
        <v>45790</v>
      </c>
      <c r="C20114" s="1" t="n">
        <v>45810</v>
      </c>
      <c r="D20114" t="inlineStr">
        <is>
          <t>VÄRMLANDS LÄN</t>
        </is>
      </c>
      <c r="E20114" t="inlineStr">
        <is>
          <t>FILIPSTAD</t>
        </is>
      </c>
      <c r="F20114" t="inlineStr">
        <is>
          <t>Kyrkan</t>
        </is>
      </c>
      <c r="G20114" t="n">
        <v>5.4</v>
      </c>
      <c r="H20114" t="n">
        <v>0</v>
      </c>
      <c r="I20114" t="n">
        <v>0</v>
      </c>
      <c r="J20114" t="n">
        <v>0</v>
      </c>
      <c r="K20114" t="n">
        <v>0</v>
      </c>
      <c r="L20114" t="n">
        <v>0</v>
      </c>
      <c r="M20114" t="n">
        <v>0</v>
      </c>
      <c r="N20114" t="n">
        <v>0</v>
      </c>
      <c r="O20114" t="n">
        <v>0</v>
      </c>
      <c r="P20114" t="n">
        <v>0</v>
      </c>
      <c r="Q20114" t="n">
        <v>0</v>
      </c>
      <c r="R20114" s="2" t="inlineStr"/>
    </row>
    <row r="20115" ht="15" customHeight="1">
      <c r="A20115" t="inlineStr">
        <is>
          <t>A 22992-2025</t>
        </is>
      </c>
      <c r="B20115" s="1" t="n">
        <v>45790</v>
      </c>
      <c r="C20115" s="1" t="n">
        <v>45810</v>
      </c>
      <c r="D20115" t="inlineStr">
        <is>
          <t>VÄRMLANDS LÄN</t>
        </is>
      </c>
      <c r="E20115" t="inlineStr">
        <is>
          <t>ARVIKA</t>
        </is>
      </c>
      <c r="G20115" t="n">
        <v>2</v>
      </c>
      <c r="H20115" t="n">
        <v>0</v>
      </c>
      <c r="I20115" t="n">
        <v>0</v>
      </c>
      <c r="J20115" t="n">
        <v>0</v>
      </c>
      <c r="K20115" t="n">
        <v>0</v>
      </c>
      <c r="L20115" t="n">
        <v>0</v>
      </c>
      <c r="M20115" t="n">
        <v>0</v>
      </c>
      <c r="N20115" t="n">
        <v>0</v>
      </c>
      <c r="O20115" t="n">
        <v>0</v>
      </c>
      <c r="P20115" t="n">
        <v>0</v>
      </c>
      <c r="Q20115" t="n">
        <v>0</v>
      </c>
      <c r="R20115" s="2" t="inlineStr"/>
    </row>
    <row r="20116" ht="15" customHeight="1">
      <c r="A20116" t="inlineStr">
        <is>
          <t>A 22996-2025</t>
        </is>
      </c>
      <c r="B20116" s="1" t="n">
        <v>45790</v>
      </c>
      <c r="C20116" s="1" t="n">
        <v>45810</v>
      </c>
      <c r="D20116" t="inlineStr">
        <is>
          <t>VÄRMLANDS LÄN</t>
        </is>
      </c>
      <c r="E20116" t="inlineStr">
        <is>
          <t>SÄFFLE</t>
        </is>
      </c>
      <c r="F20116" t="inlineStr">
        <is>
          <t>Bergvik skog väst AB</t>
        </is>
      </c>
      <c r="G20116" t="n">
        <v>1.5</v>
      </c>
      <c r="H20116" t="n">
        <v>0</v>
      </c>
      <c r="I20116" t="n">
        <v>0</v>
      </c>
      <c r="J20116" t="n">
        <v>0</v>
      </c>
      <c r="K20116" t="n">
        <v>0</v>
      </c>
      <c r="L20116" t="n">
        <v>0</v>
      </c>
      <c r="M20116" t="n">
        <v>0</v>
      </c>
      <c r="N20116" t="n">
        <v>0</v>
      </c>
      <c r="O20116" t="n">
        <v>0</v>
      </c>
      <c r="P20116" t="n">
        <v>0</v>
      </c>
      <c r="Q20116" t="n">
        <v>0</v>
      </c>
      <c r="R20116" s="2" t="inlineStr"/>
    </row>
    <row r="20117" ht="15" customHeight="1">
      <c r="A20117" t="inlineStr">
        <is>
          <t>A 23039-2025</t>
        </is>
      </c>
      <c r="B20117" s="1" t="n">
        <v>45790</v>
      </c>
      <c r="C20117" s="1" t="n">
        <v>45810</v>
      </c>
      <c r="D20117" t="inlineStr">
        <is>
          <t>VÄRMLANDS LÄN</t>
        </is>
      </c>
      <c r="E20117" t="inlineStr">
        <is>
          <t>ÅRJÄNG</t>
        </is>
      </c>
      <c r="G20117" t="n">
        <v>0.9</v>
      </c>
      <c r="H20117" t="n">
        <v>0</v>
      </c>
      <c r="I20117" t="n">
        <v>0</v>
      </c>
      <c r="J20117" t="n">
        <v>0</v>
      </c>
      <c r="K20117" t="n">
        <v>0</v>
      </c>
      <c r="L20117" t="n">
        <v>0</v>
      </c>
      <c r="M20117" t="n">
        <v>0</v>
      </c>
      <c r="N20117" t="n">
        <v>0</v>
      </c>
      <c r="O20117" t="n">
        <v>0</v>
      </c>
      <c r="P20117" t="n">
        <v>0</v>
      </c>
      <c r="Q20117" t="n">
        <v>0</v>
      </c>
      <c r="R20117" s="2" t="inlineStr"/>
    </row>
    <row r="20118" ht="15" customHeight="1">
      <c r="A20118" t="inlineStr">
        <is>
          <t>A 23035-2025</t>
        </is>
      </c>
      <c r="B20118" s="1" t="n">
        <v>45790</v>
      </c>
      <c r="C20118" s="1" t="n">
        <v>45810</v>
      </c>
      <c r="D20118" t="inlineStr">
        <is>
          <t>VÄRMLANDS LÄN</t>
        </is>
      </c>
      <c r="E20118" t="inlineStr">
        <is>
          <t>TORSBY</t>
        </is>
      </c>
      <c r="G20118" t="n">
        <v>3</v>
      </c>
      <c r="H20118" t="n">
        <v>0</v>
      </c>
      <c r="I20118" t="n">
        <v>0</v>
      </c>
      <c r="J20118" t="n">
        <v>0</v>
      </c>
      <c r="K20118" t="n">
        <v>0</v>
      </c>
      <c r="L20118" t="n">
        <v>0</v>
      </c>
      <c r="M20118" t="n">
        <v>0</v>
      </c>
      <c r="N20118" t="n">
        <v>0</v>
      </c>
      <c r="O20118" t="n">
        <v>0</v>
      </c>
      <c r="P20118" t="n">
        <v>0</v>
      </c>
      <c r="Q20118" t="n">
        <v>0</v>
      </c>
      <c r="R20118" s="2" t="inlineStr"/>
    </row>
    <row r="20119" ht="15" customHeight="1">
      <c r="A20119" t="inlineStr">
        <is>
          <t>A 22843-2025</t>
        </is>
      </c>
      <c r="B20119" s="1" t="n">
        <v>45790</v>
      </c>
      <c r="C20119" s="1" t="n">
        <v>45810</v>
      </c>
      <c r="D20119" t="inlineStr">
        <is>
          <t>VÄRMLANDS LÄN</t>
        </is>
      </c>
      <c r="E20119" t="inlineStr">
        <is>
          <t>FILIPSTAD</t>
        </is>
      </c>
      <c r="G20119" t="n">
        <v>1.1</v>
      </c>
      <c r="H20119" t="n">
        <v>0</v>
      </c>
      <c r="I20119" t="n">
        <v>0</v>
      </c>
      <c r="J20119" t="n">
        <v>0</v>
      </c>
      <c r="K20119" t="n">
        <v>0</v>
      </c>
      <c r="L20119" t="n">
        <v>0</v>
      </c>
      <c r="M20119" t="n">
        <v>0</v>
      </c>
      <c r="N20119" t="n">
        <v>0</v>
      </c>
      <c r="O20119" t="n">
        <v>0</v>
      </c>
      <c r="P20119" t="n">
        <v>0</v>
      </c>
      <c r="Q20119" t="n">
        <v>0</v>
      </c>
      <c r="R20119" s="2" t="inlineStr"/>
    </row>
    <row r="20120" ht="15" customHeight="1">
      <c r="A20120" t="inlineStr">
        <is>
          <t>A 22846-2025</t>
        </is>
      </c>
      <c r="B20120" s="1" t="n">
        <v>45790</v>
      </c>
      <c r="C20120" s="1" t="n">
        <v>45810</v>
      </c>
      <c r="D20120" t="inlineStr">
        <is>
          <t>VÄRMLANDS LÄN</t>
        </is>
      </c>
      <c r="E20120" t="inlineStr">
        <is>
          <t>KARLSTAD</t>
        </is>
      </c>
      <c r="G20120" t="n">
        <v>3.6</v>
      </c>
      <c r="H20120" t="n">
        <v>0</v>
      </c>
      <c r="I20120" t="n">
        <v>0</v>
      </c>
      <c r="J20120" t="n">
        <v>0</v>
      </c>
      <c r="K20120" t="n">
        <v>0</v>
      </c>
      <c r="L20120" t="n">
        <v>0</v>
      </c>
      <c r="M20120" t="n">
        <v>0</v>
      </c>
      <c r="N20120" t="n">
        <v>0</v>
      </c>
      <c r="O20120" t="n">
        <v>0</v>
      </c>
      <c r="P20120" t="n">
        <v>0</v>
      </c>
      <c r="Q20120" t="n">
        <v>0</v>
      </c>
      <c r="R20120" s="2" t="inlineStr"/>
    </row>
    <row r="20121" ht="15" customHeight="1">
      <c r="A20121" t="inlineStr">
        <is>
          <t>A 22849-2025</t>
        </is>
      </c>
      <c r="B20121" s="1" t="n">
        <v>45790</v>
      </c>
      <c r="C20121" s="1" t="n">
        <v>45810</v>
      </c>
      <c r="D20121" t="inlineStr">
        <is>
          <t>VÄRMLANDS LÄN</t>
        </is>
      </c>
      <c r="E20121" t="inlineStr">
        <is>
          <t>ARVIKA</t>
        </is>
      </c>
      <c r="F20121" t="inlineStr">
        <is>
          <t>Bergvik skog väst AB</t>
        </is>
      </c>
      <c r="G20121" t="n">
        <v>3.9</v>
      </c>
      <c r="H20121" t="n">
        <v>0</v>
      </c>
      <c r="I20121" t="n">
        <v>0</v>
      </c>
      <c r="J20121" t="n">
        <v>0</v>
      </c>
      <c r="K20121" t="n">
        <v>0</v>
      </c>
      <c r="L20121" t="n">
        <v>0</v>
      </c>
      <c r="M20121" t="n">
        <v>0</v>
      </c>
      <c r="N20121" t="n">
        <v>0</v>
      </c>
      <c r="O20121" t="n">
        <v>0</v>
      </c>
      <c r="P20121" t="n">
        <v>0</v>
      </c>
      <c r="Q20121" t="n">
        <v>0</v>
      </c>
      <c r="R20121" s="2" t="inlineStr"/>
    </row>
    <row r="20122" ht="15" customHeight="1">
      <c r="A20122" t="inlineStr">
        <is>
          <t>A 22910-2025</t>
        </is>
      </c>
      <c r="B20122" s="1" t="n">
        <v>45790</v>
      </c>
      <c r="C20122" s="1" t="n">
        <v>45810</v>
      </c>
      <c r="D20122" t="inlineStr">
        <is>
          <t>VÄRMLANDS LÄN</t>
        </is>
      </c>
      <c r="E20122" t="inlineStr">
        <is>
          <t>SÄFFLE</t>
        </is>
      </c>
      <c r="F20122" t="inlineStr">
        <is>
          <t>Bergvik skog väst AB</t>
        </is>
      </c>
      <c r="G20122" t="n">
        <v>2.5</v>
      </c>
      <c r="H20122" t="n">
        <v>0</v>
      </c>
      <c r="I20122" t="n">
        <v>0</v>
      </c>
      <c r="J20122" t="n">
        <v>0</v>
      </c>
      <c r="K20122" t="n">
        <v>0</v>
      </c>
      <c r="L20122" t="n">
        <v>0</v>
      </c>
      <c r="M20122" t="n">
        <v>0</v>
      </c>
      <c r="N20122" t="n">
        <v>0</v>
      </c>
      <c r="O20122" t="n">
        <v>0</v>
      </c>
      <c r="P20122" t="n">
        <v>0</v>
      </c>
      <c r="Q20122" t="n">
        <v>0</v>
      </c>
      <c r="R20122" s="2" t="inlineStr"/>
    </row>
    <row r="20123" ht="15" customHeight="1">
      <c r="A20123" t="inlineStr">
        <is>
          <t>A 22917-2025</t>
        </is>
      </c>
      <c r="B20123" s="1" t="n">
        <v>45790</v>
      </c>
      <c r="C20123" s="1" t="n">
        <v>45810</v>
      </c>
      <c r="D20123" t="inlineStr">
        <is>
          <t>VÄRMLANDS LÄN</t>
        </is>
      </c>
      <c r="E20123" t="inlineStr">
        <is>
          <t>HAGFORS</t>
        </is>
      </c>
      <c r="F20123" t="inlineStr">
        <is>
          <t>Bergvik skog väst AB</t>
        </is>
      </c>
      <c r="G20123" t="n">
        <v>3.2</v>
      </c>
      <c r="H20123" t="n">
        <v>0</v>
      </c>
      <c r="I20123" t="n">
        <v>0</v>
      </c>
      <c r="J20123" t="n">
        <v>0</v>
      </c>
      <c r="K20123" t="n">
        <v>0</v>
      </c>
      <c r="L20123" t="n">
        <v>0</v>
      </c>
      <c r="M20123" t="n">
        <v>0</v>
      </c>
      <c r="N20123" t="n">
        <v>0</v>
      </c>
      <c r="O20123" t="n">
        <v>0</v>
      </c>
      <c r="P20123" t="n">
        <v>0</v>
      </c>
      <c r="Q20123" t="n">
        <v>0</v>
      </c>
      <c r="R20123" s="2" t="inlineStr"/>
    </row>
    <row r="20124" ht="15" customHeight="1">
      <c r="A20124" t="inlineStr">
        <is>
          <t>A 22919-2025</t>
        </is>
      </c>
      <c r="B20124" s="1" t="n">
        <v>45790</v>
      </c>
      <c r="C20124" s="1" t="n">
        <v>45810</v>
      </c>
      <c r="D20124" t="inlineStr">
        <is>
          <t>VÄRMLANDS LÄN</t>
        </is>
      </c>
      <c r="E20124" t="inlineStr">
        <is>
          <t>SÄFFLE</t>
        </is>
      </c>
      <c r="F20124" t="inlineStr">
        <is>
          <t>Bergvik skog väst AB</t>
        </is>
      </c>
      <c r="G20124" t="n">
        <v>1.5</v>
      </c>
      <c r="H20124" t="n">
        <v>0</v>
      </c>
      <c r="I20124" t="n">
        <v>0</v>
      </c>
      <c r="J20124" t="n">
        <v>0</v>
      </c>
      <c r="K20124" t="n">
        <v>0</v>
      </c>
      <c r="L20124" t="n">
        <v>0</v>
      </c>
      <c r="M20124" t="n">
        <v>0</v>
      </c>
      <c r="N20124" t="n">
        <v>0</v>
      </c>
      <c r="O20124" t="n">
        <v>0</v>
      </c>
      <c r="P20124" t="n">
        <v>0</v>
      </c>
      <c r="Q20124" t="n">
        <v>0</v>
      </c>
      <c r="R20124" s="2" t="inlineStr"/>
    </row>
    <row r="20125" ht="15" customHeight="1">
      <c r="A20125" t="inlineStr">
        <is>
          <t>A 22925-2025</t>
        </is>
      </c>
      <c r="B20125" s="1" t="n">
        <v>45790</v>
      </c>
      <c r="C20125" s="1" t="n">
        <v>45810</v>
      </c>
      <c r="D20125" t="inlineStr">
        <is>
          <t>VÄRMLANDS LÄN</t>
        </is>
      </c>
      <c r="E20125" t="inlineStr">
        <is>
          <t>FILIPSTAD</t>
        </is>
      </c>
      <c r="F20125" t="inlineStr">
        <is>
          <t>Bergvik skog väst AB</t>
        </is>
      </c>
      <c r="G20125" t="n">
        <v>0.8</v>
      </c>
      <c r="H20125" t="n">
        <v>0</v>
      </c>
      <c r="I20125" t="n">
        <v>0</v>
      </c>
      <c r="J20125" t="n">
        <v>0</v>
      </c>
      <c r="K20125" t="n">
        <v>0</v>
      </c>
      <c r="L20125" t="n">
        <v>0</v>
      </c>
      <c r="M20125" t="n">
        <v>0</v>
      </c>
      <c r="N20125" t="n">
        <v>0</v>
      </c>
      <c r="O20125" t="n">
        <v>0</v>
      </c>
      <c r="P20125" t="n">
        <v>0</v>
      </c>
      <c r="Q20125" t="n">
        <v>0</v>
      </c>
      <c r="R20125" s="2" t="inlineStr"/>
    </row>
    <row r="20126" ht="15" customHeight="1">
      <c r="A20126" t="inlineStr">
        <is>
          <t>A 22988-2025</t>
        </is>
      </c>
      <c r="B20126" s="1" t="n">
        <v>45790</v>
      </c>
      <c r="C20126" s="1" t="n">
        <v>45810</v>
      </c>
      <c r="D20126" t="inlineStr">
        <is>
          <t>VÄRMLANDS LÄN</t>
        </is>
      </c>
      <c r="E20126" t="inlineStr">
        <is>
          <t>SÄFFLE</t>
        </is>
      </c>
      <c r="G20126" t="n">
        <v>1</v>
      </c>
      <c r="H20126" t="n">
        <v>0</v>
      </c>
      <c r="I20126" t="n">
        <v>0</v>
      </c>
      <c r="J20126" t="n">
        <v>0</v>
      </c>
      <c r="K20126" t="n">
        <v>0</v>
      </c>
      <c r="L20126" t="n">
        <v>0</v>
      </c>
      <c r="M20126" t="n">
        <v>0</v>
      </c>
      <c r="N20126" t="n">
        <v>0</v>
      </c>
      <c r="O20126" t="n">
        <v>0</v>
      </c>
      <c r="P20126" t="n">
        <v>0</v>
      </c>
      <c r="Q20126" t="n">
        <v>0</v>
      </c>
      <c r="R20126" s="2" t="inlineStr"/>
    </row>
    <row r="20127" ht="15" customHeight="1">
      <c r="A20127" t="inlineStr">
        <is>
          <t>A 22993-2025</t>
        </is>
      </c>
      <c r="B20127" s="1" t="n">
        <v>45790</v>
      </c>
      <c r="C20127" s="1" t="n">
        <v>45810</v>
      </c>
      <c r="D20127" t="inlineStr">
        <is>
          <t>VÄRMLANDS LÄN</t>
        </is>
      </c>
      <c r="E20127" t="inlineStr">
        <is>
          <t>SÄFFLE</t>
        </is>
      </c>
      <c r="F20127" t="inlineStr">
        <is>
          <t>Bergvik skog väst AB</t>
        </is>
      </c>
      <c r="G20127" t="n">
        <v>0.5</v>
      </c>
      <c r="H20127" t="n">
        <v>0</v>
      </c>
      <c r="I20127" t="n">
        <v>0</v>
      </c>
      <c r="J20127" t="n">
        <v>0</v>
      </c>
      <c r="K20127" t="n">
        <v>0</v>
      </c>
      <c r="L20127" t="n">
        <v>0</v>
      </c>
      <c r="M20127" t="n">
        <v>0</v>
      </c>
      <c r="N20127" t="n">
        <v>0</v>
      </c>
      <c r="O20127" t="n">
        <v>0</v>
      </c>
      <c r="P20127" t="n">
        <v>0</v>
      </c>
      <c r="Q20127" t="n">
        <v>0</v>
      </c>
      <c r="R20127" s="2" t="inlineStr"/>
    </row>
    <row r="20128" ht="15" customHeight="1">
      <c r="A20128" t="inlineStr">
        <is>
          <t>A 23065-2025</t>
        </is>
      </c>
      <c r="B20128" s="1" t="n">
        <v>45790</v>
      </c>
      <c r="C20128" s="1" t="n">
        <v>45810</v>
      </c>
      <c r="D20128" t="inlineStr">
        <is>
          <t>VÄRMLANDS LÄN</t>
        </is>
      </c>
      <c r="E20128" t="inlineStr">
        <is>
          <t>HAGFORS</t>
        </is>
      </c>
      <c r="F20128" t="inlineStr">
        <is>
          <t>Bergvik skog väst AB</t>
        </is>
      </c>
      <c r="G20128" t="n">
        <v>8.5</v>
      </c>
      <c r="H20128" t="n">
        <v>0</v>
      </c>
      <c r="I20128" t="n">
        <v>0</v>
      </c>
      <c r="J20128" t="n">
        <v>0</v>
      </c>
      <c r="K20128" t="n">
        <v>0</v>
      </c>
      <c r="L20128" t="n">
        <v>0</v>
      </c>
      <c r="M20128" t="n">
        <v>0</v>
      </c>
      <c r="N20128" t="n">
        <v>0</v>
      </c>
      <c r="O20128" t="n">
        <v>0</v>
      </c>
      <c r="P20128" t="n">
        <v>0</v>
      </c>
      <c r="Q20128" t="n">
        <v>0</v>
      </c>
      <c r="R20128" s="2" t="inlineStr"/>
    </row>
    <row r="20129" ht="15" customHeight="1">
      <c r="A20129" t="inlineStr">
        <is>
          <t>A 22914-2025</t>
        </is>
      </c>
      <c r="B20129" s="1" t="n">
        <v>45790</v>
      </c>
      <c r="C20129" s="1" t="n">
        <v>45810</v>
      </c>
      <c r="D20129" t="inlineStr">
        <is>
          <t>VÄRMLANDS LÄN</t>
        </is>
      </c>
      <c r="E20129" t="inlineStr">
        <is>
          <t>SÄFFLE</t>
        </is>
      </c>
      <c r="F20129" t="inlineStr">
        <is>
          <t>Bergvik skog väst AB</t>
        </is>
      </c>
      <c r="G20129" t="n">
        <v>1</v>
      </c>
      <c r="H20129" t="n">
        <v>0</v>
      </c>
      <c r="I20129" t="n">
        <v>0</v>
      </c>
      <c r="J20129" t="n">
        <v>0</v>
      </c>
      <c r="K20129" t="n">
        <v>0</v>
      </c>
      <c r="L20129" t="n">
        <v>0</v>
      </c>
      <c r="M20129" t="n">
        <v>0</v>
      </c>
      <c r="N20129" t="n">
        <v>0</v>
      </c>
      <c r="O20129" t="n">
        <v>0</v>
      </c>
      <c r="P20129" t="n">
        <v>0</v>
      </c>
      <c r="Q20129" t="n">
        <v>0</v>
      </c>
      <c r="R20129" s="2" t="inlineStr"/>
    </row>
    <row r="20130" ht="15" customHeight="1">
      <c r="A20130" t="inlineStr">
        <is>
          <t>A 22964-2025</t>
        </is>
      </c>
      <c r="B20130" s="1" t="n">
        <v>45790</v>
      </c>
      <c r="C20130" s="1" t="n">
        <v>45810</v>
      </c>
      <c r="D20130" t="inlineStr">
        <is>
          <t>VÄRMLANDS LÄN</t>
        </is>
      </c>
      <c r="E20130" t="inlineStr">
        <is>
          <t>HAGFORS</t>
        </is>
      </c>
      <c r="F20130" t="inlineStr">
        <is>
          <t>Bergvik skog väst AB</t>
        </is>
      </c>
      <c r="G20130" t="n">
        <v>2.4</v>
      </c>
      <c r="H20130" t="n">
        <v>0</v>
      </c>
      <c r="I20130" t="n">
        <v>0</v>
      </c>
      <c r="J20130" t="n">
        <v>0</v>
      </c>
      <c r="K20130" t="n">
        <v>0</v>
      </c>
      <c r="L20130" t="n">
        <v>0</v>
      </c>
      <c r="M20130" t="n">
        <v>0</v>
      </c>
      <c r="N20130" t="n">
        <v>0</v>
      </c>
      <c r="O20130" t="n">
        <v>0</v>
      </c>
      <c r="P20130" t="n">
        <v>0</v>
      </c>
      <c r="Q20130" t="n">
        <v>0</v>
      </c>
      <c r="R20130" s="2" t="inlineStr"/>
    </row>
    <row r="20131" ht="15" customHeight="1">
      <c r="A20131" t="inlineStr">
        <is>
          <t>A 23011-2025</t>
        </is>
      </c>
      <c r="B20131" s="1" t="n">
        <v>45790</v>
      </c>
      <c r="C20131" s="1" t="n">
        <v>45810</v>
      </c>
      <c r="D20131" t="inlineStr">
        <is>
          <t>VÄRMLANDS LÄN</t>
        </is>
      </c>
      <c r="E20131" t="inlineStr">
        <is>
          <t>MUNKFORS</t>
        </is>
      </c>
      <c r="F20131" t="inlineStr">
        <is>
          <t>Bergvik skog väst AB</t>
        </is>
      </c>
      <c r="G20131" t="n">
        <v>1.4</v>
      </c>
      <c r="H20131" t="n">
        <v>0</v>
      </c>
      <c r="I20131" t="n">
        <v>0</v>
      </c>
      <c r="J20131" t="n">
        <v>0</v>
      </c>
      <c r="K20131" t="n">
        <v>0</v>
      </c>
      <c r="L20131" t="n">
        <v>0</v>
      </c>
      <c r="M20131" t="n">
        <v>0</v>
      </c>
      <c r="N20131" t="n">
        <v>0</v>
      </c>
      <c r="O20131" t="n">
        <v>0</v>
      </c>
      <c r="P20131" t="n">
        <v>0</v>
      </c>
      <c r="Q20131" t="n">
        <v>0</v>
      </c>
      <c r="R20131" s="2" t="inlineStr"/>
    </row>
    <row r="20132" ht="15" customHeight="1">
      <c r="A20132" t="inlineStr">
        <is>
          <t>A 22861-2025</t>
        </is>
      </c>
      <c r="B20132" s="1" t="n">
        <v>45790</v>
      </c>
      <c r="C20132" s="1" t="n">
        <v>45810</v>
      </c>
      <c r="D20132" t="inlineStr">
        <is>
          <t>VÄRMLANDS LÄN</t>
        </is>
      </c>
      <c r="E20132" t="inlineStr">
        <is>
          <t>FILIPSTAD</t>
        </is>
      </c>
      <c r="F20132" t="inlineStr">
        <is>
          <t>Bergvik skog väst AB</t>
        </is>
      </c>
      <c r="G20132" t="n">
        <v>6.2</v>
      </c>
      <c r="H20132" t="n">
        <v>0</v>
      </c>
      <c r="I20132" t="n">
        <v>0</v>
      </c>
      <c r="J20132" t="n">
        <v>0</v>
      </c>
      <c r="K20132" t="n">
        <v>0</v>
      </c>
      <c r="L20132" t="n">
        <v>0</v>
      </c>
      <c r="M20132" t="n">
        <v>0</v>
      </c>
      <c r="N20132" t="n">
        <v>0</v>
      </c>
      <c r="O20132" t="n">
        <v>0</v>
      </c>
      <c r="P20132" t="n">
        <v>0</v>
      </c>
      <c r="Q20132" t="n">
        <v>0</v>
      </c>
      <c r="R20132" s="2" t="inlineStr"/>
    </row>
    <row r="20133" ht="15" customHeight="1">
      <c r="A20133" t="inlineStr">
        <is>
          <t>A 22871-2025</t>
        </is>
      </c>
      <c r="B20133" s="1" t="n">
        <v>45790</v>
      </c>
      <c r="C20133" s="1" t="n">
        <v>45810</v>
      </c>
      <c r="D20133" t="inlineStr">
        <is>
          <t>VÄRMLANDS LÄN</t>
        </is>
      </c>
      <c r="E20133" t="inlineStr">
        <is>
          <t>FILIPSTAD</t>
        </is>
      </c>
      <c r="F20133" t="inlineStr">
        <is>
          <t>Bergvik skog väst AB</t>
        </is>
      </c>
      <c r="G20133" t="n">
        <v>6.7</v>
      </c>
      <c r="H20133" t="n">
        <v>0</v>
      </c>
      <c r="I20133" t="n">
        <v>0</v>
      </c>
      <c r="J20133" t="n">
        <v>0</v>
      </c>
      <c r="K20133" t="n">
        <v>0</v>
      </c>
      <c r="L20133" t="n">
        <v>0</v>
      </c>
      <c r="M20133" t="n">
        <v>0</v>
      </c>
      <c r="N20133" t="n">
        <v>0</v>
      </c>
      <c r="O20133" t="n">
        <v>0</v>
      </c>
      <c r="P20133" t="n">
        <v>0</v>
      </c>
      <c r="Q20133" t="n">
        <v>0</v>
      </c>
      <c r="R20133" s="2" t="inlineStr"/>
    </row>
    <row r="20134" ht="15" customHeight="1">
      <c r="A20134" t="inlineStr">
        <is>
          <t>A 22874-2025</t>
        </is>
      </c>
      <c r="B20134" s="1" t="n">
        <v>45790</v>
      </c>
      <c r="C20134" s="1" t="n">
        <v>45810</v>
      </c>
      <c r="D20134" t="inlineStr">
        <is>
          <t>VÄRMLANDS LÄN</t>
        </is>
      </c>
      <c r="E20134" t="inlineStr">
        <is>
          <t>FILIPSTAD</t>
        </is>
      </c>
      <c r="F20134" t="inlineStr">
        <is>
          <t>Bergvik skog väst AB</t>
        </is>
      </c>
      <c r="G20134" t="n">
        <v>5.5</v>
      </c>
      <c r="H20134" t="n">
        <v>0</v>
      </c>
      <c r="I20134" t="n">
        <v>0</v>
      </c>
      <c r="J20134" t="n">
        <v>0</v>
      </c>
      <c r="K20134" t="n">
        <v>0</v>
      </c>
      <c r="L20134" t="n">
        <v>0</v>
      </c>
      <c r="M20134" t="n">
        <v>0</v>
      </c>
      <c r="N20134" t="n">
        <v>0</v>
      </c>
      <c r="O20134" t="n">
        <v>0</v>
      </c>
      <c r="P20134" t="n">
        <v>0</v>
      </c>
      <c r="Q20134" t="n">
        <v>0</v>
      </c>
      <c r="R20134" s="2" t="inlineStr"/>
    </row>
    <row r="20135" ht="15" customHeight="1">
      <c r="A20135" t="inlineStr">
        <is>
          <t>A 22905-2025</t>
        </is>
      </c>
      <c r="B20135" s="1" t="n">
        <v>45790</v>
      </c>
      <c r="C20135" s="1" t="n">
        <v>45810</v>
      </c>
      <c r="D20135" t="inlineStr">
        <is>
          <t>VÄRMLANDS LÄN</t>
        </is>
      </c>
      <c r="E20135" t="inlineStr">
        <is>
          <t>SÄFFLE</t>
        </is>
      </c>
      <c r="F20135" t="inlineStr">
        <is>
          <t>Bergvik skog väst AB</t>
        </is>
      </c>
      <c r="G20135" t="n">
        <v>0.6</v>
      </c>
      <c r="H20135" t="n">
        <v>0</v>
      </c>
      <c r="I20135" t="n">
        <v>0</v>
      </c>
      <c r="J20135" t="n">
        <v>0</v>
      </c>
      <c r="K20135" t="n">
        <v>0</v>
      </c>
      <c r="L20135" t="n">
        <v>0</v>
      </c>
      <c r="M20135" t="n">
        <v>0</v>
      </c>
      <c r="N20135" t="n">
        <v>0</v>
      </c>
      <c r="O20135" t="n">
        <v>0</v>
      </c>
      <c r="P20135" t="n">
        <v>0</v>
      </c>
      <c r="Q20135" t="n">
        <v>0</v>
      </c>
      <c r="R20135" s="2" t="inlineStr"/>
    </row>
    <row r="20136" ht="15" customHeight="1">
      <c r="A20136" t="inlineStr">
        <is>
          <t>A 23179-2025</t>
        </is>
      </c>
      <c r="B20136" s="1" t="n">
        <v>45791</v>
      </c>
      <c r="C20136" s="1" t="n">
        <v>45810</v>
      </c>
      <c r="D20136" t="inlineStr">
        <is>
          <t>VÄRMLANDS LÄN</t>
        </is>
      </c>
      <c r="E20136" t="inlineStr">
        <is>
          <t>HAGFORS</t>
        </is>
      </c>
      <c r="F20136" t="inlineStr">
        <is>
          <t>Bergvik skog väst AB</t>
        </is>
      </c>
      <c r="G20136" t="n">
        <v>2.3</v>
      </c>
      <c r="H20136" t="n">
        <v>0</v>
      </c>
      <c r="I20136" t="n">
        <v>0</v>
      </c>
      <c r="J20136" t="n">
        <v>0</v>
      </c>
      <c r="K20136" t="n">
        <v>0</v>
      </c>
      <c r="L20136" t="n">
        <v>0</v>
      </c>
      <c r="M20136" t="n">
        <v>0</v>
      </c>
      <c r="N20136" t="n">
        <v>0</v>
      </c>
      <c r="O20136" t="n">
        <v>0</v>
      </c>
      <c r="P20136" t="n">
        <v>0</v>
      </c>
      <c r="Q20136" t="n">
        <v>0</v>
      </c>
      <c r="R20136" s="2" t="inlineStr"/>
    </row>
    <row r="20137" ht="15" customHeight="1">
      <c r="A20137" t="inlineStr">
        <is>
          <t>A 23118-2025</t>
        </is>
      </c>
      <c r="B20137" s="1" t="n">
        <v>45791</v>
      </c>
      <c r="C20137" s="1" t="n">
        <v>45810</v>
      </c>
      <c r="D20137" t="inlineStr">
        <is>
          <t>VÄRMLANDS LÄN</t>
        </is>
      </c>
      <c r="E20137" t="inlineStr">
        <is>
          <t>HAGFORS</t>
        </is>
      </c>
      <c r="F20137" t="inlineStr">
        <is>
          <t>Bergvik skog väst AB</t>
        </is>
      </c>
      <c r="G20137" t="n">
        <v>2.8</v>
      </c>
      <c r="H20137" t="n">
        <v>0</v>
      </c>
      <c r="I20137" t="n">
        <v>0</v>
      </c>
      <c r="J20137" t="n">
        <v>0</v>
      </c>
      <c r="K20137" t="n">
        <v>0</v>
      </c>
      <c r="L20137" t="n">
        <v>0</v>
      </c>
      <c r="M20137" t="n">
        <v>0</v>
      </c>
      <c r="N20137" t="n">
        <v>0</v>
      </c>
      <c r="O20137" t="n">
        <v>0</v>
      </c>
      <c r="P20137" t="n">
        <v>0</v>
      </c>
      <c r="Q20137" t="n">
        <v>0</v>
      </c>
      <c r="R20137" s="2" t="inlineStr"/>
    </row>
    <row r="20138" ht="15" customHeight="1">
      <c r="A20138" t="inlineStr">
        <is>
          <t>A 23280-2025</t>
        </is>
      </c>
      <c r="B20138" s="1" t="n">
        <v>45791</v>
      </c>
      <c r="C20138" s="1" t="n">
        <v>45810</v>
      </c>
      <c r="D20138" t="inlineStr">
        <is>
          <t>VÄRMLANDS LÄN</t>
        </is>
      </c>
      <c r="E20138" t="inlineStr">
        <is>
          <t>TORSBY</t>
        </is>
      </c>
      <c r="G20138" t="n">
        <v>3.6</v>
      </c>
      <c r="H20138" t="n">
        <v>0</v>
      </c>
      <c r="I20138" t="n">
        <v>0</v>
      </c>
      <c r="J20138" t="n">
        <v>0</v>
      </c>
      <c r="K20138" t="n">
        <v>0</v>
      </c>
      <c r="L20138" t="n">
        <v>0</v>
      </c>
      <c r="M20138" t="n">
        <v>0</v>
      </c>
      <c r="N20138" t="n">
        <v>0</v>
      </c>
      <c r="O20138" t="n">
        <v>0</v>
      </c>
      <c r="P20138" t="n">
        <v>0</v>
      </c>
      <c r="Q20138" t="n">
        <v>0</v>
      </c>
      <c r="R20138" s="2" t="inlineStr"/>
    </row>
    <row r="20139" ht="15" customHeight="1">
      <c r="A20139" t="inlineStr">
        <is>
          <t>A 23371-2025</t>
        </is>
      </c>
      <c r="B20139" s="1" t="n">
        <v>45791</v>
      </c>
      <c r="C20139" s="1" t="n">
        <v>45810</v>
      </c>
      <c r="D20139" t="inlineStr">
        <is>
          <t>VÄRMLANDS LÄN</t>
        </is>
      </c>
      <c r="E20139" t="inlineStr">
        <is>
          <t>SÄFFLE</t>
        </is>
      </c>
      <c r="F20139" t="inlineStr">
        <is>
          <t>Bergvik skog väst AB</t>
        </is>
      </c>
      <c r="G20139" t="n">
        <v>4.6</v>
      </c>
      <c r="H20139" t="n">
        <v>0</v>
      </c>
      <c r="I20139" t="n">
        <v>0</v>
      </c>
      <c r="J20139" t="n">
        <v>0</v>
      </c>
      <c r="K20139" t="n">
        <v>0</v>
      </c>
      <c r="L20139" t="n">
        <v>0</v>
      </c>
      <c r="M20139" t="n">
        <v>0</v>
      </c>
      <c r="N20139" t="n">
        <v>0</v>
      </c>
      <c r="O20139" t="n">
        <v>0</v>
      </c>
      <c r="P20139" t="n">
        <v>0</v>
      </c>
      <c r="Q20139" t="n">
        <v>0</v>
      </c>
      <c r="R20139" s="2" t="inlineStr"/>
    </row>
    <row r="20140" ht="15" customHeight="1">
      <c r="A20140" t="inlineStr">
        <is>
          <t>A 23356-2025</t>
        </is>
      </c>
      <c r="B20140" s="1" t="n">
        <v>45791</v>
      </c>
      <c r="C20140" s="1" t="n">
        <v>45810</v>
      </c>
      <c r="D20140" t="inlineStr">
        <is>
          <t>VÄRMLANDS LÄN</t>
        </is>
      </c>
      <c r="E20140" t="inlineStr">
        <is>
          <t>TORSBY</t>
        </is>
      </c>
      <c r="F20140" t="inlineStr">
        <is>
          <t>Bergvik skog väst AB</t>
        </is>
      </c>
      <c r="G20140" t="n">
        <v>15.9</v>
      </c>
      <c r="H20140" t="n">
        <v>0</v>
      </c>
      <c r="I20140" t="n">
        <v>0</v>
      </c>
      <c r="J20140" t="n">
        <v>0</v>
      </c>
      <c r="K20140" t="n">
        <v>0</v>
      </c>
      <c r="L20140" t="n">
        <v>0</v>
      </c>
      <c r="M20140" t="n">
        <v>0</v>
      </c>
      <c r="N20140" t="n">
        <v>0</v>
      </c>
      <c r="O20140" t="n">
        <v>0</v>
      </c>
      <c r="P20140" t="n">
        <v>0</v>
      </c>
      <c r="Q20140" t="n">
        <v>0</v>
      </c>
      <c r="R20140" s="2" t="inlineStr"/>
    </row>
    <row r="20141" ht="15" customHeight="1">
      <c r="A20141" t="inlineStr">
        <is>
          <t>A 23357-2025</t>
        </is>
      </c>
      <c r="B20141" s="1" t="n">
        <v>45791</v>
      </c>
      <c r="C20141" s="1" t="n">
        <v>45810</v>
      </c>
      <c r="D20141" t="inlineStr">
        <is>
          <t>VÄRMLANDS LÄN</t>
        </is>
      </c>
      <c r="E20141" t="inlineStr">
        <is>
          <t>SÄFFLE</t>
        </is>
      </c>
      <c r="F20141" t="inlineStr">
        <is>
          <t>Bergvik skog väst AB</t>
        </is>
      </c>
      <c r="G20141" t="n">
        <v>3.5</v>
      </c>
      <c r="H20141" t="n">
        <v>0</v>
      </c>
      <c r="I20141" t="n">
        <v>0</v>
      </c>
      <c r="J20141" t="n">
        <v>0</v>
      </c>
      <c r="K20141" t="n">
        <v>0</v>
      </c>
      <c r="L20141" t="n">
        <v>0</v>
      </c>
      <c r="M20141" t="n">
        <v>0</v>
      </c>
      <c r="N20141" t="n">
        <v>0</v>
      </c>
      <c r="O20141" t="n">
        <v>0</v>
      </c>
      <c r="P20141" t="n">
        <v>0</v>
      </c>
      <c r="Q20141" t="n">
        <v>0</v>
      </c>
      <c r="R20141" s="2" t="inlineStr"/>
    </row>
    <row r="20142" ht="15" customHeight="1">
      <c r="A20142" t="inlineStr">
        <is>
          <t>A 23286-2025</t>
        </is>
      </c>
      <c r="B20142" s="1" t="n">
        <v>45791</v>
      </c>
      <c r="C20142" s="1" t="n">
        <v>45810</v>
      </c>
      <c r="D20142" t="inlineStr">
        <is>
          <t>VÄRMLANDS LÄN</t>
        </is>
      </c>
      <c r="E20142" t="inlineStr">
        <is>
          <t>FILIPSTAD</t>
        </is>
      </c>
      <c r="F20142" t="inlineStr">
        <is>
          <t>Bergvik skog väst AB</t>
        </is>
      </c>
      <c r="G20142" t="n">
        <v>2.8</v>
      </c>
      <c r="H20142" t="n">
        <v>0</v>
      </c>
      <c r="I20142" t="n">
        <v>0</v>
      </c>
      <c r="J20142" t="n">
        <v>0</v>
      </c>
      <c r="K20142" t="n">
        <v>0</v>
      </c>
      <c r="L20142" t="n">
        <v>0</v>
      </c>
      <c r="M20142" t="n">
        <v>0</v>
      </c>
      <c r="N20142" t="n">
        <v>0</v>
      </c>
      <c r="O20142" t="n">
        <v>0</v>
      </c>
      <c r="P20142" t="n">
        <v>0</v>
      </c>
      <c r="Q20142" t="n">
        <v>0</v>
      </c>
      <c r="R20142" s="2" t="inlineStr"/>
    </row>
    <row r="20143" ht="15" customHeight="1">
      <c r="A20143" t="inlineStr">
        <is>
          <t>A 23126-2025</t>
        </is>
      </c>
      <c r="B20143" s="1" t="n">
        <v>45791</v>
      </c>
      <c r="C20143" s="1" t="n">
        <v>45810</v>
      </c>
      <c r="D20143" t="inlineStr">
        <is>
          <t>VÄRMLANDS LÄN</t>
        </is>
      </c>
      <c r="E20143" t="inlineStr">
        <is>
          <t>TORSBY</t>
        </is>
      </c>
      <c r="G20143" t="n">
        <v>8.4</v>
      </c>
      <c r="H20143" t="n">
        <v>0</v>
      </c>
      <c r="I20143" t="n">
        <v>0</v>
      </c>
      <c r="J20143" t="n">
        <v>0</v>
      </c>
      <c r="K20143" t="n">
        <v>0</v>
      </c>
      <c r="L20143" t="n">
        <v>0</v>
      </c>
      <c r="M20143" t="n">
        <v>0</v>
      </c>
      <c r="N20143" t="n">
        <v>0</v>
      </c>
      <c r="O20143" t="n">
        <v>0</v>
      </c>
      <c r="P20143" t="n">
        <v>0</v>
      </c>
      <c r="Q20143" t="n">
        <v>0</v>
      </c>
      <c r="R20143" s="2" t="inlineStr"/>
    </row>
    <row r="20144" ht="15" customHeight="1">
      <c r="A20144" t="inlineStr">
        <is>
          <t>A 23287-2025</t>
        </is>
      </c>
      <c r="B20144" s="1" t="n">
        <v>45791</v>
      </c>
      <c r="C20144" s="1" t="n">
        <v>45810</v>
      </c>
      <c r="D20144" t="inlineStr">
        <is>
          <t>VÄRMLANDS LÄN</t>
        </is>
      </c>
      <c r="E20144" t="inlineStr">
        <is>
          <t>TORSBY</t>
        </is>
      </c>
      <c r="F20144" t="inlineStr">
        <is>
          <t>Bergvik skog väst AB</t>
        </is>
      </c>
      <c r="G20144" t="n">
        <v>8.5</v>
      </c>
      <c r="H20144" t="n">
        <v>0</v>
      </c>
      <c r="I20144" t="n">
        <v>0</v>
      </c>
      <c r="J20144" t="n">
        <v>0</v>
      </c>
      <c r="K20144" t="n">
        <v>0</v>
      </c>
      <c r="L20144" t="n">
        <v>0</v>
      </c>
      <c r="M20144" t="n">
        <v>0</v>
      </c>
      <c r="N20144" t="n">
        <v>0</v>
      </c>
      <c r="O20144" t="n">
        <v>0</v>
      </c>
      <c r="P20144" t="n">
        <v>0</v>
      </c>
      <c r="Q20144" t="n">
        <v>0</v>
      </c>
      <c r="R20144" s="2" t="inlineStr"/>
    </row>
    <row r="20145" ht="15" customHeight="1">
      <c r="A20145" t="inlineStr">
        <is>
          <t>A 23214-2025</t>
        </is>
      </c>
      <c r="B20145" s="1" t="n">
        <v>45791</v>
      </c>
      <c r="C20145" s="1" t="n">
        <v>45810</v>
      </c>
      <c r="D20145" t="inlineStr">
        <is>
          <t>VÄRMLANDS LÄN</t>
        </is>
      </c>
      <c r="E20145" t="inlineStr">
        <is>
          <t>HAGFORS</t>
        </is>
      </c>
      <c r="F20145" t="inlineStr">
        <is>
          <t>Bergvik skog väst AB</t>
        </is>
      </c>
      <c r="G20145" t="n">
        <v>2</v>
      </c>
      <c r="H20145" t="n">
        <v>0</v>
      </c>
      <c r="I20145" t="n">
        <v>0</v>
      </c>
      <c r="J20145" t="n">
        <v>0</v>
      </c>
      <c r="K20145" t="n">
        <v>0</v>
      </c>
      <c r="L20145" t="n">
        <v>0</v>
      </c>
      <c r="M20145" t="n">
        <v>0</v>
      </c>
      <c r="N20145" t="n">
        <v>0</v>
      </c>
      <c r="O20145" t="n">
        <v>0</v>
      </c>
      <c r="P20145" t="n">
        <v>0</v>
      </c>
      <c r="Q20145" t="n">
        <v>0</v>
      </c>
      <c r="R20145" s="2" t="inlineStr"/>
    </row>
    <row r="20146" ht="15" customHeight="1">
      <c r="A20146" t="inlineStr">
        <is>
          <t>A 23145-2025</t>
        </is>
      </c>
      <c r="B20146" s="1" t="n">
        <v>45791</v>
      </c>
      <c r="C20146" s="1" t="n">
        <v>45810</v>
      </c>
      <c r="D20146" t="inlineStr">
        <is>
          <t>VÄRMLANDS LÄN</t>
        </is>
      </c>
      <c r="E20146" t="inlineStr">
        <is>
          <t>SÄFFLE</t>
        </is>
      </c>
      <c r="G20146" t="n">
        <v>1.4</v>
      </c>
      <c r="H20146" t="n">
        <v>0</v>
      </c>
      <c r="I20146" t="n">
        <v>0</v>
      </c>
      <c r="J20146" t="n">
        <v>0</v>
      </c>
      <c r="K20146" t="n">
        <v>0</v>
      </c>
      <c r="L20146" t="n">
        <v>0</v>
      </c>
      <c r="M20146" t="n">
        <v>0</v>
      </c>
      <c r="N20146" t="n">
        <v>0</v>
      </c>
      <c r="O20146" t="n">
        <v>0</v>
      </c>
      <c r="P20146" t="n">
        <v>0</v>
      </c>
      <c r="Q20146" t="n">
        <v>0</v>
      </c>
      <c r="R20146" s="2" t="inlineStr"/>
    </row>
    <row r="20147" ht="15" customHeight="1">
      <c r="A20147" t="inlineStr">
        <is>
          <t>A 23177-2025</t>
        </is>
      </c>
      <c r="B20147" s="1" t="n">
        <v>45791</v>
      </c>
      <c r="C20147" s="1" t="n">
        <v>45810</v>
      </c>
      <c r="D20147" t="inlineStr">
        <is>
          <t>VÄRMLANDS LÄN</t>
        </is>
      </c>
      <c r="E20147" t="inlineStr">
        <is>
          <t>SUNNE</t>
        </is>
      </c>
      <c r="F20147" t="inlineStr">
        <is>
          <t>Kyrkan</t>
        </is>
      </c>
      <c r="G20147" t="n">
        <v>4.8</v>
      </c>
      <c r="H20147" t="n">
        <v>0</v>
      </c>
      <c r="I20147" t="n">
        <v>0</v>
      </c>
      <c r="J20147" t="n">
        <v>0</v>
      </c>
      <c r="K20147" t="n">
        <v>0</v>
      </c>
      <c r="L20147" t="n">
        <v>0</v>
      </c>
      <c r="M20147" t="n">
        <v>0</v>
      </c>
      <c r="N20147" t="n">
        <v>0</v>
      </c>
      <c r="O20147" t="n">
        <v>0</v>
      </c>
      <c r="P20147" t="n">
        <v>0</v>
      </c>
      <c r="Q20147" t="n">
        <v>0</v>
      </c>
      <c r="R20147" s="2" t="inlineStr"/>
    </row>
    <row r="20148" ht="15" customHeight="1">
      <c r="A20148" t="inlineStr">
        <is>
          <t>A 23268-2025</t>
        </is>
      </c>
      <c r="B20148" s="1" t="n">
        <v>45791</v>
      </c>
      <c r="C20148" s="1" t="n">
        <v>45810</v>
      </c>
      <c r="D20148" t="inlineStr">
        <is>
          <t>VÄRMLANDS LÄN</t>
        </is>
      </c>
      <c r="E20148" t="inlineStr">
        <is>
          <t>HAGFORS</t>
        </is>
      </c>
      <c r="G20148" t="n">
        <v>1.2</v>
      </c>
      <c r="H20148" t="n">
        <v>0</v>
      </c>
      <c r="I20148" t="n">
        <v>0</v>
      </c>
      <c r="J20148" t="n">
        <v>0</v>
      </c>
      <c r="K20148" t="n">
        <v>0</v>
      </c>
      <c r="L20148" t="n">
        <v>0</v>
      </c>
      <c r="M20148" t="n">
        <v>0</v>
      </c>
      <c r="N20148" t="n">
        <v>0</v>
      </c>
      <c r="O20148" t="n">
        <v>0</v>
      </c>
      <c r="P20148" t="n">
        <v>0</v>
      </c>
      <c r="Q20148" t="n">
        <v>0</v>
      </c>
      <c r="R20148" s="2" t="inlineStr"/>
    </row>
    <row r="20149" ht="15" customHeight="1">
      <c r="A20149" t="inlineStr">
        <is>
          <t>A 23081-2025</t>
        </is>
      </c>
      <c r="B20149" s="1" t="n">
        <v>45791</v>
      </c>
      <c r="C20149" s="1" t="n">
        <v>45810</v>
      </c>
      <c r="D20149" t="inlineStr">
        <is>
          <t>VÄRMLANDS LÄN</t>
        </is>
      </c>
      <c r="E20149" t="inlineStr">
        <is>
          <t>SÄFFLE</t>
        </is>
      </c>
      <c r="G20149" t="n">
        <v>0.9</v>
      </c>
      <c r="H20149" t="n">
        <v>0</v>
      </c>
      <c r="I20149" t="n">
        <v>0</v>
      </c>
      <c r="J20149" t="n">
        <v>0</v>
      </c>
      <c r="K20149" t="n">
        <v>0</v>
      </c>
      <c r="L20149" t="n">
        <v>0</v>
      </c>
      <c r="M20149" t="n">
        <v>0</v>
      </c>
      <c r="N20149" t="n">
        <v>0</v>
      </c>
      <c r="O20149" t="n">
        <v>0</v>
      </c>
      <c r="P20149" t="n">
        <v>0</v>
      </c>
      <c r="Q20149" t="n">
        <v>0</v>
      </c>
      <c r="R20149" s="2" t="inlineStr"/>
    </row>
    <row r="20150" ht="15" customHeight="1">
      <c r="A20150" t="inlineStr">
        <is>
          <t>A 23367-2025</t>
        </is>
      </c>
      <c r="B20150" s="1" t="n">
        <v>45791</v>
      </c>
      <c r="C20150" s="1" t="n">
        <v>45810</v>
      </c>
      <c r="D20150" t="inlineStr">
        <is>
          <t>VÄRMLANDS LÄN</t>
        </is>
      </c>
      <c r="E20150" t="inlineStr">
        <is>
          <t>TORSBY</t>
        </is>
      </c>
      <c r="G20150" t="n">
        <v>9.800000000000001</v>
      </c>
      <c r="H20150" t="n">
        <v>0</v>
      </c>
      <c r="I20150" t="n">
        <v>0</v>
      </c>
      <c r="J20150" t="n">
        <v>0</v>
      </c>
      <c r="K20150" t="n">
        <v>0</v>
      </c>
      <c r="L20150" t="n">
        <v>0</v>
      </c>
      <c r="M20150" t="n">
        <v>0</v>
      </c>
      <c r="N20150" t="n">
        <v>0</v>
      </c>
      <c r="O20150" t="n">
        <v>0</v>
      </c>
      <c r="P20150" t="n">
        <v>0</v>
      </c>
      <c r="Q20150" t="n">
        <v>0</v>
      </c>
      <c r="R20150" s="2" t="inlineStr"/>
    </row>
    <row r="20151" ht="15" customHeight="1">
      <c r="A20151" t="inlineStr">
        <is>
          <t>A 23262-2025</t>
        </is>
      </c>
      <c r="B20151" s="1" t="n">
        <v>45791</v>
      </c>
      <c r="C20151" s="1" t="n">
        <v>45810</v>
      </c>
      <c r="D20151" t="inlineStr">
        <is>
          <t>VÄRMLANDS LÄN</t>
        </is>
      </c>
      <c r="E20151" t="inlineStr">
        <is>
          <t>HAGFORS</t>
        </is>
      </c>
      <c r="F20151" t="inlineStr">
        <is>
          <t>Bergvik skog väst AB</t>
        </is>
      </c>
      <c r="G20151" t="n">
        <v>2.8</v>
      </c>
      <c r="H20151" t="n">
        <v>0</v>
      </c>
      <c r="I20151" t="n">
        <v>0</v>
      </c>
      <c r="J20151" t="n">
        <v>0</v>
      </c>
      <c r="K20151" t="n">
        <v>0</v>
      </c>
      <c r="L20151" t="n">
        <v>0</v>
      </c>
      <c r="M20151" t="n">
        <v>0</v>
      </c>
      <c r="N20151" t="n">
        <v>0</v>
      </c>
      <c r="O20151" t="n">
        <v>0</v>
      </c>
      <c r="P20151" t="n">
        <v>0</v>
      </c>
      <c r="Q20151" t="n">
        <v>0</v>
      </c>
      <c r="R20151" s="2" t="inlineStr"/>
    </row>
    <row r="20152" ht="15" customHeight="1">
      <c r="A20152" t="inlineStr">
        <is>
          <t>A 23266-2025</t>
        </is>
      </c>
      <c r="B20152" s="1" t="n">
        <v>45791</v>
      </c>
      <c r="C20152" s="1" t="n">
        <v>45810</v>
      </c>
      <c r="D20152" t="inlineStr">
        <is>
          <t>VÄRMLANDS LÄN</t>
        </is>
      </c>
      <c r="E20152" t="inlineStr">
        <is>
          <t>FILIPSTAD</t>
        </is>
      </c>
      <c r="G20152" t="n">
        <v>2</v>
      </c>
      <c r="H20152" t="n">
        <v>0</v>
      </c>
      <c r="I20152" t="n">
        <v>0</v>
      </c>
      <c r="J20152" t="n">
        <v>0</v>
      </c>
      <c r="K20152" t="n">
        <v>0</v>
      </c>
      <c r="L20152" t="n">
        <v>0</v>
      </c>
      <c r="M20152" t="n">
        <v>0</v>
      </c>
      <c r="N20152" t="n">
        <v>0</v>
      </c>
      <c r="O20152" t="n">
        <v>0</v>
      </c>
      <c r="P20152" t="n">
        <v>0</v>
      </c>
      <c r="Q20152" t="n">
        <v>0</v>
      </c>
      <c r="R20152" s="2" t="inlineStr"/>
    </row>
    <row r="20153" ht="15" customHeight="1">
      <c r="A20153" t="inlineStr">
        <is>
          <t>A 23230-2025</t>
        </is>
      </c>
      <c r="B20153" s="1" t="n">
        <v>45791</v>
      </c>
      <c r="C20153" s="1" t="n">
        <v>45810</v>
      </c>
      <c r="D20153" t="inlineStr">
        <is>
          <t>VÄRMLANDS LÄN</t>
        </is>
      </c>
      <c r="E20153" t="inlineStr">
        <is>
          <t>SUNNE</t>
        </is>
      </c>
      <c r="F20153" t="inlineStr">
        <is>
          <t>Kyrkan</t>
        </is>
      </c>
      <c r="G20153" t="n">
        <v>7.5</v>
      </c>
      <c r="H20153" t="n">
        <v>0</v>
      </c>
      <c r="I20153" t="n">
        <v>0</v>
      </c>
      <c r="J20153" t="n">
        <v>0</v>
      </c>
      <c r="K20153" t="n">
        <v>0</v>
      </c>
      <c r="L20153" t="n">
        <v>0</v>
      </c>
      <c r="M20153" t="n">
        <v>0</v>
      </c>
      <c r="N20153" t="n">
        <v>0</v>
      </c>
      <c r="O20153" t="n">
        <v>0</v>
      </c>
      <c r="P20153" t="n">
        <v>0</v>
      </c>
      <c r="Q20153" t="n">
        <v>0</v>
      </c>
      <c r="R20153" s="2" t="inlineStr"/>
    </row>
    <row r="20154" ht="15" customHeight="1">
      <c r="A20154" t="inlineStr">
        <is>
          <t>A 23276-2025</t>
        </is>
      </c>
      <c r="B20154" s="1" t="n">
        <v>45791</v>
      </c>
      <c r="C20154" s="1" t="n">
        <v>45810</v>
      </c>
      <c r="D20154" t="inlineStr">
        <is>
          <t>VÄRMLANDS LÄN</t>
        </is>
      </c>
      <c r="E20154" t="inlineStr">
        <is>
          <t>HAGFORS</t>
        </is>
      </c>
      <c r="F20154" t="inlineStr">
        <is>
          <t>Bergvik skog väst AB</t>
        </is>
      </c>
      <c r="G20154" t="n">
        <v>6.7</v>
      </c>
      <c r="H20154" t="n">
        <v>0</v>
      </c>
      <c r="I20154" t="n">
        <v>0</v>
      </c>
      <c r="J20154" t="n">
        <v>0</v>
      </c>
      <c r="K20154" t="n">
        <v>0</v>
      </c>
      <c r="L20154" t="n">
        <v>0</v>
      </c>
      <c r="M20154" t="n">
        <v>0</v>
      </c>
      <c r="N20154" t="n">
        <v>0</v>
      </c>
      <c r="O20154" t="n">
        <v>0</v>
      </c>
      <c r="P20154" t="n">
        <v>0</v>
      </c>
      <c r="Q20154" t="n">
        <v>0</v>
      </c>
      <c r="R20154" s="2" t="inlineStr"/>
    </row>
    <row r="20155" ht="15" customHeight="1">
      <c r="A20155" t="inlineStr">
        <is>
          <t>A 23174-2025</t>
        </is>
      </c>
      <c r="B20155" s="1" t="n">
        <v>45791</v>
      </c>
      <c r="C20155" s="1" t="n">
        <v>45810</v>
      </c>
      <c r="D20155" t="inlineStr">
        <is>
          <t>VÄRMLANDS LÄN</t>
        </is>
      </c>
      <c r="E20155" t="inlineStr">
        <is>
          <t>FILIPSTAD</t>
        </is>
      </c>
      <c r="F20155" t="inlineStr">
        <is>
          <t>Bergvik skog väst AB</t>
        </is>
      </c>
      <c r="G20155" t="n">
        <v>2.3</v>
      </c>
      <c r="H20155" t="n">
        <v>0</v>
      </c>
      <c r="I20155" t="n">
        <v>0</v>
      </c>
      <c r="J20155" t="n">
        <v>0</v>
      </c>
      <c r="K20155" t="n">
        <v>0</v>
      </c>
      <c r="L20155" t="n">
        <v>0</v>
      </c>
      <c r="M20155" t="n">
        <v>0</v>
      </c>
      <c r="N20155" t="n">
        <v>0</v>
      </c>
      <c r="O20155" t="n">
        <v>0</v>
      </c>
      <c r="P20155" t="n">
        <v>0</v>
      </c>
      <c r="Q20155" t="n">
        <v>0</v>
      </c>
      <c r="R20155" s="2" t="inlineStr"/>
    </row>
    <row r="20156" ht="15" customHeight="1">
      <c r="A20156" t="inlineStr">
        <is>
          <t>A 23325-2025</t>
        </is>
      </c>
      <c r="B20156" s="1" t="n">
        <v>45791</v>
      </c>
      <c r="C20156" s="1" t="n">
        <v>45810</v>
      </c>
      <c r="D20156" t="inlineStr">
        <is>
          <t>VÄRMLANDS LÄN</t>
        </is>
      </c>
      <c r="E20156" t="inlineStr">
        <is>
          <t>HAGFORS</t>
        </is>
      </c>
      <c r="F20156" t="inlineStr">
        <is>
          <t>Bergvik skog väst AB</t>
        </is>
      </c>
      <c r="G20156" t="n">
        <v>2.5</v>
      </c>
      <c r="H20156" t="n">
        <v>0</v>
      </c>
      <c r="I20156" t="n">
        <v>0</v>
      </c>
      <c r="J20156" t="n">
        <v>0</v>
      </c>
      <c r="K20156" t="n">
        <v>0</v>
      </c>
      <c r="L20156" t="n">
        <v>0</v>
      </c>
      <c r="M20156" t="n">
        <v>0</v>
      </c>
      <c r="N20156" t="n">
        <v>0</v>
      </c>
      <c r="O20156" t="n">
        <v>0</v>
      </c>
      <c r="P20156" t="n">
        <v>0</v>
      </c>
      <c r="Q20156" t="n">
        <v>0</v>
      </c>
      <c r="R20156" s="2" t="inlineStr"/>
    </row>
    <row r="20157" ht="15" customHeight="1">
      <c r="A20157" t="inlineStr">
        <is>
          <t>A 23084-2025</t>
        </is>
      </c>
      <c r="B20157" s="1" t="n">
        <v>45791</v>
      </c>
      <c r="C20157" s="1" t="n">
        <v>45810</v>
      </c>
      <c r="D20157" t="inlineStr">
        <is>
          <t>VÄRMLANDS LÄN</t>
        </is>
      </c>
      <c r="E20157" t="inlineStr">
        <is>
          <t>ARVIKA</t>
        </is>
      </c>
      <c r="G20157" t="n">
        <v>1.9</v>
      </c>
      <c r="H20157" t="n">
        <v>0</v>
      </c>
      <c r="I20157" t="n">
        <v>0</v>
      </c>
      <c r="J20157" t="n">
        <v>0</v>
      </c>
      <c r="K20157" t="n">
        <v>0</v>
      </c>
      <c r="L20157" t="n">
        <v>0</v>
      </c>
      <c r="M20157" t="n">
        <v>0</v>
      </c>
      <c r="N20157" t="n">
        <v>0</v>
      </c>
      <c r="O20157" t="n">
        <v>0</v>
      </c>
      <c r="P20157" t="n">
        <v>0</v>
      </c>
      <c r="Q20157" t="n">
        <v>0</v>
      </c>
      <c r="R20157" s="2" t="inlineStr"/>
    </row>
    <row r="20158" ht="15" customHeight="1">
      <c r="A20158" t="inlineStr">
        <is>
          <t>A 23236-2025</t>
        </is>
      </c>
      <c r="B20158" s="1" t="n">
        <v>45791</v>
      </c>
      <c r="C20158" s="1" t="n">
        <v>45810</v>
      </c>
      <c r="D20158" t="inlineStr">
        <is>
          <t>VÄRMLANDS LÄN</t>
        </is>
      </c>
      <c r="E20158" t="inlineStr">
        <is>
          <t>HAGFORS</t>
        </is>
      </c>
      <c r="F20158" t="inlineStr">
        <is>
          <t>Bergvik skog väst AB</t>
        </is>
      </c>
      <c r="G20158" t="n">
        <v>11.2</v>
      </c>
      <c r="H20158" t="n">
        <v>0</v>
      </c>
      <c r="I20158" t="n">
        <v>0</v>
      </c>
      <c r="J20158" t="n">
        <v>0</v>
      </c>
      <c r="K20158" t="n">
        <v>0</v>
      </c>
      <c r="L20158" t="n">
        <v>0</v>
      </c>
      <c r="M20158" t="n">
        <v>0</v>
      </c>
      <c r="N20158" t="n">
        <v>0</v>
      </c>
      <c r="O20158" t="n">
        <v>0</v>
      </c>
      <c r="P20158" t="n">
        <v>0</v>
      </c>
      <c r="Q20158" t="n">
        <v>0</v>
      </c>
      <c r="R20158" s="2" t="inlineStr"/>
    </row>
    <row r="20159" ht="15" customHeight="1">
      <c r="A20159" t="inlineStr">
        <is>
          <t>A 23455-2025</t>
        </is>
      </c>
      <c r="B20159" s="1" t="n">
        <v>45792</v>
      </c>
      <c r="C20159" s="1" t="n">
        <v>45810</v>
      </c>
      <c r="D20159" t="inlineStr">
        <is>
          <t>VÄRMLANDS LÄN</t>
        </is>
      </c>
      <c r="E20159" t="inlineStr">
        <is>
          <t>TORSBY</t>
        </is>
      </c>
      <c r="F20159" t="inlineStr">
        <is>
          <t>Kyrkan</t>
        </is>
      </c>
      <c r="G20159" t="n">
        <v>10.7</v>
      </c>
      <c r="H20159" t="n">
        <v>0</v>
      </c>
      <c r="I20159" t="n">
        <v>0</v>
      </c>
      <c r="J20159" t="n">
        <v>0</v>
      </c>
      <c r="K20159" t="n">
        <v>0</v>
      </c>
      <c r="L20159" t="n">
        <v>0</v>
      </c>
      <c r="M20159" t="n">
        <v>0</v>
      </c>
      <c r="N20159" t="n">
        <v>0</v>
      </c>
      <c r="O20159" t="n">
        <v>0</v>
      </c>
      <c r="P20159" t="n">
        <v>0</v>
      </c>
      <c r="Q20159" t="n">
        <v>0</v>
      </c>
      <c r="R20159" s="2" t="inlineStr"/>
    </row>
    <row r="20160" ht="15" customHeight="1">
      <c r="A20160" t="inlineStr">
        <is>
          <t>A 23441-2025</t>
        </is>
      </c>
      <c r="B20160" s="1" t="n">
        <v>45792</v>
      </c>
      <c r="C20160" s="1" t="n">
        <v>45810</v>
      </c>
      <c r="D20160" t="inlineStr">
        <is>
          <t>VÄRMLANDS LÄN</t>
        </is>
      </c>
      <c r="E20160" t="inlineStr">
        <is>
          <t>HAGFORS</t>
        </is>
      </c>
      <c r="F20160" t="inlineStr">
        <is>
          <t>Bergvik skog väst AB</t>
        </is>
      </c>
      <c r="G20160" t="n">
        <v>2.1</v>
      </c>
      <c r="H20160" t="n">
        <v>0</v>
      </c>
      <c r="I20160" t="n">
        <v>0</v>
      </c>
      <c r="J20160" t="n">
        <v>0</v>
      </c>
      <c r="K20160" t="n">
        <v>0</v>
      </c>
      <c r="L20160" t="n">
        <v>0</v>
      </c>
      <c r="M20160" t="n">
        <v>0</v>
      </c>
      <c r="N20160" t="n">
        <v>0</v>
      </c>
      <c r="O20160" t="n">
        <v>0</v>
      </c>
      <c r="P20160" t="n">
        <v>0</v>
      </c>
      <c r="Q20160" t="n">
        <v>0</v>
      </c>
      <c r="R20160" s="2" t="inlineStr"/>
    </row>
    <row r="20161" ht="15" customHeight="1">
      <c r="A20161" t="inlineStr">
        <is>
          <t>A 23443-2025</t>
        </is>
      </c>
      <c r="B20161" s="1" t="n">
        <v>45792</v>
      </c>
      <c r="C20161" s="1" t="n">
        <v>45810</v>
      </c>
      <c r="D20161" t="inlineStr">
        <is>
          <t>VÄRMLANDS LÄN</t>
        </is>
      </c>
      <c r="E20161" t="inlineStr">
        <is>
          <t>HAGFORS</t>
        </is>
      </c>
      <c r="F20161" t="inlineStr">
        <is>
          <t>Bergvik skog väst AB</t>
        </is>
      </c>
      <c r="G20161" t="n">
        <v>1.5</v>
      </c>
      <c r="H20161" t="n">
        <v>0</v>
      </c>
      <c r="I20161" t="n">
        <v>0</v>
      </c>
      <c r="J20161" t="n">
        <v>0</v>
      </c>
      <c r="K20161" t="n">
        <v>0</v>
      </c>
      <c r="L20161" t="n">
        <v>0</v>
      </c>
      <c r="M20161" t="n">
        <v>0</v>
      </c>
      <c r="N20161" t="n">
        <v>0</v>
      </c>
      <c r="O20161" t="n">
        <v>0</v>
      </c>
      <c r="P20161" t="n">
        <v>0</v>
      </c>
      <c r="Q20161" t="n">
        <v>0</v>
      </c>
      <c r="R20161" s="2" t="inlineStr"/>
    </row>
    <row r="20162" ht="15" customHeight="1">
      <c r="A20162" t="inlineStr">
        <is>
          <t>A 23616-2025</t>
        </is>
      </c>
      <c r="B20162" s="1" t="n">
        <v>45792</v>
      </c>
      <c r="C20162" s="1" t="n">
        <v>45810</v>
      </c>
      <c r="D20162" t="inlineStr">
        <is>
          <t>VÄRMLANDS LÄN</t>
        </is>
      </c>
      <c r="E20162" t="inlineStr">
        <is>
          <t>KARLSTAD</t>
        </is>
      </c>
      <c r="G20162" t="n">
        <v>3.8</v>
      </c>
      <c r="H20162" t="n">
        <v>0</v>
      </c>
      <c r="I20162" t="n">
        <v>0</v>
      </c>
      <c r="J20162" t="n">
        <v>0</v>
      </c>
      <c r="K20162" t="n">
        <v>0</v>
      </c>
      <c r="L20162" t="n">
        <v>0</v>
      </c>
      <c r="M20162" t="n">
        <v>0</v>
      </c>
      <c r="N20162" t="n">
        <v>0</v>
      </c>
      <c r="O20162" t="n">
        <v>0</v>
      </c>
      <c r="P20162" t="n">
        <v>0</v>
      </c>
      <c r="Q20162" t="n">
        <v>0</v>
      </c>
      <c r="R20162" s="2" t="inlineStr"/>
    </row>
    <row r="20163" ht="15" customHeight="1">
      <c r="A20163" t="inlineStr">
        <is>
          <t>A 23511-2025</t>
        </is>
      </c>
      <c r="B20163" s="1" t="n">
        <v>45792</v>
      </c>
      <c r="C20163" s="1" t="n">
        <v>45810</v>
      </c>
      <c r="D20163" t="inlineStr">
        <is>
          <t>VÄRMLANDS LÄN</t>
        </is>
      </c>
      <c r="E20163" t="inlineStr">
        <is>
          <t>KRISTINEHAMN</t>
        </is>
      </c>
      <c r="F20163" t="inlineStr">
        <is>
          <t>Sveaskog</t>
        </is>
      </c>
      <c r="G20163" t="n">
        <v>1.2</v>
      </c>
      <c r="H20163" t="n">
        <v>0</v>
      </c>
      <c r="I20163" t="n">
        <v>0</v>
      </c>
      <c r="J20163" t="n">
        <v>0</v>
      </c>
      <c r="K20163" t="n">
        <v>0</v>
      </c>
      <c r="L20163" t="n">
        <v>0</v>
      </c>
      <c r="M20163" t="n">
        <v>0</v>
      </c>
      <c r="N20163" t="n">
        <v>0</v>
      </c>
      <c r="O20163" t="n">
        <v>0</v>
      </c>
      <c r="P20163" t="n">
        <v>0</v>
      </c>
      <c r="Q20163" t="n">
        <v>0</v>
      </c>
      <c r="R20163" s="2" t="inlineStr"/>
    </row>
    <row r="20164" ht="15" customHeight="1">
      <c r="A20164" t="inlineStr">
        <is>
          <t>A 23525-2025</t>
        </is>
      </c>
      <c r="B20164" s="1" t="n">
        <v>45792</v>
      </c>
      <c r="C20164" s="1" t="n">
        <v>45810</v>
      </c>
      <c r="D20164" t="inlineStr">
        <is>
          <t>VÄRMLANDS LÄN</t>
        </is>
      </c>
      <c r="E20164" t="inlineStr">
        <is>
          <t>HAGFORS</t>
        </is>
      </c>
      <c r="G20164" t="n">
        <v>5.5</v>
      </c>
      <c r="H20164" t="n">
        <v>0</v>
      </c>
      <c r="I20164" t="n">
        <v>0</v>
      </c>
      <c r="J20164" t="n">
        <v>0</v>
      </c>
      <c r="K20164" t="n">
        <v>0</v>
      </c>
      <c r="L20164" t="n">
        <v>0</v>
      </c>
      <c r="M20164" t="n">
        <v>0</v>
      </c>
      <c r="N20164" t="n">
        <v>0</v>
      </c>
      <c r="O20164" t="n">
        <v>0</v>
      </c>
      <c r="P20164" t="n">
        <v>0</v>
      </c>
      <c r="Q20164" t="n">
        <v>0</v>
      </c>
      <c r="R20164" s="2" t="inlineStr"/>
    </row>
    <row r="20165" ht="15" customHeight="1">
      <c r="A20165" t="inlineStr">
        <is>
          <t>A 23556-2025</t>
        </is>
      </c>
      <c r="B20165" s="1" t="n">
        <v>45792</v>
      </c>
      <c r="C20165" s="1" t="n">
        <v>45810</v>
      </c>
      <c r="D20165" t="inlineStr">
        <is>
          <t>VÄRMLANDS LÄN</t>
        </is>
      </c>
      <c r="E20165" t="inlineStr">
        <is>
          <t>HAGFORS</t>
        </is>
      </c>
      <c r="F20165" t="inlineStr">
        <is>
          <t>Bergvik skog väst AB</t>
        </is>
      </c>
      <c r="G20165" t="n">
        <v>1.3</v>
      </c>
      <c r="H20165" t="n">
        <v>0</v>
      </c>
      <c r="I20165" t="n">
        <v>0</v>
      </c>
      <c r="J20165" t="n">
        <v>0</v>
      </c>
      <c r="K20165" t="n">
        <v>0</v>
      </c>
      <c r="L20165" t="n">
        <v>0</v>
      </c>
      <c r="M20165" t="n">
        <v>0</v>
      </c>
      <c r="N20165" t="n">
        <v>0</v>
      </c>
      <c r="O20165" t="n">
        <v>0</v>
      </c>
      <c r="P20165" t="n">
        <v>0</v>
      </c>
      <c r="Q20165" t="n">
        <v>0</v>
      </c>
      <c r="R20165" s="2" t="inlineStr"/>
    </row>
    <row r="20166" ht="15" customHeight="1">
      <c r="A20166" t="inlineStr">
        <is>
          <t>A 23642-2025</t>
        </is>
      </c>
      <c r="B20166" s="1" t="n">
        <v>45792</v>
      </c>
      <c r="C20166" s="1" t="n">
        <v>45810</v>
      </c>
      <c r="D20166" t="inlineStr">
        <is>
          <t>VÄRMLANDS LÄN</t>
        </is>
      </c>
      <c r="E20166" t="inlineStr">
        <is>
          <t>KARLSTAD</t>
        </is>
      </c>
      <c r="G20166" t="n">
        <v>2.2</v>
      </c>
      <c r="H20166" t="n">
        <v>0</v>
      </c>
      <c r="I20166" t="n">
        <v>0</v>
      </c>
      <c r="J20166" t="n">
        <v>0</v>
      </c>
      <c r="K20166" t="n">
        <v>0</v>
      </c>
      <c r="L20166" t="n">
        <v>0</v>
      </c>
      <c r="M20166" t="n">
        <v>0</v>
      </c>
      <c r="N20166" t="n">
        <v>0</v>
      </c>
      <c r="O20166" t="n">
        <v>0</v>
      </c>
      <c r="P20166" t="n">
        <v>0</v>
      </c>
      <c r="Q20166" t="n">
        <v>0</v>
      </c>
      <c r="R20166" s="2" t="inlineStr"/>
    </row>
    <row r="20167" ht="15" customHeight="1">
      <c r="A20167" t="inlineStr">
        <is>
          <t>A 23557-2025</t>
        </is>
      </c>
      <c r="B20167" s="1" t="n">
        <v>45792</v>
      </c>
      <c r="C20167" s="1" t="n">
        <v>45810</v>
      </c>
      <c r="D20167" t="inlineStr">
        <is>
          <t>VÄRMLANDS LÄN</t>
        </is>
      </c>
      <c r="E20167" t="inlineStr">
        <is>
          <t>TORSBY</t>
        </is>
      </c>
      <c r="G20167" t="n">
        <v>2.3</v>
      </c>
      <c r="H20167" t="n">
        <v>0</v>
      </c>
      <c r="I20167" t="n">
        <v>0</v>
      </c>
      <c r="J20167" t="n">
        <v>0</v>
      </c>
      <c r="K20167" t="n">
        <v>0</v>
      </c>
      <c r="L20167" t="n">
        <v>0</v>
      </c>
      <c r="M20167" t="n">
        <v>0</v>
      </c>
      <c r="N20167" t="n">
        <v>0</v>
      </c>
      <c r="O20167" t="n">
        <v>0</v>
      </c>
      <c r="P20167" t="n">
        <v>0</v>
      </c>
      <c r="Q20167" t="n">
        <v>0</v>
      </c>
      <c r="R20167" s="2" t="inlineStr"/>
    </row>
    <row r="20168" ht="15" customHeight="1">
      <c r="A20168" t="inlineStr">
        <is>
          <t>A 23614-2025</t>
        </is>
      </c>
      <c r="B20168" s="1" t="n">
        <v>45792</v>
      </c>
      <c r="C20168" s="1" t="n">
        <v>45810</v>
      </c>
      <c r="D20168" t="inlineStr">
        <is>
          <t>VÄRMLANDS LÄN</t>
        </is>
      </c>
      <c r="E20168" t="inlineStr">
        <is>
          <t>KARLSTAD</t>
        </is>
      </c>
      <c r="G20168" t="n">
        <v>0.9</v>
      </c>
      <c r="H20168" t="n">
        <v>0</v>
      </c>
      <c r="I20168" t="n">
        <v>0</v>
      </c>
      <c r="J20168" t="n">
        <v>0</v>
      </c>
      <c r="K20168" t="n">
        <v>0</v>
      </c>
      <c r="L20168" t="n">
        <v>0</v>
      </c>
      <c r="M20168" t="n">
        <v>0</v>
      </c>
      <c r="N20168" t="n">
        <v>0</v>
      </c>
      <c r="O20168" t="n">
        <v>0</v>
      </c>
      <c r="P20168" t="n">
        <v>0</v>
      </c>
      <c r="Q20168" t="n">
        <v>0</v>
      </c>
      <c r="R20168" s="2" t="inlineStr"/>
    </row>
    <row r="20169" ht="15" customHeight="1">
      <c r="A20169" t="inlineStr">
        <is>
          <t>A 23399-2025</t>
        </is>
      </c>
      <c r="B20169" s="1" t="n">
        <v>45792</v>
      </c>
      <c r="C20169" s="1" t="n">
        <v>45810</v>
      </c>
      <c r="D20169" t="inlineStr">
        <is>
          <t>VÄRMLANDS LÄN</t>
        </is>
      </c>
      <c r="E20169" t="inlineStr">
        <is>
          <t>FILIPSTAD</t>
        </is>
      </c>
      <c r="F20169" t="inlineStr">
        <is>
          <t>Bergvik skog väst AB</t>
        </is>
      </c>
      <c r="G20169" t="n">
        <v>0.7</v>
      </c>
      <c r="H20169" t="n">
        <v>0</v>
      </c>
      <c r="I20169" t="n">
        <v>0</v>
      </c>
      <c r="J20169" t="n">
        <v>0</v>
      </c>
      <c r="K20169" t="n">
        <v>0</v>
      </c>
      <c r="L20169" t="n">
        <v>0</v>
      </c>
      <c r="M20169" t="n">
        <v>0</v>
      </c>
      <c r="N20169" t="n">
        <v>0</v>
      </c>
      <c r="O20169" t="n">
        <v>0</v>
      </c>
      <c r="P20169" t="n">
        <v>0</v>
      </c>
      <c r="Q20169" t="n">
        <v>0</v>
      </c>
      <c r="R20169" s="2" t="inlineStr"/>
    </row>
    <row r="20170" ht="15" customHeight="1">
      <c r="A20170" t="inlineStr">
        <is>
          <t>A 23498-2025</t>
        </is>
      </c>
      <c r="B20170" s="1" t="n">
        <v>45792</v>
      </c>
      <c r="C20170" s="1" t="n">
        <v>45810</v>
      </c>
      <c r="D20170" t="inlineStr">
        <is>
          <t>VÄRMLANDS LÄN</t>
        </is>
      </c>
      <c r="E20170" t="inlineStr">
        <is>
          <t>KRISTINEHAMN</t>
        </is>
      </c>
      <c r="F20170" t="inlineStr">
        <is>
          <t>Sveaskog</t>
        </is>
      </c>
      <c r="G20170" t="n">
        <v>5.3</v>
      </c>
      <c r="H20170" t="n">
        <v>0</v>
      </c>
      <c r="I20170" t="n">
        <v>0</v>
      </c>
      <c r="J20170" t="n">
        <v>0</v>
      </c>
      <c r="K20170" t="n">
        <v>0</v>
      </c>
      <c r="L20170" t="n">
        <v>0</v>
      </c>
      <c r="M20170" t="n">
        <v>0</v>
      </c>
      <c r="N20170" t="n">
        <v>0</v>
      </c>
      <c r="O20170" t="n">
        <v>0</v>
      </c>
      <c r="P20170" t="n">
        <v>0</v>
      </c>
      <c r="Q20170" t="n">
        <v>0</v>
      </c>
      <c r="R20170" s="2" t="inlineStr"/>
    </row>
    <row r="20171" ht="15" customHeight="1">
      <c r="A20171" t="inlineStr">
        <is>
          <t>A 23620-2025</t>
        </is>
      </c>
      <c r="B20171" s="1" t="n">
        <v>45792</v>
      </c>
      <c r="C20171" s="1" t="n">
        <v>45810</v>
      </c>
      <c r="D20171" t="inlineStr">
        <is>
          <t>VÄRMLANDS LÄN</t>
        </is>
      </c>
      <c r="E20171" t="inlineStr">
        <is>
          <t>KARLSTAD</t>
        </is>
      </c>
      <c r="G20171" t="n">
        <v>2.1</v>
      </c>
      <c r="H20171" t="n">
        <v>0</v>
      </c>
      <c r="I20171" t="n">
        <v>0</v>
      </c>
      <c r="J20171" t="n">
        <v>0</v>
      </c>
      <c r="K20171" t="n">
        <v>0</v>
      </c>
      <c r="L20171" t="n">
        <v>0</v>
      </c>
      <c r="M20171" t="n">
        <v>0</v>
      </c>
      <c r="N20171" t="n">
        <v>0</v>
      </c>
      <c r="O20171" t="n">
        <v>0</v>
      </c>
      <c r="P20171" t="n">
        <v>0</v>
      </c>
      <c r="Q20171" t="n">
        <v>0</v>
      </c>
      <c r="R20171" s="2" t="inlineStr"/>
    </row>
    <row r="20172" ht="15" customHeight="1">
      <c r="A20172" t="inlineStr">
        <is>
          <t>A 23514-2025</t>
        </is>
      </c>
      <c r="B20172" s="1" t="n">
        <v>45792</v>
      </c>
      <c r="C20172" s="1" t="n">
        <v>45810</v>
      </c>
      <c r="D20172" t="inlineStr">
        <is>
          <t>VÄRMLANDS LÄN</t>
        </is>
      </c>
      <c r="E20172" t="inlineStr">
        <is>
          <t>FILIPSTAD</t>
        </is>
      </c>
      <c r="F20172" t="inlineStr">
        <is>
          <t>Bergvik skog väst AB</t>
        </is>
      </c>
      <c r="G20172" t="n">
        <v>12.8</v>
      </c>
      <c r="H20172" t="n">
        <v>0</v>
      </c>
      <c r="I20172" t="n">
        <v>0</v>
      </c>
      <c r="J20172" t="n">
        <v>0</v>
      </c>
      <c r="K20172" t="n">
        <v>0</v>
      </c>
      <c r="L20172" t="n">
        <v>0</v>
      </c>
      <c r="M20172" t="n">
        <v>0</v>
      </c>
      <c r="N20172" t="n">
        <v>0</v>
      </c>
      <c r="O20172" t="n">
        <v>0</v>
      </c>
      <c r="P20172" t="n">
        <v>0</v>
      </c>
      <c r="Q20172" t="n">
        <v>0</v>
      </c>
      <c r="R20172" s="2" t="inlineStr"/>
    </row>
    <row r="20173" ht="15" customHeight="1">
      <c r="A20173" t="inlineStr">
        <is>
          <t>A 23501-2025</t>
        </is>
      </c>
      <c r="B20173" s="1" t="n">
        <v>45792</v>
      </c>
      <c r="C20173" s="1" t="n">
        <v>45810</v>
      </c>
      <c r="D20173" t="inlineStr">
        <is>
          <t>VÄRMLANDS LÄN</t>
        </is>
      </c>
      <c r="E20173" t="inlineStr">
        <is>
          <t>KRISTINEHAMN</t>
        </is>
      </c>
      <c r="F20173" t="inlineStr">
        <is>
          <t>Sveaskog</t>
        </is>
      </c>
      <c r="G20173" t="n">
        <v>1.1</v>
      </c>
      <c r="H20173" t="n">
        <v>0</v>
      </c>
      <c r="I20173" t="n">
        <v>0</v>
      </c>
      <c r="J20173" t="n">
        <v>0</v>
      </c>
      <c r="K20173" t="n">
        <v>0</v>
      </c>
      <c r="L20173" t="n">
        <v>0</v>
      </c>
      <c r="M20173" t="n">
        <v>0</v>
      </c>
      <c r="N20173" t="n">
        <v>0</v>
      </c>
      <c r="O20173" t="n">
        <v>0</v>
      </c>
      <c r="P20173" t="n">
        <v>0</v>
      </c>
      <c r="Q20173" t="n">
        <v>0</v>
      </c>
      <c r="R20173" s="2" t="inlineStr"/>
    </row>
    <row r="20174" ht="15" customHeight="1">
      <c r="A20174" t="inlineStr">
        <is>
          <t>A 23502-2025</t>
        </is>
      </c>
      <c r="B20174" s="1" t="n">
        <v>45792</v>
      </c>
      <c r="C20174" s="1" t="n">
        <v>45810</v>
      </c>
      <c r="D20174" t="inlineStr">
        <is>
          <t>VÄRMLANDS LÄN</t>
        </is>
      </c>
      <c r="E20174" t="inlineStr">
        <is>
          <t>KRISTINEHAMN</t>
        </is>
      </c>
      <c r="F20174" t="inlineStr">
        <is>
          <t>Sveaskog</t>
        </is>
      </c>
      <c r="G20174" t="n">
        <v>0.9</v>
      </c>
      <c r="H20174" t="n">
        <v>0</v>
      </c>
      <c r="I20174" t="n">
        <v>0</v>
      </c>
      <c r="J20174" t="n">
        <v>0</v>
      </c>
      <c r="K20174" t="n">
        <v>0</v>
      </c>
      <c r="L20174" t="n">
        <v>0</v>
      </c>
      <c r="M20174" t="n">
        <v>0</v>
      </c>
      <c r="N20174" t="n">
        <v>0</v>
      </c>
      <c r="O20174" t="n">
        <v>0</v>
      </c>
      <c r="P20174" t="n">
        <v>0</v>
      </c>
      <c r="Q20174" t="n">
        <v>0</v>
      </c>
      <c r="R20174" s="2" t="inlineStr"/>
    </row>
    <row r="20175" ht="15" customHeight="1">
      <c r="A20175" t="inlineStr">
        <is>
          <t>A 23510-2025</t>
        </is>
      </c>
      <c r="B20175" s="1" t="n">
        <v>45792</v>
      </c>
      <c r="C20175" s="1" t="n">
        <v>45810</v>
      </c>
      <c r="D20175" t="inlineStr">
        <is>
          <t>VÄRMLANDS LÄN</t>
        </is>
      </c>
      <c r="E20175" t="inlineStr">
        <is>
          <t>KRISTINEHAMN</t>
        </is>
      </c>
      <c r="F20175" t="inlineStr">
        <is>
          <t>Sveaskog</t>
        </is>
      </c>
      <c r="G20175" t="n">
        <v>1.9</v>
      </c>
      <c r="H20175" t="n">
        <v>0</v>
      </c>
      <c r="I20175" t="n">
        <v>0</v>
      </c>
      <c r="J20175" t="n">
        <v>0</v>
      </c>
      <c r="K20175" t="n">
        <v>0</v>
      </c>
      <c r="L20175" t="n">
        <v>0</v>
      </c>
      <c r="M20175" t="n">
        <v>0</v>
      </c>
      <c r="N20175" t="n">
        <v>0</v>
      </c>
      <c r="O20175" t="n">
        <v>0</v>
      </c>
      <c r="P20175" t="n">
        <v>0</v>
      </c>
      <c r="Q20175" t="n">
        <v>0</v>
      </c>
      <c r="R20175" s="2" t="inlineStr"/>
    </row>
    <row r="20176" ht="15" customHeight="1">
      <c r="A20176" t="inlineStr">
        <is>
          <t>A 23475-2025</t>
        </is>
      </c>
      <c r="B20176" s="1" t="n">
        <v>45792</v>
      </c>
      <c r="C20176" s="1" t="n">
        <v>45810</v>
      </c>
      <c r="D20176" t="inlineStr">
        <is>
          <t>VÄRMLANDS LÄN</t>
        </is>
      </c>
      <c r="E20176" t="inlineStr">
        <is>
          <t>FILIPSTAD</t>
        </is>
      </c>
      <c r="F20176" t="inlineStr">
        <is>
          <t>Bergvik skog väst AB</t>
        </is>
      </c>
      <c r="G20176" t="n">
        <v>2.5</v>
      </c>
      <c r="H20176" t="n">
        <v>0</v>
      </c>
      <c r="I20176" t="n">
        <v>0</v>
      </c>
      <c r="J20176" t="n">
        <v>0</v>
      </c>
      <c r="K20176" t="n">
        <v>0</v>
      </c>
      <c r="L20176" t="n">
        <v>0</v>
      </c>
      <c r="M20176" t="n">
        <v>0</v>
      </c>
      <c r="N20176" t="n">
        <v>0</v>
      </c>
      <c r="O20176" t="n">
        <v>0</v>
      </c>
      <c r="P20176" t="n">
        <v>0</v>
      </c>
      <c r="Q20176" t="n">
        <v>0</v>
      </c>
      <c r="R20176" s="2" t="inlineStr"/>
    </row>
    <row r="20177" ht="15" customHeight="1">
      <c r="A20177" t="inlineStr">
        <is>
          <t>A 23482-2025</t>
        </is>
      </c>
      <c r="B20177" s="1" t="n">
        <v>45792</v>
      </c>
      <c r="C20177" s="1" t="n">
        <v>45810</v>
      </c>
      <c r="D20177" t="inlineStr">
        <is>
          <t>VÄRMLANDS LÄN</t>
        </is>
      </c>
      <c r="E20177" t="inlineStr">
        <is>
          <t>EDA</t>
        </is>
      </c>
      <c r="G20177" t="n">
        <v>2.3</v>
      </c>
      <c r="H20177" t="n">
        <v>0</v>
      </c>
      <c r="I20177" t="n">
        <v>0</v>
      </c>
      <c r="J20177" t="n">
        <v>0</v>
      </c>
      <c r="K20177" t="n">
        <v>0</v>
      </c>
      <c r="L20177" t="n">
        <v>0</v>
      </c>
      <c r="M20177" t="n">
        <v>0</v>
      </c>
      <c r="N20177" t="n">
        <v>0</v>
      </c>
      <c r="O20177" t="n">
        <v>0</v>
      </c>
      <c r="P20177" t="n">
        <v>0</v>
      </c>
      <c r="Q20177" t="n">
        <v>0</v>
      </c>
      <c r="R20177" s="2" t="inlineStr"/>
    </row>
    <row r="20178" ht="15" customHeight="1">
      <c r="A20178" t="inlineStr">
        <is>
          <t>A 23832-2025</t>
        </is>
      </c>
      <c r="B20178" s="1" t="n">
        <v>45793</v>
      </c>
      <c r="C20178" s="1" t="n">
        <v>45810</v>
      </c>
      <c r="D20178" t="inlineStr">
        <is>
          <t>VÄRMLANDS LÄN</t>
        </is>
      </c>
      <c r="E20178" t="inlineStr">
        <is>
          <t>TORSBY</t>
        </is>
      </c>
      <c r="F20178" t="inlineStr">
        <is>
          <t>Bergvik skog väst AB</t>
        </is>
      </c>
      <c r="G20178" t="n">
        <v>12.3</v>
      </c>
      <c r="H20178" t="n">
        <v>0</v>
      </c>
      <c r="I20178" t="n">
        <v>0</v>
      </c>
      <c r="J20178" t="n">
        <v>0</v>
      </c>
      <c r="K20178" t="n">
        <v>0</v>
      </c>
      <c r="L20178" t="n">
        <v>0</v>
      </c>
      <c r="M20178" t="n">
        <v>0</v>
      </c>
      <c r="N20178" t="n">
        <v>0</v>
      </c>
      <c r="O20178" t="n">
        <v>0</v>
      </c>
      <c r="P20178" t="n">
        <v>0</v>
      </c>
      <c r="Q20178" t="n">
        <v>0</v>
      </c>
      <c r="R20178" s="2" t="inlineStr"/>
    </row>
    <row r="20179" ht="15" customHeight="1">
      <c r="A20179" t="inlineStr">
        <is>
          <t>A 23702-2025</t>
        </is>
      </c>
      <c r="B20179" s="1" t="n">
        <v>45793</v>
      </c>
      <c r="C20179" s="1" t="n">
        <v>45810</v>
      </c>
      <c r="D20179" t="inlineStr">
        <is>
          <t>VÄRMLANDS LÄN</t>
        </is>
      </c>
      <c r="E20179" t="inlineStr">
        <is>
          <t>SUNNE</t>
        </is>
      </c>
      <c r="G20179" t="n">
        <v>0.7</v>
      </c>
      <c r="H20179" t="n">
        <v>0</v>
      </c>
      <c r="I20179" t="n">
        <v>0</v>
      </c>
      <c r="J20179" t="n">
        <v>0</v>
      </c>
      <c r="K20179" t="n">
        <v>0</v>
      </c>
      <c r="L20179" t="n">
        <v>0</v>
      </c>
      <c r="M20179" t="n">
        <v>0</v>
      </c>
      <c r="N20179" t="n">
        <v>0</v>
      </c>
      <c r="O20179" t="n">
        <v>0</v>
      </c>
      <c r="P20179" t="n">
        <v>0</v>
      </c>
      <c r="Q20179" t="n">
        <v>0</v>
      </c>
      <c r="R20179" s="2" t="inlineStr"/>
    </row>
    <row r="20180" ht="15" customHeight="1">
      <c r="A20180" t="inlineStr">
        <is>
          <t>A 23697-2025</t>
        </is>
      </c>
      <c r="B20180" s="1" t="n">
        <v>45793</v>
      </c>
      <c r="C20180" s="1" t="n">
        <v>45810</v>
      </c>
      <c r="D20180" t="inlineStr">
        <is>
          <t>VÄRMLANDS LÄN</t>
        </is>
      </c>
      <c r="E20180" t="inlineStr">
        <is>
          <t>SUNNE</t>
        </is>
      </c>
      <c r="G20180" t="n">
        <v>2.1</v>
      </c>
      <c r="H20180" t="n">
        <v>0</v>
      </c>
      <c r="I20180" t="n">
        <v>0</v>
      </c>
      <c r="J20180" t="n">
        <v>0</v>
      </c>
      <c r="K20180" t="n">
        <v>0</v>
      </c>
      <c r="L20180" t="n">
        <v>0</v>
      </c>
      <c r="M20180" t="n">
        <v>0</v>
      </c>
      <c r="N20180" t="n">
        <v>0</v>
      </c>
      <c r="O20180" t="n">
        <v>0</v>
      </c>
      <c r="P20180" t="n">
        <v>0</v>
      </c>
      <c r="Q20180" t="n">
        <v>0</v>
      </c>
      <c r="R20180" s="2" t="inlineStr"/>
    </row>
    <row r="20181" ht="15" customHeight="1">
      <c r="A20181" t="inlineStr">
        <is>
          <t>A 23707-2025</t>
        </is>
      </c>
      <c r="B20181" s="1" t="n">
        <v>45793</v>
      </c>
      <c r="C20181" s="1" t="n">
        <v>45810</v>
      </c>
      <c r="D20181" t="inlineStr">
        <is>
          <t>VÄRMLANDS LÄN</t>
        </is>
      </c>
      <c r="E20181" t="inlineStr">
        <is>
          <t>SUNNE</t>
        </is>
      </c>
      <c r="G20181" t="n">
        <v>5.3</v>
      </c>
      <c r="H20181" t="n">
        <v>0</v>
      </c>
      <c r="I20181" t="n">
        <v>0</v>
      </c>
      <c r="J20181" t="n">
        <v>0</v>
      </c>
      <c r="K20181" t="n">
        <v>0</v>
      </c>
      <c r="L20181" t="n">
        <v>0</v>
      </c>
      <c r="M20181" t="n">
        <v>0</v>
      </c>
      <c r="N20181" t="n">
        <v>0</v>
      </c>
      <c r="O20181" t="n">
        <v>0</v>
      </c>
      <c r="P20181" t="n">
        <v>0</v>
      </c>
      <c r="Q20181" t="n">
        <v>0</v>
      </c>
      <c r="R20181" s="2" t="inlineStr"/>
    </row>
    <row r="20182" ht="15" customHeight="1">
      <c r="A20182" t="inlineStr">
        <is>
          <t>A 23715-2025</t>
        </is>
      </c>
      <c r="B20182" s="1" t="n">
        <v>45793</v>
      </c>
      <c r="C20182" s="1" t="n">
        <v>45810</v>
      </c>
      <c r="D20182" t="inlineStr">
        <is>
          <t>VÄRMLANDS LÄN</t>
        </is>
      </c>
      <c r="E20182" t="inlineStr">
        <is>
          <t>SUNNE</t>
        </is>
      </c>
      <c r="G20182" t="n">
        <v>2.9</v>
      </c>
      <c r="H20182" t="n">
        <v>0</v>
      </c>
      <c r="I20182" t="n">
        <v>0</v>
      </c>
      <c r="J20182" t="n">
        <v>0</v>
      </c>
      <c r="K20182" t="n">
        <v>0</v>
      </c>
      <c r="L20182" t="n">
        <v>0</v>
      </c>
      <c r="M20182" t="n">
        <v>0</v>
      </c>
      <c r="N20182" t="n">
        <v>0</v>
      </c>
      <c r="O20182" t="n">
        <v>0</v>
      </c>
      <c r="P20182" t="n">
        <v>0</v>
      </c>
      <c r="Q20182" t="n">
        <v>0</v>
      </c>
      <c r="R20182" s="2" t="inlineStr"/>
    </row>
    <row r="20183" ht="15" customHeight="1">
      <c r="A20183" t="inlineStr">
        <is>
          <t>A 23806-2025</t>
        </is>
      </c>
      <c r="B20183" s="1" t="n">
        <v>45793</v>
      </c>
      <c r="C20183" s="1" t="n">
        <v>45810</v>
      </c>
      <c r="D20183" t="inlineStr">
        <is>
          <t>VÄRMLANDS LÄN</t>
        </is>
      </c>
      <c r="E20183" t="inlineStr">
        <is>
          <t>ARVIKA</t>
        </is>
      </c>
      <c r="G20183" t="n">
        <v>7.5</v>
      </c>
      <c r="H20183" t="n">
        <v>0</v>
      </c>
      <c r="I20183" t="n">
        <v>0</v>
      </c>
      <c r="J20183" t="n">
        <v>0</v>
      </c>
      <c r="K20183" t="n">
        <v>0</v>
      </c>
      <c r="L20183" t="n">
        <v>0</v>
      </c>
      <c r="M20183" t="n">
        <v>0</v>
      </c>
      <c r="N20183" t="n">
        <v>0</v>
      </c>
      <c r="O20183" t="n">
        <v>0</v>
      </c>
      <c r="P20183" t="n">
        <v>0</v>
      </c>
      <c r="Q20183" t="n">
        <v>0</v>
      </c>
      <c r="R20183" s="2" t="inlineStr"/>
    </row>
    <row r="20184" ht="15" customHeight="1">
      <c r="A20184" t="inlineStr">
        <is>
          <t>A 23677-2025</t>
        </is>
      </c>
      <c r="B20184" s="1" t="n">
        <v>45793</v>
      </c>
      <c r="C20184" s="1" t="n">
        <v>45810</v>
      </c>
      <c r="D20184" t="inlineStr">
        <is>
          <t>VÄRMLANDS LÄN</t>
        </is>
      </c>
      <c r="E20184" t="inlineStr">
        <is>
          <t>TORSBY</t>
        </is>
      </c>
      <c r="F20184" t="inlineStr">
        <is>
          <t>Kyrkan</t>
        </is>
      </c>
      <c r="G20184" t="n">
        <v>2.4</v>
      </c>
      <c r="H20184" t="n">
        <v>0</v>
      </c>
      <c r="I20184" t="n">
        <v>0</v>
      </c>
      <c r="J20184" t="n">
        <v>0</v>
      </c>
      <c r="K20184" t="n">
        <v>0</v>
      </c>
      <c r="L20184" t="n">
        <v>0</v>
      </c>
      <c r="M20184" t="n">
        <v>0</v>
      </c>
      <c r="N20184" t="n">
        <v>0</v>
      </c>
      <c r="O20184" t="n">
        <v>0</v>
      </c>
      <c r="P20184" t="n">
        <v>0</v>
      </c>
      <c r="Q20184" t="n">
        <v>0</v>
      </c>
      <c r="R20184" s="2" t="inlineStr"/>
    </row>
    <row r="20185" ht="15" customHeight="1">
      <c r="A20185" t="inlineStr">
        <is>
          <t>A 23694-2025</t>
        </is>
      </c>
      <c r="B20185" s="1" t="n">
        <v>45793</v>
      </c>
      <c r="C20185" s="1" t="n">
        <v>45810</v>
      </c>
      <c r="D20185" t="inlineStr">
        <is>
          <t>VÄRMLANDS LÄN</t>
        </is>
      </c>
      <c r="E20185" t="inlineStr">
        <is>
          <t>KARLSTAD</t>
        </is>
      </c>
      <c r="F20185" t="inlineStr">
        <is>
          <t>Bergvik skog väst AB</t>
        </is>
      </c>
      <c r="G20185" t="n">
        <v>0.7</v>
      </c>
      <c r="H20185" t="n">
        <v>0</v>
      </c>
      <c r="I20185" t="n">
        <v>0</v>
      </c>
      <c r="J20185" t="n">
        <v>0</v>
      </c>
      <c r="K20185" t="n">
        <v>0</v>
      </c>
      <c r="L20185" t="n">
        <v>0</v>
      </c>
      <c r="M20185" t="n">
        <v>0</v>
      </c>
      <c r="N20185" t="n">
        <v>0</v>
      </c>
      <c r="O20185" t="n">
        <v>0</v>
      </c>
      <c r="P20185" t="n">
        <v>0</v>
      </c>
      <c r="Q20185" t="n">
        <v>0</v>
      </c>
      <c r="R20185" s="2" t="inlineStr"/>
    </row>
    <row r="20186" ht="15" customHeight="1">
      <c r="A20186" t="inlineStr">
        <is>
          <t>A 23718-2025</t>
        </is>
      </c>
      <c r="B20186" s="1" t="n">
        <v>45793</v>
      </c>
      <c r="C20186" s="1" t="n">
        <v>45810</v>
      </c>
      <c r="D20186" t="inlineStr">
        <is>
          <t>VÄRMLANDS LÄN</t>
        </is>
      </c>
      <c r="E20186" t="inlineStr">
        <is>
          <t>SUNNE</t>
        </is>
      </c>
      <c r="G20186" t="n">
        <v>2</v>
      </c>
      <c r="H20186" t="n">
        <v>0</v>
      </c>
      <c r="I20186" t="n">
        <v>0</v>
      </c>
      <c r="J20186" t="n">
        <v>0</v>
      </c>
      <c r="K20186" t="n">
        <v>0</v>
      </c>
      <c r="L20186" t="n">
        <v>0</v>
      </c>
      <c r="M20186" t="n">
        <v>0</v>
      </c>
      <c r="N20186" t="n">
        <v>0</v>
      </c>
      <c r="O20186" t="n">
        <v>0</v>
      </c>
      <c r="P20186" t="n">
        <v>0</v>
      </c>
      <c r="Q20186" t="n">
        <v>0</v>
      </c>
      <c r="R20186" s="2" t="inlineStr"/>
    </row>
    <row r="20187" ht="15" customHeight="1">
      <c r="A20187" t="inlineStr">
        <is>
          <t>A 23720-2025</t>
        </is>
      </c>
      <c r="B20187" s="1" t="n">
        <v>45793</v>
      </c>
      <c r="C20187" s="1" t="n">
        <v>45810</v>
      </c>
      <c r="D20187" t="inlineStr">
        <is>
          <t>VÄRMLANDS LÄN</t>
        </is>
      </c>
      <c r="E20187" t="inlineStr">
        <is>
          <t>SUNNE</t>
        </is>
      </c>
      <c r="G20187" t="n">
        <v>0.8</v>
      </c>
      <c r="H20187" t="n">
        <v>0</v>
      </c>
      <c r="I20187" t="n">
        <v>0</v>
      </c>
      <c r="J20187" t="n">
        <v>0</v>
      </c>
      <c r="K20187" t="n">
        <v>0</v>
      </c>
      <c r="L20187" t="n">
        <v>0</v>
      </c>
      <c r="M20187" t="n">
        <v>0</v>
      </c>
      <c r="N20187" t="n">
        <v>0</v>
      </c>
      <c r="O20187" t="n">
        <v>0</v>
      </c>
      <c r="P20187" t="n">
        <v>0</v>
      </c>
      <c r="Q20187" t="n">
        <v>0</v>
      </c>
      <c r="R20187" s="2" t="inlineStr"/>
    </row>
    <row r="20188" ht="15" customHeight="1">
      <c r="A20188" t="inlineStr">
        <is>
          <t>A 23850-2025</t>
        </is>
      </c>
      <c r="B20188" s="1" t="n">
        <v>45793</v>
      </c>
      <c r="C20188" s="1" t="n">
        <v>45810</v>
      </c>
      <c r="D20188" t="inlineStr">
        <is>
          <t>VÄRMLANDS LÄN</t>
        </is>
      </c>
      <c r="E20188" t="inlineStr">
        <is>
          <t>SÄFFLE</t>
        </is>
      </c>
      <c r="G20188" t="n">
        <v>4.2</v>
      </c>
      <c r="H20188" t="n">
        <v>0</v>
      </c>
      <c r="I20188" t="n">
        <v>0</v>
      </c>
      <c r="J20188" t="n">
        <v>0</v>
      </c>
      <c r="K20188" t="n">
        <v>0</v>
      </c>
      <c r="L20188" t="n">
        <v>0</v>
      </c>
      <c r="M20188" t="n">
        <v>0</v>
      </c>
      <c r="N20188" t="n">
        <v>0</v>
      </c>
      <c r="O20188" t="n">
        <v>0</v>
      </c>
      <c r="P20188" t="n">
        <v>0</v>
      </c>
      <c r="Q20188" t="n">
        <v>0</v>
      </c>
      <c r="R20188" s="2" t="inlineStr"/>
    </row>
    <row r="20189" ht="15" customHeight="1">
      <c r="A20189" t="inlineStr">
        <is>
          <t>A 23733-2025</t>
        </is>
      </c>
      <c r="B20189" s="1" t="n">
        <v>45793</v>
      </c>
      <c r="C20189" s="1" t="n">
        <v>45810</v>
      </c>
      <c r="D20189" t="inlineStr">
        <is>
          <t>VÄRMLANDS LÄN</t>
        </is>
      </c>
      <c r="E20189" t="inlineStr">
        <is>
          <t>FORSHAGA</t>
        </is>
      </c>
      <c r="F20189" t="inlineStr">
        <is>
          <t>Bergvik skog väst AB</t>
        </is>
      </c>
      <c r="G20189" t="n">
        <v>5.6</v>
      </c>
      <c r="H20189" t="n">
        <v>0</v>
      </c>
      <c r="I20189" t="n">
        <v>0</v>
      </c>
      <c r="J20189" t="n">
        <v>0</v>
      </c>
      <c r="K20189" t="n">
        <v>0</v>
      </c>
      <c r="L20189" t="n">
        <v>0</v>
      </c>
      <c r="M20189" t="n">
        <v>0</v>
      </c>
      <c r="N20189" t="n">
        <v>0</v>
      </c>
      <c r="O20189" t="n">
        <v>0</v>
      </c>
      <c r="P20189" t="n">
        <v>0</v>
      </c>
      <c r="Q20189" t="n">
        <v>0</v>
      </c>
      <c r="R20189" s="2" t="inlineStr"/>
    </row>
    <row r="20190" ht="15" customHeight="1">
      <c r="A20190" t="inlineStr">
        <is>
          <t>A 23779-2025</t>
        </is>
      </c>
      <c r="B20190" s="1" t="n">
        <v>45793</v>
      </c>
      <c r="C20190" s="1" t="n">
        <v>45810</v>
      </c>
      <c r="D20190" t="inlineStr">
        <is>
          <t>VÄRMLANDS LÄN</t>
        </is>
      </c>
      <c r="E20190" t="inlineStr">
        <is>
          <t>TORSBY</t>
        </is>
      </c>
      <c r="G20190" t="n">
        <v>0.8</v>
      </c>
      <c r="H20190" t="n">
        <v>0</v>
      </c>
      <c r="I20190" t="n">
        <v>0</v>
      </c>
      <c r="J20190" t="n">
        <v>0</v>
      </c>
      <c r="K20190" t="n">
        <v>0</v>
      </c>
      <c r="L20190" t="n">
        <v>0</v>
      </c>
      <c r="M20190" t="n">
        <v>0</v>
      </c>
      <c r="N20190" t="n">
        <v>0</v>
      </c>
      <c r="O20190" t="n">
        <v>0</v>
      </c>
      <c r="P20190" t="n">
        <v>0</v>
      </c>
      <c r="Q20190" t="n">
        <v>0</v>
      </c>
      <c r="R20190" s="2" t="inlineStr"/>
    </row>
    <row r="20191" ht="15" customHeight="1">
      <c r="A20191" t="inlineStr">
        <is>
          <t>A 23674-2025</t>
        </is>
      </c>
      <c r="B20191" s="1" t="n">
        <v>45793</v>
      </c>
      <c r="C20191" s="1" t="n">
        <v>45810</v>
      </c>
      <c r="D20191" t="inlineStr">
        <is>
          <t>VÄRMLANDS LÄN</t>
        </is>
      </c>
      <c r="E20191" t="inlineStr">
        <is>
          <t>HAGFORS</t>
        </is>
      </c>
      <c r="G20191" t="n">
        <v>3.5</v>
      </c>
      <c r="H20191" t="n">
        <v>0</v>
      </c>
      <c r="I20191" t="n">
        <v>0</v>
      </c>
      <c r="J20191" t="n">
        <v>0</v>
      </c>
      <c r="K20191" t="n">
        <v>0</v>
      </c>
      <c r="L20191" t="n">
        <v>0</v>
      </c>
      <c r="M20191" t="n">
        <v>0</v>
      </c>
      <c r="N20191" t="n">
        <v>0</v>
      </c>
      <c r="O20191" t="n">
        <v>0</v>
      </c>
      <c r="P20191" t="n">
        <v>0</v>
      </c>
      <c r="Q20191" t="n">
        <v>0</v>
      </c>
      <c r="R20191" s="2" t="inlineStr"/>
    </row>
    <row r="20192" ht="15" customHeight="1">
      <c r="A20192" t="inlineStr">
        <is>
          <t>A 23721-2025</t>
        </is>
      </c>
      <c r="B20192" s="1" t="n">
        <v>45793</v>
      </c>
      <c r="C20192" s="1" t="n">
        <v>45810</v>
      </c>
      <c r="D20192" t="inlineStr">
        <is>
          <t>VÄRMLANDS LÄN</t>
        </is>
      </c>
      <c r="E20192" t="inlineStr">
        <is>
          <t>SUNNE</t>
        </is>
      </c>
      <c r="G20192" t="n">
        <v>4.8</v>
      </c>
      <c r="H20192" t="n">
        <v>0</v>
      </c>
      <c r="I20192" t="n">
        <v>0</v>
      </c>
      <c r="J20192" t="n">
        <v>0</v>
      </c>
      <c r="K20192" t="n">
        <v>0</v>
      </c>
      <c r="L20192" t="n">
        <v>0</v>
      </c>
      <c r="M20192" t="n">
        <v>0</v>
      </c>
      <c r="N20192" t="n">
        <v>0</v>
      </c>
      <c r="O20192" t="n">
        <v>0</v>
      </c>
      <c r="P20192" t="n">
        <v>0</v>
      </c>
      <c r="Q20192" t="n">
        <v>0</v>
      </c>
      <c r="R20192" s="2" t="inlineStr"/>
    </row>
    <row r="20193" ht="15" customHeight="1">
      <c r="A20193" t="inlineStr">
        <is>
          <t>A 23775-2025</t>
        </is>
      </c>
      <c r="B20193" s="1" t="n">
        <v>45793</v>
      </c>
      <c r="C20193" s="1" t="n">
        <v>45810</v>
      </c>
      <c r="D20193" t="inlineStr">
        <is>
          <t>VÄRMLANDS LÄN</t>
        </is>
      </c>
      <c r="E20193" t="inlineStr">
        <is>
          <t>FILIPSTAD</t>
        </is>
      </c>
      <c r="F20193" t="inlineStr">
        <is>
          <t>Bergvik skog väst AB</t>
        </is>
      </c>
      <c r="G20193" t="n">
        <v>1.9</v>
      </c>
      <c r="H20193" t="n">
        <v>0</v>
      </c>
      <c r="I20193" t="n">
        <v>0</v>
      </c>
      <c r="J20193" t="n">
        <v>0</v>
      </c>
      <c r="K20193" t="n">
        <v>0</v>
      </c>
      <c r="L20193" t="n">
        <v>0</v>
      </c>
      <c r="M20193" t="n">
        <v>0</v>
      </c>
      <c r="N20193" t="n">
        <v>0</v>
      </c>
      <c r="O20193" t="n">
        <v>0</v>
      </c>
      <c r="P20193" t="n">
        <v>0</v>
      </c>
      <c r="Q20193" t="n">
        <v>0</v>
      </c>
      <c r="R20193" s="2" t="inlineStr"/>
    </row>
    <row r="20194" ht="15" customHeight="1">
      <c r="A20194" t="inlineStr">
        <is>
          <t>A 23741-2025</t>
        </is>
      </c>
      <c r="B20194" s="1" t="n">
        <v>45793</v>
      </c>
      <c r="C20194" s="1" t="n">
        <v>45810</v>
      </c>
      <c r="D20194" t="inlineStr">
        <is>
          <t>VÄRMLANDS LÄN</t>
        </is>
      </c>
      <c r="E20194" t="inlineStr">
        <is>
          <t>TORSBY</t>
        </is>
      </c>
      <c r="G20194" t="n">
        <v>1.5</v>
      </c>
      <c r="H20194" t="n">
        <v>0</v>
      </c>
      <c r="I20194" t="n">
        <v>0</v>
      </c>
      <c r="J20194" t="n">
        <v>0</v>
      </c>
      <c r="K20194" t="n">
        <v>0</v>
      </c>
      <c r="L20194" t="n">
        <v>0</v>
      </c>
      <c r="M20194" t="n">
        <v>0</v>
      </c>
      <c r="N20194" t="n">
        <v>0</v>
      </c>
      <c r="O20194" t="n">
        <v>0</v>
      </c>
      <c r="P20194" t="n">
        <v>0</v>
      </c>
      <c r="Q20194" t="n">
        <v>0</v>
      </c>
      <c r="R20194" s="2" t="inlineStr"/>
    </row>
    <row r="20195" ht="15" customHeight="1">
      <c r="A20195" t="inlineStr">
        <is>
          <t>A 23769-2025</t>
        </is>
      </c>
      <c r="B20195" s="1" t="n">
        <v>45793</v>
      </c>
      <c r="C20195" s="1" t="n">
        <v>45810</v>
      </c>
      <c r="D20195" t="inlineStr">
        <is>
          <t>VÄRMLANDS LÄN</t>
        </is>
      </c>
      <c r="E20195" t="inlineStr">
        <is>
          <t>FILIPSTAD</t>
        </is>
      </c>
      <c r="F20195" t="inlineStr">
        <is>
          <t>Bergvik skog väst AB</t>
        </is>
      </c>
      <c r="G20195" t="n">
        <v>7.1</v>
      </c>
      <c r="H20195" t="n">
        <v>0</v>
      </c>
      <c r="I20195" t="n">
        <v>0</v>
      </c>
      <c r="J20195" t="n">
        <v>0</v>
      </c>
      <c r="K20195" t="n">
        <v>0</v>
      </c>
      <c r="L20195" t="n">
        <v>0</v>
      </c>
      <c r="M20195" t="n">
        <v>0</v>
      </c>
      <c r="N20195" t="n">
        <v>0</v>
      </c>
      <c r="O20195" t="n">
        <v>0</v>
      </c>
      <c r="P20195" t="n">
        <v>0</v>
      </c>
      <c r="Q20195" t="n">
        <v>0</v>
      </c>
      <c r="R20195" s="2" t="inlineStr"/>
    </row>
    <row r="20196" ht="15" customHeight="1">
      <c r="A20196" t="inlineStr">
        <is>
          <t>A 23712-2025</t>
        </is>
      </c>
      <c r="B20196" s="1" t="n">
        <v>45793</v>
      </c>
      <c r="C20196" s="1" t="n">
        <v>45810</v>
      </c>
      <c r="D20196" t="inlineStr">
        <is>
          <t>VÄRMLANDS LÄN</t>
        </is>
      </c>
      <c r="E20196" t="inlineStr">
        <is>
          <t>HAGFORS</t>
        </is>
      </c>
      <c r="G20196" t="n">
        <v>2.9</v>
      </c>
      <c r="H20196" t="n">
        <v>0</v>
      </c>
      <c r="I20196" t="n">
        <v>0</v>
      </c>
      <c r="J20196" t="n">
        <v>0</v>
      </c>
      <c r="K20196" t="n">
        <v>0</v>
      </c>
      <c r="L20196" t="n">
        <v>0</v>
      </c>
      <c r="M20196" t="n">
        <v>0</v>
      </c>
      <c r="N20196" t="n">
        <v>0</v>
      </c>
      <c r="O20196" t="n">
        <v>0</v>
      </c>
      <c r="P20196" t="n">
        <v>0</v>
      </c>
      <c r="Q20196" t="n">
        <v>0</v>
      </c>
      <c r="R20196" s="2" t="inlineStr"/>
    </row>
    <row r="20197" ht="15" customHeight="1">
      <c r="A20197" t="inlineStr">
        <is>
          <t>A 23813-2025</t>
        </is>
      </c>
      <c r="B20197" s="1" t="n">
        <v>45793</v>
      </c>
      <c r="C20197" s="1" t="n">
        <v>45810</v>
      </c>
      <c r="D20197" t="inlineStr">
        <is>
          <t>VÄRMLANDS LÄN</t>
        </is>
      </c>
      <c r="E20197" t="inlineStr">
        <is>
          <t>HAGFORS</t>
        </is>
      </c>
      <c r="G20197" t="n">
        <v>1.6</v>
      </c>
      <c r="H20197" t="n">
        <v>0</v>
      </c>
      <c r="I20197" t="n">
        <v>0</v>
      </c>
      <c r="J20197" t="n">
        <v>0</v>
      </c>
      <c r="K20197" t="n">
        <v>0</v>
      </c>
      <c r="L20197" t="n">
        <v>0</v>
      </c>
      <c r="M20197" t="n">
        <v>0</v>
      </c>
      <c r="N20197" t="n">
        <v>0</v>
      </c>
      <c r="O20197" t="n">
        <v>0</v>
      </c>
      <c r="P20197" t="n">
        <v>0</v>
      </c>
      <c r="Q20197" t="n">
        <v>0</v>
      </c>
      <c r="R20197" s="2" t="inlineStr"/>
    </row>
    <row r="20198" ht="15" customHeight="1">
      <c r="A20198" t="inlineStr">
        <is>
          <t>A 23888-2025</t>
        </is>
      </c>
      <c r="B20198" s="1" t="n">
        <v>45793</v>
      </c>
      <c r="C20198" s="1" t="n">
        <v>45810</v>
      </c>
      <c r="D20198" t="inlineStr">
        <is>
          <t>VÄRMLANDS LÄN</t>
        </is>
      </c>
      <c r="E20198" t="inlineStr">
        <is>
          <t>HAGFORS</t>
        </is>
      </c>
      <c r="G20198" t="n">
        <v>2.1</v>
      </c>
      <c r="H20198" t="n">
        <v>0</v>
      </c>
      <c r="I20198" t="n">
        <v>0</v>
      </c>
      <c r="J20198" t="n">
        <v>0</v>
      </c>
      <c r="K20198" t="n">
        <v>0</v>
      </c>
      <c r="L20198" t="n">
        <v>0</v>
      </c>
      <c r="M20198" t="n">
        <v>0</v>
      </c>
      <c r="N20198" t="n">
        <v>0</v>
      </c>
      <c r="O20198" t="n">
        <v>0</v>
      </c>
      <c r="P20198" t="n">
        <v>0</v>
      </c>
      <c r="Q20198" t="n">
        <v>0</v>
      </c>
      <c r="R20198" s="2" t="inlineStr"/>
    </row>
    <row r="20199" ht="15" customHeight="1">
      <c r="A20199" t="inlineStr">
        <is>
          <t>A 23906-2025</t>
        </is>
      </c>
      <c r="B20199" s="1" t="n">
        <v>45794</v>
      </c>
      <c r="C20199" s="1" t="n">
        <v>45810</v>
      </c>
      <c r="D20199" t="inlineStr">
        <is>
          <t>VÄRMLANDS LÄN</t>
        </is>
      </c>
      <c r="E20199" t="inlineStr">
        <is>
          <t>ARVIKA</t>
        </is>
      </c>
      <c r="G20199" t="n">
        <v>1.5</v>
      </c>
      <c r="H20199" t="n">
        <v>0</v>
      </c>
      <c r="I20199" t="n">
        <v>0</v>
      </c>
      <c r="J20199" t="n">
        <v>0</v>
      </c>
      <c r="K20199" t="n">
        <v>0</v>
      </c>
      <c r="L20199" t="n">
        <v>0</v>
      </c>
      <c r="M20199" t="n">
        <v>0</v>
      </c>
      <c r="N20199" t="n">
        <v>0</v>
      </c>
      <c r="O20199" t="n">
        <v>0</v>
      </c>
      <c r="P20199" t="n">
        <v>0</v>
      </c>
      <c r="Q20199" t="n">
        <v>0</v>
      </c>
      <c r="R20199" s="2" t="inlineStr"/>
    </row>
    <row r="20200" ht="15" customHeight="1">
      <c r="A20200" t="inlineStr">
        <is>
          <t>A 24110-2025</t>
        </is>
      </c>
      <c r="B20200" s="1" t="n">
        <v>45796</v>
      </c>
      <c r="C20200" s="1" t="n">
        <v>45810</v>
      </c>
      <c r="D20200" t="inlineStr">
        <is>
          <t>VÄRMLANDS LÄN</t>
        </is>
      </c>
      <c r="E20200" t="inlineStr">
        <is>
          <t>MUNKFORS</t>
        </is>
      </c>
      <c r="G20200" t="n">
        <v>1.1</v>
      </c>
      <c r="H20200" t="n">
        <v>0</v>
      </c>
      <c r="I20200" t="n">
        <v>0</v>
      </c>
      <c r="J20200" t="n">
        <v>0</v>
      </c>
      <c r="K20200" t="n">
        <v>0</v>
      </c>
      <c r="L20200" t="n">
        <v>0</v>
      </c>
      <c r="M20200" t="n">
        <v>0</v>
      </c>
      <c r="N20200" t="n">
        <v>0</v>
      </c>
      <c r="O20200" t="n">
        <v>0</v>
      </c>
      <c r="P20200" t="n">
        <v>0</v>
      </c>
      <c r="Q20200" t="n">
        <v>0</v>
      </c>
      <c r="R20200" s="2" t="inlineStr"/>
    </row>
    <row r="20201" ht="15" customHeight="1">
      <c r="A20201" t="inlineStr">
        <is>
          <t>A 24112-2025</t>
        </is>
      </c>
      <c r="B20201" s="1" t="n">
        <v>45796</v>
      </c>
      <c r="C20201" s="1" t="n">
        <v>45810</v>
      </c>
      <c r="D20201" t="inlineStr">
        <is>
          <t>VÄRMLANDS LÄN</t>
        </is>
      </c>
      <c r="E20201" t="inlineStr">
        <is>
          <t>TORSBY</t>
        </is>
      </c>
      <c r="F20201" t="inlineStr">
        <is>
          <t>Bergvik skog väst AB</t>
        </is>
      </c>
      <c r="G20201" t="n">
        <v>3.9</v>
      </c>
      <c r="H20201" t="n">
        <v>0</v>
      </c>
      <c r="I20201" t="n">
        <v>0</v>
      </c>
      <c r="J20201" t="n">
        <v>0</v>
      </c>
      <c r="K20201" t="n">
        <v>0</v>
      </c>
      <c r="L20201" t="n">
        <v>0</v>
      </c>
      <c r="M20201" t="n">
        <v>0</v>
      </c>
      <c r="N20201" t="n">
        <v>0</v>
      </c>
      <c r="O20201" t="n">
        <v>0</v>
      </c>
      <c r="P20201" t="n">
        <v>0</v>
      </c>
      <c r="Q20201" t="n">
        <v>0</v>
      </c>
      <c r="R20201" s="2" t="inlineStr"/>
    </row>
    <row r="20202" ht="15" customHeight="1">
      <c r="A20202" t="inlineStr">
        <is>
          <t>A 24104-2025</t>
        </is>
      </c>
      <c r="B20202" s="1" t="n">
        <v>45796</v>
      </c>
      <c r="C20202" s="1" t="n">
        <v>45810</v>
      </c>
      <c r="D20202" t="inlineStr">
        <is>
          <t>VÄRMLANDS LÄN</t>
        </is>
      </c>
      <c r="E20202" t="inlineStr">
        <is>
          <t>KARLSTAD</t>
        </is>
      </c>
      <c r="G20202" t="n">
        <v>1.7</v>
      </c>
      <c r="H20202" t="n">
        <v>0</v>
      </c>
      <c r="I20202" t="n">
        <v>0</v>
      </c>
      <c r="J20202" t="n">
        <v>0</v>
      </c>
      <c r="K20202" t="n">
        <v>0</v>
      </c>
      <c r="L20202" t="n">
        <v>0</v>
      </c>
      <c r="M20202" t="n">
        <v>0</v>
      </c>
      <c r="N20202" t="n">
        <v>0</v>
      </c>
      <c r="O20202" t="n">
        <v>0</v>
      </c>
      <c r="P20202" t="n">
        <v>0</v>
      </c>
      <c r="Q20202" t="n">
        <v>0</v>
      </c>
      <c r="R20202" s="2" t="inlineStr"/>
    </row>
    <row r="20203" ht="15" customHeight="1">
      <c r="A20203" t="inlineStr">
        <is>
          <t>A 23999-2025</t>
        </is>
      </c>
      <c r="B20203" s="1" t="n">
        <v>45796</v>
      </c>
      <c r="C20203" s="1" t="n">
        <v>45810</v>
      </c>
      <c r="D20203" t="inlineStr">
        <is>
          <t>VÄRMLANDS LÄN</t>
        </is>
      </c>
      <c r="E20203" t="inlineStr">
        <is>
          <t>MUNKFORS</t>
        </is>
      </c>
      <c r="G20203" t="n">
        <v>0.3</v>
      </c>
      <c r="H20203" t="n">
        <v>0</v>
      </c>
      <c r="I20203" t="n">
        <v>0</v>
      </c>
      <c r="J20203" t="n">
        <v>0</v>
      </c>
      <c r="K20203" t="n">
        <v>0</v>
      </c>
      <c r="L20203" t="n">
        <v>0</v>
      </c>
      <c r="M20203" t="n">
        <v>0</v>
      </c>
      <c r="N20203" t="n">
        <v>0</v>
      </c>
      <c r="O20203" t="n">
        <v>0</v>
      </c>
      <c r="P20203" t="n">
        <v>0</v>
      </c>
      <c r="Q20203" t="n">
        <v>0</v>
      </c>
      <c r="R20203" s="2" t="inlineStr"/>
    </row>
    <row r="20204" ht="15" customHeight="1">
      <c r="A20204" t="inlineStr">
        <is>
          <t>A 24026-2025</t>
        </is>
      </c>
      <c r="B20204" s="1" t="n">
        <v>45796</v>
      </c>
      <c r="C20204" s="1" t="n">
        <v>45810</v>
      </c>
      <c r="D20204" t="inlineStr">
        <is>
          <t>VÄRMLANDS LÄN</t>
        </is>
      </c>
      <c r="E20204" t="inlineStr">
        <is>
          <t>TORSBY</t>
        </is>
      </c>
      <c r="G20204" t="n">
        <v>11.9</v>
      </c>
      <c r="H20204" t="n">
        <v>0</v>
      </c>
      <c r="I20204" t="n">
        <v>0</v>
      </c>
      <c r="J20204" t="n">
        <v>0</v>
      </c>
      <c r="K20204" t="n">
        <v>0</v>
      </c>
      <c r="L20204" t="n">
        <v>0</v>
      </c>
      <c r="M20204" t="n">
        <v>0</v>
      </c>
      <c r="N20204" t="n">
        <v>0</v>
      </c>
      <c r="O20204" t="n">
        <v>0</v>
      </c>
      <c r="P20204" t="n">
        <v>0</v>
      </c>
      <c r="Q20204" t="n">
        <v>0</v>
      </c>
      <c r="R20204" s="2" t="inlineStr"/>
    </row>
    <row r="20205" ht="15" customHeight="1">
      <c r="A20205" t="inlineStr">
        <is>
          <t>A 24069-2025</t>
        </is>
      </c>
      <c r="B20205" s="1" t="n">
        <v>45796</v>
      </c>
      <c r="C20205" s="1" t="n">
        <v>45810</v>
      </c>
      <c r="D20205" t="inlineStr">
        <is>
          <t>VÄRMLANDS LÄN</t>
        </is>
      </c>
      <c r="E20205" t="inlineStr">
        <is>
          <t>TORSBY</t>
        </is>
      </c>
      <c r="G20205" t="n">
        <v>2.4</v>
      </c>
      <c r="H20205" t="n">
        <v>0</v>
      </c>
      <c r="I20205" t="n">
        <v>0</v>
      </c>
      <c r="J20205" t="n">
        <v>0</v>
      </c>
      <c r="K20205" t="n">
        <v>0</v>
      </c>
      <c r="L20205" t="n">
        <v>0</v>
      </c>
      <c r="M20205" t="n">
        <v>0</v>
      </c>
      <c r="N20205" t="n">
        <v>0</v>
      </c>
      <c r="O20205" t="n">
        <v>0</v>
      </c>
      <c r="P20205" t="n">
        <v>0</v>
      </c>
      <c r="Q20205" t="n">
        <v>0</v>
      </c>
      <c r="R20205" s="2" t="inlineStr"/>
    </row>
    <row r="20206" ht="15" customHeight="1">
      <c r="A20206" t="inlineStr">
        <is>
          <t>A 24052-2025</t>
        </is>
      </c>
      <c r="B20206" s="1" t="n">
        <v>45796</v>
      </c>
      <c r="C20206" s="1" t="n">
        <v>45810</v>
      </c>
      <c r="D20206" t="inlineStr">
        <is>
          <t>VÄRMLANDS LÄN</t>
        </is>
      </c>
      <c r="E20206" t="inlineStr">
        <is>
          <t>EDA</t>
        </is>
      </c>
      <c r="G20206" t="n">
        <v>1.3</v>
      </c>
      <c r="H20206" t="n">
        <v>0</v>
      </c>
      <c r="I20206" t="n">
        <v>0</v>
      </c>
      <c r="J20206" t="n">
        <v>0</v>
      </c>
      <c r="K20206" t="n">
        <v>0</v>
      </c>
      <c r="L20206" t="n">
        <v>0</v>
      </c>
      <c r="M20206" t="n">
        <v>0</v>
      </c>
      <c r="N20206" t="n">
        <v>0</v>
      </c>
      <c r="O20206" t="n">
        <v>0</v>
      </c>
      <c r="P20206" t="n">
        <v>0</v>
      </c>
      <c r="Q20206" t="n">
        <v>0</v>
      </c>
      <c r="R20206" s="2" t="inlineStr"/>
    </row>
    <row r="20207" ht="15" customHeight="1">
      <c r="A20207" t="inlineStr">
        <is>
          <t>A 24098-2025</t>
        </is>
      </c>
      <c r="B20207" s="1" t="n">
        <v>45796</v>
      </c>
      <c r="C20207" s="1" t="n">
        <v>45810</v>
      </c>
      <c r="D20207" t="inlineStr">
        <is>
          <t>VÄRMLANDS LÄN</t>
        </is>
      </c>
      <c r="E20207" t="inlineStr">
        <is>
          <t>ARVIKA</t>
        </is>
      </c>
      <c r="F20207" t="inlineStr">
        <is>
          <t>Bergvik skog väst AB</t>
        </is>
      </c>
      <c r="G20207" t="n">
        <v>1.1</v>
      </c>
      <c r="H20207" t="n">
        <v>0</v>
      </c>
      <c r="I20207" t="n">
        <v>0</v>
      </c>
      <c r="J20207" t="n">
        <v>0</v>
      </c>
      <c r="K20207" t="n">
        <v>0</v>
      </c>
      <c r="L20207" t="n">
        <v>0</v>
      </c>
      <c r="M20207" t="n">
        <v>0</v>
      </c>
      <c r="N20207" t="n">
        <v>0</v>
      </c>
      <c r="O20207" t="n">
        <v>0</v>
      </c>
      <c r="P20207" t="n">
        <v>0</v>
      </c>
      <c r="Q20207" t="n">
        <v>0</v>
      </c>
      <c r="R20207" s="2" t="inlineStr"/>
    </row>
    <row r="20208" ht="15" customHeight="1">
      <c r="A20208" t="inlineStr">
        <is>
          <t>A 23940-2025</t>
        </is>
      </c>
      <c r="B20208" s="1" t="n">
        <v>45796</v>
      </c>
      <c r="C20208" s="1" t="n">
        <v>45810</v>
      </c>
      <c r="D20208" t="inlineStr">
        <is>
          <t>VÄRMLANDS LÄN</t>
        </is>
      </c>
      <c r="E20208" t="inlineStr">
        <is>
          <t>ARVIKA</t>
        </is>
      </c>
      <c r="F20208" t="inlineStr">
        <is>
          <t>Bergvik skog väst AB</t>
        </is>
      </c>
      <c r="G20208" t="n">
        <v>5.7</v>
      </c>
      <c r="H20208" t="n">
        <v>0</v>
      </c>
      <c r="I20208" t="n">
        <v>0</v>
      </c>
      <c r="J20208" t="n">
        <v>0</v>
      </c>
      <c r="K20208" t="n">
        <v>0</v>
      </c>
      <c r="L20208" t="n">
        <v>0</v>
      </c>
      <c r="M20208" t="n">
        <v>0</v>
      </c>
      <c r="N20208" t="n">
        <v>0</v>
      </c>
      <c r="O20208" t="n">
        <v>0</v>
      </c>
      <c r="P20208" t="n">
        <v>0</v>
      </c>
      <c r="Q20208" t="n">
        <v>0</v>
      </c>
      <c r="R20208" s="2" t="inlineStr"/>
    </row>
    <row r="20209" ht="15" customHeight="1">
      <c r="A20209" t="inlineStr">
        <is>
          <t>A 23951-2025</t>
        </is>
      </c>
      <c r="B20209" s="1" t="n">
        <v>45796</v>
      </c>
      <c r="C20209" s="1" t="n">
        <v>45810</v>
      </c>
      <c r="D20209" t="inlineStr">
        <is>
          <t>VÄRMLANDS LÄN</t>
        </is>
      </c>
      <c r="E20209" t="inlineStr">
        <is>
          <t>HAGFORS</t>
        </is>
      </c>
      <c r="F20209" t="inlineStr">
        <is>
          <t>Bergvik skog väst AB</t>
        </is>
      </c>
      <c r="G20209" t="n">
        <v>3.5</v>
      </c>
      <c r="H20209" t="n">
        <v>0</v>
      </c>
      <c r="I20209" t="n">
        <v>0</v>
      </c>
      <c r="J20209" t="n">
        <v>0</v>
      </c>
      <c r="K20209" t="n">
        <v>0</v>
      </c>
      <c r="L20209" t="n">
        <v>0</v>
      </c>
      <c r="M20209" t="n">
        <v>0</v>
      </c>
      <c r="N20209" t="n">
        <v>0</v>
      </c>
      <c r="O20209" t="n">
        <v>0</v>
      </c>
      <c r="P20209" t="n">
        <v>0</v>
      </c>
      <c r="Q20209" t="n">
        <v>0</v>
      </c>
      <c r="R20209" s="2" t="inlineStr"/>
    </row>
    <row r="20210" ht="15" customHeight="1">
      <c r="A20210" t="inlineStr">
        <is>
          <t>A 24109-2025</t>
        </is>
      </c>
      <c r="B20210" s="1" t="n">
        <v>45796</v>
      </c>
      <c r="C20210" s="1" t="n">
        <v>45810</v>
      </c>
      <c r="D20210" t="inlineStr">
        <is>
          <t>VÄRMLANDS LÄN</t>
        </is>
      </c>
      <c r="E20210" t="inlineStr">
        <is>
          <t>SÄFFLE</t>
        </is>
      </c>
      <c r="G20210" t="n">
        <v>2</v>
      </c>
      <c r="H20210" t="n">
        <v>0</v>
      </c>
      <c r="I20210" t="n">
        <v>0</v>
      </c>
      <c r="J20210" t="n">
        <v>0</v>
      </c>
      <c r="K20210" t="n">
        <v>0</v>
      </c>
      <c r="L20210" t="n">
        <v>0</v>
      </c>
      <c r="M20210" t="n">
        <v>0</v>
      </c>
      <c r="N20210" t="n">
        <v>0</v>
      </c>
      <c r="O20210" t="n">
        <v>0</v>
      </c>
      <c r="P20210" t="n">
        <v>0</v>
      </c>
      <c r="Q20210" t="n">
        <v>0</v>
      </c>
      <c r="R20210" s="2" t="inlineStr"/>
    </row>
    <row r="20211" ht="15" customHeight="1">
      <c r="A20211" t="inlineStr">
        <is>
          <t>A 24111-2025</t>
        </is>
      </c>
      <c r="B20211" s="1" t="n">
        <v>45796</v>
      </c>
      <c r="C20211" s="1" t="n">
        <v>45810</v>
      </c>
      <c r="D20211" t="inlineStr">
        <is>
          <t>VÄRMLANDS LÄN</t>
        </is>
      </c>
      <c r="E20211" t="inlineStr">
        <is>
          <t>TORSBY</t>
        </is>
      </c>
      <c r="G20211" t="n">
        <v>2.1</v>
      </c>
      <c r="H20211" t="n">
        <v>0</v>
      </c>
      <c r="I20211" t="n">
        <v>0</v>
      </c>
      <c r="J20211" t="n">
        <v>0</v>
      </c>
      <c r="K20211" t="n">
        <v>0</v>
      </c>
      <c r="L20211" t="n">
        <v>0</v>
      </c>
      <c r="M20211" t="n">
        <v>0</v>
      </c>
      <c r="N20211" t="n">
        <v>0</v>
      </c>
      <c r="O20211" t="n">
        <v>0</v>
      </c>
      <c r="P20211" t="n">
        <v>0</v>
      </c>
      <c r="Q20211" t="n">
        <v>0</v>
      </c>
      <c r="R20211" s="2" t="inlineStr"/>
    </row>
    <row r="20212" ht="15" customHeight="1">
      <c r="A20212" t="inlineStr">
        <is>
          <t>A 24121-2025</t>
        </is>
      </c>
      <c r="B20212" s="1" t="n">
        <v>45796</v>
      </c>
      <c r="C20212" s="1" t="n">
        <v>45810</v>
      </c>
      <c r="D20212" t="inlineStr">
        <is>
          <t>VÄRMLANDS LÄN</t>
        </is>
      </c>
      <c r="E20212" t="inlineStr">
        <is>
          <t>ARVIKA</t>
        </is>
      </c>
      <c r="F20212" t="inlineStr">
        <is>
          <t>Bergvik skog väst AB</t>
        </is>
      </c>
      <c r="G20212" t="n">
        <v>11.2</v>
      </c>
      <c r="H20212" t="n">
        <v>0</v>
      </c>
      <c r="I20212" t="n">
        <v>0</v>
      </c>
      <c r="J20212" t="n">
        <v>0</v>
      </c>
      <c r="K20212" t="n">
        <v>0</v>
      </c>
      <c r="L20212" t="n">
        <v>0</v>
      </c>
      <c r="M20212" t="n">
        <v>0</v>
      </c>
      <c r="N20212" t="n">
        <v>0</v>
      </c>
      <c r="O20212" t="n">
        <v>0</v>
      </c>
      <c r="P20212" t="n">
        <v>0</v>
      </c>
      <c r="Q20212" t="n">
        <v>0</v>
      </c>
      <c r="R20212" s="2" t="inlineStr"/>
    </row>
    <row r="20213" ht="15" customHeight="1">
      <c r="A20213" t="inlineStr">
        <is>
          <t>A 24000-2025</t>
        </is>
      </c>
      <c r="B20213" s="1" t="n">
        <v>45796</v>
      </c>
      <c r="C20213" s="1" t="n">
        <v>45810</v>
      </c>
      <c r="D20213" t="inlineStr">
        <is>
          <t>VÄRMLANDS LÄN</t>
        </is>
      </c>
      <c r="E20213" t="inlineStr">
        <is>
          <t>HAGFORS</t>
        </is>
      </c>
      <c r="G20213" t="n">
        <v>1.8</v>
      </c>
      <c r="H20213" t="n">
        <v>0</v>
      </c>
      <c r="I20213" t="n">
        <v>0</v>
      </c>
      <c r="J20213" t="n">
        <v>0</v>
      </c>
      <c r="K20213" t="n">
        <v>0</v>
      </c>
      <c r="L20213" t="n">
        <v>0</v>
      </c>
      <c r="M20213" t="n">
        <v>0</v>
      </c>
      <c r="N20213" t="n">
        <v>0</v>
      </c>
      <c r="O20213" t="n">
        <v>0</v>
      </c>
      <c r="P20213" t="n">
        <v>0</v>
      </c>
      <c r="Q20213" t="n">
        <v>0</v>
      </c>
      <c r="R20213" s="2" t="inlineStr"/>
    </row>
    <row r="20214" ht="15" customHeight="1">
      <c r="A20214" t="inlineStr">
        <is>
          <t>A 23970-2025</t>
        </is>
      </c>
      <c r="B20214" s="1" t="n">
        <v>45796</v>
      </c>
      <c r="C20214" s="1" t="n">
        <v>45810</v>
      </c>
      <c r="D20214" t="inlineStr">
        <is>
          <t>VÄRMLANDS LÄN</t>
        </is>
      </c>
      <c r="E20214" t="inlineStr">
        <is>
          <t>HAGFORS</t>
        </is>
      </c>
      <c r="F20214" t="inlineStr">
        <is>
          <t>Bergvik skog väst AB</t>
        </is>
      </c>
      <c r="G20214" t="n">
        <v>3.4</v>
      </c>
      <c r="H20214" t="n">
        <v>0</v>
      </c>
      <c r="I20214" t="n">
        <v>0</v>
      </c>
      <c r="J20214" t="n">
        <v>0</v>
      </c>
      <c r="K20214" t="n">
        <v>0</v>
      </c>
      <c r="L20214" t="n">
        <v>0</v>
      </c>
      <c r="M20214" t="n">
        <v>0</v>
      </c>
      <c r="N20214" t="n">
        <v>0</v>
      </c>
      <c r="O20214" t="n">
        <v>0</v>
      </c>
      <c r="P20214" t="n">
        <v>0</v>
      </c>
      <c r="Q20214" t="n">
        <v>0</v>
      </c>
      <c r="R20214" s="2" t="inlineStr"/>
    </row>
    <row r="20215" ht="15" customHeight="1">
      <c r="A20215" t="inlineStr">
        <is>
          <t>A 24143-2025</t>
        </is>
      </c>
      <c r="B20215" s="1" t="n">
        <v>45796</v>
      </c>
      <c r="C20215" s="1" t="n">
        <v>45810</v>
      </c>
      <c r="D20215" t="inlineStr">
        <is>
          <t>VÄRMLANDS LÄN</t>
        </is>
      </c>
      <c r="E20215" t="inlineStr">
        <is>
          <t>FILIPSTAD</t>
        </is>
      </c>
      <c r="G20215" t="n">
        <v>0.7</v>
      </c>
      <c r="H20215" t="n">
        <v>0</v>
      </c>
      <c r="I20215" t="n">
        <v>0</v>
      </c>
      <c r="J20215" t="n">
        <v>0</v>
      </c>
      <c r="K20215" t="n">
        <v>0</v>
      </c>
      <c r="L20215" t="n">
        <v>0</v>
      </c>
      <c r="M20215" t="n">
        <v>0</v>
      </c>
      <c r="N20215" t="n">
        <v>0</v>
      </c>
      <c r="O20215" t="n">
        <v>0</v>
      </c>
      <c r="P20215" t="n">
        <v>0</v>
      </c>
      <c r="Q20215" t="n">
        <v>0</v>
      </c>
      <c r="R20215" s="2" t="inlineStr"/>
    </row>
    <row r="20216" ht="15" customHeight="1">
      <c r="A20216" t="inlineStr">
        <is>
          <t>A 24287-2025</t>
        </is>
      </c>
      <c r="B20216" s="1" t="n">
        <v>45796</v>
      </c>
      <c r="C20216" s="1" t="n">
        <v>45810</v>
      </c>
      <c r="D20216" t="inlineStr">
        <is>
          <t>VÄRMLANDS LÄN</t>
        </is>
      </c>
      <c r="E20216" t="inlineStr">
        <is>
          <t>SÄFFLE</t>
        </is>
      </c>
      <c r="G20216" t="n">
        <v>1.5</v>
      </c>
      <c r="H20216" t="n">
        <v>0</v>
      </c>
      <c r="I20216" t="n">
        <v>0</v>
      </c>
      <c r="J20216" t="n">
        <v>0</v>
      </c>
      <c r="K20216" t="n">
        <v>0</v>
      </c>
      <c r="L20216" t="n">
        <v>0</v>
      </c>
      <c r="M20216" t="n">
        <v>0</v>
      </c>
      <c r="N20216" t="n">
        <v>0</v>
      </c>
      <c r="O20216" t="n">
        <v>0</v>
      </c>
      <c r="P20216" t="n">
        <v>0</v>
      </c>
      <c r="Q20216" t="n">
        <v>0</v>
      </c>
      <c r="R20216" s="2" t="inlineStr"/>
    </row>
    <row r="20217" ht="15" customHeight="1">
      <c r="A20217" t="inlineStr">
        <is>
          <t>A 24092-2025</t>
        </is>
      </c>
      <c r="B20217" s="1" t="n">
        <v>45796</v>
      </c>
      <c r="C20217" s="1" t="n">
        <v>45810</v>
      </c>
      <c r="D20217" t="inlineStr">
        <is>
          <t>VÄRMLANDS LÄN</t>
        </is>
      </c>
      <c r="E20217" t="inlineStr">
        <is>
          <t>SUNNE</t>
        </is>
      </c>
      <c r="F20217" t="inlineStr">
        <is>
          <t>Bergvik skog väst AB</t>
        </is>
      </c>
      <c r="G20217" t="n">
        <v>2.4</v>
      </c>
      <c r="H20217" t="n">
        <v>0</v>
      </c>
      <c r="I20217" t="n">
        <v>0</v>
      </c>
      <c r="J20217" t="n">
        <v>0</v>
      </c>
      <c r="K20217" t="n">
        <v>0</v>
      </c>
      <c r="L20217" t="n">
        <v>0</v>
      </c>
      <c r="M20217" t="n">
        <v>0</v>
      </c>
      <c r="N20217" t="n">
        <v>0</v>
      </c>
      <c r="O20217" t="n">
        <v>0</v>
      </c>
      <c r="P20217" t="n">
        <v>0</v>
      </c>
      <c r="Q20217" t="n">
        <v>0</v>
      </c>
      <c r="R20217" s="2" t="inlineStr"/>
    </row>
    <row r="20218" ht="15" customHeight="1">
      <c r="A20218" t="inlineStr">
        <is>
          <t>A 23939-2025</t>
        </is>
      </c>
      <c r="B20218" s="1" t="n">
        <v>45796</v>
      </c>
      <c r="C20218" s="1" t="n">
        <v>45810</v>
      </c>
      <c r="D20218" t="inlineStr">
        <is>
          <t>VÄRMLANDS LÄN</t>
        </is>
      </c>
      <c r="E20218" t="inlineStr">
        <is>
          <t>ARVIKA</t>
        </is>
      </c>
      <c r="F20218" t="inlineStr">
        <is>
          <t>Bergvik skog väst AB</t>
        </is>
      </c>
      <c r="G20218" t="n">
        <v>7.7</v>
      </c>
      <c r="H20218" t="n">
        <v>0</v>
      </c>
      <c r="I20218" t="n">
        <v>0</v>
      </c>
      <c r="J20218" t="n">
        <v>0</v>
      </c>
      <c r="K20218" t="n">
        <v>0</v>
      </c>
      <c r="L20218" t="n">
        <v>0</v>
      </c>
      <c r="M20218" t="n">
        <v>0</v>
      </c>
      <c r="N20218" t="n">
        <v>0</v>
      </c>
      <c r="O20218" t="n">
        <v>0</v>
      </c>
      <c r="P20218" t="n">
        <v>0</v>
      </c>
      <c r="Q20218" t="n">
        <v>0</v>
      </c>
      <c r="R20218" s="2" t="inlineStr"/>
    </row>
    <row r="20219" ht="15" customHeight="1">
      <c r="A20219" t="inlineStr">
        <is>
          <t>A 24279-2025</t>
        </is>
      </c>
      <c r="B20219" s="1" t="n">
        <v>45796</v>
      </c>
      <c r="C20219" s="1" t="n">
        <v>45810</v>
      </c>
      <c r="D20219" t="inlineStr">
        <is>
          <t>VÄRMLANDS LÄN</t>
        </is>
      </c>
      <c r="E20219" t="inlineStr">
        <is>
          <t>SUNNE</t>
        </is>
      </c>
      <c r="G20219" t="n">
        <v>0.5</v>
      </c>
      <c r="H20219" t="n">
        <v>0</v>
      </c>
      <c r="I20219" t="n">
        <v>0</v>
      </c>
      <c r="J20219" t="n">
        <v>0</v>
      </c>
      <c r="K20219" t="n">
        <v>0</v>
      </c>
      <c r="L20219" t="n">
        <v>0</v>
      </c>
      <c r="M20219" t="n">
        <v>0</v>
      </c>
      <c r="N20219" t="n">
        <v>0</v>
      </c>
      <c r="O20219" t="n">
        <v>0</v>
      </c>
      <c r="P20219" t="n">
        <v>0</v>
      </c>
      <c r="Q20219" t="n">
        <v>0</v>
      </c>
      <c r="R20219" s="2" t="inlineStr"/>
    </row>
    <row r="20220" ht="15" customHeight="1">
      <c r="A20220" t="inlineStr">
        <is>
          <t>A 24247-2025</t>
        </is>
      </c>
      <c r="B20220" s="1" t="n">
        <v>45797</v>
      </c>
      <c r="C20220" s="1" t="n">
        <v>45810</v>
      </c>
      <c r="D20220" t="inlineStr">
        <is>
          <t>VÄRMLANDS LÄN</t>
        </is>
      </c>
      <c r="E20220" t="inlineStr">
        <is>
          <t>KIL</t>
        </is>
      </c>
      <c r="G20220" t="n">
        <v>1.7</v>
      </c>
      <c r="H20220" t="n">
        <v>0</v>
      </c>
      <c r="I20220" t="n">
        <v>0</v>
      </c>
      <c r="J20220" t="n">
        <v>0</v>
      </c>
      <c r="K20220" t="n">
        <v>0</v>
      </c>
      <c r="L20220" t="n">
        <v>0</v>
      </c>
      <c r="M20220" t="n">
        <v>0</v>
      </c>
      <c r="N20220" t="n">
        <v>0</v>
      </c>
      <c r="O20220" t="n">
        <v>0</v>
      </c>
      <c r="P20220" t="n">
        <v>0</v>
      </c>
      <c r="Q20220" t="n">
        <v>0</v>
      </c>
      <c r="R20220" s="2" t="inlineStr"/>
    </row>
    <row r="20221" ht="15" customHeight="1">
      <c r="A20221" t="inlineStr">
        <is>
          <t>A 24204-2025</t>
        </is>
      </c>
      <c r="B20221" s="1" t="n">
        <v>45797</v>
      </c>
      <c r="C20221" s="1" t="n">
        <v>45810</v>
      </c>
      <c r="D20221" t="inlineStr">
        <is>
          <t>VÄRMLANDS LÄN</t>
        </is>
      </c>
      <c r="E20221" t="inlineStr">
        <is>
          <t>TORSBY</t>
        </is>
      </c>
      <c r="F20221" t="inlineStr">
        <is>
          <t>Bergvik skog väst AB</t>
        </is>
      </c>
      <c r="G20221" t="n">
        <v>5.8</v>
      </c>
      <c r="H20221" t="n">
        <v>0</v>
      </c>
      <c r="I20221" t="n">
        <v>0</v>
      </c>
      <c r="J20221" t="n">
        <v>0</v>
      </c>
      <c r="K20221" t="n">
        <v>0</v>
      </c>
      <c r="L20221" t="n">
        <v>0</v>
      </c>
      <c r="M20221" t="n">
        <v>0</v>
      </c>
      <c r="N20221" t="n">
        <v>0</v>
      </c>
      <c r="O20221" t="n">
        <v>0</v>
      </c>
      <c r="P20221" t="n">
        <v>0</v>
      </c>
      <c r="Q20221" t="n">
        <v>0</v>
      </c>
      <c r="R20221" s="2" t="inlineStr"/>
    </row>
    <row r="20222" ht="15" customHeight="1">
      <c r="A20222" t="inlineStr">
        <is>
          <t>A 24262-2025</t>
        </is>
      </c>
      <c r="B20222" s="1" t="n">
        <v>45797</v>
      </c>
      <c r="C20222" s="1" t="n">
        <v>45810</v>
      </c>
      <c r="D20222" t="inlineStr">
        <is>
          <t>VÄRMLANDS LÄN</t>
        </is>
      </c>
      <c r="E20222" t="inlineStr">
        <is>
          <t>KIL</t>
        </is>
      </c>
      <c r="G20222" t="n">
        <v>1.2</v>
      </c>
      <c r="H20222" t="n">
        <v>0</v>
      </c>
      <c r="I20222" t="n">
        <v>0</v>
      </c>
      <c r="J20222" t="n">
        <v>0</v>
      </c>
      <c r="K20222" t="n">
        <v>0</v>
      </c>
      <c r="L20222" t="n">
        <v>0</v>
      </c>
      <c r="M20222" t="n">
        <v>0</v>
      </c>
      <c r="N20222" t="n">
        <v>0</v>
      </c>
      <c r="O20222" t="n">
        <v>0</v>
      </c>
      <c r="P20222" t="n">
        <v>0</v>
      </c>
      <c r="Q20222" t="n">
        <v>0</v>
      </c>
      <c r="R20222" s="2" t="inlineStr"/>
    </row>
    <row r="20223" ht="15" customHeight="1">
      <c r="A20223" t="inlineStr">
        <is>
          <t>A 24251-2025</t>
        </is>
      </c>
      <c r="B20223" s="1" t="n">
        <v>45797</v>
      </c>
      <c r="C20223" s="1" t="n">
        <v>45810</v>
      </c>
      <c r="D20223" t="inlineStr">
        <is>
          <t>VÄRMLANDS LÄN</t>
        </is>
      </c>
      <c r="E20223" t="inlineStr">
        <is>
          <t>TORSBY</t>
        </is>
      </c>
      <c r="G20223" t="n">
        <v>5.1</v>
      </c>
      <c r="H20223" t="n">
        <v>0</v>
      </c>
      <c r="I20223" t="n">
        <v>0</v>
      </c>
      <c r="J20223" t="n">
        <v>0</v>
      </c>
      <c r="K20223" t="n">
        <v>0</v>
      </c>
      <c r="L20223" t="n">
        <v>0</v>
      </c>
      <c r="M20223" t="n">
        <v>0</v>
      </c>
      <c r="N20223" t="n">
        <v>0</v>
      </c>
      <c r="O20223" t="n">
        <v>0</v>
      </c>
      <c r="P20223" t="n">
        <v>0</v>
      </c>
      <c r="Q20223" t="n">
        <v>0</v>
      </c>
      <c r="R20223" s="2" t="inlineStr"/>
    </row>
    <row r="20224" ht="15" customHeight="1">
      <c r="A20224" t="inlineStr">
        <is>
          <t>A 24260-2025</t>
        </is>
      </c>
      <c r="B20224" s="1" t="n">
        <v>45797</v>
      </c>
      <c r="C20224" s="1" t="n">
        <v>45810</v>
      </c>
      <c r="D20224" t="inlineStr">
        <is>
          <t>VÄRMLANDS LÄN</t>
        </is>
      </c>
      <c r="E20224" t="inlineStr">
        <is>
          <t>TORSBY</t>
        </is>
      </c>
      <c r="G20224" t="n">
        <v>2.5</v>
      </c>
      <c r="H20224" t="n">
        <v>0</v>
      </c>
      <c r="I20224" t="n">
        <v>0</v>
      </c>
      <c r="J20224" t="n">
        <v>0</v>
      </c>
      <c r="K20224" t="n">
        <v>0</v>
      </c>
      <c r="L20224" t="n">
        <v>0</v>
      </c>
      <c r="M20224" t="n">
        <v>0</v>
      </c>
      <c r="N20224" t="n">
        <v>0</v>
      </c>
      <c r="O20224" t="n">
        <v>0</v>
      </c>
      <c r="P20224" t="n">
        <v>0</v>
      </c>
      <c r="Q20224" t="n">
        <v>0</v>
      </c>
      <c r="R20224" s="2" t="inlineStr"/>
    </row>
    <row r="20225" ht="15" customHeight="1">
      <c r="A20225" t="inlineStr">
        <is>
          <t>A 24252-2025</t>
        </is>
      </c>
      <c r="B20225" s="1" t="n">
        <v>45797</v>
      </c>
      <c r="C20225" s="1" t="n">
        <v>45810</v>
      </c>
      <c r="D20225" t="inlineStr">
        <is>
          <t>VÄRMLANDS LÄN</t>
        </is>
      </c>
      <c r="E20225" t="inlineStr">
        <is>
          <t>ÅRJÄNG</t>
        </is>
      </c>
      <c r="G20225" t="n">
        <v>0.7</v>
      </c>
      <c r="H20225" t="n">
        <v>0</v>
      </c>
      <c r="I20225" t="n">
        <v>0</v>
      </c>
      <c r="J20225" t="n">
        <v>0</v>
      </c>
      <c r="K20225" t="n">
        <v>0</v>
      </c>
      <c r="L20225" t="n">
        <v>0</v>
      </c>
      <c r="M20225" t="n">
        <v>0</v>
      </c>
      <c r="N20225" t="n">
        <v>0</v>
      </c>
      <c r="O20225" t="n">
        <v>0</v>
      </c>
      <c r="P20225" t="n">
        <v>0</v>
      </c>
      <c r="Q20225" t="n">
        <v>0</v>
      </c>
      <c r="R20225" s="2" t="inlineStr"/>
    </row>
    <row r="20226" ht="15" customHeight="1">
      <c r="A20226" t="inlineStr">
        <is>
          <t>A 24318-2025</t>
        </is>
      </c>
      <c r="B20226" s="1" t="n">
        <v>45797</v>
      </c>
      <c r="C20226" s="1" t="n">
        <v>45810</v>
      </c>
      <c r="D20226" t="inlineStr">
        <is>
          <t>VÄRMLANDS LÄN</t>
        </is>
      </c>
      <c r="E20226" t="inlineStr">
        <is>
          <t>TORSBY</t>
        </is>
      </c>
      <c r="G20226" t="n">
        <v>2.1</v>
      </c>
      <c r="H20226" t="n">
        <v>0</v>
      </c>
      <c r="I20226" t="n">
        <v>0</v>
      </c>
      <c r="J20226" t="n">
        <v>0</v>
      </c>
      <c r="K20226" t="n">
        <v>0</v>
      </c>
      <c r="L20226" t="n">
        <v>0</v>
      </c>
      <c r="M20226" t="n">
        <v>0</v>
      </c>
      <c r="N20226" t="n">
        <v>0</v>
      </c>
      <c r="O20226" t="n">
        <v>0</v>
      </c>
      <c r="P20226" t="n">
        <v>0</v>
      </c>
      <c r="Q20226" t="n">
        <v>0</v>
      </c>
      <c r="R20226" s="2" t="inlineStr"/>
    </row>
    <row r="20227" ht="15" customHeight="1">
      <c r="A20227" t="inlineStr">
        <is>
          <t>A 24434-2025</t>
        </is>
      </c>
      <c r="B20227" s="1" t="n">
        <v>45797</v>
      </c>
      <c r="C20227" s="1" t="n">
        <v>45810</v>
      </c>
      <c r="D20227" t="inlineStr">
        <is>
          <t>VÄRMLANDS LÄN</t>
        </is>
      </c>
      <c r="E20227" t="inlineStr">
        <is>
          <t>HAGFORS</t>
        </is>
      </c>
      <c r="G20227" t="n">
        <v>2.2</v>
      </c>
      <c r="H20227" t="n">
        <v>0</v>
      </c>
      <c r="I20227" t="n">
        <v>0</v>
      </c>
      <c r="J20227" t="n">
        <v>0</v>
      </c>
      <c r="K20227" t="n">
        <v>0</v>
      </c>
      <c r="L20227" t="n">
        <v>0</v>
      </c>
      <c r="M20227" t="n">
        <v>0</v>
      </c>
      <c r="N20227" t="n">
        <v>0</v>
      </c>
      <c r="O20227" t="n">
        <v>0</v>
      </c>
      <c r="P20227" t="n">
        <v>0</v>
      </c>
      <c r="Q20227" t="n">
        <v>0</v>
      </c>
      <c r="R20227" s="2" t="inlineStr"/>
    </row>
    <row r="20228" ht="15" customHeight="1">
      <c r="A20228" t="inlineStr">
        <is>
          <t>A 24435-2025</t>
        </is>
      </c>
      <c r="B20228" s="1" t="n">
        <v>45797</v>
      </c>
      <c r="C20228" s="1" t="n">
        <v>45810</v>
      </c>
      <c r="D20228" t="inlineStr">
        <is>
          <t>VÄRMLANDS LÄN</t>
        </is>
      </c>
      <c r="E20228" t="inlineStr">
        <is>
          <t>HAGFORS</t>
        </is>
      </c>
      <c r="G20228" t="n">
        <v>0.8</v>
      </c>
      <c r="H20228" t="n">
        <v>0</v>
      </c>
      <c r="I20228" t="n">
        <v>0</v>
      </c>
      <c r="J20228" t="n">
        <v>0</v>
      </c>
      <c r="K20228" t="n">
        <v>0</v>
      </c>
      <c r="L20228" t="n">
        <v>0</v>
      </c>
      <c r="M20228" t="n">
        <v>0</v>
      </c>
      <c r="N20228" t="n">
        <v>0</v>
      </c>
      <c r="O20228" t="n">
        <v>0</v>
      </c>
      <c r="P20228" t="n">
        <v>0</v>
      </c>
      <c r="Q20228" t="n">
        <v>0</v>
      </c>
      <c r="R20228" s="2" t="inlineStr"/>
    </row>
    <row r="20229" ht="15" customHeight="1">
      <c r="A20229" t="inlineStr">
        <is>
          <t>A 24289-2025</t>
        </is>
      </c>
      <c r="B20229" s="1" t="n">
        <v>45797</v>
      </c>
      <c r="C20229" s="1" t="n">
        <v>45810</v>
      </c>
      <c r="D20229" t="inlineStr">
        <is>
          <t>VÄRMLANDS LÄN</t>
        </is>
      </c>
      <c r="E20229" t="inlineStr">
        <is>
          <t>SUNNE</t>
        </is>
      </c>
      <c r="G20229" t="n">
        <v>2.5</v>
      </c>
      <c r="H20229" t="n">
        <v>0</v>
      </c>
      <c r="I20229" t="n">
        <v>0</v>
      </c>
      <c r="J20229" t="n">
        <v>0</v>
      </c>
      <c r="K20229" t="n">
        <v>0</v>
      </c>
      <c r="L20229" t="n">
        <v>0</v>
      </c>
      <c r="M20229" t="n">
        <v>0</v>
      </c>
      <c r="N20229" t="n">
        <v>0</v>
      </c>
      <c r="O20229" t="n">
        <v>0</v>
      </c>
      <c r="P20229" t="n">
        <v>0</v>
      </c>
      <c r="Q20229" t="n">
        <v>0</v>
      </c>
      <c r="R20229" s="2" t="inlineStr"/>
    </row>
    <row r="20230" ht="15" customHeight="1">
      <c r="A20230" t="inlineStr">
        <is>
          <t>A 24216-2025</t>
        </is>
      </c>
      <c r="B20230" s="1" t="n">
        <v>45797</v>
      </c>
      <c r="C20230" s="1" t="n">
        <v>45810</v>
      </c>
      <c r="D20230" t="inlineStr">
        <is>
          <t>VÄRMLANDS LÄN</t>
        </is>
      </c>
      <c r="E20230" t="inlineStr">
        <is>
          <t>ARVIKA</t>
        </is>
      </c>
      <c r="F20230" t="inlineStr">
        <is>
          <t>Bergvik skog väst AB</t>
        </is>
      </c>
      <c r="G20230" t="n">
        <v>2.2</v>
      </c>
      <c r="H20230" t="n">
        <v>0</v>
      </c>
      <c r="I20230" t="n">
        <v>0</v>
      </c>
      <c r="J20230" t="n">
        <v>0</v>
      </c>
      <c r="K20230" t="n">
        <v>0</v>
      </c>
      <c r="L20230" t="n">
        <v>0</v>
      </c>
      <c r="M20230" t="n">
        <v>0</v>
      </c>
      <c r="N20230" t="n">
        <v>0</v>
      </c>
      <c r="O20230" t="n">
        <v>0</v>
      </c>
      <c r="P20230" t="n">
        <v>0</v>
      </c>
      <c r="Q20230" t="n">
        <v>0</v>
      </c>
      <c r="R20230" s="2" t="inlineStr"/>
    </row>
    <row r="20231" ht="15" customHeight="1">
      <c r="A20231" t="inlineStr">
        <is>
          <t>A 24218-2025</t>
        </is>
      </c>
      <c r="B20231" s="1" t="n">
        <v>45797</v>
      </c>
      <c r="C20231" s="1" t="n">
        <v>45810</v>
      </c>
      <c r="D20231" t="inlineStr">
        <is>
          <t>VÄRMLANDS LÄN</t>
        </is>
      </c>
      <c r="E20231" t="inlineStr">
        <is>
          <t>TORSBY</t>
        </is>
      </c>
      <c r="G20231" t="n">
        <v>1</v>
      </c>
      <c r="H20231" t="n">
        <v>0</v>
      </c>
      <c r="I20231" t="n">
        <v>0</v>
      </c>
      <c r="J20231" t="n">
        <v>0</v>
      </c>
      <c r="K20231" t="n">
        <v>0</v>
      </c>
      <c r="L20231" t="n">
        <v>0</v>
      </c>
      <c r="M20231" t="n">
        <v>0</v>
      </c>
      <c r="N20231" t="n">
        <v>0</v>
      </c>
      <c r="O20231" t="n">
        <v>0</v>
      </c>
      <c r="P20231" t="n">
        <v>0</v>
      </c>
      <c r="Q20231" t="n">
        <v>0</v>
      </c>
      <c r="R20231" s="2" t="inlineStr"/>
    </row>
    <row r="20232" ht="15" customHeight="1">
      <c r="A20232" t="inlineStr">
        <is>
          <t>A 24386-2025</t>
        </is>
      </c>
      <c r="B20232" s="1" t="n">
        <v>45797</v>
      </c>
      <c r="C20232" s="1" t="n">
        <v>45810</v>
      </c>
      <c r="D20232" t="inlineStr">
        <is>
          <t>VÄRMLANDS LÄN</t>
        </is>
      </c>
      <c r="E20232" t="inlineStr">
        <is>
          <t>FILIPSTAD</t>
        </is>
      </c>
      <c r="F20232" t="inlineStr">
        <is>
          <t>Bergvik skog väst AB</t>
        </is>
      </c>
      <c r="G20232" t="n">
        <v>5.9</v>
      </c>
      <c r="H20232" t="n">
        <v>0</v>
      </c>
      <c r="I20232" t="n">
        <v>0</v>
      </c>
      <c r="J20232" t="n">
        <v>0</v>
      </c>
      <c r="K20232" t="n">
        <v>0</v>
      </c>
      <c r="L20232" t="n">
        <v>0</v>
      </c>
      <c r="M20232" t="n">
        <v>0</v>
      </c>
      <c r="N20232" t="n">
        <v>0</v>
      </c>
      <c r="O20232" t="n">
        <v>0</v>
      </c>
      <c r="P20232" t="n">
        <v>0</v>
      </c>
      <c r="Q20232" t="n">
        <v>0</v>
      </c>
      <c r="R20232" s="2" t="inlineStr"/>
    </row>
    <row r="20233" ht="15" customHeight="1">
      <c r="A20233" t="inlineStr">
        <is>
          <t>A 24438-2025</t>
        </is>
      </c>
      <c r="B20233" s="1" t="n">
        <v>45797</v>
      </c>
      <c r="C20233" s="1" t="n">
        <v>45810</v>
      </c>
      <c r="D20233" t="inlineStr">
        <is>
          <t>VÄRMLANDS LÄN</t>
        </is>
      </c>
      <c r="E20233" t="inlineStr">
        <is>
          <t>HAGFORS</t>
        </is>
      </c>
      <c r="G20233" t="n">
        <v>0.9</v>
      </c>
      <c r="H20233" t="n">
        <v>0</v>
      </c>
      <c r="I20233" t="n">
        <v>0</v>
      </c>
      <c r="J20233" t="n">
        <v>0</v>
      </c>
      <c r="K20233" t="n">
        <v>0</v>
      </c>
      <c r="L20233" t="n">
        <v>0</v>
      </c>
      <c r="M20233" t="n">
        <v>0</v>
      </c>
      <c r="N20233" t="n">
        <v>0</v>
      </c>
      <c r="O20233" t="n">
        <v>0</v>
      </c>
      <c r="P20233" t="n">
        <v>0</v>
      </c>
      <c r="Q20233" t="n">
        <v>0</v>
      </c>
      <c r="R20233" s="2" t="inlineStr"/>
    </row>
    <row r="20234" ht="15" customHeight="1">
      <c r="A20234" t="inlineStr">
        <is>
          <t>A 24702-2025</t>
        </is>
      </c>
      <c r="B20234" s="1" t="n">
        <v>45798</v>
      </c>
      <c r="C20234" s="1" t="n">
        <v>45810</v>
      </c>
      <c r="D20234" t="inlineStr">
        <is>
          <t>VÄRMLANDS LÄN</t>
        </is>
      </c>
      <c r="E20234" t="inlineStr">
        <is>
          <t>ARVIKA</t>
        </is>
      </c>
      <c r="G20234" t="n">
        <v>1.2</v>
      </c>
      <c r="H20234" t="n">
        <v>0</v>
      </c>
      <c r="I20234" t="n">
        <v>0</v>
      </c>
      <c r="J20234" t="n">
        <v>0</v>
      </c>
      <c r="K20234" t="n">
        <v>0</v>
      </c>
      <c r="L20234" t="n">
        <v>0</v>
      </c>
      <c r="M20234" t="n">
        <v>0</v>
      </c>
      <c r="N20234" t="n">
        <v>0</v>
      </c>
      <c r="O20234" t="n">
        <v>0</v>
      </c>
      <c r="P20234" t="n">
        <v>0</v>
      </c>
      <c r="Q20234" t="n">
        <v>0</v>
      </c>
      <c r="R20234" s="2" t="inlineStr"/>
    </row>
    <row r="20235" ht="15" customHeight="1">
      <c r="A20235" t="inlineStr">
        <is>
          <t>A 24712-2025</t>
        </is>
      </c>
      <c r="B20235" s="1" t="n">
        <v>45798</v>
      </c>
      <c r="C20235" s="1" t="n">
        <v>45810</v>
      </c>
      <c r="D20235" t="inlineStr">
        <is>
          <t>VÄRMLANDS LÄN</t>
        </is>
      </c>
      <c r="E20235" t="inlineStr">
        <is>
          <t>ARVIKA</t>
        </is>
      </c>
      <c r="G20235" t="n">
        <v>1.1</v>
      </c>
      <c r="H20235" t="n">
        <v>0</v>
      </c>
      <c r="I20235" t="n">
        <v>0</v>
      </c>
      <c r="J20235" t="n">
        <v>0</v>
      </c>
      <c r="K20235" t="n">
        <v>0</v>
      </c>
      <c r="L20235" t="n">
        <v>0</v>
      </c>
      <c r="M20235" t="n">
        <v>0</v>
      </c>
      <c r="N20235" t="n">
        <v>0</v>
      </c>
      <c r="O20235" t="n">
        <v>0</v>
      </c>
      <c r="P20235" t="n">
        <v>0</v>
      </c>
      <c r="Q20235" t="n">
        <v>0</v>
      </c>
      <c r="R20235" s="2" t="inlineStr"/>
    </row>
    <row r="20236" ht="15" customHeight="1">
      <c r="A20236" t="inlineStr">
        <is>
          <t>A 24528-2025</t>
        </is>
      </c>
      <c r="B20236" s="1" t="n">
        <v>45798</v>
      </c>
      <c r="C20236" s="1" t="n">
        <v>45810</v>
      </c>
      <c r="D20236" t="inlineStr">
        <is>
          <t>VÄRMLANDS LÄN</t>
        </is>
      </c>
      <c r="E20236" t="inlineStr">
        <is>
          <t>TORSBY</t>
        </is>
      </c>
      <c r="G20236" t="n">
        <v>5.8</v>
      </c>
      <c r="H20236" t="n">
        <v>0</v>
      </c>
      <c r="I20236" t="n">
        <v>0</v>
      </c>
      <c r="J20236" t="n">
        <v>0</v>
      </c>
      <c r="K20236" t="n">
        <v>0</v>
      </c>
      <c r="L20236" t="n">
        <v>0</v>
      </c>
      <c r="M20236" t="n">
        <v>0</v>
      </c>
      <c r="N20236" t="n">
        <v>0</v>
      </c>
      <c r="O20236" t="n">
        <v>0</v>
      </c>
      <c r="P20236" t="n">
        <v>0</v>
      </c>
      <c r="Q20236" t="n">
        <v>0</v>
      </c>
      <c r="R20236" s="2" t="inlineStr"/>
    </row>
    <row r="20237" ht="15" customHeight="1">
      <c r="A20237" t="inlineStr">
        <is>
          <t>A 24607-2025</t>
        </is>
      </c>
      <c r="B20237" s="1" t="n">
        <v>45798</v>
      </c>
      <c r="C20237" s="1" t="n">
        <v>45810</v>
      </c>
      <c r="D20237" t="inlineStr">
        <is>
          <t>VÄRMLANDS LÄN</t>
        </is>
      </c>
      <c r="E20237" t="inlineStr">
        <is>
          <t>TORSBY</t>
        </is>
      </c>
      <c r="G20237" t="n">
        <v>2.6</v>
      </c>
      <c r="H20237" t="n">
        <v>0</v>
      </c>
      <c r="I20237" t="n">
        <v>0</v>
      </c>
      <c r="J20237" t="n">
        <v>0</v>
      </c>
      <c r="K20237" t="n">
        <v>0</v>
      </c>
      <c r="L20237" t="n">
        <v>0</v>
      </c>
      <c r="M20237" t="n">
        <v>0</v>
      </c>
      <c r="N20237" t="n">
        <v>0</v>
      </c>
      <c r="O20237" t="n">
        <v>0</v>
      </c>
      <c r="P20237" t="n">
        <v>0</v>
      </c>
      <c r="Q20237" t="n">
        <v>0</v>
      </c>
      <c r="R20237" s="2" t="inlineStr"/>
    </row>
    <row r="20238" ht="15" customHeight="1">
      <c r="A20238" t="inlineStr">
        <is>
          <t>A 24646-2025</t>
        </is>
      </c>
      <c r="B20238" s="1" t="n">
        <v>45798</v>
      </c>
      <c r="C20238" s="1" t="n">
        <v>45810</v>
      </c>
      <c r="D20238" t="inlineStr">
        <is>
          <t>VÄRMLANDS LÄN</t>
        </is>
      </c>
      <c r="E20238" t="inlineStr">
        <is>
          <t>KRISTINEHAMN</t>
        </is>
      </c>
      <c r="G20238" t="n">
        <v>2.2</v>
      </c>
      <c r="H20238" t="n">
        <v>0</v>
      </c>
      <c r="I20238" t="n">
        <v>0</v>
      </c>
      <c r="J20238" t="n">
        <v>0</v>
      </c>
      <c r="K20238" t="n">
        <v>0</v>
      </c>
      <c r="L20238" t="n">
        <v>0</v>
      </c>
      <c r="M20238" t="n">
        <v>0</v>
      </c>
      <c r="N20238" t="n">
        <v>0</v>
      </c>
      <c r="O20238" t="n">
        <v>0</v>
      </c>
      <c r="P20238" t="n">
        <v>0</v>
      </c>
      <c r="Q20238" t="n">
        <v>0</v>
      </c>
      <c r="R20238" s="2" t="inlineStr"/>
    </row>
    <row r="20239" ht="15" customHeight="1">
      <c r="A20239" t="inlineStr">
        <is>
          <t>A 24576-2025</t>
        </is>
      </c>
      <c r="B20239" s="1" t="n">
        <v>45798</v>
      </c>
      <c r="C20239" s="1" t="n">
        <v>45810</v>
      </c>
      <c r="D20239" t="inlineStr">
        <is>
          <t>VÄRMLANDS LÄN</t>
        </is>
      </c>
      <c r="E20239" t="inlineStr">
        <is>
          <t>TORSBY</t>
        </is>
      </c>
      <c r="G20239" t="n">
        <v>2.4</v>
      </c>
      <c r="H20239" t="n">
        <v>0</v>
      </c>
      <c r="I20239" t="n">
        <v>0</v>
      </c>
      <c r="J20239" t="n">
        <v>0</v>
      </c>
      <c r="K20239" t="n">
        <v>0</v>
      </c>
      <c r="L20239" t="n">
        <v>0</v>
      </c>
      <c r="M20239" t="n">
        <v>0</v>
      </c>
      <c r="N20239" t="n">
        <v>0</v>
      </c>
      <c r="O20239" t="n">
        <v>0</v>
      </c>
      <c r="P20239" t="n">
        <v>0</v>
      </c>
      <c r="Q20239" t="n">
        <v>0</v>
      </c>
      <c r="R20239" s="2" t="inlineStr"/>
    </row>
    <row r="20240" ht="15" customHeight="1">
      <c r="A20240" t="inlineStr">
        <is>
          <t>A 24613-2025</t>
        </is>
      </c>
      <c r="B20240" s="1" t="n">
        <v>45798</v>
      </c>
      <c r="C20240" s="1" t="n">
        <v>45810</v>
      </c>
      <c r="D20240" t="inlineStr">
        <is>
          <t>VÄRMLANDS LÄN</t>
        </is>
      </c>
      <c r="E20240" t="inlineStr">
        <is>
          <t>KRISTINEHAMN</t>
        </is>
      </c>
      <c r="G20240" t="n">
        <v>0.9</v>
      </c>
      <c r="H20240" t="n">
        <v>0</v>
      </c>
      <c r="I20240" t="n">
        <v>0</v>
      </c>
      <c r="J20240" t="n">
        <v>0</v>
      </c>
      <c r="K20240" t="n">
        <v>0</v>
      </c>
      <c r="L20240" t="n">
        <v>0</v>
      </c>
      <c r="M20240" t="n">
        <v>0</v>
      </c>
      <c r="N20240" t="n">
        <v>0</v>
      </c>
      <c r="O20240" t="n">
        <v>0</v>
      </c>
      <c r="P20240" t="n">
        <v>0</v>
      </c>
      <c r="Q20240" t="n">
        <v>0</v>
      </c>
      <c r="R20240" s="2" t="inlineStr"/>
    </row>
    <row r="20241" ht="15" customHeight="1">
      <c r="A20241" t="inlineStr">
        <is>
          <t>A 24601-2025</t>
        </is>
      </c>
      <c r="B20241" s="1" t="n">
        <v>45798</v>
      </c>
      <c r="C20241" s="1" t="n">
        <v>45810</v>
      </c>
      <c r="D20241" t="inlineStr">
        <is>
          <t>VÄRMLANDS LÄN</t>
        </is>
      </c>
      <c r="E20241" t="inlineStr">
        <is>
          <t>ARVIKA</t>
        </is>
      </c>
      <c r="F20241" t="inlineStr">
        <is>
          <t>Bergvik skog väst AB</t>
        </is>
      </c>
      <c r="G20241" t="n">
        <v>2.7</v>
      </c>
      <c r="H20241" t="n">
        <v>0</v>
      </c>
      <c r="I20241" t="n">
        <v>0</v>
      </c>
      <c r="J20241" t="n">
        <v>0</v>
      </c>
      <c r="K20241" t="n">
        <v>0</v>
      </c>
      <c r="L20241" t="n">
        <v>0</v>
      </c>
      <c r="M20241" t="n">
        <v>0</v>
      </c>
      <c r="N20241" t="n">
        <v>0</v>
      </c>
      <c r="O20241" t="n">
        <v>0</v>
      </c>
      <c r="P20241" t="n">
        <v>0</v>
      </c>
      <c r="Q20241" t="n">
        <v>0</v>
      </c>
      <c r="R20241" s="2" t="inlineStr"/>
    </row>
    <row r="20242" ht="15" customHeight="1">
      <c r="A20242" t="inlineStr">
        <is>
          <t>A 24580-2025</t>
        </is>
      </c>
      <c r="B20242" s="1" t="n">
        <v>45798</v>
      </c>
      <c r="C20242" s="1" t="n">
        <v>45810</v>
      </c>
      <c r="D20242" t="inlineStr">
        <is>
          <t>VÄRMLANDS LÄN</t>
        </is>
      </c>
      <c r="E20242" t="inlineStr">
        <is>
          <t>TORSBY</t>
        </is>
      </c>
      <c r="G20242" t="n">
        <v>12.2</v>
      </c>
      <c r="H20242" t="n">
        <v>0</v>
      </c>
      <c r="I20242" t="n">
        <v>0</v>
      </c>
      <c r="J20242" t="n">
        <v>0</v>
      </c>
      <c r="K20242" t="n">
        <v>0</v>
      </c>
      <c r="L20242" t="n">
        <v>0</v>
      </c>
      <c r="M20242" t="n">
        <v>0</v>
      </c>
      <c r="N20242" t="n">
        <v>0</v>
      </c>
      <c r="O20242" t="n">
        <v>0</v>
      </c>
      <c r="P20242" t="n">
        <v>0</v>
      </c>
      <c r="Q20242" t="n">
        <v>0</v>
      </c>
      <c r="R20242" s="2" t="inlineStr"/>
    </row>
    <row r="20243" ht="15" customHeight="1">
      <c r="A20243" t="inlineStr">
        <is>
          <t>A 24632-2025</t>
        </is>
      </c>
      <c r="B20243" s="1" t="n">
        <v>45798</v>
      </c>
      <c r="C20243" s="1" t="n">
        <v>45810</v>
      </c>
      <c r="D20243" t="inlineStr">
        <is>
          <t>VÄRMLANDS LÄN</t>
        </is>
      </c>
      <c r="E20243" t="inlineStr">
        <is>
          <t>HAGFORS</t>
        </is>
      </c>
      <c r="F20243" t="inlineStr">
        <is>
          <t>Bergvik skog väst AB</t>
        </is>
      </c>
      <c r="G20243" t="n">
        <v>43.9</v>
      </c>
      <c r="H20243" t="n">
        <v>0</v>
      </c>
      <c r="I20243" t="n">
        <v>0</v>
      </c>
      <c r="J20243" t="n">
        <v>0</v>
      </c>
      <c r="K20243" t="n">
        <v>0</v>
      </c>
      <c r="L20243" t="n">
        <v>0</v>
      </c>
      <c r="M20243" t="n">
        <v>0</v>
      </c>
      <c r="N20243" t="n">
        <v>0</v>
      </c>
      <c r="O20243" t="n">
        <v>0</v>
      </c>
      <c r="P20243" t="n">
        <v>0</v>
      </c>
      <c r="Q20243" t="n">
        <v>0</v>
      </c>
      <c r="R20243" s="2" t="inlineStr"/>
    </row>
    <row r="20244" ht="15" customHeight="1">
      <c r="A20244" t="inlineStr">
        <is>
          <t>A 24599-2025</t>
        </is>
      </c>
      <c r="B20244" s="1" t="n">
        <v>45798</v>
      </c>
      <c r="C20244" s="1" t="n">
        <v>45810</v>
      </c>
      <c r="D20244" t="inlineStr">
        <is>
          <t>VÄRMLANDS LÄN</t>
        </is>
      </c>
      <c r="E20244" t="inlineStr">
        <is>
          <t>TORSBY</t>
        </is>
      </c>
      <c r="G20244" t="n">
        <v>2.6</v>
      </c>
      <c r="H20244" t="n">
        <v>0</v>
      </c>
      <c r="I20244" t="n">
        <v>0</v>
      </c>
      <c r="J20244" t="n">
        <v>0</v>
      </c>
      <c r="K20244" t="n">
        <v>0</v>
      </c>
      <c r="L20244" t="n">
        <v>0</v>
      </c>
      <c r="M20244" t="n">
        <v>0</v>
      </c>
      <c r="N20244" t="n">
        <v>0</v>
      </c>
      <c r="O20244" t="n">
        <v>0</v>
      </c>
      <c r="P20244" t="n">
        <v>0</v>
      </c>
      <c r="Q20244" t="n">
        <v>0</v>
      </c>
      <c r="R20244" s="2" t="inlineStr"/>
    </row>
    <row r="20245" ht="15" customHeight="1">
      <c r="A20245" t="inlineStr">
        <is>
          <t>A 24455-2025</t>
        </is>
      </c>
      <c r="B20245" s="1" t="n">
        <v>45798</v>
      </c>
      <c r="C20245" s="1" t="n">
        <v>45810</v>
      </c>
      <c r="D20245" t="inlineStr">
        <is>
          <t>VÄRMLANDS LÄN</t>
        </is>
      </c>
      <c r="E20245" t="inlineStr">
        <is>
          <t>TORSBY</t>
        </is>
      </c>
      <c r="F20245" t="inlineStr">
        <is>
          <t>Bergvik skog väst AB</t>
        </is>
      </c>
      <c r="G20245" t="n">
        <v>15</v>
      </c>
      <c r="H20245" t="n">
        <v>0</v>
      </c>
      <c r="I20245" t="n">
        <v>0</v>
      </c>
      <c r="J20245" t="n">
        <v>0</v>
      </c>
      <c r="K20245" t="n">
        <v>0</v>
      </c>
      <c r="L20245" t="n">
        <v>0</v>
      </c>
      <c r="M20245" t="n">
        <v>0</v>
      </c>
      <c r="N20245" t="n">
        <v>0</v>
      </c>
      <c r="O20245" t="n">
        <v>0</v>
      </c>
      <c r="P20245" t="n">
        <v>0</v>
      </c>
      <c r="Q20245" t="n">
        <v>0</v>
      </c>
      <c r="R20245" s="2" t="inlineStr"/>
    </row>
    <row r="20246" ht="15" customHeight="1">
      <c r="A20246" t="inlineStr">
        <is>
          <t>A 24571-2025</t>
        </is>
      </c>
      <c r="B20246" s="1" t="n">
        <v>45798</v>
      </c>
      <c r="C20246" s="1" t="n">
        <v>45810</v>
      </c>
      <c r="D20246" t="inlineStr">
        <is>
          <t>VÄRMLANDS LÄN</t>
        </is>
      </c>
      <c r="E20246" t="inlineStr">
        <is>
          <t>SÄFFLE</t>
        </is>
      </c>
      <c r="F20246" t="inlineStr">
        <is>
          <t>Bergvik skog väst AB</t>
        </is>
      </c>
      <c r="G20246" t="n">
        <v>2.2</v>
      </c>
      <c r="H20246" t="n">
        <v>0</v>
      </c>
      <c r="I20246" t="n">
        <v>0</v>
      </c>
      <c r="J20246" t="n">
        <v>0</v>
      </c>
      <c r="K20246" t="n">
        <v>0</v>
      </c>
      <c r="L20246" t="n">
        <v>0</v>
      </c>
      <c r="M20246" t="n">
        <v>0</v>
      </c>
      <c r="N20246" t="n">
        <v>0</v>
      </c>
      <c r="O20246" t="n">
        <v>0</v>
      </c>
      <c r="P20246" t="n">
        <v>0</v>
      </c>
      <c r="Q20246" t="n">
        <v>0</v>
      </c>
      <c r="R20246" s="2" t="inlineStr"/>
    </row>
    <row r="20247" ht="15" customHeight="1">
      <c r="A20247" t="inlineStr">
        <is>
          <t>A 24462-2025</t>
        </is>
      </c>
      <c r="B20247" s="1" t="n">
        <v>45798</v>
      </c>
      <c r="C20247" s="1" t="n">
        <v>45810</v>
      </c>
      <c r="D20247" t="inlineStr">
        <is>
          <t>VÄRMLANDS LÄN</t>
        </is>
      </c>
      <c r="E20247" t="inlineStr">
        <is>
          <t>EDA</t>
        </is>
      </c>
      <c r="G20247" t="n">
        <v>4.3</v>
      </c>
      <c r="H20247" t="n">
        <v>0</v>
      </c>
      <c r="I20247" t="n">
        <v>0</v>
      </c>
      <c r="J20247" t="n">
        <v>0</v>
      </c>
      <c r="K20247" t="n">
        <v>0</v>
      </c>
      <c r="L20247" t="n">
        <v>0</v>
      </c>
      <c r="M20247" t="n">
        <v>0</v>
      </c>
      <c r="N20247" t="n">
        <v>0</v>
      </c>
      <c r="O20247" t="n">
        <v>0</v>
      </c>
      <c r="P20247" t="n">
        <v>0</v>
      </c>
      <c r="Q20247" t="n">
        <v>0</v>
      </c>
      <c r="R20247" s="2" t="inlineStr"/>
    </row>
    <row r="20248" ht="15" customHeight="1">
      <c r="A20248" t="inlineStr">
        <is>
          <t>A 24574-2025</t>
        </is>
      </c>
      <c r="B20248" s="1" t="n">
        <v>45798</v>
      </c>
      <c r="C20248" s="1" t="n">
        <v>45810</v>
      </c>
      <c r="D20248" t="inlineStr">
        <is>
          <t>VÄRMLANDS LÄN</t>
        </is>
      </c>
      <c r="E20248" t="inlineStr">
        <is>
          <t>SÄFFLE</t>
        </is>
      </c>
      <c r="F20248" t="inlineStr">
        <is>
          <t>Bergvik skog väst AB</t>
        </is>
      </c>
      <c r="G20248" t="n">
        <v>7.8</v>
      </c>
      <c r="H20248" t="n">
        <v>0</v>
      </c>
      <c r="I20248" t="n">
        <v>0</v>
      </c>
      <c r="J20248" t="n">
        <v>0</v>
      </c>
      <c r="K20248" t="n">
        <v>0</v>
      </c>
      <c r="L20248" t="n">
        <v>0</v>
      </c>
      <c r="M20248" t="n">
        <v>0</v>
      </c>
      <c r="N20248" t="n">
        <v>0</v>
      </c>
      <c r="O20248" t="n">
        <v>0</v>
      </c>
      <c r="P20248" t="n">
        <v>0</v>
      </c>
      <c r="Q20248" t="n">
        <v>0</v>
      </c>
      <c r="R20248" s="2" t="inlineStr"/>
    </row>
    <row r="20249" ht="15" customHeight="1">
      <c r="A20249" t="inlineStr">
        <is>
          <t>A 24444-2025</t>
        </is>
      </c>
      <c r="B20249" s="1" t="n">
        <v>45798</v>
      </c>
      <c r="C20249" s="1" t="n">
        <v>45810</v>
      </c>
      <c r="D20249" t="inlineStr">
        <is>
          <t>VÄRMLANDS LÄN</t>
        </is>
      </c>
      <c r="E20249" t="inlineStr">
        <is>
          <t>ÅRJÄNG</t>
        </is>
      </c>
      <c r="G20249" t="n">
        <v>5.1</v>
      </c>
      <c r="H20249" t="n">
        <v>0</v>
      </c>
      <c r="I20249" t="n">
        <v>0</v>
      </c>
      <c r="J20249" t="n">
        <v>0</v>
      </c>
      <c r="K20249" t="n">
        <v>0</v>
      </c>
      <c r="L20249" t="n">
        <v>0</v>
      </c>
      <c r="M20249" t="n">
        <v>0</v>
      </c>
      <c r="N20249" t="n">
        <v>0</v>
      </c>
      <c r="O20249" t="n">
        <v>0</v>
      </c>
      <c r="P20249" t="n">
        <v>0</v>
      </c>
      <c r="Q20249" t="n">
        <v>0</v>
      </c>
      <c r="R20249" s="2" t="inlineStr"/>
    </row>
    <row r="20250" ht="15" customHeight="1">
      <c r="A20250" t="inlineStr">
        <is>
          <t>A 24598-2025</t>
        </is>
      </c>
      <c r="B20250" s="1" t="n">
        <v>45798</v>
      </c>
      <c r="C20250" s="1" t="n">
        <v>45810</v>
      </c>
      <c r="D20250" t="inlineStr">
        <is>
          <t>VÄRMLANDS LÄN</t>
        </is>
      </c>
      <c r="E20250" t="inlineStr">
        <is>
          <t>HAGFORS</t>
        </is>
      </c>
      <c r="F20250" t="inlineStr">
        <is>
          <t>Bergvik skog väst AB</t>
        </is>
      </c>
      <c r="G20250" t="n">
        <v>0.7</v>
      </c>
      <c r="H20250" t="n">
        <v>0</v>
      </c>
      <c r="I20250" t="n">
        <v>0</v>
      </c>
      <c r="J20250" t="n">
        <v>0</v>
      </c>
      <c r="K20250" t="n">
        <v>0</v>
      </c>
      <c r="L20250" t="n">
        <v>0</v>
      </c>
      <c r="M20250" t="n">
        <v>0</v>
      </c>
      <c r="N20250" t="n">
        <v>0</v>
      </c>
      <c r="O20250" t="n">
        <v>0</v>
      </c>
      <c r="P20250" t="n">
        <v>0</v>
      </c>
      <c r="Q20250" t="n">
        <v>0</v>
      </c>
      <c r="R20250" s="2" t="inlineStr"/>
    </row>
    <row r="20251" ht="15" customHeight="1">
      <c r="A20251" t="inlineStr">
        <is>
          <t>A 24651-2025</t>
        </is>
      </c>
      <c r="B20251" s="1" t="n">
        <v>45798</v>
      </c>
      <c r="C20251" s="1" t="n">
        <v>45810</v>
      </c>
      <c r="D20251" t="inlineStr">
        <is>
          <t>VÄRMLANDS LÄN</t>
        </is>
      </c>
      <c r="E20251" t="inlineStr">
        <is>
          <t>KRISTINEHAMN</t>
        </is>
      </c>
      <c r="G20251" t="n">
        <v>3</v>
      </c>
      <c r="H20251" t="n">
        <v>0</v>
      </c>
      <c r="I20251" t="n">
        <v>0</v>
      </c>
      <c r="J20251" t="n">
        <v>0</v>
      </c>
      <c r="K20251" t="n">
        <v>0</v>
      </c>
      <c r="L20251" t="n">
        <v>0</v>
      </c>
      <c r="M20251" t="n">
        <v>0</v>
      </c>
      <c r="N20251" t="n">
        <v>0</v>
      </c>
      <c r="O20251" t="n">
        <v>0</v>
      </c>
      <c r="P20251" t="n">
        <v>0</v>
      </c>
      <c r="Q20251" t="n">
        <v>0</v>
      </c>
      <c r="R20251" s="2" t="inlineStr"/>
    </row>
    <row r="20252" ht="15" customHeight="1">
      <c r="A20252" t="inlineStr">
        <is>
          <t>A 24655-2025</t>
        </is>
      </c>
      <c r="B20252" s="1" t="n">
        <v>45798</v>
      </c>
      <c r="C20252" s="1" t="n">
        <v>45810</v>
      </c>
      <c r="D20252" t="inlineStr">
        <is>
          <t>VÄRMLANDS LÄN</t>
        </is>
      </c>
      <c r="E20252" t="inlineStr">
        <is>
          <t>KRISTINEHAMN</t>
        </is>
      </c>
      <c r="G20252" t="n">
        <v>5.2</v>
      </c>
      <c r="H20252" t="n">
        <v>0</v>
      </c>
      <c r="I20252" t="n">
        <v>0</v>
      </c>
      <c r="J20252" t="n">
        <v>0</v>
      </c>
      <c r="K20252" t="n">
        <v>0</v>
      </c>
      <c r="L20252" t="n">
        <v>0</v>
      </c>
      <c r="M20252" t="n">
        <v>0</v>
      </c>
      <c r="N20252" t="n">
        <v>0</v>
      </c>
      <c r="O20252" t="n">
        <v>0</v>
      </c>
      <c r="P20252" t="n">
        <v>0</v>
      </c>
      <c r="Q20252" t="n">
        <v>0</v>
      </c>
      <c r="R20252" s="2" t="inlineStr"/>
    </row>
    <row r="20253" ht="15" customHeight="1">
      <c r="A20253" t="inlineStr">
        <is>
          <t>A 24494-2025</t>
        </is>
      </c>
      <c r="B20253" s="1" t="n">
        <v>45798</v>
      </c>
      <c r="C20253" s="1" t="n">
        <v>45810</v>
      </c>
      <c r="D20253" t="inlineStr">
        <is>
          <t>VÄRMLANDS LÄN</t>
        </is>
      </c>
      <c r="E20253" t="inlineStr">
        <is>
          <t>KIL</t>
        </is>
      </c>
      <c r="G20253" t="n">
        <v>2.8</v>
      </c>
      <c r="H20253" t="n">
        <v>0</v>
      </c>
      <c r="I20253" t="n">
        <v>0</v>
      </c>
      <c r="J20253" t="n">
        <v>0</v>
      </c>
      <c r="K20253" t="n">
        <v>0</v>
      </c>
      <c r="L20253" t="n">
        <v>0</v>
      </c>
      <c r="M20253" t="n">
        <v>0</v>
      </c>
      <c r="N20253" t="n">
        <v>0</v>
      </c>
      <c r="O20253" t="n">
        <v>0</v>
      </c>
      <c r="P20253" t="n">
        <v>0</v>
      </c>
      <c r="Q20253" t="n">
        <v>0</v>
      </c>
      <c r="R20253" s="2" t="inlineStr"/>
    </row>
    <row r="20254" ht="15" customHeight="1">
      <c r="A20254" t="inlineStr">
        <is>
          <t>A 25097-2025</t>
        </is>
      </c>
      <c r="B20254" s="1" t="n">
        <v>45798</v>
      </c>
      <c r="C20254" s="1" t="n">
        <v>45810</v>
      </c>
      <c r="D20254" t="inlineStr">
        <is>
          <t>VÄRMLANDS LÄN</t>
        </is>
      </c>
      <c r="E20254" t="inlineStr">
        <is>
          <t>KARLSTAD</t>
        </is>
      </c>
      <c r="F20254" t="inlineStr">
        <is>
          <t>Kommuner</t>
        </is>
      </c>
      <c r="G20254" t="n">
        <v>1.2</v>
      </c>
      <c r="H20254" t="n">
        <v>0</v>
      </c>
      <c r="I20254" t="n">
        <v>0</v>
      </c>
      <c r="J20254" t="n">
        <v>0</v>
      </c>
      <c r="K20254" t="n">
        <v>0</v>
      </c>
      <c r="L20254" t="n">
        <v>0</v>
      </c>
      <c r="M20254" t="n">
        <v>0</v>
      </c>
      <c r="N20254" t="n">
        <v>0</v>
      </c>
      <c r="O20254" t="n">
        <v>0</v>
      </c>
      <c r="P20254" t="n">
        <v>0</v>
      </c>
      <c r="Q20254" t="n">
        <v>0</v>
      </c>
      <c r="R20254" s="2" t="inlineStr"/>
    </row>
    <row r="20255" ht="15" customHeight="1">
      <c r="A20255" t="inlineStr">
        <is>
          <t>A 24486-2025</t>
        </is>
      </c>
      <c r="B20255" s="1" t="n">
        <v>45798</v>
      </c>
      <c r="C20255" s="1" t="n">
        <v>45810</v>
      </c>
      <c r="D20255" t="inlineStr">
        <is>
          <t>VÄRMLANDS LÄN</t>
        </is>
      </c>
      <c r="E20255" t="inlineStr">
        <is>
          <t>SÄFFLE</t>
        </is>
      </c>
      <c r="F20255" t="inlineStr">
        <is>
          <t>Bergvik skog väst AB</t>
        </is>
      </c>
      <c r="G20255" t="n">
        <v>3</v>
      </c>
      <c r="H20255" t="n">
        <v>0</v>
      </c>
      <c r="I20255" t="n">
        <v>0</v>
      </c>
      <c r="J20255" t="n">
        <v>0</v>
      </c>
      <c r="K20255" t="n">
        <v>0</v>
      </c>
      <c r="L20255" t="n">
        <v>0</v>
      </c>
      <c r="M20255" t="n">
        <v>0</v>
      </c>
      <c r="N20255" t="n">
        <v>0</v>
      </c>
      <c r="O20255" t="n">
        <v>0</v>
      </c>
      <c r="P20255" t="n">
        <v>0</v>
      </c>
      <c r="Q20255" t="n">
        <v>0</v>
      </c>
      <c r="R20255" s="2" t="inlineStr"/>
    </row>
    <row r="20256" ht="15" customHeight="1">
      <c r="A20256" t="inlineStr">
        <is>
          <t>A 24445-2025</t>
        </is>
      </c>
      <c r="B20256" s="1" t="n">
        <v>45798</v>
      </c>
      <c r="C20256" s="1" t="n">
        <v>45810</v>
      </c>
      <c r="D20256" t="inlineStr">
        <is>
          <t>VÄRMLANDS LÄN</t>
        </is>
      </c>
      <c r="E20256" t="inlineStr">
        <is>
          <t>ÅRJÄNG</t>
        </is>
      </c>
      <c r="G20256" t="n">
        <v>6.4</v>
      </c>
      <c r="H20256" t="n">
        <v>0</v>
      </c>
      <c r="I20256" t="n">
        <v>0</v>
      </c>
      <c r="J20256" t="n">
        <v>0</v>
      </c>
      <c r="K20256" t="n">
        <v>0</v>
      </c>
      <c r="L20256" t="n">
        <v>0</v>
      </c>
      <c r="M20256" t="n">
        <v>0</v>
      </c>
      <c r="N20256" t="n">
        <v>0</v>
      </c>
      <c r="O20256" t="n">
        <v>0</v>
      </c>
      <c r="P20256" t="n">
        <v>0</v>
      </c>
      <c r="Q20256" t="n">
        <v>0</v>
      </c>
      <c r="R20256" s="2" t="inlineStr"/>
    </row>
    <row r="20257" ht="15" customHeight="1">
      <c r="A20257" t="inlineStr">
        <is>
          <t>A 24724-2025</t>
        </is>
      </c>
      <c r="B20257" s="1" t="n">
        <v>45799</v>
      </c>
      <c r="C20257" s="1" t="n">
        <v>45810</v>
      </c>
      <c r="D20257" t="inlineStr">
        <is>
          <t>VÄRMLANDS LÄN</t>
        </is>
      </c>
      <c r="E20257" t="inlineStr">
        <is>
          <t>FILIPSTAD</t>
        </is>
      </c>
      <c r="G20257" t="n">
        <v>0.7</v>
      </c>
      <c r="H20257" t="n">
        <v>0</v>
      </c>
      <c r="I20257" t="n">
        <v>0</v>
      </c>
      <c r="J20257" t="n">
        <v>0</v>
      </c>
      <c r="K20257" t="n">
        <v>0</v>
      </c>
      <c r="L20257" t="n">
        <v>0</v>
      </c>
      <c r="M20257" t="n">
        <v>0</v>
      </c>
      <c r="N20257" t="n">
        <v>0</v>
      </c>
      <c r="O20257" t="n">
        <v>0</v>
      </c>
      <c r="P20257" t="n">
        <v>0</v>
      </c>
      <c r="Q20257" t="n">
        <v>0</v>
      </c>
      <c r="R20257" s="2" t="inlineStr"/>
    </row>
    <row r="20258" ht="15" customHeight="1">
      <c r="A20258" t="inlineStr">
        <is>
          <t>A 24755-2025</t>
        </is>
      </c>
      <c r="B20258" s="1" t="n">
        <v>45799</v>
      </c>
      <c r="C20258" s="1" t="n">
        <v>45810</v>
      </c>
      <c r="D20258" t="inlineStr">
        <is>
          <t>VÄRMLANDS LÄN</t>
        </is>
      </c>
      <c r="E20258" t="inlineStr">
        <is>
          <t>STORFORS</t>
        </is>
      </c>
      <c r="F20258" t="inlineStr">
        <is>
          <t>Bergvik skog väst AB</t>
        </is>
      </c>
      <c r="G20258" t="n">
        <v>6.3</v>
      </c>
      <c r="H20258" t="n">
        <v>0</v>
      </c>
      <c r="I20258" t="n">
        <v>0</v>
      </c>
      <c r="J20258" t="n">
        <v>0</v>
      </c>
      <c r="K20258" t="n">
        <v>0</v>
      </c>
      <c r="L20258" t="n">
        <v>0</v>
      </c>
      <c r="M20258" t="n">
        <v>0</v>
      </c>
      <c r="N20258" t="n">
        <v>0</v>
      </c>
      <c r="O20258" t="n">
        <v>0</v>
      </c>
      <c r="P20258" t="n">
        <v>0</v>
      </c>
      <c r="Q20258" t="n">
        <v>0</v>
      </c>
      <c r="R20258" s="2" t="inlineStr"/>
    </row>
    <row r="20259" ht="15" customHeight="1">
      <c r="A20259" t="inlineStr">
        <is>
          <t>A 24773-2025</t>
        </is>
      </c>
      <c r="B20259" s="1" t="n">
        <v>45799</v>
      </c>
      <c r="C20259" s="1" t="n">
        <v>45810</v>
      </c>
      <c r="D20259" t="inlineStr">
        <is>
          <t>VÄRMLANDS LÄN</t>
        </is>
      </c>
      <c r="E20259" t="inlineStr">
        <is>
          <t>STORFORS</t>
        </is>
      </c>
      <c r="F20259" t="inlineStr">
        <is>
          <t>Bergvik skog väst AB</t>
        </is>
      </c>
      <c r="G20259" t="n">
        <v>1.7</v>
      </c>
      <c r="H20259" t="n">
        <v>0</v>
      </c>
      <c r="I20259" t="n">
        <v>0</v>
      </c>
      <c r="J20259" t="n">
        <v>0</v>
      </c>
      <c r="K20259" t="n">
        <v>0</v>
      </c>
      <c r="L20259" t="n">
        <v>0</v>
      </c>
      <c r="M20259" t="n">
        <v>0</v>
      </c>
      <c r="N20259" t="n">
        <v>0</v>
      </c>
      <c r="O20259" t="n">
        <v>0</v>
      </c>
      <c r="P20259" t="n">
        <v>0</v>
      </c>
      <c r="Q20259" t="n">
        <v>0</v>
      </c>
      <c r="R20259" s="2" t="inlineStr"/>
    </row>
    <row r="20260" ht="15" customHeight="1">
      <c r="A20260" t="inlineStr">
        <is>
          <t>A 24978-2025</t>
        </is>
      </c>
      <c r="B20260" s="1" t="n">
        <v>45799</v>
      </c>
      <c r="C20260" s="1" t="n">
        <v>45810</v>
      </c>
      <c r="D20260" t="inlineStr">
        <is>
          <t>VÄRMLANDS LÄN</t>
        </is>
      </c>
      <c r="E20260" t="inlineStr">
        <is>
          <t>HAGFORS</t>
        </is>
      </c>
      <c r="F20260" t="inlineStr">
        <is>
          <t>Bergvik skog väst AB</t>
        </is>
      </c>
      <c r="G20260" t="n">
        <v>3.1</v>
      </c>
      <c r="H20260" t="n">
        <v>0</v>
      </c>
      <c r="I20260" t="n">
        <v>0</v>
      </c>
      <c r="J20260" t="n">
        <v>0</v>
      </c>
      <c r="K20260" t="n">
        <v>0</v>
      </c>
      <c r="L20260" t="n">
        <v>0</v>
      </c>
      <c r="M20260" t="n">
        <v>0</v>
      </c>
      <c r="N20260" t="n">
        <v>0</v>
      </c>
      <c r="O20260" t="n">
        <v>0</v>
      </c>
      <c r="P20260" t="n">
        <v>0</v>
      </c>
      <c r="Q20260" t="n">
        <v>0</v>
      </c>
      <c r="R20260" s="2" t="inlineStr"/>
    </row>
    <row r="20261" ht="15" customHeight="1">
      <c r="A20261" t="inlineStr">
        <is>
          <t>A 24827-2025</t>
        </is>
      </c>
      <c r="B20261" s="1" t="n">
        <v>45799</v>
      </c>
      <c r="C20261" s="1" t="n">
        <v>45810</v>
      </c>
      <c r="D20261" t="inlineStr">
        <is>
          <t>VÄRMLANDS LÄN</t>
        </is>
      </c>
      <c r="E20261" t="inlineStr">
        <is>
          <t>TORSBY</t>
        </is>
      </c>
      <c r="G20261" t="n">
        <v>27.5</v>
      </c>
      <c r="H20261" t="n">
        <v>0</v>
      </c>
      <c r="I20261" t="n">
        <v>0</v>
      </c>
      <c r="J20261" t="n">
        <v>0</v>
      </c>
      <c r="K20261" t="n">
        <v>0</v>
      </c>
      <c r="L20261" t="n">
        <v>0</v>
      </c>
      <c r="M20261" t="n">
        <v>0</v>
      </c>
      <c r="N20261" t="n">
        <v>0</v>
      </c>
      <c r="O20261" t="n">
        <v>0</v>
      </c>
      <c r="P20261" t="n">
        <v>0</v>
      </c>
      <c r="Q20261" t="n">
        <v>0</v>
      </c>
      <c r="R20261" s="2" t="inlineStr"/>
    </row>
    <row r="20262" ht="15" customHeight="1">
      <c r="A20262" t="inlineStr">
        <is>
          <t>A 24768-2025</t>
        </is>
      </c>
      <c r="B20262" s="1" t="n">
        <v>45799</v>
      </c>
      <c r="C20262" s="1" t="n">
        <v>45810</v>
      </c>
      <c r="D20262" t="inlineStr">
        <is>
          <t>VÄRMLANDS LÄN</t>
        </is>
      </c>
      <c r="E20262" t="inlineStr">
        <is>
          <t>KARLSTAD</t>
        </is>
      </c>
      <c r="G20262" t="n">
        <v>0.9</v>
      </c>
      <c r="H20262" t="n">
        <v>0</v>
      </c>
      <c r="I20262" t="n">
        <v>0</v>
      </c>
      <c r="J20262" t="n">
        <v>0</v>
      </c>
      <c r="K20262" t="n">
        <v>0</v>
      </c>
      <c r="L20262" t="n">
        <v>0</v>
      </c>
      <c r="M20262" t="n">
        <v>0</v>
      </c>
      <c r="N20262" t="n">
        <v>0</v>
      </c>
      <c r="O20262" t="n">
        <v>0</v>
      </c>
      <c r="P20262" t="n">
        <v>0</v>
      </c>
      <c r="Q20262" t="n">
        <v>0</v>
      </c>
      <c r="R20262" s="2" t="inlineStr"/>
    </row>
    <row r="20263" ht="15" customHeight="1">
      <c r="A20263" t="inlineStr">
        <is>
          <t>A 24793-2025</t>
        </is>
      </c>
      <c r="B20263" s="1" t="n">
        <v>45799</v>
      </c>
      <c r="C20263" s="1" t="n">
        <v>45810</v>
      </c>
      <c r="D20263" t="inlineStr">
        <is>
          <t>VÄRMLANDS LÄN</t>
        </is>
      </c>
      <c r="E20263" t="inlineStr">
        <is>
          <t>HAGFORS</t>
        </is>
      </c>
      <c r="G20263" t="n">
        <v>2</v>
      </c>
      <c r="H20263" t="n">
        <v>0</v>
      </c>
      <c r="I20263" t="n">
        <v>0</v>
      </c>
      <c r="J20263" t="n">
        <v>0</v>
      </c>
      <c r="K20263" t="n">
        <v>0</v>
      </c>
      <c r="L20263" t="n">
        <v>0</v>
      </c>
      <c r="M20263" t="n">
        <v>0</v>
      </c>
      <c r="N20263" t="n">
        <v>0</v>
      </c>
      <c r="O20263" t="n">
        <v>0</v>
      </c>
      <c r="P20263" t="n">
        <v>0</v>
      </c>
      <c r="Q20263" t="n">
        <v>0</v>
      </c>
      <c r="R20263" s="2" t="inlineStr"/>
    </row>
    <row r="20264" ht="15" customHeight="1">
      <c r="A20264" t="inlineStr">
        <is>
          <t>A 24977-2025</t>
        </is>
      </c>
      <c r="B20264" s="1" t="n">
        <v>45799</v>
      </c>
      <c r="C20264" s="1" t="n">
        <v>45810</v>
      </c>
      <c r="D20264" t="inlineStr">
        <is>
          <t>VÄRMLANDS LÄN</t>
        </is>
      </c>
      <c r="E20264" t="inlineStr">
        <is>
          <t>HAGFORS</t>
        </is>
      </c>
      <c r="F20264" t="inlineStr">
        <is>
          <t>Bergvik skog väst AB</t>
        </is>
      </c>
      <c r="G20264" t="n">
        <v>0.7</v>
      </c>
      <c r="H20264" t="n">
        <v>0</v>
      </c>
      <c r="I20264" t="n">
        <v>0</v>
      </c>
      <c r="J20264" t="n">
        <v>0</v>
      </c>
      <c r="K20264" t="n">
        <v>0</v>
      </c>
      <c r="L20264" t="n">
        <v>0</v>
      </c>
      <c r="M20264" t="n">
        <v>0</v>
      </c>
      <c r="N20264" t="n">
        <v>0</v>
      </c>
      <c r="O20264" t="n">
        <v>0</v>
      </c>
      <c r="P20264" t="n">
        <v>0</v>
      </c>
      <c r="Q20264" t="n">
        <v>0</v>
      </c>
      <c r="R20264" s="2" t="inlineStr"/>
    </row>
    <row r="20265" ht="15" customHeight="1">
      <c r="A20265" t="inlineStr">
        <is>
          <t>A 24982-2025</t>
        </is>
      </c>
      <c r="B20265" s="1" t="n">
        <v>45799</v>
      </c>
      <c r="C20265" s="1" t="n">
        <v>45810</v>
      </c>
      <c r="D20265" t="inlineStr">
        <is>
          <t>VÄRMLANDS LÄN</t>
        </is>
      </c>
      <c r="E20265" t="inlineStr">
        <is>
          <t>ARVIKA</t>
        </is>
      </c>
      <c r="G20265" t="n">
        <v>3.3</v>
      </c>
      <c r="H20265" t="n">
        <v>0</v>
      </c>
      <c r="I20265" t="n">
        <v>0</v>
      </c>
      <c r="J20265" t="n">
        <v>0</v>
      </c>
      <c r="K20265" t="n">
        <v>0</v>
      </c>
      <c r="L20265" t="n">
        <v>0</v>
      </c>
      <c r="M20265" t="n">
        <v>0</v>
      </c>
      <c r="N20265" t="n">
        <v>0</v>
      </c>
      <c r="O20265" t="n">
        <v>0</v>
      </c>
      <c r="P20265" t="n">
        <v>0</v>
      </c>
      <c r="Q20265" t="n">
        <v>0</v>
      </c>
      <c r="R20265" s="2" t="inlineStr"/>
    </row>
    <row r="20266" ht="15" customHeight="1">
      <c r="A20266" t="inlineStr">
        <is>
          <t>A 24804-2025</t>
        </is>
      </c>
      <c r="B20266" s="1" t="n">
        <v>45799</v>
      </c>
      <c r="C20266" s="1" t="n">
        <v>45810</v>
      </c>
      <c r="D20266" t="inlineStr">
        <is>
          <t>VÄRMLANDS LÄN</t>
        </is>
      </c>
      <c r="E20266" t="inlineStr">
        <is>
          <t>HAGFORS</t>
        </is>
      </c>
      <c r="F20266" t="inlineStr">
        <is>
          <t>Bergvik skog väst AB</t>
        </is>
      </c>
      <c r="G20266" t="n">
        <v>26.5</v>
      </c>
      <c r="H20266" t="n">
        <v>0</v>
      </c>
      <c r="I20266" t="n">
        <v>0</v>
      </c>
      <c r="J20266" t="n">
        <v>0</v>
      </c>
      <c r="K20266" t="n">
        <v>0</v>
      </c>
      <c r="L20266" t="n">
        <v>0</v>
      </c>
      <c r="M20266" t="n">
        <v>0</v>
      </c>
      <c r="N20266" t="n">
        <v>0</v>
      </c>
      <c r="O20266" t="n">
        <v>0</v>
      </c>
      <c r="P20266" t="n">
        <v>0</v>
      </c>
      <c r="Q20266" t="n">
        <v>0</v>
      </c>
      <c r="R20266" s="2" t="inlineStr"/>
    </row>
    <row r="20267" ht="15" customHeight="1">
      <c r="A20267" t="inlineStr">
        <is>
          <t>A 24857-2025</t>
        </is>
      </c>
      <c r="B20267" s="1" t="n">
        <v>45799</v>
      </c>
      <c r="C20267" s="1" t="n">
        <v>45810</v>
      </c>
      <c r="D20267" t="inlineStr">
        <is>
          <t>VÄRMLANDS LÄN</t>
        </is>
      </c>
      <c r="E20267" t="inlineStr">
        <is>
          <t>HAGFORS</t>
        </is>
      </c>
      <c r="F20267" t="inlineStr">
        <is>
          <t>Bergvik skog väst AB</t>
        </is>
      </c>
      <c r="G20267" t="n">
        <v>2.4</v>
      </c>
      <c r="H20267" t="n">
        <v>0</v>
      </c>
      <c r="I20267" t="n">
        <v>0</v>
      </c>
      <c r="J20267" t="n">
        <v>0</v>
      </c>
      <c r="K20267" t="n">
        <v>0</v>
      </c>
      <c r="L20267" t="n">
        <v>0</v>
      </c>
      <c r="M20267" t="n">
        <v>0</v>
      </c>
      <c r="N20267" t="n">
        <v>0</v>
      </c>
      <c r="O20267" t="n">
        <v>0</v>
      </c>
      <c r="P20267" t="n">
        <v>0</v>
      </c>
      <c r="Q20267" t="n">
        <v>0</v>
      </c>
      <c r="R20267" s="2" t="inlineStr"/>
    </row>
    <row r="20268" ht="15" customHeight="1">
      <c r="A20268" t="inlineStr">
        <is>
          <t>A 24895-2025</t>
        </is>
      </c>
      <c r="B20268" s="1" t="n">
        <v>45799</v>
      </c>
      <c r="C20268" s="1" t="n">
        <v>45810</v>
      </c>
      <c r="D20268" t="inlineStr">
        <is>
          <t>VÄRMLANDS LÄN</t>
        </is>
      </c>
      <c r="E20268" t="inlineStr">
        <is>
          <t>HAGFORS</t>
        </is>
      </c>
      <c r="G20268" t="n">
        <v>2.3</v>
      </c>
      <c r="H20268" t="n">
        <v>0</v>
      </c>
      <c r="I20268" t="n">
        <v>0</v>
      </c>
      <c r="J20268" t="n">
        <v>0</v>
      </c>
      <c r="K20268" t="n">
        <v>0</v>
      </c>
      <c r="L20268" t="n">
        <v>0</v>
      </c>
      <c r="M20268" t="n">
        <v>0</v>
      </c>
      <c r="N20268" t="n">
        <v>0</v>
      </c>
      <c r="O20268" t="n">
        <v>0</v>
      </c>
      <c r="P20268" t="n">
        <v>0</v>
      </c>
      <c r="Q20268" t="n">
        <v>0</v>
      </c>
      <c r="R20268" s="2" t="inlineStr"/>
    </row>
    <row r="20269" ht="15" customHeight="1">
      <c r="A20269" t="inlineStr">
        <is>
          <t>A 24967-2025</t>
        </is>
      </c>
      <c r="B20269" s="1" t="n">
        <v>45799</v>
      </c>
      <c r="C20269" s="1" t="n">
        <v>45810</v>
      </c>
      <c r="D20269" t="inlineStr">
        <is>
          <t>VÄRMLANDS LÄN</t>
        </is>
      </c>
      <c r="E20269" t="inlineStr">
        <is>
          <t>TORSBY</t>
        </is>
      </c>
      <c r="F20269" t="inlineStr">
        <is>
          <t>Bergvik skog väst AB</t>
        </is>
      </c>
      <c r="G20269" t="n">
        <v>17.6</v>
      </c>
      <c r="H20269" t="n">
        <v>0</v>
      </c>
      <c r="I20269" t="n">
        <v>0</v>
      </c>
      <c r="J20269" t="n">
        <v>0</v>
      </c>
      <c r="K20269" t="n">
        <v>0</v>
      </c>
      <c r="L20269" t="n">
        <v>0</v>
      </c>
      <c r="M20269" t="n">
        <v>0</v>
      </c>
      <c r="N20269" t="n">
        <v>0</v>
      </c>
      <c r="O20269" t="n">
        <v>0</v>
      </c>
      <c r="P20269" t="n">
        <v>0</v>
      </c>
      <c r="Q20269" t="n">
        <v>0</v>
      </c>
      <c r="R20269" s="2" t="inlineStr"/>
    </row>
    <row r="20270" ht="15" customHeight="1">
      <c r="A20270" t="inlineStr">
        <is>
          <t>A 25077-2025</t>
        </is>
      </c>
      <c r="B20270" s="1" t="n">
        <v>45799</v>
      </c>
      <c r="C20270" s="1" t="n">
        <v>45810</v>
      </c>
      <c r="D20270" t="inlineStr">
        <is>
          <t>VÄRMLANDS LÄN</t>
        </is>
      </c>
      <c r="E20270" t="inlineStr">
        <is>
          <t>ARVIKA</t>
        </is>
      </c>
      <c r="G20270" t="n">
        <v>2.8</v>
      </c>
      <c r="H20270" t="n">
        <v>0</v>
      </c>
      <c r="I20270" t="n">
        <v>0</v>
      </c>
      <c r="J20270" t="n">
        <v>0</v>
      </c>
      <c r="K20270" t="n">
        <v>0</v>
      </c>
      <c r="L20270" t="n">
        <v>0</v>
      </c>
      <c r="M20270" t="n">
        <v>0</v>
      </c>
      <c r="N20270" t="n">
        <v>0</v>
      </c>
      <c r="O20270" t="n">
        <v>0</v>
      </c>
      <c r="P20270" t="n">
        <v>0</v>
      </c>
      <c r="Q20270" t="n">
        <v>0</v>
      </c>
      <c r="R20270" s="2" t="inlineStr"/>
    </row>
    <row r="20271" ht="15" customHeight="1">
      <c r="A20271" t="inlineStr">
        <is>
          <t>A 24929-2025</t>
        </is>
      </c>
      <c r="B20271" s="1" t="n">
        <v>45799</v>
      </c>
      <c r="C20271" s="1" t="n">
        <v>45810</v>
      </c>
      <c r="D20271" t="inlineStr">
        <is>
          <t>VÄRMLANDS LÄN</t>
        </is>
      </c>
      <c r="E20271" t="inlineStr">
        <is>
          <t>HAGFORS</t>
        </is>
      </c>
      <c r="F20271" t="inlineStr">
        <is>
          <t>Bergvik skog väst AB</t>
        </is>
      </c>
      <c r="G20271" t="n">
        <v>6.5</v>
      </c>
      <c r="H20271" t="n">
        <v>0</v>
      </c>
      <c r="I20271" t="n">
        <v>0</v>
      </c>
      <c r="J20271" t="n">
        <v>0</v>
      </c>
      <c r="K20271" t="n">
        <v>0</v>
      </c>
      <c r="L20271" t="n">
        <v>0</v>
      </c>
      <c r="M20271" t="n">
        <v>0</v>
      </c>
      <c r="N20271" t="n">
        <v>0</v>
      </c>
      <c r="O20271" t="n">
        <v>0</v>
      </c>
      <c r="P20271" t="n">
        <v>0</v>
      </c>
      <c r="Q20271" t="n">
        <v>0</v>
      </c>
      <c r="R20271" s="2" t="inlineStr"/>
    </row>
    <row r="20272" ht="15" customHeight="1">
      <c r="A20272" t="inlineStr">
        <is>
          <t>A 24820-2025</t>
        </is>
      </c>
      <c r="B20272" s="1" t="n">
        <v>45799</v>
      </c>
      <c r="C20272" s="1" t="n">
        <v>45810</v>
      </c>
      <c r="D20272" t="inlineStr">
        <is>
          <t>VÄRMLANDS LÄN</t>
        </is>
      </c>
      <c r="E20272" t="inlineStr">
        <is>
          <t>STORFORS</t>
        </is>
      </c>
      <c r="F20272" t="inlineStr">
        <is>
          <t>Bergvik skog väst AB</t>
        </is>
      </c>
      <c r="G20272" t="n">
        <v>6.6</v>
      </c>
      <c r="H20272" t="n">
        <v>0</v>
      </c>
      <c r="I20272" t="n">
        <v>0</v>
      </c>
      <c r="J20272" t="n">
        <v>0</v>
      </c>
      <c r="K20272" t="n">
        <v>0</v>
      </c>
      <c r="L20272" t="n">
        <v>0</v>
      </c>
      <c r="M20272" t="n">
        <v>0</v>
      </c>
      <c r="N20272" t="n">
        <v>0</v>
      </c>
      <c r="O20272" t="n">
        <v>0</v>
      </c>
      <c r="P20272" t="n">
        <v>0</v>
      </c>
      <c r="Q20272" t="n">
        <v>0</v>
      </c>
      <c r="R20272" s="2" t="inlineStr"/>
    </row>
    <row r="20273" ht="15" customHeight="1">
      <c r="A20273" t="inlineStr">
        <is>
          <t>A 24826-2025</t>
        </is>
      </c>
      <c r="B20273" s="1" t="n">
        <v>45799</v>
      </c>
      <c r="C20273" s="1" t="n">
        <v>45810</v>
      </c>
      <c r="D20273" t="inlineStr">
        <is>
          <t>VÄRMLANDS LÄN</t>
        </is>
      </c>
      <c r="E20273" t="inlineStr">
        <is>
          <t>STORFORS</t>
        </is>
      </c>
      <c r="F20273" t="inlineStr">
        <is>
          <t>Bergvik skog väst AB</t>
        </is>
      </c>
      <c r="G20273" t="n">
        <v>5.8</v>
      </c>
      <c r="H20273" t="n">
        <v>0</v>
      </c>
      <c r="I20273" t="n">
        <v>0</v>
      </c>
      <c r="J20273" t="n">
        <v>0</v>
      </c>
      <c r="K20273" t="n">
        <v>0</v>
      </c>
      <c r="L20273" t="n">
        <v>0</v>
      </c>
      <c r="M20273" t="n">
        <v>0</v>
      </c>
      <c r="N20273" t="n">
        <v>0</v>
      </c>
      <c r="O20273" t="n">
        <v>0</v>
      </c>
      <c r="P20273" t="n">
        <v>0</v>
      </c>
      <c r="Q20273" t="n">
        <v>0</v>
      </c>
      <c r="R20273" s="2" t="inlineStr"/>
    </row>
    <row r="20274" ht="15" customHeight="1">
      <c r="A20274" t="inlineStr">
        <is>
          <t>A 25031-2025</t>
        </is>
      </c>
      <c r="B20274" s="1" t="n">
        <v>45799</v>
      </c>
      <c r="C20274" s="1" t="n">
        <v>45810</v>
      </c>
      <c r="D20274" t="inlineStr">
        <is>
          <t>VÄRMLANDS LÄN</t>
        </is>
      </c>
      <c r="E20274" t="inlineStr">
        <is>
          <t>HAGFORS</t>
        </is>
      </c>
      <c r="F20274" t="inlineStr">
        <is>
          <t>Bergvik skog väst AB</t>
        </is>
      </c>
      <c r="G20274" t="n">
        <v>4</v>
      </c>
      <c r="H20274" t="n">
        <v>0</v>
      </c>
      <c r="I20274" t="n">
        <v>0</v>
      </c>
      <c r="J20274" t="n">
        <v>0</v>
      </c>
      <c r="K20274" t="n">
        <v>0</v>
      </c>
      <c r="L20274" t="n">
        <v>0</v>
      </c>
      <c r="M20274" t="n">
        <v>0</v>
      </c>
      <c r="N20274" t="n">
        <v>0</v>
      </c>
      <c r="O20274" t="n">
        <v>0</v>
      </c>
      <c r="P20274" t="n">
        <v>0</v>
      </c>
      <c r="Q20274" t="n">
        <v>0</v>
      </c>
      <c r="R20274" s="2" t="inlineStr"/>
    </row>
    <row r="20275" ht="15" customHeight="1">
      <c r="A20275" t="inlineStr">
        <is>
          <t>A 25001-2025</t>
        </is>
      </c>
      <c r="B20275" s="1" t="n">
        <v>45799</v>
      </c>
      <c r="C20275" s="1" t="n">
        <v>45810</v>
      </c>
      <c r="D20275" t="inlineStr">
        <is>
          <t>VÄRMLANDS LÄN</t>
        </is>
      </c>
      <c r="E20275" t="inlineStr">
        <is>
          <t>STORFORS</t>
        </is>
      </c>
      <c r="F20275" t="inlineStr">
        <is>
          <t>Bergvik skog väst AB</t>
        </is>
      </c>
      <c r="G20275" t="n">
        <v>21.6</v>
      </c>
      <c r="H20275" t="n">
        <v>0</v>
      </c>
      <c r="I20275" t="n">
        <v>0</v>
      </c>
      <c r="J20275" t="n">
        <v>0</v>
      </c>
      <c r="K20275" t="n">
        <v>0</v>
      </c>
      <c r="L20275" t="n">
        <v>0</v>
      </c>
      <c r="M20275" t="n">
        <v>0</v>
      </c>
      <c r="N20275" t="n">
        <v>0</v>
      </c>
      <c r="O20275" t="n">
        <v>0</v>
      </c>
      <c r="P20275" t="n">
        <v>0</v>
      </c>
      <c r="Q20275" t="n">
        <v>0</v>
      </c>
      <c r="R20275" s="2" t="inlineStr"/>
    </row>
    <row r="20276" ht="15" customHeight="1">
      <c r="A20276" t="inlineStr">
        <is>
          <t>A 24772-2025</t>
        </is>
      </c>
      <c r="B20276" s="1" t="n">
        <v>45799</v>
      </c>
      <c r="C20276" s="1" t="n">
        <v>45810</v>
      </c>
      <c r="D20276" t="inlineStr">
        <is>
          <t>VÄRMLANDS LÄN</t>
        </is>
      </c>
      <c r="E20276" t="inlineStr">
        <is>
          <t>KARLSTAD</t>
        </is>
      </c>
      <c r="G20276" t="n">
        <v>1</v>
      </c>
      <c r="H20276" t="n">
        <v>0</v>
      </c>
      <c r="I20276" t="n">
        <v>0</v>
      </c>
      <c r="J20276" t="n">
        <v>0</v>
      </c>
      <c r="K20276" t="n">
        <v>0</v>
      </c>
      <c r="L20276" t="n">
        <v>0</v>
      </c>
      <c r="M20276" t="n">
        <v>0</v>
      </c>
      <c r="N20276" t="n">
        <v>0</v>
      </c>
      <c r="O20276" t="n">
        <v>0</v>
      </c>
      <c r="P20276" t="n">
        <v>0</v>
      </c>
      <c r="Q20276" t="n">
        <v>0</v>
      </c>
      <c r="R20276" s="2" t="inlineStr"/>
    </row>
    <row r="20277" ht="15" customHeight="1">
      <c r="A20277" t="inlineStr">
        <is>
          <t>A 25050-2025</t>
        </is>
      </c>
      <c r="B20277" s="1" t="n">
        <v>45799</v>
      </c>
      <c r="C20277" s="1" t="n">
        <v>45810</v>
      </c>
      <c r="D20277" t="inlineStr">
        <is>
          <t>VÄRMLANDS LÄN</t>
        </is>
      </c>
      <c r="E20277" t="inlineStr">
        <is>
          <t>TORSBY</t>
        </is>
      </c>
      <c r="F20277" t="inlineStr">
        <is>
          <t>Bergvik skog väst AB</t>
        </is>
      </c>
      <c r="G20277" t="n">
        <v>39.7</v>
      </c>
      <c r="H20277" t="n">
        <v>0</v>
      </c>
      <c r="I20277" t="n">
        <v>0</v>
      </c>
      <c r="J20277" t="n">
        <v>0</v>
      </c>
      <c r="K20277" t="n">
        <v>0</v>
      </c>
      <c r="L20277" t="n">
        <v>0</v>
      </c>
      <c r="M20277" t="n">
        <v>0</v>
      </c>
      <c r="N20277" t="n">
        <v>0</v>
      </c>
      <c r="O20277" t="n">
        <v>0</v>
      </c>
      <c r="P20277" t="n">
        <v>0</v>
      </c>
      <c r="Q20277" t="n">
        <v>0</v>
      </c>
      <c r="R20277" s="2" t="inlineStr"/>
    </row>
    <row r="20278" ht="15" customHeight="1">
      <c r="A20278" t="inlineStr">
        <is>
          <t>A 24757-2025</t>
        </is>
      </c>
      <c r="B20278" s="1" t="n">
        <v>45799</v>
      </c>
      <c r="C20278" s="1" t="n">
        <v>45810</v>
      </c>
      <c r="D20278" t="inlineStr">
        <is>
          <t>VÄRMLANDS LÄN</t>
        </is>
      </c>
      <c r="E20278" t="inlineStr">
        <is>
          <t>TORSBY</t>
        </is>
      </c>
      <c r="G20278" t="n">
        <v>2.1</v>
      </c>
      <c r="H20278" t="n">
        <v>0</v>
      </c>
      <c r="I20278" t="n">
        <v>0</v>
      </c>
      <c r="J20278" t="n">
        <v>0</v>
      </c>
      <c r="K20278" t="n">
        <v>0</v>
      </c>
      <c r="L20278" t="n">
        <v>0</v>
      </c>
      <c r="M20278" t="n">
        <v>0</v>
      </c>
      <c r="N20278" t="n">
        <v>0</v>
      </c>
      <c r="O20278" t="n">
        <v>0</v>
      </c>
      <c r="P20278" t="n">
        <v>0</v>
      </c>
      <c r="Q20278" t="n">
        <v>0</v>
      </c>
      <c r="R20278" s="2" t="inlineStr"/>
    </row>
    <row r="20279" ht="15" customHeight="1">
      <c r="A20279" t="inlineStr">
        <is>
          <t>A 25079-2025</t>
        </is>
      </c>
      <c r="B20279" s="1" t="n">
        <v>45799</v>
      </c>
      <c r="C20279" s="1" t="n">
        <v>45810</v>
      </c>
      <c r="D20279" t="inlineStr">
        <is>
          <t>VÄRMLANDS LÄN</t>
        </is>
      </c>
      <c r="E20279" t="inlineStr">
        <is>
          <t>ARVIKA</t>
        </is>
      </c>
      <c r="G20279" t="n">
        <v>0.8</v>
      </c>
      <c r="H20279" t="n">
        <v>0</v>
      </c>
      <c r="I20279" t="n">
        <v>0</v>
      </c>
      <c r="J20279" t="n">
        <v>0</v>
      </c>
      <c r="K20279" t="n">
        <v>0</v>
      </c>
      <c r="L20279" t="n">
        <v>0</v>
      </c>
      <c r="M20279" t="n">
        <v>0</v>
      </c>
      <c r="N20279" t="n">
        <v>0</v>
      </c>
      <c r="O20279" t="n">
        <v>0</v>
      </c>
      <c r="P20279" t="n">
        <v>0</v>
      </c>
      <c r="Q20279" t="n">
        <v>0</v>
      </c>
      <c r="R20279" s="2" t="inlineStr"/>
    </row>
    <row r="20280" ht="15" customHeight="1">
      <c r="A20280" t="inlineStr">
        <is>
          <t>A 25027-2025</t>
        </is>
      </c>
      <c r="B20280" s="1" t="n">
        <v>45799</v>
      </c>
      <c r="C20280" s="1" t="n">
        <v>45810</v>
      </c>
      <c r="D20280" t="inlineStr">
        <is>
          <t>VÄRMLANDS LÄN</t>
        </is>
      </c>
      <c r="E20280" t="inlineStr">
        <is>
          <t>SÄFFLE</t>
        </is>
      </c>
      <c r="G20280" t="n">
        <v>4.1</v>
      </c>
      <c r="H20280" t="n">
        <v>0</v>
      </c>
      <c r="I20280" t="n">
        <v>0</v>
      </c>
      <c r="J20280" t="n">
        <v>0</v>
      </c>
      <c r="K20280" t="n">
        <v>0</v>
      </c>
      <c r="L20280" t="n">
        <v>0</v>
      </c>
      <c r="M20280" t="n">
        <v>0</v>
      </c>
      <c r="N20280" t="n">
        <v>0</v>
      </c>
      <c r="O20280" t="n">
        <v>0</v>
      </c>
      <c r="P20280" t="n">
        <v>0</v>
      </c>
      <c r="Q20280" t="n">
        <v>0</v>
      </c>
      <c r="R20280" s="2" t="inlineStr"/>
    </row>
    <row r="20281" ht="15" customHeight="1">
      <c r="A20281" t="inlineStr">
        <is>
          <t>A 24859-2025</t>
        </is>
      </c>
      <c r="B20281" s="1" t="n">
        <v>45799</v>
      </c>
      <c r="C20281" s="1" t="n">
        <v>45810</v>
      </c>
      <c r="D20281" t="inlineStr">
        <is>
          <t>VÄRMLANDS LÄN</t>
        </is>
      </c>
      <c r="E20281" t="inlineStr">
        <is>
          <t>SUNNE</t>
        </is>
      </c>
      <c r="G20281" t="n">
        <v>2.5</v>
      </c>
      <c r="H20281" t="n">
        <v>0</v>
      </c>
      <c r="I20281" t="n">
        <v>0</v>
      </c>
      <c r="J20281" t="n">
        <v>0</v>
      </c>
      <c r="K20281" t="n">
        <v>0</v>
      </c>
      <c r="L20281" t="n">
        <v>0</v>
      </c>
      <c r="M20281" t="n">
        <v>0</v>
      </c>
      <c r="N20281" t="n">
        <v>0</v>
      </c>
      <c r="O20281" t="n">
        <v>0</v>
      </c>
      <c r="P20281" t="n">
        <v>0</v>
      </c>
      <c r="Q20281" t="n">
        <v>0</v>
      </c>
      <c r="R20281" s="2" t="inlineStr"/>
    </row>
    <row r="20282" ht="15" customHeight="1">
      <c r="A20282" t="inlineStr">
        <is>
          <t>A 24836-2025</t>
        </is>
      </c>
      <c r="B20282" s="1" t="n">
        <v>45799</v>
      </c>
      <c r="C20282" s="1" t="n">
        <v>45810</v>
      </c>
      <c r="D20282" t="inlineStr">
        <is>
          <t>VÄRMLANDS LÄN</t>
        </is>
      </c>
      <c r="E20282" t="inlineStr">
        <is>
          <t>STORFORS</t>
        </is>
      </c>
      <c r="F20282" t="inlineStr">
        <is>
          <t>Bergvik skog väst AB</t>
        </is>
      </c>
      <c r="G20282" t="n">
        <v>6</v>
      </c>
      <c r="H20282" t="n">
        <v>0</v>
      </c>
      <c r="I20282" t="n">
        <v>0</v>
      </c>
      <c r="J20282" t="n">
        <v>0</v>
      </c>
      <c r="K20282" t="n">
        <v>0</v>
      </c>
      <c r="L20282" t="n">
        <v>0</v>
      </c>
      <c r="M20282" t="n">
        <v>0</v>
      </c>
      <c r="N20282" t="n">
        <v>0</v>
      </c>
      <c r="O20282" t="n">
        <v>0</v>
      </c>
      <c r="P20282" t="n">
        <v>0</v>
      </c>
      <c r="Q20282" t="n">
        <v>0</v>
      </c>
      <c r="R20282" s="2" t="inlineStr"/>
    </row>
    <row r="20283" ht="15" customHeight="1">
      <c r="A20283" t="inlineStr">
        <is>
          <t>A 24926-2025</t>
        </is>
      </c>
      <c r="B20283" s="1" t="n">
        <v>45799</v>
      </c>
      <c r="C20283" s="1" t="n">
        <v>45810</v>
      </c>
      <c r="D20283" t="inlineStr">
        <is>
          <t>VÄRMLANDS LÄN</t>
        </is>
      </c>
      <c r="E20283" t="inlineStr">
        <is>
          <t>KRISTINEHAMN</t>
        </is>
      </c>
      <c r="F20283" t="inlineStr">
        <is>
          <t>Sveaskog</t>
        </is>
      </c>
      <c r="G20283" t="n">
        <v>4.5</v>
      </c>
      <c r="H20283" t="n">
        <v>0</v>
      </c>
      <c r="I20283" t="n">
        <v>0</v>
      </c>
      <c r="J20283" t="n">
        <v>0</v>
      </c>
      <c r="K20283" t="n">
        <v>0</v>
      </c>
      <c r="L20283" t="n">
        <v>0</v>
      </c>
      <c r="M20283" t="n">
        <v>0</v>
      </c>
      <c r="N20283" t="n">
        <v>0</v>
      </c>
      <c r="O20283" t="n">
        <v>0</v>
      </c>
      <c r="P20283" t="n">
        <v>0</v>
      </c>
      <c r="Q20283" t="n">
        <v>0</v>
      </c>
      <c r="R20283" s="2" t="inlineStr"/>
    </row>
    <row r="20284" ht="15" customHeight="1">
      <c r="A20284" t="inlineStr">
        <is>
          <t>A 24964-2025</t>
        </is>
      </c>
      <c r="B20284" s="1" t="n">
        <v>45799</v>
      </c>
      <c r="C20284" s="1" t="n">
        <v>45810</v>
      </c>
      <c r="D20284" t="inlineStr">
        <is>
          <t>VÄRMLANDS LÄN</t>
        </is>
      </c>
      <c r="E20284" t="inlineStr">
        <is>
          <t>ÅRJÄNG</t>
        </is>
      </c>
      <c r="G20284" t="n">
        <v>1.2</v>
      </c>
      <c r="H20284" t="n">
        <v>0</v>
      </c>
      <c r="I20284" t="n">
        <v>0</v>
      </c>
      <c r="J20284" t="n">
        <v>0</v>
      </c>
      <c r="K20284" t="n">
        <v>0</v>
      </c>
      <c r="L20284" t="n">
        <v>0</v>
      </c>
      <c r="M20284" t="n">
        <v>0</v>
      </c>
      <c r="N20284" t="n">
        <v>0</v>
      </c>
      <c r="O20284" t="n">
        <v>0</v>
      </c>
      <c r="P20284" t="n">
        <v>0</v>
      </c>
      <c r="Q20284" t="n">
        <v>0</v>
      </c>
      <c r="R20284" s="2" t="inlineStr"/>
    </row>
    <row r="20285" ht="15" customHeight="1">
      <c r="A20285" t="inlineStr">
        <is>
          <t>A 25051-2025</t>
        </is>
      </c>
      <c r="B20285" s="1" t="n">
        <v>45799</v>
      </c>
      <c r="C20285" s="1" t="n">
        <v>45810</v>
      </c>
      <c r="D20285" t="inlineStr">
        <is>
          <t>VÄRMLANDS LÄN</t>
        </is>
      </c>
      <c r="E20285" t="inlineStr">
        <is>
          <t>HAGFORS</t>
        </is>
      </c>
      <c r="F20285" t="inlineStr">
        <is>
          <t>Bergvik skog väst AB</t>
        </is>
      </c>
      <c r="G20285" t="n">
        <v>21.4</v>
      </c>
      <c r="H20285" t="n">
        <v>0</v>
      </c>
      <c r="I20285" t="n">
        <v>0</v>
      </c>
      <c r="J20285" t="n">
        <v>0</v>
      </c>
      <c r="K20285" t="n">
        <v>0</v>
      </c>
      <c r="L20285" t="n">
        <v>0</v>
      </c>
      <c r="M20285" t="n">
        <v>0</v>
      </c>
      <c r="N20285" t="n">
        <v>0</v>
      </c>
      <c r="O20285" t="n">
        <v>0</v>
      </c>
      <c r="P20285" t="n">
        <v>0</v>
      </c>
      <c r="Q20285" t="n">
        <v>0</v>
      </c>
      <c r="R20285" s="2" t="inlineStr"/>
    </row>
    <row r="20286" ht="15" customHeight="1">
      <c r="A20286" t="inlineStr">
        <is>
          <t>A 24970-2025</t>
        </is>
      </c>
      <c r="B20286" s="1" t="n">
        <v>45799</v>
      </c>
      <c r="C20286" s="1" t="n">
        <v>45810</v>
      </c>
      <c r="D20286" t="inlineStr">
        <is>
          <t>VÄRMLANDS LÄN</t>
        </is>
      </c>
      <c r="E20286" t="inlineStr">
        <is>
          <t>KRISTINEHAMN</t>
        </is>
      </c>
      <c r="F20286" t="inlineStr">
        <is>
          <t>Sveaskog</t>
        </is>
      </c>
      <c r="G20286" t="n">
        <v>0.8</v>
      </c>
      <c r="H20286" t="n">
        <v>0</v>
      </c>
      <c r="I20286" t="n">
        <v>0</v>
      </c>
      <c r="J20286" t="n">
        <v>0</v>
      </c>
      <c r="K20286" t="n">
        <v>0</v>
      </c>
      <c r="L20286" t="n">
        <v>0</v>
      </c>
      <c r="M20286" t="n">
        <v>0</v>
      </c>
      <c r="N20286" t="n">
        <v>0</v>
      </c>
      <c r="O20286" t="n">
        <v>0</v>
      </c>
      <c r="P20286" t="n">
        <v>0</v>
      </c>
      <c r="Q20286" t="n">
        <v>0</v>
      </c>
      <c r="R20286" s="2" t="inlineStr"/>
    </row>
    <row r="20287" ht="15" customHeight="1">
      <c r="A20287" t="inlineStr">
        <is>
          <t>A 24983-2025</t>
        </is>
      </c>
      <c r="B20287" s="1" t="n">
        <v>45799</v>
      </c>
      <c r="C20287" s="1" t="n">
        <v>45810</v>
      </c>
      <c r="D20287" t="inlineStr">
        <is>
          <t>VÄRMLANDS LÄN</t>
        </is>
      </c>
      <c r="E20287" t="inlineStr">
        <is>
          <t>ÅRJÄNG</t>
        </is>
      </c>
      <c r="G20287" t="n">
        <v>1.5</v>
      </c>
      <c r="H20287" t="n">
        <v>0</v>
      </c>
      <c r="I20287" t="n">
        <v>0</v>
      </c>
      <c r="J20287" t="n">
        <v>0</v>
      </c>
      <c r="K20287" t="n">
        <v>0</v>
      </c>
      <c r="L20287" t="n">
        <v>0</v>
      </c>
      <c r="M20287" t="n">
        <v>0</v>
      </c>
      <c r="N20287" t="n">
        <v>0</v>
      </c>
      <c r="O20287" t="n">
        <v>0</v>
      </c>
      <c r="P20287" t="n">
        <v>0</v>
      </c>
      <c r="Q20287" t="n">
        <v>0</v>
      </c>
      <c r="R20287" s="2" t="inlineStr"/>
    </row>
    <row r="20288" ht="15" customHeight="1">
      <c r="A20288" t="inlineStr">
        <is>
          <t>A 25078-2025</t>
        </is>
      </c>
      <c r="B20288" s="1" t="n">
        <v>45799</v>
      </c>
      <c r="C20288" s="1" t="n">
        <v>45810</v>
      </c>
      <c r="D20288" t="inlineStr">
        <is>
          <t>VÄRMLANDS LÄN</t>
        </is>
      </c>
      <c r="E20288" t="inlineStr">
        <is>
          <t>ARVIKA</t>
        </is>
      </c>
      <c r="G20288" t="n">
        <v>3.1</v>
      </c>
      <c r="H20288" t="n">
        <v>0</v>
      </c>
      <c r="I20288" t="n">
        <v>0</v>
      </c>
      <c r="J20288" t="n">
        <v>0</v>
      </c>
      <c r="K20288" t="n">
        <v>0</v>
      </c>
      <c r="L20288" t="n">
        <v>0</v>
      </c>
      <c r="M20288" t="n">
        <v>0</v>
      </c>
      <c r="N20288" t="n">
        <v>0</v>
      </c>
      <c r="O20288" t="n">
        <v>0</v>
      </c>
      <c r="P20288" t="n">
        <v>0</v>
      </c>
      <c r="Q20288" t="n">
        <v>0</v>
      </c>
      <c r="R20288" s="2" t="inlineStr"/>
    </row>
    <row r="20289" ht="15" customHeight="1">
      <c r="A20289" t="inlineStr">
        <is>
          <t>A 24726-2025</t>
        </is>
      </c>
      <c r="B20289" s="1" t="n">
        <v>45799</v>
      </c>
      <c r="C20289" s="1" t="n">
        <v>45810</v>
      </c>
      <c r="D20289" t="inlineStr">
        <is>
          <t>VÄRMLANDS LÄN</t>
        </is>
      </c>
      <c r="E20289" t="inlineStr">
        <is>
          <t>TORSBY</t>
        </is>
      </c>
      <c r="G20289" t="n">
        <v>4.8</v>
      </c>
      <c r="H20289" t="n">
        <v>0</v>
      </c>
      <c r="I20289" t="n">
        <v>0</v>
      </c>
      <c r="J20289" t="n">
        <v>0</v>
      </c>
      <c r="K20289" t="n">
        <v>0</v>
      </c>
      <c r="L20289" t="n">
        <v>0</v>
      </c>
      <c r="M20289" t="n">
        <v>0</v>
      </c>
      <c r="N20289" t="n">
        <v>0</v>
      </c>
      <c r="O20289" t="n">
        <v>0</v>
      </c>
      <c r="P20289" t="n">
        <v>0</v>
      </c>
      <c r="Q20289" t="n">
        <v>0</v>
      </c>
      <c r="R20289" s="2" t="inlineStr"/>
    </row>
    <row r="20290" ht="15" customHeight="1">
      <c r="A20290" t="inlineStr">
        <is>
          <t>A 24878-2025</t>
        </is>
      </c>
      <c r="B20290" s="1" t="n">
        <v>45799</v>
      </c>
      <c r="C20290" s="1" t="n">
        <v>45810</v>
      </c>
      <c r="D20290" t="inlineStr">
        <is>
          <t>VÄRMLANDS LÄN</t>
        </is>
      </c>
      <c r="E20290" t="inlineStr">
        <is>
          <t>SUNNE</t>
        </is>
      </c>
      <c r="G20290" t="n">
        <v>1.6</v>
      </c>
      <c r="H20290" t="n">
        <v>0</v>
      </c>
      <c r="I20290" t="n">
        <v>0</v>
      </c>
      <c r="J20290" t="n">
        <v>0</v>
      </c>
      <c r="K20290" t="n">
        <v>0</v>
      </c>
      <c r="L20290" t="n">
        <v>0</v>
      </c>
      <c r="M20290" t="n">
        <v>0</v>
      </c>
      <c r="N20290" t="n">
        <v>0</v>
      </c>
      <c r="O20290" t="n">
        <v>0</v>
      </c>
      <c r="P20290" t="n">
        <v>0</v>
      </c>
      <c r="Q20290" t="n">
        <v>0</v>
      </c>
      <c r="R20290" s="2" t="inlineStr"/>
    </row>
    <row r="20291" ht="15" customHeight="1">
      <c r="A20291" t="inlineStr">
        <is>
          <t>A 25194-2025</t>
        </is>
      </c>
      <c r="B20291" s="1" t="n">
        <v>45800</v>
      </c>
      <c r="C20291" s="1" t="n">
        <v>45810</v>
      </c>
      <c r="D20291" t="inlineStr">
        <is>
          <t>VÄRMLANDS LÄN</t>
        </is>
      </c>
      <c r="E20291" t="inlineStr">
        <is>
          <t>HAGFORS</t>
        </is>
      </c>
      <c r="F20291" t="inlineStr">
        <is>
          <t>Bergvik skog väst AB</t>
        </is>
      </c>
      <c r="G20291" t="n">
        <v>2.2</v>
      </c>
      <c r="H20291" t="n">
        <v>0</v>
      </c>
      <c r="I20291" t="n">
        <v>0</v>
      </c>
      <c r="J20291" t="n">
        <v>0</v>
      </c>
      <c r="K20291" t="n">
        <v>0</v>
      </c>
      <c r="L20291" t="n">
        <v>0</v>
      </c>
      <c r="M20291" t="n">
        <v>0</v>
      </c>
      <c r="N20291" t="n">
        <v>0</v>
      </c>
      <c r="O20291" t="n">
        <v>0</v>
      </c>
      <c r="P20291" t="n">
        <v>0</v>
      </c>
      <c r="Q20291" t="n">
        <v>0</v>
      </c>
      <c r="R20291" s="2" t="inlineStr"/>
    </row>
    <row r="20292" ht="15" customHeight="1">
      <c r="A20292" t="inlineStr">
        <is>
          <t>A 25183-2025</t>
        </is>
      </c>
      <c r="B20292" s="1" t="n">
        <v>45800</v>
      </c>
      <c r="C20292" s="1" t="n">
        <v>45810</v>
      </c>
      <c r="D20292" t="inlineStr">
        <is>
          <t>VÄRMLANDS LÄN</t>
        </is>
      </c>
      <c r="E20292" t="inlineStr">
        <is>
          <t>SÄFFLE</t>
        </is>
      </c>
      <c r="G20292" t="n">
        <v>16.1</v>
      </c>
      <c r="H20292" t="n">
        <v>0</v>
      </c>
      <c r="I20292" t="n">
        <v>0</v>
      </c>
      <c r="J20292" t="n">
        <v>0</v>
      </c>
      <c r="K20292" t="n">
        <v>0</v>
      </c>
      <c r="L20292" t="n">
        <v>0</v>
      </c>
      <c r="M20292" t="n">
        <v>0</v>
      </c>
      <c r="N20292" t="n">
        <v>0</v>
      </c>
      <c r="O20292" t="n">
        <v>0</v>
      </c>
      <c r="P20292" t="n">
        <v>0</v>
      </c>
      <c r="Q20292" t="n">
        <v>0</v>
      </c>
      <c r="R20292" s="2" t="inlineStr"/>
    </row>
    <row r="20293" ht="15" customHeight="1">
      <c r="A20293" t="inlineStr">
        <is>
          <t>A 25227-2025</t>
        </is>
      </c>
      <c r="B20293" s="1" t="n">
        <v>45800</v>
      </c>
      <c r="C20293" s="1" t="n">
        <v>45810</v>
      </c>
      <c r="D20293" t="inlineStr">
        <is>
          <t>VÄRMLANDS LÄN</t>
        </is>
      </c>
      <c r="E20293" t="inlineStr">
        <is>
          <t>TORSBY</t>
        </is>
      </c>
      <c r="G20293" t="n">
        <v>1.3</v>
      </c>
      <c r="H20293" t="n">
        <v>0</v>
      </c>
      <c r="I20293" t="n">
        <v>0</v>
      </c>
      <c r="J20293" t="n">
        <v>0</v>
      </c>
      <c r="K20293" t="n">
        <v>0</v>
      </c>
      <c r="L20293" t="n">
        <v>0</v>
      </c>
      <c r="M20293" t="n">
        <v>0</v>
      </c>
      <c r="N20293" t="n">
        <v>0</v>
      </c>
      <c r="O20293" t="n">
        <v>0</v>
      </c>
      <c r="P20293" t="n">
        <v>0</v>
      </c>
      <c r="Q20293" t="n">
        <v>0</v>
      </c>
      <c r="R20293" s="2" t="inlineStr"/>
    </row>
    <row r="20294" ht="15" customHeight="1">
      <c r="A20294" t="inlineStr">
        <is>
          <t>A 25229-2025</t>
        </is>
      </c>
      <c r="B20294" s="1" t="n">
        <v>45800</v>
      </c>
      <c r="C20294" s="1" t="n">
        <v>45810</v>
      </c>
      <c r="D20294" t="inlineStr">
        <is>
          <t>VÄRMLANDS LÄN</t>
        </is>
      </c>
      <c r="E20294" t="inlineStr">
        <is>
          <t>KARLSTAD</t>
        </is>
      </c>
      <c r="G20294" t="n">
        <v>0.6</v>
      </c>
      <c r="H20294" t="n">
        <v>0</v>
      </c>
      <c r="I20294" t="n">
        <v>0</v>
      </c>
      <c r="J20294" t="n">
        <v>0</v>
      </c>
      <c r="K20294" t="n">
        <v>0</v>
      </c>
      <c r="L20294" t="n">
        <v>0</v>
      </c>
      <c r="M20294" t="n">
        <v>0</v>
      </c>
      <c r="N20294" t="n">
        <v>0</v>
      </c>
      <c r="O20294" t="n">
        <v>0</v>
      </c>
      <c r="P20294" t="n">
        <v>0</v>
      </c>
      <c r="Q20294" t="n">
        <v>0</v>
      </c>
      <c r="R20294" s="2" t="inlineStr"/>
    </row>
    <row r="20295" ht="15" customHeight="1">
      <c r="A20295" t="inlineStr">
        <is>
          <t>A 25085-2025</t>
        </is>
      </c>
      <c r="B20295" s="1" t="n">
        <v>45800</v>
      </c>
      <c r="C20295" s="1" t="n">
        <v>45810</v>
      </c>
      <c r="D20295" t="inlineStr">
        <is>
          <t>VÄRMLANDS LÄN</t>
        </is>
      </c>
      <c r="E20295" t="inlineStr">
        <is>
          <t>ARVIKA</t>
        </is>
      </c>
      <c r="F20295" t="inlineStr">
        <is>
          <t>Bergvik skog väst AB</t>
        </is>
      </c>
      <c r="G20295" t="n">
        <v>3.5</v>
      </c>
      <c r="H20295" t="n">
        <v>0</v>
      </c>
      <c r="I20295" t="n">
        <v>0</v>
      </c>
      <c r="J20295" t="n">
        <v>0</v>
      </c>
      <c r="K20295" t="n">
        <v>0</v>
      </c>
      <c r="L20295" t="n">
        <v>0</v>
      </c>
      <c r="M20295" t="n">
        <v>0</v>
      </c>
      <c r="N20295" t="n">
        <v>0</v>
      </c>
      <c r="O20295" t="n">
        <v>0</v>
      </c>
      <c r="P20295" t="n">
        <v>0</v>
      </c>
      <c r="Q20295" t="n">
        <v>0</v>
      </c>
      <c r="R20295" s="2" t="inlineStr"/>
    </row>
    <row r="20296" ht="15" customHeight="1">
      <c r="A20296" t="inlineStr">
        <is>
          <t>A 25428-2025</t>
        </is>
      </c>
      <c r="B20296" s="1" t="n">
        <v>45800</v>
      </c>
      <c r="C20296" s="1" t="n">
        <v>45810</v>
      </c>
      <c r="D20296" t="inlineStr">
        <is>
          <t>VÄRMLANDS LÄN</t>
        </is>
      </c>
      <c r="E20296" t="inlineStr">
        <is>
          <t>TORSBY</t>
        </is>
      </c>
      <c r="G20296" t="n">
        <v>1.7</v>
      </c>
      <c r="H20296" t="n">
        <v>0</v>
      </c>
      <c r="I20296" t="n">
        <v>0</v>
      </c>
      <c r="J20296" t="n">
        <v>0</v>
      </c>
      <c r="K20296" t="n">
        <v>0</v>
      </c>
      <c r="L20296" t="n">
        <v>0</v>
      </c>
      <c r="M20296" t="n">
        <v>0</v>
      </c>
      <c r="N20296" t="n">
        <v>0</v>
      </c>
      <c r="O20296" t="n">
        <v>0</v>
      </c>
      <c r="P20296" t="n">
        <v>0</v>
      </c>
      <c r="Q20296" t="n">
        <v>0</v>
      </c>
      <c r="R20296" s="2" t="inlineStr"/>
    </row>
    <row r="20297" ht="15" customHeight="1">
      <c r="A20297" t="inlineStr">
        <is>
          <t>A 25695-2025</t>
        </is>
      </c>
      <c r="B20297" s="1" t="n">
        <v>45800</v>
      </c>
      <c r="C20297" s="1" t="n">
        <v>45810</v>
      </c>
      <c r="D20297" t="inlineStr">
        <is>
          <t>VÄRMLANDS LÄN</t>
        </is>
      </c>
      <c r="E20297" t="inlineStr">
        <is>
          <t>ARVIKA</t>
        </is>
      </c>
      <c r="G20297" t="n">
        <v>1.8</v>
      </c>
      <c r="H20297" t="n">
        <v>0</v>
      </c>
      <c r="I20297" t="n">
        <v>0</v>
      </c>
      <c r="J20297" t="n">
        <v>0</v>
      </c>
      <c r="K20297" t="n">
        <v>0</v>
      </c>
      <c r="L20297" t="n">
        <v>0</v>
      </c>
      <c r="M20297" t="n">
        <v>0</v>
      </c>
      <c r="N20297" t="n">
        <v>0</v>
      </c>
      <c r="O20297" t="n">
        <v>0</v>
      </c>
      <c r="P20297" t="n">
        <v>0</v>
      </c>
      <c r="Q20297" t="n">
        <v>0</v>
      </c>
      <c r="R20297" s="2" t="inlineStr"/>
    </row>
    <row r="20298" ht="15" customHeight="1">
      <c r="A20298" t="inlineStr">
        <is>
          <t>A 25328-2025</t>
        </is>
      </c>
      <c r="B20298" s="1" t="n">
        <v>45800</v>
      </c>
      <c r="C20298" s="1" t="n">
        <v>45810</v>
      </c>
      <c r="D20298" t="inlineStr">
        <is>
          <t>VÄRMLANDS LÄN</t>
        </is>
      </c>
      <c r="E20298" t="inlineStr">
        <is>
          <t>TORSBY</t>
        </is>
      </c>
      <c r="G20298" t="n">
        <v>2.7</v>
      </c>
      <c r="H20298" t="n">
        <v>0</v>
      </c>
      <c r="I20298" t="n">
        <v>0</v>
      </c>
      <c r="J20298" t="n">
        <v>0</v>
      </c>
      <c r="K20298" t="n">
        <v>0</v>
      </c>
      <c r="L20298" t="n">
        <v>0</v>
      </c>
      <c r="M20298" t="n">
        <v>0</v>
      </c>
      <c r="N20298" t="n">
        <v>0</v>
      </c>
      <c r="O20298" t="n">
        <v>0</v>
      </c>
      <c r="P20298" t="n">
        <v>0</v>
      </c>
      <c r="Q20298" t="n">
        <v>0</v>
      </c>
      <c r="R20298" s="2" t="inlineStr"/>
    </row>
    <row r="20299" ht="15" customHeight="1">
      <c r="A20299" t="inlineStr">
        <is>
          <t>A 25353-2025</t>
        </is>
      </c>
      <c r="B20299" s="1" t="n">
        <v>45800</v>
      </c>
      <c r="C20299" s="1" t="n">
        <v>45810</v>
      </c>
      <c r="D20299" t="inlineStr">
        <is>
          <t>VÄRMLANDS LÄN</t>
        </is>
      </c>
      <c r="E20299" t="inlineStr">
        <is>
          <t>TORSBY</t>
        </is>
      </c>
      <c r="F20299" t="inlineStr">
        <is>
          <t>Bergvik skog väst AB</t>
        </is>
      </c>
      <c r="G20299" t="n">
        <v>4</v>
      </c>
      <c r="H20299" t="n">
        <v>0</v>
      </c>
      <c r="I20299" t="n">
        <v>0</v>
      </c>
      <c r="J20299" t="n">
        <v>0</v>
      </c>
      <c r="K20299" t="n">
        <v>0</v>
      </c>
      <c r="L20299" t="n">
        <v>0</v>
      </c>
      <c r="M20299" t="n">
        <v>0</v>
      </c>
      <c r="N20299" t="n">
        <v>0</v>
      </c>
      <c r="O20299" t="n">
        <v>0</v>
      </c>
      <c r="P20299" t="n">
        <v>0</v>
      </c>
      <c r="Q20299" t="n">
        <v>0</v>
      </c>
      <c r="R20299" s="2" t="inlineStr"/>
    </row>
    <row r="20300" ht="15" customHeight="1">
      <c r="A20300" t="inlineStr">
        <is>
          <t>A 25186-2025</t>
        </is>
      </c>
      <c r="B20300" s="1" t="n">
        <v>45800</v>
      </c>
      <c r="C20300" s="1" t="n">
        <v>45810</v>
      </c>
      <c r="D20300" t="inlineStr">
        <is>
          <t>VÄRMLANDS LÄN</t>
        </is>
      </c>
      <c r="E20300" t="inlineStr">
        <is>
          <t>TORSBY</t>
        </is>
      </c>
      <c r="F20300" t="inlineStr">
        <is>
          <t>Kyrkan</t>
        </is>
      </c>
      <c r="G20300" t="n">
        <v>10.2</v>
      </c>
      <c r="H20300" t="n">
        <v>0</v>
      </c>
      <c r="I20300" t="n">
        <v>0</v>
      </c>
      <c r="J20300" t="n">
        <v>0</v>
      </c>
      <c r="K20300" t="n">
        <v>0</v>
      </c>
      <c r="L20300" t="n">
        <v>0</v>
      </c>
      <c r="M20300" t="n">
        <v>0</v>
      </c>
      <c r="N20300" t="n">
        <v>0</v>
      </c>
      <c r="O20300" t="n">
        <v>0</v>
      </c>
      <c r="P20300" t="n">
        <v>0</v>
      </c>
      <c r="Q20300" t="n">
        <v>0</v>
      </c>
      <c r="R20300" s="2" t="inlineStr"/>
    </row>
    <row r="20301" ht="15" customHeight="1">
      <c r="A20301" t="inlineStr">
        <is>
          <t>A 25199-2025</t>
        </is>
      </c>
      <c r="B20301" s="1" t="n">
        <v>45800</v>
      </c>
      <c r="C20301" s="1" t="n">
        <v>45810</v>
      </c>
      <c r="D20301" t="inlineStr">
        <is>
          <t>VÄRMLANDS LÄN</t>
        </is>
      </c>
      <c r="E20301" t="inlineStr">
        <is>
          <t>SUNNE</t>
        </is>
      </c>
      <c r="F20301" t="inlineStr">
        <is>
          <t>Bergvik skog väst AB</t>
        </is>
      </c>
      <c r="G20301" t="n">
        <v>0.8</v>
      </c>
      <c r="H20301" t="n">
        <v>0</v>
      </c>
      <c r="I20301" t="n">
        <v>0</v>
      </c>
      <c r="J20301" t="n">
        <v>0</v>
      </c>
      <c r="K20301" t="n">
        <v>0</v>
      </c>
      <c r="L20301" t="n">
        <v>0</v>
      </c>
      <c r="M20301" t="n">
        <v>0</v>
      </c>
      <c r="N20301" t="n">
        <v>0</v>
      </c>
      <c r="O20301" t="n">
        <v>0</v>
      </c>
      <c r="P20301" t="n">
        <v>0</v>
      </c>
      <c r="Q20301" t="n">
        <v>0</v>
      </c>
      <c r="R20301" s="2" t="inlineStr"/>
    </row>
    <row r="20302" ht="15" customHeight="1">
      <c r="A20302" t="inlineStr">
        <is>
          <t>A 25139-2025</t>
        </is>
      </c>
      <c r="B20302" s="1" t="n">
        <v>45800</v>
      </c>
      <c r="C20302" s="1" t="n">
        <v>45810</v>
      </c>
      <c r="D20302" t="inlineStr">
        <is>
          <t>VÄRMLANDS LÄN</t>
        </is>
      </c>
      <c r="E20302" t="inlineStr">
        <is>
          <t>EDA</t>
        </is>
      </c>
      <c r="G20302" t="n">
        <v>1.4</v>
      </c>
      <c r="H20302" t="n">
        <v>0</v>
      </c>
      <c r="I20302" t="n">
        <v>0</v>
      </c>
      <c r="J20302" t="n">
        <v>0</v>
      </c>
      <c r="K20302" t="n">
        <v>0</v>
      </c>
      <c r="L20302" t="n">
        <v>0</v>
      </c>
      <c r="M20302" t="n">
        <v>0</v>
      </c>
      <c r="N20302" t="n">
        <v>0</v>
      </c>
      <c r="O20302" t="n">
        <v>0</v>
      </c>
      <c r="P20302" t="n">
        <v>0</v>
      </c>
      <c r="Q20302" t="n">
        <v>0</v>
      </c>
      <c r="R20302" s="2" t="inlineStr"/>
    </row>
    <row r="20303" ht="15" customHeight="1">
      <c r="A20303" t="inlineStr">
        <is>
          <t>A 25144-2025</t>
        </is>
      </c>
      <c r="B20303" s="1" t="n">
        <v>45800</v>
      </c>
      <c r="C20303" s="1" t="n">
        <v>45810</v>
      </c>
      <c r="D20303" t="inlineStr">
        <is>
          <t>VÄRMLANDS LÄN</t>
        </is>
      </c>
      <c r="E20303" t="inlineStr">
        <is>
          <t>SUNNE</t>
        </is>
      </c>
      <c r="G20303" t="n">
        <v>2.4</v>
      </c>
      <c r="H20303" t="n">
        <v>0</v>
      </c>
      <c r="I20303" t="n">
        <v>0</v>
      </c>
      <c r="J20303" t="n">
        <v>0</v>
      </c>
      <c r="K20303" t="n">
        <v>0</v>
      </c>
      <c r="L20303" t="n">
        <v>0</v>
      </c>
      <c r="M20303" t="n">
        <v>0</v>
      </c>
      <c r="N20303" t="n">
        <v>0</v>
      </c>
      <c r="O20303" t="n">
        <v>0</v>
      </c>
      <c r="P20303" t="n">
        <v>0</v>
      </c>
      <c r="Q20303" t="n">
        <v>0</v>
      </c>
      <c r="R20303" s="2" t="inlineStr"/>
    </row>
    <row r="20304" ht="15" customHeight="1">
      <c r="A20304" t="inlineStr">
        <is>
          <t>A 25169-2025</t>
        </is>
      </c>
      <c r="B20304" s="1" t="n">
        <v>45800</v>
      </c>
      <c r="C20304" s="1" t="n">
        <v>45810</v>
      </c>
      <c r="D20304" t="inlineStr">
        <is>
          <t>VÄRMLANDS LÄN</t>
        </is>
      </c>
      <c r="E20304" t="inlineStr">
        <is>
          <t>HAGFORS</t>
        </is>
      </c>
      <c r="F20304" t="inlineStr">
        <is>
          <t>Bergvik skog väst AB</t>
        </is>
      </c>
      <c r="G20304" t="n">
        <v>6.4</v>
      </c>
      <c r="H20304" t="n">
        <v>0</v>
      </c>
      <c r="I20304" t="n">
        <v>0</v>
      </c>
      <c r="J20304" t="n">
        <v>0</v>
      </c>
      <c r="K20304" t="n">
        <v>0</v>
      </c>
      <c r="L20304" t="n">
        <v>0</v>
      </c>
      <c r="M20304" t="n">
        <v>0</v>
      </c>
      <c r="N20304" t="n">
        <v>0</v>
      </c>
      <c r="O20304" t="n">
        <v>0</v>
      </c>
      <c r="P20304" t="n">
        <v>0</v>
      </c>
      <c r="Q20304" t="n">
        <v>0</v>
      </c>
      <c r="R20304" s="2" t="inlineStr"/>
    </row>
    <row r="20305" ht="15" customHeight="1">
      <c r="A20305" t="inlineStr">
        <is>
          <t>A 25184-2025</t>
        </is>
      </c>
      <c r="B20305" s="1" t="n">
        <v>45800</v>
      </c>
      <c r="C20305" s="1" t="n">
        <v>45810</v>
      </c>
      <c r="D20305" t="inlineStr">
        <is>
          <t>VÄRMLANDS LÄN</t>
        </is>
      </c>
      <c r="E20305" t="inlineStr">
        <is>
          <t>SUNNE</t>
        </is>
      </c>
      <c r="G20305" t="n">
        <v>1</v>
      </c>
      <c r="H20305" t="n">
        <v>0</v>
      </c>
      <c r="I20305" t="n">
        <v>0</v>
      </c>
      <c r="J20305" t="n">
        <v>0</v>
      </c>
      <c r="K20305" t="n">
        <v>0</v>
      </c>
      <c r="L20305" t="n">
        <v>0</v>
      </c>
      <c r="M20305" t="n">
        <v>0</v>
      </c>
      <c r="N20305" t="n">
        <v>0</v>
      </c>
      <c r="O20305" t="n">
        <v>0</v>
      </c>
      <c r="P20305" t="n">
        <v>0</v>
      </c>
      <c r="Q20305" t="n">
        <v>0</v>
      </c>
      <c r="R20305" s="2" t="inlineStr"/>
    </row>
    <row r="20306" ht="15" customHeight="1">
      <c r="A20306" t="inlineStr">
        <is>
          <t>A 25214-2025</t>
        </is>
      </c>
      <c r="B20306" s="1" t="n">
        <v>45800</v>
      </c>
      <c r="C20306" s="1" t="n">
        <v>45810</v>
      </c>
      <c r="D20306" t="inlineStr">
        <is>
          <t>VÄRMLANDS LÄN</t>
        </is>
      </c>
      <c r="E20306" t="inlineStr">
        <is>
          <t>SUNNE</t>
        </is>
      </c>
      <c r="F20306" t="inlineStr">
        <is>
          <t>Bergvik skog väst AB</t>
        </is>
      </c>
      <c r="G20306" t="n">
        <v>8.9</v>
      </c>
      <c r="H20306" t="n">
        <v>0</v>
      </c>
      <c r="I20306" t="n">
        <v>0</v>
      </c>
      <c r="J20306" t="n">
        <v>0</v>
      </c>
      <c r="K20306" t="n">
        <v>0</v>
      </c>
      <c r="L20306" t="n">
        <v>0</v>
      </c>
      <c r="M20306" t="n">
        <v>0</v>
      </c>
      <c r="N20306" t="n">
        <v>0</v>
      </c>
      <c r="O20306" t="n">
        <v>0</v>
      </c>
      <c r="P20306" t="n">
        <v>0</v>
      </c>
      <c r="Q20306" t="n">
        <v>0</v>
      </c>
      <c r="R20306" s="2" t="inlineStr"/>
    </row>
    <row r="20307" ht="15" customHeight="1">
      <c r="A20307" t="inlineStr">
        <is>
          <t>A 25231-2025</t>
        </is>
      </c>
      <c r="B20307" s="1" t="n">
        <v>45800</v>
      </c>
      <c r="C20307" s="1" t="n">
        <v>45810</v>
      </c>
      <c r="D20307" t="inlineStr">
        <is>
          <t>VÄRMLANDS LÄN</t>
        </is>
      </c>
      <c r="E20307" t="inlineStr">
        <is>
          <t>SUNNE</t>
        </is>
      </c>
      <c r="F20307" t="inlineStr">
        <is>
          <t>Bergvik skog väst AB</t>
        </is>
      </c>
      <c r="G20307" t="n">
        <v>1.1</v>
      </c>
      <c r="H20307" t="n">
        <v>0</v>
      </c>
      <c r="I20307" t="n">
        <v>0</v>
      </c>
      <c r="J20307" t="n">
        <v>0</v>
      </c>
      <c r="K20307" t="n">
        <v>0</v>
      </c>
      <c r="L20307" t="n">
        <v>0</v>
      </c>
      <c r="M20307" t="n">
        <v>0</v>
      </c>
      <c r="N20307" t="n">
        <v>0</v>
      </c>
      <c r="O20307" t="n">
        <v>0</v>
      </c>
      <c r="P20307" t="n">
        <v>0</v>
      </c>
      <c r="Q20307" t="n">
        <v>0</v>
      </c>
      <c r="R20307" s="2" t="inlineStr"/>
    </row>
    <row r="20308" ht="15" customHeight="1">
      <c r="A20308" t="inlineStr">
        <is>
          <t>A 25236-2025</t>
        </is>
      </c>
      <c r="B20308" s="1" t="n">
        <v>45800</v>
      </c>
      <c r="C20308" s="1" t="n">
        <v>45810</v>
      </c>
      <c r="D20308" t="inlineStr">
        <is>
          <t>VÄRMLANDS LÄN</t>
        </is>
      </c>
      <c r="E20308" t="inlineStr">
        <is>
          <t>KARLSTAD</t>
        </is>
      </c>
      <c r="G20308" t="n">
        <v>0.6</v>
      </c>
      <c r="H20308" t="n">
        <v>0</v>
      </c>
      <c r="I20308" t="n">
        <v>0</v>
      </c>
      <c r="J20308" t="n">
        <v>0</v>
      </c>
      <c r="K20308" t="n">
        <v>0</v>
      </c>
      <c r="L20308" t="n">
        <v>0</v>
      </c>
      <c r="M20308" t="n">
        <v>0</v>
      </c>
      <c r="N20308" t="n">
        <v>0</v>
      </c>
      <c r="O20308" t="n">
        <v>0</v>
      </c>
      <c r="P20308" t="n">
        <v>0</v>
      </c>
      <c r="Q20308" t="n">
        <v>0</v>
      </c>
      <c r="R20308" s="2" t="inlineStr"/>
    </row>
    <row r="20309" ht="15" customHeight="1">
      <c r="A20309" t="inlineStr">
        <is>
          <t>A 25296-2025</t>
        </is>
      </c>
      <c r="B20309" s="1" t="n">
        <v>45800</v>
      </c>
      <c r="C20309" s="1" t="n">
        <v>45810</v>
      </c>
      <c r="D20309" t="inlineStr">
        <is>
          <t>VÄRMLANDS LÄN</t>
        </is>
      </c>
      <c r="E20309" t="inlineStr">
        <is>
          <t>TORSBY</t>
        </is>
      </c>
      <c r="G20309" t="n">
        <v>2.1</v>
      </c>
      <c r="H20309" t="n">
        <v>0</v>
      </c>
      <c r="I20309" t="n">
        <v>0</v>
      </c>
      <c r="J20309" t="n">
        <v>0</v>
      </c>
      <c r="K20309" t="n">
        <v>0</v>
      </c>
      <c r="L20309" t="n">
        <v>0</v>
      </c>
      <c r="M20309" t="n">
        <v>0</v>
      </c>
      <c r="N20309" t="n">
        <v>0</v>
      </c>
      <c r="O20309" t="n">
        <v>0</v>
      </c>
      <c r="P20309" t="n">
        <v>0</v>
      </c>
      <c r="Q20309" t="n">
        <v>0</v>
      </c>
      <c r="R20309" s="2" t="inlineStr"/>
    </row>
    <row r="20310" ht="15" customHeight="1">
      <c r="A20310" t="inlineStr">
        <is>
          <t>A 25121-2025</t>
        </is>
      </c>
      <c r="B20310" s="1" t="n">
        <v>45800</v>
      </c>
      <c r="C20310" s="1" t="n">
        <v>45810</v>
      </c>
      <c r="D20310" t="inlineStr">
        <is>
          <t>VÄRMLANDS LÄN</t>
        </is>
      </c>
      <c r="E20310" t="inlineStr">
        <is>
          <t>HAGFORS</t>
        </is>
      </c>
      <c r="F20310" t="inlineStr">
        <is>
          <t>Bergvik skog väst AB</t>
        </is>
      </c>
      <c r="G20310" t="n">
        <v>5.3</v>
      </c>
      <c r="H20310" t="n">
        <v>0</v>
      </c>
      <c r="I20310" t="n">
        <v>0</v>
      </c>
      <c r="J20310" t="n">
        <v>0</v>
      </c>
      <c r="K20310" t="n">
        <v>0</v>
      </c>
      <c r="L20310" t="n">
        <v>0</v>
      </c>
      <c r="M20310" t="n">
        <v>0</v>
      </c>
      <c r="N20310" t="n">
        <v>0</v>
      </c>
      <c r="O20310" t="n">
        <v>0</v>
      </c>
      <c r="P20310" t="n">
        <v>0</v>
      </c>
      <c r="Q20310" t="n">
        <v>0</v>
      </c>
      <c r="R20310" s="2" t="inlineStr"/>
    </row>
    <row r="20311" ht="15" customHeight="1">
      <c r="A20311" t="inlineStr">
        <is>
          <t>A 25189-2025</t>
        </is>
      </c>
      <c r="B20311" s="1" t="n">
        <v>45800</v>
      </c>
      <c r="C20311" s="1" t="n">
        <v>45810</v>
      </c>
      <c r="D20311" t="inlineStr">
        <is>
          <t>VÄRMLANDS LÄN</t>
        </is>
      </c>
      <c r="E20311" t="inlineStr">
        <is>
          <t>SUNNE</t>
        </is>
      </c>
      <c r="F20311" t="inlineStr">
        <is>
          <t>Bergvik skog väst AB</t>
        </is>
      </c>
      <c r="G20311" t="n">
        <v>3.8</v>
      </c>
      <c r="H20311" t="n">
        <v>0</v>
      </c>
      <c r="I20311" t="n">
        <v>0</v>
      </c>
      <c r="J20311" t="n">
        <v>0</v>
      </c>
      <c r="K20311" t="n">
        <v>0</v>
      </c>
      <c r="L20311" t="n">
        <v>0</v>
      </c>
      <c r="M20311" t="n">
        <v>0</v>
      </c>
      <c r="N20311" t="n">
        <v>0</v>
      </c>
      <c r="O20311" t="n">
        <v>0</v>
      </c>
      <c r="P20311" t="n">
        <v>0</v>
      </c>
      <c r="Q20311" t="n">
        <v>0</v>
      </c>
      <c r="R20311" s="2" t="inlineStr"/>
    </row>
    <row r="20312" ht="15" customHeight="1">
      <c r="A20312" t="inlineStr">
        <is>
          <t>A 25218-2025</t>
        </is>
      </c>
      <c r="B20312" s="1" t="n">
        <v>45800</v>
      </c>
      <c r="C20312" s="1" t="n">
        <v>45810</v>
      </c>
      <c r="D20312" t="inlineStr">
        <is>
          <t>VÄRMLANDS LÄN</t>
        </is>
      </c>
      <c r="E20312" t="inlineStr">
        <is>
          <t>TORSBY</t>
        </is>
      </c>
      <c r="G20312" t="n">
        <v>1.6</v>
      </c>
      <c r="H20312" t="n">
        <v>0</v>
      </c>
      <c r="I20312" t="n">
        <v>0</v>
      </c>
      <c r="J20312" t="n">
        <v>0</v>
      </c>
      <c r="K20312" t="n">
        <v>0</v>
      </c>
      <c r="L20312" t="n">
        <v>0</v>
      </c>
      <c r="M20312" t="n">
        <v>0</v>
      </c>
      <c r="N20312" t="n">
        <v>0</v>
      </c>
      <c r="O20312" t="n">
        <v>0</v>
      </c>
      <c r="P20312" t="n">
        <v>0</v>
      </c>
      <c r="Q20312" t="n">
        <v>0</v>
      </c>
      <c r="R20312" s="2" t="inlineStr"/>
    </row>
    <row r="20313" ht="15" customHeight="1">
      <c r="A20313" t="inlineStr">
        <is>
          <t>A 25136-2025</t>
        </is>
      </c>
      <c r="B20313" s="1" t="n">
        <v>45800</v>
      </c>
      <c r="C20313" s="1" t="n">
        <v>45810</v>
      </c>
      <c r="D20313" t="inlineStr">
        <is>
          <t>VÄRMLANDS LÄN</t>
        </is>
      </c>
      <c r="E20313" t="inlineStr">
        <is>
          <t>ARVIKA</t>
        </is>
      </c>
      <c r="F20313" t="inlineStr">
        <is>
          <t>Bergvik skog väst AB</t>
        </is>
      </c>
      <c r="G20313" t="n">
        <v>2.4</v>
      </c>
      <c r="H20313" t="n">
        <v>0</v>
      </c>
      <c r="I20313" t="n">
        <v>0</v>
      </c>
      <c r="J20313" t="n">
        <v>0</v>
      </c>
      <c r="K20313" t="n">
        <v>0</v>
      </c>
      <c r="L20313" t="n">
        <v>0</v>
      </c>
      <c r="M20313" t="n">
        <v>0</v>
      </c>
      <c r="N20313" t="n">
        <v>0</v>
      </c>
      <c r="O20313" t="n">
        <v>0</v>
      </c>
      <c r="P20313" t="n">
        <v>0</v>
      </c>
      <c r="Q20313" t="n">
        <v>0</v>
      </c>
      <c r="R20313" s="2" t="inlineStr"/>
    </row>
    <row r="20314" ht="15" customHeight="1">
      <c r="A20314" t="inlineStr">
        <is>
          <t>A 25370-2025</t>
        </is>
      </c>
      <c r="B20314" s="1" t="n">
        <v>45800</v>
      </c>
      <c r="C20314" s="1" t="n">
        <v>45810</v>
      </c>
      <c r="D20314" t="inlineStr">
        <is>
          <t>VÄRMLANDS LÄN</t>
        </is>
      </c>
      <c r="E20314" t="inlineStr">
        <is>
          <t>SUNNE</t>
        </is>
      </c>
      <c r="G20314" t="n">
        <v>1.1</v>
      </c>
      <c r="H20314" t="n">
        <v>0</v>
      </c>
      <c r="I20314" t="n">
        <v>0</v>
      </c>
      <c r="J20314" t="n">
        <v>0</v>
      </c>
      <c r="K20314" t="n">
        <v>0</v>
      </c>
      <c r="L20314" t="n">
        <v>0</v>
      </c>
      <c r="M20314" t="n">
        <v>0</v>
      </c>
      <c r="N20314" t="n">
        <v>0</v>
      </c>
      <c r="O20314" t="n">
        <v>0</v>
      </c>
      <c r="P20314" t="n">
        <v>0</v>
      </c>
      <c r="Q20314" t="n">
        <v>0</v>
      </c>
      <c r="R20314" s="2" t="inlineStr"/>
    </row>
    <row r="20315" ht="15" customHeight="1">
      <c r="A20315" t="inlineStr">
        <is>
          <t>A 25091-2025</t>
        </is>
      </c>
      <c r="B20315" s="1" t="n">
        <v>45800</v>
      </c>
      <c r="C20315" s="1" t="n">
        <v>45810</v>
      </c>
      <c r="D20315" t="inlineStr">
        <is>
          <t>VÄRMLANDS LÄN</t>
        </is>
      </c>
      <c r="E20315" t="inlineStr">
        <is>
          <t>HAGFORS</t>
        </is>
      </c>
      <c r="F20315" t="inlineStr">
        <is>
          <t>Bergvik skog väst AB</t>
        </is>
      </c>
      <c r="G20315" t="n">
        <v>2.4</v>
      </c>
      <c r="H20315" t="n">
        <v>0</v>
      </c>
      <c r="I20315" t="n">
        <v>0</v>
      </c>
      <c r="J20315" t="n">
        <v>0</v>
      </c>
      <c r="K20315" t="n">
        <v>0</v>
      </c>
      <c r="L20315" t="n">
        <v>0</v>
      </c>
      <c r="M20315" t="n">
        <v>0</v>
      </c>
      <c r="N20315" t="n">
        <v>0</v>
      </c>
      <c r="O20315" t="n">
        <v>0</v>
      </c>
      <c r="P20315" t="n">
        <v>0</v>
      </c>
      <c r="Q20315" t="n">
        <v>0</v>
      </c>
      <c r="R20315" s="2" t="inlineStr"/>
    </row>
    <row r="20316" ht="15" customHeight="1">
      <c r="A20316" t="inlineStr">
        <is>
          <t>A 25138-2025</t>
        </is>
      </c>
      <c r="B20316" s="1" t="n">
        <v>45800</v>
      </c>
      <c r="C20316" s="1" t="n">
        <v>45810</v>
      </c>
      <c r="D20316" t="inlineStr">
        <is>
          <t>VÄRMLANDS LÄN</t>
        </is>
      </c>
      <c r="E20316" t="inlineStr">
        <is>
          <t>EDA</t>
        </is>
      </c>
      <c r="G20316" t="n">
        <v>9</v>
      </c>
      <c r="H20316" t="n">
        <v>0</v>
      </c>
      <c r="I20316" t="n">
        <v>0</v>
      </c>
      <c r="J20316" t="n">
        <v>0</v>
      </c>
      <c r="K20316" t="n">
        <v>0</v>
      </c>
      <c r="L20316" t="n">
        <v>0</v>
      </c>
      <c r="M20316" t="n">
        <v>0</v>
      </c>
      <c r="N20316" t="n">
        <v>0</v>
      </c>
      <c r="O20316" t="n">
        <v>0</v>
      </c>
      <c r="P20316" t="n">
        <v>0</v>
      </c>
      <c r="Q20316" t="n">
        <v>0</v>
      </c>
      <c r="R20316" s="2" t="inlineStr"/>
    </row>
    <row r="20317" ht="15" customHeight="1">
      <c r="A20317" t="inlineStr">
        <is>
          <t>A 25260-2025</t>
        </is>
      </c>
      <c r="B20317" s="1" t="n">
        <v>45800</v>
      </c>
      <c r="C20317" s="1" t="n">
        <v>45810</v>
      </c>
      <c r="D20317" t="inlineStr">
        <is>
          <t>VÄRMLANDS LÄN</t>
        </is>
      </c>
      <c r="E20317" t="inlineStr">
        <is>
          <t>FILIPSTAD</t>
        </is>
      </c>
      <c r="F20317" t="inlineStr">
        <is>
          <t>Bergvik skog väst AB</t>
        </is>
      </c>
      <c r="G20317" t="n">
        <v>13.8</v>
      </c>
      <c r="H20317" t="n">
        <v>0</v>
      </c>
      <c r="I20317" t="n">
        <v>0</v>
      </c>
      <c r="J20317" t="n">
        <v>0</v>
      </c>
      <c r="K20317" t="n">
        <v>0</v>
      </c>
      <c r="L20317" t="n">
        <v>0</v>
      </c>
      <c r="M20317" t="n">
        <v>0</v>
      </c>
      <c r="N20317" t="n">
        <v>0</v>
      </c>
      <c r="O20317" t="n">
        <v>0</v>
      </c>
      <c r="P20317" t="n">
        <v>0</v>
      </c>
      <c r="Q20317" t="n">
        <v>0</v>
      </c>
      <c r="R20317" s="2" t="inlineStr"/>
    </row>
    <row r="20318" ht="15" customHeight="1">
      <c r="A20318" t="inlineStr">
        <is>
          <t>A 25369-2025</t>
        </is>
      </c>
      <c r="B20318" s="1" t="n">
        <v>45800</v>
      </c>
      <c r="C20318" s="1" t="n">
        <v>45810</v>
      </c>
      <c r="D20318" t="inlineStr">
        <is>
          <t>VÄRMLANDS LÄN</t>
        </is>
      </c>
      <c r="E20318" t="inlineStr">
        <is>
          <t>TORSBY</t>
        </is>
      </c>
      <c r="F20318" t="inlineStr">
        <is>
          <t>Bergvik skog väst AB</t>
        </is>
      </c>
      <c r="G20318" t="n">
        <v>5.3</v>
      </c>
      <c r="H20318" t="n">
        <v>0</v>
      </c>
      <c r="I20318" t="n">
        <v>0</v>
      </c>
      <c r="J20318" t="n">
        <v>0</v>
      </c>
      <c r="K20318" t="n">
        <v>0</v>
      </c>
      <c r="L20318" t="n">
        <v>0</v>
      </c>
      <c r="M20318" t="n">
        <v>0</v>
      </c>
      <c r="N20318" t="n">
        <v>0</v>
      </c>
      <c r="O20318" t="n">
        <v>0</v>
      </c>
      <c r="P20318" t="n">
        <v>0</v>
      </c>
      <c r="Q20318" t="n">
        <v>0</v>
      </c>
      <c r="R20318" s="2" t="inlineStr"/>
    </row>
    <row r="20319" ht="15" customHeight="1">
      <c r="A20319" t="inlineStr">
        <is>
          <t>A 25163-2025</t>
        </is>
      </c>
      <c r="B20319" s="1" t="n">
        <v>45800</v>
      </c>
      <c r="C20319" s="1" t="n">
        <v>45810</v>
      </c>
      <c r="D20319" t="inlineStr">
        <is>
          <t>VÄRMLANDS LÄN</t>
        </is>
      </c>
      <c r="E20319" t="inlineStr">
        <is>
          <t>KARLSTAD</t>
        </is>
      </c>
      <c r="G20319" t="n">
        <v>1.2</v>
      </c>
      <c r="H20319" t="n">
        <v>0</v>
      </c>
      <c r="I20319" t="n">
        <v>0</v>
      </c>
      <c r="J20319" t="n">
        <v>0</v>
      </c>
      <c r="K20319" t="n">
        <v>0</v>
      </c>
      <c r="L20319" t="n">
        <v>0</v>
      </c>
      <c r="M20319" t="n">
        <v>0</v>
      </c>
      <c r="N20319" t="n">
        <v>0</v>
      </c>
      <c r="O20319" t="n">
        <v>0</v>
      </c>
      <c r="P20319" t="n">
        <v>0</v>
      </c>
      <c r="Q20319" t="n">
        <v>0</v>
      </c>
      <c r="R20319" s="2" t="inlineStr"/>
    </row>
    <row r="20320" ht="15" customHeight="1">
      <c r="A20320" t="inlineStr">
        <is>
          <t>A 25443-2025</t>
        </is>
      </c>
      <c r="B20320" s="1" t="n">
        <v>45801</v>
      </c>
      <c r="C20320" s="1" t="n">
        <v>45810</v>
      </c>
      <c r="D20320" t="inlineStr">
        <is>
          <t>VÄRMLANDS LÄN</t>
        </is>
      </c>
      <c r="E20320" t="inlineStr">
        <is>
          <t>TORSBY</t>
        </is>
      </c>
      <c r="G20320" t="n">
        <v>3.2</v>
      </c>
      <c r="H20320" t="n">
        <v>0</v>
      </c>
      <c r="I20320" t="n">
        <v>0</v>
      </c>
      <c r="J20320" t="n">
        <v>0</v>
      </c>
      <c r="K20320" t="n">
        <v>0</v>
      </c>
      <c r="L20320" t="n">
        <v>0</v>
      </c>
      <c r="M20320" t="n">
        <v>0</v>
      </c>
      <c r="N20320" t="n">
        <v>0</v>
      </c>
      <c r="O20320" t="n">
        <v>0</v>
      </c>
      <c r="P20320" t="n">
        <v>0</v>
      </c>
      <c r="Q20320" t="n">
        <v>0</v>
      </c>
      <c r="R20320" s="2" t="inlineStr"/>
    </row>
    <row r="20321" ht="15" customHeight="1">
      <c r="A20321" t="inlineStr">
        <is>
          <t>A 25450-2025</t>
        </is>
      </c>
      <c r="B20321" s="1" t="n">
        <v>45801</v>
      </c>
      <c r="C20321" s="1" t="n">
        <v>45810</v>
      </c>
      <c r="D20321" t="inlineStr">
        <is>
          <t>VÄRMLANDS LÄN</t>
        </is>
      </c>
      <c r="E20321" t="inlineStr">
        <is>
          <t>ARVIKA</t>
        </is>
      </c>
      <c r="G20321" t="n">
        <v>1.7</v>
      </c>
      <c r="H20321" t="n">
        <v>0</v>
      </c>
      <c r="I20321" t="n">
        <v>0</v>
      </c>
      <c r="J20321" t="n">
        <v>0</v>
      </c>
      <c r="K20321" t="n">
        <v>0</v>
      </c>
      <c r="L20321" t="n">
        <v>0</v>
      </c>
      <c r="M20321" t="n">
        <v>0</v>
      </c>
      <c r="N20321" t="n">
        <v>0</v>
      </c>
      <c r="O20321" t="n">
        <v>0</v>
      </c>
      <c r="P20321" t="n">
        <v>0</v>
      </c>
      <c r="Q20321" t="n">
        <v>0</v>
      </c>
      <c r="R20321" s="2" t="inlineStr"/>
    </row>
    <row r="20322" ht="15" customHeight="1">
      <c r="A20322" t="inlineStr">
        <is>
          <t>A 25463-2025</t>
        </is>
      </c>
      <c r="B20322" s="1" t="n">
        <v>45802</v>
      </c>
      <c r="C20322" s="1" t="n">
        <v>45810</v>
      </c>
      <c r="D20322" t="inlineStr">
        <is>
          <t>VÄRMLANDS LÄN</t>
        </is>
      </c>
      <c r="E20322" t="inlineStr">
        <is>
          <t>ARVIKA</t>
        </is>
      </c>
      <c r="G20322" t="n">
        <v>2.6</v>
      </c>
      <c r="H20322" t="n">
        <v>0</v>
      </c>
      <c r="I20322" t="n">
        <v>0</v>
      </c>
      <c r="J20322" t="n">
        <v>0</v>
      </c>
      <c r="K20322" t="n">
        <v>0</v>
      </c>
      <c r="L20322" t="n">
        <v>0</v>
      </c>
      <c r="M20322" t="n">
        <v>0</v>
      </c>
      <c r="N20322" t="n">
        <v>0</v>
      </c>
      <c r="O20322" t="n">
        <v>0</v>
      </c>
      <c r="P20322" t="n">
        <v>0</v>
      </c>
      <c r="Q20322" t="n">
        <v>0</v>
      </c>
      <c r="R20322" s="2" t="inlineStr"/>
    </row>
    <row r="20323" ht="15" customHeight="1">
      <c r="A20323" t="inlineStr">
        <is>
          <t>A 25465-2025</t>
        </is>
      </c>
      <c r="B20323" s="1" t="n">
        <v>45802</v>
      </c>
      <c r="C20323" s="1" t="n">
        <v>45810</v>
      </c>
      <c r="D20323" t="inlineStr">
        <is>
          <t>VÄRMLANDS LÄN</t>
        </is>
      </c>
      <c r="E20323" t="inlineStr">
        <is>
          <t>TORSBY</t>
        </is>
      </c>
      <c r="G20323" t="n">
        <v>2.4</v>
      </c>
      <c r="H20323" t="n">
        <v>0</v>
      </c>
      <c r="I20323" t="n">
        <v>0</v>
      </c>
      <c r="J20323" t="n">
        <v>0</v>
      </c>
      <c r="K20323" t="n">
        <v>0</v>
      </c>
      <c r="L20323" t="n">
        <v>0</v>
      </c>
      <c r="M20323" t="n">
        <v>0</v>
      </c>
      <c r="N20323" t="n">
        <v>0</v>
      </c>
      <c r="O20323" t="n">
        <v>0</v>
      </c>
      <c r="P20323" t="n">
        <v>0</v>
      </c>
      <c r="Q20323" t="n">
        <v>0</v>
      </c>
      <c r="R20323" s="2" t="inlineStr"/>
    </row>
    <row r="20324" ht="15" customHeight="1">
      <c r="A20324" t="inlineStr">
        <is>
          <t>A 25462-2025</t>
        </is>
      </c>
      <c r="B20324" s="1" t="n">
        <v>45802</v>
      </c>
      <c r="C20324" s="1" t="n">
        <v>45810</v>
      </c>
      <c r="D20324" t="inlineStr">
        <is>
          <t>VÄRMLANDS LÄN</t>
        </is>
      </c>
      <c r="E20324" t="inlineStr">
        <is>
          <t>FORSHAGA</t>
        </is>
      </c>
      <c r="F20324" t="inlineStr">
        <is>
          <t>Bergvik skog väst AB</t>
        </is>
      </c>
      <c r="G20324" t="n">
        <v>0.8</v>
      </c>
      <c r="H20324" t="n">
        <v>0</v>
      </c>
      <c r="I20324" t="n">
        <v>0</v>
      </c>
      <c r="J20324" t="n">
        <v>0</v>
      </c>
      <c r="K20324" t="n">
        <v>0</v>
      </c>
      <c r="L20324" t="n">
        <v>0</v>
      </c>
      <c r="M20324" t="n">
        <v>0</v>
      </c>
      <c r="N20324" t="n">
        <v>0</v>
      </c>
      <c r="O20324" t="n">
        <v>0</v>
      </c>
      <c r="P20324" t="n">
        <v>0</v>
      </c>
      <c r="Q20324" t="n">
        <v>0</v>
      </c>
      <c r="R20324" s="2" t="inlineStr"/>
    </row>
    <row r="20325" ht="15" customHeight="1">
      <c r="A20325" t="inlineStr">
        <is>
          <t>A 25464-2025</t>
        </is>
      </c>
      <c r="B20325" s="1" t="n">
        <v>45802</v>
      </c>
      <c r="C20325" s="1" t="n">
        <v>45810</v>
      </c>
      <c r="D20325" t="inlineStr">
        <is>
          <t>VÄRMLANDS LÄN</t>
        </is>
      </c>
      <c r="E20325" t="inlineStr">
        <is>
          <t>TORSBY</t>
        </is>
      </c>
      <c r="G20325" t="n">
        <v>2.1</v>
      </c>
      <c r="H20325" t="n">
        <v>0</v>
      </c>
      <c r="I20325" t="n">
        <v>0</v>
      </c>
      <c r="J20325" t="n">
        <v>0</v>
      </c>
      <c r="K20325" t="n">
        <v>0</v>
      </c>
      <c r="L20325" t="n">
        <v>0</v>
      </c>
      <c r="M20325" t="n">
        <v>0</v>
      </c>
      <c r="N20325" t="n">
        <v>0</v>
      </c>
      <c r="O20325" t="n">
        <v>0</v>
      </c>
      <c r="P20325" t="n">
        <v>0</v>
      </c>
      <c r="Q20325" t="n">
        <v>0</v>
      </c>
      <c r="R20325" s="2" t="inlineStr"/>
    </row>
    <row r="20326" ht="15" customHeight="1">
      <c r="A20326" t="inlineStr">
        <is>
          <t>A 25484-2025</t>
        </is>
      </c>
      <c r="B20326" s="1" t="n">
        <v>45803</v>
      </c>
      <c r="C20326" s="1" t="n">
        <v>45810</v>
      </c>
      <c r="D20326" t="inlineStr">
        <is>
          <t>VÄRMLANDS LÄN</t>
        </is>
      </c>
      <c r="E20326" t="inlineStr">
        <is>
          <t>KRISTINEHAMN</t>
        </is>
      </c>
      <c r="F20326" t="inlineStr">
        <is>
          <t>Naturvårdsverket</t>
        </is>
      </c>
      <c r="G20326" t="n">
        <v>4.5</v>
      </c>
      <c r="H20326" t="n">
        <v>0</v>
      </c>
      <c r="I20326" t="n">
        <v>0</v>
      </c>
      <c r="J20326" t="n">
        <v>0</v>
      </c>
      <c r="K20326" t="n">
        <v>0</v>
      </c>
      <c r="L20326" t="n">
        <v>0</v>
      </c>
      <c r="M20326" t="n">
        <v>0</v>
      </c>
      <c r="N20326" t="n">
        <v>0</v>
      </c>
      <c r="O20326" t="n">
        <v>0</v>
      </c>
      <c r="P20326" t="n">
        <v>0</v>
      </c>
      <c r="Q20326" t="n">
        <v>0</v>
      </c>
      <c r="R20326" s="2" t="inlineStr"/>
    </row>
    <row r="20327" ht="15" customHeight="1">
      <c r="A20327" t="inlineStr">
        <is>
          <t>A 25483-2025</t>
        </is>
      </c>
      <c r="B20327" s="1" t="n">
        <v>45802</v>
      </c>
      <c r="C20327" s="1" t="n">
        <v>45810</v>
      </c>
      <c r="D20327" t="inlineStr">
        <is>
          <t>VÄRMLANDS LÄN</t>
        </is>
      </c>
      <c r="E20327" t="inlineStr">
        <is>
          <t>FILIPSTAD</t>
        </is>
      </c>
      <c r="F20327" t="inlineStr">
        <is>
          <t>Bergvik skog väst AB</t>
        </is>
      </c>
      <c r="G20327" t="n">
        <v>2.1</v>
      </c>
      <c r="H20327" t="n">
        <v>0</v>
      </c>
      <c r="I20327" t="n">
        <v>0</v>
      </c>
      <c r="J20327" t="n">
        <v>0</v>
      </c>
      <c r="K20327" t="n">
        <v>0</v>
      </c>
      <c r="L20327" t="n">
        <v>0</v>
      </c>
      <c r="M20327" t="n">
        <v>0</v>
      </c>
      <c r="N20327" t="n">
        <v>0</v>
      </c>
      <c r="O20327" t="n">
        <v>0</v>
      </c>
      <c r="P20327" t="n">
        <v>0</v>
      </c>
      <c r="Q20327" t="n">
        <v>0</v>
      </c>
      <c r="R20327" s="2" t="inlineStr"/>
    </row>
    <row r="20328" ht="15" customHeight="1">
      <c r="A20328" t="inlineStr">
        <is>
          <t>A 25648-2025</t>
        </is>
      </c>
      <c r="B20328" s="1" t="n">
        <v>45803</v>
      </c>
      <c r="C20328" s="1" t="n">
        <v>45810</v>
      </c>
      <c r="D20328" t="inlineStr">
        <is>
          <t>VÄRMLANDS LÄN</t>
        </is>
      </c>
      <c r="E20328" t="inlineStr">
        <is>
          <t>KRISTINEHAMN</t>
        </is>
      </c>
      <c r="F20328" t="inlineStr">
        <is>
          <t>Naturvårdsverket</t>
        </is>
      </c>
      <c r="G20328" t="n">
        <v>1</v>
      </c>
      <c r="H20328" t="n">
        <v>0</v>
      </c>
      <c r="I20328" t="n">
        <v>0</v>
      </c>
      <c r="J20328" t="n">
        <v>0</v>
      </c>
      <c r="K20328" t="n">
        <v>0</v>
      </c>
      <c r="L20328" t="n">
        <v>0</v>
      </c>
      <c r="M20328" t="n">
        <v>0</v>
      </c>
      <c r="N20328" t="n">
        <v>0</v>
      </c>
      <c r="O20328" t="n">
        <v>0</v>
      </c>
      <c r="P20328" t="n">
        <v>0</v>
      </c>
      <c r="Q20328" t="n">
        <v>0</v>
      </c>
      <c r="R20328" s="2" t="inlineStr"/>
    </row>
    <row r="20329" ht="15" customHeight="1">
      <c r="A20329" t="inlineStr">
        <is>
          <t>A 25628-2025</t>
        </is>
      </c>
      <c r="B20329" s="1" t="n">
        <v>45803</v>
      </c>
      <c r="C20329" s="1" t="n">
        <v>45810</v>
      </c>
      <c r="D20329" t="inlineStr">
        <is>
          <t>VÄRMLANDS LÄN</t>
        </is>
      </c>
      <c r="E20329" t="inlineStr">
        <is>
          <t>KRISTINEHAMN</t>
        </is>
      </c>
      <c r="F20329" t="inlineStr">
        <is>
          <t>Naturvårdsverket</t>
        </is>
      </c>
      <c r="G20329" t="n">
        <v>3.4</v>
      </c>
      <c r="H20329" t="n">
        <v>0</v>
      </c>
      <c r="I20329" t="n">
        <v>0</v>
      </c>
      <c r="J20329" t="n">
        <v>0</v>
      </c>
      <c r="K20329" t="n">
        <v>0</v>
      </c>
      <c r="L20329" t="n">
        <v>0</v>
      </c>
      <c r="M20329" t="n">
        <v>0</v>
      </c>
      <c r="N20329" t="n">
        <v>0</v>
      </c>
      <c r="O20329" t="n">
        <v>0</v>
      </c>
      <c r="P20329" t="n">
        <v>0</v>
      </c>
      <c r="Q20329" t="n">
        <v>0</v>
      </c>
      <c r="R20329" s="2" t="inlineStr"/>
    </row>
    <row r="20330" ht="15" customHeight="1">
      <c r="A20330" t="inlineStr">
        <is>
          <t>A 25720-2025</t>
        </is>
      </c>
      <c r="B20330" s="1" t="n">
        <v>45803</v>
      </c>
      <c r="C20330" s="1" t="n">
        <v>45810</v>
      </c>
      <c r="D20330" t="inlineStr">
        <is>
          <t>VÄRMLANDS LÄN</t>
        </is>
      </c>
      <c r="E20330" t="inlineStr">
        <is>
          <t>STORFORS</t>
        </is>
      </c>
      <c r="F20330" t="inlineStr">
        <is>
          <t>Bergvik skog väst AB</t>
        </is>
      </c>
      <c r="G20330" t="n">
        <v>1</v>
      </c>
      <c r="H20330" t="n">
        <v>0</v>
      </c>
      <c r="I20330" t="n">
        <v>0</v>
      </c>
      <c r="J20330" t="n">
        <v>0</v>
      </c>
      <c r="K20330" t="n">
        <v>0</v>
      </c>
      <c r="L20330" t="n">
        <v>0</v>
      </c>
      <c r="M20330" t="n">
        <v>0</v>
      </c>
      <c r="N20330" t="n">
        <v>0</v>
      </c>
      <c r="O20330" t="n">
        <v>0</v>
      </c>
      <c r="P20330" t="n">
        <v>0</v>
      </c>
      <c r="Q20330" t="n">
        <v>0</v>
      </c>
      <c r="R20330" s="2" t="inlineStr"/>
    </row>
    <row r="20331" ht="15" customHeight="1">
      <c r="A20331" t="inlineStr">
        <is>
          <t>A 25545-2025</t>
        </is>
      </c>
      <c r="B20331" s="1" t="n">
        <v>45803</v>
      </c>
      <c r="C20331" s="1" t="n">
        <v>45810</v>
      </c>
      <c r="D20331" t="inlineStr">
        <is>
          <t>VÄRMLANDS LÄN</t>
        </is>
      </c>
      <c r="E20331" t="inlineStr">
        <is>
          <t>TORSBY</t>
        </is>
      </c>
      <c r="G20331" t="n">
        <v>3.2</v>
      </c>
      <c r="H20331" t="n">
        <v>0</v>
      </c>
      <c r="I20331" t="n">
        <v>0</v>
      </c>
      <c r="J20331" t="n">
        <v>0</v>
      </c>
      <c r="K20331" t="n">
        <v>0</v>
      </c>
      <c r="L20331" t="n">
        <v>0</v>
      </c>
      <c r="M20331" t="n">
        <v>0</v>
      </c>
      <c r="N20331" t="n">
        <v>0</v>
      </c>
      <c r="O20331" t="n">
        <v>0</v>
      </c>
      <c r="P20331" t="n">
        <v>0</v>
      </c>
      <c r="Q20331" t="n">
        <v>0</v>
      </c>
      <c r="R20331" s="2" t="inlineStr"/>
    </row>
    <row r="20332" ht="15" customHeight="1">
      <c r="A20332" t="inlineStr">
        <is>
          <t>A 25727-2025</t>
        </is>
      </c>
      <c r="B20332" s="1" t="n">
        <v>45803</v>
      </c>
      <c r="C20332" s="1" t="n">
        <v>45810</v>
      </c>
      <c r="D20332" t="inlineStr">
        <is>
          <t>VÄRMLANDS LÄN</t>
        </is>
      </c>
      <c r="E20332" t="inlineStr">
        <is>
          <t>STORFORS</t>
        </is>
      </c>
      <c r="F20332" t="inlineStr">
        <is>
          <t>Bergvik skog väst AB</t>
        </is>
      </c>
      <c r="G20332" t="n">
        <v>3.9</v>
      </c>
      <c r="H20332" t="n">
        <v>0</v>
      </c>
      <c r="I20332" t="n">
        <v>0</v>
      </c>
      <c r="J20332" t="n">
        <v>0</v>
      </c>
      <c r="K20332" t="n">
        <v>0</v>
      </c>
      <c r="L20332" t="n">
        <v>0</v>
      </c>
      <c r="M20332" t="n">
        <v>0</v>
      </c>
      <c r="N20332" t="n">
        <v>0</v>
      </c>
      <c r="O20332" t="n">
        <v>0</v>
      </c>
      <c r="P20332" t="n">
        <v>0</v>
      </c>
      <c r="Q20332" t="n">
        <v>0</v>
      </c>
      <c r="R20332" s="2" t="inlineStr"/>
    </row>
    <row r="20333" ht="15" customHeight="1">
      <c r="A20333" t="inlineStr">
        <is>
          <t>A 25491-2025</t>
        </is>
      </c>
      <c r="B20333" s="1" t="n">
        <v>45803</v>
      </c>
      <c r="C20333" s="1" t="n">
        <v>45810</v>
      </c>
      <c r="D20333" t="inlineStr">
        <is>
          <t>VÄRMLANDS LÄN</t>
        </is>
      </c>
      <c r="E20333" t="inlineStr">
        <is>
          <t>GRUMS</t>
        </is>
      </c>
      <c r="G20333" t="n">
        <v>2.3</v>
      </c>
      <c r="H20333" t="n">
        <v>0</v>
      </c>
      <c r="I20333" t="n">
        <v>0</v>
      </c>
      <c r="J20333" t="n">
        <v>0</v>
      </c>
      <c r="K20333" t="n">
        <v>0</v>
      </c>
      <c r="L20333" t="n">
        <v>0</v>
      </c>
      <c r="M20333" t="n">
        <v>0</v>
      </c>
      <c r="N20333" t="n">
        <v>0</v>
      </c>
      <c r="O20333" t="n">
        <v>0</v>
      </c>
      <c r="P20333" t="n">
        <v>0</v>
      </c>
      <c r="Q20333" t="n">
        <v>0</v>
      </c>
      <c r="R20333" s="2" t="inlineStr"/>
    </row>
    <row r="20334" ht="15" customHeight="1">
      <c r="A20334" t="inlineStr">
        <is>
          <t>A 25508-2025</t>
        </is>
      </c>
      <c r="B20334" s="1" t="n">
        <v>45803</v>
      </c>
      <c r="C20334" s="1" t="n">
        <v>45810</v>
      </c>
      <c r="D20334" t="inlineStr">
        <is>
          <t>VÄRMLANDS LÄN</t>
        </is>
      </c>
      <c r="E20334" t="inlineStr">
        <is>
          <t>TORSBY</t>
        </is>
      </c>
      <c r="G20334" t="n">
        <v>3.9</v>
      </c>
      <c r="H20334" t="n">
        <v>0</v>
      </c>
      <c r="I20334" t="n">
        <v>0</v>
      </c>
      <c r="J20334" t="n">
        <v>0</v>
      </c>
      <c r="K20334" t="n">
        <v>0</v>
      </c>
      <c r="L20334" t="n">
        <v>0</v>
      </c>
      <c r="M20334" t="n">
        <v>0</v>
      </c>
      <c r="N20334" t="n">
        <v>0</v>
      </c>
      <c r="O20334" t="n">
        <v>0</v>
      </c>
      <c r="P20334" t="n">
        <v>0</v>
      </c>
      <c r="Q20334" t="n">
        <v>0</v>
      </c>
      <c r="R20334" s="2" t="inlineStr"/>
    </row>
    <row r="20335" ht="15" customHeight="1">
      <c r="A20335" t="inlineStr">
        <is>
          <t>A 25558-2025</t>
        </is>
      </c>
      <c r="B20335" s="1" t="n">
        <v>45803</v>
      </c>
      <c r="C20335" s="1" t="n">
        <v>45810</v>
      </c>
      <c r="D20335" t="inlineStr">
        <is>
          <t>VÄRMLANDS LÄN</t>
        </is>
      </c>
      <c r="E20335" t="inlineStr">
        <is>
          <t>KARLSTAD</t>
        </is>
      </c>
      <c r="G20335" t="n">
        <v>1.4</v>
      </c>
      <c r="H20335" t="n">
        <v>0</v>
      </c>
      <c r="I20335" t="n">
        <v>0</v>
      </c>
      <c r="J20335" t="n">
        <v>0</v>
      </c>
      <c r="K20335" t="n">
        <v>0</v>
      </c>
      <c r="L20335" t="n">
        <v>0</v>
      </c>
      <c r="M20335" t="n">
        <v>0</v>
      </c>
      <c r="N20335" t="n">
        <v>0</v>
      </c>
      <c r="O20335" t="n">
        <v>0</v>
      </c>
      <c r="P20335" t="n">
        <v>0</v>
      </c>
      <c r="Q20335" t="n">
        <v>0</v>
      </c>
      <c r="R20335" s="2" t="inlineStr"/>
    </row>
    <row r="20336" ht="15" customHeight="1">
      <c r="A20336" t="inlineStr">
        <is>
          <t>A 25511-2025</t>
        </is>
      </c>
      <c r="B20336" s="1" t="n">
        <v>45803</v>
      </c>
      <c r="C20336" s="1" t="n">
        <v>45810</v>
      </c>
      <c r="D20336" t="inlineStr">
        <is>
          <t>VÄRMLANDS LÄN</t>
        </is>
      </c>
      <c r="E20336" t="inlineStr">
        <is>
          <t>EDA</t>
        </is>
      </c>
      <c r="G20336" t="n">
        <v>1</v>
      </c>
      <c r="H20336" t="n">
        <v>0</v>
      </c>
      <c r="I20336" t="n">
        <v>0</v>
      </c>
      <c r="J20336" t="n">
        <v>0</v>
      </c>
      <c r="K20336" t="n">
        <v>0</v>
      </c>
      <c r="L20336" t="n">
        <v>0</v>
      </c>
      <c r="M20336" t="n">
        <v>0</v>
      </c>
      <c r="N20336" t="n">
        <v>0</v>
      </c>
      <c r="O20336" t="n">
        <v>0</v>
      </c>
      <c r="P20336" t="n">
        <v>0</v>
      </c>
      <c r="Q20336" t="n">
        <v>0</v>
      </c>
      <c r="R20336" s="2" t="inlineStr"/>
    </row>
    <row r="20337" ht="15" customHeight="1">
      <c r="A20337" t="inlineStr">
        <is>
          <t>A 25489-2025</t>
        </is>
      </c>
      <c r="B20337" s="1" t="n">
        <v>45803</v>
      </c>
      <c r="C20337" s="1" t="n">
        <v>45810</v>
      </c>
      <c r="D20337" t="inlineStr">
        <is>
          <t>VÄRMLANDS LÄN</t>
        </is>
      </c>
      <c r="E20337" t="inlineStr">
        <is>
          <t>ARVIKA</t>
        </is>
      </c>
      <c r="G20337" t="n">
        <v>1.9</v>
      </c>
      <c r="H20337" t="n">
        <v>0</v>
      </c>
      <c r="I20337" t="n">
        <v>0</v>
      </c>
      <c r="J20337" t="n">
        <v>0</v>
      </c>
      <c r="K20337" t="n">
        <v>0</v>
      </c>
      <c r="L20337" t="n">
        <v>0</v>
      </c>
      <c r="M20337" t="n">
        <v>0</v>
      </c>
      <c r="N20337" t="n">
        <v>0</v>
      </c>
      <c r="O20337" t="n">
        <v>0</v>
      </c>
      <c r="P20337" t="n">
        <v>0</v>
      </c>
      <c r="Q20337" t="n">
        <v>0</v>
      </c>
      <c r="R20337" s="2" t="inlineStr"/>
    </row>
    <row r="20338" ht="15" customHeight="1">
      <c r="A20338" t="inlineStr">
        <is>
          <t>A 25723-2025</t>
        </is>
      </c>
      <c r="B20338" s="1" t="n">
        <v>45803</v>
      </c>
      <c r="C20338" s="1" t="n">
        <v>45810</v>
      </c>
      <c r="D20338" t="inlineStr">
        <is>
          <t>VÄRMLANDS LÄN</t>
        </is>
      </c>
      <c r="E20338" t="inlineStr">
        <is>
          <t>STORFORS</t>
        </is>
      </c>
      <c r="F20338" t="inlineStr">
        <is>
          <t>Bergvik skog väst AB</t>
        </is>
      </c>
      <c r="G20338" t="n">
        <v>1.5</v>
      </c>
      <c r="H20338" t="n">
        <v>0</v>
      </c>
      <c r="I20338" t="n">
        <v>0</v>
      </c>
      <c r="J20338" t="n">
        <v>0</v>
      </c>
      <c r="K20338" t="n">
        <v>0</v>
      </c>
      <c r="L20338" t="n">
        <v>0</v>
      </c>
      <c r="M20338" t="n">
        <v>0</v>
      </c>
      <c r="N20338" t="n">
        <v>0</v>
      </c>
      <c r="O20338" t="n">
        <v>0</v>
      </c>
      <c r="P20338" t="n">
        <v>0</v>
      </c>
      <c r="Q20338" t="n">
        <v>0</v>
      </c>
      <c r="R20338" s="2" t="inlineStr"/>
    </row>
    <row r="20339" ht="15" customHeight="1">
      <c r="A20339" t="inlineStr">
        <is>
          <t>A 25487-2025</t>
        </is>
      </c>
      <c r="B20339" s="1" t="n">
        <v>45803</v>
      </c>
      <c r="C20339" s="1" t="n">
        <v>45810</v>
      </c>
      <c r="D20339" t="inlineStr">
        <is>
          <t>VÄRMLANDS LÄN</t>
        </is>
      </c>
      <c r="E20339" t="inlineStr">
        <is>
          <t>ARVIKA</t>
        </is>
      </c>
      <c r="G20339" t="n">
        <v>1.8</v>
      </c>
      <c r="H20339" t="n">
        <v>0</v>
      </c>
      <c r="I20339" t="n">
        <v>0</v>
      </c>
      <c r="J20339" t="n">
        <v>0</v>
      </c>
      <c r="K20339" t="n">
        <v>0</v>
      </c>
      <c r="L20339" t="n">
        <v>0</v>
      </c>
      <c r="M20339" t="n">
        <v>0</v>
      </c>
      <c r="N20339" t="n">
        <v>0</v>
      </c>
      <c r="O20339" t="n">
        <v>0</v>
      </c>
      <c r="P20339" t="n">
        <v>0</v>
      </c>
      <c r="Q20339" t="n">
        <v>0</v>
      </c>
      <c r="R20339" s="2" t="inlineStr"/>
    </row>
    <row r="20340" ht="15" customHeight="1">
      <c r="A20340" t="inlineStr">
        <is>
          <t>A 25653-2025</t>
        </is>
      </c>
      <c r="B20340" s="1" t="n">
        <v>45803</v>
      </c>
      <c r="C20340" s="1" t="n">
        <v>45810</v>
      </c>
      <c r="D20340" t="inlineStr">
        <is>
          <t>VÄRMLANDS LÄN</t>
        </is>
      </c>
      <c r="E20340" t="inlineStr">
        <is>
          <t>TORSBY</t>
        </is>
      </c>
      <c r="F20340" t="inlineStr">
        <is>
          <t>Bergvik skog väst AB</t>
        </is>
      </c>
      <c r="G20340" t="n">
        <v>6.1</v>
      </c>
      <c r="H20340" t="n">
        <v>0</v>
      </c>
      <c r="I20340" t="n">
        <v>0</v>
      </c>
      <c r="J20340" t="n">
        <v>0</v>
      </c>
      <c r="K20340" t="n">
        <v>0</v>
      </c>
      <c r="L20340" t="n">
        <v>0</v>
      </c>
      <c r="M20340" t="n">
        <v>0</v>
      </c>
      <c r="N20340" t="n">
        <v>0</v>
      </c>
      <c r="O20340" t="n">
        <v>0</v>
      </c>
      <c r="P20340" t="n">
        <v>0</v>
      </c>
      <c r="Q20340" t="n">
        <v>0</v>
      </c>
      <c r="R20340" s="2" t="inlineStr"/>
    </row>
    <row r="20341" ht="15" customHeight="1">
      <c r="A20341" t="inlineStr">
        <is>
          <t>A 25728-2025</t>
        </is>
      </c>
      <c r="B20341" s="1" t="n">
        <v>45803</v>
      </c>
      <c r="C20341" s="1" t="n">
        <v>45810</v>
      </c>
      <c r="D20341" t="inlineStr">
        <is>
          <t>VÄRMLANDS LÄN</t>
        </is>
      </c>
      <c r="E20341" t="inlineStr">
        <is>
          <t>EDA</t>
        </is>
      </c>
      <c r="G20341" t="n">
        <v>0.5</v>
      </c>
      <c r="H20341" t="n">
        <v>0</v>
      </c>
      <c r="I20341" t="n">
        <v>0</v>
      </c>
      <c r="J20341" t="n">
        <v>0</v>
      </c>
      <c r="K20341" t="n">
        <v>0</v>
      </c>
      <c r="L20341" t="n">
        <v>0</v>
      </c>
      <c r="M20341" t="n">
        <v>0</v>
      </c>
      <c r="N20341" t="n">
        <v>0</v>
      </c>
      <c r="O20341" t="n">
        <v>0</v>
      </c>
      <c r="P20341" t="n">
        <v>0</v>
      </c>
      <c r="Q20341" t="n">
        <v>0</v>
      </c>
      <c r="R20341" s="2" t="inlineStr"/>
    </row>
    <row r="20342" ht="15" customHeight="1">
      <c r="A20342" t="inlineStr">
        <is>
          <t>A 25664-2025</t>
        </is>
      </c>
      <c r="B20342" s="1" t="n">
        <v>45803</v>
      </c>
      <c r="C20342" s="1" t="n">
        <v>45810</v>
      </c>
      <c r="D20342" t="inlineStr">
        <is>
          <t>VÄRMLANDS LÄN</t>
        </is>
      </c>
      <c r="E20342" t="inlineStr">
        <is>
          <t>KRISTINEHAMN</t>
        </is>
      </c>
      <c r="F20342" t="inlineStr">
        <is>
          <t>Naturvårdsverket</t>
        </is>
      </c>
      <c r="G20342" t="n">
        <v>11.9</v>
      </c>
      <c r="H20342" t="n">
        <v>0</v>
      </c>
      <c r="I20342" t="n">
        <v>0</v>
      </c>
      <c r="J20342" t="n">
        <v>0</v>
      </c>
      <c r="K20342" t="n">
        <v>0</v>
      </c>
      <c r="L20342" t="n">
        <v>0</v>
      </c>
      <c r="M20342" t="n">
        <v>0</v>
      </c>
      <c r="N20342" t="n">
        <v>0</v>
      </c>
      <c r="O20342" t="n">
        <v>0</v>
      </c>
      <c r="P20342" t="n">
        <v>0</v>
      </c>
      <c r="Q20342" t="n">
        <v>0</v>
      </c>
      <c r="R20342" s="2" t="inlineStr"/>
    </row>
    <row r="20343" ht="15" customHeight="1">
      <c r="A20343" t="inlineStr">
        <is>
          <t>A 25490-2025</t>
        </is>
      </c>
      <c r="B20343" s="1" t="n">
        <v>45803</v>
      </c>
      <c r="C20343" s="1" t="n">
        <v>45810</v>
      </c>
      <c r="D20343" t="inlineStr">
        <is>
          <t>VÄRMLANDS LÄN</t>
        </is>
      </c>
      <c r="E20343" t="inlineStr">
        <is>
          <t>HAGFORS</t>
        </is>
      </c>
      <c r="G20343" t="n">
        <v>1.8</v>
      </c>
      <c r="H20343" t="n">
        <v>0</v>
      </c>
      <c r="I20343" t="n">
        <v>0</v>
      </c>
      <c r="J20343" t="n">
        <v>0</v>
      </c>
      <c r="K20343" t="n">
        <v>0</v>
      </c>
      <c r="L20343" t="n">
        <v>0</v>
      </c>
      <c r="M20343" t="n">
        <v>0</v>
      </c>
      <c r="N20343" t="n">
        <v>0</v>
      </c>
      <c r="O20343" t="n">
        <v>0</v>
      </c>
      <c r="P20343" t="n">
        <v>0</v>
      </c>
      <c r="Q20343" t="n">
        <v>0</v>
      </c>
      <c r="R20343" s="2" t="inlineStr"/>
    </row>
    <row r="20344" ht="15" customHeight="1">
      <c r="A20344" t="inlineStr">
        <is>
          <t>A 25736-2025</t>
        </is>
      </c>
      <c r="B20344" s="1" t="n">
        <v>45803</v>
      </c>
      <c r="C20344" s="1" t="n">
        <v>45810</v>
      </c>
      <c r="D20344" t="inlineStr">
        <is>
          <t>VÄRMLANDS LÄN</t>
        </is>
      </c>
      <c r="E20344" t="inlineStr">
        <is>
          <t>KARLSTAD</t>
        </is>
      </c>
      <c r="G20344" t="n">
        <v>0.9</v>
      </c>
      <c r="H20344" t="n">
        <v>0</v>
      </c>
      <c r="I20344" t="n">
        <v>0</v>
      </c>
      <c r="J20344" t="n">
        <v>0</v>
      </c>
      <c r="K20344" t="n">
        <v>0</v>
      </c>
      <c r="L20344" t="n">
        <v>0</v>
      </c>
      <c r="M20344" t="n">
        <v>0</v>
      </c>
      <c r="N20344" t="n">
        <v>0</v>
      </c>
      <c r="O20344" t="n">
        <v>0</v>
      </c>
      <c r="P20344" t="n">
        <v>0</v>
      </c>
      <c r="Q20344" t="n">
        <v>0</v>
      </c>
      <c r="R20344" s="2" t="inlineStr"/>
    </row>
    <row r="20345" ht="15" customHeight="1">
      <c r="A20345" t="inlineStr">
        <is>
          <t>A 25881-2025</t>
        </is>
      </c>
      <c r="B20345" s="1" t="n">
        <v>45804</v>
      </c>
      <c r="C20345" s="1" t="n">
        <v>45810</v>
      </c>
      <c r="D20345" t="inlineStr">
        <is>
          <t>VÄRMLANDS LÄN</t>
        </is>
      </c>
      <c r="E20345" t="inlineStr">
        <is>
          <t>TORSBY</t>
        </is>
      </c>
      <c r="G20345" t="n">
        <v>5.3</v>
      </c>
      <c r="H20345" t="n">
        <v>0</v>
      </c>
      <c r="I20345" t="n">
        <v>0</v>
      </c>
      <c r="J20345" t="n">
        <v>0</v>
      </c>
      <c r="K20345" t="n">
        <v>0</v>
      </c>
      <c r="L20345" t="n">
        <v>0</v>
      </c>
      <c r="M20345" t="n">
        <v>0</v>
      </c>
      <c r="N20345" t="n">
        <v>0</v>
      </c>
      <c r="O20345" t="n">
        <v>0</v>
      </c>
      <c r="P20345" t="n">
        <v>0</v>
      </c>
      <c r="Q20345" t="n">
        <v>0</v>
      </c>
      <c r="R20345" s="2" t="inlineStr"/>
    </row>
    <row r="20346" ht="15" customHeight="1">
      <c r="A20346" t="inlineStr">
        <is>
          <t>A 25888-2025</t>
        </is>
      </c>
      <c r="B20346" s="1" t="n">
        <v>45804</v>
      </c>
      <c r="C20346" s="1" t="n">
        <v>45810</v>
      </c>
      <c r="D20346" t="inlineStr">
        <is>
          <t>VÄRMLANDS LÄN</t>
        </is>
      </c>
      <c r="E20346" t="inlineStr">
        <is>
          <t>KRISTINEHAMN</t>
        </is>
      </c>
      <c r="G20346" t="n">
        <v>5.9</v>
      </c>
      <c r="H20346" t="n">
        <v>0</v>
      </c>
      <c r="I20346" t="n">
        <v>0</v>
      </c>
      <c r="J20346" t="n">
        <v>0</v>
      </c>
      <c r="K20346" t="n">
        <v>0</v>
      </c>
      <c r="L20346" t="n">
        <v>0</v>
      </c>
      <c r="M20346" t="n">
        <v>0</v>
      </c>
      <c r="N20346" t="n">
        <v>0</v>
      </c>
      <c r="O20346" t="n">
        <v>0</v>
      </c>
      <c r="P20346" t="n">
        <v>0</v>
      </c>
      <c r="Q20346" t="n">
        <v>0</v>
      </c>
      <c r="R20346" s="2" t="inlineStr"/>
    </row>
    <row r="20347" ht="15" customHeight="1">
      <c r="A20347" t="inlineStr">
        <is>
          <t>A 25866-2025</t>
        </is>
      </c>
      <c r="B20347" s="1" t="n">
        <v>45804</v>
      </c>
      <c r="C20347" s="1" t="n">
        <v>45810</v>
      </c>
      <c r="D20347" t="inlineStr">
        <is>
          <t>VÄRMLANDS LÄN</t>
        </is>
      </c>
      <c r="E20347" t="inlineStr">
        <is>
          <t>TORSBY</t>
        </is>
      </c>
      <c r="G20347" t="n">
        <v>1.3</v>
      </c>
      <c r="H20347" t="n">
        <v>0</v>
      </c>
      <c r="I20347" t="n">
        <v>0</v>
      </c>
      <c r="J20347" t="n">
        <v>0</v>
      </c>
      <c r="K20347" t="n">
        <v>0</v>
      </c>
      <c r="L20347" t="n">
        <v>0</v>
      </c>
      <c r="M20347" t="n">
        <v>0</v>
      </c>
      <c r="N20347" t="n">
        <v>0</v>
      </c>
      <c r="O20347" t="n">
        <v>0</v>
      </c>
      <c r="P20347" t="n">
        <v>0</v>
      </c>
      <c r="Q20347" t="n">
        <v>0</v>
      </c>
      <c r="R20347" s="2" t="inlineStr"/>
    </row>
    <row r="20348" ht="15" customHeight="1">
      <c r="A20348" t="inlineStr">
        <is>
          <t>A 25803-2025</t>
        </is>
      </c>
      <c r="B20348" s="1" t="n">
        <v>45804</v>
      </c>
      <c r="C20348" s="1" t="n">
        <v>45810</v>
      </c>
      <c r="D20348" t="inlineStr">
        <is>
          <t>VÄRMLANDS LÄN</t>
        </is>
      </c>
      <c r="E20348" t="inlineStr">
        <is>
          <t>TORSBY</t>
        </is>
      </c>
      <c r="G20348" t="n">
        <v>2.3</v>
      </c>
      <c r="H20348" t="n">
        <v>0</v>
      </c>
      <c r="I20348" t="n">
        <v>0</v>
      </c>
      <c r="J20348" t="n">
        <v>0</v>
      </c>
      <c r="K20348" t="n">
        <v>0</v>
      </c>
      <c r="L20348" t="n">
        <v>0</v>
      </c>
      <c r="M20348" t="n">
        <v>0</v>
      </c>
      <c r="N20348" t="n">
        <v>0</v>
      </c>
      <c r="O20348" t="n">
        <v>0</v>
      </c>
      <c r="P20348" t="n">
        <v>0</v>
      </c>
      <c r="Q20348" t="n">
        <v>0</v>
      </c>
      <c r="R20348" s="2" t="inlineStr"/>
    </row>
    <row r="20349" ht="15" customHeight="1">
      <c r="A20349" t="inlineStr">
        <is>
          <t>A 25808-2025</t>
        </is>
      </c>
      <c r="B20349" s="1" t="n">
        <v>45804</v>
      </c>
      <c r="C20349" s="1" t="n">
        <v>45810</v>
      </c>
      <c r="D20349" t="inlineStr">
        <is>
          <t>VÄRMLANDS LÄN</t>
        </is>
      </c>
      <c r="E20349" t="inlineStr">
        <is>
          <t>TORSBY</t>
        </is>
      </c>
      <c r="G20349" t="n">
        <v>0.6</v>
      </c>
      <c r="H20349" t="n">
        <v>0</v>
      </c>
      <c r="I20349" t="n">
        <v>0</v>
      </c>
      <c r="J20349" t="n">
        <v>0</v>
      </c>
      <c r="K20349" t="n">
        <v>0</v>
      </c>
      <c r="L20349" t="n">
        <v>0</v>
      </c>
      <c r="M20349" t="n">
        <v>0</v>
      </c>
      <c r="N20349" t="n">
        <v>0</v>
      </c>
      <c r="O20349" t="n">
        <v>0</v>
      </c>
      <c r="P20349" t="n">
        <v>0</v>
      </c>
      <c r="Q20349" t="n">
        <v>0</v>
      </c>
      <c r="R20349" s="2" t="inlineStr"/>
    </row>
    <row r="20350" ht="15" customHeight="1">
      <c r="A20350" t="inlineStr">
        <is>
          <t>A 25959-2025</t>
        </is>
      </c>
      <c r="B20350" s="1" t="n">
        <v>45804</v>
      </c>
      <c r="C20350" s="1" t="n">
        <v>45810</v>
      </c>
      <c r="D20350" t="inlineStr">
        <is>
          <t>VÄRMLANDS LÄN</t>
        </is>
      </c>
      <c r="E20350" t="inlineStr">
        <is>
          <t>TORSBY</t>
        </is>
      </c>
      <c r="F20350" t="inlineStr">
        <is>
          <t>Bergvik skog väst AB</t>
        </is>
      </c>
      <c r="G20350" t="n">
        <v>17.6</v>
      </c>
      <c r="H20350" t="n">
        <v>0</v>
      </c>
      <c r="I20350" t="n">
        <v>0</v>
      </c>
      <c r="J20350" t="n">
        <v>0</v>
      </c>
      <c r="K20350" t="n">
        <v>0</v>
      </c>
      <c r="L20350" t="n">
        <v>0</v>
      </c>
      <c r="M20350" t="n">
        <v>0</v>
      </c>
      <c r="N20350" t="n">
        <v>0</v>
      </c>
      <c r="O20350" t="n">
        <v>0</v>
      </c>
      <c r="P20350" t="n">
        <v>0</v>
      </c>
      <c r="Q20350" t="n">
        <v>0</v>
      </c>
      <c r="R20350" s="2" t="inlineStr"/>
    </row>
    <row r="20351" ht="15" customHeight="1">
      <c r="A20351" t="inlineStr">
        <is>
          <t>A 25862-2025</t>
        </is>
      </c>
      <c r="B20351" s="1" t="n">
        <v>45804</v>
      </c>
      <c r="C20351" s="1" t="n">
        <v>45810</v>
      </c>
      <c r="D20351" t="inlineStr">
        <is>
          <t>VÄRMLANDS LÄN</t>
        </is>
      </c>
      <c r="E20351" t="inlineStr">
        <is>
          <t>ARVIKA</t>
        </is>
      </c>
      <c r="F20351" t="inlineStr">
        <is>
          <t>Bergvik skog väst AB</t>
        </is>
      </c>
      <c r="G20351" t="n">
        <v>2.2</v>
      </c>
      <c r="H20351" t="n">
        <v>0</v>
      </c>
      <c r="I20351" t="n">
        <v>0</v>
      </c>
      <c r="J20351" t="n">
        <v>0</v>
      </c>
      <c r="K20351" t="n">
        <v>0</v>
      </c>
      <c r="L20351" t="n">
        <v>0</v>
      </c>
      <c r="M20351" t="n">
        <v>0</v>
      </c>
      <c r="N20351" t="n">
        <v>0</v>
      </c>
      <c r="O20351" t="n">
        <v>0</v>
      </c>
      <c r="P20351" t="n">
        <v>0</v>
      </c>
      <c r="Q20351" t="n">
        <v>0</v>
      </c>
      <c r="R20351" s="2" t="inlineStr"/>
    </row>
    <row r="20352" ht="15" customHeight="1">
      <c r="A20352" t="inlineStr">
        <is>
          <t>A 25788-2025</t>
        </is>
      </c>
      <c r="B20352" s="1" t="n">
        <v>45804</v>
      </c>
      <c r="C20352" s="1" t="n">
        <v>45810</v>
      </c>
      <c r="D20352" t="inlineStr">
        <is>
          <t>VÄRMLANDS LÄN</t>
        </is>
      </c>
      <c r="E20352" t="inlineStr">
        <is>
          <t>ARVIKA</t>
        </is>
      </c>
      <c r="G20352" t="n">
        <v>1.5</v>
      </c>
      <c r="H20352" t="n">
        <v>0</v>
      </c>
      <c r="I20352" t="n">
        <v>0</v>
      </c>
      <c r="J20352" t="n">
        <v>0</v>
      </c>
      <c r="K20352" t="n">
        <v>0</v>
      </c>
      <c r="L20352" t="n">
        <v>0</v>
      </c>
      <c r="M20352" t="n">
        <v>0</v>
      </c>
      <c r="N20352" t="n">
        <v>0</v>
      </c>
      <c r="O20352" t="n">
        <v>0</v>
      </c>
      <c r="P20352" t="n">
        <v>0</v>
      </c>
      <c r="Q20352" t="n">
        <v>0</v>
      </c>
      <c r="R20352" s="2" t="inlineStr"/>
    </row>
    <row r="20353" ht="15" customHeight="1">
      <c r="A20353" t="inlineStr">
        <is>
          <t>A 25961-2025</t>
        </is>
      </c>
      <c r="B20353" s="1" t="n">
        <v>45804</v>
      </c>
      <c r="C20353" s="1" t="n">
        <v>45810</v>
      </c>
      <c r="D20353" t="inlineStr">
        <is>
          <t>VÄRMLANDS LÄN</t>
        </is>
      </c>
      <c r="E20353" t="inlineStr">
        <is>
          <t>TORSBY</t>
        </is>
      </c>
      <c r="G20353" t="n">
        <v>17.8</v>
      </c>
      <c r="H20353" t="n">
        <v>0</v>
      </c>
      <c r="I20353" t="n">
        <v>0</v>
      </c>
      <c r="J20353" t="n">
        <v>0</v>
      </c>
      <c r="K20353" t="n">
        <v>0</v>
      </c>
      <c r="L20353" t="n">
        <v>0</v>
      </c>
      <c r="M20353" t="n">
        <v>0</v>
      </c>
      <c r="N20353" t="n">
        <v>0</v>
      </c>
      <c r="O20353" t="n">
        <v>0</v>
      </c>
      <c r="P20353" t="n">
        <v>0</v>
      </c>
      <c r="Q20353" t="n">
        <v>0</v>
      </c>
      <c r="R20353" s="2" t="inlineStr"/>
    </row>
    <row r="20354" ht="15" customHeight="1">
      <c r="A20354" t="inlineStr">
        <is>
          <t>A 25915-2025</t>
        </is>
      </c>
      <c r="B20354" s="1" t="n">
        <v>45804</v>
      </c>
      <c r="C20354" s="1" t="n">
        <v>45810</v>
      </c>
      <c r="D20354" t="inlineStr">
        <is>
          <t>VÄRMLANDS LÄN</t>
        </is>
      </c>
      <c r="E20354" t="inlineStr">
        <is>
          <t>TORSBY</t>
        </is>
      </c>
      <c r="G20354" t="n">
        <v>0.8</v>
      </c>
      <c r="H20354" t="n">
        <v>0</v>
      </c>
      <c r="I20354" t="n">
        <v>0</v>
      </c>
      <c r="J20354" t="n">
        <v>0</v>
      </c>
      <c r="K20354" t="n">
        <v>0</v>
      </c>
      <c r="L20354" t="n">
        <v>0</v>
      </c>
      <c r="M20354" t="n">
        <v>0</v>
      </c>
      <c r="N20354" t="n">
        <v>0</v>
      </c>
      <c r="O20354" t="n">
        <v>0</v>
      </c>
      <c r="P20354" t="n">
        <v>0</v>
      </c>
      <c r="Q20354" t="n">
        <v>0</v>
      </c>
      <c r="R20354" s="2" t="inlineStr"/>
    </row>
    <row r="20355" ht="15" customHeight="1">
      <c r="A20355" t="inlineStr">
        <is>
          <t>A 25974-2025</t>
        </is>
      </c>
      <c r="B20355" s="1" t="n">
        <v>45804</v>
      </c>
      <c r="C20355" s="1" t="n">
        <v>45810</v>
      </c>
      <c r="D20355" t="inlineStr">
        <is>
          <t>VÄRMLANDS LÄN</t>
        </is>
      </c>
      <c r="E20355" t="inlineStr">
        <is>
          <t>TORSBY</t>
        </is>
      </c>
      <c r="F20355" t="inlineStr">
        <is>
          <t>Bergvik skog väst AB</t>
        </is>
      </c>
      <c r="G20355" t="n">
        <v>24.6</v>
      </c>
      <c r="H20355" t="n">
        <v>0</v>
      </c>
      <c r="I20355" t="n">
        <v>0</v>
      </c>
      <c r="J20355" t="n">
        <v>0</v>
      </c>
      <c r="K20355" t="n">
        <v>0</v>
      </c>
      <c r="L20355" t="n">
        <v>0</v>
      </c>
      <c r="M20355" t="n">
        <v>0</v>
      </c>
      <c r="N20355" t="n">
        <v>0</v>
      </c>
      <c r="O20355" t="n">
        <v>0</v>
      </c>
      <c r="P20355" t="n">
        <v>0</v>
      </c>
      <c r="Q20355" t="n">
        <v>0</v>
      </c>
      <c r="R20355" s="2" t="inlineStr"/>
    </row>
    <row r="20356" ht="15" customHeight="1">
      <c r="A20356" t="inlineStr">
        <is>
          <t>A 25929-2025</t>
        </is>
      </c>
      <c r="B20356" s="1" t="n">
        <v>45804</v>
      </c>
      <c r="C20356" s="1" t="n">
        <v>45810</v>
      </c>
      <c r="D20356" t="inlineStr">
        <is>
          <t>VÄRMLANDS LÄN</t>
        </is>
      </c>
      <c r="E20356" t="inlineStr">
        <is>
          <t>EDA</t>
        </is>
      </c>
      <c r="G20356" t="n">
        <v>1.7</v>
      </c>
      <c r="H20356" t="n">
        <v>0</v>
      </c>
      <c r="I20356" t="n">
        <v>0</v>
      </c>
      <c r="J20356" t="n">
        <v>0</v>
      </c>
      <c r="K20356" t="n">
        <v>0</v>
      </c>
      <c r="L20356" t="n">
        <v>0</v>
      </c>
      <c r="M20356" t="n">
        <v>0</v>
      </c>
      <c r="N20356" t="n">
        <v>0</v>
      </c>
      <c r="O20356" t="n">
        <v>0</v>
      </c>
      <c r="P20356" t="n">
        <v>0</v>
      </c>
      <c r="Q20356" t="n">
        <v>0</v>
      </c>
      <c r="R20356" s="2" t="inlineStr"/>
    </row>
    <row r="20357" ht="15" customHeight="1">
      <c r="A20357" t="inlineStr">
        <is>
          <t>A 25893-2025</t>
        </is>
      </c>
      <c r="B20357" s="1" t="n">
        <v>45804</v>
      </c>
      <c r="C20357" s="1" t="n">
        <v>45810</v>
      </c>
      <c r="D20357" t="inlineStr">
        <is>
          <t>VÄRMLANDS LÄN</t>
        </is>
      </c>
      <c r="E20357" t="inlineStr">
        <is>
          <t>ARVIKA</t>
        </is>
      </c>
      <c r="G20357" t="n">
        <v>2.6</v>
      </c>
      <c r="H20357" t="n">
        <v>0</v>
      </c>
      <c r="I20357" t="n">
        <v>0</v>
      </c>
      <c r="J20357" t="n">
        <v>0</v>
      </c>
      <c r="K20357" t="n">
        <v>0</v>
      </c>
      <c r="L20357" t="n">
        <v>0</v>
      </c>
      <c r="M20357" t="n">
        <v>0</v>
      </c>
      <c r="N20357" t="n">
        <v>0</v>
      </c>
      <c r="O20357" t="n">
        <v>0</v>
      </c>
      <c r="P20357" t="n">
        <v>0</v>
      </c>
      <c r="Q20357" t="n">
        <v>0</v>
      </c>
      <c r="R20357" s="2" t="inlineStr"/>
    </row>
    <row r="20358" ht="15" customHeight="1">
      <c r="A20358" t="inlineStr">
        <is>
          <t>A 25859-2025</t>
        </is>
      </c>
      <c r="B20358" s="1" t="n">
        <v>45804</v>
      </c>
      <c r="C20358" s="1" t="n">
        <v>45810</v>
      </c>
      <c r="D20358" t="inlineStr">
        <is>
          <t>VÄRMLANDS LÄN</t>
        </is>
      </c>
      <c r="E20358" t="inlineStr">
        <is>
          <t>TORSBY</t>
        </is>
      </c>
      <c r="G20358" t="n">
        <v>2.4</v>
      </c>
      <c r="H20358" t="n">
        <v>0</v>
      </c>
      <c r="I20358" t="n">
        <v>0</v>
      </c>
      <c r="J20358" t="n">
        <v>0</v>
      </c>
      <c r="K20358" t="n">
        <v>0</v>
      </c>
      <c r="L20358" t="n">
        <v>0</v>
      </c>
      <c r="M20358" t="n">
        <v>0</v>
      </c>
      <c r="N20358" t="n">
        <v>0</v>
      </c>
      <c r="O20358" t="n">
        <v>0</v>
      </c>
      <c r="P20358" t="n">
        <v>0</v>
      </c>
      <c r="Q20358" t="n">
        <v>0</v>
      </c>
      <c r="R20358" s="2" t="inlineStr"/>
    </row>
    <row r="20359" ht="15" customHeight="1">
      <c r="A20359" t="inlineStr">
        <is>
          <t>A 25902-2025</t>
        </is>
      </c>
      <c r="B20359" s="1" t="n">
        <v>45804</v>
      </c>
      <c r="C20359" s="1" t="n">
        <v>45810</v>
      </c>
      <c r="D20359" t="inlineStr">
        <is>
          <t>VÄRMLANDS LÄN</t>
        </is>
      </c>
      <c r="E20359" t="inlineStr">
        <is>
          <t>SUNNE</t>
        </is>
      </c>
      <c r="G20359" t="n">
        <v>1.8</v>
      </c>
      <c r="H20359" t="n">
        <v>0</v>
      </c>
      <c r="I20359" t="n">
        <v>0</v>
      </c>
      <c r="J20359" t="n">
        <v>0</v>
      </c>
      <c r="K20359" t="n">
        <v>0</v>
      </c>
      <c r="L20359" t="n">
        <v>0</v>
      </c>
      <c r="M20359" t="n">
        <v>0</v>
      </c>
      <c r="N20359" t="n">
        <v>0</v>
      </c>
      <c r="O20359" t="n">
        <v>0</v>
      </c>
      <c r="P20359" t="n">
        <v>0</v>
      </c>
      <c r="Q20359" t="n">
        <v>0</v>
      </c>
      <c r="R20359" s="2" t="inlineStr"/>
    </row>
    <row r="20360" ht="15" customHeight="1">
      <c r="A20360" t="inlineStr">
        <is>
          <t>A 25917-2025</t>
        </is>
      </c>
      <c r="B20360" s="1" t="n">
        <v>45804</v>
      </c>
      <c r="C20360" s="1" t="n">
        <v>45810</v>
      </c>
      <c r="D20360" t="inlineStr">
        <is>
          <t>VÄRMLANDS LÄN</t>
        </is>
      </c>
      <c r="E20360" t="inlineStr">
        <is>
          <t>TORSBY</t>
        </is>
      </c>
      <c r="G20360" t="n">
        <v>3.2</v>
      </c>
      <c r="H20360" t="n">
        <v>0</v>
      </c>
      <c r="I20360" t="n">
        <v>0</v>
      </c>
      <c r="J20360" t="n">
        <v>0</v>
      </c>
      <c r="K20360" t="n">
        <v>0</v>
      </c>
      <c r="L20360" t="n">
        <v>0</v>
      </c>
      <c r="M20360" t="n">
        <v>0</v>
      </c>
      <c r="N20360" t="n">
        <v>0</v>
      </c>
      <c r="O20360" t="n">
        <v>0</v>
      </c>
      <c r="P20360" t="n">
        <v>0</v>
      </c>
      <c r="Q20360" t="n">
        <v>0</v>
      </c>
      <c r="R20360" s="2" t="inlineStr"/>
    </row>
    <row r="20361" ht="15" customHeight="1">
      <c r="A20361" t="inlineStr">
        <is>
          <t>A 26023-2025</t>
        </is>
      </c>
      <c r="B20361" s="1" t="n">
        <v>45804</v>
      </c>
      <c r="C20361" s="1" t="n">
        <v>45810</v>
      </c>
      <c r="D20361" t="inlineStr">
        <is>
          <t>VÄRMLANDS LÄN</t>
        </is>
      </c>
      <c r="E20361" t="inlineStr">
        <is>
          <t>SÄFFLE</t>
        </is>
      </c>
      <c r="G20361" t="n">
        <v>6.8</v>
      </c>
      <c r="H20361" t="n">
        <v>0</v>
      </c>
      <c r="I20361" t="n">
        <v>0</v>
      </c>
      <c r="J20361" t="n">
        <v>0</v>
      </c>
      <c r="K20361" t="n">
        <v>0</v>
      </c>
      <c r="L20361" t="n">
        <v>0</v>
      </c>
      <c r="M20361" t="n">
        <v>0</v>
      </c>
      <c r="N20361" t="n">
        <v>0</v>
      </c>
      <c r="O20361" t="n">
        <v>0</v>
      </c>
      <c r="P20361" t="n">
        <v>0</v>
      </c>
      <c r="Q20361" t="n">
        <v>0</v>
      </c>
      <c r="R20361" s="2" t="inlineStr"/>
    </row>
    <row r="20362" ht="15" customHeight="1">
      <c r="A20362" t="inlineStr">
        <is>
          <t>A 26028-2025</t>
        </is>
      </c>
      <c r="B20362" s="1" t="n">
        <v>45804</v>
      </c>
      <c r="C20362" s="1" t="n">
        <v>45810</v>
      </c>
      <c r="D20362" t="inlineStr">
        <is>
          <t>VÄRMLANDS LÄN</t>
        </is>
      </c>
      <c r="E20362" t="inlineStr">
        <is>
          <t>KRISTINEHAMN</t>
        </is>
      </c>
      <c r="G20362" t="n">
        <v>2.6</v>
      </c>
      <c r="H20362" t="n">
        <v>0</v>
      </c>
      <c r="I20362" t="n">
        <v>0</v>
      </c>
      <c r="J20362" t="n">
        <v>0</v>
      </c>
      <c r="K20362" t="n">
        <v>0</v>
      </c>
      <c r="L20362" t="n">
        <v>0</v>
      </c>
      <c r="M20362" t="n">
        <v>0</v>
      </c>
      <c r="N20362" t="n">
        <v>0</v>
      </c>
      <c r="O20362" t="n">
        <v>0</v>
      </c>
      <c r="P20362" t="n">
        <v>0</v>
      </c>
      <c r="Q20362" t="n">
        <v>0</v>
      </c>
      <c r="R20362" s="2" t="inlineStr"/>
    </row>
    <row r="20363" ht="15" customHeight="1">
      <c r="A20363" t="inlineStr">
        <is>
          <t>A 25807-2025</t>
        </is>
      </c>
      <c r="B20363" s="1" t="n">
        <v>45804</v>
      </c>
      <c r="C20363" s="1" t="n">
        <v>45810</v>
      </c>
      <c r="D20363" t="inlineStr">
        <is>
          <t>VÄRMLANDS LÄN</t>
        </is>
      </c>
      <c r="E20363" t="inlineStr">
        <is>
          <t>TORSBY</t>
        </is>
      </c>
      <c r="G20363" t="n">
        <v>3.2</v>
      </c>
      <c r="H20363" t="n">
        <v>0</v>
      </c>
      <c r="I20363" t="n">
        <v>0</v>
      </c>
      <c r="J20363" t="n">
        <v>0</v>
      </c>
      <c r="K20363" t="n">
        <v>0</v>
      </c>
      <c r="L20363" t="n">
        <v>0</v>
      </c>
      <c r="M20363" t="n">
        <v>0</v>
      </c>
      <c r="N20363" t="n">
        <v>0</v>
      </c>
      <c r="O20363" t="n">
        <v>0</v>
      </c>
      <c r="P20363" t="n">
        <v>0</v>
      </c>
      <c r="Q20363" t="n">
        <v>0</v>
      </c>
      <c r="R20363" s="2" t="inlineStr"/>
    </row>
    <row r="20364" ht="15" customHeight="1">
      <c r="A20364" t="inlineStr">
        <is>
          <t>A 25760-2025</t>
        </is>
      </c>
      <c r="B20364" s="1" t="n">
        <v>45804</v>
      </c>
      <c r="C20364" s="1" t="n">
        <v>45810</v>
      </c>
      <c r="D20364" t="inlineStr">
        <is>
          <t>VÄRMLANDS LÄN</t>
        </is>
      </c>
      <c r="E20364" t="inlineStr">
        <is>
          <t>STORFORS</t>
        </is>
      </c>
      <c r="G20364" t="n">
        <v>9.4</v>
      </c>
      <c r="H20364" t="n">
        <v>0</v>
      </c>
      <c r="I20364" t="n">
        <v>0</v>
      </c>
      <c r="J20364" t="n">
        <v>0</v>
      </c>
      <c r="K20364" t="n">
        <v>0</v>
      </c>
      <c r="L20364" t="n">
        <v>0</v>
      </c>
      <c r="M20364" t="n">
        <v>0</v>
      </c>
      <c r="N20364" t="n">
        <v>0</v>
      </c>
      <c r="O20364" t="n">
        <v>0</v>
      </c>
      <c r="P20364" t="n">
        <v>0</v>
      </c>
      <c r="Q20364" t="n">
        <v>0</v>
      </c>
      <c r="R20364" s="2" t="inlineStr"/>
    </row>
    <row r="20365" ht="15" customHeight="1">
      <c r="A20365" t="inlineStr">
        <is>
          <t>A 25775-2025</t>
        </is>
      </c>
      <c r="B20365" s="1" t="n">
        <v>45804</v>
      </c>
      <c r="C20365" s="1" t="n">
        <v>45810</v>
      </c>
      <c r="D20365" t="inlineStr">
        <is>
          <t>VÄRMLANDS LÄN</t>
        </is>
      </c>
      <c r="E20365" t="inlineStr">
        <is>
          <t>SUNNE</t>
        </is>
      </c>
      <c r="F20365" t="inlineStr">
        <is>
          <t>Bergvik skog väst AB</t>
        </is>
      </c>
      <c r="G20365" t="n">
        <v>2.7</v>
      </c>
      <c r="H20365" t="n">
        <v>0</v>
      </c>
      <c r="I20365" t="n">
        <v>0</v>
      </c>
      <c r="J20365" t="n">
        <v>0</v>
      </c>
      <c r="K20365" t="n">
        <v>0</v>
      </c>
      <c r="L20365" t="n">
        <v>0</v>
      </c>
      <c r="M20365" t="n">
        <v>0</v>
      </c>
      <c r="N20365" t="n">
        <v>0</v>
      </c>
      <c r="O20365" t="n">
        <v>0</v>
      </c>
      <c r="P20365" t="n">
        <v>0</v>
      </c>
      <c r="Q20365" t="n">
        <v>0</v>
      </c>
      <c r="R20365" s="2" t="inlineStr"/>
    </row>
    <row r="20366" ht="15" customHeight="1">
      <c r="A20366" t="inlineStr">
        <is>
          <t>A 25956-2025</t>
        </is>
      </c>
      <c r="B20366" s="1" t="n">
        <v>45804</v>
      </c>
      <c r="C20366" s="1" t="n">
        <v>45810</v>
      </c>
      <c r="D20366" t="inlineStr">
        <is>
          <t>VÄRMLANDS LÄN</t>
        </is>
      </c>
      <c r="E20366" t="inlineStr">
        <is>
          <t>TORSBY</t>
        </is>
      </c>
      <c r="G20366" t="n">
        <v>3.6</v>
      </c>
      <c r="H20366" t="n">
        <v>0</v>
      </c>
      <c r="I20366" t="n">
        <v>0</v>
      </c>
      <c r="J20366" t="n">
        <v>0</v>
      </c>
      <c r="K20366" t="n">
        <v>0</v>
      </c>
      <c r="L20366" t="n">
        <v>0</v>
      </c>
      <c r="M20366" t="n">
        <v>0</v>
      </c>
      <c r="N20366" t="n">
        <v>0</v>
      </c>
      <c r="O20366" t="n">
        <v>0</v>
      </c>
      <c r="P20366" t="n">
        <v>0</v>
      </c>
      <c r="Q20366" t="n">
        <v>0</v>
      </c>
      <c r="R20366" s="2" t="inlineStr"/>
    </row>
    <row r="20367" ht="15" customHeight="1">
      <c r="A20367" t="inlineStr">
        <is>
          <t>A 26004-2025</t>
        </is>
      </c>
      <c r="B20367" s="1" t="n">
        <v>45804</v>
      </c>
      <c r="C20367" s="1" t="n">
        <v>45810</v>
      </c>
      <c r="D20367" t="inlineStr">
        <is>
          <t>VÄRMLANDS LÄN</t>
        </is>
      </c>
      <c r="E20367" t="inlineStr">
        <is>
          <t>EDA</t>
        </is>
      </c>
      <c r="G20367" t="n">
        <v>1.3</v>
      </c>
      <c r="H20367" t="n">
        <v>0</v>
      </c>
      <c r="I20367" t="n">
        <v>0</v>
      </c>
      <c r="J20367" t="n">
        <v>0</v>
      </c>
      <c r="K20367" t="n">
        <v>0</v>
      </c>
      <c r="L20367" t="n">
        <v>0</v>
      </c>
      <c r="M20367" t="n">
        <v>0</v>
      </c>
      <c r="N20367" t="n">
        <v>0</v>
      </c>
      <c r="O20367" t="n">
        <v>0</v>
      </c>
      <c r="P20367" t="n">
        <v>0</v>
      </c>
      <c r="Q20367" t="n">
        <v>0</v>
      </c>
      <c r="R20367" s="2" t="inlineStr"/>
    </row>
    <row r="20368" ht="15" customHeight="1">
      <c r="A20368" t="inlineStr">
        <is>
          <t>A 26121-2025</t>
        </is>
      </c>
      <c r="B20368" s="1" t="n">
        <v>45805</v>
      </c>
      <c r="C20368" s="1" t="n">
        <v>45810</v>
      </c>
      <c r="D20368" t="inlineStr">
        <is>
          <t>VÄRMLANDS LÄN</t>
        </is>
      </c>
      <c r="E20368" t="inlineStr">
        <is>
          <t>SUNNE</t>
        </is>
      </c>
      <c r="G20368" t="n">
        <v>1</v>
      </c>
      <c r="H20368" t="n">
        <v>0</v>
      </c>
      <c r="I20368" t="n">
        <v>0</v>
      </c>
      <c r="J20368" t="n">
        <v>0</v>
      </c>
      <c r="K20368" t="n">
        <v>0</v>
      </c>
      <c r="L20368" t="n">
        <v>0</v>
      </c>
      <c r="M20368" t="n">
        <v>0</v>
      </c>
      <c r="N20368" t="n">
        <v>0</v>
      </c>
      <c r="O20368" t="n">
        <v>0</v>
      </c>
      <c r="P20368" t="n">
        <v>0</v>
      </c>
      <c r="Q20368" t="n">
        <v>0</v>
      </c>
      <c r="R20368" s="2" t="inlineStr"/>
    </row>
    <row r="20369" ht="15" customHeight="1">
      <c r="A20369" t="inlineStr">
        <is>
          <t>A 26079-2025</t>
        </is>
      </c>
      <c r="B20369" s="1" t="n">
        <v>45805</v>
      </c>
      <c r="C20369" s="1" t="n">
        <v>45810</v>
      </c>
      <c r="D20369" t="inlineStr">
        <is>
          <t>VÄRMLANDS LÄN</t>
        </is>
      </c>
      <c r="E20369" t="inlineStr">
        <is>
          <t>ARVIKA</t>
        </is>
      </c>
      <c r="F20369" t="inlineStr">
        <is>
          <t>Bergvik skog väst AB</t>
        </is>
      </c>
      <c r="G20369" t="n">
        <v>2.2</v>
      </c>
      <c r="H20369" t="n">
        <v>0</v>
      </c>
      <c r="I20369" t="n">
        <v>0</v>
      </c>
      <c r="J20369" t="n">
        <v>0</v>
      </c>
      <c r="K20369" t="n">
        <v>0</v>
      </c>
      <c r="L20369" t="n">
        <v>0</v>
      </c>
      <c r="M20369" t="n">
        <v>0</v>
      </c>
      <c r="N20369" t="n">
        <v>0</v>
      </c>
      <c r="O20369" t="n">
        <v>0</v>
      </c>
      <c r="P20369" t="n">
        <v>0</v>
      </c>
      <c r="Q20369" t="n">
        <v>0</v>
      </c>
      <c r="R20369" s="2" t="inlineStr"/>
    </row>
    <row r="20370" ht="15" customHeight="1">
      <c r="A20370" t="inlineStr">
        <is>
          <t>A 26116-2025</t>
        </is>
      </c>
      <c r="B20370" s="1" t="n">
        <v>45805</v>
      </c>
      <c r="C20370" s="1" t="n">
        <v>45810</v>
      </c>
      <c r="D20370" t="inlineStr">
        <is>
          <t>VÄRMLANDS LÄN</t>
        </is>
      </c>
      <c r="E20370" t="inlineStr">
        <is>
          <t>FILIPSTAD</t>
        </is>
      </c>
      <c r="G20370" t="n">
        <v>1.2</v>
      </c>
      <c r="H20370" t="n">
        <v>0</v>
      </c>
      <c r="I20370" t="n">
        <v>0</v>
      </c>
      <c r="J20370" t="n">
        <v>0</v>
      </c>
      <c r="K20370" t="n">
        <v>0</v>
      </c>
      <c r="L20370" t="n">
        <v>0</v>
      </c>
      <c r="M20370" t="n">
        <v>0</v>
      </c>
      <c r="N20370" t="n">
        <v>0</v>
      </c>
      <c r="O20370" t="n">
        <v>0</v>
      </c>
      <c r="P20370" t="n">
        <v>0</v>
      </c>
      <c r="Q20370" t="n">
        <v>0</v>
      </c>
      <c r="R20370" s="2" t="inlineStr"/>
    </row>
    <row r="20371" ht="15" customHeight="1">
      <c r="A20371" t="inlineStr">
        <is>
          <t>A 26188-2025</t>
        </is>
      </c>
      <c r="B20371" s="1" t="n">
        <v>45805</v>
      </c>
      <c r="C20371" s="1" t="n">
        <v>45810</v>
      </c>
      <c r="D20371" t="inlineStr">
        <is>
          <t>VÄRMLANDS LÄN</t>
        </is>
      </c>
      <c r="E20371" t="inlineStr">
        <is>
          <t>KRISTINEHAMN</t>
        </is>
      </c>
      <c r="F20371" t="inlineStr">
        <is>
          <t>Sveaskog</t>
        </is>
      </c>
      <c r="G20371" t="n">
        <v>10.4</v>
      </c>
      <c r="H20371" t="n">
        <v>0</v>
      </c>
      <c r="I20371" t="n">
        <v>0</v>
      </c>
      <c r="J20371" t="n">
        <v>0</v>
      </c>
      <c r="K20371" t="n">
        <v>0</v>
      </c>
      <c r="L20371" t="n">
        <v>0</v>
      </c>
      <c r="M20371" t="n">
        <v>0</v>
      </c>
      <c r="N20371" t="n">
        <v>0</v>
      </c>
      <c r="O20371" t="n">
        <v>0</v>
      </c>
      <c r="P20371" t="n">
        <v>0</v>
      </c>
      <c r="Q20371" t="n">
        <v>0</v>
      </c>
      <c r="R20371" s="2" t="inlineStr"/>
    </row>
    <row r="20372" ht="15" customHeight="1">
      <c r="A20372" t="inlineStr">
        <is>
          <t>A 26110-2025</t>
        </is>
      </c>
      <c r="B20372" s="1" t="n">
        <v>45805</v>
      </c>
      <c r="C20372" s="1" t="n">
        <v>45810</v>
      </c>
      <c r="D20372" t="inlineStr">
        <is>
          <t>VÄRMLANDS LÄN</t>
        </is>
      </c>
      <c r="E20372" t="inlineStr">
        <is>
          <t>SÄFFLE</t>
        </is>
      </c>
      <c r="G20372" t="n">
        <v>1.8</v>
      </c>
      <c r="H20372" t="n">
        <v>0</v>
      </c>
      <c r="I20372" t="n">
        <v>0</v>
      </c>
      <c r="J20372" t="n">
        <v>0</v>
      </c>
      <c r="K20372" t="n">
        <v>0</v>
      </c>
      <c r="L20372" t="n">
        <v>0</v>
      </c>
      <c r="M20372" t="n">
        <v>0</v>
      </c>
      <c r="N20372" t="n">
        <v>0</v>
      </c>
      <c r="O20372" t="n">
        <v>0</v>
      </c>
      <c r="P20372" t="n">
        <v>0</v>
      </c>
      <c r="Q20372" t="n">
        <v>0</v>
      </c>
      <c r="R20372" s="2" t="inlineStr"/>
    </row>
    <row r="20373" ht="15" customHeight="1">
      <c r="A20373" t="inlineStr">
        <is>
          <t>A 26179-2025</t>
        </is>
      </c>
      <c r="B20373" s="1" t="n">
        <v>45805</v>
      </c>
      <c r="C20373" s="1" t="n">
        <v>45810</v>
      </c>
      <c r="D20373" t="inlineStr">
        <is>
          <t>VÄRMLANDS LÄN</t>
        </is>
      </c>
      <c r="E20373" t="inlineStr">
        <is>
          <t>KRISTINEHAMN</t>
        </is>
      </c>
      <c r="F20373" t="inlineStr">
        <is>
          <t>Sveaskog</t>
        </is>
      </c>
      <c r="G20373" t="n">
        <v>12.6</v>
      </c>
      <c r="H20373" t="n">
        <v>0</v>
      </c>
      <c r="I20373" t="n">
        <v>0</v>
      </c>
      <c r="J20373" t="n">
        <v>0</v>
      </c>
      <c r="K20373" t="n">
        <v>0</v>
      </c>
      <c r="L20373" t="n">
        <v>0</v>
      </c>
      <c r="M20373" t="n">
        <v>0</v>
      </c>
      <c r="N20373" t="n">
        <v>0</v>
      </c>
      <c r="O20373" t="n">
        <v>0</v>
      </c>
      <c r="P20373" t="n">
        <v>0</v>
      </c>
      <c r="Q20373" t="n">
        <v>0</v>
      </c>
      <c r="R20373" s="2" t="inlineStr"/>
    </row>
    <row r="20374" ht="15" customHeight="1">
      <c r="A20374" t="inlineStr">
        <is>
          <t>A 26237-2025</t>
        </is>
      </c>
      <c r="B20374" s="1" t="n">
        <v>45805</v>
      </c>
      <c r="C20374" s="1" t="n">
        <v>45810</v>
      </c>
      <c r="D20374" t="inlineStr">
        <is>
          <t>VÄRMLANDS LÄN</t>
        </is>
      </c>
      <c r="E20374" t="inlineStr">
        <is>
          <t>EDA</t>
        </is>
      </c>
      <c r="F20374" t="inlineStr">
        <is>
          <t>Bergvik skog väst AB</t>
        </is>
      </c>
      <c r="G20374" t="n">
        <v>6.2</v>
      </c>
      <c r="H20374" t="n">
        <v>0</v>
      </c>
      <c r="I20374" t="n">
        <v>0</v>
      </c>
      <c r="J20374" t="n">
        <v>0</v>
      </c>
      <c r="K20374" t="n">
        <v>0</v>
      </c>
      <c r="L20374" t="n">
        <v>0</v>
      </c>
      <c r="M20374" t="n">
        <v>0</v>
      </c>
      <c r="N20374" t="n">
        <v>0</v>
      </c>
      <c r="O20374" t="n">
        <v>0</v>
      </c>
      <c r="P20374" t="n">
        <v>0</v>
      </c>
      <c r="Q20374" t="n">
        <v>0</v>
      </c>
      <c r="R20374" s="2" t="inlineStr"/>
    </row>
    <row r="20375" ht="15" customHeight="1">
      <c r="A20375" t="inlineStr">
        <is>
          <t>A 26342-2025</t>
        </is>
      </c>
      <c r="B20375" s="1" t="n">
        <v>45805</v>
      </c>
      <c r="C20375" s="1" t="n">
        <v>45810</v>
      </c>
      <c r="D20375" t="inlineStr">
        <is>
          <t>VÄRMLANDS LÄN</t>
        </is>
      </c>
      <c r="E20375" t="inlineStr">
        <is>
          <t>TORSBY</t>
        </is>
      </c>
      <c r="F20375" t="inlineStr">
        <is>
          <t>Bergvik skog väst AB</t>
        </is>
      </c>
      <c r="G20375" t="n">
        <v>13.6</v>
      </c>
      <c r="H20375" t="n">
        <v>0</v>
      </c>
      <c r="I20375" t="n">
        <v>0</v>
      </c>
      <c r="J20375" t="n">
        <v>0</v>
      </c>
      <c r="K20375" t="n">
        <v>0</v>
      </c>
      <c r="L20375" t="n">
        <v>0</v>
      </c>
      <c r="M20375" t="n">
        <v>0</v>
      </c>
      <c r="N20375" t="n">
        <v>0</v>
      </c>
      <c r="O20375" t="n">
        <v>0</v>
      </c>
      <c r="P20375" t="n">
        <v>0</v>
      </c>
      <c r="Q20375" t="n">
        <v>0</v>
      </c>
      <c r="R20375" s="2" t="inlineStr"/>
    </row>
    <row r="20376" ht="15" customHeight="1">
      <c r="A20376" t="inlineStr">
        <is>
          <t>A 26192-2025</t>
        </is>
      </c>
      <c r="B20376" s="1" t="n">
        <v>45805</v>
      </c>
      <c r="C20376" s="1" t="n">
        <v>45810</v>
      </c>
      <c r="D20376" t="inlineStr">
        <is>
          <t>VÄRMLANDS LÄN</t>
        </is>
      </c>
      <c r="E20376" t="inlineStr">
        <is>
          <t>KRISTINEHAMN</t>
        </is>
      </c>
      <c r="F20376" t="inlineStr">
        <is>
          <t>Sveaskog</t>
        </is>
      </c>
      <c r="G20376" t="n">
        <v>3.3</v>
      </c>
      <c r="H20376" t="n">
        <v>0</v>
      </c>
      <c r="I20376" t="n">
        <v>0</v>
      </c>
      <c r="J20376" t="n">
        <v>0</v>
      </c>
      <c r="K20376" t="n">
        <v>0</v>
      </c>
      <c r="L20376" t="n">
        <v>0</v>
      </c>
      <c r="M20376" t="n">
        <v>0</v>
      </c>
      <c r="N20376" t="n">
        <v>0</v>
      </c>
      <c r="O20376" t="n">
        <v>0</v>
      </c>
      <c r="P20376" t="n">
        <v>0</v>
      </c>
      <c r="Q20376" t="n">
        <v>0</v>
      </c>
      <c r="R20376" s="2" t="inlineStr"/>
    </row>
    <row r="20377" ht="15" customHeight="1">
      <c r="A20377" t="inlineStr">
        <is>
          <t>A 26333-2025</t>
        </is>
      </c>
      <c r="B20377" s="1" t="n">
        <v>45805</v>
      </c>
      <c r="C20377" s="1" t="n">
        <v>45810</v>
      </c>
      <c r="D20377" t="inlineStr">
        <is>
          <t>VÄRMLANDS LÄN</t>
        </is>
      </c>
      <c r="E20377" t="inlineStr">
        <is>
          <t>TORSBY</t>
        </is>
      </c>
      <c r="G20377" t="n">
        <v>4</v>
      </c>
      <c r="H20377" t="n">
        <v>0</v>
      </c>
      <c r="I20377" t="n">
        <v>0</v>
      </c>
      <c r="J20377" t="n">
        <v>0</v>
      </c>
      <c r="K20377" t="n">
        <v>0</v>
      </c>
      <c r="L20377" t="n">
        <v>0</v>
      </c>
      <c r="M20377" t="n">
        <v>0</v>
      </c>
      <c r="N20377" t="n">
        <v>0</v>
      </c>
      <c r="O20377" t="n">
        <v>0</v>
      </c>
      <c r="P20377" t="n">
        <v>0</v>
      </c>
      <c r="Q20377" t="n">
        <v>0</v>
      </c>
      <c r="R20377" s="2" t="inlineStr"/>
    </row>
    <row r="20378" ht="15" customHeight="1">
      <c r="A20378" t="inlineStr">
        <is>
          <t>A 26327-2025</t>
        </is>
      </c>
      <c r="B20378" s="1" t="n">
        <v>45805</v>
      </c>
      <c r="C20378" s="1" t="n">
        <v>45810</v>
      </c>
      <c r="D20378" t="inlineStr">
        <is>
          <t>VÄRMLANDS LÄN</t>
        </is>
      </c>
      <c r="E20378" t="inlineStr">
        <is>
          <t>SUNNE</t>
        </is>
      </c>
      <c r="G20378" t="n">
        <v>1.6</v>
      </c>
      <c r="H20378" t="n">
        <v>0</v>
      </c>
      <c r="I20378" t="n">
        <v>0</v>
      </c>
      <c r="J20378" t="n">
        <v>0</v>
      </c>
      <c r="K20378" t="n">
        <v>0</v>
      </c>
      <c r="L20378" t="n">
        <v>0</v>
      </c>
      <c r="M20378" t="n">
        <v>0</v>
      </c>
      <c r="N20378" t="n">
        <v>0</v>
      </c>
      <c r="O20378" t="n">
        <v>0</v>
      </c>
      <c r="P20378" t="n">
        <v>0</v>
      </c>
      <c r="Q20378" t="n">
        <v>0</v>
      </c>
      <c r="R20378" s="2" t="inlineStr"/>
    </row>
    <row r="20379" ht="15" customHeight="1">
      <c r="A20379" t="inlineStr">
        <is>
          <t>A 26158-2025</t>
        </is>
      </c>
      <c r="B20379" s="1" t="n">
        <v>45805</v>
      </c>
      <c r="C20379" s="1" t="n">
        <v>45810</v>
      </c>
      <c r="D20379" t="inlineStr">
        <is>
          <t>VÄRMLANDS LÄN</t>
        </is>
      </c>
      <c r="E20379" t="inlineStr">
        <is>
          <t>TORSBY</t>
        </is>
      </c>
      <c r="G20379" t="n">
        <v>1.3</v>
      </c>
      <c r="H20379" t="n">
        <v>0</v>
      </c>
      <c r="I20379" t="n">
        <v>0</v>
      </c>
      <c r="J20379" t="n">
        <v>0</v>
      </c>
      <c r="K20379" t="n">
        <v>0</v>
      </c>
      <c r="L20379" t="n">
        <v>0</v>
      </c>
      <c r="M20379" t="n">
        <v>0</v>
      </c>
      <c r="N20379" t="n">
        <v>0</v>
      </c>
      <c r="O20379" t="n">
        <v>0</v>
      </c>
      <c r="P20379" t="n">
        <v>0</v>
      </c>
      <c r="Q20379" t="n">
        <v>0</v>
      </c>
      <c r="R20379" s="2" t="inlineStr"/>
    </row>
    <row r="20380" ht="15" customHeight="1">
      <c r="A20380" t="inlineStr">
        <is>
          <t>A 26061-2025</t>
        </is>
      </c>
      <c r="B20380" s="1" t="n">
        <v>45805</v>
      </c>
      <c r="C20380" s="1" t="n">
        <v>45810</v>
      </c>
      <c r="D20380" t="inlineStr">
        <is>
          <t>VÄRMLANDS LÄN</t>
        </is>
      </c>
      <c r="E20380" t="inlineStr">
        <is>
          <t>TORSBY</t>
        </is>
      </c>
      <c r="G20380" t="n">
        <v>3.9</v>
      </c>
      <c r="H20380" t="n">
        <v>0</v>
      </c>
      <c r="I20380" t="n">
        <v>0</v>
      </c>
      <c r="J20380" t="n">
        <v>0</v>
      </c>
      <c r="K20380" t="n">
        <v>0</v>
      </c>
      <c r="L20380" t="n">
        <v>0</v>
      </c>
      <c r="M20380" t="n">
        <v>0</v>
      </c>
      <c r="N20380" t="n">
        <v>0</v>
      </c>
      <c r="O20380" t="n">
        <v>0</v>
      </c>
      <c r="P20380" t="n">
        <v>0</v>
      </c>
      <c r="Q20380" t="n">
        <v>0</v>
      </c>
      <c r="R20380" s="2" t="inlineStr"/>
    </row>
    <row r="20381" ht="15" customHeight="1">
      <c r="A20381" t="inlineStr">
        <is>
          <t>A 26181-2025</t>
        </is>
      </c>
      <c r="B20381" s="1" t="n">
        <v>45805</v>
      </c>
      <c r="C20381" s="1" t="n">
        <v>45810</v>
      </c>
      <c r="D20381" t="inlineStr">
        <is>
          <t>VÄRMLANDS LÄN</t>
        </is>
      </c>
      <c r="E20381" t="inlineStr">
        <is>
          <t>KRISTINEHAMN</t>
        </is>
      </c>
      <c r="F20381" t="inlineStr">
        <is>
          <t>Sveaskog</t>
        </is>
      </c>
      <c r="G20381" t="n">
        <v>2.2</v>
      </c>
      <c r="H20381" t="n">
        <v>0</v>
      </c>
      <c r="I20381" t="n">
        <v>0</v>
      </c>
      <c r="J20381" t="n">
        <v>0</v>
      </c>
      <c r="K20381" t="n">
        <v>0</v>
      </c>
      <c r="L20381" t="n">
        <v>0</v>
      </c>
      <c r="M20381" t="n">
        <v>0</v>
      </c>
      <c r="N20381" t="n">
        <v>0</v>
      </c>
      <c r="O20381" t="n">
        <v>0</v>
      </c>
      <c r="P20381" t="n">
        <v>0</v>
      </c>
      <c r="Q20381" t="n">
        <v>0</v>
      </c>
      <c r="R20381" s="2" t="inlineStr"/>
    </row>
    <row r="20382" ht="15" customHeight="1">
      <c r="A20382" t="inlineStr">
        <is>
          <t>A 26189-2025</t>
        </is>
      </c>
      <c r="B20382" s="1" t="n">
        <v>45805</v>
      </c>
      <c r="C20382" s="1" t="n">
        <v>45810</v>
      </c>
      <c r="D20382" t="inlineStr">
        <is>
          <t>VÄRMLANDS LÄN</t>
        </is>
      </c>
      <c r="E20382" t="inlineStr">
        <is>
          <t>KRISTINEHAMN</t>
        </is>
      </c>
      <c r="F20382" t="inlineStr">
        <is>
          <t>Sveaskog</t>
        </is>
      </c>
      <c r="G20382" t="n">
        <v>5.3</v>
      </c>
      <c r="H20382" t="n">
        <v>0</v>
      </c>
      <c r="I20382" t="n">
        <v>0</v>
      </c>
      <c r="J20382" t="n">
        <v>0</v>
      </c>
      <c r="K20382" t="n">
        <v>0</v>
      </c>
      <c r="L20382" t="n">
        <v>0</v>
      </c>
      <c r="M20382" t="n">
        <v>0</v>
      </c>
      <c r="N20382" t="n">
        <v>0</v>
      </c>
      <c r="O20382" t="n">
        <v>0</v>
      </c>
      <c r="P20382" t="n">
        <v>0</v>
      </c>
      <c r="Q20382" t="n">
        <v>0</v>
      </c>
      <c r="R20382" s="2" t="inlineStr"/>
    </row>
    <row r="20383" ht="15" customHeight="1">
      <c r="A20383" t="inlineStr">
        <is>
          <t>A 26258-2025</t>
        </is>
      </c>
      <c r="B20383" s="1" t="n">
        <v>45805</v>
      </c>
      <c r="C20383" s="1" t="n">
        <v>45810</v>
      </c>
      <c r="D20383" t="inlineStr">
        <is>
          <t>VÄRMLANDS LÄN</t>
        </is>
      </c>
      <c r="E20383" t="inlineStr">
        <is>
          <t>ÅRJÄNG</t>
        </is>
      </c>
      <c r="G20383" t="n">
        <v>2.3</v>
      </c>
      <c r="H20383" t="n">
        <v>0</v>
      </c>
      <c r="I20383" t="n">
        <v>0</v>
      </c>
      <c r="J20383" t="n">
        <v>0</v>
      </c>
      <c r="K20383" t="n">
        <v>0</v>
      </c>
      <c r="L20383" t="n">
        <v>0</v>
      </c>
      <c r="M20383" t="n">
        <v>0</v>
      </c>
      <c r="N20383" t="n">
        <v>0</v>
      </c>
      <c r="O20383" t="n">
        <v>0</v>
      </c>
      <c r="P20383" t="n">
        <v>0</v>
      </c>
      <c r="Q20383" t="n">
        <v>0</v>
      </c>
      <c r="R20383" s="2" t="inlineStr"/>
    </row>
    <row r="20384" ht="15" customHeight="1">
      <c r="A20384" t="inlineStr">
        <is>
          <t>A 26231-2025</t>
        </is>
      </c>
      <c r="B20384" s="1" t="n">
        <v>45805</v>
      </c>
      <c r="C20384" s="1" t="n">
        <v>45810</v>
      </c>
      <c r="D20384" t="inlineStr">
        <is>
          <t>VÄRMLANDS LÄN</t>
        </is>
      </c>
      <c r="E20384" t="inlineStr">
        <is>
          <t>TORSBY</t>
        </is>
      </c>
      <c r="G20384" t="n">
        <v>0.5</v>
      </c>
      <c r="H20384" t="n">
        <v>0</v>
      </c>
      <c r="I20384" t="n">
        <v>0</v>
      </c>
      <c r="J20384" t="n">
        <v>0</v>
      </c>
      <c r="K20384" t="n">
        <v>0</v>
      </c>
      <c r="L20384" t="n">
        <v>0</v>
      </c>
      <c r="M20384" t="n">
        <v>0</v>
      </c>
      <c r="N20384" t="n">
        <v>0</v>
      </c>
      <c r="O20384" t="n">
        <v>0</v>
      </c>
      <c r="P20384" t="n">
        <v>0</v>
      </c>
      <c r="Q20384" t="n">
        <v>0</v>
      </c>
      <c r="R20384" s="2" t="inlineStr"/>
    </row>
    <row r="20385" ht="15" customHeight="1">
      <c r="A20385" t="inlineStr">
        <is>
          <t>A 26250-2025</t>
        </is>
      </c>
      <c r="B20385" s="1" t="n">
        <v>45805</v>
      </c>
      <c r="C20385" s="1" t="n">
        <v>45810</v>
      </c>
      <c r="D20385" t="inlineStr">
        <is>
          <t>VÄRMLANDS LÄN</t>
        </is>
      </c>
      <c r="E20385" t="inlineStr">
        <is>
          <t>SUNNE</t>
        </is>
      </c>
      <c r="G20385" t="n">
        <v>1.5</v>
      </c>
      <c r="H20385" t="n">
        <v>0</v>
      </c>
      <c r="I20385" t="n">
        <v>0</v>
      </c>
      <c r="J20385" t="n">
        <v>0</v>
      </c>
      <c r="K20385" t="n">
        <v>0</v>
      </c>
      <c r="L20385" t="n">
        <v>0</v>
      </c>
      <c r="M20385" t="n">
        <v>0</v>
      </c>
      <c r="N20385" t="n">
        <v>0</v>
      </c>
      <c r="O20385" t="n">
        <v>0</v>
      </c>
      <c r="P20385" t="n">
        <v>0</v>
      </c>
      <c r="Q20385" t="n">
        <v>0</v>
      </c>
      <c r="R20385" s="2" t="inlineStr"/>
    </row>
    <row r="20386" ht="15" customHeight="1">
      <c r="A20386" t="inlineStr">
        <is>
          <t>A 26108-2025</t>
        </is>
      </c>
      <c r="B20386" s="1" t="n">
        <v>45805</v>
      </c>
      <c r="C20386" s="1" t="n">
        <v>45810</v>
      </c>
      <c r="D20386" t="inlineStr">
        <is>
          <t>VÄRMLANDS LÄN</t>
        </is>
      </c>
      <c r="E20386" t="inlineStr">
        <is>
          <t>TORSBY</t>
        </is>
      </c>
      <c r="F20386" t="inlineStr">
        <is>
          <t>Bergvik skog väst AB</t>
        </is>
      </c>
      <c r="G20386" t="n">
        <v>22.8</v>
      </c>
      <c r="H20386" t="n">
        <v>0</v>
      </c>
      <c r="I20386" t="n">
        <v>0</v>
      </c>
      <c r="J20386" t="n">
        <v>0</v>
      </c>
      <c r="K20386" t="n">
        <v>0</v>
      </c>
      <c r="L20386" t="n">
        <v>0</v>
      </c>
      <c r="M20386" t="n">
        <v>0</v>
      </c>
      <c r="N20386" t="n">
        <v>0</v>
      </c>
      <c r="O20386" t="n">
        <v>0</v>
      </c>
      <c r="P20386" t="n">
        <v>0</v>
      </c>
      <c r="Q20386" t="n">
        <v>0</v>
      </c>
      <c r="R20386" s="2" t="inlineStr"/>
    </row>
    <row r="20387" ht="15" customHeight="1">
      <c r="A20387" t="inlineStr">
        <is>
          <t>A 26123-2025</t>
        </is>
      </c>
      <c r="B20387" s="1" t="n">
        <v>45805</v>
      </c>
      <c r="C20387" s="1" t="n">
        <v>45810</v>
      </c>
      <c r="D20387" t="inlineStr">
        <is>
          <t>VÄRMLANDS LÄN</t>
        </is>
      </c>
      <c r="E20387" t="inlineStr">
        <is>
          <t>FILIPSTAD</t>
        </is>
      </c>
      <c r="G20387" t="n">
        <v>1.3</v>
      </c>
      <c r="H20387" t="n">
        <v>0</v>
      </c>
      <c r="I20387" t="n">
        <v>0</v>
      </c>
      <c r="J20387" t="n">
        <v>0</v>
      </c>
      <c r="K20387" t="n">
        <v>0</v>
      </c>
      <c r="L20387" t="n">
        <v>0</v>
      </c>
      <c r="M20387" t="n">
        <v>0</v>
      </c>
      <c r="N20387" t="n">
        <v>0</v>
      </c>
      <c r="O20387" t="n">
        <v>0</v>
      </c>
      <c r="P20387" t="n">
        <v>0</v>
      </c>
      <c r="Q20387" t="n">
        <v>0</v>
      </c>
      <c r="R20387" s="2" t="inlineStr"/>
    </row>
    <row r="20388" ht="15" customHeight="1">
      <c r="A20388" t="inlineStr">
        <is>
          <t>A 26370-2025</t>
        </is>
      </c>
      <c r="B20388" s="1" t="n">
        <v>45806</v>
      </c>
      <c r="C20388" s="1" t="n">
        <v>45810</v>
      </c>
      <c r="D20388" t="inlineStr">
        <is>
          <t>VÄRMLANDS LÄN</t>
        </is>
      </c>
      <c r="E20388" t="inlineStr">
        <is>
          <t>SUNNE</t>
        </is>
      </c>
      <c r="G20388" t="n">
        <v>1</v>
      </c>
      <c r="H20388" t="n">
        <v>0</v>
      </c>
      <c r="I20388" t="n">
        <v>0</v>
      </c>
      <c r="J20388" t="n">
        <v>0</v>
      </c>
      <c r="K20388" t="n">
        <v>0</v>
      </c>
      <c r="L20388" t="n">
        <v>0</v>
      </c>
      <c r="M20388" t="n">
        <v>0</v>
      </c>
      <c r="N20388" t="n">
        <v>0</v>
      </c>
      <c r="O20388" t="n">
        <v>0</v>
      </c>
      <c r="P20388" t="n">
        <v>0</v>
      </c>
      <c r="Q20388" t="n">
        <v>0</v>
      </c>
      <c r="R20388" s="2" t="inlineStr"/>
    </row>
    <row r="20389" ht="15" customHeight="1">
      <c r="A20389" t="inlineStr">
        <is>
          <t>A 26497-2025</t>
        </is>
      </c>
      <c r="B20389" s="1" t="n">
        <v>45807</v>
      </c>
      <c r="C20389" s="1" t="n">
        <v>45810</v>
      </c>
      <c r="D20389" t="inlineStr">
        <is>
          <t>VÄRMLANDS LÄN</t>
        </is>
      </c>
      <c r="E20389" t="inlineStr">
        <is>
          <t>FILIPSTAD</t>
        </is>
      </c>
      <c r="F20389" t="inlineStr">
        <is>
          <t>Bergvik skog väst AB</t>
        </is>
      </c>
      <c r="G20389" t="n">
        <v>3.8</v>
      </c>
      <c r="H20389" t="n">
        <v>0</v>
      </c>
      <c r="I20389" t="n">
        <v>0</v>
      </c>
      <c r="J20389" t="n">
        <v>0</v>
      </c>
      <c r="K20389" t="n">
        <v>0</v>
      </c>
      <c r="L20389" t="n">
        <v>0</v>
      </c>
      <c r="M20389" t="n">
        <v>0</v>
      </c>
      <c r="N20389" t="n">
        <v>0</v>
      </c>
      <c r="O20389" t="n">
        <v>0</v>
      </c>
      <c r="P20389" t="n">
        <v>0</v>
      </c>
      <c r="Q20389" t="n">
        <v>0</v>
      </c>
      <c r="R20389" s="2" t="inlineStr"/>
    </row>
    <row r="20390" ht="15" customHeight="1">
      <c r="A20390" t="inlineStr">
        <is>
          <t>A 26529-2025</t>
        </is>
      </c>
      <c r="B20390" s="1" t="n">
        <v>45807</v>
      </c>
      <c r="C20390" s="1" t="n">
        <v>45810</v>
      </c>
      <c r="D20390" t="inlineStr">
        <is>
          <t>VÄRMLANDS LÄN</t>
        </is>
      </c>
      <c r="E20390" t="inlineStr">
        <is>
          <t>SÄFFLE</t>
        </is>
      </c>
      <c r="G20390" t="n">
        <v>0.7</v>
      </c>
      <c r="H20390" t="n">
        <v>0</v>
      </c>
      <c r="I20390" t="n">
        <v>0</v>
      </c>
      <c r="J20390" t="n">
        <v>0</v>
      </c>
      <c r="K20390" t="n">
        <v>0</v>
      </c>
      <c r="L20390" t="n">
        <v>0</v>
      </c>
      <c r="M20390" t="n">
        <v>0</v>
      </c>
      <c r="N20390" t="n">
        <v>0</v>
      </c>
      <c r="O20390" t="n">
        <v>0</v>
      </c>
      <c r="P20390" t="n">
        <v>0</v>
      </c>
      <c r="Q20390" t="n">
        <v>0</v>
      </c>
      <c r="R20390" s="2" t="inlineStr"/>
    </row>
    <row r="20391" ht="15" customHeight="1">
      <c r="A20391" t="inlineStr">
        <is>
          <t>A 26533-2025</t>
        </is>
      </c>
      <c r="B20391" s="1" t="n">
        <v>45807</v>
      </c>
      <c r="C20391" s="1" t="n">
        <v>45810</v>
      </c>
      <c r="D20391" t="inlineStr">
        <is>
          <t>VÄRMLANDS LÄN</t>
        </is>
      </c>
      <c r="E20391" t="inlineStr">
        <is>
          <t>TORSBY</t>
        </is>
      </c>
      <c r="G20391" t="n">
        <v>1.1</v>
      </c>
      <c r="H20391" t="n">
        <v>0</v>
      </c>
      <c r="I20391" t="n">
        <v>0</v>
      </c>
      <c r="J20391" t="n">
        <v>0</v>
      </c>
      <c r="K20391" t="n">
        <v>0</v>
      </c>
      <c r="L20391" t="n">
        <v>0</v>
      </c>
      <c r="M20391" t="n">
        <v>0</v>
      </c>
      <c r="N20391" t="n">
        <v>0</v>
      </c>
      <c r="O20391" t="n">
        <v>0</v>
      </c>
      <c r="P20391" t="n">
        <v>0</v>
      </c>
      <c r="Q20391" t="n">
        <v>0</v>
      </c>
      <c r="R20391" s="2" t="inlineStr"/>
    </row>
    <row r="20392" ht="15" customHeight="1">
      <c r="A20392" t="inlineStr">
        <is>
          <t>A 26505-2025</t>
        </is>
      </c>
      <c r="B20392" s="1" t="n">
        <v>45807</v>
      </c>
      <c r="C20392" s="1" t="n">
        <v>45810</v>
      </c>
      <c r="D20392" t="inlineStr">
        <is>
          <t>VÄRMLANDS LÄN</t>
        </is>
      </c>
      <c r="E20392" t="inlineStr">
        <is>
          <t>TORSBY</t>
        </is>
      </c>
      <c r="G20392" t="n">
        <v>1.8</v>
      </c>
      <c r="H20392" t="n">
        <v>0</v>
      </c>
      <c r="I20392" t="n">
        <v>0</v>
      </c>
      <c r="J20392" t="n">
        <v>0</v>
      </c>
      <c r="K20392" t="n">
        <v>0</v>
      </c>
      <c r="L20392" t="n">
        <v>0</v>
      </c>
      <c r="M20392" t="n">
        <v>0</v>
      </c>
      <c r="N20392" t="n">
        <v>0</v>
      </c>
      <c r="O20392" t="n">
        <v>0</v>
      </c>
      <c r="P20392" t="n">
        <v>0</v>
      </c>
      <c r="Q20392" t="n">
        <v>0</v>
      </c>
      <c r="R20392" s="2" t="inlineStr"/>
    </row>
    <row r="20393" ht="15" customHeight="1">
      <c r="A20393" t="inlineStr">
        <is>
          <t>A 26511-2025</t>
        </is>
      </c>
      <c r="B20393" s="1" t="n">
        <v>45807</v>
      </c>
      <c r="C20393" s="1" t="n">
        <v>45810</v>
      </c>
      <c r="D20393" t="inlineStr">
        <is>
          <t>VÄRMLANDS LÄN</t>
        </is>
      </c>
      <c r="E20393" t="inlineStr">
        <is>
          <t>TORSBY</t>
        </is>
      </c>
      <c r="G20393" t="n">
        <v>1.5</v>
      </c>
      <c r="H20393" t="n">
        <v>0</v>
      </c>
      <c r="I20393" t="n">
        <v>0</v>
      </c>
      <c r="J20393" t="n">
        <v>0</v>
      </c>
      <c r="K20393" t="n">
        <v>0</v>
      </c>
      <c r="L20393" t="n">
        <v>0</v>
      </c>
      <c r="M20393" t="n">
        <v>0</v>
      </c>
      <c r="N20393" t="n">
        <v>0</v>
      </c>
      <c r="O20393" t="n">
        <v>0</v>
      </c>
      <c r="P20393" t="n">
        <v>0</v>
      </c>
      <c r="Q20393" t="n">
        <v>0</v>
      </c>
      <c r="R20393" s="2" t="inlineStr"/>
    </row>
    <row r="20394" ht="15" customHeight="1">
      <c r="A20394" t="inlineStr">
        <is>
          <t>A 26463-2025</t>
        </is>
      </c>
      <c r="B20394" s="1" t="n">
        <v>45807</v>
      </c>
      <c r="C20394" s="1" t="n">
        <v>45810</v>
      </c>
      <c r="D20394" t="inlineStr">
        <is>
          <t>VÄRMLANDS LÄN</t>
        </is>
      </c>
      <c r="E20394" t="inlineStr">
        <is>
          <t>HAGFORS</t>
        </is>
      </c>
      <c r="F20394" t="inlineStr">
        <is>
          <t>Bergvik skog väst AB</t>
        </is>
      </c>
      <c r="G20394" t="n">
        <v>0.6</v>
      </c>
      <c r="H20394" t="n">
        <v>0</v>
      </c>
      <c r="I20394" t="n">
        <v>0</v>
      </c>
      <c r="J20394" t="n">
        <v>0</v>
      </c>
      <c r="K20394" t="n">
        <v>0</v>
      </c>
      <c r="L20394" t="n">
        <v>0</v>
      </c>
      <c r="M20394" t="n">
        <v>0</v>
      </c>
      <c r="N20394" t="n">
        <v>0</v>
      </c>
      <c r="O20394" t="n">
        <v>0</v>
      </c>
      <c r="P20394" t="n">
        <v>0</v>
      </c>
      <c r="Q20394" t="n">
        <v>0</v>
      </c>
      <c r="R20394" s="2" t="inlineStr"/>
    </row>
    <row r="20395" ht="15" customHeight="1">
      <c r="A20395" t="inlineStr">
        <is>
          <t>A 26490-2025</t>
        </is>
      </c>
      <c r="B20395" s="1" t="n">
        <v>45807</v>
      </c>
      <c r="C20395" s="1" t="n">
        <v>45810</v>
      </c>
      <c r="D20395" t="inlineStr">
        <is>
          <t>VÄRMLANDS LÄN</t>
        </is>
      </c>
      <c r="E20395" t="inlineStr">
        <is>
          <t>HAGFORS</t>
        </is>
      </c>
      <c r="F20395" t="inlineStr">
        <is>
          <t>Bergvik skog väst AB</t>
        </is>
      </c>
      <c r="G20395" t="n">
        <v>1.1</v>
      </c>
      <c r="H20395" t="n">
        <v>0</v>
      </c>
      <c r="I20395" t="n">
        <v>0</v>
      </c>
      <c r="J20395" t="n">
        <v>0</v>
      </c>
      <c r="K20395" t="n">
        <v>0</v>
      </c>
      <c r="L20395" t="n">
        <v>0</v>
      </c>
      <c r="M20395" t="n">
        <v>0</v>
      </c>
      <c r="N20395" t="n">
        <v>0</v>
      </c>
      <c r="O20395" t="n">
        <v>0</v>
      </c>
      <c r="P20395" t="n">
        <v>0</v>
      </c>
      <c r="Q20395" t="n">
        <v>0</v>
      </c>
      <c r="R20395" s="2" t="inlineStr"/>
    </row>
    <row r="20396" ht="15" customHeight="1">
      <c r="A20396" t="inlineStr">
        <is>
          <t>A 26534-2025</t>
        </is>
      </c>
      <c r="B20396" s="1" t="n">
        <v>45807</v>
      </c>
      <c r="C20396" s="1" t="n">
        <v>45810</v>
      </c>
      <c r="D20396" t="inlineStr">
        <is>
          <t>VÄRMLANDS LÄN</t>
        </is>
      </c>
      <c r="E20396" t="inlineStr">
        <is>
          <t>SÄFFLE</t>
        </is>
      </c>
      <c r="G20396" t="n">
        <v>1.6</v>
      </c>
      <c r="H20396" t="n">
        <v>0</v>
      </c>
      <c r="I20396" t="n">
        <v>0</v>
      </c>
      <c r="J20396" t="n">
        <v>0</v>
      </c>
      <c r="K20396" t="n">
        <v>0</v>
      </c>
      <c r="L20396" t="n">
        <v>0</v>
      </c>
      <c r="M20396" t="n">
        <v>0</v>
      </c>
      <c r="N20396" t="n">
        <v>0</v>
      </c>
      <c r="O20396" t="n">
        <v>0</v>
      </c>
      <c r="P20396" t="n">
        <v>0</v>
      </c>
      <c r="Q20396" t="n">
        <v>0</v>
      </c>
      <c r="R20396" s="2" t="inlineStr"/>
    </row>
    <row r="20397" ht="15" customHeight="1">
      <c r="A20397" t="inlineStr">
        <is>
          <t>A 26537-2025</t>
        </is>
      </c>
      <c r="B20397" s="1" t="n">
        <v>45807</v>
      </c>
      <c r="C20397" s="1" t="n">
        <v>45810</v>
      </c>
      <c r="D20397" t="inlineStr">
        <is>
          <t>VÄRMLANDS LÄN</t>
        </is>
      </c>
      <c r="E20397" t="inlineStr">
        <is>
          <t>SÄFFLE</t>
        </is>
      </c>
      <c r="G20397" t="n">
        <v>1.8</v>
      </c>
      <c r="H20397" t="n">
        <v>0</v>
      </c>
      <c r="I20397" t="n">
        <v>0</v>
      </c>
      <c r="J20397" t="n">
        <v>0</v>
      </c>
      <c r="K20397" t="n">
        <v>0</v>
      </c>
      <c r="L20397" t="n">
        <v>0</v>
      </c>
      <c r="M20397" t="n">
        <v>0</v>
      </c>
      <c r="N20397" t="n">
        <v>0</v>
      </c>
      <c r="O20397" t="n">
        <v>0</v>
      </c>
      <c r="P20397" t="n">
        <v>0</v>
      </c>
      <c r="Q20397" t="n">
        <v>0</v>
      </c>
      <c r="R20397" s="2" t="inlineStr"/>
    </row>
    <row r="20398" ht="15" customHeight="1">
      <c r="A20398" t="inlineStr">
        <is>
          <t>A 26418-2025</t>
        </is>
      </c>
      <c r="B20398" s="1" t="n">
        <v>45807</v>
      </c>
      <c r="C20398" s="1" t="n">
        <v>45810</v>
      </c>
      <c r="D20398" t="inlineStr">
        <is>
          <t>VÄRMLANDS LÄN</t>
        </is>
      </c>
      <c r="E20398" t="inlineStr">
        <is>
          <t>TORSBY</t>
        </is>
      </c>
      <c r="F20398" t="inlineStr">
        <is>
          <t>Bergvik skog väst AB</t>
        </is>
      </c>
      <c r="G20398" t="n">
        <v>13.4</v>
      </c>
      <c r="H20398" t="n">
        <v>0</v>
      </c>
      <c r="I20398" t="n">
        <v>0</v>
      </c>
      <c r="J20398" t="n">
        <v>0</v>
      </c>
      <c r="K20398" t="n">
        <v>0</v>
      </c>
      <c r="L20398" t="n">
        <v>0</v>
      </c>
      <c r="M20398" t="n">
        <v>0</v>
      </c>
      <c r="N20398" t="n">
        <v>0</v>
      </c>
      <c r="O20398" t="n">
        <v>0</v>
      </c>
      <c r="P20398" t="n">
        <v>0</v>
      </c>
      <c r="Q20398" t="n">
        <v>0</v>
      </c>
      <c r="R20398" s="2" t="inlineStr"/>
    </row>
    <row r="20399" ht="15" customHeight="1">
      <c r="A20399" t="inlineStr">
        <is>
          <t>A 26434-2025</t>
        </is>
      </c>
      <c r="B20399" s="1" t="n">
        <v>45807</v>
      </c>
      <c r="C20399" s="1" t="n">
        <v>45810</v>
      </c>
      <c r="D20399" t="inlineStr">
        <is>
          <t>VÄRMLANDS LÄN</t>
        </is>
      </c>
      <c r="E20399" t="inlineStr">
        <is>
          <t>ÅRJÄNG</t>
        </is>
      </c>
      <c r="G20399" t="n">
        <v>2.2</v>
      </c>
      <c r="H20399" t="n">
        <v>0</v>
      </c>
      <c r="I20399" t="n">
        <v>0</v>
      </c>
      <c r="J20399" t="n">
        <v>0</v>
      </c>
      <c r="K20399" t="n">
        <v>0</v>
      </c>
      <c r="L20399" t="n">
        <v>0</v>
      </c>
      <c r="M20399" t="n">
        <v>0</v>
      </c>
      <c r="N20399" t="n">
        <v>0</v>
      </c>
      <c r="O20399" t="n">
        <v>0</v>
      </c>
      <c r="P20399" t="n">
        <v>0</v>
      </c>
      <c r="Q20399" t="n">
        <v>0</v>
      </c>
      <c r="R20399" s="2" t="inlineStr"/>
    </row>
    <row r="20400" ht="15" customHeight="1">
      <c r="A20400" t="inlineStr">
        <is>
          <t>A 26504-2025</t>
        </is>
      </c>
      <c r="B20400" s="1" t="n">
        <v>45807</v>
      </c>
      <c r="C20400" s="1" t="n">
        <v>45810</v>
      </c>
      <c r="D20400" t="inlineStr">
        <is>
          <t>VÄRMLANDS LÄN</t>
        </is>
      </c>
      <c r="E20400" t="inlineStr">
        <is>
          <t>TORSBY</t>
        </is>
      </c>
      <c r="G20400" t="n">
        <v>1.3</v>
      </c>
      <c r="H20400" t="n">
        <v>0</v>
      </c>
      <c r="I20400" t="n">
        <v>0</v>
      </c>
      <c r="J20400" t="n">
        <v>0</v>
      </c>
      <c r="K20400" t="n">
        <v>0</v>
      </c>
      <c r="L20400" t="n">
        <v>0</v>
      </c>
      <c r="M20400" t="n">
        <v>0</v>
      </c>
      <c r="N20400" t="n">
        <v>0</v>
      </c>
      <c r="O20400" t="n">
        <v>0</v>
      </c>
      <c r="P20400" t="n">
        <v>0</v>
      </c>
      <c r="Q20400" t="n">
        <v>0</v>
      </c>
      <c r="R20400" s="2" t="inlineStr"/>
    </row>
    <row r="20401" ht="15" customHeight="1">
      <c r="A20401" t="inlineStr">
        <is>
          <t>A 26507-2025</t>
        </is>
      </c>
      <c r="B20401" s="1" t="n">
        <v>45807</v>
      </c>
      <c r="C20401" s="1" t="n">
        <v>45810</v>
      </c>
      <c r="D20401" t="inlineStr">
        <is>
          <t>VÄRMLANDS LÄN</t>
        </is>
      </c>
      <c r="E20401" t="inlineStr">
        <is>
          <t>TORSBY</t>
        </is>
      </c>
      <c r="G20401" t="n">
        <v>2</v>
      </c>
      <c r="H20401" t="n">
        <v>0</v>
      </c>
      <c r="I20401" t="n">
        <v>0</v>
      </c>
      <c r="J20401" t="n">
        <v>0</v>
      </c>
      <c r="K20401" t="n">
        <v>0</v>
      </c>
      <c r="L20401" t="n">
        <v>0</v>
      </c>
      <c r="M20401" t="n">
        <v>0</v>
      </c>
      <c r="N20401" t="n">
        <v>0</v>
      </c>
      <c r="O20401" t="n">
        <v>0</v>
      </c>
      <c r="P20401" t="n">
        <v>0</v>
      </c>
      <c r="Q20401" t="n">
        <v>0</v>
      </c>
      <c r="R20401" s="2" t="inlineStr"/>
    </row>
    <row r="20402" ht="15" customHeight="1">
      <c r="A20402" t="inlineStr">
        <is>
          <t>A 26563-2025</t>
        </is>
      </c>
      <c r="B20402" s="1" t="n">
        <v>45807</v>
      </c>
      <c r="C20402" s="1" t="n">
        <v>45810</v>
      </c>
      <c r="D20402" t="inlineStr">
        <is>
          <t>VÄRMLANDS LÄN</t>
        </is>
      </c>
      <c r="E20402" t="inlineStr">
        <is>
          <t>TORSBY</t>
        </is>
      </c>
      <c r="F20402" t="inlineStr">
        <is>
          <t>Bergvik skog väst AB</t>
        </is>
      </c>
      <c r="G20402" t="n">
        <v>19.5</v>
      </c>
      <c r="H20402" t="n">
        <v>0</v>
      </c>
      <c r="I20402" t="n">
        <v>0</v>
      </c>
      <c r="J20402" t="n">
        <v>0</v>
      </c>
      <c r="K20402" t="n">
        <v>0</v>
      </c>
      <c r="L20402" t="n">
        <v>0</v>
      </c>
      <c r="M20402" t="n">
        <v>0</v>
      </c>
      <c r="N20402" t="n">
        <v>0</v>
      </c>
      <c r="O20402" t="n">
        <v>0</v>
      </c>
      <c r="P20402" t="n">
        <v>0</v>
      </c>
      <c r="Q20402" t="n">
        <v>0</v>
      </c>
      <c r="R20402" s="2" t="inlineStr"/>
    </row>
    <row r="20403" ht="15" customHeight="1">
      <c r="A20403" t="inlineStr">
        <is>
          <t>A 26564-2025</t>
        </is>
      </c>
      <c r="B20403" s="1" t="n">
        <v>45807</v>
      </c>
      <c r="C20403" s="1" t="n">
        <v>45810</v>
      </c>
      <c r="D20403" t="inlineStr">
        <is>
          <t>VÄRMLANDS LÄN</t>
        </is>
      </c>
      <c r="E20403" t="inlineStr">
        <is>
          <t>TORSBY</t>
        </is>
      </c>
      <c r="F20403" t="inlineStr">
        <is>
          <t>Bergvik skog väst AB</t>
        </is>
      </c>
      <c r="G20403" t="n">
        <v>4</v>
      </c>
      <c r="H20403" t="n">
        <v>0</v>
      </c>
      <c r="I20403" t="n">
        <v>0</v>
      </c>
      <c r="J20403" t="n">
        <v>0</v>
      </c>
      <c r="K20403" t="n">
        <v>0</v>
      </c>
      <c r="L20403" t="n">
        <v>0</v>
      </c>
      <c r="M20403" t="n">
        <v>0</v>
      </c>
      <c r="N20403" t="n">
        <v>0</v>
      </c>
      <c r="O20403" t="n">
        <v>0</v>
      </c>
      <c r="P20403" t="n">
        <v>0</v>
      </c>
      <c r="Q20403" t="n">
        <v>0</v>
      </c>
      <c r="R20403" s="2" t="inlineStr"/>
    </row>
    <row r="20404" ht="15" customHeight="1">
      <c r="A20404" t="inlineStr">
        <is>
          <t>A 26438-2025</t>
        </is>
      </c>
      <c r="B20404" s="1" t="n">
        <v>45807</v>
      </c>
      <c r="C20404" s="1" t="n">
        <v>45810</v>
      </c>
      <c r="D20404" t="inlineStr">
        <is>
          <t>VÄRMLANDS LÄN</t>
        </is>
      </c>
      <c r="E20404" t="inlineStr">
        <is>
          <t>KIL</t>
        </is>
      </c>
      <c r="G20404" t="n">
        <v>0.9</v>
      </c>
      <c r="H20404" t="n">
        <v>0</v>
      </c>
      <c r="I20404" t="n">
        <v>0</v>
      </c>
      <c r="J20404" t="n">
        <v>0</v>
      </c>
      <c r="K20404" t="n">
        <v>0</v>
      </c>
      <c r="L20404" t="n">
        <v>0</v>
      </c>
      <c r="M20404" t="n">
        <v>0</v>
      </c>
      <c r="N20404" t="n">
        <v>0</v>
      </c>
      <c r="O20404" t="n">
        <v>0</v>
      </c>
      <c r="P20404" t="n">
        <v>0</v>
      </c>
      <c r="Q20404" t="n">
        <v>0</v>
      </c>
      <c r="R20404" s="2" t="inlineStr"/>
    </row>
    <row r="20405" ht="15" customHeight="1">
      <c r="A20405" t="inlineStr">
        <is>
          <t>A 26455-2025</t>
        </is>
      </c>
      <c r="B20405" s="1" t="n">
        <v>45807</v>
      </c>
      <c r="C20405" s="1" t="n">
        <v>45810</v>
      </c>
      <c r="D20405" t="inlineStr">
        <is>
          <t>VÄRMLANDS LÄN</t>
        </is>
      </c>
      <c r="E20405" t="inlineStr">
        <is>
          <t>KRISTINEHAMN</t>
        </is>
      </c>
      <c r="G20405" t="n">
        <v>10.6</v>
      </c>
      <c r="H20405" t="n">
        <v>0</v>
      </c>
      <c r="I20405" t="n">
        <v>0</v>
      </c>
      <c r="J20405" t="n">
        <v>0</v>
      </c>
      <c r="K20405" t="n">
        <v>0</v>
      </c>
      <c r="L20405" t="n">
        <v>0</v>
      </c>
      <c r="M20405" t="n">
        <v>0</v>
      </c>
      <c r="N20405" t="n">
        <v>0</v>
      </c>
      <c r="O20405" t="n">
        <v>0</v>
      </c>
      <c r="P20405" t="n">
        <v>0</v>
      </c>
      <c r="Q20405" t="n">
        <v>0</v>
      </c>
      <c r="R20405" s="2" t="inlineStr"/>
    </row>
    <row r="20406" ht="15" customHeight="1">
      <c r="A20406" t="inlineStr">
        <is>
          <t>A 26479-2025</t>
        </is>
      </c>
      <c r="B20406" s="1" t="n">
        <v>45807</v>
      </c>
      <c r="C20406" s="1" t="n">
        <v>45810</v>
      </c>
      <c r="D20406" t="inlineStr">
        <is>
          <t>VÄRMLANDS LÄN</t>
        </is>
      </c>
      <c r="E20406" t="inlineStr">
        <is>
          <t>TORSBY</t>
        </is>
      </c>
      <c r="G20406" t="n">
        <v>1.5</v>
      </c>
      <c r="H20406" t="n">
        <v>0</v>
      </c>
      <c r="I20406" t="n">
        <v>0</v>
      </c>
      <c r="J20406" t="n">
        <v>0</v>
      </c>
      <c r="K20406" t="n">
        <v>0</v>
      </c>
      <c r="L20406" t="n">
        <v>0</v>
      </c>
      <c r="M20406" t="n">
        <v>0</v>
      </c>
      <c r="N20406" t="n">
        <v>0</v>
      </c>
      <c r="O20406" t="n">
        <v>0</v>
      </c>
      <c r="P20406" t="n">
        <v>0</v>
      </c>
      <c r="Q20406" t="n">
        <v>0</v>
      </c>
      <c r="R20406" s="2" t="inlineStr"/>
    </row>
    <row r="20407" ht="15" customHeight="1">
      <c r="A20407" t="inlineStr">
        <is>
          <t>A 26487-2025</t>
        </is>
      </c>
      <c r="B20407" s="1" t="n">
        <v>45807</v>
      </c>
      <c r="C20407" s="1" t="n">
        <v>45810</v>
      </c>
      <c r="D20407" t="inlineStr">
        <is>
          <t>VÄRMLANDS LÄN</t>
        </is>
      </c>
      <c r="E20407" t="inlineStr">
        <is>
          <t>TORSBY</t>
        </is>
      </c>
      <c r="G20407" t="n">
        <v>1.2</v>
      </c>
      <c r="H20407" t="n">
        <v>0</v>
      </c>
      <c r="I20407" t="n">
        <v>0</v>
      </c>
      <c r="J20407" t="n">
        <v>0</v>
      </c>
      <c r="K20407" t="n">
        <v>0</v>
      </c>
      <c r="L20407" t="n">
        <v>0</v>
      </c>
      <c r="M20407" t="n">
        <v>0</v>
      </c>
      <c r="N20407" t="n">
        <v>0</v>
      </c>
      <c r="O20407" t="n">
        <v>0</v>
      </c>
      <c r="P20407" t="n">
        <v>0</v>
      </c>
      <c r="Q20407" t="n">
        <v>0</v>
      </c>
      <c r="R20407" s="2" t="inlineStr"/>
    </row>
    <row r="20408" ht="15" customHeight="1">
      <c r="A20408" t="inlineStr">
        <is>
          <t>A 26491-2025</t>
        </is>
      </c>
      <c r="B20408" s="1" t="n">
        <v>45807</v>
      </c>
      <c r="C20408" s="1" t="n">
        <v>45810</v>
      </c>
      <c r="D20408" t="inlineStr">
        <is>
          <t>VÄRMLANDS LÄN</t>
        </is>
      </c>
      <c r="E20408" t="inlineStr">
        <is>
          <t>TORSBY</t>
        </is>
      </c>
      <c r="G20408" t="n">
        <v>5.3</v>
      </c>
      <c r="H20408" t="n">
        <v>0</v>
      </c>
      <c r="I20408" t="n">
        <v>0</v>
      </c>
      <c r="J20408" t="n">
        <v>0</v>
      </c>
      <c r="K20408" t="n">
        <v>0</v>
      </c>
      <c r="L20408" t="n">
        <v>0</v>
      </c>
      <c r="M20408" t="n">
        <v>0</v>
      </c>
      <c r="N20408" t="n">
        <v>0</v>
      </c>
      <c r="O20408" t="n">
        <v>0</v>
      </c>
      <c r="P20408" t="n">
        <v>0</v>
      </c>
      <c r="Q20408" t="n">
        <v>0</v>
      </c>
      <c r="R20408" s="2" t="inlineStr"/>
    </row>
    <row r="20409" ht="15" customHeight="1">
      <c r="A20409" t="inlineStr">
        <is>
          <t>A 26539-2025</t>
        </is>
      </c>
      <c r="B20409" s="1" t="n">
        <v>45807</v>
      </c>
      <c r="C20409" s="1" t="n">
        <v>45810</v>
      </c>
      <c r="D20409" t="inlineStr">
        <is>
          <t>VÄRMLANDS LÄN</t>
        </is>
      </c>
      <c r="E20409" t="inlineStr">
        <is>
          <t>TORSBY</t>
        </is>
      </c>
      <c r="G20409" t="n">
        <v>0.9</v>
      </c>
      <c r="H20409" t="n">
        <v>0</v>
      </c>
      <c r="I20409" t="n">
        <v>0</v>
      </c>
      <c r="J20409" t="n">
        <v>0</v>
      </c>
      <c r="K20409" t="n">
        <v>0</v>
      </c>
      <c r="L20409" t="n">
        <v>0</v>
      </c>
      <c r="M20409" t="n">
        <v>0</v>
      </c>
      <c r="N20409" t="n">
        <v>0</v>
      </c>
      <c r="O20409" t="n">
        <v>0</v>
      </c>
      <c r="P20409" t="n">
        <v>0</v>
      </c>
      <c r="Q20409" t="n">
        <v>0</v>
      </c>
      <c r="R20409" s="2" t="inlineStr"/>
    </row>
    <row r="20410" ht="15" customHeight="1">
      <c r="A20410" t="inlineStr">
        <is>
          <t>A 26456-2025</t>
        </is>
      </c>
      <c r="B20410" s="1" t="n">
        <v>45807</v>
      </c>
      <c r="C20410" s="1" t="n">
        <v>45810</v>
      </c>
      <c r="D20410" t="inlineStr">
        <is>
          <t>VÄRMLANDS LÄN</t>
        </is>
      </c>
      <c r="E20410" t="inlineStr">
        <is>
          <t>HAGFORS</t>
        </is>
      </c>
      <c r="F20410" t="inlineStr">
        <is>
          <t>Bergvik skog väst AB</t>
        </is>
      </c>
      <c r="G20410" t="n">
        <v>2.8</v>
      </c>
      <c r="H20410" t="n">
        <v>0</v>
      </c>
      <c r="I20410" t="n">
        <v>0</v>
      </c>
      <c r="J20410" t="n">
        <v>0</v>
      </c>
      <c r="K20410" t="n">
        <v>0</v>
      </c>
      <c r="L20410" t="n">
        <v>0</v>
      </c>
      <c r="M20410" t="n">
        <v>0</v>
      </c>
      <c r="N20410" t="n">
        <v>0</v>
      </c>
      <c r="O20410" t="n">
        <v>0</v>
      </c>
      <c r="P20410" t="n">
        <v>0</v>
      </c>
      <c r="Q20410" t="n">
        <v>0</v>
      </c>
      <c r="R20410" s="2" t="inlineStr"/>
    </row>
    <row r="20411" ht="15" customHeight="1">
      <c r="A20411" t="inlineStr">
        <is>
          <t>A 26593-2025</t>
        </is>
      </c>
      <c r="B20411" s="1" t="n">
        <v>45808</v>
      </c>
      <c r="C20411" s="1" t="n">
        <v>45810</v>
      </c>
      <c r="D20411" t="inlineStr">
        <is>
          <t>VÄRMLANDS LÄN</t>
        </is>
      </c>
      <c r="E20411" t="inlineStr">
        <is>
          <t>FORSHAGA</t>
        </is>
      </c>
      <c r="G20411" t="n">
        <v>0.7</v>
      </c>
      <c r="H20411" t="n">
        <v>0</v>
      </c>
      <c r="I20411" t="n">
        <v>0</v>
      </c>
      <c r="J20411" t="n">
        <v>0</v>
      </c>
      <c r="K20411" t="n">
        <v>0</v>
      </c>
      <c r="L20411" t="n">
        <v>0</v>
      </c>
      <c r="M20411" t="n">
        <v>0</v>
      </c>
      <c r="N20411" t="n">
        <v>0</v>
      </c>
      <c r="O20411" t="n">
        <v>0</v>
      </c>
      <c r="P20411" t="n">
        <v>0</v>
      </c>
      <c r="Q20411" t="n">
        <v>0</v>
      </c>
      <c r="R20411" s="2" t="inlineStr"/>
    </row>
    <row r="20412">
      <c r="A20412" t="inlineStr">
        <is>
          <t>A 26607-2025</t>
        </is>
      </c>
      <c r="B20412" s="1" t="n">
        <v>45810</v>
      </c>
      <c r="C20412" s="1" t="n">
        <v>45810</v>
      </c>
      <c r="D20412" t="inlineStr">
        <is>
          <t>VÄRMLANDS LÄN</t>
        </is>
      </c>
      <c r="E20412" t="inlineStr">
        <is>
          <t>TORSBY</t>
        </is>
      </c>
      <c r="G20412" t="n">
        <v>7.5</v>
      </c>
      <c r="H20412" t="n">
        <v>0</v>
      </c>
      <c r="I20412" t="n">
        <v>0</v>
      </c>
      <c r="J20412" t="n">
        <v>0</v>
      </c>
      <c r="K20412" t="n">
        <v>0</v>
      </c>
      <c r="L20412" t="n">
        <v>0</v>
      </c>
      <c r="M20412" t="n">
        <v>0</v>
      </c>
      <c r="N20412" t="n">
        <v>0</v>
      </c>
      <c r="O20412" t="n">
        <v>0</v>
      </c>
      <c r="P20412" t="n">
        <v>0</v>
      </c>
      <c r="Q20412" t="n">
        <v>0</v>
      </c>
      <c r="R204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2025-06-02T17:55:22Z</dcterms:created>
  <dcterms:modified xmlns:dcterms="http://purl.org/dc/terms/" xmlns:xsi="http://www.w3.org/2001/XMLSchema-instance" xsi:type="dcterms:W3CDTF">2025-06-02T17:55:39Z</dcterms:modified>
</cp:coreProperties>
</file>